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vml" ContentType="application/vnd.openxmlformats-officedocument.vmlDrawing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worksheets/sheet42.xml" ContentType="application/vnd.openxmlformats-officedocument.spreadsheetml.worksheet+xml"/>
  <Override PartName="/xl/worksheets/sheet43.xml" ContentType="application/vnd.openxmlformats-officedocument.spreadsheetml.worksheet+xml"/>
  <Override PartName="/xl/worksheets/sheet44.xml" ContentType="application/vnd.openxmlformats-officedocument.spreadsheetml.worksheet+xml"/>
  <Override PartName="/xl/worksheets/sheet45.xml" ContentType="application/vnd.openxmlformats-officedocument.spreadsheetml.worksheet+xml"/>
  <Override PartName="/xl/worksheets/sheet46.xml" ContentType="application/vnd.openxmlformats-officedocument.spreadsheetml.worksheet+xml"/>
  <Override PartName="/xl/worksheets/sheet47.xml" ContentType="application/vnd.openxmlformats-officedocument.spreadsheetml.worksheet+xml"/>
  <Override PartName="/xl/worksheets/sheet48.xml" ContentType="application/vnd.openxmlformats-officedocument.spreadsheetml.worksheet+xml"/>
  <Override PartName="/xl/worksheets/sheet49.xml" ContentType="application/vnd.openxmlformats-officedocument.spreadsheetml.worksheet+xml"/>
  <Override PartName="/xl/worksheets/sheet50.xml" ContentType="application/vnd.openxmlformats-officedocument.spreadsheetml.worksheet+xml"/>
  <Override PartName="/xl/worksheets/sheet51.xml" ContentType="application/vnd.openxmlformats-officedocument.spreadsheetml.worksheet+xml"/>
  <Override PartName="/xl/worksheets/sheet52.xml" ContentType="application/vnd.openxmlformats-officedocument.spreadsheetml.worksheet+xml"/>
  <Override PartName="/xl/worksheets/sheet53.xml" ContentType="application/vnd.openxmlformats-officedocument.spreadsheetml.worksheet+xml"/>
  <Override PartName="/xl/worksheets/sheet54.xml" ContentType="application/vnd.openxmlformats-officedocument.spreadsheetml.worksheet+xml"/>
  <Override PartName="/xl/worksheets/sheet55.xml" ContentType="application/vnd.openxmlformats-officedocument.spreadsheetml.worksheet+xml"/>
  <Override PartName="/xl/worksheets/sheet56.xml" ContentType="application/vnd.openxmlformats-officedocument.spreadsheetml.worksheet+xml"/>
  <Override PartName="/xl/worksheets/sheet57.xml" ContentType="application/vnd.openxmlformats-officedocument.spreadsheetml.worksheet+xml"/>
  <Override PartName="/xl/worksheets/sheet58.xml" ContentType="application/vnd.openxmlformats-officedocument.spreadsheetml.worksheet+xml"/>
  <Override PartName="/xl/worksheets/sheet59.xml" ContentType="application/vnd.openxmlformats-officedocument.spreadsheetml.worksheet+xml"/>
  <Override PartName="/xl/worksheets/sheet60.xml" ContentType="application/vnd.openxmlformats-officedocument.spreadsheetml.worksheet+xml"/>
  <Override PartName="/xl/worksheets/sheet61.xml" ContentType="application/vnd.openxmlformats-officedocument.spreadsheetml.worksheet+xml"/>
  <Override PartName="/xl/worksheets/sheet62.xml" ContentType="application/vnd.openxmlformats-officedocument.spreadsheetml.worksheet+xml"/>
  <Override PartName="/xl/worksheets/sheet63.xml" ContentType="application/vnd.openxmlformats-officedocument.spreadsheetml.worksheet+xml"/>
  <Override PartName="/xl/worksheets/sheet64.xml" ContentType="application/vnd.openxmlformats-officedocument.spreadsheetml.worksheet+xml"/>
  <Override PartName="/xl/worksheets/sheet65.xml" ContentType="application/vnd.openxmlformats-officedocument.spreadsheetml.worksheet+xml"/>
  <Override PartName="/xl/worksheets/sheet66.xml" ContentType="application/vnd.openxmlformats-officedocument.spreadsheetml.worksheet+xml"/>
  <Override PartName="/xl/worksheets/sheet67.xml" ContentType="application/vnd.openxmlformats-officedocument.spreadsheetml.worksheet+xml"/>
  <Override PartName="/xl/worksheets/sheet68.xml" ContentType="application/vnd.openxmlformats-officedocument.spreadsheetml.worksheet+xml"/>
  <Override PartName="/xl/worksheets/sheet69.xml" ContentType="application/vnd.openxmlformats-officedocument.spreadsheetml.worksheet+xml"/>
  <Override PartName="/xl/worksheets/sheet70.xml" ContentType="application/vnd.openxmlformats-officedocument.spreadsheetml.worksheet+xml"/>
  <Override PartName="/xl/worksheets/sheet71.xml" ContentType="application/vnd.openxmlformats-officedocument.spreadsheetml.worksheet+xml"/>
  <Override PartName="/xl/worksheets/sheet72.xml" ContentType="application/vnd.openxmlformats-officedocument.spreadsheetml.worksheet+xml"/>
  <Override PartName="/xl/worksheets/sheet73.xml" ContentType="application/vnd.openxmlformats-officedocument.spreadsheetml.worksheet+xml"/>
  <Override PartName="/xl/worksheets/sheet74.xml" ContentType="application/vnd.openxmlformats-officedocument.spreadsheetml.worksheet+xml"/>
  <Override PartName="/xl/worksheets/sheet75.xml" ContentType="application/vnd.openxmlformats-officedocument.spreadsheetml.worksheet+xml"/>
  <Override PartName="/xl/worksheets/sheet76.xml" ContentType="application/vnd.openxmlformats-officedocument.spreadsheetml.worksheet+xml"/>
  <Override PartName="/xl/worksheets/sheet77.xml" ContentType="application/vnd.openxmlformats-officedocument.spreadsheetml.worksheet+xml"/>
  <Override PartName="/xl/worksheets/sheet78.xml" ContentType="application/vnd.openxmlformats-officedocument.spreadsheetml.worksheet+xml"/>
  <Override PartName="/xl/worksheets/sheet79.xml" ContentType="application/vnd.openxmlformats-officedocument.spreadsheetml.worksheet+xml"/>
  <Override PartName="/xl/worksheets/sheet80.xml" ContentType="application/vnd.openxmlformats-officedocument.spreadsheetml.worksheet+xml"/>
  <Override PartName="/xl/worksheets/sheet81.xml" ContentType="application/vnd.openxmlformats-officedocument.spreadsheetml.worksheet+xml"/>
  <Override PartName="/xl/worksheets/sheet82.xml" ContentType="application/vnd.openxmlformats-officedocument.spreadsheetml.worksheet+xml"/>
  <Override PartName="/xl/worksheets/sheet83.xml" ContentType="application/vnd.openxmlformats-officedocument.spreadsheetml.worksheet+xml"/>
  <Override PartName="/xl/worksheets/sheet84.xml" ContentType="application/vnd.openxmlformats-officedocument.spreadsheetml.worksheet+xml"/>
  <Override PartName="/xl/worksheets/sheet85.xml" ContentType="application/vnd.openxmlformats-officedocument.spreadsheetml.worksheet+xml"/>
  <Override PartName="/xl/worksheets/sheet86.xml" ContentType="application/vnd.openxmlformats-officedocument.spreadsheetml.worksheet+xml"/>
  <Override PartName="/xl/worksheets/sheet87.xml" ContentType="application/vnd.openxmlformats-officedocument.spreadsheetml.worksheet+xml"/>
  <Override PartName="/xl/worksheets/sheet88.xml" ContentType="application/vnd.openxmlformats-officedocument.spreadsheetml.worksheet+xml"/>
  <Override PartName="/xl/worksheets/sheet89.xml" ContentType="application/vnd.openxmlformats-officedocument.spreadsheetml.worksheet+xml"/>
  <Override PartName="/xl/worksheets/sheet90.xml" ContentType="application/vnd.openxmlformats-officedocument.spreadsheetml.worksheet+xml"/>
  <Override PartName="/xl/worksheets/sheet91.xml" ContentType="application/vnd.openxmlformats-officedocument.spreadsheetml.worksheet+xml"/>
  <Override PartName="/xl/worksheets/sheet92.xml" ContentType="application/vnd.openxmlformats-officedocument.spreadsheetml.worksheet+xml"/>
  <Override PartName="/xl/worksheets/sheet93.xml" ContentType="application/vnd.openxmlformats-officedocument.spreadsheetml.worksheet+xml"/>
  <Override PartName="/xl/worksheets/sheet94.xml" ContentType="application/vnd.openxmlformats-officedocument.spreadsheetml.worksheet+xml"/>
  <Override PartName="/xl/worksheets/sheet95.xml" ContentType="application/vnd.openxmlformats-officedocument.spreadsheetml.worksheet+xml"/>
  <Override PartName="/xl/worksheets/sheet96.xml" ContentType="application/vnd.openxmlformats-officedocument.spreadsheetml.worksheet+xml"/>
  <Override PartName="/xl/worksheets/sheet97.xml" ContentType="application/vnd.openxmlformats-officedocument.spreadsheetml.worksheet+xml"/>
  <Override PartName="/xl/worksheets/sheet98.xml" ContentType="application/vnd.openxmlformats-officedocument.spreadsheetml.worksheet+xml"/>
  <Override PartName="/xl/worksheets/sheet99.xml" ContentType="application/vnd.openxmlformats-officedocument.spreadsheetml.worksheet+xml"/>
  <Override PartName="/xl/worksheets/sheet100.xml" ContentType="application/vnd.openxmlformats-officedocument.spreadsheetml.worksheet+xml"/>
  <Override PartName="/xl/worksheets/sheet101.xml" ContentType="application/vnd.openxmlformats-officedocument.spreadsheetml.worksheet+xml"/>
  <Override PartName="/xl/worksheets/sheet102.xml" ContentType="application/vnd.openxmlformats-officedocument.spreadsheetml.worksheet+xml"/>
  <Override PartName="/xl/worksheets/sheet103.xml" ContentType="application/vnd.openxmlformats-officedocument.spreadsheetml.worksheet+xml"/>
  <Override PartName="/xl/worksheets/sheet104.xml" ContentType="application/vnd.openxmlformats-officedocument.spreadsheetml.worksheet+xml"/>
  <Override PartName="/xl/worksheets/sheet105.xml" ContentType="application/vnd.openxmlformats-officedocument.spreadsheetml.worksheet+xml"/>
  <Override PartName="/xl/worksheets/sheet106.xml" ContentType="application/vnd.openxmlformats-officedocument.spreadsheetml.worksheet+xml"/>
  <Override PartName="/xl/worksheets/sheet107.xml" ContentType="application/vnd.openxmlformats-officedocument.spreadsheetml.worksheet+xml"/>
  <Override PartName="/xl/worksheets/sheet108.xml" ContentType="application/vnd.openxmlformats-officedocument.spreadsheetml.worksheet+xml"/>
  <Override PartName="/xl/worksheets/sheet109.xml" ContentType="application/vnd.openxmlformats-officedocument.spreadsheetml.worksheet+xml"/>
  <Override PartName="/xl/worksheets/sheet110.xml" ContentType="application/vnd.openxmlformats-officedocument.spreadsheetml.worksheet+xml"/>
  <Override PartName="/xl/worksheets/sheet111.xml" ContentType="application/vnd.openxmlformats-officedocument.spreadsheetml.worksheet+xml"/>
  <Override PartName="/xl/worksheets/sheet112.xml" ContentType="application/vnd.openxmlformats-officedocument.spreadsheetml.worksheet+xml"/>
  <Override PartName="/xl/worksheets/sheet113.xml" ContentType="application/vnd.openxmlformats-officedocument.spreadsheetml.worksheet+xml"/>
  <Override PartName="/xl/worksheets/sheet114.xml" ContentType="application/vnd.openxmlformats-officedocument.spreadsheetml.worksheet+xml"/>
  <Override PartName="/xl/worksheets/sheet115.xml" ContentType="application/vnd.openxmlformats-officedocument.spreadsheetml.worksheet+xml"/>
  <Override PartName="/xl/worksheets/sheet116.xml" ContentType="application/vnd.openxmlformats-officedocument.spreadsheetml.worksheet+xml"/>
  <Override PartName="/xl/worksheets/sheet117.xml" ContentType="application/vnd.openxmlformats-officedocument.spreadsheetml.worksheet+xml"/>
  <Override PartName="/xl/worksheets/sheet118.xml" ContentType="application/vnd.openxmlformats-officedocument.spreadsheetml.worksheet+xml"/>
  <Override PartName="/xl/worksheets/sheet119.xml" ContentType="application/vnd.openxmlformats-officedocument.spreadsheetml.worksheet+xml"/>
  <Override PartName="/xl/worksheets/sheet120.xml" ContentType="application/vnd.openxmlformats-officedocument.spreadsheetml.worksheet+xml"/>
  <Override PartName="/xl/worksheets/sheet121.xml" ContentType="application/vnd.openxmlformats-officedocument.spreadsheetml.worksheet+xml"/>
  <Override PartName="/xl/worksheets/sheet122.xml" ContentType="application/vnd.openxmlformats-officedocument.spreadsheetml.worksheet+xml"/>
  <Override PartName="/xl/worksheets/sheet123.xml" ContentType="application/vnd.openxmlformats-officedocument.spreadsheetml.worksheet+xml"/>
  <Override PartName="/xl/worksheets/sheet124.xml" ContentType="application/vnd.openxmlformats-officedocument.spreadsheetml.worksheet+xml"/>
  <Override PartName="/xl/worksheets/sheet125.xml" ContentType="application/vnd.openxmlformats-officedocument.spreadsheetml.worksheet+xml"/>
  <Override PartName="/xl/worksheets/sheet126.xml" ContentType="application/vnd.openxmlformats-officedocument.spreadsheetml.worksheet+xml"/>
  <Override PartName="/xl/worksheets/sheet127.xml" ContentType="application/vnd.openxmlformats-officedocument.spreadsheetml.worksheet+xml"/>
  <Override PartName="/xl/worksheets/sheet128.xml" ContentType="application/vnd.openxmlformats-officedocument.spreadsheetml.worksheet+xml"/>
  <Override PartName="/xl/worksheets/sheet129.xml" ContentType="application/vnd.openxmlformats-officedocument.spreadsheetml.worksheet+xml"/>
  <Override PartName="/xl/worksheets/sheet130.xml" ContentType="application/vnd.openxmlformats-officedocument.spreadsheetml.worksheet+xml"/>
  <Override PartName="/xl/worksheets/sheet131.xml" ContentType="application/vnd.openxmlformats-officedocument.spreadsheetml.worksheet+xml"/>
  <Override PartName="/xl/worksheets/sheet132.xml" ContentType="application/vnd.openxmlformats-officedocument.spreadsheetml.worksheet+xml"/>
  <Override PartName="/xl/worksheets/sheet133.xml" ContentType="application/vnd.openxmlformats-officedocument.spreadsheetml.worksheet+xml"/>
  <Override PartName="/xl/worksheets/sheet134.xml" ContentType="application/vnd.openxmlformats-officedocument.spreadsheetml.worksheet+xml"/>
  <Override PartName="/xl/worksheets/sheet135.xml" ContentType="application/vnd.openxmlformats-officedocument.spreadsheetml.worksheet+xml"/>
  <Override PartName="/xl/worksheets/sheet136.xml" ContentType="application/vnd.openxmlformats-officedocument.spreadsheetml.worksheet+xml"/>
  <Override PartName="/xl/worksheets/sheet137.xml" ContentType="application/vnd.openxmlformats-officedocument.spreadsheetml.worksheet+xml"/>
  <Override PartName="/xl/worksheets/sheet138.xml" ContentType="application/vnd.openxmlformats-officedocument.spreadsheetml.worksheet+xml"/>
  <Override PartName="/xl/worksheets/sheet139.xml" ContentType="application/vnd.openxmlformats-officedocument.spreadsheetml.worksheet+xml"/>
  <Override PartName="/xl/worksheets/sheet140.xml" ContentType="application/vnd.openxmlformats-officedocument.spreadsheetml.worksheet+xml"/>
  <Override PartName="/xl/worksheets/sheet141.xml" ContentType="application/vnd.openxmlformats-officedocument.spreadsheetml.worksheet+xml"/>
  <Override PartName="/xl/worksheets/sheet142.xml" ContentType="application/vnd.openxmlformats-officedocument.spreadsheetml.worksheet+xml"/>
  <Override PartName="/xl/worksheets/sheet143.xml" ContentType="application/vnd.openxmlformats-officedocument.spreadsheetml.worksheet+xml"/>
  <Override PartName="/xl/worksheets/sheet144.xml" ContentType="application/vnd.openxmlformats-officedocument.spreadsheetml.worksheet+xml"/>
  <Override PartName="/xl/worksheets/sheet145.xml" ContentType="application/vnd.openxmlformats-officedocument.spreadsheetml.worksheet+xml"/>
  <Override PartName="/xl/worksheets/sheet146.xml" ContentType="application/vnd.openxmlformats-officedocument.spreadsheetml.worksheet+xml"/>
  <Override PartName="/xl/worksheets/sheet147.xml" ContentType="application/vnd.openxmlformats-officedocument.spreadsheetml.worksheet+xml"/>
  <Override PartName="/xl/worksheets/sheet148.xml" ContentType="application/vnd.openxmlformats-officedocument.spreadsheetml.worksheet+xml"/>
  <Override PartName="/xl/worksheets/sheet149.xml" ContentType="application/vnd.openxmlformats-officedocument.spreadsheetml.worksheet+xml"/>
  <Override PartName="/xl/worksheets/sheet150.xml" ContentType="application/vnd.openxmlformats-officedocument.spreadsheetml.worksheet+xml"/>
  <Override PartName="/xl/worksheets/sheet151.xml" ContentType="application/vnd.openxmlformats-officedocument.spreadsheetml.worksheet+xml"/>
  <Override PartName="/xl/worksheets/sheet152.xml" ContentType="application/vnd.openxmlformats-officedocument.spreadsheetml.worksheet+xml"/>
  <Override PartName="/xl/worksheets/sheet153.xml" ContentType="application/vnd.openxmlformats-officedocument.spreadsheetml.worksheet+xml"/>
  <Override PartName="/xl/worksheets/sheet154.xml" ContentType="application/vnd.openxmlformats-officedocument.spreadsheetml.worksheet+xml"/>
  <Override PartName="/xl/worksheets/sheet155.xml" ContentType="application/vnd.openxmlformats-officedocument.spreadsheetml.worksheet+xml"/>
  <Override PartName="/xl/worksheets/sheet156.xml" ContentType="application/vnd.openxmlformats-officedocument.spreadsheetml.worksheet+xml"/>
  <Override PartName="/xl/worksheets/sheet157.xml" ContentType="application/vnd.openxmlformats-officedocument.spreadsheetml.worksheet+xml"/>
  <Override PartName="/xl/worksheets/sheet158.xml" ContentType="application/vnd.openxmlformats-officedocument.spreadsheetml.worksheet+xml"/>
  <Override PartName="/xl/worksheets/sheet159.xml" ContentType="application/vnd.openxmlformats-officedocument.spreadsheetml.worksheet+xml"/>
  <Override PartName="/xl/worksheets/sheet160.xml" ContentType="application/vnd.openxmlformats-officedocument.spreadsheetml.worksheet+xml"/>
  <Override PartName="/xl/worksheets/sheet161.xml" ContentType="application/vnd.openxmlformats-officedocument.spreadsheetml.worksheet+xml"/>
  <Override PartName="/xl/worksheets/sheet162.xml" ContentType="application/vnd.openxmlformats-officedocument.spreadsheetml.worksheet+xml"/>
  <Override PartName="/xl/worksheets/sheet163.xml" ContentType="application/vnd.openxmlformats-officedocument.spreadsheetml.worksheet+xml"/>
  <Override PartName="/xl/worksheets/sheet164.xml" ContentType="application/vnd.openxmlformats-officedocument.spreadsheetml.worksheet+xml"/>
  <Override PartName="/xl/worksheets/sheet165.xml" ContentType="application/vnd.openxmlformats-officedocument.spreadsheetml.worksheet+xml"/>
  <Override PartName="/xl/worksheets/sheet166.xml" ContentType="application/vnd.openxmlformats-officedocument.spreadsheetml.worksheet+xml"/>
  <Override PartName="/xl/worksheets/sheet167.xml" ContentType="application/vnd.openxmlformats-officedocument.spreadsheetml.worksheet+xml"/>
  <Override PartName="/xl/worksheets/sheet168.xml" ContentType="application/vnd.openxmlformats-officedocument.spreadsheetml.worksheet+xml"/>
  <Override PartName="/xl/worksheets/sheet169.xml" ContentType="application/vnd.openxmlformats-officedocument.spreadsheetml.worksheet+xml"/>
  <Override PartName="/xl/worksheets/sheet170.xml" ContentType="application/vnd.openxmlformats-officedocument.spreadsheetml.worksheet+xml"/>
  <Override PartName="/xl/worksheets/sheet171.xml" ContentType="application/vnd.openxmlformats-officedocument.spreadsheetml.worksheet+xml"/>
  <Override PartName="/xl/worksheets/sheet172.xml" ContentType="application/vnd.openxmlformats-officedocument.spreadsheetml.worksheet+xml"/>
  <Override PartName="/xl/worksheets/sheet173.xml" ContentType="application/vnd.openxmlformats-officedocument.spreadsheetml.worksheet+xml"/>
  <Override PartName="/xl/worksheets/sheet174.xml" ContentType="application/vnd.openxmlformats-officedocument.spreadsheetml.worksheet+xml"/>
  <Override PartName="/xl/worksheets/sheet175.xml" ContentType="application/vnd.openxmlformats-officedocument.spreadsheetml.worksheet+xml"/>
  <Override PartName="/xl/worksheets/sheet176.xml" ContentType="application/vnd.openxmlformats-officedocument.spreadsheetml.worksheet+xml"/>
  <Override PartName="/xl/worksheets/sheet177.xml" ContentType="application/vnd.openxmlformats-officedocument.spreadsheetml.worksheet+xml"/>
  <Override PartName="/xl/worksheets/sheet178.xml" ContentType="application/vnd.openxmlformats-officedocument.spreadsheetml.worksheet+xml"/>
  <Override PartName="/xl/worksheets/sheet179.xml" ContentType="application/vnd.openxmlformats-officedocument.spreadsheetml.worksheet+xml"/>
  <Override PartName="/xl/worksheets/sheet180.xml" ContentType="application/vnd.openxmlformats-officedocument.spreadsheetml.worksheet+xml"/>
  <Override PartName="/xl/worksheets/sheet181.xml" ContentType="application/vnd.openxmlformats-officedocument.spreadsheetml.worksheet+xml"/>
  <Override PartName="/xl/worksheets/sheet182.xml" ContentType="application/vnd.openxmlformats-officedocument.spreadsheetml.worksheet+xml"/>
  <Override PartName="/xl/worksheets/sheet183.xml" ContentType="application/vnd.openxmlformats-officedocument.spreadsheetml.worksheet+xml"/>
  <Override PartName="/xl/worksheets/sheet184.xml" ContentType="application/vnd.openxmlformats-officedocument.spreadsheetml.worksheet+xml"/>
  <Override PartName="/xl/worksheets/sheet185.xml" ContentType="application/vnd.openxmlformats-officedocument.spreadsheetml.worksheet+xml"/>
  <Override PartName="/xl/worksheets/sheet186.xml" ContentType="application/vnd.openxmlformats-officedocument.spreadsheetml.worksheet+xml"/>
  <Override PartName="/xl/worksheets/sheet187.xml" ContentType="application/vnd.openxmlformats-officedocument.spreadsheetml.worksheet+xml"/>
  <Override PartName="/xl/worksheets/sheet188.xml" ContentType="application/vnd.openxmlformats-officedocument.spreadsheetml.worksheet+xml"/>
  <Override PartName="/xl/worksheets/sheet189.xml" ContentType="application/vnd.openxmlformats-officedocument.spreadsheetml.worksheet+xml"/>
  <Override PartName="/xl/worksheets/sheet190.xml" ContentType="application/vnd.openxmlformats-officedocument.spreadsheetml.worksheet+xml"/>
  <Override PartName="/xl/worksheets/sheet191.xml" ContentType="application/vnd.openxmlformats-officedocument.spreadsheetml.worksheet+xml"/>
  <Override PartName="/xl/worksheets/sheet192.xml" ContentType="application/vnd.openxmlformats-officedocument.spreadsheetml.worksheet+xml"/>
  <Override PartName="/xl/worksheets/sheet193.xml" ContentType="application/vnd.openxmlformats-officedocument.spreadsheetml.worksheet+xml"/>
  <Override PartName="/xl/worksheets/sheet194.xml" ContentType="application/vnd.openxmlformats-officedocument.spreadsheetml.worksheet+xml"/>
  <Override PartName="/xl/worksheets/sheet195.xml" ContentType="application/vnd.openxmlformats-officedocument.spreadsheetml.worksheet+xml"/>
  <Override PartName="/xl/worksheets/sheet196.xml" ContentType="application/vnd.openxmlformats-officedocument.spreadsheetml.worksheet+xml"/>
  <Override PartName="/xl/worksheets/sheet197.xml" ContentType="application/vnd.openxmlformats-officedocument.spreadsheetml.worksheet+xml"/>
  <Override PartName="/xl/worksheets/sheet198.xml" ContentType="application/vnd.openxmlformats-officedocument.spreadsheetml.worksheet+xml"/>
  <Override PartName="/xl/worksheets/sheet199.xml" ContentType="application/vnd.openxmlformats-officedocument.spreadsheetml.worksheet+xml"/>
  <Override PartName="/xl/worksheets/sheet200.xml" ContentType="application/vnd.openxmlformats-officedocument.spreadsheetml.worksheet+xml"/>
  <Override PartName="/xl/worksheets/sheet201.xml" ContentType="application/vnd.openxmlformats-officedocument.spreadsheetml.worksheet+xml"/>
  <Override PartName="/xl/worksheets/sheet202.xml" ContentType="application/vnd.openxmlformats-officedocument.spreadsheetml.worksheet+xml"/>
  <Override PartName="/xl/worksheets/sheet203.xml" ContentType="application/vnd.openxmlformats-officedocument.spreadsheetml.worksheet+xml"/>
  <Override PartName="/xl/worksheets/sheet204.xml" ContentType="application/vnd.openxmlformats-officedocument.spreadsheetml.worksheet+xml"/>
  <Override PartName="/xl/worksheets/sheet205.xml" ContentType="application/vnd.openxmlformats-officedocument.spreadsheetml.worksheet+xml"/>
  <Override PartName="/xl/worksheets/sheet206.xml" ContentType="application/vnd.openxmlformats-officedocument.spreadsheetml.worksheet+xml"/>
  <Override PartName="/xl/worksheets/sheet207.xml" ContentType="application/vnd.openxmlformats-officedocument.spreadsheetml.worksheet+xml"/>
  <Override PartName="/xl/worksheets/sheet208.xml" ContentType="application/vnd.openxmlformats-officedocument.spreadsheetml.worksheet+xml"/>
  <Override PartName="/xl/worksheets/sheet209.xml" ContentType="application/vnd.openxmlformats-officedocument.spreadsheetml.worksheet+xml"/>
  <Override PartName="/xl/worksheets/sheet210.xml" ContentType="application/vnd.openxmlformats-officedocument.spreadsheetml.worksheet+xml"/>
  <Override PartName="/xl/worksheets/sheet211.xml" ContentType="application/vnd.openxmlformats-officedocument.spreadsheetml.worksheet+xml"/>
  <Override PartName="/xl/worksheets/sheet212.xml" ContentType="application/vnd.openxmlformats-officedocument.spreadsheetml.worksheet+xml"/>
  <Override PartName="/xl/worksheets/sheet213.xml" ContentType="application/vnd.openxmlformats-officedocument.spreadsheetml.worksheet+xml"/>
  <Override PartName="/xl/worksheets/sheet214.xml" ContentType="application/vnd.openxmlformats-officedocument.spreadsheetml.worksheet+xml"/>
  <Override PartName="/xl/worksheets/sheet215.xml" ContentType="application/vnd.openxmlformats-officedocument.spreadsheetml.worksheet+xml"/>
  <Override PartName="/xl/worksheets/sheet216.xml" ContentType="application/vnd.openxmlformats-officedocument.spreadsheetml.worksheet+xml"/>
  <Override PartName="/xl/worksheets/sheet217.xml" ContentType="application/vnd.openxmlformats-officedocument.spreadsheetml.worksheet+xml"/>
  <Override PartName="/xl/worksheets/sheet218.xml" ContentType="application/vnd.openxmlformats-officedocument.spreadsheetml.worksheet+xml"/>
  <Override PartName="/xl/worksheets/sheet219.xml" ContentType="application/vnd.openxmlformats-officedocument.spreadsheetml.worksheet+xml"/>
  <Override PartName="/xl/worksheets/sheet220.xml" ContentType="application/vnd.openxmlformats-officedocument.spreadsheetml.worksheet+xml"/>
  <Override PartName="/xl/worksheets/sheet221.xml" ContentType="application/vnd.openxmlformats-officedocument.spreadsheetml.worksheet+xml"/>
  <Override PartName="/xl/worksheets/sheet222.xml" ContentType="application/vnd.openxmlformats-officedocument.spreadsheetml.worksheet+xml"/>
  <Override PartName="/xl/worksheets/sheet223.xml" ContentType="application/vnd.openxmlformats-officedocument.spreadsheetml.worksheet+xml"/>
  <Override PartName="/xl/worksheets/sheet224.xml" ContentType="application/vnd.openxmlformats-officedocument.spreadsheetml.worksheet+xml"/>
  <Override PartName="/xl/worksheets/sheet225.xml" ContentType="application/vnd.openxmlformats-officedocument.spreadsheetml.worksheet+xml"/>
  <Override PartName="/xl/worksheets/sheet226.xml" ContentType="application/vnd.openxmlformats-officedocument.spreadsheetml.worksheet+xml"/>
  <Override PartName="/xl/worksheets/sheet227.xml" ContentType="application/vnd.openxmlformats-officedocument.spreadsheetml.worksheet+xml"/>
  <Override PartName="/xl/worksheets/sheet228.xml" ContentType="application/vnd.openxmlformats-officedocument.spreadsheetml.worksheet+xml"/>
  <Override PartName="/xl/worksheets/sheet229.xml" ContentType="application/vnd.openxmlformats-officedocument.spreadsheetml.worksheet+xml"/>
  <Override PartName="/xl/worksheets/sheet230.xml" ContentType="application/vnd.openxmlformats-officedocument.spreadsheetml.worksheet+xml"/>
  <Override PartName="/xl/worksheets/sheet231.xml" ContentType="application/vnd.openxmlformats-officedocument.spreadsheetml.worksheet+xml"/>
  <Override PartName="/xl/worksheets/sheet232.xml" ContentType="application/vnd.openxmlformats-officedocument.spreadsheetml.worksheet+xml"/>
  <Override PartName="/xl/worksheets/sheet233.xml" ContentType="application/vnd.openxmlformats-officedocument.spreadsheetml.worksheet+xml"/>
  <Override PartName="/xl/worksheets/sheet234.xml" ContentType="application/vnd.openxmlformats-officedocument.spreadsheetml.worksheet+xml"/>
  <Override PartName="/xl/worksheets/sheet235.xml" ContentType="application/vnd.openxmlformats-officedocument.spreadsheetml.worksheet+xml"/>
  <Override PartName="/xl/worksheets/sheet236.xml" ContentType="application/vnd.openxmlformats-officedocument.spreadsheetml.worksheet+xml"/>
  <Override PartName="/xl/worksheets/sheet237.xml" ContentType="application/vnd.openxmlformats-officedocument.spreadsheetml.worksheet+xml"/>
  <Override PartName="/xl/worksheets/sheet238.xml" ContentType="application/vnd.openxmlformats-officedocument.spreadsheetml.worksheet+xml"/>
  <Override PartName="/xl/worksheets/sheet239.xml" ContentType="application/vnd.openxmlformats-officedocument.spreadsheetml.worksheet+xml"/>
  <Override PartName="/xl/worksheets/sheet240.xml" ContentType="application/vnd.openxmlformats-officedocument.spreadsheetml.worksheet+xml"/>
  <Override PartName="/xl/worksheets/sheet241.xml" ContentType="application/vnd.openxmlformats-officedocument.spreadsheetml.worksheet+xml"/>
  <Override PartName="/xl/worksheets/sheet242.xml" ContentType="application/vnd.openxmlformats-officedocument.spreadsheetml.worksheet+xml"/>
  <Override PartName="/xl/worksheets/sheet243.xml" ContentType="application/vnd.openxmlformats-officedocument.spreadsheetml.worksheet+xml"/>
  <Override PartName="/xl/worksheets/sheet244.xml" ContentType="application/vnd.openxmlformats-officedocument.spreadsheetml.worksheet+xml"/>
  <Override PartName="/xl/worksheets/sheet245.xml" ContentType="application/vnd.openxmlformats-officedocument.spreadsheetml.worksheet+xml"/>
  <Override PartName="/xl/worksheets/sheet246.xml" ContentType="application/vnd.openxmlformats-officedocument.spreadsheetml.worksheet+xml"/>
  <Override PartName="/xl/worksheets/sheet247.xml" ContentType="application/vnd.openxmlformats-officedocument.spreadsheetml.worksheet+xml"/>
  <Override PartName="/xl/worksheets/sheet248.xml" ContentType="application/vnd.openxmlformats-officedocument.spreadsheetml.worksheet+xml"/>
  <Override PartName="/xl/worksheets/sheet249.xml" ContentType="application/vnd.openxmlformats-officedocument.spreadsheetml.worksheet+xml"/>
  <Override PartName="/xl/worksheets/sheet250.xml" ContentType="application/vnd.openxmlformats-officedocument.spreadsheetml.worksheet+xml"/>
  <Override PartName="/xl/worksheets/sheet251.xml" ContentType="application/vnd.openxmlformats-officedocument.spreadsheetml.worksheet+xml"/>
  <Override PartName="/xl/worksheets/sheet252.xml" ContentType="application/vnd.openxmlformats-officedocument.spreadsheetml.worksheet+xml"/>
  <Override PartName="/xl/worksheets/sheet253.xml" ContentType="application/vnd.openxmlformats-officedocument.spreadsheetml.worksheet+xml"/>
  <Override PartName="/xl/worksheets/sheet254.xml" ContentType="application/vnd.openxmlformats-officedocument.spreadsheetml.worksheet+xml"/>
  <Override PartName="/xl/worksheets/sheet255.xml" ContentType="application/vnd.openxmlformats-officedocument.spreadsheetml.worksheet+xml"/>
  <Override PartName="/xl/worksheets/sheet256.xml" ContentType="application/vnd.openxmlformats-officedocument.spreadsheetml.worksheet+xml"/>
  <Override PartName="/xl/worksheets/sheet257.xml" ContentType="application/vnd.openxmlformats-officedocument.spreadsheetml.worksheet+xml"/>
  <Override PartName="/xl/worksheets/sheet258.xml" ContentType="application/vnd.openxmlformats-officedocument.spreadsheetml.worksheet+xml"/>
  <Override PartName="/xl/worksheets/sheet259.xml" ContentType="application/vnd.openxmlformats-officedocument.spreadsheetml.worksheet+xml"/>
  <Override PartName="/xl/worksheets/sheet260.xml" ContentType="application/vnd.openxmlformats-officedocument.spreadsheetml.worksheet+xml"/>
  <Override PartName="/xl/worksheets/sheet261.xml" ContentType="application/vnd.openxmlformats-officedocument.spreadsheetml.worksheet+xml"/>
  <Override PartName="/xl/worksheets/sheet262.xml" ContentType="application/vnd.openxmlformats-officedocument.spreadsheetml.worksheet+xml"/>
  <Override PartName="/xl/worksheets/sheet263.xml" ContentType="application/vnd.openxmlformats-officedocument.spreadsheetml.worksheet+xml"/>
  <Override PartName="/xl/worksheets/sheet264.xml" ContentType="application/vnd.openxmlformats-officedocument.spreadsheetml.worksheet+xml"/>
  <Override PartName="/xl/worksheets/sheet265.xml" ContentType="application/vnd.openxmlformats-officedocument.spreadsheetml.worksheet+xml"/>
  <Override PartName="/xl/worksheets/sheet266.xml" ContentType="application/vnd.openxmlformats-officedocument.spreadsheetml.worksheet+xml"/>
  <Override PartName="/xl/worksheets/sheet267.xml" ContentType="application/vnd.openxmlformats-officedocument.spreadsheetml.worksheet+xml"/>
  <Override PartName="/xl/worksheets/sheet268.xml" ContentType="application/vnd.openxmlformats-officedocument.spreadsheetml.worksheet+xml"/>
  <Override PartName="/xl/worksheets/sheet269.xml" ContentType="application/vnd.openxmlformats-officedocument.spreadsheetml.worksheet+xml"/>
  <Override PartName="/xl/worksheets/sheet270.xml" ContentType="application/vnd.openxmlformats-officedocument.spreadsheetml.worksheet+xml"/>
  <Override PartName="/xl/worksheets/sheet271.xml" ContentType="application/vnd.openxmlformats-officedocument.spreadsheetml.worksheet+xml"/>
  <Override PartName="/xl/worksheets/sheet272.xml" ContentType="application/vnd.openxmlformats-officedocument.spreadsheetml.worksheet+xml"/>
  <Override PartName="/xl/worksheets/sheet273.xml" ContentType="application/vnd.openxmlformats-officedocument.spreadsheetml.worksheet+xml"/>
  <Override PartName="/xl/worksheets/sheet274.xml" ContentType="application/vnd.openxmlformats-officedocument.spreadsheetml.worksheet+xml"/>
  <Override PartName="/xl/worksheets/sheet275.xml" ContentType="application/vnd.openxmlformats-officedocument.spreadsheetml.worksheet+xml"/>
  <Override PartName="/xl/worksheets/sheet276.xml" ContentType="application/vnd.openxmlformats-officedocument.spreadsheetml.worksheet+xml"/>
  <Override PartName="/xl/worksheets/sheet277.xml" ContentType="application/vnd.openxmlformats-officedocument.spreadsheetml.worksheet+xml"/>
  <Override PartName="/xl/worksheets/sheet278.xml" ContentType="application/vnd.openxmlformats-officedocument.spreadsheetml.worksheet+xml"/>
  <Override PartName="/xl/worksheets/sheet279.xml" ContentType="application/vnd.openxmlformats-officedocument.spreadsheetml.worksheet+xml"/>
  <Override PartName="/xl/worksheets/sheet280.xml" ContentType="application/vnd.openxmlformats-officedocument.spreadsheetml.worksheet+xml"/>
  <Override PartName="/xl/worksheets/sheet281.xml" ContentType="application/vnd.openxmlformats-officedocument.spreadsheetml.worksheet+xml"/>
  <Override PartName="/xl/worksheets/sheet282.xml" ContentType="application/vnd.openxmlformats-officedocument.spreadsheetml.worksheet+xml"/>
  <Override PartName="/xl/worksheets/sheet283.xml" ContentType="application/vnd.openxmlformats-officedocument.spreadsheetml.worksheet+xml"/>
  <Override PartName="/xl/worksheets/sheet284.xml" ContentType="application/vnd.openxmlformats-officedocument.spreadsheetml.worksheet+xml"/>
  <Override PartName="/xl/worksheets/sheet285.xml" ContentType="application/vnd.openxmlformats-officedocument.spreadsheetml.worksheet+xml"/>
  <Override PartName="/xl/worksheets/sheet286.xml" ContentType="application/vnd.openxmlformats-officedocument.spreadsheetml.worksheet+xml"/>
  <Override PartName="/xl/worksheets/sheet287.xml" ContentType="application/vnd.openxmlformats-officedocument.spreadsheetml.worksheet+xml"/>
  <Override PartName="/xl/worksheets/sheet288.xml" ContentType="application/vnd.openxmlformats-officedocument.spreadsheetml.worksheet+xml"/>
  <Override PartName="/xl/worksheets/sheet289.xml" ContentType="application/vnd.openxmlformats-officedocument.spreadsheetml.worksheet+xml"/>
  <Override PartName="/xl/worksheets/sheet290.xml" ContentType="application/vnd.openxmlformats-officedocument.spreadsheetml.worksheet+xml"/>
  <Override PartName="/xl/worksheets/sheet291.xml" ContentType="application/vnd.openxmlformats-officedocument.spreadsheetml.worksheet+xml"/>
  <Override PartName="/xl/worksheets/sheet292.xml" ContentType="application/vnd.openxmlformats-officedocument.spreadsheetml.worksheet+xml"/>
  <Override PartName="/xl/worksheets/sheet293.xml" ContentType="application/vnd.openxmlformats-officedocument.spreadsheetml.worksheet+xml"/>
  <Override PartName="/xl/worksheets/sheet294.xml" ContentType="application/vnd.openxmlformats-officedocument.spreadsheetml.worksheet+xml"/>
  <Override PartName="/xl/worksheets/sheet295.xml" ContentType="application/vnd.openxmlformats-officedocument.spreadsheetml.worksheet+xml"/>
  <Override PartName="/xl/worksheets/sheet296.xml" ContentType="application/vnd.openxmlformats-officedocument.spreadsheetml.worksheet+xml"/>
  <Override PartName="/xl/worksheets/sheet297.xml" ContentType="application/vnd.openxmlformats-officedocument.spreadsheetml.worksheet+xml"/>
  <Override PartName="/xl/worksheets/sheet298.xml" ContentType="application/vnd.openxmlformats-officedocument.spreadsheetml.worksheet+xml"/>
  <Override PartName="/xl/worksheets/sheet299.xml" ContentType="application/vnd.openxmlformats-officedocument.spreadsheetml.worksheet+xml"/>
  <Override PartName="/xl/worksheets/sheet300.xml" ContentType="application/vnd.openxmlformats-officedocument.spreadsheetml.worksheet+xml"/>
  <Override PartName="/xl/worksheets/sheet301.xml" ContentType="application/vnd.openxmlformats-officedocument.spreadsheetml.worksheet+xml"/>
  <Override PartName="/xl/worksheets/sheet302.xml" ContentType="application/vnd.openxmlformats-officedocument.spreadsheetml.worksheet+xml"/>
  <Override PartName="/xl/worksheets/sheet303.xml" ContentType="application/vnd.openxmlformats-officedocument.spreadsheetml.worksheet+xml"/>
  <Override PartName="/xl/worksheets/sheet304.xml" ContentType="application/vnd.openxmlformats-officedocument.spreadsheetml.worksheet+xml"/>
  <Override PartName="/xl/worksheets/sheet305.xml" ContentType="application/vnd.openxmlformats-officedocument.spreadsheetml.worksheet+xml"/>
  <Override PartName="/xl/worksheets/sheet306.xml" ContentType="application/vnd.openxmlformats-officedocument.spreadsheetml.worksheet+xml"/>
  <Override PartName="/xl/worksheets/sheet307.xml" ContentType="application/vnd.openxmlformats-officedocument.spreadsheetml.worksheet+xml"/>
  <Override PartName="/xl/worksheets/sheet308.xml" ContentType="application/vnd.openxmlformats-officedocument.spreadsheetml.worksheet+xml"/>
  <Override PartName="/xl/worksheets/sheet309.xml" ContentType="application/vnd.openxmlformats-officedocument.spreadsheetml.worksheet+xml"/>
  <Override PartName="/xl/worksheets/sheet310.xml" ContentType="application/vnd.openxmlformats-officedocument.spreadsheetml.worksheet+xml"/>
  <Override PartName="/xl/worksheets/sheet311.xml" ContentType="application/vnd.openxmlformats-officedocument.spreadsheetml.worksheet+xml"/>
  <Override PartName="/xl/worksheets/sheet312.xml" ContentType="application/vnd.openxmlformats-officedocument.spreadsheetml.worksheet+xml"/>
  <Override PartName="/xl/worksheets/sheet313.xml" ContentType="application/vnd.openxmlformats-officedocument.spreadsheetml.worksheet+xml"/>
  <Override PartName="/xl/worksheets/sheet314.xml" ContentType="application/vnd.openxmlformats-officedocument.spreadsheetml.worksheet+xml"/>
  <Override PartName="/xl/worksheets/sheet315.xml" ContentType="application/vnd.openxmlformats-officedocument.spreadsheetml.worksheet+xml"/>
  <Override PartName="/xl/worksheets/sheet316.xml" ContentType="application/vnd.openxmlformats-officedocument.spreadsheetml.worksheet+xml"/>
  <Override PartName="/xl/worksheets/sheet317.xml" ContentType="application/vnd.openxmlformats-officedocument.spreadsheetml.worksheet+xml"/>
  <Override PartName="/xl/worksheets/sheet318.xml" ContentType="application/vnd.openxmlformats-officedocument.spreadsheetml.worksheet+xml"/>
  <Override PartName="/xl/worksheets/sheet319.xml" ContentType="application/vnd.openxmlformats-officedocument.spreadsheetml.worksheet+xml"/>
  <Override PartName="/xl/worksheets/sheet320.xml" ContentType="application/vnd.openxmlformats-officedocument.spreadsheetml.worksheet+xml"/>
  <Override PartName="/xl/worksheets/sheet321.xml" ContentType="application/vnd.openxmlformats-officedocument.spreadsheetml.worksheet+xml"/>
  <Override PartName="/xl/worksheets/sheet322.xml" ContentType="application/vnd.openxmlformats-officedocument.spreadsheetml.worksheet+xml"/>
  <Override PartName="/xl/worksheets/sheet323.xml" ContentType="application/vnd.openxmlformats-officedocument.spreadsheetml.worksheet+xml"/>
  <Override PartName="/xl/worksheets/sheet324.xml" ContentType="application/vnd.openxmlformats-officedocument.spreadsheetml.worksheet+xml"/>
  <Override PartName="/xl/worksheets/sheet325.xml" ContentType="application/vnd.openxmlformats-officedocument.spreadsheetml.worksheet+xml"/>
  <Override PartName="/xl/worksheets/sheet326.xml" ContentType="application/vnd.openxmlformats-officedocument.spreadsheetml.worksheet+xml"/>
  <Override PartName="/xl/worksheets/sheet327.xml" ContentType="application/vnd.openxmlformats-officedocument.spreadsheetml.worksheet+xml"/>
  <Override PartName="/xl/worksheets/sheet328.xml" ContentType="application/vnd.openxmlformats-officedocument.spreadsheetml.worksheet+xml"/>
  <Override PartName="/xl/worksheets/sheet329.xml" ContentType="application/vnd.openxmlformats-officedocument.spreadsheetml.worksheet+xml"/>
  <Override PartName="/xl/worksheets/sheet330.xml" ContentType="application/vnd.openxmlformats-officedocument.spreadsheetml.worksheet+xml"/>
  <Override PartName="/xl/worksheets/sheet331.xml" ContentType="application/vnd.openxmlformats-officedocument.spreadsheetml.worksheet+xml"/>
  <Override PartName="/xl/worksheets/sheet332.xml" ContentType="application/vnd.openxmlformats-officedocument.spreadsheetml.worksheet+xml"/>
  <Override PartName="/xl/worksheets/sheet333.xml" ContentType="application/vnd.openxmlformats-officedocument.spreadsheetml.worksheet+xml"/>
  <Override PartName="/xl/worksheets/sheet334.xml" ContentType="application/vnd.openxmlformats-officedocument.spreadsheetml.worksheet+xml"/>
  <Override PartName="/xl/worksheets/sheet335.xml" ContentType="application/vnd.openxmlformats-officedocument.spreadsheetml.worksheet+xml"/>
  <Override PartName="/xl/worksheets/sheet336.xml" ContentType="application/vnd.openxmlformats-officedocument.spreadsheetml.worksheet+xml"/>
  <Override PartName="/xl/worksheets/sheet337.xml" ContentType="application/vnd.openxmlformats-officedocument.spreadsheetml.worksheet+xml"/>
  <Override PartName="/xl/worksheets/sheet338.xml" ContentType="application/vnd.openxmlformats-officedocument.spreadsheetml.worksheet+xml"/>
  <Override PartName="/xl/worksheets/sheet339.xml" ContentType="application/vnd.openxmlformats-officedocument.spreadsheetml.worksheet+xml"/>
  <Override PartName="/xl/worksheets/sheet340.xml" ContentType="application/vnd.openxmlformats-officedocument.spreadsheetml.worksheet+xml"/>
  <Override PartName="/xl/worksheets/sheet341.xml" ContentType="application/vnd.openxmlformats-officedocument.spreadsheetml.worksheet+xml"/>
  <Override PartName="/xl/worksheets/sheet342.xml" ContentType="application/vnd.openxmlformats-officedocument.spreadsheetml.worksheet+xml"/>
  <Override PartName="/xl/worksheets/sheet343.xml" ContentType="application/vnd.openxmlformats-officedocument.spreadsheetml.worksheet+xml"/>
  <Override PartName="/xl/worksheets/sheet344.xml" ContentType="application/vnd.openxmlformats-officedocument.spreadsheetml.worksheet+xml"/>
  <Override PartName="/xl/worksheets/sheet345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omments1.xml" ContentType="application/vnd.openxmlformats-officedocument.spreadsheetml.comments+xml"/>
  <Override PartName="/xl/comments2.xml" ContentType="application/vnd.openxmlformats-officedocument.spreadsheetml.comments+xml"/>
  <Override PartName="/xl/comments3.xml" ContentType="application/vnd.openxmlformats-officedocument.spreadsheetml.comments+xml"/>
  <Override PartName="/xl/comments4.xml" ContentType="application/vnd.openxmlformats-officedocument.spreadsheetml.comments+xml"/>
  <Override PartName="/xl/comments5.xml" ContentType="application/vnd.openxmlformats-officedocument.spreadsheetml.comments+xml"/>
  <Override PartName="/xl/comments6.xml" ContentType="application/vnd.openxmlformats-officedocument.spreadsheetml.comments+xml"/>
  <Override PartName="/xl/comments7.xml" ContentType="application/vnd.openxmlformats-officedocument.spreadsheetml.comments+xml"/>
  <Override PartName="/xl/comments8.xml" ContentType="application/vnd.openxmlformats-officedocument.spreadsheetml.comments+xml"/>
  <Override PartName="/xl/comments9.xml" ContentType="application/vnd.openxmlformats-officedocument.spreadsheetml.comments+xml"/>
  <Override PartName="/xl/comments10.xml" ContentType="application/vnd.openxmlformats-officedocument.spreadsheetml.comments+xml"/>
  <Override PartName="/xl/comments11.xml" ContentType="application/vnd.openxmlformats-officedocument.spreadsheetml.comments+xml"/>
  <Override PartName="/xl/comments12.xml" ContentType="application/vnd.openxmlformats-officedocument.spreadsheetml.comments+xml"/>
  <Override PartName="/xl/comments13.xml" ContentType="application/vnd.openxmlformats-officedocument.spreadsheetml.comments+xml"/>
  <Override PartName="/xl/comments14.xml" ContentType="application/vnd.openxmlformats-officedocument.spreadsheetml.comments+xml"/>
  <Override PartName="/xl/comments15.xml" ContentType="application/vnd.openxmlformats-officedocument.spreadsheetml.comments+xml"/>
  <Override PartName="/xl/comments16.xml" ContentType="application/vnd.openxmlformats-officedocument.spreadsheetml.comments+xml"/>
  <Override PartName="/xl/comments17.xml" ContentType="application/vnd.openxmlformats-officedocument.spreadsheetml.comments+xml"/>
  <Override PartName="/xl/comments18.xml" ContentType="application/vnd.openxmlformats-officedocument.spreadsheetml.comments+xml"/>
  <Override PartName="/xl/comments19.xml" ContentType="application/vnd.openxmlformats-officedocument.spreadsheetml.comments+xml"/>
  <Override PartName="/xl/comments20.xml" ContentType="application/vnd.openxmlformats-officedocument.spreadsheetml.comments+xml"/>
  <Override PartName="/xl/comments21.xml" ContentType="application/vnd.openxmlformats-officedocument.spreadsheetml.comments+xml"/>
  <Override PartName="/xl/comments22.xml" ContentType="application/vnd.openxmlformats-officedocument.spreadsheetml.comments+xml"/>
  <Override PartName="/xl/comments23.xml" ContentType="application/vnd.openxmlformats-officedocument.spreadsheetml.comments+xml"/>
  <Override PartName="/xl/comments24.xml" ContentType="application/vnd.openxmlformats-officedocument.spreadsheetml.comments+xml"/>
  <Override PartName="/xl/comments25.xml" ContentType="application/vnd.openxmlformats-officedocument.spreadsheetml.comments+xml"/>
  <Override PartName="/xl/comments26.xml" ContentType="application/vnd.openxmlformats-officedocument.spreadsheetml.comments+xml"/>
  <Override PartName="/xl/comments27.xml" ContentType="application/vnd.openxmlformats-officedocument.spreadsheetml.comments+xml"/>
  <Override PartName="/xl/comments28.xml" ContentType="application/vnd.openxmlformats-officedocument.spreadsheetml.comments+xml"/>
  <Override PartName="/xl/comments29.xml" ContentType="application/vnd.openxmlformats-officedocument.spreadsheetml.comments+xml"/>
  <Override PartName="/xl/comments30.xml" ContentType="application/vnd.openxmlformats-officedocument.spreadsheetml.comments+xml"/>
  <Override PartName="/xl/comments31.xml" ContentType="application/vnd.openxmlformats-officedocument.spreadsheetml.comments+xml"/>
  <Override PartName="/xl/comments32.xml" ContentType="application/vnd.openxmlformats-officedocument.spreadsheetml.comments+xml"/>
  <Override PartName="/xl/comments33.xml" ContentType="application/vnd.openxmlformats-officedocument.spreadsheetml.comments+xml"/>
  <Override PartName="/xl/comments34.xml" ContentType="application/vnd.openxmlformats-officedocument.spreadsheetml.comments+xml"/>
  <Override PartName="/xl/comments35.xml" ContentType="application/vnd.openxmlformats-officedocument.spreadsheetml.comments+xml"/>
  <Override PartName="/xl/comments36.xml" ContentType="application/vnd.openxmlformats-officedocument.spreadsheetml.comments+xml"/>
  <Override PartName="/xl/comments37.xml" ContentType="application/vnd.openxmlformats-officedocument.spreadsheetml.comments+xml"/>
  <Override PartName="/xl/comments38.xml" ContentType="application/vnd.openxmlformats-officedocument.spreadsheetml.comments+xml"/>
  <Override PartName="/xl/comments39.xml" ContentType="application/vnd.openxmlformats-officedocument.spreadsheetml.comments+xml"/>
  <Override PartName="/xl/comments40.xml" ContentType="application/vnd.openxmlformats-officedocument.spreadsheetml.comments+xml"/>
  <Override PartName="/xl/comments41.xml" ContentType="application/vnd.openxmlformats-officedocument.spreadsheetml.comments+xml"/>
  <Override PartName="/xl/comments42.xml" ContentType="application/vnd.openxmlformats-officedocument.spreadsheetml.comments+xml"/>
  <Override PartName="/xl/comments43.xml" ContentType="application/vnd.openxmlformats-officedocument.spreadsheetml.comments+xml"/>
  <Override PartName="/xl/comments44.xml" ContentType="application/vnd.openxmlformats-officedocument.spreadsheetml.comments+xml"/>
  <Override PartName="/xl/comments45.xml" ContentType="application/vnd.openxmlformats-officedocument.spreadsheetml.comments+xml"/>
  <Override PartName="/xl/comments46.xml" ContentType="application/vnd.openxmlformats-officedocument.spreadsheetml.comments+xml"/>
  <Override PartName="/xl/comments47.xml" ContentType="application/vnd.openxmlformats-officedocument.spreadsheetml.comments+xml"/>
  <Override PartName="/xl/comments48.xml" ContentType="application/vnd.openxmlformats-officedocument.spreadsheetml.comments+xml"/>
  <Override PartName="/xl/comments49.xml" ContentType="application/vnd.openxmlformats-officedocument.spreadsheetml.comments+xml"/>
  <Override PartName="/xl/comments50.xml" ContentType="application/vnd.openxmlformats-officedocument.spreadsheetml.comments+xml"/>
  <Override PartName="/xl/comments51.xml" ContentType="application/vnd.openxmlformats-officedocument.spreadsheetml.comments+xml"/>
  <Override PartName="/xl/comments52.xml" ContentType="application/vnd.openxmlformats-officedocument.spreadsheetml.comments+xml"/>
  <Override PartName="/xl/comments53.xml" ContentType="application/vnd.openxmlformats-officedocument.spreadsheetml.comments+xml"/>
  <Override PartName="/xl/comments54.xml" ContentType="application/vnd.openxmlformats-officedocument.spreadsheetml.comments+xml"/>
  <Override PartName="/xl/comments55.xml" ContentType="application/vnd.openxmlformats-officedocument.spreadsheetml.comments+xml"/>
  <Override PartName="/xl/comments56.xml" ContentType="application/vnd.openxmlformats-officedocument.spreadsheetml.comments+xml"/>
  <Override PartName="/xl/comments57.xml" ContentType="application/vnd.openxmlformats-officedocument.spreadsheetml.comments+xml"/>
  <Override PartName="/xl/comments58.xml" ContentType="application/vnd.openxmlformats-officedocument.spreadsheetml.comments+xml"/>
  <Override PartName="/xl/comments59.xml" ContentType="application/vnd.openxmlformats-officedocument.spreadsheetml.comments+xml"/>
  <Override PartName="/xl/comments60.xml" ContentType="application/vnd.openxmlformats-officedocument.spreadsheetml.comments+xml"/>
  <Override PartName="/xl/comments61.xml" ContentType="application/vnd.openxmlformats-officedocument.spreadsheetml.comments+xml"/>
  <Override PartName="/xl/comments62.xml" ContentType="application/vnd.openxmlformats-officedocument.spreadsheetml.comments+xml"/>
  <Override PartName="/xl/comments63.xml" ContentType="application/vnd.openxmlformats-officedocument.spreadsheetml.comments+xml"/>
  <Override PartName="/xl/comments64.xml" ContentType="application/vnd.openxmlformats-officedocument.spreadsheetml.comments+xml"/>
  <Override PartName="/xl/comments65.xml" ContentType="application/vnd.openxmlformats-officedocument.spreadsheetml.comments+xml"/>
  <Override PartName="/xl/comments66.xml" ContentType="application/vnd.openxmlformats-officedocument.spreadsheetml.comments+xml"/>
  <Override PartName="/xl/comments67.xml" ContentType="application/vnd.openxmlformats-officedocument.spreadsheetml.comments+xml"/>
  <Override PartName="/xl/comments68.xml" ContentType="application/vnd.openxmlformats-officedocument.spreadsheetml.comment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332"/>
  <workbookPr showInkAnnotation="0" defaultThemeVersion="166925"/>
  <mc:AlternateContent xmlns:mc="http://schemas.openxmlformats.org/markup-compatibility/2006">
    <mc:Choice Requires="x15">
      <x15ac:absPath xmlns:x15ac="http://schemas.microsoft.com/office/spreadsheetml/2010/11/ac" url="D:\mangrove\Daily_Work\"/>
    </mc:Choice>
  </mc:AlternateContent>
  <xr:revisionPtr revIDLastSave="0" documentId="13_ncr:1_{3F314324-56C5-4D97-A92F-FFB0EA003273}" xr6:coauthVersionLast="47" xr6:coauthVersionMax="47" xr10:uidLastSave="{00000000-0000-0000-0000-000000000000}"/>
  <bookViews>
    <workbookView xWindow="-120" yWindow="-120" windowWidth="20730" windowHeight="11310" firstSheet="337" activeTab="341" xr2:uid="{00000000-000D-0000-FFFF-FFFF00000000}"/>
  </bookViews>
  <sheets>
    <sheet name="Sheet1" sheetId="1" r:id="rId1"/>
    <sheet name="24.12.23 " sheetId="11" r:id="rId2"/>
    <sheet name="25.12.23  (2)" sheetId="12" r:id="rId3"/>
    <sheet name="26.12.23  (3)" sheetId="13" r:id="rId4"/>
    <sheet name="27.12.23  (4)" sheetId="14" r:id="rId5"/>
    <sheet name="28.12.23  (5)" sheetId="15" r:id="rId6"/>
    <sheet name="30.12.23  (6)" sheetId="16" r:id="rId7"/>
    <sheet name="31.12.23  (7)" sheetId="17" r:id="rId8"/>
    <sheet name="01.01.24  (8)" sheetId="18" r:id="rId9"/>
    <sheet name="02.01.24  (9)" sheetId="19" r:id="rId10"/>
    <sheet name="03.01.24  (10)" sheetId="20" r:id="rId11"/>
    <sheet name="04.01.24  (11)" sheetId="21" r:id="rId12"/>
    <sheet name="05.01.24  (12)" sheetId="22" r:id="rId13"/>
    <sheet name="08.01.24  (13)" sheetId="23" r:id="rId14"/>
    <sheet name="09.01.24  (14)" sheetId="24" r:id="rId15"/>
    <sheet name="10.01.24  (15)" sheetId="25" r:id="rId16"/>
    <sheet name="11.01.24  (16)" sheetId="26" r:id="rId17"/>
    <sheet name="13.01.24  (17)" sheetId="27" r:id="rId18"/>
    <sheet name="14.01.24  (18)" sheetId="28" r:id="rId19"/>
    <sheet name="15.01.24  (19)" sheetId="29" r:id="rId20"/>
    <sheet name="16.01.24  (20)" sheetId="30" r:id="rId21"/>
    <sheet name="17.01.24  (21)" sheetId="31" r:id="rId22"/>
    <sheet name="18.01.24  (22)" sheetId="32" r:id="rId23"/>
    <sheet name="20.01.24  (23)" sheetId="33" r:id="rId24"/>
    <sheet name="21.01.24  (24)" sheetId="34" r:id="rId25"/>
    <sheet name="22.01.24  (25)" sheetId="35" r:id="rId26"/>
    <sheet name="23.01.24  (26)" sheetId="36" r:id="rId27"/>
    <sheet name="24.01.24  (27)" sheetId="37" r:id="rId28"/>
    <sheet name="25.01.24  (28)" sheetId="38" r:id="rId29"/>
    <sheet name="27.01.24  (29)" sheetId="39" r:id="rId30"/>
    <sheet name="28.01.24  (30)" sheetId="40" r:id="rId31"/>
    <sheet name="29.01.24  (31)" sheetId="41" r:id="rId32"/>
    <sheet name="30.01.24  (32)" sheetId="42" r:id="rId33"/>
    <sheet name="31.01.24  (33)" sheetId="43" r:id="rId34"/>
    <sheet name="01.02.24  (34)" sheetId="44" r:id="rId35"/>
    <sheet name="03.02.24  (35)" sheetId="45" r:id="rId36"/>
    <sheet name="04.02.24  (36)" sheetId="46" r:id="rId37"/>
    <sheet name="05.02.24  (37)" sheetId="47" r:id="rId38"/>
    <sheet name="06.02.24  (38)" sheetId="48" r:id="rId39"/>
    <sheet name="07.02.24  (39)" sheetId="49" r:id="rId40"/>
    <sheet name="08.02.24  (40)" sheetId="50" r:id="rId41"/>
    <sheet name="10.02.24  (41)" sheetId="51" r:id="rId42"/>
    <sheet name="11.02.24  (42)" sheetId="52" r:id="rId43"/>
    <sheet name="12.02.24  (43)" sheetId="53" r:id="rId44"/>
    <sheet name="13.02.24  (44)" sheetId="54" r:id="rId45"/>
    <sheet name="14.02.24  (45)" sheetId="55" r:id="rId46"/>
    <sheet name="15.02.24  (46)" sheetId="56" r:id="rId47"/>
    <sheet name="17.02.24  (47)" sheetId="57" r:id="rId48"/>
    <sheet name="18.02.24  (48)" sheetId="58" r:id="rId49"/>
    <sheet name="19.02.24  (49)" sheetId="59" r:id="rId50"/>
    <sheet name="20.02.24  (50)" sheetId="60" r:id="rId51"/>
    <sheet name="21.02.24  (51)" sheetId="61" r:id="rId52"/>
    <sheet name="22.02.24  (52)" sheetId="62" r:id="rId53"/>
    <sheet name="24.02.24  (53)" sheetId="63" r:id="rId54"/>
    <sheet name="25.02.24  (54)" sheetId="64" r:id="rId55"/>
    <sheet name="26.02.24  (55)" sheetId="65" r:id="rId56"/>
    <sheet name="27.02.24  (56)" sheetId="66" r:id="rId57"/>
    <sheet name="28.02.24  (57)" sheetId="67" r:id="rId58"/>
    <sheet name="29.02.24  (58)" sheetId="68" r:id="rId59"/>
    <sheet name="02.03.24  (59)" sheetId="69" r:id="rId60"/>
    <sheet name="03.03.24  (60)" sheetId="70" r:id="rId61"/>
    <sheet name="04.03.24  (61)" sheetId="71" r:id="rId62"/>
    <sheet name="05.03.24  (62)" sheetId="72" r:id="rId63"/>
    <sheet name="06.03.24  (63)" sheetId="73" r:id="rId64"/>
    <sheet name="07.03.24  (64)" sheetId="74" r:id="rId65"/>
    <sheet name="09.03.24  (65)" sheetId="75" r:id="rId66"/>
    <sheet name="10.03.24  (66)" sheetId="76" r:id="rId67"/>
    <sheet name="11.03.24  (67)" sheetId="77" r:id="rId68"/>
    <sheet name="12.03.24  (68)" sheetId="78" r:id="rId69"/>
    <sheet name="13.03.24  (69)" sheetId="79" r:id="rId70"/>
    <sheet name="14.03.24  (70)" sheetId="80" r:id="rId71"/>
    <sheet name="16.03.24  (71)" sheetId="81" r:id="rId72"/>
    <sheet name="17.03.24  (72)" sheetId="82" r:id="rId73"/>
    <sheet name="18.03.24  (73)" sheetId="83" r:id="rId74"/>
    <sheet name="19.03.24  (74)" sheetId="84" r:id="rId75"/>
    <sheet name="20.03.24  (75)" sheetId="85" r:id="rId76"/>
    <sheet name="21.03.24  (76)" sheetId="86" r:id="rId77"/>
    <sheet name="23.03.24  (77)" sheetId="87" r:id="rId78"/>
    <sheet name="24.03.24  (78)" sheetId="88" r:id="rId79"/>
    <sheet name="25.03.24  (79)" sheetId="89" r:id="rId80"/>
    <sheet name="26.03.24  (80)" sheetId="90" r:id="rId81"/>
    <sheet name="27.03.24  (81)" sheetId="91" r:id="rId82"/>
    <sheet name="28.03.24  (82)" sheetId="92" r:id="rId83"/>
    <sheet name="30.03.24  (83)" sheetId="93" r:id="rId84"/>
    <sheet name="31.03.24  (84)" sheetId="94" r:id="rId85"/>
    <sheet name="01.04.24  (85)" sheetId="95" r:id="rId86"/>
    <sheet name="02.04.24  (86)" sheetId="96" r:id="rId87"/>
    <sheet name="03.04.24  (87)" sheetId="97" r:id="rId88"/>
    <sheet name="04.04.24  (88)" sheetId="98" r:id="rId89"/>
    <sheet name="06.04.24  (89)" sheetId="99" r:id="rId90"/>
    <sheet name="07.04.24  (90)" sheetId="100" r:id="rId91"/>
    <sheet name="08.04.24  (91)" sheetId="101" r:id="rId92"/>
    <sheet name="09.04.24  (92)" sheetId="102" r:id="rId93"/>
    <sheet name="15.04.24  (93)" sheetId="103" r:id="rId94"/>
    <sheet name="16.04.24  (94)" sheetId="104" r:id="rId95"/>
    <sheet name="17.04.24  (95)" sheetId="105" r:id="rId96"/>
    <sheet name="18.04.24  (96)" sheetId="106" r:id="rId97"/>
    <sheet name="20.04.24  (97)" sheetId="107" r:id="rId98"/>
    <sheet name="21.04.24  (98)" sheetId="108" r:id="rId99"/>
    <sheet name="22.04.24  (99)" sheetId="109" r:id="rId100"/>
    <sheet name="23.04.24  (100)" sheetId="110" r:id="rId101"/>
    <sheet name="24.04.24  (101)" sheetId="111" r:id="rId102"/>
    <sheet name="25.04.24  (102)" sheetId="112" r:id="rId103"/>
    <sheet name="27.04.24  (103)" sheetId="113" r:id="rId104"/>
    <sheet name="28.04.24  (104)" sheetId="114" r:id="rId105"/>
    <sheet name="29.04.24  (105)" sheetId="115" r:id="rId106"/>
    <sheet name="30.04.24  (106)" sheetId="116" r:id="rId107"/>
    <sheet name="02.05.24  (107)" sheetId="117" r:id="rId108"/>
    <sheet name="04.05.24  (108)" sheetId="118" r:id="rId109"/>
    <sheet name="05.05.24  (109)" sheetId="119" r:id="rId110"/>
    <sheet name="06.05.24  (110)" sheetId="120" r:id="rId111"/>
    <sheet name="07.05.24  (111)" sheetId="121" r:id="rId112"/>
    <sheet name="09.05.24  (112)" sheetId="122" r:id="rId113"/>
    <sheet name="11.05.24  (113)" sheetId="123" r:id="rId114"/>
    <sheet name="12.05.24  (114)" sheetId="124" r:id="rId115"/>
    <sheet name="13.05.24  (115)" sheetId="125" r:id="rId116"/>
    <sheet name="14.05.24  (116)" sheetId="126" r:id="rId117"/>
    <sheet name="15.05.24  (117)" sheetId="127" r:id="rId118"/>
    <sheet name="16.05.24  (118)" sheetId="128" r:id="rId119"/>
    <sheet name="18.05.24  (119)" sheetId="129" r:id="rId120"/>
    <sheet name="19.05.24  (120)" sheetId="130" r:id="rId121"/>
    <sheet name="20.05.24  (121)" sheetId="131" r:id="rId122"/>
    <sheet name="21.05.24  (122)" sheetId="132" r:id="rId123"/>
    <sheet name="22.05.24  (123)" sheetId="133" r:id="rId124"/>
    <sheet name="23.05.24  (124)" sheetId="134" r:id="rId125"/>
    <sheet name="25.05.24  (125)" sheetId="135" r:id="rId126"/>
    <sheet name="26.05.24  (126)" sheetId="136" r:id="rId127"/>
    <sheet name="28.05.24  (127)" sheetId="137" r:id="rId128"/>
    <sheet name="29.05.24  (128)" sheetId="138" r:id="rId129"/>
    <sheet name="30.05.24  (129)" sheetId="139" r:id="rId130"/>
    <sheet name="01.06.24  (130)" sheetId="140" r:id="rId131"/>
    <sheet name="02.06.24  (131)" sheetId="141" r:id="rId132"/>
    <sheet name="03.06.24  (132)" sheetId="142" r:id="rId133"/>
    <sheet name="04.06.24  (133)" sheetId="143" r:id="rId134"/>
    <sheet name="05.06.24  (134)" sheetId="144" r:id="rId135"/>
    <sheet name="06.06.24  (135)" sheetId="145" r:id="rId136"/>
    <sheet name="08.06.24  (136)" sheetId="146" r:id="rId137"/>
    <sheet name="09.06.24  (137)" sheetId="147" r:id="rId138"/>
    <sheet name="10.06.24  (138)" sheetId="148" r:id="rId139"/>
    <sheet name="11.06.24  (139)" sheetId="149" r:id="rId140"/>
    <sheet name="12.06.24  (140)" sheetId="150" r:id="rId141"/>
    <sheet name="13.06.24  (141)" sheetId="151" r:id="rId142"/>
    <sheet name="15.06.24  (142)" sheetId="152" r:id="rId143"/>
    <sheet name="16.06.24  (143)" sheetId="153" r:id="rId144"/>
    <sheet name="22.06.24  (144)" sheetId="154" r:id="rId145"/>
    <sheet name="23.06.24  (145)" sheetId="155" r:id="rId146"/>
    <sheet name="24.06.24  (146)" sheetId="156" r:id="rId147"/>
    <sheet name="25.06.24  (147)" sheetId="157" r:id="rId148"/>
    <sheet name="26.06.24  (148)" sheetId="158" r:id="rId149"/>
    <sheet name="27.06.24  (149)" sheetId="159" r:id="rId150"/>
    <sheet name="29.06.24  (150)" sheetId="160" r:id="rId151"/>
    <sheet name="30.06.24  (151)" sheetId="162" r:id="rId152"/>
    <sheet name="01.07.24  (152)" sheetId="163" r:id="rId153"/>
    <sheet name="02.07.24  (153)" sheetId="164" r:id="rId154"/>
    <sheet name="03.07.24  (154)" sheetId="165" r:id="rId155"/>
    <sheet name="04.07.24  (155)" sheetId="166" r:id="rId156"/>
    <sheet name="06.07.24  (156)" sheetId="167" r:id="rId157"/>
    <sheet name="07.07.24  (157)" sheetId="168" r:id="rId158"/>
    <sheet name="08.07.24  (158)" sheetId="169" r:id="rId159"/>
    <sheet name="09.07.24  (159)" sheetId="170" r:id="rId160"/>
    <sheet name="10.07.24  (160)" sheetId="171" r:id="rId161"/>
    <sheet name="11.07.24  (161)" sheetId="172" r:id="rId162"/>
    <sheet name="13.07.24  (162)" sheetId="173" r:id="rId163"/>
    <sheet name="14.07.24  (163)" sheetId="174" r:id="rId164"/>
    <sheet name="15.07.24  (164)" sheetId="175" r:id="rId165"/>
    <sheet name="16.07.24  (165)" sheetId="176" r:id="rId166"/>
    <sheet name="17.07.24  (166)" sheetId="177" r:id="rId167"/>
    <sheet name="18.07.24  (167)" sheetId="178" r:id="rId168"/>
    <sheet name="22.07.24  (168)" sheetId="179" r:id="rId169"/>
    <sheet name="23.07.24  (169)" sheetId="180" r:id="rId170"/>
    <sheet name="24.07.24  (170)" sheetId="181" r:id="rId171"/>
    <sheet name="25.07.24  (171)" sheetId="182" r:id="rId172"/>
    <sheet name="27.07.24  (172)" sheetId="183" r:id="rId173"/>
    <sheet name="28.07.24  (173)" sheetId="184" r:id="rId174"/>
    <sheet name="29.07.24  (174)" sheetId="185" r:id="rId175"/>
    <sheet name="30.07.24  (175)" sheetId="186" r:id="rId176"/>
    <sheet name="31.07.24  (176)" sheetId="187" r:id="rId177"/>
    <sheet name="03.08.24  (177)" sheetId="188" r:id="rId178"/>
    <sheet name="04.08.24  (178)" sheetId="189" r:id="rId179"/>
    <sheet name="07.08.24  (179)" sheetId="190" r:id="rId180"/>
    <sheet name="08.08.24  (180)" sheetId="191" r:id="rId181"/>
    <sheet name="10.08.24  (181)" sheetId="192" r:id="rId182"/>
    <sheet name="11.08.24  (182)" sheetId="193" r:id="rId183"/>
    <sheet name="12.08.24  (183)" sheetId="194" r:id="rId184"/>
    <sheet name="13.08.24  (184)" sheetId="195" r:id="rId185"/>
    <sheet name="14.08.24  (185)" sheetId="196" r:id="rId186"/>
    <sheet name="17.08.24  (186)" sheetId="197" r:id="rId187"/>
    <sheet name="18.08.24  (187)" sheetId="198" r:id="rId188"/>
    <sheet name="19.08.24  (188)" sheetId="199" r:id="rId189"/>
    <sheet name="20.08.24  (189)" sheetId="200" r:id="rId190"/>
    <sheet name="21.08.24  (190)" sheetId="201" r:id="rId191"/>
    <sheet name="22.08.24  (191)" sheetId="202" r:id="rId192"/>
    <sheet name="24.08.24  (192)" sheetId="203" r:id="rId193"/>
    <sheet name="25.08.24  (193)" sheetId="204" r:id="rId194"/>
    <sheet name="26.08.24  (194)" sheetId="205" r:id="rId195"/>
    <sheet name="27.08.24  (195)" sheetId="206" r:id="rId196"/>
    <sheet name="28.08.24  (196)" sheetId="207" r:id="rId197"/>
    <sheet name="29.08.24  (197)" sheetId="208" r:id="rId198"/>
    <sheet name="31.08.24  (198)" sheetId="209" r:id="rId199"/>
    <sheet name="01.09.24  (199)" sheetId="210" r:id="rId200"/>
    <sheet name="02.09.24  (200)" sheetId="211" r:id="rId201"/>
    <sheet name="03.09.24  (201)" sheetId="212" r:id="rId202"/>
    <sheet name="04.09.24  (202)" sheetId="213" r:id="rId203"/>
    <sheet name="05.09.24  (203)" sheetId="214" r:id="rId204"/>
    <sheet name="07.09.24  (204)" sheetId="215" r:id="rId205"/>
    <sheet name="08.09.24  (205)" sheetId="216" r:id="rId206"/>
    <sheet name="09.09.24  (206)" sheetId="217" r:id="rId207"/>
    <sheet name="10.09.24  (207)" sheetId="218" r:id="rId208"/>
    <sheet name="11.09.24  (208)" sheetId="219" r:id="rId209"/>
    <sheet name="12.09.24  (209)" sheetId="220" r:id="rId210"/>
    <sheet name="14.09.24  (210)" sheetId="221" r:id="rId211"/>
    <sheet name="16.09.24  (211)" sheetId="222" r:id="rId212"/>
    <sheet name="17.09.24  (212)" sheetId="223" r:id="rId213"/>
    <sheet name="18.09.24  (213)" sheetId="224" r:id="rId214"/>
    <sheet name="19.09.24  (214)" sheetId="225" r:id="rId215"/>
    <sheet name="21.09.24  (215)" sheetId="226" r:id="rId216"/>
    <sheet name="22.09.24  (216)" sheetId="227" r:id="rId217"/>
    <sheet name="23.09.24  (217)" sheetId="228" r:id="rId218"/>
    <sheet name="24.09.24  (218)" sheetId="229" r:id="rId219"/>
    <sheet name="25.09.24  (219)" sheetId="230" r:id="rId220"/>
    <sheet name="26.09.24  (220)" sheetId="231" r:id="rId221"/>
    <sheet name="28.09.24  (221)" sheetId="232" r:id="rId222"/>
    <sheet name="29.09.24  (222)" sheetId="233" r:id="rId223"/>
    <sheet name="30.09.24  (223)" sheetId="234" r:id="rId224"/>
    <sheet name="01.10.24  (224)" sheetId="235" r:id="rId225"/>
    <sheet name="02.10.24  (225)" sheetId="236" r:id="rId226"/>
    <sheet name="03.10.24  (226)" sheetId="237" r:id="rId227"/>
    <sheet name="05.10.24  (227)" sheetId="238" r:id="rId228"/>
    <sheet name="06.10.24  (228)" sheetId="239" r:id="rId229"/>
    <sheet name="07.10.24  (229)" sheetId="240" r:id="rId230"/>
    <sheet name="08.10.24  (230)" sheetId="241" r:id="rId231"/>
    <sheet name="09.10.24  (231)" sheetId="242" r:id="rId232"/>
    <sheet name="10.10.24  (232)" sheetId="243" r:id="rId233"/>
    <sheet name="12.10.24  (233)" sheetId="244" r:id="rId234"/>
    <sheet name="14.10.24  (234)" sheetId="245" r:id="rId235"/>
    <sheet name="15.10.24  (235)" sheetId="246" r:id="rId236"/>
    <sheet name="16.10.24  (236)" sheetId="247" r:id="rId237"/>
    <sheet name="17.10.24  (237)" sheetId="248" r:id="rId238"/>
    <sheet name="19.10.24  (238)" sheetId="249" r:id="rId239"/>
    <sheet name="20.10.24  (239)" sheetId="250" r:id="rId240"/>
    <sheet name="21.10.24  (240)" sheetId="251" r:id="rId241"/>
    <sheet name="22.10.24  (241)" sheetId="252" r:id="rId242"/>
    <sheet name="23.10.24  (242)" sheetId="253" r:id="rId243"/>
    <sheet name="24.10.24  (243)" sheetId="254" r:id="rId244"/>
    <sheet name="26.10.24  (244)" sheetId="255" r:id="rId245"/>
    <sheet name="27.10.24  (245)" sheetId="256" r:id="rId246"/>
    <sheet name="28.10.24  (246)" sheetId="257" r:id="rId247"/>
    <sheet name="29.10.24  (247)" sheetId="258" r:id="rId248"/>
    <sheet name="30.10.24  (248)" sheetId="259" r:id="rId249"/>
    <sheet name="31.10.24  (249)" sheetId="260" r:id="rId250"/>
    <sheet name="02.11.24  (250)" sheetId="261" r:id="rId251"/>
    <sheet name="03.11.24  (251)" sheetId="262" r:id="rId252"/>
    <sheet name="04.11.24  (252)" sheetId="263" r:id="rId253"/>
    <sheet name="05.11.24  (253)" sheetId="264" r:id="rId254"/>
    <sheet name="06.11.24  (254)" sheetId="265" r:id="rId255"/>
    <sheet name="07.11.24  (255)" sheetId="266" r:id="rId256"/>
    <sheet name="09.11.24  (256)" sheetId="267" r:id="rId257"/>
    <sheet name="10.11.24  (257)" sheetId="268" r:id="rId258"/>
    <sheet name="11.11.24  (258)" sheetId="269" r:id="rId259"/>
    <sheet name="12.11.24  (259)" sheetId="270" r:id="rId260"/>
    <sheet name="13.11.24  (260)" sheetId="271" r:id="rId261"/>
    <sheet name="14.11.24  (261)" sheetId="272" r:id="rId262"/>
    <sheet name="16.11.24  (262)" sheetId="273" r:id="rId263"/>
    <sheet name="17.11.24  (263)" sheetId="274" r:id="rId264"/>
    <sheet name="18.11.24  (264)" sheetId="275" r:id="rId265"/>
    <sheet name="19.11.24  (265)" sheetId="276" r:id="rId266"/>
    <sheet name="20.11.24  (266)" sheetId="278" r:id="rId267"/>
    <sheet name="21.11.24  (267)" sheetId="279" r:id="rId268"/>
    <sheet name="23.11.24  (268)" sheetId="280" r:id="rId269"/>
    <sheet name="24.11.24  (269)" sheetId="281" r:id="rId270"/>
    <sheet name="25.11.24  (270)" sheetId="282" r:id="rId271"/>
    <sheet name="26.11.24  (271)" sheetId="283" r:id="rId272"/>
    <sheet name="27.11.24  (272)" sheetId="284" r:id="rId273"/>
    <sheet name="28.11.24  (273)" sheetId="285" r:id="rId274"/>
    <sheet name="30.11.24  (274)" sheetId="286" r:id="rId275"/>
    <sheet name="01.12.24  (275)" sheetId="287" r:id="rId276"/>
    <sheet name="02.12.24  (276)" sheetId="288" r:id="rId277"/>
    <sheet name="03.12.24  (277)" sheetId="289" r:id="rId278"/>
    <sheet name="04.12.24  (278)" sheetId="290" r:id="rId279"/>
    <sheet name="05.12.24  (279)" sheetId="291" r:id="rId280"/>
    <sheet name="07.12.24  (280)" sheetId="292" r:id="rId281"/>
    <sheet name="08.12.24  (281)" sheetId="293" r:id="rId282"/>
    <sheet name="09.12.24  (282)" sheetId="294" r:id="rId283"/>
    <sheet name="10.12.24  (283)" sheetId="295" r:id="rId284"/>
    <sheet name="11.12.24  (284)" sheetId="296" r:id="rId285"/>
    <sheet name="12.12.24  (285)" sheetId="297" r:id="rId286"/>
    <sheet name="14.12.24  (286)" sheetId="298" r:id="rId287"/>
    <sheet name="15.12.24  (287)" sheetId="299" r:id="rId288"/>
    <sheet name="16.12.24  (288)" sheetId="300" r:id="rId289"/>
    <sheet name="17.12.24  (289)" sheetId="301" r:id="rId290"/>
    <sheet name="18.12.24  (290)" sheetId="302" r:id="rId291"/>
    <sheet name="19.12.24  (291)" sheetId="303" r:id="rId292"/>
    <sheet name="21.12.24  (292)" sheetId="304" r:id="rId293"/>
    <sheet name="22.12.24  (293)" sheetId="305" r:id="rId294"/>
    <sheet name="23.12.24  (294)" sheetId="306" r:id="rId295"/>
    <sheet name="24.12.24  (295)" sheetId="307" r:id="rId296"/>
    <sheet name="25.12.24  (296)" sheetId="308" r:id="rId297"/>
    <sheet name="26.12.24  (297)" sheetId="309" r:id="rId298"/>
    <sheet name="28.12.24  (298)" sheetId="311" r:id="rId299"/>
    <sheet name="29.12.24  (299)" sheetId="312" r:id="rId300"/>
    <sheet name="30.12.24  (300)" sheetId="313" r:id="rId301"/>
    <sheet name="31.12.24  (301)" sheetId="317" r:id="rId302"/>
    <sheet name="01.01.25  (302)" sheetId="318" r:id="rId303"/>
    <sheet name="02.01.25  (303)" sheetId="319" r:id="rId304"/>
    <sheet name="04.01.25  (304)" sheetId="320" r:id="rId305"/>
    <sheet name="05.01.25  (305)" sheetId="321" r:id="rId306"/>
    <sheet name="06.01.25  (306)" sheetId="322" r:id="rId307"/>
    <sheet name="07.01.25  (307)" sheetId="323" r:id="rId308"/>
    <sheet name="08.01.25  (308)" sheetId="324" r:id="rId309"/>
    <sheet name="09.01.25  (309)" sheetId="325" r:id="rId310"/>
    <sheet name="11.01.25  (310)" sheetId="326" r:id="rId311"/>
    <sheet name="12.01.25  (311)" sheetId="327" r:id="rId312"/>
    <sheet name="13.01.25  (312)" sheetId="328" r:id="rId313"/>
    <sheet name="14.01.25  (313)" sheetId="329" r:id="rId314"/>
    <sheet name="15.01.25  (314)" sheetId="330" r:id="rId315"/>
    <sheet name="16.01.25  (315)" sheetId="331" r:id="rId316"/>
    <sheet name="18.01.25  (316)" sheetId="332" r:id="rId317"/>
    <sheet name="19.01.25  (317)" sheetId="333" r:id="rId318"/>
    <sheet name="20.01.25  (318)" sheetId="334" r:id="rId319"/>
    <sheet name="21.01.25  (319)" sheetId="335" r:id="rId320"/>
    <sheet name="22.01.25  (320)" sheetId="336" r:id="rId321"/>
    <sheet name="23.01.25  (321)" sheetId="338" r:id="rId322"/>
    <sheet name="25.01.25  (322)" sheetId="339" r:id="rId323"/>
    <sheet name="26.01.25  (323)" sheetId="340" r:id="rId324"/>
    <sheet name="27.01.25  (324)" sheetId="341" r:id="rId325"/>
    <sheet name="28.01.25  (325)" sheetId="342" r:id="rId326"/>
    <sheet name="29.01.25  (326)" sheetId="343" r:id="rId327"/>
    <sheet name="30.01.25  (327)" sheetId="344" r:id="rId328"/>
    <sheet name="01.02.25  (328)" sheetId="345" r:id="rId329"/>
    <sheet name="02.02.25  (329)" sheetId="346" r:id="rId330"/>
    <sheet name="03.02.25  (330)" sheetId="347" r:id="rId331"/>
    <sheet name="04.02.25  (331)" sheetId="348" r:id="rId332"/>
    <sheet name="05.02.25  (332)" sheetId="349" r:id="rId333"/>
    <sheet name="06.02.25  (333)" sheetId="350" r:id="rId334"/>
    <sheet name="08.02.25  (334)" sheetId="351" r:id="rId335"/>
    <sheet name="09.02.25  (335)" sheetId="352" r:id="rId336"/>
    <sheet name="10.02.25  (336)" sheetId="353" r:id="rId337"/>
    <sheet name="11.02.25  (337)" sheetId="354" r:id="rId338"/>
    <sheet name="12.02.25  (338)" sheetId="355" r:id="rId339"/>
    <sheet name="13.02.25  (339)" sheetId="356" r:id="rId340"/>
    <sheet name="15.02.25  (340)" sheetId="357" r:id="rId341"/>
    <sheet name="16.02.25  (341)" sheetId="358" r:id="rId342"/>
    <sheet name="17.02.25  (342)" sheetId="359" r:id="rId343"/>
    <sheet name="18.02.25  (343)" sheetId="361" r:id="rId344"/>
    <sheet name="19.02.25  (344)" sheetId="362" r:id="rId345"/>
  </sheet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V25" i="362" l="1"/>
  <c r="F22" i="362"/>
  <c r="S19" i="362"/>
  <c r="S20" i="362" s="1"/>
  <c r="Q19" i="362"/>
  <c r="Q20" i="362" s="1"/>
  <c r="P19" i="362"/>
  <c r="P20" i="362" s="1"/>
  <c r="M19" i="362"/>
  <c r="M20" i="362" s="1"/>
  <c r="L19" i="362"/>
  <c r="L20" i="362" s="1"/>
  <c r="J19" i="362"/>
  <c r="J20" i="362" s="1"/>
  <c r="H19" i="362"/>
  <c r="H20" i="362" s="1"/>
  <c r="O18" i="362"/>
  <c r="O19" i="362" s="1"/>
  <c r="O20" i="362" s="1"/>
  <c r="D18" i="362"/>
  <c r="D19" i="362" s="1"/>
  <c r="D20" i="362" s="1"/>
  <c r="X12" i="362"/>
  <c r="W12" i="362"/>
  <c r="K18" i="362" s="1"/>
  <c r="K19" i="362" s="1"/>
  <c r="K20" i="362" s="1"/>
  <c r="U12" i="362"/>
  <c r="I18" i="362" s="1"/>
  <c r="I19" i="362" s="1"/>
  <c r="I20" i="362" s="1"/>
  <c r="S12" i="362"/>
  <c r="Q12" i="362"/>
  <c r="P12" i="362"/>
  <c r="O12" i="362"/>
  <c r="N18" i="362" s="1"/>
  <c r="N19" i="362" s="1"/>
  <c r="N20" i="362" s="1"/>
  <c r="M12" i="362"/>
  <c r="K12" i="362"/>
  <c r="G18" i="362" s="1"/>
  <c r="G19" i="362" s="1"/>
  <c r="G20" i="362" s="1"/>
  <c r="I12" i="362"/>
  <c r="F18" i="362" s="1"/>
  <c r="F19" i="362" s="1"/>
  <c r="F20" i="362" s="1"/>
  <c r="G12" i="362"/>
  <c r="E18" i="362" s="1"/>
  <c r="E19" i="362" s="1"/>
  <c r="E20" i="362" s="1"/>
  <c r="E12" i="362"/>
  <c r="C12" i="362"/>
  <c r="B18" i="362" s="1"/>
  <c r="B19" i="362" s="1"/>
  <c r="B20" i="362" s="1"/>
  <c r="X11" i="362"/>
  <c r="V11" i="362"/>
  <c r="T11" i="362"/>
  <c r="R11" i="362"/>
  <c r="P11" i="362"/>
  <c r="N11" i="362"/>
  <c r="L11" i="362"/>
  <c r="J11" i="362"/>
  <c r="H11" i="362"/>
  <c r="F11" i="362"/>
  <c r="D11" i="362"/>
  <c r="Y11" i="362" s="1"/>
  <c r="X10" i="362"/>
  <c r="V10" i="362"/>
  <c r="T10" i="362"/>
  <c r="R10" i="362"/>
  <c r="P10" i="362"/>
  <c r="N10" i="362"/>
  <c r="L10" i="362"/>
  <c r="J10" i="362"/>
  <c r="H10" i="362"/>
  <c r="F10" i="362"/>
  <c r="D10" i="362"/>
  <c r="Y10" i="362" s="1"/>
  <c r="X9" i="362"/>
  <c r="V9" i="362"/>
  <c r="T9" i="362"/>
  <c r="R9" i="362"/>
  <c r="P9" i="362"/>
  <c r="N9" i="362"/>
  <c r="L9" i="362"/>
  <c r="J9" i="362"/>
  <c r="H9" i="362"/>
  <c r="F9" i="362"/>
  <c r="D9" i="362"/>
  <c r="X8" i="362"/>
  <c r="V8" i="362"/>
  <c r="T8" i="362"/>
  <c r="R8" i="362"/>
  <c r="P8" i="362"/>
  <c r="N8" i="362"/>
  <c r="L8" i="362"/>
  <c r="J8" i="362"/>
  <c r="H8" i="362"/>
  <c r="F8" i="362"/>
  <c r="D8" i="362"/>
  <c r="X7" i="362"/>
  <c r="V7" i="362"/>
  <c r="T7" i="362"/>
  <c r="R7" i="362"/>
  <c r="P7" i="362"/>
  <c r="N7" i="362"/>
  <c r="L7" i="362"/>
  <c r="J7" i="362"/>
  <c r="H7" i="362"/>
  <c r="F7" i="362"/>
  <c r="D7" i="362"/>
  <c r="X6" i="362"/>
  <c r="V6" i="362"/>
  <c r="V12" i="362" s="1"/>
  <c r="T6" i="362"/>
  <c r="R6" i="362"/>
  <c r="R12" i="362" s="1"/>
  <c r="P6" i="362"/>
  <c r="N6" i="362"/>
  <c r="N12" i="362" s="1"/>
  <c r="L6" i="362"/>
  <c r="J6" i="362"/>
  <c r="H6" i="362"/>
  <c r="H12" i="362" s="1"/>
  <c r="F6" i="362"/>
  <c r="F12" i="362" s="1"/>
  <c r="D6" i="362"/>
  <c r="J12" i="362" l="1"/>
  <c r="T12" i="362"/>
  <c r="L12" i="362"/>
  <c r="Y6" i="362"/>
  <c r="Y9" i="362"/>
  <c r="Y8" i="362"/>
  <c r="Y7" i="362"/>
  <c r="B21" i="362"/>
  <c r="D12" i="362"/>
  <c r="Y12" i="362" l="1"/>
  <c r="V16" i="362" s="1"/>
  <c r="V24" i="362" s="1"/>
  <c r="V25" i="361" l="1"/>
  <c r="F22" i="361"/>
  <c r="S19" i="361"/>
  <c r="S20" i="361" s="1"/>
  <c r="Q19" i="361"/>
  <c r="Q20" i="361" s="1"/>
  <c r="P19" i="361"/>
  <c r="P20" i="361" s="1"/>
  <c r="M19" i="361"/>
  <c r="M20" i="361" s="1"/>
  <c r="L19" i="361"/>
  <c r="L20" i="361" s="1"/>
  <c r="J19" i="361"/>
  <c r="J20" i="361" s="1"/>
  <c r="H19" i="361"/>
  <c r="H20" i="361" s="1"/>
  <c r="O18" i="361"/>
  <c r="O19" i="361" s="1"/>
  <c r="O20" i="361" s="1"/>
  <c r="D18" i="361"/>
  <c r="D19" i="361" s="1"/>
  <c r="D20" i="361" s="1"/>
  <c r="X12" i="361"/>
  <c r="W12" i="361"/>
  <c r="K18" i="361" s="1"/>
  <c r="K19" i="361" s="1"/>
  <c r="K20" i="361" s="1"/>
  <c r="U12" i="361"/>
  <c r="I18" i="361" s="1"/>
  <c r="I19" i="361" s="1"/>
  <c r="I20" i="361" s="1"/>
  <c r="S12" i="361"/>
  <c r="Q12" i="361"/>
  <c r="P12" i="361"/>
  <c r="O12" i="361"/>
  <c r="N18" i="361" s="1"/>
  <c r="N19" i="361" s="1"/>
  <c r="N20" i="361" s="1"/>
  <c r="N12" i="361"/>
  <c r="M12" i="361"/>
  <c r="K12" i="361"/>
  <c r="G18" i="361" s="1"/>
  <c r="G19" i="361" s="1"/>
  <c r="G20" i="361" s="1"/>
  <c r="I12" i="361"/>
  <c r="F18" i="361" s="1"/>
  <c r="F19" i="361" s="1"/>
  <c r="F20" i="361" s="1"/>
  <c r="G12" i="361"/>
  <c r="E18" i="361" s="1"/>
  <c r="E19" i="361" s="1"/>
  <c r="E20" i="361" s="1"/>
  <c r="F12" i="361"/>
  <c r="E12" i="361"/>
  <c r="C12" i="361"/>
  <c r="B18" i="361" s="1"/>
  <c r="B19" i="361" s="1"/>
  <c r="B20" i="361" s="1"/>
  <c r="X11" i="361"/>
  <c r="V11" i="361"/>
  <c r="T11" i="361"/>
  <c r="R11" i="361"/>
  <c r="P11" i="361"/>
  <c r="N11" i="361"/>
  <c r="L11" i="361"/>
  <c r="J11" i="361"/>
  <c r="H11" i="361"/>
  <c r="F11" i="361"/>
  <c r="D11" i="361"/>
  <c r="Y11" i="361" s="1"/>
  <c r="X10" i="361"/>
  <c r="V10" i="361"/>
  <c r="T10" i="361"/>
  <c r="R10" i="361"/>
  <c r="P10" i="361"/>
  <c r="N10" i="361"/>
  <c r="L10" i="361"/>
  <c r="J10" i="361"/>
  <c r="H10" i="361"/>
  <c r="F10" i="361"/>
  <c r="D10" i="361"/>
  <c r="Y10" i="361" s="1"/>
  <c r="X9" i="361"/>
  <c r="V9" i="361"/>
  <c r="T9" i="361"/>
  <c r="R9" i="361"/>
  <c r="P9" i="361"/>
  <c r="N9" i="361"/>
  <c r="L9" i="361"/>
  <c r="J9" i="361"/>
  <c r="H9" i="361"/>
  <c r="F9" i="361"/>
  <c r="D9" i="361"/>
  <c r="Y9" i="361" s="1"/>
  <c r="X8" i="361"/>
  <c r="V8" i="361"/>
  <c r="T8" i="361"/>
  <c r="R8" i="361"/>
  <c r="P8" i="361"/>
  <c r="N8" i="361"/>
  <c r="L8" i="361"/>
  <c r="J8" i="361"/>
  <c r="H8" i="361"/>
  <c r="F8" i="361"/>
  <c r="D8" i="361"/>
  <c r="X7" i="361"/>
  <c r="V7" i="361"/>
  <c r="T7" i="361"/>
  <c r="R7" i="361"/>
  <c r="P7" i="361"/>
  <c r="N7" i="361"/>
  <c r="L7" i="361"/>
  <c r="J7" i="361"/>
  <c r="H7" i="361"/>
  <c r="F7" i="361"/>
  <c r="D7" i="361"/>
  <c r="X6" i="361"/>
  <c r="V6" i="361"/>
  <c r="T6" i="361"/>
  <c r="R6" i="361"/>
  <c r="R12" i="361" s="1"/>
  <c r="P6" i="361"/>
  <c r="N6" i="361"/>
  <c r="L6" i="361"/>
  <c r="J6" i="361"/>
  <c r="H6" i="361"/>
  <c r="H12" i="361" s="1"/>
  <c r="F6" i="361"/>
  <c r="D6" i="361"/>
  <c r="L12" i="361" l="1"/>
  <c r="V12" i="361"/>
  <c r="T12" i="361"/>
  <c r="Y8" i="361"/>
  <c r="J12" i="361"/>
  <c r="Y7" i="361"/>
  <c r="Y6" i="361"/>
  <c r="B21" i="361"/>
  <c r="D12" i="361"/>
  <c r="V25" i="359"/>
  <c r="F22" i="359"/>
  <c r="S19" i="359"/>
  <c r="S20" i="359" s="1"/>
  <c r="Q19" i="359"/>
  <c r="Q20" i="359" s="1"/>
  <c r="P19" i="359"/>
  <c r="P20" i="359" s="1"/>
  <c r="M19" i="359"/>
  <c r="M20" i="359" s="1"/>
  <c r="L19" i="359"/>
  <c r="L20" i="359" s="1"/>
  <c r="J19" i="359"/>
  <c r="J20" i="359" s="1"/>
  <c r="H19" i="359"/>
  <c r="H20" i="359" s="1"/>
  <c r="N18" i="359"/>
  <c r="N19" i="359" s="1"/>
  <c r="N20" i="359" s="1"/>
  <c r="D18" i="359"/>
  <c r="D19" i="359" s="1"/>
  <c r="D20" i="359" s="1"/>
  <c r="X12" i="359"/>
  <c r="W12" i="359"/>
  <c r="K18" i="359" s="1"/>
  <c r="K19" i="359" s="1"/>
  <c r="K20" i="359" s="1"/>
  <c r="U12" i="359"/>
  <c r="I18" i="359" s="1"/>
  <c r="I19" i="359" s="1"/>
  <c r="I20" i="359" s="1"/>
  <c r="S12" i="359"/>
  <c r="Q12" i="359"/>
  <c r="O18" i="359" s="1"/>
  <c r="O19" i="359" s="1"/>
  <c r="O20" i="359" s="1"/>
  <c r="P12" i="359"/>
  <c r="O12" i="359"/>
  <c r="M12" i="359"/>
  <c r="K12" i="359"/>
  <c r="G18" i="359" s="1"/>
  <c r="G19" i="359" s="1"/>
  <c r="G20" i="359" s="1"/>
  <c r="I12" i="359"/>
  <c r="F18" i="359" s="1"/>
  <c r="F19" i="359" s="1"/>
  <c r="F20" i="359" s="1"/>
  <c r="G12" i="359"/>
  <c r="E18" i="359" s="1"/>
  <c r="E19" i="359" s="1"/>
  <c r="E20" i="359" s="1"/>
  <c r="E12" i="359"/>
  <c r="C12" i="359"/>
  <c r="B18" i="359" s="1"/>
  <c r="B19" i="359" s="1"/>
  <c r="B20" i="359" s="1"/>
  <c r="X11" i="359"/>
  <c r="V11" i="359"/>
  <c r="T11" i="359"/>
  <c r="R11" i="359"/>
  <c r="P11" i="359"/>
  <c r="N11" i="359"/>
  <c r="L11" i="359"/>
  <c r="J11" i="359"/>
  <c r="H11" i="359"/>
  <c r="F11" i="359"/>
  <c r="Y11" i="359" s="1"/>
  <c r="D11" i="359"/>
  <c r="X10" i="359"/>
  <c r="V10" i="359"/>
  <c r="T10" i="359"/>
  <c r="R10" i="359"/>
  <c r="P10" i="359"/>
  <c r="N10" i="359"/>
  <c r="L10" i="359"/>
  <c r="J10" i="359"/>
  <c r="H10" i="359"/>
  <c r="F10" i="359"/>
  <c r="Y10" i="359" s="1"/>
  <c r="D10" i="359"/>
  <c r="X9" i="359"/>
  <c r="V9" i="359"/>
  <c r="T9" i="359"/>
  <c r="R9" i="359"/>
  <c r="P9" i="359"/>
  <c r="N9" i="359"/>
  <c r="L9" i="359"/>
  <c r="J9" i="359"/>
  <c r="H9" i="359"/>
  <c r="F9" i="359"/>
  <c r="D9" i="359"/>
  <c r="X8" i="359"/>
  <c r="V8" i="359"/>
  <c r="T8" i="359"/>
  <c r="R8" i="359"/>
  <c r="P8" i="359"/>
  <c r="N8" i="359"/>
  <c r="L8" i="359"/>
  <c r="J8" i="359"/>
  <c r="H8" i="359"/>
  <c r="F8" i="359"/>
  <c r="D8" i="359"/>
  <c r="X7" i="359"/>
  <c r="V7" i="359"/>
  <c r="T7" i="359"/>
  <c r="T12" i="359" s="1"/>
  <c r="R7" i="359"/>
  <c r="P7" i="359"/>
  <c r="N7" i="359"/>
  <c r="L7" i="359"/>
  <c r="J7" i="359"/>
  <c r="H7" i="359"/>
  <c r="F7" i="359"/>
  <c r="D7" i="359"/>
  <c r="X6" i="359"/>
  <c r="V6" i="359"/>
  <c r="T6" i="359"/>
  <c r="R6" i="359"/>
  <c r="R12" i="359" s="1"/>
  <c r="P6" i="359"/>
  <c r="N6" i="359"/>
  <c r="N12" i="359" s="1"/>
  <c r="L6" i="359"/>
  <c r="J6" i="359"/>
  <c r="H6" i="359"/>
  <c r="F6" i="359"/>
  <c r="F12" i="359" s="1"/>
  <c r="D6" i="359"/>
  <c r="V25" i="358"/>
  <c r="F22" i="358"/>
  <c r="S19" i="358"/>
  <c r="S20" i="358" s="1"/>
  <c r="Q19" i="358"/>
  <c r="Q20" i="358" s="1"/>
  <c r="P19" i="358"/>
  <c r="P20" i="358" s="1"/>
  <c r="M19" i="358"/>
  <c r="M20" i="358" s="1"/>
  <c r="L19" i="358"/>
  <c r="L20" i="358" s="1"/>
  <c r="J19" i="358"/>
  <c r="J20" i="358" s="1"/>
  <c r="H19" i="358"/>
  <c r="H20" i="358" s="1"/>
  <c r="O18" i="358"/>
  <c r="O19" i="358" s="1"/>
  <c r="O20" i="358" s="1"/>
  <c r="D18" i="358"/>
  <c r="D19" i="358" s="1"/>
  <c r="D20" i="358" s="1"/>
  <c r="X12" i="358"/>
  <c r="W12" i="358"/>
  <c r="K18" i="358" s="1"/>
  <c r="K19" i="358" s="1"/>
  <c r="K20" i="358" s="1"/>
  <c r="U12" i="358"/>
  <c r="I18" i="358" s="1"/>
  <c r="I19" i="358" s="1"/>
  <c r="I20" i="358" s="1"/>
  <c r="S12" i="358"/>
  <c r="Q12" i="358"/>
  <c r="P12" i="358"/>
  <c r="O12" i="358"/>
  <c r="N18" i="358" s="1"/>
  <c r="N19" i="358" s="1"/>
  <c r="N20" i="358" s="1"/>
  <c r="M12" i="358"/>
  <c r="K12" i="358"/>
  <c r="G18" i="358" s="1"/>
  <c r="G19" i="358" s="1"/>
  <c r="G20" i="358" s="1"/>
  <c r="I12" i="358"/>
  <c r="F18" i="358" s="1"/>
  <c r="F19" i="358" s="1"/>
  <c r="F20" i="358" s="1"/>
  <c r="G12" i="358"/>
  <c r="E18" i="358" s="1"/>
  <c r="E19" i="358" s="1"/>
  <c r="E20" i="358" s="1"/>
  <c r="E12" i="358"/>
  <c r="C12" i="358"/>
  <c r="B18" i="358" s="1"/>
  <c r="B19" i="358" s="1"/>
  <c r="B20" i="358" s="1"/>
  <c r="X11" i="358"/>
  <c r="V11" i="358"/>
  <c r="T11" i="358"/>
  <c r="R11" i="358"/>
  <c r="P11" i="358"/>
  <c r="N11" i="358"/>
  <c r="L11" i="358"/>
  <c r="J11" i="358"/>
  <c r="H11" i="358"/>
  <c r="F11" i="358"/>
  <c r="D11" i="358"/>
  <c r="Y11" i="358" s="1"/>
  <c r="X10" i="358"/>
  <c r="V10" i="358"/>
  <c r="T10" i="358"/>
  <c r="R10" i="358"/>
  <c r="P10" i="358"/>
  <c r="N10" i="358"/>
  <c r="L10" i="358"/>
  <c r="J10" i="358"/>
  <c r="H10" i="358"/>
  <c r="F10" i="358"/>
  <c r="D10" i="358"/>
  <c r="X9" i="358"/>
  <c r="V9" i="358"/>
  <c r="T9" i="358"/>
  <c r="R9" i="358"/>
  <c r="P9" i="358"/>
  <c r="N9" i="358"/>
  <c r="L9" i="358"/>
  <c r="J9" i="358"/>
  <c r="H9" i="358"/>
  <c r="F9" i="358"/>
  <c r="D9" i="358"/>
  <c r="X8" i="358"/>
  <c r="V8" i="358"/>
  <c r="T8" i="358"/>
  <c r="R8" i="358"/>
  <c r="P8" i="358"/>
  <c r="N8" i="358"/>
  <c r="L8" i="358"/>
  <c r="J8" i="358"/>
  <c r="H8" i="358"/>
  <c r="F8" i="358"/>
  <c r="D8" i="358"/>
  <c r="X7" i="358"/>
  <c r="V7" i="358"/>
  <c r="T7" i="358"/>
  <c r="R7" i="358"/>
  <c r="P7" i="358"/>
  <c r="N7" i="358"/>
  <c r="L7" i="358"/>
  <c r="J7" i="358"/>
  <c r="H7" i="358"/>
  <c r="F7" i="358"/>
  <c r="D7" i="358"/>
  <c r="X6" i="358"/>
  <c r="V6" i="358"/>
  <c r="T6" i="358"/>
  <c r="T12" i="358" s="1"/>
  <c r="R6" i="358"/>
  <c r="R12" i="358" s="1"/>
  <c r="P6" i="358"/>
  <c r="N6" i="358"/>
  <c r="N12" i="358" s="1"/>
  <c r="L6" i="358"/>
  <c r="J6" i="358"/>
  <c r="H6" i="358"/>
  <c r="F6" i="358"/>
  <c r="F12" i="358" s="1"/>
  <c r="D6" i="358"/>
  <c r="Y12" i="361" l="1"/>
  <c r="V16" i="361" s="1"/>
  <c r="V24" i="361" s="1"/>
  <c r="L12" i="359"/>
  <c r="J12" i="359"/>
  <c r="H12" i="359"/>
  <c r="D12" i="359"/>
  <c r="Y12" i="359" s="1"/>
  <c r="V16" i="359" s="1"/>
  <c r="V24" i="359" s="1"/>
  <c r="V12" i="359"/>
  <c r="Y9" i="359"/>
  <c r="Y7" i="359"/>
  <c r="Y8" i="359"/>
  <c r="B21" i="359"/>
  <c r="Y6" i="359"/>
  <c r="J12" i="358"/>
  <c r="H12" i="358"/>
  <c r="V12" i="358"/>
  <c r="L12" i="358"/>
  <c r="Y6" i="358"/>
  <c r="Y10" i="358"/>
  <c r="Y9" i="358"/>
  <c r="Y8" i="358"/>
  <c r="Y7" i="358"/>
  <c r="B21" i="358"/>
  <c r="D12" i="358"/>
  <c r="Y12" i="358" l="1"/>
  <c r="V16" i="358" s="1"/>
  <c r="V24" i="358" s="1"/>
  <c r="V25" i="357" l="1"/>
  <c r="F22" i="357"/>
  <c r="S19" i="357"/>
  <c r="S20" i="357" s="1"/>
  <c r="Q19" i="357"/>
  <c r="Q20" i="357" s="1"/>
  <c r="P19" i="357"/>
  <c r="P20" i="357" s="1"/>
  <c r="M19" i="357"/>
  <c r="M20" i="357" s="1"/>
  <c r="L19" i="357"/>
  <c r="L20" i="357" s="1"/>
  <c r="J19" i="357"/>
  <c r="J20" i="357" s="1"/>
  <c r="H19" i="357"/>
  <c r="H20" i="357" s="1"/>
  <c r="N18" i="357"/>
  <c r="N19" i="357" s="1"/>
  <c r="N20" i="357" s="1"/>
  <c r="K18" i="357"/>
  <c r="K19" i="357" s="1"/>
  <c r="K20" i="357" s="1"/>
  <c r="W12" i="357"/>
  <c r="U12" i="357"/>
  <c r="I18" i="357" s="1"/>
  <c r="I19" i="357" s="1"/>
  <c r="I20" i="357" s="1"/>
  <c r="S12" i="357"/>
  <c r="Q12" i="357"/>
  <c r="O18" i="357" s="1"/>
  <c r="O19" i="357" s="1"/>
  <c r="O20" i="357" s="1"/>
  <c r="O12" i="357"/>
  <c r="N12" i="357"/>
  <c r="M12" i="357"/>
  <c r="K12" i="357"/>
  <c r="G18" i="357" s="1"/>
  <c r="G19" i="357" s="1"/>
  <c r="G20" i="357" s="1"/>
  <c r="I12" i="357"/>
  <c r="F18" i="357" s="1"/>
  <c r="F19" i="357" s="1"/>
  <c r="F20" i="357" s="1"/>
  <c r="G12" i="357"/>
  <c r="E18" i="357" s="1"/>
  <c r="E19" i="357" s="1"/>
  <c r="E20" i="357" s="1"/>
  <c r="F12" i="357"/>
  <c r="E12" i="357"/>
  <c r="D18" i="357" s="1"/>
  <c r="D19" i="357" s="1"/>
  <c r="D20" i="357" s="1"/>
  <c r="C12" i="357"/>
  <c r="B18" i="357" s="1"/>
  <c r="B19" i="357" s="1"/>
  <c r="B20" i="357" s="1"/>
  <c r="X11" i="357"/>
  <c r="V11" i="357"/>
  <c r="T11" i="357"/>
  <c r="R11" i="357"/>
  <c r="P11" i="357"/>
  <c r="N11" i="357"/>
  <c r="L11" i="357"/>
  <c r="J11" i="357"/>
  <c r="H11" i="357"/>
  <c r="Y11" i="357" s="1"/>
  <c r="F11" i="357"/>
  <c r="D11" i="357"/>
  <c r="X10" i="357"/>
  <c r="V10" i="357"/>
  <c r="T10" i="357"/>
  <c r="R10" i="357"/>
  <c r="P10" i="357"/>
  <c r="N10" i="357"/>
  <c r="L10" i="357"/>
  <c r="J10" i="357"/>
  <c r="H10" i="357"/>
  <c r="Y10" i="357" s="1"/>
  <c r="F10" i="357"/>
  <c r="D10" i="357"/>
  <c r="X9" i="357"/>
  <c r="V9" i="357"/>
  <c r="T9" i="357"/>
  <c r="R9" i="357"/>
  <c r="P9" i="357"/>
  <c r="N9" i="357"/>
  <c r="L9" i="357"/>
  <c r="J9" i="357"/>
  <c r="H9" i="357"/>
  <c r="F9" i="357"/>
  <c r="D9" i="357"/>
  <c r="X8" i="357"/>
  <c r="V8" i="357"/>
  <c r="T8" i="357"/>
  <c r="R8" i="357"/>
  <c r="P8" i="357"/>
  <c r="N8" i="357"/>
  <c r="L8" i="357"/>
  <c r="J8" i="357"/>
  <c r="H8" i="357"/>
  <c r="F8" i="357"/>
  <c r="D8" i="357"/>
  <c r="X7" i="357"/>
  <c r="V7" i="357"/>
  <c r="T7" i="357"/>
  <c r="R7" i="357"/>
  <c r="P7" i="357"/>
  <c r="N7" i="357"/>
  <c r="L7" i="357"/>
  <c r="J7" i="357"/>
  <c r="H7" i="357"/>
  <c r="F7" i="357"/>
  <c r="D7" i="357"/>
  <c r="X6" i="357"/>
  <c r="X12" i="357" s="1"/>
  <c r="V6" i="357"/>
  <c r="T6" i="357"/>
  <c r="T12" i="357" s="1"/>
  <c r="R6" i="357"/>
  <c r="R12" i="357" s="1"/>
  <c r="P6" i="357"/>
  <c r="P12" i="357" s="1"/>
  <c r="N6" i="357"/>
  <c r="L6" i="357"/>
  <c r="J6" i="357"/>
  <c r="H6" i="357"/>
  <c r="F6" i="357"/>
  <c r="D6" i="357"/>
  <c r="V25" i="356"/>
  <c r="F22" i="356"/>
  <c r="S19" i="356"/>
  <c r="S20" i="356" s="1"/>
  <c r="Q19" i="356"/>
  <c r="Q20" i="356" s="1"/>
  <c r="P19" i="356"/>
  <c r="P20" i="356" s="1"/>
  <c r="M19" i="356"/>
  <c r="M20" i="356" s="1"/>
  <c r="L19" i="356"/>
  <c r="L20" i="356" s="1"/>
  <c r="K19" i="356"/>
  <c r="K20" i="356" s="1"/>
  <c r="J19" i="356"/>
  <c r="J20" i="356" s="1"/>
  <c r="H19" i="356"/>
  <c r="H20" i="356" s="1"/>
  <c r="N18" i="356"/>
  <c r="N19" i="356" s="1"/>
  <c r="N20" i="356" s="1"/>
  <c r="K18" i="356"/>
  <c r="I18" i="356"/>
  <c r="I19" i="356" s="1"/>
  <c r="I20" i="356" s="1"/>
  <c r="D18" i="356"/>
  <c r="D19" i="356" s="1"/>
  <c r="D20" i="356" s="1"/>
  <c r="X12" i="356"/>
  <c r="W12" i="356"/>
  <c r="U12" i="356"/>
  <c r="S12" i="356"/>
  <c r="Q12" i="356"/>
  <c r="O18" i="356" s="1"/>
  <c r="O19" i="356" s="1"/>
  <c r="O20" i="356" s="1"/>
  <c r="P12" i="356"/>
  <c r="O12" i="356"/>
  <c r="M12" i="356"/>
  <c r="K12" i="356"/>
  <c r="G18" i="356" s="1"/>
  <c r="G19" i="356" s="1"/>
  <c r="G20" i="356" s="1"/>
  <c r="I12" i="356"/>
  <c r="F18" i="356" s="1"/>
  <c r="F19" i="356" s="1"/>
  <c r="F20" i="356" s="1"/>
  <c r="G12" i="356"/>
  <c r="E18" i="356" s="1"/>
  <c r="E19" i="356" s="1"/>
  <c r="E20" i="356" s="1"/>
  <c r="E12" i="356"/>
  <c r="C12" i="356"/>
  <c r="B18" i="356" s="1"/>
  <c r="B19" i="356" s="1"/>
  <c r="B20" i="356" s="1"/>
  <c r="X11" i="356"/>
  <c r="V11" i="356"/>
  <c r="T11" i="356"/>
  <c r="R11" i="356"/>
  <c r="P11" i="356"/>
  <c r="N11" i="356"/>
  <c r="L11" i="356"/>
  <c r="J11" i="356"/>
  <c r="H11" i="356"/>
  <c r="F11" i="356"/>
  <c r="Y11" i="356" s="1"/>
  <c r="D11" i="356"/>
  <c r="X10" i="356"/>
  <c r="V10" i="356"/>
  <c r="T10" i="356"/>
  <c r="R10" i="356"/>
  <c r="P10" i="356"/>
  <c r="N10" i="356"/>
  <c r="L10" i="356"/>
  <c r="J10" i="356"/>
  <c r="H10" i="356"/>
  <c r="F10" i="356"/>
  <c r="D10" i="356"/>
  <c r="X9" i="356"/>
  <c r="V9" i="356"/>
  <c r="T9" i="356"/>
  <c r="R9" i="356"/>
  <c r="P9" i="356"/>
  <c r="N9" i="356"/>
  <c r="L9" i="356"/>
  <c r="J9" i="356"/>
  <c r="H9" i="356"/>
  <c r="F9" i="356"/>
  <c r="D9" i="356"/>
  <c r="X8" i="356"/>
  <c r="V8" i="356"/>
  <c r="T8" i="356"/>
  <c r="R8" i="356"/>
  <c r="P8" i="356"/>
  <c r="N8" i="356"/>
  <c r="L8" i="356"/>
  <c r="L12" i="356" s="1"/>
  <c r="J8" i="356"/>
  <c r="H8" i="356"/>
  <c r="F8" i="356"/>
  <c r="D8" i="356"/>
  <c r="X7" i="356"/>
  <c r="V7" i="356"/>
  <c r="T7" i="356"/>
  <c r="R7" i="356"/>
  <c r="P7" i="356"/>
  <c r="N7" i="356"/>
  <c r="L7" i="356"/>
  <c r="J7" i="356"/>
  <c r="H7" i="356"/>
  <c r="H12" i="356" s="1"/>
  <c r="F7" i="356"/>
  <c r="D7" i="356"/>
  <c r="X6" i="356"/>
  <c r="V6" i="356"/>
  <c r="V12" i="356" s="1"/>
  <c r="T6" i="356"/>
  <c r="R6" i="356"/>
  <c r="R12" i="356" s="1"/>
  <c r="P6" i="356"/>
  <c r="N6" i="356"/>
  <c r="N12" i="356" s="1"/>
  <c r="L6" i="356"/>
  <c r="J6" i="356"/>
  <c r="H6" i="356"/>
  <c r="F6" i="356"/>
  <c r="F12" i="356" s="1"/>
  <c r="D6" i="356"/>
  <c r="V25" i="355"/>
  <c r="F22" i="355"/>
  <c r="S19" i="355"/>
  <c r="S20" i="355" s="1"/>
  <c r="Q19" i="355"/>
  <c r="Q20" i="355" s="1"/>
  <c r="P19" i="355"/>
  <c r="P20" i="355" s="1"/>
  <c r="M19" i="355"/>
  <c r="M20" i="355" s="1"/>
  <c r="L19" i="355"/>
  <c r="L20" i="355" s="1"/>
  <c r="J19" i="355"/>
  <c r="J20" i="355" s="1"/>
  <c r="H19" i="355"/>
  <c r="H20" i="355" s="1"/>
  <c r="O18" i="355"/>
  <c r="O19" i="355" s="1"/>
  <c r="O20" i="355" s="1"/>
  <c r="N18" i="355"/>
  <c r="N19" i="355" s="1"/>
  <c r="N20" i="355" s="1"/>
  <c r="D18" i="355"/>
  <c r="D19" i="355" s="1"/>
  <c r="D20" i="355" s="1"/>
  <c r="W12" i="355"/>
  <c r="K18" i="355" s="1"/>
  <c r="K19" i="355" s="1"/>
  <c r="K20" i="355" s="1"/>
  <c r="U12" i="355"/>
  <c r="I18" i="355" s="1"/>
  <c r="I19" i="355" s="1"/>
  <c r="I20" i="355" s="1"/>
  <c r="S12" i="355"/>
  <c r="Q12" i="355"/>
  <c r="O12" i="355"/>
  <c r="N12" i="355"/>
  <c r="M12" i="355"/>
  <c r="K12" i="355"/>
  <c r="G18" i="355" s="1"/>
  <c r="G19" i="355" s="1"/>
  <c r="G20" i="355" s="1"/>
  <c r="I12" i="355"/>
  <c r="F18" i="355" s="1"/>
  <c r="F19" i="355" s="1"/>
  <c r="F20" i="355" s="1"/>
  <c r="G12" i="355"/>
  <c r="E18" i="355" s="1"/>
  <c r="E19" i="355" s="1"/>
  <c r="E20" i="355" s="1"/>
  <c r="F12" i="355"/>
  <c r="E12" i="355"/>
  <c r="C12" i="355"/>
  <c r="B18" i="355" s="1"/>
  <c r="B19" i="355" s="1"/>
  <c r="B20" i="355" s="1"/>
  <c r="X11" i="355"/>
  <c r="V11" i="355"/>
  <c r="T11" i="355"/>
  <c r="R11" i="355"/>
  <c r="P11" i="355"/>
  <c r="N11" i="355"/>
  <c r="L11" i="355"/>
  <c r="J11" i="355"/>
  <c r="Y11" i="355" s="1"/>
  <c r="H11" i="355"/>
  <c r="F11" i="355"/>
  <c r="D11" i="355"/>
  <c r="X10" i="355"/>
  <c r="V10" i="355"/>
  <c r="T10" i="355"/>
  <c r="R10" i="355"/>
  <c r="P10" i="355"/>
  <c r="N10" i="355"/>
  <c r="L10" i="355"/>
  <c r="J10" i="355"/>
  <c r="H10" i="355"/>
  <c r="F10" i="355"/>
  <c r="D10" i="355"/>
  <c r="X9" i="355"/>
  <c r="V9" i="355"/>
  <c r="V12" i="355" s="1"/>
  <c r="T9" i="355"/>
  <c r="R9" i="355"/>
  <c r="P9" i="355"/>
  <c r="N9" i="355"/>
  <c r="L9" i="355"/>
  <c r="J9" i="355"/>
  <c r="H9" i="355"/>
  <c r="F9" i="355"/>
  <c r="D9" i="355"/>
  <c r="X8" i="355"/>
  <c r="V8" i="355"/>
  <c r="T8" i="355"/>
  <c r="R8" i="355"/>
  <c r="P8" i="355"/>
  <c r="N8" i="355"/>
  <c r="L8" i="355"/>
  <c r="J8" i="355"/>
  <c r="H8" i="355"/>
  <c r="F8" i="355"/>
  <c r="D8" i="355"/>
  <c r="X7" i="355"/>
  <c r="V7" i="355"/>
  <c r="T7" i="355"/>
  <c r="R7" i="355"/>
  <c r="P7" i="355"/>
  <c r="N7" i="355"/>
  <c r="L7" i="355"/>
  <c r="J7" i="355"/>
  <c r="H7" i="355"/>
  <c r="F7" i="355"/>
  <c r="D7" i="355"/>
  <c r="X6" i="355"/>
  <c r="X12" i="355" s="1"/>
  <c r="V6" i="355"/>
  <c r="T6" i="355"/>
  <c r="R6" i="355"/>
  <c r="R12" i="355" s="1"/>
  <c r="P6" i="355"/>
  <c r="P12" i="355" s="1"/>
  <c r="N6" i="355"/>
  <c r="L6" i="355"/>
  <c r="J6" i="355"/>
  <c r="H6" i="355"/>
  <c r="F6" i="355"/>
  <c r="D6" i="355"/>
  <c r="V25" i="354"/>
  <c r="F22" i="354"/>
  <c r="S19" i="354"/>
  <c r="S20" i="354" s="1"/>
  <c r="Q19" i="354"/>
  <c r="Q20" i="354" s="1"/>
  <c r="P19" i="354"/>
  <c r="P20" i="354" s="1"/>
  <c r="M19" i="354"/>
  <c r="M20" i="354" s="1"/>
  <c r="L19" i="354"/>
  <c r="L20" i="354" s="1"/>
  <c r="J19" i="354"/>
  <c r="J20" i="354" s="1"/>
  <c r="H19" i="354"/>
  <c r="H20" i="354" s="1"/>
  <c r="N18" i="354"/>
  <c r="N19" i="354" s="1"/>
  <c r="N20" i="354" s="1"/>
  <c r="W12" i="354"/>
  <c r="K18" i="354" s="1"/>
  <c r="K19" i="354" s="1"/>
  <c r="K20" i="354" s="1"/>
  <c r="U12" i="354"/>
  <c r="I18" i="354" s="1"/>
  <c r="I19" i="354" s="1"/>
  <c r="I20" i="354" s="1"/>
  <c r="S12" i="354"/>
  <c r="Q12" i="354"/>
  <c r="O18" i="354" s="1"/>
  <c r="O19" i="354" s="1"/>
  <c r="O20" i="354" s="1"/>
  <c r="O12" i="354"/>
  <c r="N12" i="354"/>
  <c r="M12" i="354"/>
  <c r="K12" i="354"/>
  <c r="G18" i="354" s="1"/>
  <c r="G19" i="354" s="1"/>
  <c r="G20" i="354" s="1"/>
  <c r="I12" i="354"/>
  <c r="F18" i="354" s="1"/>
  <c r="F19" i="354" s="1"/>
  <c r="F20" i="354" s="1"/>
  <c r="G12" i="354"/>
  <c r="E18" i="354" s="1"/>
  <c r="E19" i="354" s="1"/>
  <c r="E20" i="354" s="1"/>
  <c r="F12" i="354"/>
  <c r="E12" i="354"/>
  <c r="D18" i="354" s="1"/>
  <c r="D19" i="354" s="1"/>
  <c r="D20" i="354" s="1"/>
  <c r="C12" i="354"/>
  <c r="B18" i="354" s="1"/>
  <c r="B19" i="354" s="1"/>
  <c r="B20" i="354" s="1"/>
  <c r="X11" i="354"/>
  <c r="V11" i="354"/>
  <c r="T11" i="354"/>
  <c r="R11" i="354"/>
  <c r="P11" i="354"/>
  <c r="N11" i="354"/>
  <c r="L11" i="354"/>
  <c r="J11" i="354"/>
  <c r="H11" i="354"/>
  <c r="Y11" i="354" s="1"/>
  <c r="F11" i="354"/>
  <c r="D11" i="354"/>
  <c r="X10" i="354"/>
  <c r="V10" i="354"/>
  <c r="T10" i="354"/>
  <c r="R10" i="354"/>
  <c r="P10" i="354"/>
  <c r="N10" i="354"/>
  <c r="L10" i="354"/>
  <c r="J10" i="354"/>
  <c r="H10" i="354"/>
  <c r="F10" i="354"/>
  <c r="D10" i="354"/>
  <c r="X9" i="354"/>
  <c r="V9" i="354"/>
  <c r="T9" i="354"/>
  <c r="R9" i="354"/>
  <c r="P9" i="354"/>
  <c r="N9" i="354"/>
  <c r="L9" i="354"/>
  <c r="J9" i="354"/>
  <c r="H9" i="354"/>
  <c r="F9" i="354"/>
  <c r="D9" i="354"/>
  <c r="X8" i="354"/>
  <c r="V8" i="354"/>
  <c r="T8" i="354"/>
  <c r="R8" i="354"/>
  <c r="P8" i="354"/>
  <c r="N8" i="354"/>
  <c r="L8" i="354"/>
  <c r="J8" i="354"/>
  <c r="H8" i="354"/>
  <c r="F8" i="354"/>
  <c r="D8" i="354"/>
  <c r="X7" i="354"/>
  <c r="V7" i="354"/>
  <c r="T7" i="354"/>
  <c r="R7" i="354"/>
  <c r="P7" i="354"/>
  <c r="N7" i="354"/>
  <c r="L7" i="354"/>
  <c r="J7" i="354"/>
  <c r="H7" i="354"/>
  <c r="F7" i="354"/>
  <c r="D7" i="354"/>
  <c r="X6" i="354"/>
  <c r="X12" i="354" s="1"/>
  <c r="V6" i="354"/>
  <c r="T6" i="354"/>
  <c r="R6" i="354"/>
  <c r="R12" i="354" s="1"/>
  <c r="P6" i="354"/>
  <c r="P12" i="354" s="1"/>
  <c r="N6" i="354"/>
  <c r="L6" i="354"/>
  <c r="L12" i="354" s="1"/>
  <c r="J6" i="354"/>
  <c r="H6" i="354"/>
  <c r="F6" i="354"/>
  <c r="D6" i="354"/>
  <c r="V12" i="357" l="1"/>
  <c r="Y7" i="357"/>
  <c r="D12" i="357"/>
  <c r="Y8" i="357"/>
  <c r="L12" i="357"/>
  <c r="J12" i="357"/>
  <c r="Y6" i="357"/>
  <c r="Y9" i="357"/>
  <c r="B21" i="357"/>
  <c r="H12" i="357"/>
  <c r="D12" i="356"/>
  <c r="T12" i="356"/>
  <c r="Y9" i="356"/>
  <c r="J12" i="356"/>
  <c r="Y12" i="356" s="1"/>
  <c r="V16" i="356" s="1"/>
  <c r="V24" i="356" s="1"/>
  <c r="Y8" i="356"/>
  <c r="Y7" i="356"/>
  <c r="Y10" i="356"/>
  <c r="B21" i="356"/>
  <c r="Y6" i="356"/>
  <c r="L12" i="355"/>
  <c r="J12" i="355"/>
  <c r="Y10" i="355"/>
  <c r="T12" i="355"/>
  <c r="Y9" i="355"/>
  <c r="H12" i="355"/>
  <c r="D12" i="355"/>
  <c r="Y12" i="355" s="1"/>
  <c r="V16" i="355" s="1"/>
  <c r="V24" i="355" s="1"/>
  <c r="Y8" i="355"/>
  <c r="Y7" i="355"/>
  <c r="B21" i="355"/>
  <c r="Y6" i="355"/>
  <c r="V12" i="354"/>
  <c r="Y8" i="354"/>
  <c r="D12" i="354"/>
  <c r="T12" i="354"/>
  <c r="Y10" i="354"/>
  <c r="Y7" i="354"/>
  <c r="J12" i="354"/>
  <c r="H12" i="354"/>
  <c r="Y9" i="354"/>
  <c r="B21" i="354"/>
  <c r="Y6" i="354"/>
  <c r="Y12" i="357" l="1"/>
  <c r="V16" i="357" s="1"/>
  <c r="V24" i="357" s="1"/>
  <c r="Y12" i="354"/>
  <c r="V16" i="354" s="1"/>
  <c r="V24" i="354" s="1"/>
  <c r="Y9" i="353" l="1"/>
  <c r="V25" i="353" l="1"/>
  <c r="F22" i="353"/>
  <c r="S19" i="353"/>
  <c r="S20" i="353" s="1"/>
  <c r="Q19" i="353"/>
  <c r="Q20" i="353" s="1"/>
  <c r="P19" i="353"/>
  <c r="P20" i="353" s="1"/>
  <c r="M19" i="353"/>
  <c r="M20" i="353" s="1"/>
  <c r="L19" i="353"/>
  <c r="L20" i="353" s="1"/>
  <c r="J19" i="353"/>
  <c r="J20" i="353" s="1"/>
  <c r="H19" i="353"/>
  <c r="H20" i="353" s="1"/>
  <c r="O18" i="353"/>
  <c r="O19" i="353" s="1"/>
  <c r="O20" i="353" s="1"/>
  <c r="D18" i="353"/>
  <c r="D19" i="353" s="1"/>
  <c r="D20" i="353" s="1"/>
  <c r="W12" i="353"/>
  <c r="K18" i="353" s="1"/>
  <c r="K19" i="353" s="1"/>
  <c r="K20" i="353" s="1"/>
  <c r="U12" i="353"/>
  <c r="I18" i="353" s="1"/>
  <c r="I19" i="353" s="1"/>
  <c r="I20" i="353" s="1"/>
  <c r="S12" i="353"/>
  <c r="Q12" i="353"/>
  <c r="P12" i="353"/>
  <c r="O12" i="353"/>
  <c r="N18" i="353" s="1"/>
  <c r="N19" i="353" s="1"/>
  <c r="N20" i="353" s="1"/>
  <c r="M12" i="353"/>
  <c r="K12" i="353"/>
  <c r="G18" i="353" s="1"/>
  <c r="G19" i="353" s="1"/>
  <c r="G20" i="353" s="1"/>
  <c r="I12" i="353"/>
  <c r="F18" i="353" s="1"/>
  <c r="F19" i="353" s="1"/>
  <c r="F20" i="353" s="1"/>
  <c r="G12" i="353"/>
  <c r="E18" i="353" s="1"/>
  <c r="E19" i="353" s="1"/>
  <c r="E20" i="353" s="1"/>
  <c r="E12" i="353"/>
  <c r="C12" i="353"/>
  <c r="B18" i="353" s="1"/>
  <c r="B19" i="353" s="1"/>
  <c r="B20" i="353" s="1"/>
  <c r="X11" i="353"/>
  <c r="V11" i="353"/>
  <c r="T11" i="353"/>
  <c r="R11" i="353"/>
  <c r="P11" i="353"/>
  <c r="N11" i="353"/>
  <c r="L11" i="353"/>
  <c r="J11" i="353"/>
  <c r="H11" i="353"/>
  <c r="F11" i="353"/>
  <c r="D11" i="353"/>
  <c r="Y11" i="353" s="1"/>
  <c r="X10" i="353"/>
  <c r="V10" i="353"/>
  <c r="T10" i="353"/>
  <c r="R10" i="353"/>
  <c r="P10" i="353"/>
  <c r="N10" i="353"/>
  <c r="L10" i="353"/>
  <c r="J10" i="353"/>
  <c r="H10" i="353"/>
  <c r="F10" i="353"/>
  <c r="D10" i="353"/>
  <c r="X9" i="353"/>
  <c r="V9" i="353"/>
  <c r="T9" i="353"/>
  <c r="R9" i="353"/>
  <c r="P9" i="353"/>
  <c r="N9" i="353"/>
  <c r="L9" i="353"/>
  <c r="J9" i="353"/>
  <c r="H9" i="353"/>
  <c r="F9" i="353"/>
  <c r="D9" i="353"/>
  <c r="X8" i="353"/>
  <c r="V8" i="353"/>
  <c r="T8" i="353"/>
  <c r="R8" i="353"/>
  <c r="P8" i="353"/>
  <c r="N8" i="353"/>
  <c r="L8" i="353"/>
  <c r="J8" i="353"/>
  <c r="H8" i="353"/>
  <c r="H12" i="353" s="1"/>
  <c r="F8" i="353"/>
  <c r="D8" i="353"/>
  <c r="X7" i="353"/>
  <c r="V7" i="353"/>
  <c r="T7" i="353"/>
  <c r="R7" i="353"/>
  <c r="P7" i="353"/>
  <c r="N7" i="353"/>
  <c r="L7" i="353"/>
  <c r="J7" i="353"/>
  <c r="H7" i="353"/>
  <c r="F7" i="353"/>
  <c r="D7" i="353"/>
  <c r="X6" i="353"/>
  <c r="X12" i="353" s="1"/>
  <c r="V6" i="353"/>
  <c r="T6" i="353"/>
  <c r="T12" i="353" s="1"/>
  <c r="R6" i="353"/>
  <c r="R12" i="353" s="1"/>
  <c r="P6" i="353"/>
  <c r="N6" i="353"/>
  <c r="N12" i="353" s="1"/>
  <c r="L6" i="353"/>
  <c r="L12" i="353" s="1"/>
  <c r="J6" i="353"/>
  <c r="H6" i="353"/>
  <c r="F6" i="353"/>
  <c r="F12" i="353" s="1"/>
  <c r="D6" i="353"/>
  <c r="Y10" i="353" l="1"/>
  <c r="V12" i="353"/>
  <c r="J12" i="353"/>
  <c r="Y7" i="353"/>
  <c r="Y6" i="353"/>
  <c r="Y8" i="353"/>
  <c r="B21" i="353"/>
  <c r="D12" i="353"/>
  <c r="Y12" i="353" s="1"/>
  <c r="V16" i="353" s="1"/>
  <c r="V24" i="353" s="1"/>
  <c r="V25" i="352"/>
  <c r="F22" i="352"/>
  <c r="S19" i="352"/>
  <c r="S20" i="352" s="1"/>
  <c r="Q19" i="352"/>
  <c r="Q20" i="352" s="1"/>
  <c r="P19" i="352"/>
  <c r="P20" i="352" s="1"/>
  <c r="M19" i="352"/>
  <c r="M20" i="352" s="1"/>
  <c r="L19" i="352"/>
  <c r="L20" i="352" s="1"/>
  <c r="J19" i="352"/>
  <c r="J20" i="352" s="1"/>
  <c r="H19" i="352"/>
  <c r="H20" i="352" s="1"/>
  <c r="O18" i="352"/>
  <c r="O19" i="352" s="1"/>
  <c r="O20" i="352" s="1"/>
  <c r="D18" i="352"/>
  <c r="D19" i="352" s="1"/>
  <c r="D20" i="352" s="1"/>
  <c r="W12" i="352"/>
  <c r="K18" i="352" s="1"/>
  <c r="K19" i="352" s="1"/>
  <c r="K20" i="352" s="1"/>
  <c r="U12" i="352"/>
  <c r="I18" i="352" s="1"/>
  <c r="I19" i="352" s="1"/>
  <c r="I20" i="352" s="1"/>
  <c r="S12" i="352"/>
  <c r="Q12" i="352"/>
  <c r="P12" i="352"/>
  <c r="O12" i="352"/>
  <c r="N18" i="352" s="1"/>
  <c r="N19" i="352" s="1"/>
  <c r="N20" i="352" s="1"/>
  <c r="M12" i="352"/>
  <c r="K12" i="352"/>
  <c r="G18" i="352" s="1"/>
  <c r="G19" i="352" s="1"/>
  <c r="G20" i="352" s="1"/>
  <c r="I12" i="352"/>
  <c r="F18" i="352" s="1"/>
  <c r="F19" i="352" s="1"/>
  <c r="F20" i="352" s="1"/>
  <c r="G12" i="352"/>
  <c r="E18" i="352" s="1"/>
  <c r="E19" i="352" s="1"/>
  <c r="E20" i="352" s="1"/>
  <c r="E12" i="352"/>
  <c r="C12" i="352"/>
  <c r="B18" i="352" s="1"/>
  <c r="B19" i="352" s="1"/>
  <c r="B20" i="352" s="1"/>
  <c r="X11" i="352"/>
  <c r="V11" i="352"/>
  <c r="T11" i="352"/>
  <c r="R11" i="352"/>
  <c r="P11" i="352"/>
  <c r="N11" i="352"/>
  <c r="L11" i="352"/>
  <c r="J11" i="352"/>
  <c r="H11" i="352"/>
  <c r="F11" i="352"/>
  <c r="D11" i="352"/>
  <c r="Y11" i="352" s="1"/>
  <c r="X10" i="352"/>
  <c r="V10" i="352"/>
  <c r="T10" i="352"/>
  <c r="R10" i="352"/>
  <c r="P10" i="352"/>
  <c r="N10" i="352"/>
  <c r="L10" i="352"/>
  <c r="J10" i="352"/>
  <c r="H10" i="352"/>
  <c r="F10" i="352"/>
  <c r="D10" i="352"/>
  <c r="Y10" i="352" s="1"/>
  <c r="X9" i="352"/>
  <c r="V9" i="352"/>
  <c r="T9" i="352"/>
  <c r="R9" i="352"/>
  <c r="P9" i="352"/>
  <c r="N9" i="352"/>
  <c r="L9" i="352"/>
  <c r="J9" i="352"/>
  <c r="H9" i="352"/>
  <c r="F9" i="352"/>
  <c r="D9" i="352"/>
  <c r="X8" i="352"/>
  <c r="V8" i="352"/>
  <c r="T8" i="352"/>
  <c r="R8" i="352"/>
  <c r="P8" i="352"/>
  <c r="N8" i="352"/>
  <c r="L8" i="352"/>
  <c r="J8" i="352"/>
  <c r="H8" i="352"/>
  <c r="H12" i="352" s="1"/>
  <c r="F8" i="352"/>
  <c r="D8" i="352"/>
  <c r="X7" i="352"/>
  <c r="V7" i="352"/>
  <c r="T7" i="352"/>
  <c r="R7" i="352"/>
  <c r="P7" i="352"/>
  <c r="N7" i="352"/>
  <c r="L7" i="352"/>
  <c r="J7" i="352"/>
  <c r="H7" i="352"/>
  <c r="F7" i="352"/>
  <c r="D7" i="352"/>
  <c r="X6" i="352"/>
  <c r="X12" i="352" s="1"/>
  <c r="V6" i="352"/>
  <c r="T6" i="352"/>
  <c r="T12" i="352" s="1"/>
  <c r="R6" i="352"/>
  <c r="R12" i="352" s="1"/>
  <c r="P6" i="352"/>
  <c r="N6" i="352"/>
  <c r="N12" i="352" s="1"/>
  <c r="L6" i="352"/>
  <c r="J6" i="352"/>
  <c r="H6" i="352"/>
  <c r="F6" i="352"/>
  <c r="F12" i="352" s="1"/>
  <c r="D6" i="352"/>
  <c r="Y9" i="352" l="1"/>
  <c r="V12" i="352"/>
  <c r="L12" i="352"/>
  <c r="Y8" i="352"/>
  <c r="Y7" i="352"/>
  <c r="J12" i="352"/>
  <c r="Y6" i="352"/>
  <c r="B21" i="352"/>
  <c r="D12" i="352"/>
  <c r="Y12" i="352" l="1"/>
  <c r="V16" i="352" s="1"/>
  <c r="V24" i="352" s="1"/>
  <c r="V25" i="351" l="1"/>
  <c r="F22" i="351"/>
  <c r="S19" i="351"/>
  <c r="S20" i="351" s="1"/>
  <c r="Q19" i="351"/>
  <c r="Q20" i="351" s="1"/>
  <c r="P19" i="351"/>
  <c r="P20" i="351" s="1"/>
  <c r="M19" i="351"/>
  <c r="M20" i="351" s="1"/>
  <c r="L19" i="351"/>
  <c r="L20" i="351" s="1"/>
  <c r="J19" i="351"/>
  <c r="J20" i="351" s="1"/>
  <c r="H19" i="351"/>
  <c r="H20" i="351" s="1"/>
  <c r="D18" i="351"/>
  <c r="D19" i="351" s="1"/>
  <c r="D20" i="351" s="1"/>
  <c r="X12" i="351"/>
  <c r="W12" i="351"/>
  <c r="K18" i="351" s="1"/>
  <c r="K19" i="351" s="1"/>
  <c r="K20" i="351" s="1"/>
  <c r="U12" i="351"/>
  <c r="I18" i="351" s="1"/>
  <c r="I19" i="351" s="1"/>
  <c r="I20" i="351" s="1"/>
  <c r="T12" i="351"/>
  <c r="S12" i="351"/>
  <c r="Q12" i="351"/>
  <c r="O18" i="351" s="1"/>
  <c r="O19" i="351" s="1"/>
  <c r="O20" i="351" s="1"/>
  <c r="P12" i="351"/>
  <c r="O12" i="351"/>
  <c r="N18" i="351" s="1"/>
  <c r="N19" i="351" s="1"/>
  <c r="N20" i="351" s="1"/>
  <c r="M12" i="351"/>
  <c r="K12" i="351"/>
  <c r="G18" i="351" s="1"/>
  <c r="G19" i="351" s="1"/>
  <c r="G20" i="351" s="1"/>
  <c r="I12" i="351"/>
  <c r="F18" i="351" s="1"/>
  <c r="F19" i="351" s="1"/>
  <c r="F20" i="351" s="1"/>
  <c r="H12" i="351"/>
  <c r="G12" i="351"/>
  <c r="E18" i="351" s="1"/>
  <c r="E19" i="351" s="1"/>
  <c r="E20" i="351" s="1"/>
  <c r="E12" i="351"/>
  <c r="C12" i="351"/>
  <c r="B18" i="351" s="1"/>
  <c r="B19" i="351" s="1"/>
  <c r="B20" i="351" s="1"/>
  <c r="X11" i="351"/>
  <c r="V11" i="351"/>
  <c r="T11" i="351"/>
  <c r="R11" i="351"/>
  <c r="P11" i="351"/>
  <c r="N11" i="351"/>
  <c r="L11" i="351"/>
  <c r="J11" i="351"/>
  <c r="H11" i="351"/>
  <c r="F11" i="351"/>
  <c r="D11" i="351"/>
  <c r="Y11" i="351" s="1"/>
  <c r="X10" i="351"/>
  <c r="V10" i="351"/>
  <c r="T10" i="351"/>
  <c r="R10" i="351"/>
  <c r="P10" i="351"/>
  <c r="N10" i="351"/>
  <c r="L10" i="351"/>
  <c r="J10" i="351"/>
  <c r="H10" i="351"/>
  <c r="F10" i="351"/>
  <c r="D10" i="351"/>
  <c r="Y10" i="351" s="1"/>
  <c r="X9" i="351"/>
  <c r="V9" i="351"/>
  <c r="T9" i="351"/>
  <c r="R9" i="351"/>
  <c r="P9" i="351"/>
  <c r="N9" i="351"/>
  <c r="L9" i="351"/>
  <c r="J9" i="351"/>
  <c r="H9" i="351"/>
  <c r="F9" i="351"/>
  <c r="D9" i="351"/>
  <c r="X8" i="351"/>
  <c r="V8" i="351"/>
  <c r="T8" i="351"/>
  <c r="R8" i="351"/>
  <c r="P8" i="351"/>
  <c r="N8" i="351"/>
  <c r="L8" i="351"/>
  <c r="J8" i="351"/>
  <c r="H8" i="351"/>
  <c r="F8" i="351"/>
  <c r="D8" i="351"/>
  <c r="X7" i="351"/>
  <c r="V7" i="351"/>
  <c r="T7" i="351"/>
  <c r="R7" i="351"/>
  <c r="P7" i="351"/>
  <c r="N7" i="351"/>
  <c r="L7" i="351"/>
  <c r="J7" i="351"/>
  <c r="H7" i="351"/>
  <c r="F7" i="351"/>
  <c r="D7" i="351"/>
  <c r="X6" i="351"/>
  <c r="V6" i="351"/>
  <c r="V12" i="351" s="1"/>
  <c r="T6" i="351"/>
  <c r="R6" i="351"/>
  <c r="R12" i="351" s="1"/>
  <c r="P6" i="351"/>
  <c r="N6" i="351"/>
  <c r="N12" i="351" s="1"/>
  <c r="L6" i="351"/>
  <c r="J6" i="351"/>
  <c r="H6" i="351"/>
  <c r="F6" i="351"/>
  <c r="F12" i="351" s="1"/>
  <c r="D6" i="351"/>
  <c r="L12" i="351" l="1"/>
  <c r="J12" i="351"/>
  <c r="Y7" i="351"/>
  <c r="Y6" i="351"/>
  <c r="Y9" i="351"/>
  <c r="Y8" i="351"/>
  <c r="D12" i="351"/>
  <c r="B21" i="351"/>
  <c r="M19" i="350"/>
  <c r="Y12" i="351" l="1"/>
  <c r="V16" i="351" s="1"/>
  <c r="V24" i="351" s="1"/>
  <c r="V25" i="350"/>
  <c r="F22" i="350"/>
  <c r="S19" i="350"/>
  <c r="S20" i="350" s="1"/>
  <c r="Q19" i="350"/>
  <c r="Q20" i="350" s="1"/>
  <c r="P19" i="350"/>
  <c r="P20" i="350" s="1"/>
  <c r="M20" i="350"/>
  <c r="L19" i="350"/>
  <c r="L20" i="350" s="1"/>
  <c r="J19" i="350"/>
  <c r="J20" i="350" s="1"/>
  <c r="H19" i="350"/>
  <c r="H20" i="350" s="1"/>
  <c r="N18" i="350"/>
  <c r="N19" i="350" s="1"/>
  <c r="N20" i="350" s="1"/>
  <c r="E18" i="350"/>
  <c r="E19" i="350" s="1"/>
  <c r="E20" i="350" s="1"/>
  <c r="D18" i="350"/>
  <c r="D19" i="350" s="1"/>
  <c r="D20" i="350" s="1"/>
  <c r="W12" i="350"/>
  <c r="K18" i="350" s="1"/>
  <c r="K19" i="350" s="1"/>
  <c r="K20" i="350" s="1"/>
  <c r="U12" i="350"/>
  <c r="I18" i="350" s="1"/>
  <c r="I19" i="350" s="1"/>
  <c r="I20" i="350" s="1"/>
  <c r="T12" i="350"/>
  <c r="S12" i="350"/>
  <c r="Q12" i="350"/>
  <c r="O18" i="350" s="1"/>
  <c r="O19" i="350" s="1"/>
  <c r="O20" i="350" s="1"/>
  <c r="P12" i="350"/>
  <c r="O12" i="350"/>
  <c r="M12" i="350"/>
  <c r="L12" i="350"/>
  <c r="K12" i="350"/>
  <c r="G18" i="350" s="1"/>
  <c r="G19" i="350" s="1"/>
  <c r="G20" i="350" s="1"/>
  <c r="I12" i="350"/>
  <c r="F18" i="350" s="1"/>
  <c r="F19" i="350" s="1"/>
  <c r="F20" i="350" s="1"/>
  <c r="H12" i="350"/>
  <c r="G12" i="350"/>
  <c r="E12" i="350"/>
  <c r="C12" i="350"/>
  <c r="B18" i="350" s="1"/>
  <c r="B19" i="350" s="1"/>
  <c r="B20" i="350" s="1"/>
  <c r="X11" i="350"/>
  <c r="V11" i="350"/>
  <c r="T11" i="350"/>
  <c r="R11" i="350"/>
  <c r="P11" i="350"/>
  <c r="N11" i="350"/>
  <c r="L11" i="350"/>
  <c r="J11" i="350"/>
  <c r="H11" i="350"/>
  <c r="F11" i="350"/>
  <c r="Y11" i="350" s="1"/>
  <c r="D11" i="350"/>
  <c r="X10" i="350"/>
  <c r="V10" i="350"/>
  <c r="T10" i="350"/>
  <c r="R10" i="350"/>
  <c r="P10" i="350"/>
  <c r="N10" i="350"/>
  <c r="L10" i="350"/>
  <c r="J10" i="350"/>
  <c r="H10" i="350"/>
  <c r="F10" i="350"/>
  <c r="Y10" i="350" s="1"/>
  <c r="D10" i="350"/>
  <c r="X9" i="350"/>
  <c r="V9" i="350"/>
  <c r="T9" i="350"/>
  <c r="R9" i="350"/>
  <c r="P9" i="350"/>
  <c r="N9" i="350"/>
  <c r="L9" i="350"/>
  <c r="J9" i="350"/>
  <c r="H9" i="350"/>
  <c r="F9" i="350"/>
  <c r="D9" i="350"/>
  <c r="X8" i="350"/>
  <c r="V8" i="350"/>
  <c r="T8" i="350"/>
  <c r="R8" i="350"/>
  <c r="P8" i="350"/>
  <c r="N8" i="350"/>
  <c r="L8" i="350"/>
  <c r="J8" i="350"/>
  <c r="H8" i="350"/>
  <c r="F8" i="350"/>
  <c r="D8" i="350"/>
  <c r="X7" i="350"/>
  <c r="X12" i="350" s="1"/>
  <c r="V7" i="350"/>
  <c r="T7" i="350"/>
  <c r="R7" i="350"/>
  <c r="P7" i="350"/>
  <c r="N7" i="350"/>
  <c r="L7" i="350"/>
  <c r="J7" i="350"/>
  <c r="H7" i="350"/>
  <c r="F7" i="350"/>
  <c r="D7" i="350"/>
  <c r="X6" i="350"/>
  <c r="V6" i="350"/>
  <c r="V12" i="350" s="1"/>
  <c r="T6" i="350"/>
  <c r="R6" i="350"/>
  <c r="R12" i="350" s="1"/>
  <c r="P6" i="350"/>
  <c r="N6" i="350"/>
  <c r="N12" i="350" s="1"/>
  <c r="L6" i="350"/>
  <c r="J6" i="350"/>
  <c r="H6" i="350"/>
  <c r="F6" i="350"/>
  <c r="F12" i="350" s="1"/>
  <c r="D6" i="350"/>
  <c r="J12" i="350" l="1"/>
  <c r="D12" i="350"/>
  <c r="Y12" i="350" s="1"/>
  <c r="V16" i="350" s="1"/>
  <c r="V24" i="350" s="1"/>
  <c r="Y9" i="350"/>
  <c r="Y8" i="350"/>
  <c r="Y7" i="350"/>
  <c r="B21" i="350"/>
  <c r="Y6" i="350"/>
  <c r="V25" i="349"/>
  <c r="F22" i="349"/>
  <c r="S19" i="349"/>
  <c r="S20" i="349" s="1"/>
  <c r="Q19" i="349"/>
  <c r="Q20" i="349" s="1"/>
  <c r="P19" i="349"/>
  <c r="P20" i="349" s="1"/>
  <c r="M19" i="349"/>
  <c r="M20" i="349" s="1"/>
  <c r="L19" i="349"/>
  <c r="L20" i="349" s="1"/>
  <c r="J19" i="349"/>
  <c r="J20" i="349" s="1"/>
  <c r="H19" i="349"/>
  <c r="H20" i="349" s="1"/>
  <c r="I18" i="349"/>
  <c r="I19" i="349" s="1"/>
  <c r="I20" i="349" s="1"/>
  <c r="D18" i="349"/>
  <c r="D19" i="349" s="1"/>
  <c r="D20" i="349" s="1"/>
  <c r="W12" i="349"/>
  <c r="K18" i="349" s="1"/>
  <c r="K19" i="349" s="1"/>
  <c r="K20" i="349" s="1"/>
  <c r="U12" i="349"/>
  <c r="T12" i="349"/>
  <c r="S12" i="349"/>
  <c r="Q12" i="349"/>
  <c r="O18" i="349" s="1"/>
  <c r="O19" i="349" s="1"/>
  <c r="O20" i="349" s="1"/>
  <c r="P12" i="349"/>
  <c r="O12" i="349"/>
  <c r="N18" i="349" s="1"/>
  <c r="N19" i="349" s="1"/>
  <c r="N20" i="349" s="1"/>
  <c r="M12" i="349"/>
  <c r="L12" i="349"/>
  <c r="K12" i="349"/>
  <c r="G18" i="349" s="1"/>
  <c r="G19" i="349" s="1"/>
  <c r="G20" i="349" s="1"/>
  <c r="I12" i="349"/>
  <c r="F18" i="349" s="1"/>
  <c r="F19" i="349" s="1"/>
  <c r="F20" i="349" s="1"/>
  <c r="H12" i="349"/>
  <c r="G12" i="349"/>
  <c r="E18" i="349" s="1"/>
  <c r="E19" i="349" s="1"/>
  <c r="E20" i="349" s="1"/>
  <c r="E12" i="349"/>
  <c r="C12" i="349"/>
  <c r="B18" i="349" s="1"/>
  <c r="B19" i="349" s="1"/>
  <c r="B20" i="349" s="1"/>
  <c r="X11" i="349"/>
  <c r="V11" i="349"/>
  <c r="T11" i="349"/>
  <c r="R11" i="349"/>
  <c r="P11" i="349"/>
  <c r="N11" i="349"/>
  <c r="L11" i="349"/>
  <c r="J11" i="349"/>
  <c r="H11" i="349"/>
  <c r="F11" i="349"/>
  <c r="D11" i="349"/>
  <c r="Y11" i="349" s="1"/>
  <c r="X10" i="349"/>
  <c r="V10" i="349"/>
  <c r="T10" i="349"/>
  <c r="R10" i="349"/>
  <c r="P10" i="349"/>
  <c r="N10" i="349"/>
  <c r="L10" i="349"/>
  <c r="J10" i="349"/>
  <c r="H10" i="349"/>
  <c r="F10" i="349"/>
  <c r="D10" i="349"/>
  <c r="Y10" i="349" s="1"/>
  <c r="X9" i="349"/>
  <c r="V9" i="349"/>
  <c r="T9" i="349"/>
  <c r="R9" i="349"/>
  <c r="P9" i="349"/>
  <c r="N9" i="349"/>
  <c r="L9" i="349"/>
  <c r="J9" i="349"/>
  <c r="H9" i="349"/>
  <c r="F9" i="349"/>
  <c r="D9" i="349"/>
  <c r="Y9" i="349" s="1"/>
  <c r="X8" i="349"/>
  <c r="V8" i="349"/>
  <c r="T8" i="349"/>
  <c r="R8" i="349"/>
  <c r="P8" i="349"/>
  <c r="N8" i="349"/>
  <c r="L8" i="349"/>
  <c r="J8" i="349"/>
  <c r="H8" i="349"/>
  <c r="F8" i="349"/>
  <c r="D8" i="349"/>
  <c r="X7" i="349"/>
  <c r="X12" i="349" s="1"/>
  <c r="V7" i="349"/>
  <c r="T7" i="349"/>
  <c r="R7" i="349"/>
  <c r="P7" i="349"/>
  <c r="N7" i="349"/>
  <c r="L7" i="349"/>
  <c r="J7" i="349"/>
  <c r="H7" i="349"/>
  <c r="F7" i="349"/>
  <c r="D7" i="349"/>
  <c r="X6" i="349"/>
  <c r="V6" i="349"/>
  <c r="V12" i="349" s="1"/>
  <c r="T6" i="349"/>
  <c r="R6" i="349"/>
  <c r="R12" i="349" s="1"/>
  <c r="P6" i="349"/>
  <c r="N6" i="349"/>
  <c r="N12" i="349" s="1"/>
  <c r="L6" i="349"/>
  <c r="J6" i="349"/>
  <c r="H6" i="349"/>
  <c r="F6" i="349"/>
  <c r="F12" i="349" s="1"/>
  <c r="D6" i="349"/>
  <c r="Y8" i="349" l="1"/>
  <c r="J12" i="349"/>
  <c r="Y7" i="349"/>
  <c r="Y6" i="349"/>
  <c r="D12" i="349"/>
  <c r="B21" i="349"/>
  <c r="Y12" i="349" l="1"/>
  <c r="V16" i="349" s="1"/>
  <c r="V24" i="349" s="1"/>
  <c r="V25" i="348" l="1"/>
  <c r="F22" i="348"/>
  <c r="S19" i="348"/>
  <c r="S20" i="348" s="1"/>
  <c r="Q19" i="348"/>
  <c r="Q20" i="348" s="1"/>
  <c r="P19" i="348"/>
  <c r="P20" i="348" s="1"/>
  <c r="M19" i="348"/>
  <c r="M20" i="348" s="1"/>
  <c r="L19" i="348"/>
  <c r="L20" i="348" s="1"/>
  <c r="K19" i="348"/>
  <c r="K20" i="348" s="1"/>
  <c r="J19" i="348"/>
  <c r="J20" i="348" s="1"/>
  <c r="H19" i="348"/>
  <c r="H20" i="348" s="1"/>
  <c r="N18" i="348"/>
  <c r="N19" i="348" s="1"/>
  <c r="N20" i="348" s="1"/>
  <c r="K18" i="348"/>
  <c r="I18" i="348"/>
  <c r="I19" i="348" s="1"/>
  <c r="I20" i="348" s="1"/>
  <c r="E18" i="348"/>
  <c r="E19" i="348" s="1"/>
  <c r="E20" i="348" s="1"/>
  <c r="D18" i="348"/>
  <c r="D19" i="348" s="1"/>
  <c r="D20" i="348" s="1"/>
  <c r="X12" i="348"/>
  <c r="W12" i="348"/>
  <c r="U12" i="348"/>
  <c r="T12" i="348"/>
  <c r="S12" i="348"/>
  <c r="Q12" i="348"/>
  <c r="O18" i="348" s="1"/>
  <c r="O19" i="348" s="1"/>
  <c r="O20" i="348" s="1"/>
  <c r="P12" i="348"/>
  <c r="O12" i="348"/>
  <c r="M12" i="348"/>
  <c r="K12" i="348"/>
  <c r="G18" i="348" s="1"/>
  <c r="G19" i="348" s="1"/>
  <c r="G20" i="348" s="1"/>
  <c r="I12" i="348"/>
  <c r="F18" i="348" s="1"/>
  <c r="F19" i="348" s="1"/>
  <c r="F20" i="348" s="1"/>
  <c r="H12" i="348"/>
  <c r="G12" i="348"/>
  <c r="E12" i="348"/>
  <c r="C12" i="348"/>
  <c r="B18" i="348" s="1"/>
  <c r="B19" i="348" s="1"/>
  <c r="B20" i="348" s="1"/>
  <c r="X11" i="348"/>
  <c r="V11" i="348"/>
  <c r="T11" i="348"/>
  <c r="R11" i="348"/>
  <c r="P11" i="348"/>
  <c r="N11" i="348"/>
  <c r="L11" i="348"/>
  <c r="J11" i="348"/>
  <c r="H11" i="348"/>
  <c r="F11" i="348"/>
  <c r="Y11" i="348" s="1"/>
  <c r="D11" i="348"/>
  <c r="X10" i="348"/>
  <c r="V10" i="348"/>
  <c r="T10" i="348"/>
  <c r="R10" i="348"/>
  <c r="P10" i="348"/>
  <c r="N10" i="348"/>
  <c r="L10" i="348"/>
  <c r="J10" i="348"/>
  <c r="H10" i="348"/>
  <c r="F10" i="348"/>
  <c r="Y10" i="348" s="1"/>
  <c r="D10" i="348"/>
  <c r="X9" i="348"/>
  <c r="V9" i="348"/>
  <c r="T9" i="348"/>
  <c r="R9" i="348"/>
  <c r="P9" i="348"/>
  <c r="N9" i="348"/>
  <c r="L9" i="348"/>
  <c r="J9" i="348"/>
  <c r="H9" i="348"/>
  <c r="F9" i="348"/>
  <c r="Y9" i="348" s="1"/>
  <c r="D9" i="348"/>
  <c r="X8" i="348"/>
  <c r="V8" i="348"/>
  <c r="T8" i="348"/>
  <c r="R8" i="348"/>
  <c r="P8" i="348"/>
  <c r="N8" i="348"/>
  <c r="L8" i="348"/>
  <c r="L12" i="348" s="1"/>
  <c r="J8" i="348"/>
  <c r="H8" i="348"/>
  <c r="F8" i="348"/>
  <c r="D8" i="348"/>
  <c r="X7" i="348"/>
  <c r="V7" i="348"/>
  <c r="T7" i="348"/>
  <c r="R7" i="348"/>
  <c r="P7" i="348"/>
  <c r="N7" i="348"/>
  <c r="L7" i="348"/>
  <c r="J7" i="348"/>
  <c r="H7" i="348"/>
  <c r="F7" i="348"/>
  <c r="D7" i="348"/>
  <c r="X6" i="348"/>
  <c r="V6" i="348"/>
  <c r="V12" i="348" s="1"/>
  <c r="T6" i="348"/>
  <c r="R6" i="348"/>
  <c r="R12" i="348" s="1"/>
  <c r="P6" i="348"/>
  <c r="N6" i="348"/>
  <c r="N12" i="348" s="1"/>
  <c r="L6" i="348"/>
  <c r="J6" i="348"/>
  <c r="H6" i="348"/>
  <c r="F6" i="348"/>
  <c r="D6" i="348"/>
  <c r="V25" i="347"/>
  <c r="F22" i="347"/>
  <c r="S19" i="347"/>
  <c r="S20" i="347" s="1"/>
  <c r="Q19" i="347"/>
  <c r="Q20" i="347" s="1"/>
  <c r="P19" i="347"/>
  <c r="P20" i="347" s="1"/>
  <c r="M19" i="347"/>
  <c r="M20" i="347" s="1"/>
  <c r="L19" i="347"/>
  <c r="L20" i="347" s="1"/>
  <c r="J19" i="347"/>
  <c r="J20" i="347" s="1"/>
  <c r="H19" i="347"/>
  <c r="H20" i="347" s="1"/>
  <c r="O18" i="347"/>
  <c r="O19" i="347" s="1"/>
  <c r="O20" i="347" s="1"/>
  <c r="W12" i="347"/>
  <c r="K18" i="347" s="1"/>
  <c r="K19" i="347" s="1"/>
  <c r="K20" i="347" s="1"/>
  <c r="U12" i="347"/>
  <c r="I18" i="347" s="1"/>
  <c r="I19" i="347" s="1"/>
  <c r="I20" i="347" s="1"/>
  <c r="S12" i="347"/>
  <c r="Q12" i="347"/>
  <c r="O12" i="347"/>
  <c r="N18" i="347" s="1"/>
  <c r="N19" i="347" s="1"/>
  <c r="N20" i="347" s="1"/>
  <c r="M12" i="347"/>
  <c r="K12" i="347"/>
  <c r="G18" i="347" s="1"/>
  <c r="G19" i="347" s="1"/>
  <c r="G20" i="347" s="1"/>
  <c r="I12" i="347"/>
  <c r="F18" i="347" s="1"/>
  <c r="F19" i="347" s="1"/>
  <c r="F20" i="347" s="1"/>
  <c r="G12" i="347"/>
  <c r="E18" i="347" s="1"/>
  <c r="E19" i="347" s="1"/>
  <c r="E20" i="347" s="1"/>
  <c r="E12" i="347"/>
  <c r="D18" i="347" s="1"/>
  <c r="D19" i="347" s="1"/>
  <c r="D20" i="347" s="1"/>
  <c r="C12" i="347"/>
  <c r="B18" i="347" s="1"/>
  <c r="B19" i="347" s="1"/>
  <c r="B20" i="347" s="1"/>
  <c r="X11" i="347"/>
  <c r="V11" i="347"/>
  <c r="T11" i="347"/>
  <c r="R11" i="347"/>
  <c r="P11" i="347"/>
  <c r="N11" i="347"/>
  <c r="L11" i="347"/>
  <c r="J11" i="347"/>
  <c r="H11" i="347"/>
  <c r="F11" i="347"/>
  <c r="D11" i="347"/>
  <c r="Y11" i="347" s="1"/>
  <c r="X10" i="347"/>
  <c r="V10" i="347"/>
  <c r="T10" i="347"/>
  <c r="R10" i="347"/>
  <c r="P10" i="347"/>
  <c r="N10" i="347"/>
  <c r="L10" i="347"/>
  <c r="J10" i="347"/>
  <c r="H10" i="347"/>
  <c r="F10" i="347"/>
  <c r="D10" i="347"/>
  <c r="Y10" i="347" s="1"/>
  <c r="X9" i="347"/>
  <c r="V9" i="347"/>
  <c r="T9" i="347"/>
  <c r="R9" i="347"/>
  <c r="P9" i="347"/>
  <c r="N9" i="347"/>
  <c r="L9" i="347"/>
  <c r="J9" i="347"/>
  <c r="H9" i="347"/>
  <c r="F9" i="347"/>
  <c r="D9" i="347"/>
  <c r="X8" i="347"/>
  <c r="V8" i="347"/>
  <c r="T8" i="347"/>
  <c r="R8" i="347"/>
  <c r="P8" i="347"/>
  <c r="N8" i="347"/>
  <c r="L8" i="347"/>
  <c r="J8" i="347"/>
  <c r="H8" i="347"/>
  <c r="F8" i="347"/>
  <c r="D8" i="347"/>
  <c r="X7" i="347"/>
  <c r="V7" i="347"/>
  <c r="T7" i="347"/>
  <c r="R7" i="347"/>
  <c r="P7" i="347"/>
  <c r="N7" i="347"/>
  <c r="L7" i="347"/>
  <c r="J7" i="347"/>
  <c r="H7" i="347"/>
  <c r="F7" i="347"/>
  <c r="D7" i="347"/>
  <c r="X6" i="347"/>
  <c r="V6" i="347"/>
  <c r="V12" i="347" s="1"/>
  <c r="T6" i="347"/>
  <c r="T12" i="347" s="1"/>
  <c r="R6" i="347"/>
  <c r="R12" i="347" s="1"/>
  <c r="P6" i="347"/>
  <c r="P12" i="347" s="1"/>
  <c r="N6" i="347"/>
  <c r="N12" i="347" s="1"/>
  <c r="L6" i="347"/>
  <c r="J6" i="347"/>
  <c r="H6" i="347"/>
  <c r="H12" i="347" s="1"/>
  <c r="F6" i="347"/>
  <c r="F12" i="347" s="1"/>
  <c r="D6" i="347"/>
  <c r="V25" i="346"/>
  <c r="F22" i="346"/>
  <c r="S19" i="346"/>
  <c r="S20" i="346" s="1"/>
  <c r="Q19" i="346"/>
  <c r="Q20" i="346" s="1"/>
  <c r="P19" i="346"/>
  <c r="P20" i="346" s="1"/>
  <c r="M19" i="346"/>
  <c r="M20" i="346" s="1"/>
  <c r="L19" i="346"/>
  <c r="L20" i="346" s="1"/>
  <c r="J19" i="346"/>
  <c r="J20" i="346" s="1"/>
  <c r="H19" i="346"/>
  <c r="H20" i="346" s="1"/>
  <c r="O18" i="346"/>
  <c r="O19" i="346" s="1"/>
  <c r="O20" i="346" s="1"/>
  <c r="W12" i="346"/>
  <c r="K18" i="346" s="1"/>
  <c r="K19" i="346" s="1"/>
  <c r="K20" i="346" s="1"/>
  <c r="U12" i="346"/>
  <c r="I18" i="346" s="1"/>
  <c r="I19" i="346" s="1"/>
  <c r="I20" i="346" s="1"/>
  <c r="S12" i="346"/>
  <c r="Q12" i="346"/>
  <c r="O12" i="346"/>
  <c r="N18" i="346" s="1"/>
  <c r="N19" i="346" s="1"/>
  <c r="N20" i="346" s="1"/>
  <c r="M12" i="346"/>
  <c r="K12" i="346"/>
  <c r="G18" i="346" s="1"/>
  <c r="G19" i="346" s="1"/>
  <c r="G20" i="346" s="1"/>
  <c r="I12" i="346"/>
  <c r="F18" i="346" s="1"/>
  <c r="F19" i="346" s="1"/>
  <c r="F20" i="346" s="1"/>
  <c r="G12" i="346"/>
  <c r="E18" i="346" s="1"/>
  <c r="E19" i="346" s="1"/>
  <c r="E20" i="346" s="1"/>
  <c r="E12" i="346"/>
  <c r="D18" i="346" s="1"/>
  <c r="D19" i="346" s="1"/>
  <c r="D20" i="346" s="1"/>
  <c r="C12" i="346"/>
  <c r="B18" i="346" s="1"/>
  <c r="B19" i="346" s="1"/>
  <c r="B20" i="346" s="1"/>
  <c r="X11" i="346"/>
  <c r="V11" i="346"/>
  <c r="T11" i="346"/>
  <c r="R11" i="346"/>
  <c r="P11" i="346"/>
  <c r="N11" i="346"/>
  <c r="L11" i="346"/>
  <c r="J11" i="346"/>
  <c r="H11" i="346"/>
  <c r="F11" i="346"/>
  <c r="D11" i="346"/>
  <c r="Y11" i="346" s="1"/>
  <c r="X10" i="346"/>
  <c r="V10" i="346"/>
  <c r="T10" i="346"/>
  <c r="R10" i="346"/>
  <c r="P10" i="346"/>
  <c r="N10" i="346"/>
  <c r="L10" i="346"/>
  <c r="J10" i="346"/>
  <c r="H10" i="346"/>
  <c r="F10" i="346"/>
  <c r="D10" i="346"/>
  <c r="Y10" i="346" s="1"/>
  <c r="X9" i="346"/>
  <c r="V9" i="346"/>
  <c r="T9" i="346"/>
  <c r="R9" i="346"/>
  <c r="P9" i="346"/>
  <c r="N9" i="346"/>
  <c r="L9" i="346"/>
  <c r="J9" i="346"/>
  <c r="H9" i="346"/>
  <c r="F9" i="346"/>
  <c r="D9" i="346"/>
  <c r="X8" i="346"/>
  <c r="V8" i="346"/>
  <c r="T8" i="346"/>
  <c r="R8" i="346"/>
  <c r="P8" i="346"/>
  <c r="N8" i="346"/>
  <c r="L8" i="346"/>
  <c r="J8" i="346"/>
  <c r="H8" i="346"/>
  <c r="F8" i="346"/>
  <c r="D8" i="346"/>
  <c r="X7" i="346"/>
  <c r="V7" i="346"/>
  <c r="T7" i="346"/>
  <c r="R7" i="346"/>
  <c r="P7" i="346"/>
  <c r="N7" i="346"/>
  <c r="L7" i="346"/>
  <c r="J7" i="346"/>
  <c r="H7" i="346"/>
  <c r="F7" i="346"/>
  <c r="D7" i="346"/>
  <c r="X6" i="346"/>
  <c r="X12" i="346" s="1"/>
  <c r="V6" i="346"/>
  <c r="V12" i="346" s="1"/>
  <c r="T6" i="346"/>
  <c r="R6" i="346"/>
  <c r="R12" i="346" s="1"/>
  <c r="P6" i="346"/>
  <c r="P12" i="346" s="1"/>
  <c r="N6" i="346"/>
  <c r="N12" i="346" s="1"/>
  <c r="L6" i="346"/>
  <c r="L12" i="346" s="1"/>
  <c r="J6" i="346"/>
  <c r="H6" i="346"/>
  <c r="H12" i="346" s="1"/>
  <c r="F6" i="346"/>
  <c r="F12" i="346" s="1"/>
  <c r="D6" i="346"/>
  <c r="D12" i="348" l="1"/>
  <c r="J12" i="348"/>
  <c r="Y7" i="348"/>
  <c r="Y8" i="348"/>
  <c r="Y6" i="348"/>
  <c r="B21" i="348"/>
  <c r="F12" i="348"/>
  <c r="Y12" i="348" s="1"/>
  <c r="V16" i="348" s="1"/>
  <c r="V24" i="348" s="1"/>
  <c r="X12" i="347"/>
  <c r="L12" i="347"/>
  <c r="J12" i="347"/>
  <c r="Y7" i="347"/>
  <c r="Y6" i="347"/>
  <c r="Y9" i="347"/>
  <c r="Y8" i="347"/>
  <c r="B21" i="347"/>
  <c r="D12" i="347"/>
  <c r="J12" i="346"/>
  <c r="Y7" i="346"/>
  <c r="T12" i="346"/>
  <c r="Y6" i="346"/>
  <c r="Y9" i="346"/>
  <c r="Y8" i="346"/>
  <c r="B21" i="346"/>
  <c r="D12" i="346"/>
  <c r="Y12" i="346" s="1"/>
  <c r="V16" i="346" s="1"/>
  <c r="V24" i="346" s="1"/>
  <c r="Y12" i="347" l="1"/>
  <c r="V16" i="347" s="1"/>
  <c r="V24" i="347" s="1"/>
  <c r="V25" i="345"/>
  <c r="F22" i="345"/>
  <c r="S19" i="345"/>
  <c r="S20" i="345" s="1"/>
  <c r="Q19" i="345"/>
  <c r="Q20" i="345" s="1"/>
  <c r="P19" i="345"/>
  <c r="P20" i="345" s="1"/>
  <c r="M19" i="345"/>
  <c r="M20" i="345" s="1"/>
  <c r="L19" i="345"/>
  <c r="L20" i="345" s="1"/>
  <c r="J19" i="345"/>
  <c r="J20" i="345" s="1"/>
  <c r="H19" i="345"/>
  <c r="H20" i="345" s="1"/>
  <c r="D18" i="345"/>
  <c r="D19" i="345" s="1"/>
  <c r="D20" i="345" s="1"/>
  <c r="X12" i="345"/>
  <c r="W12" i="345"/>
  <c r="K18" i="345" s="1"/>
  <c r="K19" i="345" s="1"/>
  <c r="K20" i="345" s="1"/>
  <c r="U12" i="345"/>
  <c r="I18" i="345" s="1"/>
  <c r="I19" i="345" s="1"/>
  <c r="I20" i="345" s="1"/>
  <c r="T12" i="345"/>
  <c r="S12" i="345"/>
  <c r="Q12" i="345"/>
  <c r="O18" i="345" s="1"/>
  <c r="O19" i="345" s="1"/>
  <c r="O20" i="345" s="1"/>
  <c r="P12" i="345"/>
  <c r="O12" i="345"/>
  <c r="N18" i="345" s="1"/>
  <c r="N19" i="345" s="1"/>
  <c r="N20" i="345" s="1"/>
  <c r="M12" i="345"/>
  <c r="K12" i="345"/>
  <c r="G18" i="345" s="1"/>
  <c r="G19" i="345" s="1"/>
  <c r="G20" i="345" s="1"/>
  <c r="I12" i="345"/>
  <c r="F18" i="345" s="1"/>
  <c r="F19" i="345" s="1"/>
  <c r="F20" i="345" s="1"/>
  <c r="G12" i="345"/>
  <c r="E18" i="345" s="1"/>
  <c r="E19" i="345" s="1"/>
  <c r="E20" i="345" s="1"/>
  <c r="E12" i="345"/>
  <c r="C12" i="345"/>
  <c r="B18" i="345" s="1"/>
  <c r="B19" i="345" s="1"/>
  <c r="B20" i="345" s="1"/>
  <c r="X11" i="345"/>
  <c r="V11" i="345"/>
  <c r="T11" i="345"/>
  <c r="R11" i="345"/>
  <c r="P11" i="345"/>
  <c r="N11" i="345"/>
  <c r="L11" i="345"/>
  <c r="J11" i="345"/>
  <c r="H11" i="345"/>
  <c r="F11" i="345"/>
  <c r="D11" i="345"/>
  <c r="Y11" i="345" s="1"/>
  <c r="X10" i="345"/>
  <c r="V10" i="345"/>
  <c r="T10" i="345"/>
  <c r="R10" i="345"/>
  <c r="P10" i="345"/>
  <c r="N10" i="345"/>
  <c r="L10" i="345"/>
  <c r="J10" i="345"/>
  <c r="H10" i="345"/>
  <c r="F10" i="345"/>
  <c r="D10" i="345"/>
  <c r="Y10" i="345" s="1"/>
  <c r="X9" i="345"/>
  <c r="V9" i="345"/>
  <c r="T9" i="345"/>
  <c r="R9" i="345"/>
  <c r="P9" i="345"/>
  <c r="N9" i="345"/>
  <c r="L9" i="345"/>
  <c r="J9" i="345"/>
  <c r="H9" i="345"/>
  <c r="F9" i="345"/>
  <c r="D9" i="345"/>
  <c r="X8" i="345"/>
  <c r="V8" i="345"/>
  <c r="T8" i="345"/>
  <c r="R8" i="345"/>
  <c r="P8" i="345"/>
  <c r="N8" i="345"/>
  <c r="L8" i="345"/>
  <c r="J8" i="345"/>
  <c r="H8" i="345"/>
  <c r="F8" i="345"/>
  <c r="D8" i="345"/>
  <c r="X7" i="345"/>
  <c r="V7" i="345"/>
  <c r="T7" i="345"/>
  <c r="R7" i="345"/>
  <c r="P7" i="345"/>
  <c r="N7" i="345"/>
  <c r="L7" i="345"/>
  <c r="J7" i="345"/>
  <c r="H7" i="345"/>
  <c r="F7" i="345"/>
  <c r="D7" i="345"/>
  <c r="X6" i="345"/>
  <c r="V6" i="345"/>
  <c r="T6" i="345"/>
  <c r="R6" i="345"/>
  <c r="R12" i="345" s="1"/>
  <c r="P6" i="345"/>
  <c r="N6" i="345"/>
  <c r="N12" i="345" s="1"/>
  <c r="L6" i="345"/>
  <c r="L12" i="345" s="1"/>
  <c r="J6" i="345"/>
  <c r="H6" i="345"/>
  <c r="F6" i="345"/>
  <c r="F12" i="345" s="1"/>
  <c r="D6" i="345"/>
  <c r="Y6" i="345" s="1"/>
  <c r="H12" i="345" l="1"/>
  <c r="V12" i="345"/>
  <c r="Y9" i="345"/>
  <c r="J12" i="345"/>
  <c r="Y8" i="345"/>
  <c r="Y7" i="345"/>
  <c r="D12" i="345"/>
  <c r="B21" i="345"/>
  <c r="Y12" i="345" l="1"/>
  <c r="V16" i="345" s="1"/>
  <c r="V24" i="345" s="1"/>
  <c r="V25" i="344" l="1"/>
  <c r="F22" i="344"/>
  <c r="S19" i="344"/>
  <c r="S20" i="344" s="1"/>
  <c r="Q19" i="344"/>
  <c r="Q20" i="344" s="1"/>
  <c r="P19" i="344"/>
  <c r="P20" i="344" s="1"/>
  <c r="M19" i="344"/>
  <c r="M20" i="344" s="1"/>
  <c r="L19" i="344"/>
  <c r="L20" i="344" s="1"/>
  <c r="J19" i="344"/>
  <c r="J20" i="344" s="1"/>
  <c r="H19" i="344"/>
  <c r="H20" i="344" s="1"/>
  <c r="O18" i="344"/>
  <c r="O19" i="344" s="1"/>
  <c r="O20" i="344" s="1"/>
  <c r="N18" i="344"/>
  <c r="N19" i="344" s="1"/>
  <c r="N20" i="344" s="1"/>
  <c r="D18" i="344"/>
  <c r="D19" i="344" s="1"/>
  <c r="D20" i="344" s="1"/>
  <c r="W12" i="344"/>
  <c r="K18" i="344" s="1"/>
  <c r="K19" i="344" s="1"/>
  <c r="K20" i="344" s="1"/>
  <c r="U12" i="344"/>
  <c r="I18" i="344" s="1"/>
  <c r="I19" i="344" s="1"/>
  <c r="I20" i="344" s="1"/>
  <c r="S12" i="344"/>
  <c r="Q12" i="344"/>
  <c r="P12" i="344"/>
  <c r="O12" i="344"/>
  <c r="N12" i="344"/>
  <c r="M12" i="344"/>
  <c r="K12" i="344"/>
  <c r="G18" i="344" s="1"/>
  <c r="G19" i="344" s="1"/>
  <c r="G20" i="344" s="1"/>
  <c r="I12" i="344"/>
  <c r="F18" i="344" s="1"/>
  <c r="F19" i="344" s="1"/>
  <c r="F20" i="344" s="1"/>
  <c r="G12" i="344"/>
  <c r="E18" i="344" s="1"/>
  <c r="E19" i="344" s="1"/>
  <c r="E20" i="344" s="1"/>
  <c r="F12" i="344"/>
  <c r="E12" i="344"/>
  <c r="C12" i="344"/>
  <c r="B18" i="344" s="1"/>
  <c r="B19" i="344" s="1"/>
  <c r="B20" i="344" s="1"/>
  <c r="X11" i="344"/>
  <c r="V11" i="344"/>
  <c r="T11" i="344"/>
  <c r="R11" i="344"/>
  <c r="P11" i="344"/>
  <c r="N11" i="344"/>
  <c r="L11" i="344"/>
  <c r="J11" i="344"/>
  <c r="Y11" i="344" s="1"/>
  <c r="H11" i="344"/>
  <c r="F11" i="344"/>
  <c r="D11" i="344"/>
  <c r="X10" i="344"/>
  <c r="V10" i="344"/>
  <c r="T10" i="344"/>
  <c r="R10" i="344"/>
  <c r="P10" i="344"/>
  <c r="N10" i="344"/>
  <c r="L10" i="344"/>
  <c r="J10" i="344"/>
  <c r="Y10" i="344" s="1"/>
  <c r="H10" i="344"/>
  <c r="F10" i="344"/>
  <c r="D10" i="344"/>
  <c r="X9" i="344"/>
  <c r="V9" i="344"/>
  <c r="T9" i="344"/>
  <c r="R9" i="344"/>
  <c r="P9" i="344"/>
  <c r="N9" i="344"/>
  <c r="L9" i="344"/>
  <c r="J9" i="344"/>
  <c r="H9" i="344"/>
  <c r="F9" i="344"/>
  <c r="D9" i="344"/>
  <c r="X8" i="344"/>
  <c r="V8" i="344"/>
  <c r="T8" i="344"/>
  <c r="R8" i="344"/>
  <c r="P8" i="344"/>
  <c r="N8" i="344"/>
  <c r="L8" i="344"/>
  <c r="J8" i="344"/>
  <c r="H8" i="344"/>
  <c r="F8" i="344"/>
  <c r="D8" i="344"/>
  <c r="X7" i="344"/>
  <c r="X12" i="344" s="1"/>
  <c r="V7" i="344"/>
  <c r="V12" i="344" s="1"/>
  <c r="T7" i="344"/>
  <c r="R7" i="344"/>
  <c r="P7" i="344"/>
  <c r="N7" i="344"/>
  <c r="L7" i="344"/>
  <c r="J7" i="344"/>
  <c r="H7" i="344"/>
  <c r="F7" i="344"/>
  <c r="D7" i="344"/>
  <c r="X6" i="344"/>
  <c r="V6" i="344"/>
  <c r="T6" i="344"/>
  <c r="R6" i="344"/>
  <c r="R12" i="344" s="1"/>
  <c r="P6" i="344"/>
  <c r="N6" i="344"/>
  <c r="L6" i="344"/>
  <c r="L12" i="344" s="1"/>
  <c r="J6" i="344"/>
  <c r="H6" i="344"/>
  <c r="F6" i="344"/>
  <c r="D6" i="344"/>
  <c r="V25" i="343"/>
  <c r="F22" i="343"/>
  <c r="S19" i="343"/>
  <c r="S20" i="343" s="1"/>
  <c r="Q19" i="343"/>
  <c r="Q20" i="343" s="1"/>
  <c r="P19" i="343"/>
  <c r="P20" i="343" s="1"/>
  <c r="M19" i="343"/>
  <c r="M20" i="343" s="1"/>
  <c r="L19" i="343"/>
  <c r="L20" i="343" s="1"/>
  <c r="J19" i="343"/>
  <c r="J20" i="343" s="1"/>
  <c r="H19" i="343"/>
  <c r="H20" i="343" s="1"/>
  <c r="N18" i="343"/>
  <c r="N19" i="343" s="1"/>
  <c r="N20" i="343" s="1"/>
  <c r="W12" i="343"/>
  <c r="K18" i="343" s="1"/>
  <c r="K19" i="343" s="1"/>
  <c r="K20" i="343" s="1"/>
  <c r="U12" i="343"/>
  <c r="I18" i="343" s="1"/>
  <c r="I19" i="343" s="1"/>
  <c r="I20" i="343" s="1"/>
  <c r="S12" i="343"/>
  <c r="Q12" i="343"/>
  <c r="O18" i="343" s="1"/>
  <c r="O19" i="343" s="1"/>
  <c r="O20" i="343" s="1"/>
  <c r="O12" i="343"/>
  <c r="N12" i="343"/>
  <c r="M12" i="343"/>
  <c r="L12" i="343"/>
  <c r="K12" i="343"/>
  <c r="G18" i="343" s="1"/>
  <c r="G19" i="343" s="1"/>
  <c r="G20" i="343" s="1"/>
  <c r="I12" i="343"/>
  <c r="F18" i="343" s="1"/>
  <c r="F19" i="343" s="1"/>
  <c r="F20" i="343" s="1"/>
  <c r="G12" i="343"/>
  <c r="E18" i="343" s="1"/>
  <c r="E19" i="343" s="1"/>
  <c r="E20" i="343" s="1"/>
  <c r="F12" i="343"/>
  <c r="E12" i="343"/>
  <c r="D18" i="343" s="1"/>
  <c r="D19" i="343" s="1"/>
  <c r="D20" i="343" s="1"/>
  <c r="C12" i="343"/>
  <c r="B18" i="343" s="1"/>
  <c r="B19" i="343" s="1"/>
  <c r="B20" i="343" s="1"/>
  <c r="X11" i="343"/>
  <c r="V11" i="343"/>
  <c r="T11" i="343"/>
  <c r="R11" i="343"/>
  <c r="P11" i="343"/>
  <c r="N11" i="343"/>
  <c r="L11" i="343"/>
  <c r="J11" i="343"/>
  <c r="H11" i="343"/>
  <c r="Y11" i="343" s="1"/>
  <c r="F11" i="343"/>
  <c r="D11" i="343"/>
  <c r="X10" i="343"/>
  <c r="V10" i="343"/>
  <c r="T10" i="343"/>
  <c r="T12" i="343" s="1"/>
  <c r="R10" i="343"/>
  <c r="P10" i="343"/>
  <c r="N10" i="343"/>
  <c r="L10" i="343"/>
  <c r="J10" i="343"/>
  <c r="H10" i="343"/>
  <c r="F10" i="343"/>
  <c r="D10" i="343"/>
  <c r="X9" i="343"/>
  <c r="V9" i="343"/>
  <c r="T9" i="343"/>
  <c r="R9" i="343"/>
  <c r="P9" i="343"/>
  <c r="N9" i="343"/>
  <c r="L9" i="343"/>
  <c r="J9" i="343"/>
  <c r="H9" i="343"/>
  <c r="F9" i="343"/>
  <c r="D9" i="343"/>
  <c r="X8" i="343"/>
  <c r="V8" i="343"/>
  <c r="T8" i="343"/>
  <c r="R8" i="343"/>
  <c r="P8" i="343"/>
  <c r="N8" i="343"/>
  <c r="L8" i="343"/>
  <c r="J8" i="343"/>
  <c r="H8" i="343"/>
  <c r="F8" i="343"/>
  <c r="D8" i="343"/>
  <c r="X7" i="343"/>
  <c r="V7" i="343"/>
  <c r="T7" i="343"/>
  <c r="R7" i="343"/>
  <c r="P7" i="343"/>
  <c r="N7" i="343"/>
  <c r="L7" i="343"/>
  <c r="J7" i="343"/>
  <c r="H7" i="343"/>
  <c r="F7" i="343"/>
  <c r="D7" i="343"/>
  <c r="X6" i="343"/>
  <c r="X12" i="343" s="1"/>
  <c r="V6" i="343"/>
  <c r="T6" i="343"/>
  <c r="R6" i="343"/>
  <c r="R12" i="343" s="1"/>
  <c r="P6" i="343"/>
  <c r="P12" i="343" s="1"/>
  <c r="N6" i="343"/>
  <c r="L6" i="343"/>
  <c r="J6" i="343"/>
  <c r="H6" i="343"/>
  <c r="F6" i="343"/>
  <c r="D6" i="343"/>
  <c r="T10" i="342"/>
  <c r="T12" i="342" s="1"/>
  <c r="V25" i="342"/>
  <c r="F22" i="342"/>
  <c r="S19" i="342"/>
  <c r="S20" i="342" s="1"/>
  <c r="Q19" i="342"/>
  <c r="Q20" i="342" s="1"/>
  <c r="P19" i="342"/>
  <c r="P20" i="342" s="1"/>
  <c r="O19" i="342"/>
  <c r="O20" i="342" s="1"/>
  <c r="M19" i="342"/>
  <c r="M20" i="342" s="1"/>
  <c r="L19" i="342"/>
  <c r="L20" i="342" s="1"/>
  <c r="J19" i="342"/>
  <c r="J20" i="342" s="1"/>
  <c r="H19" i="342"/>
  <c r="H20" i="342" s="1"/>
  <c r="O18" i="342"/>
  <c r="D18" i="342"/>
  <c r="D19" i="342" s="1"/>
  <c r="D20" i="342" s="1"/>
  <c r="W12" i="342"/>
  <c r="K18" i="342" s="1"/>
  <c r="K19" i="342" s="1"/>
  <c r="K20" i="342" s="1"/>
  <c r="U12" i="342"/>
  <c r="I18" i="342" s="1"/>
  <c r="I19" i="342" s="1"/>
  <c r="I20" i="342" s="1"/>
  <c r="S12" i="342"/>
  <c r="Q12" i="342"/>
  <c r="P12" i="342"/>
  <c r="O12" i="342"/>
  <c r="N18" i="342" s="1"/>
  <c r="N19" i="342" s="1"/>
  <c r="N20" i="342" s="1"/>
  <c r="M12" i="342"/>
  <c r="K12" i="342"/>
  <c r="G18" i="342" s="1"/>
  <c r="G19" i="342" s="1"/>
  <c r="G20" i="342" s="1"/>
  <c r="I12" i="342"/>
  <c r="F18" i="342" s="1"/>
  <c r="F19" i="342" s="1"/>
  <c r="F20" i="342" s="1"/>
  <c r="G12" i="342"/>
  <c r="E18" i="342" s="1"/>
  <c r="E19" i="342" s="1"/>
  <c r="E20" i="342" s="1"/>
  <c r="E12" i="342"/>
  <c r="C12" i="342"/>
  <c r="B18" i="342" s="1"/>
  <c r="B19" i="342" s="1"/>
  <c r="B20" i="342" s="1"/>
  <c r="X11" i="342"/>
  <c r="V11" i="342"/>
  <c r="T11" i="342"/>
  <c r="R11" i="342"/>
  <c r="P11" i="342"/>
  <c r="N11" i="342"/>
  <c r="L11" i="342"/>
  <c r="J11" i="342"/>
  <c r="H11" i="342"/>
  <c r="F11" i="342"/>
  <c r="D11" i="342"/>
  <c r="Y11" i="342" s="1"/>
  <c r="X10" i="342"/>
  <c r="V10" i="342"/>
  <c r="R10" i="342"/>
  <c r="P10" i="342"/>
  <c r="N10" i="342"/>
  <c r="L10" i="342"/>
  <c r="J10" i="342"/>
  <c r="H10" i="342"/>
  <c r="F10" i="342"/>
  <c r="D10" i="342"/>
  <c r="X9" i="342"/>
  <c r="V9" i="342"/>
  <c r="T9" i="342"/>
  <c r="R9" i="342"/>
  <c r="P9" i="342"/>
  <c r="N9" i="342"/>
  <c r="L9" i="342"/>
  <c r="J9" i="342"/>
  <c r="H9" i="342"/>
  <c r="F9" i="342"/>
  <c r="D9" i="342"/>
  <c r="X8" i="342"/>
  <c r="V8" i="342"/>
  <c r="T8" i="342"/>
  <c r="R8" i="342"/>
  <c r="P8" i="342"/>
  <c r="N8" i="342"/>
  <c r="L8" i="342"/>
  <c r="J8" i="342"/>
  <c r="H8" i="342"/>
  <c r="F8" i="342"/>
  <c r="D8" i="342"/>
  <c r="X7" i="342"/>
  <c r="X12" i="342" s="1"/>
  <c r="V7" i="342"/>
  <c r="T7" i="342"/>
  <c r="R7" i="342"/>
  <c r="P7" i="342"/>
  <c r="N7" i="342"/>
  <c r="L7" i="342"/>
  <c r="J7" i="342"/>
  <c r="H7" i="342"/>
  <c r="F7" i="342"/>
  <c r="D7" i="342"/>
  <c r="X6" i="342"/>
  <c r="V6" i="342"/>
  <c r="V12" i="342" s="1"/>
  <c r="T6" i="342"/>
  <c r="R6" i="342"/>
  <c r="R12" i="342" s="1"/>
  <c r="P6" i="342"/>
  <c r="N6" i="342"/>
  <c r="N12" i="342" s="1"/>
  <c r="L6" i="342"/>
  <c r="L12" i="342" s="1"/>
  <c r="J6" i="342"/>
  <c r="H6" i="342"/>
  <c r="F6" i="342"/>
  <c r="F12" i="342" s="1"/>
  <c r="D6" i="342"/>
  <c r="H12" i="344" l="1"/>
  <c r="T12" i="344"/>
  <c r="D12" i="344"/>
  <c r="Y7" i="344"/>
  <c r="Y6" i="344"/>
  <c r="Y9" i="344"/>
  <c r="Y8" i="344"/>
  <c r="B21" i="344"/>
  <c r="J12" i="344"/>
  <c r="D12" i="343"/>
  <c r="V12" i="343"/>
  <c r="Y10" i="343"/>
  <c r="J12" i="343"/>
  <c r="Y9" i="343"/>
  <c r="H12" i="343"/>
  <c r="Y8" i="343"/>
  <c r="Y7" i="343"/>
  <c r="B21" i="343"/>
  <c r="Y6" i="343"/>
  <c r="Y10" i="342"/>
  <c r="H12" i="342"/>
  <c r="Y8" i="342"/>
  <c r="J12" i="342"/>
  <c r="Y7" i="342"/>
  <c r="Y9" i="342"/>
  <c r="Y6" i="342"/>
  <c r="D12" i="342"/>
  <c r="B21" i="342"/>
  <c r="V25" i="341"/>
  <c r="F22" i="341"/>
  <c r="Q20" i="341"/>
  <c r="S19" i="341"/>
  <c r="S20" i="341" s="1"/>
  <c r="Q19" i="341"/>
  <c r="P19" i="341"/>
  <c r="P20" i="341" s="1"/>
  <c r="M19" i="341"/>
  <c r="M20" i="341" s="1"/>
  <c r="L19" i="341"/>
  <c r="L20" i="341" s="1"/>
  <c r="J19" i="341"/>
  <c r="J20" i="341" s="1"/>
  <c r="H19" i="341"/>
  <c r="H20" i="341" s="1"/>
  <c r="N18" i="341"/>
  <c r="N19" i="341" s="1"/>
  <c r="N20" i="341" s="1"/>
  <c r="W12" i="341"/>
  <c r="K18" i="341" s="1"/>
  <c r="K19" i="341" s="1"/>
  <c r="K20" i="341" s="1"/>
  <c r="U12" i="341"/>
  <c r="I18" i="341" s="1"/>
  <c r="I19" i="341" s="1"/>
  <c r="I20" i="341" s="1"/>
  <c r="S12" i="341"/>
  <c r="Q12" i="341"/>
  <c r="O18" i="341" s="1"/>
  <c r="O19" i="341" s="1"/>
  <c r="O20" i="341" s="1"/>
  <c r="O12" i="341"/>
  <c r="N12" i="341"/>
  <c r="M12" i="341"/>
  <c r="K12" i="341"/>
  <c r="G18" i="341" s="1"/>
  <c r="G19" i="341" s="1"/>
  <c r="G20" i="341" s="1"/>
  <c r="I12" i="341"/>
  <c r="F18" i="341" s="1"/>
  <c r="F19" i="341" s="1"/>
  <c r="F20" i="341" s="1"/>
  <c r="G12" i="341"/>
  <c r="E18" i="341" s="1"/>
  <c r="E19" i="341" s="1"/>
  <c r="E20" i="341" s="1"/>
  <c r="F12" i="341"/>
  <c r="E12" i="341"/>
  <c r="D18" i="341" s="1"/>
  <c r="D19" i="341" s="1"/>
  <c r="D20" i="341" s="1"/>
  <c r="C12" i="341"/>
  <c r="B18" i="341" s="1"/>
  <c r="B19" i="341" s="1"/>
  <c r="B20" i="341" s="1"/>
  <c r="X11" i="341"/>
  <c r="V11" i="341"/>
  <c r="T11" i="341"/>
  <c r="R11" i="341"/>
  <c r="P11" i="341"/>
  <c r="N11" i="341"/>
  <c r="L11" i="341"/>
  <c r="J11" i="341"/>
  <c r="Y11" i="341" s="1"/>
  <c r="H11" i="341"/>
  <c r="F11" i="341"/>
  <c r="D11" i="341"/>
  <c r="X10" i="341"/>
  <c r="V10" i="341"/>
  <c r="T10" i="341"/>
  <c r="R10" i="341"/>
  <c r="P10" i="341"/>
  <c r="N10" i="341"/>
  <c r="L10" i="341"/>
  <c r="J10" i="341"/>
  <c r="H10" i="341"/>
  <c r="F10" i="341"/>
  <c r="D10" i="341"/>
  <c r="X9" i="341"/>
  <c r="V9" i="341"/>
  <c r="T9" i="341"/>
  <c r="R9" i="341"/>
  <c r="P9" i="341"/>
  <c r="N9" i="341"/>
  <c r="L9" i="341"/>
  <c r="J9" i="341"/>
  <c r="H9" i="341"/>
  <c r="F9" i="341"/>
  <c r="D9" i="341"/>
  <c r="X8" i="341"/>
  <c r="V8" i="341"/>
  <c r="T8" i="341"/>
  <c r="R8" i="341"/>
  <c r="P8" i="341"/>
  <c r="N8" i="341"/>
  <c r="L8" i="341"/>
  <c r="J8" i="341"/>
  <c r="H8" i="341"/>
  <c r="F8" i="341"/>
  <c r="D8" i="341"/>
  <c r="X7" i="341"/>
  <c r="V7" i="341"/>
  <c r="T7" i="341"/>
  <c r="R7" i="341"/>
  <c r="P7" i="341"/>
  <c r="N7" i="341"/>
  <c r="L7" i="341"/>
  <c r="J7" i="341"/>
  <c r="H7" i="341"/>
  <c r="F7" i="341"/>
  <c r="D7" i="341"/>
  <c r="X6" i="341"/>
  <c r="V6" i="341"/>
  <c r="T6" i="341"/>
  <c r="T12" i="341" s="1"/>
  <c r="R6" i="341"/>
  <c r="R12" i="341" s="1"/>
  <c r="P6" i="341"/>
  <c r="P12" i="341" s="1"/>
  <c r="N6" i="341"/>
  <c r="L6" i="341"/>
  <c r="J6" i="341"/>
  <c r="H6" i="341"/>
  <c r="F6" i="341"/>
  <c r="D6" i="341"/>
  <c r="Y12" i="344" l="1"/>
  <c r="V16" i="344" s="1"/>
  <c r="V24" i="344" s="1"/>
  <c r="Y12" i="343"/>
  <c r="V16" i="343" s="1"/>
  <c r="V24" i="343" s="1"/>
  <c r="Y12" i="342"/>
  <c r="V16" i="342" s="1"/>
  <c r="V24" i="342" s="1"/>
  <c r="V12" i="341"/>
  <c r="L12" i="341"/>
  <c r="D12" i="341"/>
  <c r="Y9" i="341"/>
  <c r="X12" i="341"/>
  <c r="J12" i="341"/>
  <c r="Y8" i="341"/>
  <c r="Y7" i="341"/>
  <c r="H12" i="341"/>
  <c r="Y10" i="341"/>
  <c r="B21" i="341"/>
  <c r="Y6" i="341"/>
  <c r="V25" i="340"/>
  <c r="F22" i="340"/>
  <c r="S19" i="340"/>
  <c r="S20" i="340" s="1"/>
  <c r="Q19" i="340"/>
  <c r="Q20" i="340" s="1"/>
  <c r="P19" i="340"/>
  <c r="P20" i="340" s="1"/>
  <c r="M19" i="340"/>
  <c r="M20" i="340" s="1"/>
  <c r="L19" i="340"/>
  <c r="L20" i="340" s="1"/>
  <c r="J19" i="340"/>
  <c r="J20" i="340" s="1"/>
  <c r="H19" i="340"/>
  <c r="H20" i="340" s="1"/>
  <c r="D18" i="340"/>
  <c r="D19" i="340" s="1"/>
  <c r="D20" i="340" s="1"/>
  <c r="W12" i="340"/>
  <c r="K18" i="340" s="1"/>
  <c r="K19" i="340" s="1"/>
  <c r="K20" i="340" s="1"/>
  <c r="U12" i="340"/>
  <c r="I18" i="340" s="1"/>
  <c r="I19" i="340" s="1"/>
  <c r="I20" i="340" s="1"/>
  <c r="T12" i="340"/>
  <c r="S12" i="340"/>
  <c r="Q12" i="340"/>
  <c r="O18" i="340" s="1"/>
  <c r="O19" i="340" s="1"/>
  <c r="O20" i="340" s="1"/>
  <c r="P12" i="340"/>
  <c r="O12" i="340"/>
  <c r="N18" i="340" s="1"/>
  <c r="N19" i="340" s="1"/>
  <c r="N20" i="340" s="1"/>
  <c r="M12" i="340"/>
  <c r="K12" i="340"/>
  <c r="G18" i="340" s="1"/>
  <c r="G19" i="340" s="1"/>
  <c r="G20" i="340" s="1"/>
  <c r="I12" i="340"/>
  <c r="F18" i="340" s="1"/>
  <c r="F19" i="340" s="1"/>
  <c r="F20" i="340" s="1"/>
  <c r="G12" i="340"/>
  <c r="E18" i="340" s="1"/>
  <c r="E19" i="340" s="1"/>
  <c r="E20" i="340" s="1"/>
  <c r="E12" i="340"/>
  <c r="C12" i="340"/>
  <c r="B18" i="340" s="1"/>
  <c r="B19" i="340" s="1"/>
  <c r="B20" i="340" s="1"/>
  <c r="X11" i="340"/>
  <c r="V11" i="340"/>
  <c r="T11" i="340"/>
  <c r="R11" i="340"/>
  <c r="P11" i="340"/>
  <c r="N11" i="340"/>
  <c r="L11" i="340"/>
  <c r="J11" i="340"/>
  <c r="H11" i="340"/>
  <c r="F11" i="340"/>
  <c r="D11" i="340"/>
  <c r="Y11" i="340" s="1"/>
  <c r="X10" i="340"/>
  <c r="V10" i="340"/>
  <c r="T10" i="340"/>
  <c r="R10" i="340"/>
  <c r="P10" i="340"/>
  <c r="N10" i="340"/>
  <c r="L10" i="340"/>
  <c r="J10" i="340"/>
  <c r="H10" i="340"/>
  <c r="F10" i="340"/>
  <c r="D10" i="340"/>
  <c r="Y10" i="340" s="1"/>
  <c r="X9" i="340"/>
  <c r="V9" i="340"/>
  <c r="T9" i="340"/>
  <c r="R9" i="340"/>
  <c r="P9" i="340"/>
  <c r="N9" i="340"/>
  <c r="L9" i="340"/>
  <c r="J9" i="340"/>
  <c r="H9" i="340"/>
  <c r="F9" i="340"/>
  <c r="D9" i="340"/>
  <c r="X8" i="340"/>
  <c r="X12" i="340" s="1"/>
  <c r="V8" i="340"/>
  <c r="T8" i="340"/>
  <c r="R8" i="340"/>
  <c r="P8" i="340"/>
  <c r="N8" i="340"/>
  <c r="L8" i="340"/>
  <c r="J8" i="340"/>
  <c r="H8" i="340"/>
  <c r="H12" i="340" s="1"/>
  <c r="F8" i="340"/>
  <c r="D8" i="340"/>
  <c r="X7" i="340"/>
  <c r="V7" i="340"/>
  <c r="T7" i="340"/>
  <c r="R7" i="340"/>
  <c r="P7" i="340"/>
  <c r="N7" i="340"/>
  <c r="L7" i="340"/>
  <c r="J7" i="340"/>
  <c r="H7" i="340"/>
  <c r="F7" i="340"/>
  <c r="D7" i="340"/>
  <c r="X6" i="340"/>
  <c r="V6" i="340"/>
  <c r="T6" i="340"/>
  <c r="R6" i="340"/>
  <c r="R12" i="340" s="1"/>
  <c r="P6" i="340"/>
  <c r="N6" i="340"/>
  <c r="N12" i="340" s="1"/>
  <c r="L6" i="340"/>
  <c r="J6" i="340"/>
  <c r="H6" i="340"/>
  <c r="F6" i="340"/>
  <c r="F12" i="340" s="1"/>
  <c r="D6" i="340"/>
  <c r="H7" i="339"/>
  <c r="Y12" i="341" l="1"/>
  <c r="V16" i="341" s="1"/>
  <c r="V24" i="341" s="1"/>
  <c r="L12" i="340"/>
  <c r="V12" i="340"/>
  <c r="Y6" i="340"/>
  <c r="Y9" i="340"/>
  <c r="Y8" i="340"/>
  <c r="J12" i="340"/>
  <c r="Y7" i="340"/>
  <c r="D12" i="340"/>
  <c r="B21" i="340"/>
  <c r="V25" i="339"/>
  <c r="F22" i="339"/>
  <c r="S19" i="339"/>
  <c r="S20" i="339" s="1"/>
  <c r="Q19" i="339"/>
  <c r="Q20" i="339" s="1"/>
  <c r="P19" i="339"/>
  <c r="P20" i="339" s="1"/>
  <c r="M19" i="339"/>
  <c r="M20" i="339" s="1"/>
  <c r="L19" i="339"/>
  <c r="L20" i="339" s="1"/>
  <c r="K19" i="339"/>
  <c r="K20" i="339" s="1"/>
  <c r="J19" i="339"/>
  <c r="J20" i="339" s="1"/>
  <c r="H19" i="339"/>
  <c r="H20" i="339" s="1"/>
  <c r="K18" i="339"/>
  <c r="D18" i="339"/>
  <c r="D19" i="339" s="1"/>
  <c r="D20" i="339" s="1"/>
  <c r="X12" i="339"/>
  <c r="W12" i="339"/>
  <c r="U12" i="339"/>
  <c r="I18" i="339" s="1"/>
  <c r="I19" i="339" s="1"/>
  <c r="I20" i="339" s="1"/>
  <c r="S12" i="339"/>
  <c r="Q12" i="339"/>
  <c r="O18" i="339" s="1"/>
  <c r="O19" i="339" s="1"/>
  <c r="O20" i="339" s="1"/>
  <c r="P12" i="339"/>
  <c r="O12" i="339"/>
  <c r="N18" i="339" s="1"/>
  <c r="N19" i="339" s="1"/>
  <c r="N20" i="339" s="1"/>
  <c r="M12" i="339"/>
  <c r="K12" i="339"/>
  <c r="G18" i="339" s="1"/>
  <c r="G19" i="339" s="1"/>
  <c r="G20" i="339" s="1"/>
  <c r="I12" i="339"/>
  <c r="F18" i="339" s="1"/>
  <c r="F19" i="339" s="1"/>
  <c r="F20" i="339" s="1"/>
  <c r="G12" i="339"/>
  <c r="E18" i="339" s="1"/>
  <c r="E19" i="339" s="1"/>
  <c r="E20" i="339" s="1"/>
  <c r="E12" i="339"/>
  <c r="C12" i="339"/>
  <c r="B18" i="339" s="1"/>
  <c r="B19" i="339" s="1"/>
  <c r="B20" i="339" s="1"/>
  <c r="X11" i="339"/>
  <c r="V11" i="339"/>
  <c r="T11" i="339"/>
  <c r="R11" i="339"/>
  <c r="P11" i="339"/>
  <c r="N11" i="339"/>
  <c r="L11" i="339"/>
  <c r="J11" i="339"/>
  <c r="H11" i="339"/>
  <c r="F11" i="339"/>
  <c r="D11" i="339"/>
  <c r="Y11" i="339" s="1"/>
  <c r="X10" i="339"/>
  <c r="V10" i="339"/>
  <c r="T10" i="339"/>
  <c r="R10" i="339"/>
  <c r="P10" i="339"/>
  <c r="N10" i="339"/>
  <c r="L10" i="339"/>
  <c r="J10" i="339"/>
  <c r="H10" i="339"/>
  <c r="F10" i="339"/>
  <c r="D10" i="339"/>
  <c r="Y10" i="339" s="1"/>
  <c r="X9" i="339"/>
  <c r="V9" i="339"/>
  <c r="T9" i="339"/>
  <c r="R9" i="339"/>
  <c r="P9" i="339"/>
  <c r="N9" i="339"/>
  <c r="L9" i="339"/>
  <c r="J9" i="339"/>
  <c r="H9" i="339"/>
  <c r="F9" i="339"/>
  <c r="D9" i="339"/>
  <c r="X8" i="339"/>
  <c r="V8" i="339"/>
  <c r="T8" i="339"/>
  <c r="R8" i="339"/>
  <c r="P8" i="339"/>
  <c r="N8" i="339"/>
  <c r="L8" i="339"/>
  <c r="L12" i="339" s="1"/>
  <c r="J8" i="339"/>
  <c r="H8" i="339"/>
  <c r="F8" i="339"/>
  <c r="D8" i="339"/>
  <c r="X7" i="339"/>
  <c r="V7" i="339"/>
  <c r="T7" i="339"/>
  <c r="T12" i="339" s="1"/>
  <c r="R7" i="339"/>
  <c r="P7" i="339"/>
  <c r="N7" i="339"/>
  <c r="L7" i="339"/>
  <c r="J7" i="339"/>
  <c r="H12" i="339"/>
  <c r="F7" i="339"/>
  <c r="D7" i="339"/>
  <c r="X6" i="339"/>
  <c r="V6" i="339"/>
  <c r="T6" i="339"/>
  <c r="R6" i="339"/>
  <c r="R12" i="339" s="1"/>
  <c r="P6" i="339"/>
  <c r="N6" i="339"/>
  <c r="N12" i="339" s="1"/>
  <c r="L6" i="339"/>
  <c r="J6" i="339"/>
  <c r="H6" i="339"/>
  <c r="F6" i="339"/>
  <c r="F12" i="339" s="1"/>
  <c r="D6" i="339"/>
  <c r="V25" i="338"/>
  <c r="F22" i="338"/>
  <c r="S19" i="338"/>
  <c r="S20" i="338" s="1"/>
  <c r="Q19" i="338"/>
  <c r="Q20" i="338" s="1"/>
  <c r="P19" i="338"/>
  <c r="P20" i="338" s="1"/>
  <c r="M19" i="338"/>
  <c r="M20" i="338" s="1"/>
  <c r="L19" i="338"/>
  <c r="L20" i="338" s="1"/>
  <c r="J19" i="338"/>
  <c r="J20" i="338" s="1"/>
  <c r="H19" i="338"/>
  <c r="H20" i="338" s="1"/>
  <c r="O18" i="338"/>
  <c r="O19" i="338" s="1"/>
  <c r="O20" i="338" s="1"/>
  <c r="W12" i="338"/>
  <c r="K18" i="338" s="1"/>
  <c r="K19" i="338" s="1"/>
  <c r="K20" i="338" s="1"/>
  <c r="U12" i="338"/>
  <c r="I18" i="338" s="1"/>
  <c r="I19" i="338" s="1"/>
  <c r="I20" i="338" s="1"/>
  <c r="S12" i="338"/>
  <c r="Q12" i="338"/>
  <c r="O12" i="338"/>
  <c r="N18" i="338" s="1"/>
  <c r="N19" i="338" s="1"/>
  <c r="N20" i="338" s="1"/>
  <c r="M12" i="338"/>
  <c r="K12" i="338"/>
  <c r="G18" i="338" s="1"/>
  <c r="G19" i="338" s="1"/>
  <c r="G20" i="338" s="1"/>
  <c r="I12" i="338"/>
  <c r="F18" i="338" s="1"/>
  <c r="F19" i="338" s="1"/>
  <c r="F20" i="338" s="1"/>
  <c r="G12" i="338"/>
  <c r="E18" i="338" s="1"/>
  <c r="E19" i="338" s="1"/>
  <c r="E20" i="338" s="1"/>
  <c r="E12" i="338"/>
  <c r="D18" i="338" s="1"/>
  <c r="D19" i="338" s="1"/>
  <c r="D20" i="338" s="1"/>
  <c r="C12" i="338"/>
  <c r="B18" i="338" s="1"/>
  <c r="B19" i="338" s="1"/>
  <c r="B20" i="338" s="1"/>
  <c r="X11" i="338"/>
  <c r="V11" i="338"/>
  <c r="T11" i="338"/>
  <c r="R11" i="338"/>
  <c r="P11" i="338"/>
  <c r="N11" i="338"/>
  <c r="L11" i="338"/>
  <c r="J11" i="338"/>
  <c r="H11" i="338"/>
  <c r="F11" i="338"/>
  <c r="D11" i="338"/>
  <c r="Y11" i="338" s="1"/>
  <c r="X10" i="338"/>
  <c r="V10" i="338"/>
  <c r="T10" i="338"/>
  <c r="R10" i="338"/>
  <c r="P10" i="338"/>
  <c r="N10" i="338"/>
  <c r="L10" i="338"/>
  <c r="J10" i="338"/>
  <c r="H10" i="338"/>
  <c r="F10" i="338"/>
  <c r="D10" i="338"/>
  <c r="Y10" i="338" s="1"/>
  <c r="X9" i="338"/>
  <c r="V9" i="338"/>
  <c r="T9" i="338"/>
  <c r="R9" i="338"/>
  <c r="P9" i="338"/>
  <c r="N9" i="338"/>
  <c r="L9" i="338"/>
  <c r="J9" i="338"/>
  <c r="H9" i="338"/>
  <c r="F9" i="338"/>
  <c r="D9" i="338"/>
  <c r="X8" i="338"/>
  <c r="V8" i="338"/>
  <c r="T8" i="338"/>
  <c r="R8" i="338"/>
  <c r="P8" i="338"/>
  <c r="N8" i="338"/>
  <c r="L8" i="338"/>
  <c r="J8" i="338"/>
  <c r="H8" i="338"/>
  <c r="F8" i="338"/>
  <c r="D8" i="338"/>
  <c r="X7" i="338"/>
  <c r="V7" i="338"/>
  <c r="T7" i="338"/>
  <c r="R7" i="338"/>
  <c r="P7" i="338"/>
  <c r="N7" i="338"/>
  <c r="L7" i="338"/>
  <c r="J7" i="338"/>
  <c r="H7" i="338"/>
  <c r="F7" i="338"/>
  <c r="D7" i="338"/>
  <c r="X6" i="338"/>
  <c r="X12" i="338" s="1"/>
  <c r="V6" i="338"/>
  <c r="T6" i="338"/>
  <c r="R6" i="338"/>
  <c r="R12" i="338" s="1"/>
  <c r="P6" i="338"/>
  <c r="P12" i="338" s="1"/>
  <c r="N6" i="338"/>
  <c r="N12" i="338" s="1"/>
  <c r="L6" i="338"/>
  <c r="J6" i="338"/>
  <c r="H6" i="338"/>
  <c r="F6" i="338"/>
  <c r="F12" i="338" s="1"/>
  <c r="D6" i="338"/>
  <c r="Y12" i="340" l="1"/>
  <c r="V16" i="340" s="1"/>
  <c r="V24" i="340" s="1"/>
  <c r="V12" i="339"/>
  <c r="Y9" i="339"/>
  <c r="J12" i="339"/>
  <c r="Y6" i="339"/>
  <c r="Y8" i="339"/>
  <c r="Y7" i="339"/>
  <c r="D12" i="339"/>
  <c r="B21" i="339"/>
  <c r="T12" i="338"/>
  <c r="Y6" i="338"/>
  <c r="Y9" i="338"/>
  <c r="J12" i="338"/>
  <c r="V12" i="338"/>
  <c r="Y7" i="338"/>
  <c r="L12" i="338"/>
  <c r="H12" i="338"/>
  <c r="Y8" i="338"/>
  <c r="B21" i="338"/>
  <c r="D12" i="338"/>
  <c r="V25" i="336"/>
  <c r="F22" i="336"/>
  <c r="S19" i="336"/>
  <c r="S20" i="336" s="1"/>
  <c r="Q19" i="336"/>
  <c r="Q20" i="336" s="1"/>
  <c r="P19" i="336"/>
  <c r="P20" i="336" s="1"/>
  <c r="M19" i="336"/>
  <c r="M20" i="336" s="1"/>
  <c r="L19" i="336"/>
  <c r="L20" i="336" s="1"/>
  <c r="J19" i="336"/>
  <c r="J20" i="336" s="1"/>
  <c r="H19" i="336"/>
  <c r="H20" i="336" s="1"/>
  <c r="F19" i="336"/>
  <c r="F20" i="336" s="1"/>
  <c r="O18" i="336"/>
  <c r="O19" i="336" s="1"/>
  <c r="O20" i="336" s="1"/>
  <c r="F18" i="336"/>
  <c r="D18" i="336"/>
  <c r="D19" i="336" s="1"/>
  <c r="D20" i="336" s="1"/>
  <c r="W12" i="336"/>
  <c r="K18" i="336" s="1"/>
  <c r="K19" i="336" s="1"/>
  <c r="K20" i="336" s="1"/>
  <c r="U12" i="336"/>
  <c r="I18" i="336" s="1"/>
  <c r="I19" i="336" s="1"/>
  <c r="I20" i="336" s="1"/>
  <c r="S12" i="336"/>
  <c r="Q12" i="336"/>
  <c r="P12" i="336"/>
  <c r="O12" i="336"/>
  <c r="N18" i="336" s="1"/>
  <c r="N19" i="336" s="1"/>
  <c r="N20" i="336" s="1"/>
  <c r="M12" i="336"/>
  <c r="K12" i="336"/>
  <c r="G18" i="336" s="1"/>
  <c r="G19" i="336" s="1"/>
  <c r="G20" i="336" s="1"/>
  <c r="I12" i="336"/>
  <c r="G12" i="336"/>
  <c r="E18" i="336" s="1"/>
  <c r="E19" i="336" s="1"/>
  <c r="E20" i="336" s="1"/>
  <c r="E12" i="336"/>
  <c r="C12" i="336"/>
  <c r="B18" i="336" s="1"/>
  <c r="B19" i="336" s="1"/>
  <c r="B20" i="336" s="1"/>
  <c r="X11" i="336"/>
  <c r="V11" i="336"/>
  <c r="T11" i="336"/>
  <c r="R11" i="336"/>
  <c r="P11" i="336"/>
  <c r="N11" i="336"/>
  <c r="L11" i="336"/>
  <c r="J11" i="336"/>
  <c r="H11" i="336"/>
  <c r="F11" i="336"/>
  <c r="D11" i="336"/>
  <c r="Y11" i="336" s="1"/>
  <c r="X10" i="336"/>
  <c r="V10" i="336"/>
  <c r="T10" i="336"/>
  <c r="R10" i="336"/>
  <c r="P10" i="336"/>
  <c r="N10" i="336"/>
  <c r="L10" i="336"/>
  <c r="J10" i="336"/>
  <c r="H10" i="336"/>
  <c r="F10" i="336"/>
  <c r="D10" i="336"/>
  <c r="Y10" i="336" s="1"/>
  <c r="X9" i="336"/>
  <c r="V9" i="336"/>
  <c r="T9" i="336"/>
  <c r="R9" i="336"/>
  <c r="P9" i="336"/>
  <c r="N9" i="336"/>
  <c r="L9" i="336"/>
  <c r="J9" i="336"/>
  <c r="H9" i="336"/>
  <c r="F9" i="336"/>
  <c r="D9" i="336"/>
  <c r="X8" i="336"/>
  <c r="V8" i="336"/>
  <c r="T8" i="336"/>
  <c r="R8" i="336"/>
  <c r="P8" i="336"/>
  <c r="N8" i="336"/>
  <c r="L8" i="336"/>
  <c r="J8" i="336"/>
  <c r="H8" i="336"/>
  <c r="F8" i="336"/>
  <c r="D8" i="336"/>
  <c r="X7" i="336"/>
  <c r="V7" i="336"/>
  <c r="T7" i="336"/>
  <c r="R7" i="336"/>
  <c r="P7" i="336"/>
  <c r="N7" i="336"/>
  <c r="L7" i="336"/>
  <c r="J7" i="336"/>
  <c r="H7" i="336"/>
  <c r="F7" i="336"/>
  <c r="D7" i="336"/>
  <c r="X6" i="336"/>
  <c r="X12" i="336" s="1"/>
  <c r="V6" i="336"/>
  <c r="T6" i="336"/>
  <c r="T12" i="336" s="1"/>
  <c r="R6" i="336"/>
  <c r="R12" i="336" s="1"/>
  <c r="P6" i="336"/>
  <c r="N6" i="336"/>
  <c r="N12" i="336" s="1"/>
  <c r="L6" i="336"/>
  <c r="J6" i="336"/>
  <c r="J12" i="336" s="1"/>
  <c r="H6" i="336"/>
  <c r="F6" i="336"/>
  <c r="F12" i="336" s="1"/>
  <c r="D6" i="336"/>
  <c r="Y12" i="339" l="1"/>
  <c r="V16" i="339" s="1"/>
  <c r="V24" i="339" s="1"/>
  <c r="Y12" i="338"/>
  <c r="V16" i="338" s="1"/>
  <c r="V24" i="338" s="1"/>
  <c r="V12" i="336"/>
  <c r="H12" i="336"/>
  <c r="Y7" i="336"/>
  <c r="Y6" i="336"/>
  <c r="L12" i="336"/>
  <c r="Y8" i="336"/>
  <c r="Y9" i="336"/>
  <c r="B21" i="336"/>
  <c r="D12" i="336"/>
  <c r="V25" i="335"/>
  <c r="F22" i="335"/>
  <c r="S19" i="335"/>
  <c r="S20" i="335" s="1"/>
  <c r="Q19" i="335"/>
  <c r="Q20" i="335" s="1"/>
  <c r="P19" i="335"/>
  <c r="P20" i="335" s="1"/>
  <c r="M19" i="335"/>
  <c r="M20" i="335" s="1"/>
  <c r="L19" i="335"/>
  <c r="L20" i="335" s="1"/>
  <c r="J19" i="335"/>
  <c r="J20" i="335" s="1"/>
  <c r="H19" i="335"/>
  <c r="H20" i="335" s="1"/>
  <c r="O18" i="335"/>
  <c r="O19" i="335" s="1"/>
  <c r="O20" i="335" s="1"/>
  <c r="W12" i="335"/>
  <c r="K18" i="335" s="1"/>
  <c r="K19" i="335" s="1"/>
  <c r="K20" i="335" s="1"/>
  <c r="U12" i="335"/>
  <c r="I18" i="335" s="1"/>
  <c r="I19" i="335" s="1"/>
  <c r="I20" i="335" s="1"/>
  <c r="S12" i="335"/>
  <c r="Q12" i="335"/>
  <c r="O12" i="335"/>
  <c r="N18" i="335" s="1"/>
  <c r="N19" i="335" s="1"/>
  <c r="N20" i="335" s="1"/>
  <c r="M12" i="335"/>
  <c r="K12" i="335"/>
  <c r="G18" i="335" s="1"/>
  <c r="G19" i="335" s="1"/>
  <c r="G20" i="335" s="1"/>
  <c r="I12" i="335"/>
  <c r="F18" i="335" s="1"/>
  <c r="F19" i="335" s="1"/>
  <c r="F20" i="335" s="1"/>
  <c r="G12" i="335"/>
  <c r="E18" i="335" s="1"/>
  <c r="E19" i="335" s="1"/>
  <c r="E20" i="335" s="1"/>
  <c r="E12" i="335"/>
  <c r="D18" i="335" s="1"/>
  <c r="D19" i="335" s="1"/>
  <c r="D20" i="335" s="1"/>
  <c r="C12" i="335"/>
  <c r="B18" i="335" s="1"/>
  <c r="B19" i="335" s="1"/>
  <c r="B20" i="335" s="1"/>
  <c r="X11" i="335"/>
  <c r="V11" i="335"/>
  <c r="T11" i="335"/>
  <c r="R11" i="335"/>
  <c r="P11" i="335"/>
  <c r="N11" i="335"/>
  <c r="L11" i="335"/>
  <c r="J11" i="335"/>
  <c r="H11" i="335"/>
  <c r="F11" i="335"/>
  <c r="D11" i="335"/>
  <c r="Y11" i="335" s="1"/>
  <c r="X10" i="335"/>
  <c r="V10" i="335"/>
  <c r="T10" i="335"/>
  <c r="R10" i="335"/>
  <c r="P10" i="335"/>
  <c r="N10" i="335"/>
  <c r="L10" i="335"/>
  <c r="J10" i="335"/>
  <c r="H10" i="335"/>
  <c r="F10" i="335"/>
  <c r="D10" i="335"/>
  <c r="X9" i="335"/>
  <c r="V9" i="335"/>
  <c r="T9" i="335"/>
  <c r="R9" i="335"/>
  <c r="P9" i="335"/>
  <c r="N9" i="335"/>
  <c r="L9" i="335"/>
  <c r="J9" i="335"/>
  <c r="H9" i="335"/>
  <c r="F9" i="335"/>
  <c r="D9" i="335"/>
  <c r="X8" i="335"/>
  <c r="V8" i="335"/>
  <c r="T8" i="335"/>
  <c r="R8" i="335"/>
  <c r="P8" i="335"/>
  <c r="N8" i="335"/>
  <c r="L8" i="335"/>
  <c r="J8" i="335"/>
  <c r="H8" i="335"/>
  <c r="F8" i="335"/>
  <c r="D8" i="335"/>
  <c r="X7" i="335"/>
  <c r="V7" i="335"/>
  <c r="T7" i="335"/>
  <c r="R7" i="335"/>
  <c r="P7" i="335"/>
  <c r="N7" i="335"/>
  <c r="L7" i="335"/>
  <c r="J7" i="335"/>
  <c r="H7" i="335"/>
  <c r="F7" i="335"/>
  <c r="D7" i="335"/>
  <c r="X6" i="335"/>
  <c r="V6" i="335"/>
  <c r="T6" i="335"/>
  <c r="R6" i="335"/>
  <c r="R12" i="335" s="1"/>
  <c r="P6" i="335"/>
  <c r="P12" i="335" s="1"/>
  <c r="N6" i="335"/>
  <c r="N12" i="335" s="1"/>
  <c r="L6" i="335"/>
  <c r="J6" i="335"/>
  <c r="J12" i="335" s="1"/>
  <c r="H6" i="335"/>
  <c r="F6" i="335"/>
  <c r="F12" i="335" s="1"/>
  <c r="D6" i="335"/>
  <c r="V25" i="334"/>
  <c r="F22" i="334"/>
  <c r="S19" i="334"/>
  <c r="S20" i="334" s="1"/>
  <c r="Q19" i="334"/>
  <c r="Q20" i="334" s="1"/>
  <c r="P19" i="334"/>
  <c r="P20" i="334" s="1"/>
  <c r="O19" i="334"/>
  <c r="O20" i="334" s="1"/>
  <c r="M19" i="334"/>
  <c r="M20" i="334" s="1"/>
  <c r="L19" i="334"/>
  <c r="L20" i="334" s="1"/>
  <c r="J19" i="334"/>
  <c r="J20" i="334" s="1"/>
  <c r="H19" i="334"/>
  <c r="H20" i="334" s="1"/>
  <c r="O18" i="334"/>
  <c r="N18" i="334"/>
  <c r="N19" i="334" s="1"/>
  <c r="N20" i="334" s="1"/>
  <c r="D18" i="334"/>
  <c r="D19" i="334" s="1"/>
  <c r="D20" i="334" s="1"/>
  <c r="W12" i="334"/>
  <c r="K18" i="334" s="1"/>
  <c r="K19" i="334" s="1"/>
  <c r="K20" i="334" s="1"/>
  <c r="U12" i="334"/>
  <c r="I18" i="334" s="1"/>
  <c r="I19" i="334" s="1"/>
  <c r="I20" i="334" s="1"/>
  <c r="S12" i="334"/>
  <c r="Q12" i="334"/>
  <c r="P12" i="334"/>
  <c r="O12" i="334"/>
  <c r="M12" i="334"/>
  <c r="K12" i="334"/>
  <c r="G18" i="334" s="1"/>
  <c r="G19" i="334" s="1"/>
  <c r="G20" i="334" s="1"/>
  <c r="I12" i="334"/>
  <c r="F18" i="334" s="1"/>
  <c r="F19" i="334" s="1"/>
  <c r="F20" i="334" s="1"/>
  <c r="G12" i="334"/>
  <c r="E18" i="334" s="1"/>
  <c r="E19" i="334" s="1"/>
  <c r="E20" i="334" s="1"/>
  <c r="E12" i="334"/>
  <c r="C12" i="334"/>
  <c r="B18" i="334" s="1"/>
  <c r="B19" i="334" s="1"/>
  <c r="B20" i="334" s="1"/>
  <c r="X11" i="334"/>
  <c r="V11" i="334"/>
  <c r="T11" i="334"/>
  <c r="R11" i="334"/>
  <c r="P11" i="334"/>
  <c r="N11" i="334"/>
  <c r="L11" i="334"/>
  <c r="J11" i="334"/>
  <c r="H11" i="334"/>
  <c r="F11" i="334"/>
  <c r="D11" i="334"/>
  <c r="X10" i="334"/>
  <c r="V10" i="334"/>
  <c r="T10" i="334"/>
  <c r="R10" i="334"/>
  <c r="P10" i="334"/>
  <c r="N10" i="334"/>
  <c r="L10" i="334"/>
  <c r="J10" i="334"/>
  <c r="H10" i="334"/>
  <c r="F10" i="334"/>
  <c r="D10" i="334"/>
  <c r="X9" i="334"/>
  <c r="V9" i="334"/>
  <c r="T9" i="334"/>
  <c r="R9" i="334"/>
  <c r="P9" i="334"/>
  <c r="N9" i="334"/>
  <c r="L9" i="334"/>
  <c r="J9" i="334"/>
  <c r="H9" i="334"/>
  <c r="F9" i="334"/>
  <c r="D9" i="334"/>
  <c r="X8" i="334"/>
  <c r="V8" i="334"/>
  <c r="T8" i="334"/>
  <c r="R8" i="334"/>
  <c r="P8" i="334"/>
  <c r="N8" i="334"/>
  <c r="L8" i="334"/>
  <c r="J8" i="334"/>
  <c r="H8" i="334"/>
  <c r="H12" i="334" s="1"/>
  <c r="F8" i="334"/>
  <c r="D8" i="334"/>
  <c r="X7" i="334"/>
  <c r="X12" i="334" s="1"/>
  <c r="V7" i="334"/>
  <c r="T7" i="334"/>
  <c r="R7" i="334"/>
  <c r="P7" i="334"/>
  <c r="N7" i="334"/>
  <c r="L7" i="334"/>
  <c r="J7" i="334"/>
  <c r="H7" i="334"/>
  <c r="F7" i="334"/>
  <c r="D7" i="334"/>
  <c r="X6" i="334"/>
  <c r="V6" i="334"/>
  <c r="T6" i="334"/>
  <c r="R6" i="334"/>
  <c r="R12" i="334" s="1"/>
  <c r="P6" i="334"/>
  <c r="N6" i="334"/>
  <c r="N12" i="334" s="1"/>
  <c r="L6" i="334"/>
  <c r="J6" i="334"/>
  <c r="H6" i="334"/>
  <c r="F6" i="334"/>
  <c r="F12" i="334" s="1"/>
  <c r="D6" i="334"/>
  <c r="D6" i="286"/>
  <c r="Y12" i="336" l="1"/>
  <c r="V16" i="336" s="1"/>
  <c r="V24" i="336" s="1"/>
  <c r="Y7" i="335"/>
  <c r="X12" i="335"/>
  <c r="V12" i="335"/>
  <c r="T12" i="335"/>
  <c r="L12" i="335"/>
  <c r="Y6" i="335"/>
  <c r="Y10" i="335"/>
  <c r="Y9" i="335"/>
  <c r="H12" i="335"/>
  <c r="Y8" i="335"/>
  <c r="B21" i="335"/>
  <c r="D12" i="335"/>
  <c r="T12" i="334"/>
  <c r="L12" i="334"/>
  <c r="J12" i="334"/>
  <c r="D12" i="334"/>
  <c r="Y12" i="334" s="1"/>
  <c r="V16" i="334" s="1"/>
  <c r="V24" i="334" s="1"/>
  <c r="Y11" i="334"/>
  <c r="V12" i="334"/>
  <c r="Y9" i="334"/>
  <c r="Y7" i="334"/>
  <c r="Y8" i="334"/>
  <c r="Y10" i="334"/>
  <c r="B21" i="334"/>
  <c r="Y6" i="334"/>
  <c r="Y12" i="335" l="1"/>
  <c r="V16" i="335" s="1"/>
  <c r="V24" i="335" s="1"/>
  <c r="V25" i="333"/>
  <c r="F22" i="333"/>
  <c r="S19" i="333"/>
  <c r="S20" i="333" s="1"/>
  <c r="Q19" i="333"/>
  <c r="Q20" i="333" s="1"/>
  <c r="P19" i="333"/>
  <c r="P20" i="333" s="1"/>
  <c r="M19" i="333"/>
  <c r="M20" i="333" s="1"/>
  <c r="L19" i="333"/>
  <c r="L20" i="333" s="1"/>
  <c r="J19" i="333"/>
  <c r="J20" i="333" s="1"/>
  <c r="H19" i="333"/>
  <c r="H20" i="333" s="1"/>
  <c r="D18" i="333"/>
  <c r="D19" i="333" s="1"/>
  <c r="D20" i="333" s="1"/>
  <c r="X12" i="333"/>
  <c r="W12" i="333"/>
  <c r="K18" i="333" s="1"/>
  <c r="K19" i="333" s="1"/>
  <c r="K20" i="333" s="1"/>
  <c r="U12" i="333"/>
  <c r="I18" i="333" s="1"/>
  <c r="I19" i="333" s="1"/>
  <c r="I20" i="333" s="1"/>
  <c r="S12" i="333"/>
  <c r="Q12" i="333"/>
  <c r="O18" i="333" s="1"/>
  <c r="O19" i="333" s="1"/>
  <c r="O20" i="333" s="1"/>
  <c r="P12" i="333"/>
  <c r="O12" i="333"/>
  <c r="N18" i="333" s="1"/>
  <c r="N19" i="333" s="1"/>
  <c r="N20" i="333" s="1"/>
  <c r="M12" i="333"/>
  <c r="K12" i="333"/>
  <c r="G18" i="333" s="1"/>
  <c r="G19" i="333" s="1"/>
  <c r="G20" i="333" s="1"/>
  <c r="I12" i="333"/>
  <c r="F18" i="333" s="1"/>
  <c r="F19" i="333" s="1"/>
  <c r="F20" i="333" s="1"/>
  <c r="H12" i="333"/>
  <c r="G12" i="333"/>
  <c r="E18" i="333" s="1"/>
  <c r="E19" i="333" s="1"/>
  <c r="E20" i="333" s="1"/>
  <c r="E12" i="333"/>
  <c r="C12" i="333"/>
  <c r="B18" i="333" s="1"/>
  <c r="B19" i="333" s="1"/>
  <c r="B20" i="333" s="1"/>
  <c r="X11" i="333"/>
  <c r="V11" i="333"/>
  <c r="T11" i="333"/>
  <c r="T12" i="333" s="1"/>
  <c r="R11" i="333"/>
  <c r="P11" i="333"/>
  <c r="N11" i="333"/>
  <c r="L11" i="333"/>
  <c r="J11" i="333"/>
  <c r="H11" i="333"/>
  <c r="F11" i="333"/>
  <c r="D11" i="333"/>
  <c r="X10" i="333"/>
  <c r="V10" i="333"/>
  <c r="T10" i="333"/>
  <c r="R10" i="333"/>
  <c r="P10" i="333"/>
  <c r="N10" i="333"/>
  <c r="L10" i="333"/>
  <c r="J10" i="333"/>
  <c r="H10" i="333"/>
  <c r="F10" i="333"/>
  <c r="D10" i="333"/>
  <c r="X9" i="333"/>
  <c r="V9" i="333"/>
  <c r="T9" i="333"/>
  <c r="R9" i="333"/>
  <c r="P9" i="333"/>
  <c r="N9" i="333"/>
  <c r="L9" i="333"/>
  <c r="J9" i="333"/>
  <c r="H9" i="333"/>
  <c r="F9" i="333"/>
  <c r="D9" i="333"/>
  <c r="Y9" i="333" s="1"/>
  <c r="X8" i="333"/>
  <c r="V8" i="333"/>
  <c r="T8" i="333"/>
  <c r="R8" i="333"/>
  <c r="P8" i="333"/>
  <c r="N8" i="333"/>
  <c r="L8" i="333"/>
  <c r="J8" i="333"/>
  <c r="H8" i="333"/>
  <c r="F8" i="333"/>
  <c r="D8" i="333"/>
  <c r="X7" i="333"/>
  <c r="V7" i="333"/>
  <c r="T7" i="333"/>
  <c r="R7" i="333"/>
  <c r="P7" i="333"/>
  <c r="N7" i="333"/>
  <c r="L7" i="333"/>
  <c r="J7" i="333"/>
  <c r="H7" i="333"/>
  <c r="F7" i="333"/>
  <c r="D7" i="333"/>
  <c r="X6" i="333"/>
  <c r="V6" i="333"/>
  <c r="T6" i="333"/>
  <c r="R6" i="333"/>
  <c r="R12" i="333" s="1"/>
  <c r="P6" i="333"/>
  <c r="N6" i="333"/>
  <c r="N12" i="333" s="1"/>
  <c r="L6" i="333"/>
  <c r="J6" i="333"/>
  <c r="J12" i="333" s="1"/>
  <c r="H6" i="333"/>
  <c r="F6" i="333"/>
  <c r="F12" i="333" s="1"/>
  <c r="D6" i="333"/>
  <c r="Y7" i="333" l="1"/>
  <c r="L12" i="333"/>
  <c r="Y10" i="333"/>
  <c r="V12" i="333"/>
  <c r="Y8" i="333"/>
  <c r="Y6" i="333"/>
  <c r="D12" i="333"/>
  <c r="Y11" i="333"/>
  <c r="B21" i="333"/>
  <c r="Y12" i="333" l="1"/>
  <c r="V16" i="333" s="1"/>
  <c r="V24" i="333" s="1"/>
  <c r="V25" i="332" l="1"/>
  <c r="F22" i="332"/>
  <c r="S19" i="332"/>
  <c r="S20" i="332" s="1"/>
  <c r="Q19" i="332"/>
  <c r="Q20" i="332" s="1"/>
  <c r="P19" i="332"/>
  <c r="P20" i="332" s="1"/>
  <c r="O19" i="332"/>
  <c r="O20" i="332" s="1"/>
  <c r="M19" i="332"/>
  <c r="M20" i="332" s="1"/>
  <c r="L19" i="332"/>
  <c r="L20" i="332" s="1"/>
  <c r="J19" i="332"/>
  <c r="J20" i="332" s="1"/>
  <c r="H19" i="332"/>
  <c r="H20" i="332" s="1"/>
  <c r="O18" i="332"/>
  <c r="X12" i="332"/>
  <c r="W12" i="332"/>
  <c r="K18" i="332" s="1"/>
  <c r="K19" i="332" s="1"/>
  <c r="K20" i="332" s="1"/>
  <c r="U12" i="332"/>
  <c r="I18" i="332" s="1"/>
  <c r="I19" i="332" s="1"/>
  <c r="I20" i="332" s="1"/>
  <c r="T12" i="332"/>
  <c r="S12" i="332"/>
  <c r="Q12" i="332"/>
  <c r="P12" i="332"/>
  <c r="O12" i="332"/>
  <c r="N18" i="332" s="1"/>
  <c r="N19" i="332" s="1"/>
  <c r="N20" i="332" s="1"/>
  <c r="M12" i="332"/>
  <c r="K12" i="332"/>
  <c r="G18" i="332" s="1"/>
  <c r="G19" i="332" s="1"/>
  <c r="G20" i="332" s="1"/>
  <c r="I12" i="332"/>
  <c r="F18" i="332" s="1"/>
  <c r="F19" i="332" s="1"/>
  <c r="F20" i="332" s="1"/>
  <c r="H12" i="332"/>
  <c r="G12" i="332"/>
  <c r="E18" i="332" s="1"/>
  <c r="E19" i="332" s="1"/>
  <c r="E20" i="332" s="1"/>
  <c r="E12" i="332"/>
  <c r="D18" i="332" s="1"/>
  <c r="D19" i="332" s="1"/>
  <c r="D20" i="332" s="1"/>
  <c r="C12" i="332"/>
  <c r="B18" i="332" s="1"/>
  <c r="B19" i="332" s="1"/>
  <c r="B20" i="332" s="1"/>
  <c r="X11" i="332"/>
  <c r="V11" i="332"/>
  <c r="T11" i="332"/>
  <c r="R11" i="332"/>
  <c r="P11" i="332"/>
  <c r="N11" i="332"/>
  <c r="L11" i="332"/>
  <c r="J11" i="332"/>
  <c r="H11" i="332"/>
  <c r="F11" i="332"/>
  <c r="D11" i="332"/>
  <c r="Y11" i="332" s="1"/>
  <c r="X10" i="332"/>
  <c r="V10" i="332"/>
  <c r="T10" i="332"/>
  <c r="R10" i="332"/>
  <c r="P10" i="332"/>
  <c r="N10" i="332"/>
  <c r="L10" i="332"/>
  <c r="J10" i="332"/>
  <c r="H10" i="332"/>
  <c r="F10" i="332"/>
  <c r="D10" i="332"/>
  <c r="X9" i="332"/>
  <c r="V9" i="332"/>
  <c r="T9" i="332"/>
  <c r="R9" i="332"/>
  <c r="P9" i="332"/>
  <c r="N9" i="332"/>
  <c r="L9" i="332"/>
  <c r="J9" i="332"/>
  <c r="H9" i="332"/>
  <c r="F9" i="332"/>
  <c r="D9" i="332"/>
  <c r="X8" i="332"/>
  <c r="V8" i="332"/>
  <c r="T8" i="332"/>
  <c r="R8" i="332"/>
  <c r="P8" i="332"/>
  <c r="N8" i="332"/>
  <c r="L8" i="332"/>
  <c r="J8" i="332"/>
  <c r="H8" i="332"/>
  <c r="F8" i="332"/>
  <c r="D8" i="332"/>
  <c r="Y8" i="332" s="1"/>
  <c r="X7" i="332"/>
  <c r="V7" i="332"/>
  <c r="T7" i="332"/>
  <c r="R7" i="332"/>
  <c r="P7" i="332"/>
  <c r="N7" i="332"/>
  <c r="L7" i="332"/>
  <c r="J7" i="332"/>
  <c r="H7" i="332"/>
  <c r="F7" i="332"/>
  <c r="D7" i="332"/>
  <c r="X6" i="332"/>
  <c r="V6" i="332"/>
  <c r="T6" i="332"/>
  <c r="R6" i="332"/>
  <c r="R12" i="332" s="1"/>
  <c r="P6" i="332"/>
  <c r="N6" i="332"/>
  <c r="N12" i="332" s="1"/>
  <c r="L6" i="332"/>
  <c r="J6" i="332"/>
  <c r="J12" i="332" s="1"/>
  <c r="H6" i="332"/>
  <c r="F6" i="332"/>
  <c r="D6" i="332"/>
  <c r="Y6" i="332" s="1"/>
  <c r="V12" i="332" l="1"/>
  <c r="Y7" i="332"/>
  <c r="L12" i="332"/>
  <c r="Y9" i="332"/>
  <c r="Y10" i="332"/>
  <c r="F12" i="332"/>
  <c r="D12" i="332"/>
  <c r="Y12" i="332" s="1"/>
  <c r="V16" i="332" s="1"/>
  <c r="V24" i="332" s="1"/>
  <c r="B21" i="332"/>
  <c r="V25" i="331" l="1"/>
  <c r="F22" i="331"/>
  <c r="S19" i="331"/>
  <c r="S20" i="331" s="1"/>
  <c r="Q19" i="331"/>
  <c r="Q20" i="331" s="1"/>
  <c r="P19" i="331"/>
  <c r="P20" i="331" s="1"/>
  <c r="M19" i="331"/>
  <c r="M20" i="331" s="1"/>
  <c r="L19" i="331"/>
  <c r="L20" i="331" s="1"/>
  <c r="J19" i="331"/>
  <c r="J20" i="331" s="1"/>
  <c r="H19" i="331"/>
  <c r="H20" i="331" s="1"/>
  <c r="D18" i="331"/>
  <c r="D19" i="331" s="1"/>
  <c r="D20" i="331" s="1"/>
  <c r="W12" i="331"/>
  <c r="K18" i="331" s="1"/>
  <c r="K19" i="331" s="1"/>
  <c r="K20" i="331" s="1"/>
  <c r="U12" i="331"/>
  <c r="I18" i="331" s="1"/>
  <c r="I19" i="331" s="1"/>
  <c r="I20" i="331" s="1"/>
  <c r="T12" i="331"/>
  <c r="S12" i="331"/>
  <c r="Q12" i="331"/>
  <c r="O18" i="331" s="1"/>
  <c r="O19" i="331" s="1"/>
  <c r="O20" i="331" s="1"/>
  <c r="P12" i="331"/>
  <c r="O12" i="331"/>
  <c r="N18" i="331" s="1"/>
  <c r="N19" i="331" s="1"/>
  <c r="N20" i="331" s="1"/>
  <c r="M12" i="331"/>
  <c r="K12" i="331"/>
  <c r="G18" i="331" s="1"/>
  <c r="G19" i="331" s="1"/>
  <c r="G20" i="331" s="1"/>
  <c r="I12" i="331"/>
  <c r="F18" i="331" s="1"/>
  <c r="F19" i="331" s="1"/>
  <c r="F20" i="331" s="1"/>
  <c r="H12" i="331"/>
  <c r="G12" i="331"/>
  <c r="E18" i="331" s="1"/>
  <c r="E19" i="331" s="1"/>
  <c r="E20" i="331" s="1"/>
  <c r="E12" i="331"/>
  <c r="C12" i="331"/>
  <c r="B18" i="331" s="1"/>
  <c r="B19" i="331" s="1"/>
  <c r="B20" i="331" s="1"/>
  <c r="X11" i="331"/>
  <c r="V11" i="331"/>
  <c r="T11" i="331"/>
  <c r="R11" i="331"/>
  <c r="P11" i="331"/>
  <c r="N11" i="331"/>
  <c r="L11" i="331"/>
  <c r="J11" i="331"/>
  <c r="H11" i="331"/>
  <c r="F11" i="331"/>
  <c r="D11" i="331"/>
  <c r="Y11" i="331" s="1"/>
  <c r="X10" i="331"/>
  <c r="V10" i="331"/>
  <c r="T10" i="331"/>
  <c r="R10" i="331"/>
  <c r="P10" i="331"/>
  <c r="N10" i="331"/>
  <c r="L10" i="331"/>
  <c r="J10" i="331"/>
  <c r="H10" i="331"/>
  <c r="F10" i="331"/>
  <c r="D10" i="331"/>
  <c r="Y10" i="331" s="1"/>
  <c r="X9" i="331"/>
  <c r="V9" i="331"/>
  <c r="T9" i="331"/>
  <c r="R9" i="331"/>
  <c r="P9" i="331"/>
  <c r="N9" i="331"/>
  <c r="L9" i="331"/>
  <c r="J9" i="331"/>
  <c r="H9" i="331"/>
  <c r="F9" i="331"/>
  <c r="D9" i="331"/>
  <c r="X8" i="331"/>
  <c r="X12" i="331" s="1"/>
  <c r="V8" i="331"/>
  <c r="T8" i="331"/>
  <c r="R8" i="331"/>
  <c r="P8" i="331"/>
  <c r="N8" i="331"/>
  <c r="L8" i="331"/>
  <c r="J8" i="331"/>
  <c r="H8" i="331"/>
  <c r="F8" i="331"/>
  <c r="D8" i="331"/>
  <c r="X7" i="331"/>
  <c r="V7" i="331"/>
  <c r="T7" i="331"/>
  <c r="R7" i="331"/>
  <c r="P7" i="331"/>
  <c r="N7" i="331"/>
  <c r="L7" i="331"/>
  <c r="J7" i="331"/>
  <c r="H7" i="331"/>
  <c r="F7" i="331"/>
  <c r="D7" i="331"/>
  <c r="Y7" i="331" s="1"/>
  <c r="X6" i="331"/>
  <c r="V6" i="331"/>
  <c r="T6" i="331"/>
  <c r="R6" i="331"/>
  <c r="R12" i="331" s="1"/>
  <c r="P6" i="331"/>
  <c r="N6" i="331"/>
  <c r="N12" i="331" s="1"/>
  <c r="L6" i="331"/>
  <c r="J6" i="331"/>
  <c r="H6" i="331"/>
  <c r="F6" i="331"/>
  <c r="F12" i="331" s="1"/>
  <c r="D6" i="331"/>
  <c r="Y6" i="331" s="1"/>
  <c r="V25" i="330"/>
  <c r="F22" i="330"/>
  <c r="S19" i="330"/>
  <c r="S20" i="330" s="1"/>
  <c r="Q19" i="330"/>
  <c r="Q20" i="330" s="1"/>
  <c r="P19" i="330"/>
  <c r="P20" i="330" s="1"/>
  <c r="M19" i="330"/>
  <c r="M20" i="330" s="1"/>
  <c r="L19" i="330"/>
  <c r="L20" i="330" s="1"/>
  <c r="J19" i="330"/>
  <c r="J20" i="330" s="1"/>
  <c r="H19" i="330"/>
  <c r="H20" i="330" s="1"/>
  <c r="O18" i="330"/>
  <c r="O19" i="330" s="1"/>
  <c r="O20" i="330" s="1"/>
  <c r="D18" i="330"/>
  <c r="D19" i="330" s="1"/>
  <c r="D20" i="330" s="1"/>
  <c r="W12" i="330"/>
  <c r="K18" i="330" s="1"/>
  <c r="K19" i="330" s="1"/>
  <c r="K20" i="330" s="1"/>
  <c r="U12" i="330"/>
  <c r="I18" i="330" s="1"/>
  <c r="I19" i="330" s="1"/>
  <c r="I20" i="330" s="1"/>
  <c r="S12" i="330"/>
  <c r="Q12" i="330"/>
  <c r="P12" i="330"/>
  <c r="O12" i="330"/>
  <c r="N18" i="330" s="1"/>
  <c r="N19" i="330" s="1"/>
  <c r="N20" i="330" s="1"/>
  <c r="M12" i="330"/>
  <c r="K12" i="330"/>
  <c r="G18" i="330" s="1"/>
  <c r="G19" i="330" s="1"/>
  <c r="G20" i="330" s="1"/>
  <c r="I12" i="330"/>
  <c r="F18" i="330" s="1"/>
  <c r="F19" i="330" s="1"/>
  <c r="F20" i="330" s="1"/>
  <c r="G12" i="330"/>
  <c r="E18" i="330" s="1"/>
  <c r="E19" i="330" s="1"/>
  <c r="E20" i="330" s="1"/>
  <c r="E12" i="330"/>
  <c r="C12" i="330"/>
  <c r="B18" i="330" s="1"/>
  <c r="B19" i="330" s="1"/>
  <c r="B20" i="330" s="1"/>
  <c r="X11" i="330"/>
  <c r="V11" i="330"/>
  <c r="T11" i="330"/>
  <c r="R11" i="330"/>
  <c r="P11" i="330"/>
  <c r="N11" i="330"/>
  <c r="L11" i="330"/>
  <c r="J11" i="330"/>
  <c r="H11" i="330"/>
  <c r="F11" i="330"/>
  <c r="D11" i="330"/>
  <c r="Y11" i="330" s="1"/>
  <c r="X10" i="330"/>
  <c r="V10" i="330"/>
  <c r="T10" i="330"/>
  <c r="R10" i="330"/>
  <c r="P10" i="330"/>
  <c r="N10" i="330"/>
  <c r="L10" i="330"/>
  <c r="J10" i="330"/>
  <c r="H10" i="330"/>
  <c r="F10" i="330"/>
  <c r="D10" i="330"/>
  <c r="Y10" i="330" s="1"/>
  <c r="X9" i="330"/>
  <c r="V9" i="330"/>
  <c r="T9" i="330"/>
  <c r="R9" i="330"/>
  <c r="P9" i="330"/>
  <c r="N9" i="330"/>
  <c r="L9" i="330"/>
  <c r="J9" i="330"/>
  <c r="H9" i="330"/>
  <c r="F9" i="330"/>
  <c r="D9" i="330"/>
  <c r="X8" i="330"/>
  <c r="X12" i="330" s="1"/>
  <c r="V8" i="330"/>
  <c r="T8" i="330"/>
  <c r="R8" i="330"/>
  <c r="P8" i="330"/>
  <c r="N8" i="330"/>
  <c r="L8" i="330"/>
  <c r="J8" i="330"/>
  <c r="H8" i="330"/>
  <c r="F8" i="330"/>
  <c r="D8" i="330"/>
  <c r="X7" i="330"/>
  <c r="V7" i="330"/>
  <c r="T7" i="330"/>
  <c r="R7" i="330"/>
  <c r="P7" i="330"/>
  <c r="N7" i="330"/>
  <c r="L7" i="330"/>
  <c r="J7" i="330"/>
  <c r="H7" i="330"/>
  <c r="F7" i="330"/>
  <c r="D7" i="330"/>
  <c r="X6" i="330"/>
  <c r="V6" i="330"/>
  <c r="T6" i="330"/>
  <c r="T12" i="330" s="1"/>
  <c r="R6" i="330"/>
  <c r="R12" i="330" s="1"/>
  <c r="P6" i="330"/>
  <c r="N6" i="330"/>
  <c r="N12" i="330" s="1"/>
  <c r="L6" i="330"/>
  <c r="J6" i="330"/>
  <c r="H6" i="330"/>
  <c r="H12" i="330" s="1"/>
  <c r="F6" i="330"/>
  <c r="F12" i="330" s="1"/>
  <c r="D6" i="330"/>
  <c r="L7" i="329"/>
  <c r="L8" i="329"/>
  <c r="L9" i="329"/>
  <c r="L10" i="329"/>
  <c r="L11" i="329"/>
  <c r="L6" i="329"/>
  <c r="V12" i="331" l="1"/>
  <c r="Y9" i="331"/>
  <c r="J12" i="331"/>
  <c r="L12" i="331"/>
  <c r="Y8" i="331"/>
  <c r="D12" i="331"/>
  <c r="B21" i="331"/>
  <c r="L12" i="330"/>
  <c r="Y6" i="330"/>
  <c r="V12" i="330"/>
  <c r="Y9" i="330"/>
  <c r="Y8" i="330"/>
  <c r="J12" i="330"/>
  <c r="Y7" i="330"/>
  <c r="B21" i="330"/>
  <c r="D12" i="330"/>
  <c r="V25" i="329"/>
  <c r="F22" i="329"/>
  <c r="S19" i="329"/>
  <c r="S20" i="329" s="1"/>
  <c r="Q19" i="329"/>
  <c r="Q20" i="329" s="1"/>
  <c r="P19" i="329"/>
  <c r="P20" i="329" s="1"/>
  <c r="M19" i="329"/>
  <c r="M20" i="329" s="1"/>
  <c r="L19" i="329"/>
  <c r="L20" i="329" s="1"/>
  <c r="J19" i="329"/>
  <c r="J20" i="329" s="1"/>
  <c r="H19" i="329"/>
  <c r="H20" i="329" s="1"/>
  <c r="D18" i="329"/>
  <c r="D19" i="329" s="1"/>
  <c r="D20" i="329" s="1"/>
  <c r="W12" i="329"/>
  <c r="K18" i="329" s="1"/>
  <c r="K19" i="329" s="1"/>
  <c r="K20" i="329" s="1"/>
  <c r="U12" i="329"/>
  <c r="I18" i="329" s="1"/>
  <c r="I19" i="329" s="1"/>
  <c r="I20" i="329" s="1"/>
  <c r="S12" i="329"/>
  <c r="Q12" i="329"/>
  <c r="O18" i="329" s="1"/>
  <c r="O19" i="329" s="1"/>
  <c r="O20" i="329" s="1"/>
  <c r="P12" i="329"/>
  <c r="O12" i="329"/>
  <c r="N18" i="329" s="1"/>
  <c r="N19" i="329" s="1"/>
  <c r="N20" i="329" s="1"/>
  <c r="M12" i="329"/>
  <c r="K12" i="329"/>
  <c r="G18" i="329" s="1"/>
  <c r="G19" i="329" s="1"/>
  <c r="G20" i="329" s="1"/>
  <c r="I12" i="329"/>
  <c r="F18" i="329" s="1"/>
  <c r="F19" i="329" s="1"/>
  <c r="F20" i="329" s="1"/>
  <c r="G12" i="329"/>
  <c r="E18" i="329" s="1"/>
  <c r="E19" i="329" s="1"/>
  <c r="E20" i="329" s="1"/>
  <c r="E12" i="329"/>
  <c r="C12" i="329"/>
  <c r="B18" i="329" s="1"/>
  <c r="B19" i="329" s="1"/>
  <c r="B20" i="329" s="1"/>
  <c r="X11" i="329"/>
  <c r="V11" i="329"/>
  <c r="T11" i="329"/>
  <c r="R11" i="329"/>
  <c r="P11" i="329"/>
  <c r="N11" i="329"/>
  <c r="J11" i="329"/>
  <c r="H11" i="329"/>
  <c r="F11" i="329"/>
  <c r="D11" i="329"/>
  <c r="Y11" i="329" s="1"/>
  <c r="X10" i="329"/>
  <c r="V10" i="329"/>
  <c r="T10" i="329"/>
  <c r="R10" i="329"/>
  <c r="P10" i="329"/>
  <c r="N10" i="329"/>
  <c r="J10" i="329"/>
  <c r="H10" i="329"/>
  <c r="F10" i="329"/>
  <c r="D10" i="329"/>
  <c r="Y10" i="329" s="1"/>
  <c r="X9" i="329"/>
  <c r="V9" i="329"/>
  <c r="T9" i="329"/>
  <c r="R9" i="329"/>
  <c r="P9" i="329"/>
  <c r="N9" i="329"/>
  <c r="J9" i="329"/>
  <c r="H9" i="329"/>
  <c r="F9" i="329"/>
  <c r="D9" i="329"/>
  <c r="X8" i="329"/>
  <c r="V8" i="329"/>
  <c r="T8" i="329"/>
  <c r="R8" i="329"/>
  <c r="P8" i="329"/>
  <c r="N8" i="329"/>
  <c r="J8" i="329"/>
  <c r="H8" i="329"/>
  <c r="F8" i="329"/>
  <c r="D8" i="329"/>
  <c r="X7" i="329"/>
  <c r="V7" i="329"/>
  <c r="T7" i="329"/>
  <c r="R7" i="329"/>
  <c r="P7" i="329"/>
  <c r="N7" i="329"/>
  <c r="J7" i="329"/>
  <c r="H7" i="329"/>
  <c r="F7" i="329"/>
  <c r="D7" i="329"/>
  <c r="X6" i="329"/>
  <c r="X12" i="329" s="1"/>
  <c r="V6" i="329"/>
  <c r="T6" i="329"/>
  <c r="R6" i="329"/>
  <c r="R12" i="329" s="1"/>
  <c r="P6" i="329"/>
  <c r="N6" i="329"/>
  <c r="N12" i="329" s="1"/>
  <c r="L12" i="329"/>
  <c r="J6" i="329"/>
  <c r="H6" i="329"/>
  <c r="F6" i="329"/>
  <c r="F12" i="329" s="1"/>
  <c r="D6" i="329"/>
  <c r="J7" i="328"/>
  <c r="J8" i="328"/>
  <c r="J9" i="328"/>
  <c r="J10" i="328"/>
  <c r="J11" i="328"/>
  <c r="V25" i="328"/>
  <c r="F22" i="328"/>
  <c r="S19" i="328"/>
  <c r="S20" i="328" s="1"/>
  <c r="Q19" i="328"/>
  <c r="Q20" i="328" s="1"/>
  <c r="P19" i="328"/>
  <c r="P20" i="328" s="1"/>
  <c r="M19" i="328"/>
  <c r="M20" i="328" s="1"/>
  <c r="L19" i="328"/>
  <c r="L20" i="328" s="1"/>
  <c r="K19" i="328"/>
  <c r="K20" i="328" s="1"/>
  <c r="J19" i="328"/>
  <c r="J20" i="328" s="1"/>
  <c r="H19" i="328"/>
  <c r="H20" i="328" s="1"/>
  <c r="K18" i="328"/>
  <c r="D18" i="328"/>
  <c r="D19" i="328" s="1"/>
  <c r="D20" i="328" s="1"/>
  <c r="X12" i="328"/>
  <c r="W12" i="328"/>
  <c r="U12" i="328"/>
  <c r="I18" i="328" s="1"/>
  <c r="I19" i="328" s="1"/>
  <c r="I20" i="328" s="1"/>
  <c r="S12" i="328"/>
  <c r="Q12" i="328"/>
  <c r="O18" i="328" s="1"/>
  <c r="O19" i="328" s="1"/>
  <c r="O20" i="328" s="1"/>
  <c r="P12" i="328"/>
  <c r="O12" i="328"/>
  <c r="N18" i="328" s="1"/>
  <c r="N19" i="328" s="1"/>
  <c r="N20" i="328" s="1"/>
  <c r="M12" i="328"/>
  <c r="K12" i="328"/>
  <c r="G18" i="328" s="1"/>
  <c r="G19" i="328" s="1"/>
  <c r="G20" i="328" s="1"/>
  <c r="I12" i="328"/>
  <c r="F18" i="328" s="1"/>
  <c r="F19" i="328" s="1"/>
  <c r="F20" i="328" s="1"/>
  <c r="G12" i="328"/>
  <c r="E18" i="328" s="1"/>
  <c r="E19" i="328" s="1"/>
  <c r="E20" i="328" s="1"/>
  <c r="E12" i="328"/>
  <c r="C12" i="328"/>
  <c r="B18" i="328" s="1"/>
  <c r="B19" i="328" s="1"/>
  <c r="B20" i="328" s="1"/>
  <c r="X11" i="328"/>
  <c r="V11" i="328"/>
  <c r="T11" i="328"/>
  <c r="R11" i="328"/>
  <c r="P11" i="328"/>
  <c r="N11" i="328"/>
  <c r="L11" i="328"/>
  <c r="H11" i="328"/>
  <c r="F11" i="328"/>
  <c r="D11" i="328"/>
  <c r="Y11" i="328" s="1"/>
  <c r="X10" i="328"/>
  <c r="V10" i="328"/>
  <c r="T10" i="328"/>
  <c r="R10" i="328"/>
  <c r="P10" i="328"/>
  <c r="N10" i="328"/>
  <c r="L10" i="328"/>
  <c r="H10" i="328"/>
  <c r="F10" i="328"/>
  <c r="D10" i="328"/>
  <c r="X9" i="328"/>
  <c r="V9" i="328"/>
  <c r="T9" i="328"/>
  <c r="R9" i="328"/>
  <c r="P9" i="328"/>
  <c r="N9" i="328"/>
  <c r="L9" i="328"/>
  <c r="H9" i="328"/>
  <c r="F9" i="328"/>
  <c r="D9" i="328"/>
  <c r="X8" i="328"/>
  <c r="V8" i="328"/>
  <c r="T8" i="328"/>
  <c r="R8" i="328"/>
  <c r="P8" i="328"/>
  <c r="N8" i="328"/>
  <c r="L8" i="328"/>
  <c r="H8" i="328"/>
  <c r="F8" i="328"/>
  <c r="D8" i="328"/>
  <c r="X7" i="328"/>
  <c r="V7" i="328"/>
  <c r="T7" i="328"/>
  <c r="T12" i="328" s="1"/>
  <c r="R7" i="328"/>
  <c r="P7" i="328"/>
  <c r="N7" i="328"/>
  <c r="L7" i="328"/>
  <c r="H7" i="328"/>
  <c r="F7" i="328"/>
  <c r="D7" i="328"/>
  <c r="X6" i="328"/>
  <c r="V6" i="328"/>
  <c r="T6" i="328"/>
  <c r="R6" i="328"/>
  <c r="R12" i="328" s="1"/>
  <c r="P6" i="328"/>
  <c r="N6" i="328"/>
  <c r="N12" i="328" s="1"/>
  <c r="L6" i="328"/>
  <c r="J6" i="328"/>
  <c r="H6" i="328"/>
  <c r="F6" i="328"/>
  <c r="F12" i="328" s="1"/>
  <c r="D6" i="328"/>
  <c r="Y12" i="331" l="1"/>
  <c r="V16" i="331" s="1"/>
  <c r="V24" i="331" s="1"/>
  <c r="Y12" i="330"/>
  <c r="V16" i="330" s="1"/>
  <c r="V24" i="330" s="1"/>
  <c r="T12" i="329"/>
  <c r="H12" i="329"/>
  <c r="Y6" i="329"/>
  <c r="V12" i="329"/>
  <c r="Y8" i="329"/>
  <c r="J12" i="329"/>
  <c r="Y9" i="329"/>
  <c r="Y7" i="329"/>
  <c r="D12" i="329"/>
  <c r="B21" i="329"/>
  <c r="H12" i="328"/>
  <c r="L12" i="328"/>
  <c r="J12" i="328"/>
  <c r="Y7" i="328"/>
  <c r="V12" i="328"/>
  <c r="Y6" i="328"/>
  <c r="Y10" i="328"/>
  <c r="Y9" i="328"/>
  <c r="Y8" i="328"/>
  <c r="D12" i="328"/>
  <c r="B21" i="328"/>
  <c r="T11" i="327"/>
  <c r="T10" i="327"/>
  <c r="T7" i="327"/>
  <c r="T8" i="327"/>
  <c r="T9" i="327"/>
  <c r="Y12" i="329" l="1"/>
  <c r="V16" i="329" s="1"/>
  <c r="V24" i="329" s="1"/>
  <c r="Y12" i="328"/>
  <c r="V16" i="328" s="1"/>
  <c r="V24" i="328" s="1"/>
  <c r="V25" i="327"/>
  <c r="F22" i="327"/>
  <c r="S19" i="327"/>
  <c r="S20" i="327" s="1"/>
  <c r="Q19" i="327"/>
  <c r="Q20" i="327" s="1"/>
  <c r="P19" i="327"/>
  <c r="P20" i="327" s="1"/>
  <c r="O19" i="327"/>
  <c r="O20" i="327" s="1"/>
  <c r="M19" i="327"/>
  <c r="M20" i="327" s="1"/>
  <c r="L19" i="327"/>
  <c r="L20" i="327" s="1"/>
  <c r="J19" i="327"/>
  <c r="J20" i="327" s="1"/>
  <c r="H19" i="327"/>
  <c r="H20" i="327" s="1"/>
  <c r="O18" i="327"/>
  <c r="D18" i="327"/>
  <c r="D19" i="327" s="1"/>
  <c r="D20" i="327" s="1"/>
  <c r="W12" i="327"/>
  <c r="K18" i="327" s="1"/>
  <c r="K19" i="327" s="1"/>
  <c r="K20" i="327" s="1"/>
  <c r="U12" i="327"/>
  <c r="I18" i="327" s="1"/>
  <c r="I19" i="327" s="1"/>
  <c r="I20" i="327" s="1"/>
  <c r="S12" i="327"/>
  <c r="Q12" i="327"/>
  <c r="P12" i="327"/>
  <c r="O12" i="327"/>
  <c r="N18" i="327" s="1"/>
  <c r="N19" i="327" s="1"/>
  <c r="N20" i="327" s="1"/>
  <c r="M12" i="327"/>
  <c r="K12" i="327"/>
  <c r="G18" i="327" s="1"/>
  <c r="G19" i="327" s="1"/>
  <c r="G20" i="327" s="1"/>
  <c r="I12" i="327"/>
  <c r="F18" i="327" s="1"/>
  <c r="F19" i="327" s="1"/>
  <c r="F20" i="327" s="1"/>
  <c r="G12" i="327"/>
  <c r="E18" i="327" s="1"/>
  <c r="E19" i="327" s="1"/>
  <c r="E20" i="327" s="1"/>
  <c r="E12" i="327"/>
  <c r="C12" i="327"/>
  <c r="B18" i="327" s="1"/>
  <c r="B19" i="327" s="1"/>
  <c r="B20" i="327" s="1"/>
  <c r="X11" i="327"/>
  <c r="V11" i="327"/>
  <c r="R11" i="327"/>
  <c r="P11" i="327"/>
  <c r="N11" i="327"/>
  <c r="L11" i="327"/>
  <c r="J11" i="327"/>
  <c r="H11" i="327"/>
  <c r="F11" i="327"/>
  <c r="D11" i="327"/>
  <c r="Y11" i="327" s="1"/>
  <c r="X10" i="327"/>
  <c r="V10" i="327"/>
  <c r="T12" i="327"/>
  <c r="R10" i="327"/>
  <c r="P10" i="327"/>
  <c r="N10" i="327"/>
  <c r="L10" i="327"/>
  <c r="J10" i="327"/>
  <c r="H10" i="327"/>
  <c r="F10" i="327"/>
  <c r="D10" i="327"/>
  <c r="X9" i="327"/>
  <c r="V9" i="327"/>
  <c r="R9" i="327"/>
  <c r="P9" i="327"/>
  <c r="N9" i="327"/>
  <c r="L9" i="327"/>
  <c r="J9" i="327"/>
  <c r="H9" i="327"/>
  <c r="F9" i="327"/>
  <c r="D9" i="327"/>
  <c r="X8" i="327"/>
  <c r="V8" i="327"/>
  <c r="R8" i="327"/>
  <c r="P8" i="327"/>
  <c r="N8" i="327"/>
  <c r="L8" i="327"/>
  <c r="J8" i="327"/>
  <c r="H8" i="327"/>
  <c r="F8" i="327"/>
  <c r="D8" i="327"/>
  <c r="X7" i="327"/>
  <c r="V7" i="327"/>
  <c r="R7" i="327"/>
  <c r="P7" i="327"/>
  <c r="N7" i="327"/>
  <c r="L7" i="327"/>
  <c r="J7" i="327"/>
  <c r="H7" i="327"/>
  <c r="F7" i="327"/>
  <c r="D7" i="327"/>
  <c r="X6" i="327"/>
  <c r="V6" i="327"/>
  <c r="T6" i="327"/>
  <c r="R6" i="327"/>
  <c r="R12" i="327" s="1"/>
  <c r="P6" i="327"/>
  <c r="N6" i="327"/>
  <c r="N12" i="327" s="1"/>
  <c r="L6" i="327"/>
  <c r="J6" i="327"/>
  <c r="H6" i="327"/>
  <c r="F6" i="327"/>
  <c r="F12" i="327" s="1"/>
  <c r="D6" i="327"/>
  <c r="T6" i="326"/>
  <c r="T7" i="326"/>
  <c r="T8" i="326"/>
  <c r="T9" i="326"/>
  <c r="T10" i="326"/>
  <c r="V25" i="326"/>
  <c r="F22" i="326"/>
  <c r="S19" i="326"/>
  <c r="S20" i="326" s="1"/>
  <c r="Q19" i="326"/>
  <c r="Q20" i="326" s="1"/>
  <c r="P19" i="326"/>
  <c r="P20" i="326" s="1"/>
  <c r="O19" i="326"/>
  <c r="O20" i="326" s="1"/>
  <c r="M19" i="326"/>
  <c r="M20" i="326" s="1"/>
  <c r="L19" i="326"/>
  <c r="L20" i="326" s="1"/>
  <c r="J19" i="326"/>
  <c r="J20" i="326" s="1"/>
  <c r="H19" i="326"/>
  <c r="H20" i="326" s="1"/>
  <c r="O18" i="326"/>
  <c r="D18" i="326"/>
  <c r="D19" i="326" s="1"/>
  <c r="D20" i="326" s="1"/>
  <c r="W12" i="326"/>
  <c r="K18" i="326" s="1"/>
  <c r="K19" i="326" s="1"/>
  <c r="K20" i="326" s="1"/>
  <c r="U12" i="326"/>
  <c r="I18" i="326" s="1"/>
  <c r="I19" i="326" s="1"/>
  <c r="I20" i="326" s="1"/>
  <c r="T12" i="326"/>
  <c r="S12" i="326"/>
  <c r="Q12" i="326"/>
  <c r="P12" i="326"/>
  <c r="O12" i="326"/>
  <c r="N18" i="326" s="1"/>
  <c r="N19" i="326" s="1"/>
  <c r="N20" i="326" s="1"/>
  <c r="M12" i="326"/>
  <c r="L12" i="326"/>
  <c r="K12" i="326"/>
  <c r="G18" i="326" s="1"/>
  <c r="G19" i="326" s="1"/>
  <c r="G20" i="326" s="1"/>
  <c r="I12" i="326"/>
  <c r="F18" i="326" s="1"/>
  <c r="F19" i="326" s="1"/>
  <c r="F20" i="326" s="1"/>
  <c r="G12" i="326"/>
  <c r="E18" i="326" s="1"/>
  <c r="E19" i="326" s="1"/>
  <c r="E20" i="326" s="1"/>
  <c r="E12" i="326"/>
  <c r="C12" i="326"/>
  <c r="B18" i="326" s="1"/>
  <c r="B19" i="326" s="1"/>
  <c r="B20" i="326" s="1"/>
  <c r="X11" i="326"/>
  <c r="V11" i="326"/>
  <c r="T11" i="326"/>
  <c r="R11" i="326"/>
  <c r="P11" i="326"/>
  <c r="N11" i="326"/>
  <c r="L11" i="326"/>
  <c r="J11" i="326"/>
  <c r="H11" i="326"/>
  <c r="F11" i="326"/>
  <c r="D11" i="326"/>
  <c r="Y11" i="326" s="1"/>
  <c r="X10" i="326"/>
  <c r="V10" i="326"/>
  <c r="R10" i="326"/>
  <c r="P10" i="326"/>
  <c r="N10" i="326"/>
  <c r="L10" i="326"/>
  <c r="J10" i="326"/>
  <c r="H10" i="326"/>
  <c r="F10" i="326"/>
  <c r="D10" i="326"/>
  <c r="Y10" i="326" s="1"/>
  <c r="X9" i="326"/>
  <c r="V9" i="326"/>
  <c r="R9" i="326"/>
  <c r="P9" i="326"/>
  <c r="N9" i="326"/>
  <c r="L9" i="326"/>
  <c r="J9" i="326"/>
  <c r="H9" i="326"/>
  <c r="F9" i="326"/>
  <c r="D9" i="326"/>
  <c r="X8" i="326"/>
  <c r="V8" i="326"/>
  <c r="R8" i="326"/>
  <c r="P8" i="326"/>
  <c r="N8" i="326"/>
  <c r="L8" i="326"/>
  <c r="J8" i="326"/>
  <c r="H8" i="326"/>
  <c r="F8" i="326"/>
  <c r="D8" i="326"/>
  <c r="X7" i="326"/>
  <c r="V7" i="326"/>
  <c r="R7" i="326"/>
  <c r="P7" i="326"/>
  <c r="N7" i="326"/>
  <c r="L7" i="326"/>
  <c r="J7" i="326"/>
  <c r="H7" i="326"/>
  <c r="F7" i="326"/>
  <c r="D7" i="326"/>
  <c r="X6" i="326"/>
  <c r="X12" i="326" s="1"/>
  <c r="V6" i="326"/>
  <c r="R6" i="326"/>
  <c r="R12" i="326" s="1"/>
  <c r="P6" i="326"/>
  <c r="N6" i="326"/>
  <c r="N12" i="326" s="1"/>
  <c r="L6" i="326"/>
  <c r="J6" i="326"/>
  <c r="H6" i="326"/>
  <c r="F6" i="326"/>
  <c r="F12" i="326" s="1"/>
  <c r="D6" i="326"/>
  <c r="H6" i="325"/>
  <c r="H7" i="325"/>
  <c r="H9" i="325"/>
  <c r="H10" i="325"/>
  <c r="H11" i="325"/>
  <c r="V25" i="325"/>
  <c r="F22" i="325"/>
  <c r="P20" i="325"/>
  <c r="L20" i="325"/>
  <c r="S19" i="325"/>
  <c r="S20" i="325" s="1"/>
  <c r="Q19" i="325"/>
  <c r="Q20" i="325" s="1"/>
  <c r="P19" i="325"/>
  <c r="M19" i="325"/>
  <c r="M20" i="325" s="1"/>
  <c r="L19" i="325"/>
  <c r="J19" i="325"/>
  <c r="J20" i="325" s="1"/>
  <c r="H19" i="325"/>
  <c r="H20" i="325" s="1"/>
  <c r="W12" i="325"/>
  <c r="K18" i="325" s="1"/>
  <c r="K19" i="325" s="1"/>
  <c r="K20" i="325" s="1"/>
  <c r="U12" i="325"/>
  <c r="I18" i="325" s="1"/>
  <c r="I19" i="325" s="1"/>
  <c r="I20" i="325" s="1"/>
  <c r="S12" i="325"/>
  <c r="Q12" i="325"/>
  <c r="O18" i="325" s="1"/>
  <c r="O19" i="325" s="1"/>
  <c r="O20" i="325" s="1"/>
  <c r="O12" i="325"/>
  <c r="N18" i="325" s="1"/>
  <c r="N19" i="325" s="1"/>
  <c r="N20" i="325" s="1"/>
  <c r="M12" i="325"/>
  <c r="K12" i="325"/>
  <c r="G18" i="325" s="1"/>
  <c r="G19" i="325" s="1"/>
  <c r="G20" i="325" s="1"/>
  <c r="I12" i="325"/>
  <c r="F18" i="325" s="1"/>
  <c r="F19" i="325" s="1"/>
  <c r="F20" i="325" s="1"/>
  <c r="G12" i="325"/>
  <c r="E18" i="325" s="1"/>
  <c r="E19" i="325" s="1"/>
  <c r="E20" i="325" s="1"/>
  <c r="E12" i="325"/>
  <c r="D18" i="325" s="1"/>
  <c r="D19" i="325" s="1"/>
  <c r="D20" i="325" s="1"/>
  <c r="C12" i="325"/>
  <c r="B18" i="325" s="1"/>
  <c r="B19" i="325" s="1"/>
  <c r="B20" i="325" s="1"/>
  <c r="X11" i="325"/>
  <c r="V11" i="325"/>
  <c r="T11" i="325"/>
  <c r="R11" i="325"/>
  <c r="P11" i="325"/>
  <c r="N11" i="325"/>
  <c r="L11" i="325"/>
  <c r="J11" i="325"/>
  <c r="F11" i="325"/>
  <c r="D11" i="325"/>
  <c r="Y11" i="325" s="1"/>
  <c r="X10" i="325"/>
  <c r="V10" i="325"/>
  <c r="T10" i="325"/>
  <c r="R10" i="325"/>
  <c r="P10" i="325"/>
  <c r="N10" i="325"/>
  <c r="L10" i="325"/>
  <c r="J10" i="325"/>
  <c r="F10" i="325"/>
  <c r="D10" i="325"/>
  <c r="Y10" i="325" s="1"/>
  <c r="X9" i="325"/>
  <c r="V9" i="325"/>
  <c r="T9" i="325"/>
  <c r="R9" i="325"/>
  <c r="P9" i="325"/>
  <c r="N9" i="325"/>
  <c r="L9" i="325"/>
  <c r="J9" i="325"/>
  <c r="F9" i="325"/>
  <c r="D9" i="325"/>
  <c r="X8" i="325"/>
  <c r="V8" i="325"/>
  <c r="T8" i="325"/>
  <c r="R8" i="325"/>
  <c r="P8" i="325"/>
  <c r="N8" i="325"/>
  <c r="L8" i="325"/>
  <c r="J8" i="325"/>
  <c r="H8" i="325"/>
  <c r="F8" i="325"/>
  <c r="D8" i="325"/>
  <c r="X7" i="325"/>
  <c r="V7" i="325"/>
  <c r="T7" i="325"/>
  <c r="R7" i="325"/>
  <c r="P7" i="325"/>
  <c r="N7" i="325"/>
  <c r="L7" i="325"/>
  <c r="J7" i="325"/>
  <c r="F7" i="325"/>
  <c r="D7" i="325"/>
  <c r="X6" i="325"/>
  <c r="X12" i="325" s="1"/>
  <c r="V6" i="325"/>
  <c r="T6" i="325"/>
  <c r="T12" i="325" s="1"/>
  <c r="R6" i="325"/>
  <c r="R12" i="325" s="1"/>
  <c r="P6" i="325"/>
  <c r="P12" i="325" s="1"/>
  <c r="N6" i="325"/>
  <c r="N12" i="325" s="1"/>
  <c r="L6" i="325"/>
  <c r="L12" i="325" s="1"/>
  <c r="J6" i="325"/>
  <c r="F6" i="325"/>
  <c r="F12" i="325" s="1"/>
  <c r="D6" i="325"/>
  <c r="V25" i="324"/>
  <c r="F22" i="324"/>
  <c r="S19" i="324"/>
  <c r="S20" i="324" s="1"/>
  <c r="Q19" i="324"/>
  <c r="Q20" i="324" s="1"/>
  <c r="P19" i="324"/>
  <c r="P20" i="324" s="1"/>
  <c r="M19" i="324"/>
  <c r="M20" i="324" s="1"/>
  <c r="L19" i="324"/>
  <c r="L20" i="324" s="1"/>
  <c r="K19" i="324"/>
  <c r="K20" i="324" s="1"/>
  <c r="J19" i="324"/>
  <c r="J20" i="324" s="1"/>
  <c r="H19" i="324"/>
  <c r="H20" i="324" s="1"/>
  <c r="K18" i="324"/>
  <c r="I18" i="324"/>
  <c r="I19" i="324" s="1"/>
  <c r="I20" i="324" s="1"/>
  <c r="D18" i="324"/>
  <c r="D19" i="324" s="1"/>
  <c r="D20" i="324" s="1"/>
  <c r="X12" i="324"/>
  <c r="W12" i="324"/>
  <c r="U12" i="324"/>
  <c r="T12" i="324"/>
  <c r="S12" i="324"/>
  <c r="Q12" i="324"/>
  <c r="O18" i="324" s="1"/>
  <c r="O19" i="324" s="1"/>
  <c r="O20" i="324" s="1"/>
  <c r="P12" i="324"/>
  <c r="O12" i="324"/>
  <c r="N18" i="324" s="1"/>
  <c r="N19" i="324" s="1"/>
  <c r="N20" i="324" s="1"/>
  <c r="M12" i="324"/>
  <c r="L12" i="324"/>
  <c r="K12" i="324"/>
  <c r="G18" i="324" s="1"/>
  <c r="G19" i="324" s="1"/>
  <c r="G20" i="324" s="1"/>
  <c r="I12" i="324"/>
  <c r="F18" i="324" s="1"/>
  <c r="F19" i="324" s="1"/>
  <c r="F20" i="324" s="1"/>
  <c r="G12" i="324"/>
  <c r="E18" i="324" s="1"/>
  <c r="E19" i="324" s="1"/>
  <c r="E20" i="324" s="1"/>
  <c r="E12" i="324"/>
  <c r="C12" i="324"/>
  <c r="B18" i="324" s="1"/>
  <c r="B19" i="324" s="1"/>
  <c r="B20" i="324" s="1"/>
  <c r="X11" i="324"/>
  <c r="V11" i="324"/>
  <c r="T11" i="324"/>
  <c r="R11" i="324"/>
  <c r="P11" i="324"/>
  <c r="N11" i="324"/>
  <c r="L11" i="324"/>
  <c r="J11" i="324"/>
  <c r="H11" i="324"/>
  <c r="F11" i="324"/>
  <c r="D11" i="324"/>
  <c r="Y11" i="324" s="1"/>
  <c r="X10" i="324"/>
  <c r="V10" i="324"/>
  <c r="T10" i="324"/>
  <c r="R10" i="324"/>
  <c r="P10" i="324"/>
  <c r="N10" i="324"/>
  <c r="L10" i="324"/>
  <c r="J10" i="324"/>
  <c r="H10" i="324"/>
  <c r="F10" i="324"/>
  <c r="D10" i="324"/>
  <c r="Y10" i="324" s="1"/>
  <c r="X9" i="324"/>
  <c r="V9" i="324"/>
  <c r="T9" i="324"/>
  <c r="R9" i="324"/>
  <c r="P9" i="324"/>
  <c r="N9" i="324"/>
  <c r="L9" i="324"/>
  <c r="J9" i="324"/>
  <c r="H9" i="324"/>
  <c r="F9" i="324"/>
  <c r="D9" i="324"/>
  <c r="X8" i="324"/>
  <c r="V8" i="324"/>
  <c r="T8" i="324"/>
  <c r="R8" i="324"/>
  <c r="P8" i="324"/>
  <c r="N8" i="324"/>
  <c r="L8" i="324"/>
  <c r="J8" i="324"/>
  <c r="H8" i="324"/>
  <c r="F8" i="324"/>
  <c r="D8" i="324"/>
  <c r="X7" i="324"/>
  <c r="V7" i="324"/>
  <c r="T7" i="324"/>
  <c r="R7" i="324"/>
  <c r="P7" i="324"/>
  <c r="N7" i="324"/>
  <c r="L7" i="324"/>
  <c r="J7" i="324"/>
  <c r="H7" i="324"/>
  <c r="F7" i="324"/>
  <c r="D7" i="324"/>
  <c r="X6" i="324"/>
  <c r="V6" i="324"/>
  <c r="V12" i="324" s="1"/>
  <c r="T6" i="324"/>
  <c r="R6" i="324"/>
  <c r="R12" i="324" s="1"/>
  <c r="P6" i="324"/>
  <c r="N6" i="324"/>
  <c r="N12" i="324" s="1"/>
  <c r="L6" i="324"/>
  <c r="J6" i="324"/>
  <c r="H6" i="324"/>
  <c r="F6" i="324"/>
  <c r="F12" i="324" s="1"/>
  <c r="D6" i="324"/>
  <c r="Y6" i="324" s="1"/>
  <c r="V25" i="323"/>
  <c r="F22" i="323"/>
  <c r="S19" i="323"/>
  <c r="S20" i="323" s="1"/>
  <c r="Q19" i="323"/>
  <c r="Q20" i="323" s="1"/>
  <c r="P19" i="323"/>
  <c r="P20" i="323" s="1"/>
  <c r="M19" i="323"/>
  <c r="M20" i="323" s="1"/>
  <c r="L19" i="323"/>
  <c r="L20" i="323" s="1"/>
  <c r="J19" i="323"/>
  <c r="J20" i="323" s="1"/>
  <c r="H19" i="323"/>
  <c r="H20" i="323" s="1"/>
  <c r="N18" i="323"/>
  <c r="N19" i="323" s="1"/>
  <c r="N20" i="323" s="1"/>
  <c r="K18" i="323"/>
  <c r="K19" i="323" s="1"/>
  <c r="K20" i="323" s="1"/>
  <c r="W12" i="323"/>
  <c r="V12" i="323"/>
  <c r="U12" i="323"/>
  <c r="I18" i="323" s="1"/>
  <c r="I19" i="323" s="1"/>
  <c r="I20" i="323" s="1"/>
  <c r="S12" i="323"/>
  <c r="Q12" i="323"/>
  <c r="O18" i="323" s="1"/>
  <c r="O19" i="323" s="1"/>
  <c r="O20" i="323" s="1"/>
  <c r="O12" i="323"/>
  <c r="N12" i="323"/>
  <c r="M12" i="323"/>
  <c r="K12" i="323"/>
  <c r="G18" i="323" s="1"/>
  <c r="G19" i="323" s="1"/>
  <c r="G20" i="323" s="1"/>
  <c r="I12" i="323"/>
  <c r="F18" i="323" s="1"/>
  <c r="F19" i="323" s="1"/>
  <c r="F20" i="323" s="1"/>
  <c r="G12" i="323"/>
  <c r="E18" i="323" s="1"/>
  <c r="E19" i="323" s="1"/>
  <c r="E20" i="323" s="1"/>
  <c r="F12" i="323"/>
  <c r="E12" i="323"/>
  <c r="D18" i="323" s="1"/>
  <c r="D19" i="323" s="1"/>
  <c r="D20" i="323" s="1"/>
  <c r="C12" i="323"/>
  <c r="B18" i="323" s="1"/>
  <c r="B19" i="323" s="1"/>
  <c r="B20" i="323" s="1"/>
  <c r="X11" i="323"/>
  <c r="V11" i="323"/>
  <c r="T11" i="323"/>
  <c r="R11" i="323"/>
  <c r="P11" i="323"/>
  <c r="N11" i="323"/>
  <c r="L11" i="323"/>
  <c r="J11" i="323"/>
  <c r="H11" i="323"/>
  <c r="Y11" i="323" s="1"/>
  <c r="F11" i="323"/>
  <c r="D11" i="323"/>
  <c r="X10" i="323"/>
  <c r="V10" i="323"/>
  <c r="T10" i="323"/>
  <c r="R10" i="323"/>
  <c r="P10" i="323"/>
  <c r="N10" i="323"/>
  <c r="L10" i="323"/>
  <c r="J10" i="323"/>
  <c r="H10" i="323"/>
  <c r="Y10" i="323" s="1"/>
  <c r="F10" i="323"/>
  <c r="D10" i="323"/>
  <c r="X9" i="323"/>
  <c r="V9" i="323"/>
  <c r="T9" i="323"/>
  <c r="R9" i="323"/>
  <c r="P9" i="323"/>
  <c r="N9" i="323"/>
  <c r="L9" i="323"/>
  <c r="J9" i="323"/>
  <c r="H9" i="323"/>
  <c r="F9" i="323"/>
  <c r="D9" i="323"/>
  <c r="X8" i="323"/>
  <c r="V8" i="323"/>
  <c r="T8" i="323"/>
  <c r="R8" i="323"/>
  <c r="P8" i="323"/>
  <c r="N8" i="323"/>
  <c r="L8" i="323"/>
  <c r="J8" i="323"/>
  <c r="H8" i="323"/>
  <c r="F8" i="323"/>
  <c r="D8" i="323"/>
  <c r="X7" i="323"/>
  <c r="V7" i="323"/>
  <c r="T7" i="323"/>
  <c r="R7" i="323"/>
  <c r="P7" i="323"/>
  <c r="N7" i="323"/>
  <c r="L7" i="323"/>
  <c r="J7" i="323"/>
  <c r="H7" i="323"/>
  <c r="F7" i="323"/>
  <c r="D7" i="323"/>
  <c r="X6" i="323"/>
  <c r="X12" i="323" s="1"/>
  <c r="V6" i="323"/>
  <c r="T6" i="323"/>
  <c r="T12" i="323" s="1"/>
  <c r="R6" i="323"/>
  <c r="R12" i="323" s="1"/>
  <c r="P6" i="323"/>
  <c r="P12" i="323" s="1"/>
  <c r="N6" i="323"/>
  <c r="L6" i="323"/>
  <c r="L12" i="323" s="1"/>
  <c r="J6" i="323"/>
  <c r="H6" i="323"/>
  <c r="F6" i="323"/>
  <c r="D6" i="323"/>
  <c r="V25" i="322"/>
  <c r="F22" i="322"/>
  <c r="S19" i="322"/>
  <c r="S20" i="322" s="1"/>
  <c r="Q19" i="322"/>
  <c r="Q20" i="322" s="1"/>
  <c r="P19" i="322"/>
  <c r="P20" i="322" s="1"/>
  <c r="M19" i="322"/>
  <c r="M20" i="322" s="1"/>
  <c r="L19" i="322"/>
  <c r="L20" i="322" s="1"/>
  <c r="J19" i="322"/>
  <c r="J20" i="322" s="1"/>
  <c r="H19" i="322"/>
  <c r="H20" i="322" s="1"/>
  <c r="N18" i="322"/>
  <c r="N19" i="322" s="1"/>
  <c r="N20" i="322" s="1"/>
  <c r="I18" i="322"/>
  <c r="I19" i="322" s="1"/>
  <c r="I20" i="322" s="1"/>
  <c r="D18" i="322"/>
  <c r="D19" i="322" s="1"/>
  <c r="D20" i="322" s="1"/>
  <c r="X12" i="322"/>
  <c r="W12" i="322"/>
  <c r="K18" i="322" s="1"/>
  <c r="K19" i="322" s="1"/>
  <c r="K20" i="322" s="1"/>
  <c r="U12" i="322"/>
  <c r="S12" i="322"/>
  <c r="Q12" i="322"/>
  <c r="O18" i="322" s="1"/>
  <c r="O19" i="322" s="1"/>
  <c r="O20" i="322" s="1"/>
  <c r="P12" i="322"/>
  <c r="O12" i="322"/>
  <c r="M12" i="322"/>
  <c r="L12" i="322"/>
  <c r="K12" i="322"/>
  <c r="G18" i="322" s="1"/>
  <c r="G19" i="322" s="1"/>
  <c r="G20" i="322" s="1"/>
  <c r="I12" i="322"/>
  <c r="F18" i="322" s="1"/>
  <c r="F19" i="322" s="1"/>
  <c r="F20" i="322" s="1"/>
  <c r="G12" i="322"/>
  <c r="E18" i="322" s="1"/>
  <c r="E19" i="322" s="1"/>
  <c r="E20" i="322" s="1"/>
  <c r="E12" i="322"/>
  <c r="C12" i="322"/>
  <c r="B18" i="322" s="1"/>
  <c r="B19" i="322" s="1"/>
  <c r="B20" i="322" s="1"/>
  <c r="X11" i="322"/>
  <c r="V11" i="322"/>
  <c r="T11" i="322"/>
  <c r="R11" i="322"/>
  <c r="P11" i="322"/>
  <c r="N11" i="322"/>
  <c r="L11" i="322"/>
  <c r="J11" i="322"/>
  <c r="H11" i="322"/>
  <c r="F11" i="322"/>
  <c r="Y11" i="322" s="1"/>
  <c r="D11" i="322"/>
  <c r="X10" i="322"/>
  <c r="V10" i="322"/>
  <c r="T10" i="322"/>
  <c r="T12" i="322" s="1"/>
  <c r="R10" i="322"/>
  <c r="P10" i="322"/>
  <c r="N10" i="322"/>
  <c r="L10" i="322"/>
  <c r="J10" i="322"/>
  <c r="H10" i="322"/>
  <c r="F10" i="322"/>
  <c r="D10" i="322"/>
  <c r="X9" i="322"/>
  <c r="V9" i="322"/>
  <c r="T9" i="322"/>
  <c r="R9" i="322"/>
  <c r="P9" i="322"/>
  <c r="N9" i="322"/>
  <c r="L9" i="322"/>
  <c r="J9" i="322"/>
  <c r="H9" i="322"/>
  <c r="F9" i="322"/>
  <c r="D9" i="322"/>
  <c r="X8" i="322"/>
  <c r="V8" i="322"/>
  <c r="T8" i="322"/>
  <c r="R8" i="322"/>
  <c r="P8" i="322"/>
  <c r="N8" i="322"/>
  <c r="L8" i="322"/>
  <c r="J8" i="322"/>
  <c r="H8" i="322"/>
  <c r="F8" i="322"/>
  <c r="D8" i="322"/>
  <c r="X7" i="322"/>
  <c r="V7" i="322"/>
  <c r="T7" i="322"/>
  <c r="R7" i="322"/>
  <c r="P7" i="322"/>
  <c r="N7" i="322"/>
  <c r="L7" i="322"/>
  <c r="J7" i="322"/>
  <c r="H7" i="322"/>
  <c r="F7" i="322"/>
  <c r="D7" i="322"/>
  <c r="X6" i="322"/>
  <c r="V6" i="322"/>
  <c r="V12" i="322" s="1"/>
  <c r="T6" i="322"/>
  <c r="R6" i="322"/>
  <c r="R12" i="322" s="1"/>
  <c r="P6" i="322"/>
  <c r="N6" i="322"/>
  <c r="N12" i="322" s="1"/>
  <c r="L6" i="322"/>
  <c r="J6" i="322"/>
  <c r="H6" i="322"/>
  <c r="F6" i="322"/>
  <c r="F12" i="322" s="1"/>
  <c r="D6" i="322"/>
  <c r="V25" i="321"/>
  <c r="F22" i="321"/>
  <c r="S19" i="321"/>
  <c r="S20" i="321" s="1"/>
  <c r="Q19" i="321"/>
  <c r="Q20" i="321" s="1"/>
  <c r="P19" i="321"/>
  <c r="P20" i="321" s="1"/>
  <c r="O19" i="321"/>
  <c r="O20" i="321" s="1"/>
  <c r="M19" i="321"/>
  <c r="M20" i="321" s="1"/>
  <c r="L19" i="321"/>
  <c r="L20" i="321" s="1"/>
  <c r="J19" i="321"/>
  <c r="J20" i="321" s="1"/>
  <c r="H19" i="321"/>
  <c r="H20" i="321" s="1"/>
  <c r="O18" i="321"/>
  <c r="I18" i="321"/>
  <c r="I19" i="321" s="1"/>
  <c r="I20" i="321" s="1"/>
  <c r="D18" i="321"/>
  <c r="D19" i="321" s="1"/>
  <c r="D20" i="321" s="1"/>
  <c r="W12" i="321"/>
  <c r="K18" i="321" s="1"/>
  <c r="K19" i="321" s="1"/>
  <c r="K20" i="321" s="1"/>
  <c r="U12" i="321"/>
  <c r="S12" i="321"/>
  <c r="Q12" i="321"/>
  <c r="P12" i="321"/>
  <c r="O12" i="321"/>
  <c r="N18" i="321" s="1"/>
  <c r="N19" i="321" s="1"/>
  <c r="N20" i="321" s="1"/>
  <c r="M12" i="321"/>
  <c r="L12" i="321"/>
  <c r="K12" i="321"/>
  <c r="G18" i="321" s="1"/>
  <c r="G19" i="321" s="1"/>
  <c r="G20" i="321" s="1"/>
  <c r="I12" i="321"/>
  <c r="F18" i="321" s="1"/>
  <c r="F19" i="321" s="1"/>
  <c r="F20" i="321" s="1"/>
  <c r="G12" i="321"/>
  <c r="E18" i="321" s="1"/>
  <c r="E19" i="321" s="1"/>
  <c r="E20" i="321" s="1"/>
  <c r="E12" i="321"/>
  <c r="C12" i="321"/>
  <c r="B18" i="321" s="1"/>
  <c r="B19" i="321" s="1"/>
  <c r="B20" i="321" s="1"/>
  <c r="X11" i="321"/>
  <c r="V11" i="321"/>
  <c r="T11" i="321"/>
  <c r="R11" i="321"/>
  <c r="P11" i="321"/>
  <c r="N11" i="321"/>
  <c r="L11" i="321"/>
  <c r="J11" i="321"/>
  <c r="H11" i="321"/>
  <c r="F11" i="321"/>
  <c r="D11" i="321"/>
  <c r="X10" i="321"/>
  <c r="V10" i="321"/>
  <c r="T10" i="321"/>
  <c r="R10" i="321"/>
  <c r="P10" i="321"/>
  <c r="N10" i="321"/>
  <c r="L10" i="321"/>
  <c r="J10" i="321"/>
  <c r="H10" i="321"/>
  <c r="F10" i="321"/>
  <c r="D10" i="321"/>
  <c r="Y10" i="321" s="1"/>
  <c r="X9" i="321"/>
  <c r="V9" i="321"/>
  <c r="T9" i="321"/>
  <c r="R9" i="321"/>
  <c r="P9" i="321"/>
  <c r="N9" i="321"/>
  <c r="L9" i="321"/>
  <c r="J9" i="321"/>
  <c r="H9" i="321"/>
  <c r="F9" i="321"/>
  <c r="D9" i="321"/>
  <c r="X8" i="321"/>
  <c r="V8" i="321"/>
  <c r="T8" i="321"/>
  <c r="R8" i="321"/>
  <c r="P8" i="321"/>
  <c r="N8" i="321"/>
  <c r="L8" i="321"/>
  <c r="J8" i="321"/>
  <c r="H8" i="321"/>
  <c r="F8" i="321"/>
  <c r="D8" i="321"/>
  <c r="X7" i="321"/>
  <c r="X12" i="321" s="1"/>
  <c r="V7" i="321"/>
  <c r="T7" i="321"/>
  <c r="R7" i="321"/>
  <c r="P7" i="321"/>
  <c r="N7" i="321"/>
  <c r="L7" i="321"/>
  <c r="J7" i="321"/>
  <c r="H7" i="321"/>
  <c r="F7" i="321"/>
  <c r="D7" i="321"/>
  <c r="X6" i="321"/>
  <c r="V6" i="321"/>
  <c r="V12" i="321" s="1"/>
  <c r="T6" i="321"/>
  <c r="R6" i="321"/>
  <c r="R12" i="321" s="1"/>
  <c r="P6" i="321"/>
  <c r="N6" i="321"/>
  <c r="N12" i="321" s="1"/>
  <c r="L6" i="321"/>
  <c r="J6" i="321"/>
  <c r="J12" i="321" s="1"/>
  <c r="H6" i="321"/>
  <c r="H12" i="321" s="1"/>
  <c r="F6" i="321"/>
  <c r="F12" i="321" s="1"/>
  <c r="D6" i="321"/>
  <c r="V25" i="320"/>
  <c r="F22" i="320"/>
  <c r="S19" i="320"/>
  <c r="S20" i="320" s="1"/>
  <c r="Q19" i="320"/>
  <c r="Q20" i="320" s="1"/>
  <c r="P19" i="320"/>
  <c r="P20" i="320" s="1"/>
  <c r="M19" i="320"/>
  <c r="M20" i="320" s="1"/>
  <c r="L19" i="320"/>
  <c r="L20" i="320" s="1"/>
  <c r="J19" i="320"/>
  <c r="J20" i="320" s="1"/>
  <c r="H19" i="320"/>
  <c r="H20" i="320" s="1"/>
  <c r="I18" i="320"/>
  <c r="I19" i="320" s="1"/>
  <c r="I20" i="320" s="1"/>
  <c r="D18" i="320"/>
  <c r="D19" i="320" s="1"/>
  <c r="D20" i="320" s="1"/>
  <c r="X12" i="320"/>
  <c r="W12" i="320"/>
  <c r="K18" i="320" s="1"/>
  <c r="K19" i="320" s="1"/>
  <c r="K20" i="320" s="1"/>
  <c r="U12" i="320"/>
  <c r="T12" i="320"/>
  <c r="S12" i="320"/>
  <c r="Q12" i="320"/>
  <c r="O18" i="320" s="1"/>
  <c r="O19" i="320" s="1"/>
  <c r="O20" i="320" s="1"/>
  <c r="P12" i="320"/>
  <c r="O12" i="320"/>
  <c r="N18" i="320" s="1"/>
  <c r="N19" i="320" s="1"/>
  <c r="N20" i="320" s="1"/>
  <c r="M12" i="320"/>
  <c r="L12" i="320"/>
  <c r="K12" i="320"/>
  <c r="G18" i="320" s="1"/>
  <c r="G19" i="320" s="1"/>
  <c r="G20" i="320" s="1"/>
  <c r="I12" i="320"/>
  <c r="F18" i="320" s="1"/>
  <c r="F19" i="320" s="1"/>
  <c r="F20" i="320" s="1"/>
  <c r="H12" i="320"/>
  <c r="G12" i="320"/>
  <c r="E18" i="320" s="1"/>
  <c r="E19" i="320" s="1"/>
  <c r="E20" i="320" s="1"/>
  <c r="E12" i="320"/>
  <c r="C12" i="320"/>
  <c r="B18" i="320" s="1"/>
  <c r="B19" i="320" s="1"/>
  <c r="B20" i="320" s="1"/>
  <c r="X11" i="320"/>
  <c r="V11" i="320"/>
  <c r="T11" i="320"/>
  <c r="R11" i="320"/>
  <c r="P11" i="320"/>
  <c r="N11" i="320"/>
  <c r="L11" i="320"/>
  <c r="J11" i="320"/>
  <c r="H11" i="320"/>
  <c r="F11" i="320"/>
  <c r="D11" i="320"/>
  <c r="Y11" i="320" s="1"/>
  <c r="X10" i="320"/>
  <c r="V10" i="320"/>
  <c r="T10" i="320"/>
  <c r="R10" i="320"/>
  <c r="P10" i="320"/>
  <c r="N10" i="320"/>
  <c r="L10" i="320"/>
  <c r="J10" i="320"/>
  <c r="H10" i="320"/>
  <c r="F10" i="320"/>
  <c r="D10" i="320"/>
  <c r="Y10" i="320" s="1"/>
  <c r="X9" i="320"/>
  <c r="V9" i="320"/>
  <c r="T9" i="320"/>
  <c r="R9" i="320"/>
  <c r="P9" i="320"/>
  <c r="N9" i="320"/>
  <c r="L9" i="320"/>
  <c r="J9" i="320"/>
  <c r="H9" i="320"/>
  <c r="F9" i="320"/>
  <c r="D9" i="320"/>
  <c r="X8" i="320"/>
  <c r="V8" i="320"/>
  <c r="T8" i="320"/>
  <c r="R8" i="320"/>
  <c r="P8" i="320"/>
  <c r="N8" i="320"/>
  <c r="L8" i="320"/>
  <c r="J8" i="320"/>
  <c r="H8" i="320"/>
  <c r="F8" i="320"/>
  <c r="D8" i="320"/>
  <c r="X7" i="320"/>
  <c r="V7" i="320"/>
  <c r="T7" i="320"/>
  <c r="R7" i="320"/>
  <c r="P7" i="320"/>
  <c r="N7" i="320"/>
  <c r="L7" i="320"/>
  <c r="J7" i="320"/>
  <c r="H7" i="320"/>
  <c r="F7" i="320"/>
  <c r="D7" i="320"/>
  <c r="Y7" i="320" s="1"/>
  <c r="X6" i="320"/>
  <c r="V6" i="320"/>
  <c r="V12" i="320" s="1"/>
  <c r="T6" i="320"/>
  <c r="R6" i="320"/>
  <c r="R12" i="320" s="1"/>
  <c r="P6" i="320"/>
  <c r="N6" i="320"/>
  <c r="N12" i="320" s="1"/>
  <c r="L6" i="320"/>
  <c r="J6" i="320"/>
  <c r="H6" i="320"/>
  <c r="F6" i="320"/>
  <c r="F12" i="320" s="1"/>
  <c r="D6" i="320"/>
  <c r="V25" i="319"/>
  <c r="F22" i="319"/>
  <c r="S19" i="319"/>
  <c r="S20" i="319" s="1"/>
  <c r="Q19" i="319"/>
  <c r="Q20" i="319" s="1"/>
  <c r="P19" i="319"/>
  <c r="P20" i="319" s="1"/>
  <c r="M19" i="319"/>
  <c r="M20" i="319" s="1"/>
  <c r="L19" i="319"/>
  <c r="L20" i="319" s="1"/>
  <c r="J19" i="319"/>
  <c r="J20" i="319" s="1"/>
  <c r="H19" i="319"/>
  <c r="H20" i="319" s="1"/>
  <c r="I18" i="319"/>
  <c r="I19" i="319" s="1"/>
  <c r="I20" i="319" s="1"/>
  <c r="D18" i="319"/>
  <c r="D19" i="319" s="1"/>
  <c r="D20" i="319" s="1"/>
  <c r="X12" i="319"/>
  <c r="W12" i="319"/>
  <c r="K18" i="319" s="1"/>
  <c r="K19" i="319" s="1"/>
  <c r="K20" i="319" s="1"/>
  <c r="U12" i="319"/>
  <c r="T12" i="319"/>
  <c r="S12" i="319"/>
  <c r="Q12" i="319"/>
  <c r="O18" i="319" s="1"/>
  <c r="O19" i="319" s="1"/>
  <c r="O20" i="319" s="1"/>
  <c r="P12" i="319"/>
  <c r="O12" i="319"/>
  <c r="N18" i="319" s="1"/>
  <c r="N19" i="319" s="1"/>
  <c r="N20" i="319" s="1"/>
  <c r="M12" i="319"/>
  <c r="L12" i="319"/>
  <c r="K12" i="319"/>
  <c r="G18" i="319" s="1"/>
  <c r="G19" i="319" s="1"/>
  <c r="G20" i="319" s="1"/>
  <c r="I12" i="319"/>
  <c r="F18" i="319" s="1"/>
  <c r="F19" i="319" s="1"/>
  <c r="F20" i="319" s="1"/>
  <c r="H12" i="319"/>
  <c r="G12" i="319"/>
  <c r="E18" i="319" s="1"/>
  <c r="E19" i="319" s="1"/>
  <c r="E20" i="319" s="1"/>
  <c r="E12" i="319"/>
  <c r="D12" i="319"/>
  <c r="C12" i="319"/>
  <c r="B18" i="319" s="1"/>
  <c r="B19" i="319" s="1"/>
  <c r="B20" i="319" s="1"/>
  <c r="B21" i="319" s="1"/>
  <c r="X11" i="319"/>
  <c r="V11" i="319"/>
  <c r="T11" i="319"/>
  <c r="R11" i="319"/>
  <c r="P11" i="319"/>
  <c r="N11" i="319"/>
  <c r="L11" i="319"/>
  <c r="J11" i="319"/>
  <c r="H11" i="319"/>
  <c r="F11" i="319"/>
  <c r="D11" i="319"/>
  <c r="Y11" i="319" s="1"/>
  <c r="X10" i="319"/>
  <c r="V10" i="319"/>
  <c r="T10" i="319"/>
  <c r="R10" i="319"/>
  <c r="P10" i="319"/>
  <c r="N10" i="319"/>
  <c r="L10" i="319"/>
  <c r="J10" i="319"/>
  <c r="H10" i="319"/>
  <c r="F10" i="319"/>
  <c r="D10" i="319"/>
  <c r="Y10" i="319" s="1"/>
  <c r="X9" i="319"/>
  <c r="V9" i="319"/>
  <c r="T9" i="319"/>
  <c r="R9" i="319"/>
  <c r="P9" i="319"/>
  <c r="N9" i="319"/>
  <c r="L9" i="319"/>
  <c r="J9" i="319"/>
  <c r="H9" i="319"/>
  <c r="F9" i="319"/>
  <c r="D9" i="319"/>
  <c r="Y9" i="319" s="1"/>
  <c r="X8" i="319"/>
  <c r="V8" i="319"/>
  <c r="T8" i="319"/>
  <c r="R8" i="319"/>
  <c r="P8" i="319"/>
  <c r="N8" i="319"/>
  <c r="L8" i="319"/>
  <c r="J8" i="319"/>
  <c r="H8" i="319"/>
  <c r="F8" i="319"/>
  <c r="D8" i="319"/>
  <c r="Y8" i="319" s="1"/>
  <c r="X7" i="319"/>
  <c r="V7" i="319"/>
  <c r="T7" i="319"/>
  <c r="R7" i="319"/>
  <c r="P7" i="319"/>
  <c r="N7" i="319"/>
  <c r="L7" i="319"/>
  <c r="J7" i="319"/>
  <c r="H7" i="319"/>
  <c r="F7" i="319"/>
  <c r="D7" i="319"/>
  <c r="Y7" i="319" s="1"/>
  <c r="X6" i="319"/>
  <c r="V6" i="319"/>
  <c r="V12" i="319" s="1"/>
  <c r="T6" i="319"/>
  <c r="R6" i="319"/>
  <c r="R12" i="319" s="1"/>
  <c r="P6" i="319"/>
  <c r="N6" i="319"/>
  <c r="N12" i="319" s="1"/>
  <c r="L6" i="319"/>
  <c r="J6" i="319"/>
  <c r="J12" i="319" s="1"/>
  <c r="H6" i="319"/>
  <c r="F6" i="319"/>
  <c r="F12" i="319" s="1"/>
  <c r="D6" i="319"/>
  <c r="Y6" i="319" s="1"/>
  <c r="V25" i="318"/>
  <c r="F22" i="318"/>
  <c r="S19" i="318"/>
  <c r="S20" i="318" s="1"/>
  <c r="Q19" i="318"/>
  <c r="Q20" i="318" s="1"/>
  <c r="P19" i="318"/>
  <c r="P20" i="318" s="1"/>
  <c r="M19" i="318"/>
  <c r="M20" i="318" s="1"/>
  <c r="L19" i="318"/>
  <c r="L20" i="318" s="1"/>
  <c r="K19" i="318"/>
  <c r="K20" i="318" s="1"/>
  <c r="J19" i="318"/>
  <c r="J20" i="318" s="1"/>
  <c r="H19" i="318"/>
  <c r="H20" i="318" s="1"/>
  <c r="N18" i="318"/>
  <c r="N19" i="318" s="1"/>
  <c r="N20" i="318" s="1"/>
  <c r="K18" i="318"/>
  <c r="I18" i="318"/>
  <c r="I19" i="318" s="1"/>
  <c r="I20" i="318" s="1"/>
  <c r="E18" i="318"/>
  <c r="E19" i="318" s="1"/>
  <c r="E20" i="318" s="1"/>
  <c r="D18" i="318"/>
  <c r="D19" i="318" s="1"/>
  <c r="D20" i="318" s="1"/>
  <c r="X12" i="318"/>
  <c r="W12" i="318"/>
  <c r="U12" i="318"/>
  <c r="T12" i="318"/>
  <c r="S12" i="318"/>
  <c r="Q12" i="318"/>
  <c r="O18" i="318" s="1"/>
  <c r="O19" i="318" s="1"/>
  <c r="O20" i="318" s="1"/>
  <c r="P12" i="318"/>
  <c r="O12" i="318"/>
  <c r="M12" i="318"/>
  <c r="L12" i="318"/>
  <c r="K12" i="318"/>
  <c r="G18" i="318" s="1"/>
  <c r="G19" i="318" s="1"/>
  <c r="G20" i="318" s="1"/>
  <c r="I12" i="318"/>
  <c r="F18" i="318" s="1"/>
  <c r="F19" i="318" s="1"/>
  <c r="F20" i="318" s="1"/>
  <c r="H12" i="318"/>
  <c r="G12" i="318"/>
  <c r="E12" i="318"/>
  <c r="D12" i="318"/>
  <c r="C12" i="318"/>
  <c r="B18" i="318" s="1"/>
  <c r="B19" i="318" s="1"/>
  <c r="B20" i="318" s="1"/>
  <c r="B21" i="318" s="1"/>
  <c r="X11" i="318"/>
  <c r="V11" i="318"/>
  <c r="T11" i="318"/>
  <c r="R11" i="318"/>
  <c r="P11" i="318"/>
  <c r="N11" i="318"/>
  <c r="L11" i="318"/>
  <c r="J11" i="318"/>
  <c r="H11" i="318"/>
  <c r="F11" i="318"/>
  <c r="Y11" i="318" s="1"/>
  <c r="D11" i="318"/>
  <c r="X10" i="318"/>
  <c r="V10" i="318"/>
  <c r="T10" i="318"/>
  <c r="R10" i="318"/>
  <c r="P10" i="318"/>
  <c r="N10" i="318"/>
  <c r="L10" i="318"/>
  <c r="J10" i="318"/>
  <c r="H10" i="318"/>
  <c r="F10" i="318"/>
  <c r="Y10" i="318" s="1"/>
  <c r="D10" i="318"/>
  <c r="X9" i="318"/>
  <c r="V9" i="318"/>
  <c r="T9" i="318"/>
  <c r="R9" i="318"/>
  <c r="P9" i="318"/>
  <c r="N9" i="318"/>
  <c r="L9" i="318"/>
  <c r="J9" i="318"/>
  <c r="H9" i="318"/>
  <c r="F9" i="318"/>
  <c r="Y9" i="318" s="1"/>
  <c r="D9" i="318"/>
  <c r="X8" i="318"/>
  <c r="V8" i="318"/>
  <c r="T8" i="318"/>
  <c r="R8" i="318"/>
  <c r="P8" i="318"/>
  <c r="N8" i="318"/>
  <c r="L8" i="318"/>
  <c r="J8" i="318"/>
  <c r="H8" i="318"/>
  <c r="F8" i="318"/>
  <c r="Y8" i="318" s="1"/>
  <c r="D8" i="318"/>
  <c r="X7" i="318"/>
  <c r="V7" i="318"/>
  <c r="T7" i="318"/>
  <c r="R7" i="318"/>
  <c r="P7" i="318"/>
  <c r="N7" i="318"/>
  <c r="L7" i="318"/>
  <c r="J7" i="318"/>
  <c r="H7" i="318"/>
  <c r="F7" i="318"/>
  <c r="Y7" i="318" s="1"/>
  <c r="D7" i="318"/>
  <c r="X6" i="318"/>
  <c r="V6" i="318"/>
  <c r="V12" i="318" s="1"/>
  <c r="T6" i="318"/>
  <c r="R6" i="318"/>
  <c r="R12" i="318" s="1"/>
  <c r="P6" i="318"/>
  <c r="N6" i="318"/>
  <c r="N12" i="318" s="1"/>
  <c r="L6" i="318"/>
  <c r="J6" i="318"/>
  <c r="J12" i="318" s="1"/>
  <c r="H6" i="318"/>
  <c r="F6" i="318"/>
  <c r="F12" i="318" s="1"/>
  <c r="D6" i="318"/>
  <c r="V25" i="317"/>
  <c r="F22" i="317"/>
  <c r="S19" i="317"/>
  <c r="S20" i="317" s="1"/>
  <c r="Q19" i="317"/>
  <c r="Q20" i="317" s="1"/>
  <c r="P19" i="317"/>
  <c r="P20" i="317" s="1"/>
  <c r="M19" i="317"/>
  <c r="M20" i="317" s="1"/>
  <c r="L19" i="317"/>
  <c r="L20" i="317" s="1"/>
  <c r="K19" i="317"/>
  <c r="K20" i="317" s="1"/>
  <c r="J19" i="317"/>
  <c r="J20" i="317" s="1"/>
  <c r="H19" i="317"/>
  <c r="H20" i="317" s="1"/>
  <c r="K18" i="317"/>
  <c r="I18" i="317"/>
  <c r="I19" i="317" s="1"/>
  <c r="I20" i="317" s="1"/>
  <c r="E18" i="317"/>
  <c r="E19" i="317" s="1"/>
  <c r="E20" i="317" s="1"/>
  <c r="D18" i="317"/>
  <c r="D19" i="317" s="1"/>
  <c r="D20" i="317" s="1"/>
  <c r="X12" i="317"/>
  <c r="W12" i="317"/>
  <c r="U12" i="317"/>
  <c r="T12" i="317"/>
  <c r="S12" i="317"/>
  <c r="Q12" i="317"/>
  <c r="O18" i="317" s="1"/>
  <c r="O19" i="317" s="1"/>
  <c r="O20" i="317" s="1"/>
  <c r="P12" i="317"/>
  <c r="O12" i="317"/>
  <c r="N18" i="317" s="1"/>
  <c r="N19" i="317" s="1"/>
  <c r="N20" i="317" s="1"/>
  <c r="M12" i="317"/>
  <c r="L12" i="317"/>
  <c r="K12" i="317"/>
  <c r="G18" i="317" s="1"/>
  <c r="G19" i="317" s="1"/>
  <c r="G20" i="317" s="1"/>
  <c r="I12" i="317"/>
  <c r="F18" i="317" s="1"/>
  <c r="F19" i="317" s="1"/>
  <c r="F20" i="317" s="1"/>
  <c r="H12" i="317"/>
  <c r="G12" i="317"/>
  <c r="E12" i="317"/>
  <c r="D12" i="317"/>
  <c r="C12" i="317"/>
  <c r="B18" i="317" s="1"/>
  <c r="B19" i="317" s="1"/>
  <c r="B20" i="317" s="1"/>
  <c r="X11" i="317"/>
  <c r="V11" i="317"/>
  <c r="T11" i="317"/>
  <c r="R11" i="317"/>
  <c r="P11" i="317"/>
  <c r="N11" i="317"/>
  <c r="L11" i="317"/>
  <c r="J11" i="317"/>
  <c r="H11" i="317"/>
  <c r="F11" i="317"/>
  <c r="D11" i="317"/>
  <c r="Y11" i="317" s="1"/>
  <c r="X10" i="317"/>
  <c r="V10" i="317"/>
  <c r="T10" i="317"/>
  <c r="R10" i="317"/>
  <c r="P10" i="317"/>
  <c r="N10" i="317"/>
  <c r="L10" i="317"/>
  <c r="J10" i="317"/>
  <c r="H10" i="317"/>
  <c r="F10" i="317"/>
  <c r="D10" i="317"/>
  <c r="Y10" i="317" s="1"/>
  <c r="X9" i="317"/>
  <c r="V9" i="317"/>
  <c r="T9" i="317"/>
  <c r="R9" i="317"/>
  <c r="P9" i="317"/>
  <c r="N9" i="317"/>
  <c r="L9" i="317"/>
  <c r="J9" i="317"/>
  <c r="H9" i="317"/>
  <c r="F9" i="317"/>
  <c r="D9" i="317"/>
  <c r="Y9" i="317" s="1"/>
  <c r="X8" i="317"/>
  <c r="V8" i="317"/>
  <c r="T8" i="317"/>
  <c r="R8" i="317"/>
  <c r="P8" i="317"/>
  <c r="N8" i="317"/>
  <c r="L8" i="317"/>
  <c r="J8" i="317"/>
  <c r="H8" i="317"/>
  <c r="F8" i="317"/>
  <c r="D8" i="317"/>
  <c r="Y8" i="317" s="1"/>
  <c r="X7" i="317"/>
  <c r="V7" i="317"/>
  <c r="T7" i="317"/>
  <c r="R7" i="317"/>
  <c r="P7" i="317"/>
  <c r="N7" i="317"/>
  <c r="L7" i="317"/>
  <c r="J7" i="317"/>
  <c r="H7" i="317"/>
  <c r="F7" i="317"/>
  <c r="D7" i="317"/>
  <c r="Y7" i="317" s="1"/>
  <c r="X6" i="317"/>
  <c r="V6" i="317"/>
  <c r="V12" i="317" s="1"/>
  <c r="T6" i="317"/>
  <c r="R6" i="317"/>
  <c r="R12" i="317" s="1"/>
  <c r="P6" i="317"/>
  <c r="N6" i="317"/>
  <c r="N12" i="317" s="1"/>
  <c r="L6" i="317"/>
  <c r="J6" i="317"/>
  <c r="J12" i="317" s="1"/>
  <c r="H6" i="317"/>
  <c r="F6" i="317"/>
  <c r="F12" i="317" s="1"/>
  <c r="D6" i="317"/>
  <c r="Y6" i="317" s="1"/>
  <c r="V25" i="313"/>
  <c r="F22" i="313"/>
  <c r="S19" i="313"/>
  <c r="S20" i="313" s="1"/>
  <c r="Q19" i="313"/>
  <c r="Q20" i="313" s="1"/>
  <c r="P19" i="313"/>
  <c r="P20" i="313" s="1"/>
  <c r="M19" i="313"/>
  <c r="M20" i="313" s="1"/>
  <c r="L19" i="313"/>
  <c r="L20" i="313" s="1"/>
  <c r="J19" i="313"/>
  <c r="J20" i="313" s="1"/>
  <c r="H19" i="313"/>
  <c r="H20" i="313" s="1"/>
  <c r="N18" i="313"/>
  <c r="N19" i="313" s="1"/>
  <c r="N20" i="313" s="1"/>
  <c r="W12" i="313"/>
  <c r="K18" i="313" s="1"/>
  <c r="K19" i="313" s="1"/>
  <c r="K20" i="313" s="1"/>
  <c r="U12" i="313"/>
  <c r="I18" i="313" s="1"/>
  <c r="I19" i="313" s="1"/>
  <c r="I20" i="313" s="1"/>
  <c r="S12" i="313"/>
  <c r="Q12" i="313"/>
  <c r="O18" i="313" s="1"/>
  <c r="O19" i="313" s="1"/>
  <c r="O20" i="313" s="1"/>
  <c r="O12" i="313"/>
  <c r="N12" i="313"/>
  <c r="M12" i="313"/>
  <c r="K12" i="313"/>
  <c r="G18" i="313" s="1"/>
  <c r="G19" i="313" s="1"/>
  <c r="G20" i="313" s="1"/>
  <c r="I12" i="313"/>
  <c r="F18" i="313" s="1"/>
  <c r="F19" i="313" s="1"/>
  <c r="F20" i="313" s="1"/>
  <c r="G12" i="313"/>
  <c r="E18" i="313" s="1"/>
  <c r="E19" i="313" s="1"/>
  <c r="E20" i="313" s="1"/>
  <c r="F12" i="313"/>
  <c r="E12" i="313"/>
  <c r="D18" i="313" s="1"/>
  <c r="D19" i="313" s="1"/>
  <c r="D20" i="313" s="1"/>
  <c r="C12" i="313"/>
  <c r="B18" i="313" s="1"/>
  <c r="B19" i="313" s="1"/>
  <c r="B20" i="313" s="1"/>
  <c r="X11" i="313"/>
  <c r="V11" i="313"/>
  <c r="T11" i="313"/>
  <c r="R11" i="313"/>
  <c r="P11" i="313"/>
  <c r="N11" i="313"/>
  <c r="L11" i="313"/>
  <c r="J11" i="313"/>
  <c r="Y11" i="313" s="1"/>
  <c r="H11" i="313"/>
  <c r="F11" i="313"/>
  <c r="D11" i="313"/>
  <c r="X10" i="313"/>
  <c r="V10" i="313"/>
  <c r="T10" i="313"/>
  <c r="R10" i="313"/>
  <c r="P10" i="313"/>
  <c r="N10" i="313"/>
  <c r="L10" i="313"/>
  <c r="J10" i="313"/>
  <c r="Y10" i="313" s="1"/>
  <c r="H10" i="313"/>
  <c r="F10" i="313"/>
  <c r="D10" i="313"/>
  <c r="X9" i="313"/>
  <c r="V9" i="313"/>
  <c r="T9" i="313"/>
  <c r="R9" i="313"/>
  <c r="P9" i="313"/>
  <c r="N9" i="313"/>
  <c r="L9" i="313"/>
  <c r="J9" i="313"/>
  <c r="H9" i="313"/>
  <c r="F9" i="313"/>
  <c r="D9" i="313"/>
  <c r="X8" i="313"/>
  <c r="V8" i="313"/>
  <c r="V12" i="313" s="1"/>
  <c r="T8" i="313"/>
  <c r="R8" i="313"/>
  <c r="P8" i="313"/>
  <c r="N8" i="313"/>
  <c r="L8" i="313"/>
  <c r="J8" i="313"/>
  <c r="H8" i="313"/>
  <c r="F8" i="313"/>
  <c r="D8" i="313"/>
  <c r="X7" i="313"/>
  <c r="V7" i="313"/>
  <c r="T7" i="313"/>
  <c r="R7" i="313"/>
  <c r="P7" i="313"/>
  <c r="N7" i="313"/>
  <c r="L7" i="313"/>
  <c r="J7" i="313"/>
  <c r="H7" i="313"/>
  <c r="F7" i="313"/>
  <c r="D7" i="313"/>
  <c r="X6" i="313"/>
  <c r="V6" i="313"/>
  <c r="T6" i="313"/>
  <c r="T12" i="313" s="1"/>
  <c r="R6" i="313"/>
  <c r="R12" i="313" s="1"/>
  <c r="P6" i="313"/>
  <c r="P12" i="313" s="1"/>
  <c r="N6" i="313"/>
  <c r="L6" i="313"/>
  <c r="L12" i="313" s="1"/>
  <c r="J6" i="313"/>
  <c r="H6" i="313"/>
  <c r="H12" i="313" s="1"/>
  <c r="F6" i="313"/>
  <c r="D6" i="313"/>
  <c r="V25" i="312"/>
  <c r="F22" i="312"/>
  <c r="S19" i="312"/>
  <c r="S20" i="312" s="1"/>
  <c r="Q19" i="312"/>
  <c r="Q20" i="312" s="1"/>
  <c r="P19" i="312"/>
  <c r="P20" i="312" s="1"/>
  <c r="M19" i="312"/>
  <c r="M20" i="312" s="1"/>
  <c r="L19" i="312"/>
  <c r="L20" i="312" s="1"/>
  <c r="J19" i="312"/>
  <c r="J20" i="312" s="1"/>
  <c r="H19" i="312"/>
  <c r="H20" i="312" s="1"/>
  <c r="O18" i="312"/>
  <c r="O19" i="312" s="1"/>
  <c r="O20" i="312" s="1"/>
  <c r="N18" i="312"/>
  <c r="N19" i="312" s="1"/>
  <c r="N20" i="312" s="1"/>
  <c r="W12" i="312"/>
  <c r="K18" i="312" s="1"/>
  <c r="K19" i="312" s="1"/>
  <c r="K20" i="312" s="1"/>
  <c r="V12" i="312"/>
  <c r="U12" i="312"/>
  <c r="I18" i="312" s="1"/>
  <c r="I19" i="312" s="1"/>
  <c r="I20" i="312" s="1"/>
  <c r="S12" i="312"/>
  <c r="Q12" i="312"/>
  <c r="O12" i="312"/>
  <c r="N12" i="312"/>
  <c r="M12" i="312"/>
  <c r="K12" i="312"/>
  <c r="G18" i="312" s="1"/>
  <c r="G19" i="312" s="1"/>
  <c r="G20" i="312" s="1"/>
  <c r="I12" i="312"/>
  <c r="F18" i="312" s="1"/>
  <c r="F19" i="312" s="1"/>
  <c r="F20" i="312" s="1"/>
  <c r="G12" i="312"/>
  <c r="E18" i="312" s="1"/>
  <c r="E19" i="312" s="1"/>
  <c r="E20" i="312" s="1"/>
  <c r="F12" i="312"/>
  <c r="E12" i="312"/>
  <c r="D18" i="312" s="1"/>
  <c r="D19" i="312" s="1"/>
  <c r="D20" i="312" s="1"/>
  <c r="C12" i="312"/>
  <c r="B18" i="312" s="1"/>
  <c r="B19" i="312" s="1"/>
  <c r="B20" i="312" s="1"/>
  <c r="X11" i="312"/>
  <c r="V11" i="312"/>
  <c r="T11" i="312"/>
  <c r="R11" i="312"/>
  <c r="P11" i="312"/>
  <c r="N11" i="312"/>
  <c r="L11" i="312"/>
  <c r="J11" i="312"/>
  <c r="Y11" i="312" s="1"/>
  <c r="H11" i="312"/>
  <c r="F11" i="312"/>
  <c r="D11" i="312"/>
  <c r="X10" i="312"/>
  <c r="V10" i="312"/>
  <c r="T10" i="312"/>
  <c r="R10" i="312"/>
  <c r="P10" i="312"/>
  <c r="N10" i="312"/>
  <c r="L10" i="312"/>
  <c r="J10" i="312"/>
  <c r="Y10" i="312" s="1"/>
  <c r="H10" i="312"/>
  <c r="F10" i="312"/>
  <c r="D10" i="312"/>
  <c r="X9" i="312"/>
  <c r="V9" i="312"/>
  <c r="T9" i="312"/>
  <c r="R9" i="312"/>
  <c r="P9" i="312"/>
  <c r="N9" i="312"/>
  <c r="L9" i="312"/>
  <c r="J9" i="312"/>
  <c r="Y9" i="312" s="1"/>
  <c r="H9" i="312"/>
  <c r="F9" i="312"/>
  <c r="D9" i="312"/>
  <c r="X8" i="312"/>
  <c r="V8" i="312"/>
  <c r="T8" i="312"/>
  <c r="R8" i="312"/>
  <c r="P8" i="312"/>
  <c r="N8" i="312"/>
  <c r="L8" i="312"/>
  <c r="J8" i="312"/>
  <c r="H8" i="312"/>
  <c r="F8" i="312"/>
  <c r="D8" i="312"/>
  <c r="X7" i="312"/>
  <c r="V7" i="312"/>
  <c r="T7" i="312"/>
  <c r="R7" i="312"/>
  <c r="P7" i="312"/>
  <c r="N7" i="312"/>
  <c r="L7" i="312"/>
  <c r="J7" i="312"/>
  <c r="Y7" i="312" s="1"/>
  <c r="H7" i="312"/>
  <c r="F7" i="312"/>
  <c r="D7" i="312"/>
  <c r="X6" i="312"/>
  <c r="X12" i="312" s="1"/>
  <c r="V6" i="312"/>
  <c r="T6" i="312"/>
  <c r="T12" i="312" s="1"/>
  <c r="R6" i="312"/>
  <c r="R12" i="312" s="1"/>
  <c r="P6" i="312"/>
  <c r="P12" i="312" s="1"/>
  <c r="N6" i="312"/>
  <c r="L6" i="312"/>
  <c r="L12" i="312" s="1"/>
  <c r="J6" i="312"/>
  <c r="H6" i="312"/>
  <c r="F6" i="312"/>
  <c r="D6" i="312"/>
  <c r="V25" i="311"/>
  <c r="F22" i="311"/>
  <c r="S19" i="311"/>
  <c r="S20" i="311" s="1"/>
  <c r="Q19" i="311"/>
  <c r="Q20" i="311" s="1"/>
  <c r="P19" i="311"/>
  <c r="P20" i="311" s="1"/>
  <c r="O19" i="311"/>
  <c r="O20" i="311" s="1"/>
  <c r="M19" i="311"/>
  <c r="M20" i="311" s="1"/>
  <c r="L19" i="311"/>
  <c r="L20" i="311" s="1"/>
  <c r="J19" i="311"/>
  <c r="J20" i="311" s="1"/>
  <c r="H19" i="311"/>
  <c r="H20" i="311" s="1"/>
  <c r="O18" i="311"/>
  <c r="I18" i="311"/>
  <c r="I19" i="311" s="1"/>
  <c r="I20" i="311" s="1"/>
  <c r="F18" i="311"/>
  <c r="F19" i="311" s="1"/>
  <c r="F20" i="311" s="1"/>
  <c r="D18" i="311"/>
  <c r="D19" i="311" s="1"/>
  <c r="D20" i="311" s="1"/>
  <c r="X12" i="311"/>
  <c r="W12" i="311"/>
  <c r="K18" i="311" s="1"/>
  <c r="K19" i="311" s="1"/>
  <c r="K20" i="311" s="1"/>
  <c r="U12" i="311"/>
  <c r="T12" i="311"/>
  <c r="S12" i="311"/>
  <c r="Q12" i="311"/>
  <c r="P12" i="311"/>
  <c r="O12" i="311"/>
  <c r="N18" i="311" s="1"/>
  <c r="N19" i="311" s="1"/>
  <c r="N20" i="311" s="1"/>
  <c r="M12" i="311"/>
  <c r="L12" i="311"/>
  <c r="K12" i="311"/>
  <c r="G18" i="311" s="1"/>
  <c r="G19" i="311" s="1"/>
  <c r="G20" i="311" s="1"/>
  <c r="I12" i="311"/>
  <c r="H12" i="311"/>
  <c r="G12" i="311"/>
  <c r="E18" i="311" s="1"/>
  <c r="E19" i="311" s="1"/>
  <c r="E20" i="311" s="1"/>
  <c r="E12" i="311"/>
  <c r="D12" i="311"/>
  <c r="C12" i="311"/>
  <c r="B18" i="311" s="1"/>
  <c r="B19" i="311" s="1"/>
  <c r="B20" i="311" s="1"/>
  <c r="X11" i="311"/>
  <c r="V11" i="311"/>
  <c r="T11" i="311"/>
  <c r="R11" i="311"/>
  <c r="P11" i="311"/>
  <c r="N11" i="311"/>
  <c r="L11" i="311"/>
  <c r="J11" i="311"/>
  <c r="H11" i="311"/>
  <c r="F11" i="311"/>
  <c r="D11" i="311"/>
  <c r="Y11" i="311" s="1"/>
  <c r="X10" i="311"/>
  <c r="V10" i="311"/>
  <c r="T10" i="311"/>
  <c r="R10" i="311"/>
  <c r="P10" i="311"/>
  <c r="N10" i="311"/>
  <c r="L10" i="311"/>
  <c r="J10" i="311"/>
  <c r="H10" i="311"/>
  <c r="F10" i="311"/>
  <c r="D10" i="311"/>
  <c r="Y10" i="311" s="1"/>
  <c r="X9" i="311"/>
  <c r="V9" i="311"/>
  <c r="T9" i="311"/>
  <c r="R9" i="311"/>
  <c r="P9" i="311"/>
  <c r="N9" i="311"/>
  <c r="L9" i="311"/>
  <c r="J9" i="311"/>
  <c r="H9" i="311"/>
  <c r="F9" i="311"/>
  <c r="D9" i="311"/>
  <c r="Y9" i="311" s="1"/>
  <c r="X8" i="311"/>
  <c r="V8" i="311"/>
  <c r="T8" i="311"/>
  <c r="R8" i="311"/>
  <c r="P8" i="311"/>
  <c r="N8" i="311"/>
  <c r="L8" i="311"/>
  <c r="J8" i="311"/>
  <c r="H8" i="311"/>
  <c r="F8" i="311"/>
  <c r="D8" i="311"/>
  <c r="Y8" i="311" s="1"/>
  <c r="X7" i="311"/>
  <c r="V7" i="311"/>
  <c r="T7" i="311"/>
  <c r="R7" i="311"/>
  <c r="P7" i="311"/>
  <c r="N7" i="311"/>
  <c r="L7" i="311"/>
  <c r="J7" i="311"/>
  <c r="H7" i="311"/>
  <c r="F7" i="311"/>
  <c r="D7" i="311"/>
  <c r="Y7" i="311" s="1"/>
  <c r="X6" i="311"/>
  <c r="V6" i="311"/>
  <c r="V12" i="311" s="1"/>
  <c r="T6" i="311"/>
  <c r="R6" i="311"/>
  <c r="R12" i="311" s="1"/>
  <c r="P6" i="311"/>
  <c r="N6" i="311"/>
  <c r="N12" i="311" s="1"/>
  <c r="L6" i="311"/>
  <c r="J6" i="311"/>
  <c r="J12" i="311" s="1"/>
  <c r="H6" i="311"/>
  <c r="F6" i="311"/>
  <c r="F12" i="311" s="1"/>
  <c r="D6" i="311"/>
  <c r="Y6" i="311" s="1"/>
  <c r="Y10" i="327" l="1"/>
  <c r="L12" i="327"/>
  <c r="X12" i="327"/>
  <c r="V12" i="327"/>
  <c r="H12" i="327"/>
  <c r="J12" i="327"/>
  <c r="Y9" i="327"/>
  <c r="Y6" i="327"/>
  <c r="Y8" i="327"/>
  <c r="Y7" i="327"/>
  <c r="D12" i="327"/>
  <c r="B21" i="327"/>
  <c r="Y9" i="326"/>
  <c r="H12" i="326"/>
  <c r="V12" i="326"/>
  <c r="J12" i="326"/>
  <c r="Y7" i="326"/>
  <c r="Y6" i="326"/>
  <c r="Y8" i="326"/>
  <c r="D12" i="326"/>
  <c r="B21" i="326"/>
  <c r="Y9" i="325"/>
  <c r="V12" i="325"/>
  <c r="H12" i="325"/>
  <c r="Y8" i="325"/>
  <c r="J12" i="325"/>
  <c r="Y7" i="325"/>
  <c r="Y6" i="325"/>
  <c r="B21" i="325"/>
  <c r="D12" i="325"/>
  <c r="Y9" i="324"/>
  <c r="H12" i="324"/>
  <c r="J12" i="324"/>
  <c r="Y8" i="324"/>
  <c r="Y7" i="324"/>
  <c r="D12" i="324"/>
  <c r="B21" i="324"/>
  <c r="Y8" i="323"/>
  <c r="D12" i="323"/>
  <c r="Y7" i="323"/>
  <c r="J12" i="323"/>
  <c r="Y9" i="323"/>
  <c r="Y6" i="323"/>
  <c r="B21" i="323"/>
  <c r="H12" i="323"/>
  <c r="H12" i="322"/>
  <c r="D12" i="322"/>
  <c r="Y10" i="322"/>
  <c r="Y9" i="322"/>
  <c r="J12" i="322"/>
  <c r="Y8" i="322"/>
  <c r="Y7" i="322"/>
  <c r="B21" i="322"/>
  <c r="Y6" i="322"/>
  <c r="T12" i="321"/>
  <c r="Y11" i="321"/>
  <c r="Y7" i="321"/>
  <c r="Y6" i="321"/>
  <c r="Y9" i="321"/>
  <c r="Y8" i="321"/>
  <c r="D12" i="321"/>
  <c r="Y12" i="321" s="1"/>
  <c r="V16" i="321" s="1"/>
  <c r="V24" i="321" s="1"/>
  <c r="B21" i="321"/>
  <c r="Y9" i="320"/>
  <c r="Y6" i="320"/>
  <c r="Y8" i="320"/>
  <c r="J12" i="320"/>
  <c r="D12" i="320"/>
  <c r="B21" i="320"/>
  <c r="Y12" i="319"/>
  <c r="V16" i="319" s="1"/>
  <c r="V24" i="319" s="1"/>
  <c r="Y12" i="318"/>
  <c r="V16" i="318" s="1"/>
  <c r="V24" i="318" s="1"/>
  <c r="Y6" i="318"/>
  <c r="B21" i="317"/>
  <c r="Y12" i="317"/>
  <c r="V16" i="317" s="1"/>
  <c r="V24" i="317" s="1"/>
  <c r="Y9" i="313"/>
  <c r="X12" i="313"/>
  <c r="Y7" i="313"/>
  <c r="J12" i="313"/>
  <c r="D12" i="313"/>
  <c r="Y8" i="313"/>
  <c r="B21" i="313"/>
  <c r="Y6" i="313"/>
  <c r="H12" i="312"/>
  <c r="D12" i="312"/>
  <c r="Y8" i="312"/>
  <c r="Y6" i="312"/>
  <c r="B21" i="312"/>
  <c r="J12" i="312"/>
  <c r="Y12" i="312" s="1"/>
  <c r="V16" i="312" s="1"/>
  <c r="V24" i="312" s="1"/>
  <c r="B21" i="311"/>
  <c r="Y12" i="311"/>
  <c r="V16" i="311" s="1"/>
  <c r="V24" i="311" s="1"/>
  <c r="Y12" i="327" l="1"/>
  <c r="V16" i="327" s="1"/>
  <c r="V24" i="327" s="1"/>
  <c r="Y12" i="326"/>
  <c r="V16" i="326" s="1"/>
  <c r="V24" i="326" s="1"/>
  <c r="Y12" i="325"/>
  <c r="V16" i="325" s="1"/>
  <c r="V24" i="325" s="1"/>
  <c r="Y12" i="324"/>
  <c r="V16" i="324" s="1"/>
  <c r="V24" i="324" s="1"/>
  <c r="Y12" i="323"/>
  <c r="V16" i="323" s="1"/>
  <c r="V24" i="323" s="1"/>
  <c r="Y12" i="322"/>
  <c r="V16" i="322" s="1"/>
  <c r="V24" i="322" s="1"/>
  <c r="Y12" i="320"/>
  <c r="V16" i="320" s="1"/>
  <c r="V24" i="320" s="1"/>
  <c r="Y12" i="313"/>
  <c r="V16" i="313" s="1"/>
  <c r="V24" i="313" s="1"/>
  <c r="T10" i="309" l="1"/>
  <c r="T6" i="309"/>
  <c r="V25" i="309" l="1"/>
  <c r="F22" i="309"/>
  <c r="S19" i="309"/>
  <c r="S20" i="309" s="1"/>
  <c r="Q19" i="309"/>
  <c r="Q20" i="309" s="1"/>
  <c r="P19" i="309"/>
  <c r="P20" i="309" s="1"/>
  <c r="L19" i="309"/>
  <c r="L20" i="309" s="1"/>
  <c r="J19" i="309"/>
  <c r="J20" i="309" s="1"/>
  <c r="H19" i="309"/>
  <c r="H20" i="309" s="1"/>
  <c r="O18" i="309"/>
  <c r="O19" i="309" s="1"/>
  <c r="O20" i="309" s="1"/>
  <c r="K18" i="309"/>
  <c r="K19" i="309" s="1"/>
  <c r="K20" i="309" s="1"/>
  <c r="E18" i="309"/>
  <c r="E19" i="309" s="1"/>
  <c r="E20" i="309" s="1"/>
  <c r="D18" i="309"/>
  <c r="D19" i="309" s="1"/>
  <c r="D20" i="309" s="1"/>
  <c r="X12" i="309"/>
  <c r="W12" i="309"/>
  <c r="U12" i="309"/>
  <c r="I18" i="309" s="1"/>
  <c r="I19" i="309" s="1"/>
  <c r="I20" i="309" s="1"/>
  <c r="S12" i="309"/>
  <c r="Q12" i="309"/>
  <c r="P12" i="309"/>
  <c r="O12" i="309"/>
  <c r="N18" i="309" s="1"/>
  <c r="N19" i="309" s="1"/>
  <c r="N20" i="309" s="1"/>
  <c r="M12" i="309"/>
  <c r="M19" i="309" s="1"/>
  <c r="M20" i="309" s="1"/>
  <c r="L12" i="309"/>
  <c r="K12" i="309"/>
  <c r="G18" i="309" s="1"/>
  <c r="G19" i="309" s="1"/>
  <c r="G20" i="309" s="1"/>
  <c r="I12" i="309"/>
  <c r="F18" i="309" s="1"/>
  <c r="F19" i="309" s="1"/>
  <c r="F20" i="309" s="1"/>
  <c r="H12" i="309"/>
  <c r="G12" i="309"/>
  <c r="E12" i="309"/>
  <c r="C12" i="309"/>
  <c r="B18" i="309" s="1"/>
  <c r="B19" i="309" s="1"/>
  <c r="B20" i="309" s="1"/>
  <c r="X11" i="309"/>
  <c r="V11" i="309"/>
  <c r="T11" i="309"/>
  <c r="R11" i="309"/>
  <c r="P11" i="309"/>
  <c r="N11" i="309"/>
  <c r="L11" i="309"/>
  <c r="J11" i="309"/>
  <c r="H11" i="309"/>
  <c r="F11" i="309"/>
  <c r="Y11" i="309" s="1"/>
  <c r="D11" i="309"/>
  <c r="X10" i="309"/>
  <c r="V10" i="309"/>
  <c r="R10" i="309"/>
  <c r="P10" i="309"/>
  <c r="N10" i="309"/>
  <c r="L10" i="309"/>
  <c r="J10" i="309"/>
  <c r="H10" i="309"/>
  <c r="F10" i="309"/>
  <c r="D10" i="309"/>
  <c r="X9" i="309"/>
  <c r="V9" i="309"/>
  <c r="T9" i="309"/>
  <c r="R9" i="309"/>
  <c r="P9" i="309"/>
  <c r="N9" i="309"/>
  <c r="L9" i="309"/>
  <c r="J9" i="309"/>
  <c r="H9" i="309"/>
  <c r="F9" i="309"/>
  <c r="D9" i="309"/>
  <c r="X8" i="309"/>
  <c r="V8" i="309"/>
  <c r="T8" i="309"/>
  <c r="R8" i="309"/>
  <c r="P8" i="309"/>
  <c r="N8" i="309"/>
  <c r="L8" i="309"/>
  <c r="J8" i="309"/>
  <c r="H8" i="309"/>
  <c r="F8" i="309"/>
  <c r="D8" i="309"/>
  <c r="X7" i="309"/>
  <c r="V7" i="309"/>
  <c r="T7" i="309"/>
  <c r="R7" i="309"/>
  <c r="P7" i="309"/>
  <c r="N7" i="309"/>
  <c r="L7" i="309"/>
  <c r="J7" i="309"/>
  <c r="H7" i="309"/>
  <c r="F7" i="309"/>
  <c r="D7" i="309"/>
  <c r="X6" i="309"/>
  <c r="V6" i="309"/>
  <c r="T12" i="309"/>
  <c r="R6" i="309"/>
  <c r="R12" i="309" s="1"/>
  <c r="P6" i="309"/>
  <c r="N6" i="309"/>
  <c r="N12" i="309" s="1"/>
  <c r="L6" i="309"/>
  <c r="J6" i="309"/>
  <c r="H6" i="309"/>
  <c r="F6" i="309"/>
  <c r="D6" i="309"/>
  <c r="V25" i="308"/>
  <c r="F22" i="308"/>
  <c r="S19" i="308"/>
  <c r="S20" i="308" s="1"/>
  <c r="Q19" i="308"/>
  <c r="Q20" i="308" s="1"/>
  <c r="P19" i="308"/>
  <c r="P20" i="308" s="1"/>
  <c r="L19" i="308"/>
  <c r="L20" i="308" s="1"/>
  <c r="J19" i="308"/>
  <c r="J20" i="308" s="1"/>
  <c r="H19" i="308"/>
  <c r="H20" i="308" s="1"/>
  <c r="O18" i="308"/>
  <c r="O19" i="308" s="1"/>
  <c r="O20" i="308" s="1"/>
  <c r="E18" i="308"/>
  <c r="E19" i="308" s="1"/>
  <c r="E20" i="308" s="1"/>
  <c r="D18" i="308"/>
  <c r="D19" i="308" s="1"/>
  <c r="D20" i="308" s="1"/>
  <c r="W12" i="308"/>
  <c r="K18" i="308" s="1"/>
  <c r="K19" i="308" s="1"/>
  <c r="K20" i="308" s="1"/>
  <c r="U12" i="308"/>
  <c r="I18" i="308" s="1"/>
  <c r="I19" i="308" s="1"/>
  <c r="I20" i="308" s="1"/>
  <c r="T12" i="308"/>
  <c r="S12" i="308"/>
  <c r="Q12" i="308"/>
  <c r="P12" i="308"/>
  <c r="O12" i="308"/>
  <c r="N18" i="308" s="1"/>
  <c r="N19" i="308" s="1"/>
  <c r="N20" i="308" s="1"/>
  <c r="M12" i="308"/>
  <c r="M18" i="308" s="1"/>
  <c r="M19" i="308" s="1"/>
  <c r="M20" i="308" s="1"/>
  <c r="L12" i="308"/>
  <c r="K12" i="308"/>
  <c r="G18" i="308" s="1"/>
  <c r="G19" i="308" s="1"/>
  <c r="G20" i="308" s="1"/>
  <c r="I12" i="308"/>
  <c r="F18" i="308" s="1"/>
  <c r="F19" i="308" s="1"/>
  <c r="F20" i="308" s="1"/>
  <c r="H12" i="308"/>
  <c r="G12" i="308"/>
  <c r="E12" i="308"/>
  <c r="C12" i="308"/>
  <c r="B18" i="308" s="1"/>
  <c r="B19" i="308" s="1"/>
  <c r="B20" i="308" s="1"/>
  <c r="X11" i="308"/>
  <c r="V11" i="308"/>
  <c r="T11" i="308"/>
  <c r="R11" i="308"/>
  <c r="P11" i="308"/>
  <c r="N11" i="308"/>
  <c r="L11" i="308"/>
  <c r="J11" i="308"/>
  <c r="H11" i="308"/>
  <c r="F11" i="308"/>
  <c r="Y11" i="308" s="1"/>
  <c r="D11" i="308"/>
  <c r="X10" i="308"/>
  <c r="V10" i="308"/>
  <c r="T10" i="308"/>
  <c r="R10" i="308"/>
  <c r="P10" i="308"/>
  <c r="N10" i="308"/>
  <c r="L10" i="308"/>
  <c r="J10" i="308"/>
  <c r="H10" i="308"/>
  <c r="F10" i="308"/>
  <c r="D10" i="308"/>
  <c r="X9" i="308"/>
  <c r="V9" i="308"/>
  <c r="T9" i="308"/>
  <c r="R9" i="308"/>
  <c r="P9" i="308"/>
  <c r="N9" i="308"/>
  <c r="L9" i="308"/>
  <c r="J9" i="308"/>
  <c r="H9" i="308"/>
  <c r="F9" i="308"/>
  <c r="D9" i="308"/>
  <c r="X8" i="308"/>
  <c r="V8" i="308"/>
  <c r="T8" i="308"/>
  <c r="R8" i="308"/>
  <c r="P8" i="308"/>
  <c r="N8" i="308"/>
  <c r="L8" i="308"/>
  <c r="J8" i="308"/>
  <c r="H8" i="308"/>
  <c r="F8" i="308"/>
  <c r="D8" i="308"/>
  <c r="X7" i="308"/>
  <c r="X12" i="308" s="1"/>
  <c r="V7" i="308"/>
  <c r="T7" i="308"/>
  <c r="R7" i="308"/>
  <c r="P7" i="308"/>
  <c r="N7" i="308"/>
  <c r="L7" i="308"/>
  <c r="J7" i="308"/>
  <c r="H7" i="308"/>
  <c r="F7" i="308"/>
  <c r="D7" i="308"/>
  <c r="X6" i="308"/>
  <c r="V6" i="308"/>
  <c r="T6" i="308"/>
  <c r="R6" i="308"/>
  <c r="R12" i="308" s="1"/>
  <c r="P6" i="308"/>
  <c r="N6" i="308"/>
  <c r="N12" i="308" s="1"/>
  <c r="L6" i="308"/>
  <c r="J6" i="308"/>
  <c r="J12" i="308" s="1"/>
  <c r="H6" i="308"/>
  <c r="F6" i="308"/>
  <c r="F12" i="308" s="1"/>
  <c r="D6" i="308"/>
  <c r="M20" i="307"/>
  <c r="J12" i="309" l="1"/>
  <c r="D12" i="309"/>
  <c r="Y10" i="309"/>
  <c r="Y7" i="309"/>
  <c r="V12" i="309"/>
  <c r="Y6" i="309"/>
  <c r="Y9" i="309"/>
  <c r="Y8" i="309"/>
  <c r="B21" i="309"/>
  <c r="F12" i="309"/>
  <c r="V12" i="308"/>
  <c r="D12" i="308"/>
  <c r="Y12" i="308" s="1"/>
  <c r="V16" i="308" s="1"/>
  <c r="V24" i="308" s="1"/>
  <c r="Y7" i="308"/>
  <c r="Y9" i="308"/>
  <c r="Y10" i="308"/>
  <c r="Y8" i="308"/>
  <c r="B21" i="308"/>
  <c r="Y6" i="308"/>
  <c r="V25" i="307"/>
  <c r="F22" i="307"/>
  <c r="S19" i="307"/>
  <c r="S20" i="307" s="1"/>
  <c r="Q19" i="307"/>
  <c r="Q20" i="307" s="1"/>
  <c r="P19" i="307"/>
  <c r="P20" i="307" s="1"/>
  <c r="L19" i="307"/>
  <c r="L20" i="307" s="1"/>
  <c r="J19" i="307"/>
  <c r="J20" i="307" s="1"/>
  <c r="H19" i="307"/>
  <c r="H20" i="307" s="1"/>
  <c r="O18" i="307"/>
  <c r="O19" i="307" s="1"/>
  <c r="O20" i="307" s="1"/>
  <c r="I18" i="307"/>
  <c r="I19" i="307" s="1"/>
  <c r="I20" i="307" s="1"/>
  <c r="E18" i="307"/>
  <c r="E19" i="307" s="1"/>
  <c r="E20" i="307" s="1"/>
  <c r="D18" i="307"/>
  <c r="D19" i="307" s="1"/>
  <c r="D20" i="307" s="1"/>
  <c r="W12" i="307"/>
  <c r="K18" i="307" s="1"/>
  <c r="K19" i="307" s="1"/>
  <c r="K20" i="307" s="1"/>
  <c r="U12" i="307"/>
  <c r="T12" i="307"/>
  <c r="S12" i="307"/>
  <c r="Q12" i="307"/>
  <c r="P12" i="307"/>
  <c r="O12" i="307"/>
  <c r="N18" i="307" s="1"/>
  <c r="N19" i="307" s="1"/>
  <c r="N20" i="307" s="1"/>
  <c r="M12" i="307"/>
  <c r="M18" i="307" s="1"/>
  <c r="M19" i="307" s="1"/>
  <c r="L12" i="307"/>
  <c r="K12" i="307"/>
  <c r="G18" i="307" s="1"/>
  <c r="G19" i="307" s="1"/>
  <c r="G20" i="307" s="1"/>
  <c r="I12" i="307"/>
  <c r="F18" i="307" s="1"/>
  <c r="F19" i="307" s="1"/>
  <c r="F20" i="307" s="1"/>
  <c r="G12" i="307"/>
  <c r="E12" i="307"/>
  <c r="C12" i="307"/>
  <c r="B18" i="307" s="1"/>
  <c r="B19" i="307" s="1"/>
  <c r="B20" i="307" s="1"/>
  <c r="X11" i="307"/>
  <c r="V11" i="307"/>
  <c r="T11" i="307"/>
  <c r="R11" i="307"/>
  <c r="P11" i="307"/>
  <c r="N11" i="307"/>
  <c r="L11" i="307"/>
  <c r="J11" i="307"/>
  <c r="H11" i="307"/>
  <c r="F11" i="307"/>
  <c r="D11" i="307"/>
  <c r="Y11" i="307" s="1"/>
  <c r="X10" i="307"/>
  <c r="V10" i="307"/>
  <c r="T10" i="307"/>
  <c r="R10" i="307"/>
  <c r="P10" i="307"/>
  <c r="N10" i="307"/>
  <c r="L10" i="307"/>
  <c r="J10" i="307"/>
  <c r="H10" i="307"/>
  <c r="F10" i="307"/>
  <c r="D10" i="307"/>
  <c r="Y10" i="307" s="1"/>
  <c r="X9" i="307"/>
  <c r="V9" i="307"/>
  <c r="T9" i="307"/>
  <c r="R9" i="307"/>
  <c r="P9" i="307"/>
  <c r="N9" i="307"/>
  <c r="L9" i="307"/>
  <c r="J9" i="307"/>
  <c r="H9" i="307"/>
  <c r="F9" i="307"/>
  <c r="D9" i="307"/>
  <c r="Y9" i="307" s="1"/>
  <c r="X8" i="307"/>
  <c r="V8" i="307"/>
  <c r="T8" i="307"/>
  <c r="R8" i="307"/>
  <c r="P8" i="307"/>
  <c r="N8" i="307"/>
  <c r="L8" i="307"/>
  <c r="J8" i="307"/>
  <c r="H8" i="307"/>
  <c r="F8" i="307"/>
  <c r="D8" i="307"/>
  <c r="X7" i="307"/>
  <c r="X12" i="307" s="1"/>
  <c r="V7" i="307"/>
  <c r="T7" i="307"/>
  <c r="R7" i="307"/>
  <c r="P7" i="307"/>
  <c r="N7" i="307"/>
  <c r="L7" i="307"/>
  <c r="J7" i="307"/>
  <c r="H7" i="307"/>
  <c r="F7" i="307"/>
  <c r="D7" i="307"/>
  <c r="X6" i="307"/>
  <c r="V6" i="307"/>
  <c r="V12" i="307" s="1"/>
  <c r="T6" i="307"/>
  <c r="R6" i="307"/>
  <c r="R12" i="307" s="1"/>
  <c r="P6" i="307"/>
  <c r="N6" i="307"/>
  <c r="N12" i="307" s="1"/>
  <c r="L6" i="307"/>
  <c r="J6" i="307"/>
  <c r="H6" i="307"/>
  <c r="H12" i="307" s="1"/>
  <c r="F6" i="307"/>
  <c r="F12" i="307" s="1"/>
  <c r="D6" i="307"/>
  <c r="Y12" i="309" l="1"/>
  <c r="V16" i="309" s="1"/>
  <c r="V24" i="309" s="1"/>
  <c r="Y7" i="307"/>
  <c r="Y6" i="307"/>
  <c r="J12" i="307"/>
  <c r="Y8" i="307"/>
  <c r="D12" i="307"/>
  <c r="B21" i="307"/>
  <c r="Y12" i="307"/>
  <c r="V16" i="307" s="1"/>
  <c r="V24" i="307" s="1"/>
  <c r="V25" i="306" l="1"/>
  <c r="F22" i="306"/>
  <c r="S19" i="306"/>
  <c r="S20" i="306" s="1"/>
  <c r="Q19" i="306"/>
  <c r="Q20" i="306" s="1"/>
  <c r="P19" i="306"/>
  <c r="P20" i="306" s="1"/>
  <c r="L19" i="306"/>
  <c r="L20" i="306" s="1"/>
  <c r="J19" i="306"/>
  <c r="J20" i="306" s="1"/>
  <c r="H19" i="306"/>
  <c r="H20" i="306" s="1"/>
  <c r="W12" i="306"/>
  <c r="K18" i="306" s="1"/>
  <c r="K19" i="306" s="1"/>
  <c r="K20" i="306" s="1"/>
  <c r="U12" i="306"/>
  <c r="I18" i="306" s="1"/>
  <c r="I19" i="306" s="1"/>
  <c r="I20" i="306" s="1"/>
  <c r="S12" i="306"/>
  <c r="Q12" i="306"/>
  <c r="O18" i="306" s="1"/>
  <c r="O19" i="306" s="1"/>
  <c r="O20" i="306" s="1"/>
  <c r="O12" i="306"/>
  <c r="N18" i="306" s="1"/>
  <c r="N19" i="306" s="1"/>
  <c r="N20" i="306" s="1"/>
  <c r="M12" i="306"/>
  <c r="M18" i="306" s="1"/>
  <c r="M19" i="306" s="1"/>
  <c r="M20" i="306" s="1"/>
  <c r="K12" i="306"/>
  <c r="G18" i="306" s="1"/>
  <c r="G19" i="306" s="1"/>
  <c r="G20" i="306" s="1"/>
  <c r="I12" i="306"/>
  <c r="F18" i="306" s="1"/>
  <c r="F19" i="306" s="1"/>
  <c r="F20" i="306" s="1"/>
  <c r="G12" i="306"/>
  <c r="E18" i="306" s="1"/>
  <c r="E19" i="306" s="1"/>
  <c r="E20" i="306" s="1"/>
  <c r="E12" i="306"/>
  <c r="D18" i="306" s="1"/>
  <c r="D19" i="306" s="1"/>
  <c r="D20" i="306" s="1"/>
  <c r="C12" i="306"/>
  <c r="B18" i="306" s="1"/>
  <c r="B19" i="306" s="1"/>
  <c r="B20" i="306" s="1"/>
  <c r="X11" i="306"/>
  <c r="V11" i="306"/>
  <c r="T11" i="306"/>
  <c r="R11" i="306"/>
  <c r="P11" i="306"/>
  <c r="N11" i="306"/>
  <c r="L11" i="306"/>
  <c r="J11" i="306"/>
  <c r="H11" i="306"/>
  <c r="F11" i="306"/>
  <c r="D11" i="306"/>
  <c r="Y11" i="306" s="1"/>
  <c r="X10" i="306"/>
  <c r="V10" i="306"/>
  <c r="T10" i="306"/>
  <c r="R10" i="306"/>
  <c r="P10" i="306"/>
  <c r="N10" i="306"/>
  <c r="L10" i="306"/>
  <c r="J10" i="306"/>
  <c r="H10" i="306"/>
  <c r="F10" i="306"/>
  <c r="D10" i="306"/>
  <c r="Y10" i="306" s="1"/>
  <c r="X9" i="306"/>
  <c r="V9" i="306"/>
  <c r="T9" i="306"/>
  <c r="R9" i="306"/>
  <c r="P9" i="306"/>
  <c r="N9" i="306"/>
  <c r="L9" i="306"/>
  <c r="J9" i="306"/>
  <c r="H9" i="306"/>
  <c r="F9" i="306"/>
  <c r="D9" i="306"/>
  <c r="Y9" i="306" s="1"/>
  <c r="X8" i="306"/>
  <c r="V8" i="306"/>
  <c r="T8" i="306"/>
  <c r="R8" i="306"/>
  <c r="P8" i="306"/>
  <c r="N8" i="306"/>
  <c r="L8" i="306"/>
  <c r="J8" i="306"/>
  <c r="H8" i="306"/>
  <c r="F8" i="306"/>
  <c r="D8" i="306"/>
  <c r="X7" i="306"/>
  <c r="V7" i="306"/>
  <c r="T7" i="306"/>
  <c r="R7" i="306"/>
  <c r="P7" i="306"/>
  <c r="N7" i="306"/>
  <c r="L7" i="306"/>
  <c r="J7" i="306"/>
  <c r="H7" i="306"/>
  <c r="F7" i="306"/>
  <c r="D7" i="306"/>
  <c r="X6" i="306"/>
  <c r="X12" i="306" s="1"/>
  <c r="V6" i="306"/>
  <c r="V12" i="306" s="1"/>
  <c r="T6" i="306"/>
  <c r="T12" i="306" s="1"/>
  <c r="R6" i="306"/>
  <c r="R12" i="306" s="1"/>
  <c r="P6" i="306"/>
  <c r="P12" i="306" s="1"/>
  <c r="N6" i="306"/>
  <c r="N12" i="306" s="1"/>
  <c r="L6" i="306"/>
  <c r="L12" i="306" s="1"/>
  <c r="J6" i="306"/>
  <c r="H6" i="306"/>
  <c r="F6" i="306"/>
  <c r="F12" i="306" s="1"/>
  <c r="D6" i="306"/>
  <c r="V25" i="305"/>
  <c r="F22" i="305"/>
  <c r="S19" i="305"/>
  <c r="S20" i="305" s="1"/>
  <c r="Q19" i="305"/>
  <c r="Q20" i="305" s="1"/>
  <c r="P19" i="305"/>
  <c r="P20" i="305" s="1"/>
  <c r="L19" i="305"/>
  <c r="L20" i="305" s="1"/>
  <c r="J19" i="305"/>
  <c r="J20" i="305" s="1"/>
  <c r="H19" i="305"/>
  <c r="H20" i="305" s="1"/>
  <c r="W12" i="305"/>
  <c r="K18" i="305" s="1"/>
  <c r="K19" i="305" s="1"/>
  <c r="K20" i="305" s="1"/>
  <c r="U12" i="305"/>
  <c r="I18" i="305" s="1"/>
  <c r="I19" i="305" s="1"/>
  <c r="I20" i="305" s="1"/>
  <c r="S12" i="305"/>
  <c r="Q12" i="305"/>
  <c r="O18" i="305" s="1"/>
  <c r="O19" i="305" s="1"/>
  <c r="O20" i="305" s="1"/>
  <c r="O12" i="305"/>
  <c r="N18" i="305" s="1"/>
  <c r="N19" i="305" s="1"/>
  <c r="N20" i="305" s="1"/>
  <c r="M12" i="305"/>
  <c r="M18" i="305" s="1"/>
  <c r="M19" i="305" s="1"/>
  <c r="M20" i="305" s="1"/>
  <c r="K12" i="305"/>
  <c r="G18" i="305" s="1"/>
  <c r="G19" i="305" s="1"/>
  <c r="G20" i="305" s="1"/>
  <c r="I12" i="305"/>
  <c r="F18" i="305" s="1"/>
  <c r="F19" i="305" s="1"/>
  <c r="F20" i="305" s="1"/>
  <c r="G12" i="305"/>
  <c r="E18" i="305" s="1"/>
  <c r="E19" i="305" s="1"/>
  <c r="E20" i="305" s="1"/>
  <c r="E12" i="305"/>
  <c r="D18" i="305" s="1"/>
  <c r="D19" i="305" s="1"/>
  <c r="D20" i="305" s="1"/>
  <c r="C12" i="305"/>
  <c r="B18" i="305" s="1"/>
  <c r="B19" i="305" s="1"/>
  <c r="B20" i="305" s="1"/>
  <c r="X11" i="305"/>
  <c r="V11" i="305"/>
  <c r="T11" i="305"/>
  <c r="R11" i="305"/>
  <c r="P11" i="305"/>
  <c r="N11" i="305"/>
  <c r="L11" i="305"/>
  <c r="J11" i="305"/>
  <c r="H11" i="305"/>
  <c r="Y11" i="305" s="1"/>
  <c r="F11" i="305"/>
  <c r="D11" i="305"/>
  <c r="X10" i="305"/>
  <c r="V10" i="305"/>
  <c r="T10" i="305"/>
  <c r="R10" i="305"/>
  <c r="P10" i="305"/>
  <c r="N10" i="305"/>
  <c r="L10" i="305"/>
  <c r="J10" i="305"/>
  <c r="H10" i="305"/>
  <c r="Y10" i="305" s="1"/>
  <c r="F10" i="305"/>
  <c r="D10" i="305"/>
  <c r="X9" i="305"/>
  <c r="V9" i="305"/>
  <c r="T9" i="305"/>
  <c r="R9" i="305"/>
  <c r="P9" i="305"/>
  <c r="N9" i="305"/>
  <c r="L9" i="305"/>
  <c r="J9" i="305"/>
  <c r="H9" i="305"/>
  <c r="F9" i="305"/>
  <c r="D9" i="305"/>
  <c r="X8" i="305"/>
  <c r="V8" i="305"/>
  <c r="T8" i="305"/>
  <c r="R8" i="305"/>
  <c r="P8" i="305"/>
  <c r="N8" i="305"/>
  <c r="L8" i="305"/>
  <c r="J8" i="305"/>
  <c r="H8" i="305"/>
  <c r="F8" i="305"/>
  <c r="D8" i="305"/>
  <c r="X7" i="305"/>
  <c r="V7" i="305"/>
  <c r="T7" i="305"/>
  <c r="R7" i="305"/>
  <c r="P7" i="305"/>
  <c r="N7" i="305"/>
  <c r="L7" i="305"/>
  <c r="J7" i="305"/>
  <c r="H7" i="305"/>
  <c r="F7" i="305"/>
  <c r="D7" i="305"/>
  <c r="X6" i="305"/>
  <c r="X12" i="305" s="1"/>
  <c r="V6" i="305"/>
  <c r="V12" i="305" s="1"/>
  <c r="T6" i="305"/>
  <c r="T12" i="305" s="1"/>
  <c r="R6" i="305"/>
  <c r="R12" i="305" s="1"/>
  <c r="P6" i="305"/>
  <c r="P12" i="305" s="1"/>
  <c r="N6" i="305"/>
  <c r="N12" i="305" s="1"/>
  <c r="L6" i="305"/>
  <c r="L12" i="305" s="1"/>
  <c r="J6" i="305"/>
  <c r="H6" i="305"/>
  <c r="F6" i="305"/>
  <c r="F12" i="305" s="1"/>
  <c r="D6" i="305"/>
  <c r="J12" i="306" l="1"/>
  <c r="H12" i="306"/>
  <c r="Y8" i="306"/>
  <c r="Y7" i="306"/>
  <c r="D12" i="306"/>
  <c r="B21" i="306"/>
  <c r="Y6" i="306"/>
  <c r="Y9" i="305"/>
  <c r="Y8" i="305"/>
  <c r="J12" i="305"/>
  <c r="H12" i="305"/>
  <c r="Y7" i="305"/>
  <c r="D12" i="305"/>
  <c r="B21" i="305"/>
  <c r="Y6" i="305"/>
  <c r="Y12" i="306" l="1"/>
  <c r="V16" i="306" s="1"/>
  <c r="V24" i="306" s="1"/>
  <c r="Y12" i="305"/>
  <c r="V16" i="305" s="1"/>
  <c r="V24" i="305" s="1"/>
  <c r="V25" i="304" l="1"/>
  <c r="F22" i="304"/>
  <c r="S19" i="304"/>
  <c r="S20" i="304" s="1"/>
  <c r="Q19" i="304"/>
  <c r="Q20" i="304" s="1"/>
  <c r="P19" i="304"/>
  <c r="P20" i="304" s="1"/>
  <c r="L19" i="304"/>
  <c r="L20" i="304" s="1"/>
  <c r="J19" i="304"/>
  <c r="J20" i="304" s="1"/>
  <c r="H19" i="304"/>
  <c r="H20" i="304" s="1"/>
  <c r="M18" i="304"/>
  <c r="M19" i="304" s="1"/>
  <c r="M20" i="304" s="1"/>
  <c r="K18" i="304"/>
  <c r="K19" i="304" s="1"/>
  <c r="K20" i="304" s="1"/>
  <c r="E18" i="304"/>
  <c r="E19" i="304" s="1"/>
  <c r="E20" i="304" s="1"/>
  <c r="W12" i="304"/>
  <c r="V12" i="304"/>
  <c r="U12" i="304"/>
  <c r="I18" i="304" s="1"/>
  <c r="I19" i="304" s="1"/>
  <c r="I20" i="304" s="1"/>
  <c r="S12" i="304"/>
  <c r="Q12" i="304"/>
  <c r="O18" i="304" s="1"/>
  <c r="O19" i="304" s="1"/>
  <c r="O20" i="304" s="1"/>
  <c r="P12" i="304"/>
  <c r="O12" i="304"/>
  <c r="N18" i="304" s="1"/>
  <c r="N19" i="304" s="1"/>
  <c r="N20" i="304" s="1"/>
  <c r="N12" i="304"/>
  <c r="M12" i="304"/>
  <c r="K12" i="304"/>
  <c r="G18" i="304" s="1"/>
  <c r="G19" i="304" s="1"/>
  <c r="G20" i="304" s="1"/>
  <c r="I12" i="304"/>
  <c r="F18" i="304" s="1"/>
  <c r="F19" i="304" s="1"/>
  <c r="F20" i="304" s="1"/>
  <c r="H12" i="304"/>
  <c r="G12" i="304"/>
  <c r="F12" i="304"/>
  <c r="E12" i="304"/>
  <c r="D18" i="304" s="1"/>
  <c r="D19" i="304" s="1"/>
  <c r="D20" i="304" s="1"/>
  <c r="C12" i="304"/>
  <c r="B18" i="304" s="1"/>
  <c r="X11" i="304"/>
  <c r="V11" i="304"/>
  <c r="T11" i="304"/>
  <c r="R11" i="304"/>
  <c r="P11" i="304"/>
  <c r="N11" i="304"/>
  <c r="L11" i="304"/>
  <c r="J11" i="304"/>
  <c r="Y11" i="304" s="1"/>
  <c r="H11" i="304"/>
  <c r="F11" i="304"/>
  <c r="D11" i="304"/>
  <c r="X10" i="304"/>
  <c r="V10" i="304"/>
  <c r="T10" i="304"/>
  <c r="R10" i="304"/>
  <c r="P10" i="304"/>
  <c r="N10" i="304"/>
  <c r="L10" i="304"/>
  <c r="J10" i="304"/>
  <c r="Y10" i="304" s="1"/>
  <c r="H10" i="304"/>
  <c r="F10" i="304"/>
  <c r="D10" i="304"/>
  <c r="X9" i="304"/>
  <c r="V9" i="304"/>
  <c r="T9" i="304"/>
  <c r="R9" i="304"/>
  <c r="P9" i="304"/>
  <c r="N9" i="304"/>
  <c r="L9" i="304"/>
  <c r="J9" i="304"/>
  <c r="H9" i="304"/>
  <c r="F9" i="304"/>
  <c r="D9" i="304"/>
  <c r="X8" i="304"/>
  <c r="V8" i="304"/>
  <c r="T8" i="304"/>
  <c r="R8" i="304"/>
  <c r="P8" i="304"/>
  <c r="N8" i="304"/>
  <c r="L8" i="304"/>
  <c r="J8" i="304"/>
  <c r="H8" i="304"/>
  <c r="F8" i="304"/>
  <c r="D8" i="304"/>
  <c r="X7" i="304"/>
  <c r="V7" i="304"/>
  <c r="T7" i="304"/>
  <c r="R7" i="304"/>
  <c r="P7" i="304"/>
  <c r="N7" i="304"/>
  <c r="L7" i="304"/>
  <c r="J7" i="304"/>
  <c r="H7" i="304"/>
  <c r="F7" i="304"/>
  <c r="D7" i="304"/>
  <c r="X6" i="304"/>
  <c r="X12" i="304" s="1"/>
  <c r="V6" i="304"/>
  <c r="T6" i="304"/>
  <c r="T12" i="304" s="1"/>
  <c r="R6" i="304"/>
  <c r="R12" i="304" s="1"/>
  <c r="P6" i="304"/>
  <c r="N6" i="304"/>
  <c r="L6" i="304"/>
  <c r="L12" i="304" s="1"/>
  <c r="J6" i="304"/>
  <c r="H6" i="304"/>
  <c r="F6" i="304"/>
  <c r="D6" i="304"/>
  <c r="D20" i="303"/>
  <c r="F22" i="303"/>
  <c r="B16" i="303"/>
  <c r="J12" i="304" l="1"/>
  <c r="Y9" i="304"/>
  <c r="Y7" i="304"/>
  <c r="D12" i="304"/>
  <c r="Y8" i="304"/>
  <c r="B19" i="304"/>
  <c r="B20" i="304" s="1"/>
  <c r="B21" i="304" s="1"/>
  <c r="Y6" i="304"/>
  <c r="V25" i="303"/>
  <c r="S19" i="303"/>
  <c r="S20" i="303" s="1"/>
  <c r="Q19" i="303"/>
  <c r="Q20" i="303" s="1"/>
  <c r="P19" i="303"/>
  <c r="P20" i="303" s="1"/>
  <c r="L19" i="303"/>
  <c r="L20" i="303" s="1"/>
  <c r="J19" i="303"/>
  <c r="J20" i="303" s="1"/>
  <c r="I19" i="303"/>
  <c r="I20" i="303" s="1"/>
  <c r="H19" i="303"/>
  <c r="H20" i="303" s="1"/>
  <c r="O18" i="303"/>
  <c r="O19" i="303" s="1"/>
  <c r="O20" i="303" s="1"/>
  <c r="I18" i="303"/>
  <c r="D18" i="303"/>
  <c r="D19" i="303" s="1"/>
  <c r="X12" i="303"/>
  <c r="W12" i="303"/>
  <c r="K18" i="303" s="1"/>
  <c r="K19" i="303" s="1"/>
  <c r="K20" i="303" s="1"/>
  <c r="U12" i="303"/>
  <c r="S12" i="303"/>
  <c r="Q12" i="303"/>
  <c r="P12" i="303"/>
  <c r="O12" i="303"/>
  <c r="N18" i="303" s="1"/>
  <c r="N19" i="303" s="1"/>
  <c r="N20" i="303" s="1"/>
  <c r="M12" i="303"/>
  <c r="M18" i="303" s="1"/>
  <c r="M19" i="303" s="1"/>
  <c r="M20" i="303" s="1"/>
  <c r="K12" i="303"/>
  <c r="G18" i="303" s="1"/>
  <c r="G19" i="303" s="1"/>
  <c r="G20" i="303" s="1"/>
  <c r="I12" i="303"/>
  <c r="F18" i="303" s="1"/>
  <c r="F19" i="303" s="1"/>
  <c r="F20" i="303" s="1"/>
  <c r="H12" i="303"/>
  <c r="G12" i="303"/>
  <c r="E18" i="303" s="1"/>
  <c r="E19" i="303" s="1"/>
  <c r="E20" i="303" s="1"/>
  <c r="E12" i="303"/>
  <c r="C12" i="303"/>
  <c r="B18" i="303" s="1"/>
  <c r="B19" i="303" s="1"/>
  <c r="B20" i="303" s="1"/>
  <c r="X11" i="303"/>
  <c r="V11" i="303"/>
  <c r="T11" i="303"/>
  <c r="R11" i="303"/>
  <c r="P11" i="303"/>
  <c r="N11" i="303"/>
  <c r="L11" i="303"/>
  <c r="J11" i="303"/>
  <c r="H11" i="303"/>
  <c r="F11" i="303"/>
  <c r="D11" i="303"/>
  <c r="Y11" i="303" s="1"/>
  <c r="X10" i="303"/>
  <c r="V10" i="303"/>
  <c r="T10" i="303"/>
  <c r="R10" i="303"/>
  <c r="P10" i="303"/>
  <c r="N10" i="303"/>
  <c r="L10" i="303"/>
  <c r="J10" i="303"/>
  <c r="H10" i="303"/>
  <c r="F10" i="303"/>
  <c r="D10" i="303"/>
  <c r="Y10" i="303" s="1"/>
  <c r="X9" i="303"/>
  <c r="V9" i="303"/>
  <c r="T9" i="303"/>
  <c r="R9" i="303"/>
  <c r="P9" i="303"/>
  <c r="N9" i="303"/>
  <c r="L9" i="303"/>
  <c r="J9" i="303"/>
  <c r="H9" i="303"/>
  <c r="F9" i="303"/>
  <c r="D9" i="303"/>
  <c r="Y9" i="303" s="1"/>
  <c r="X8" i="303"/>
  <c r="V8" i="303"/>
  <c r="T8" i="303"/>
  <c r="R8" i="303"/>
  <c r="P8" i="303"/>
  <c r="N8" i="303"/>
  <c r="L8" i="303"/>
  <c r="J8" i="303"/>
  <c r="H8" i="303"/>
  <c r="F8" i="303"/>
  <c r="D8" i="303"/>
  <c r="Y8" i="303" s="1"/>
  <c r="X7" i="303"/>
  <c r="V7" i="303"/>
  <c r="T7" i="303"/>
  <c r="R7" i="303"/>
  <c r="P7" i="303"/>
  <c r="N7" i="303"/>
  <c r="L7" i="303"/>
  <c r="J7" i="303"/>
  <c r="H7" i="303"/>
  <c r="F7" i="303"/>
  <c r="D7" i="303"/>
  <c r="Y7" i="303" s="1"/>
  <c r="X6" i="303"/>
  <c r="V6" i="303"/>
  <c r="V12" i="303" s="1"/>
  <c r="T6" i="303"/>
  <c r="T12" i="303" s="1"/>
  <c r="R6" i="303"/>
  <c r="R12" i="303" s="1"/>
  <c r="P6" i="303"/>
  <c r="N6" i="303"/>
  <c r="N12" i="303" s="1"/>
  <c r="L6" i="303"/>
  <c r="L12" i="303" s="1"/>
  <c r="J6" i="303"/>
  <c r="J12" i="303" s="1"/>
  <c r="H6" i="303"/>
  <c r="F6" i="303"/>
  <c r="F12" i="303" s="1"/>
  <c r="D6" i="303"/>
  <c r="Y6" i="303" s="1"/>
  <c r="V25" i="302"/>
  <c r="F22" i="302"/>
  <c r="S19" i="302"/>
  <c r="S20" i="302" s="1"/>
  <c r="Q19" i="302"/>
  <c r="Q20" i="302" s="1"/>
  <c r="P19" i="302"/>
  <c r="P20" i="302" s="1"/>
  <c r="L19" i="302"/>
  <c r="L20" i="302" s="1"/>
  <c r="J19" i="302"/>
  <c r="J20" i="302" s="1"/>
  <c r="I19" i="302"/>
  <c r="I20" i="302" s="1"/>
  <c r="H19" i="302"/>
  <c r="H20" i="302" s="1"/>
  <c r="O18" i="302"/>
  <c r="O19" i="302" s="1"/>
  <c r="O20" i="302" s="1"/>
  <c r="I18" i="302"/>
  <c r="D18" i="302"/>
  <c r="D19" i="302" s="1"/>
  <c r="D20" i="302" s="1"/>
  <c r="X12" i="302"/>
  <c r="W12" i="302"/>
  <c r="K18" i="302" s="1"/>
  <c r="K19" i="302" s="1"/>
  <c r="K20" i="302" s="1"/>
  <c r="U12" i="302"/>
  <c r="S12" i="302"/>
  <c r="Q12" i="302"/>
  <c r="P12" i="302"/>
  <c r="O12" i="302"/>
  <c r="N18" i="302" s="1"/>
  <c r="N19" i="302" s="1"/>
  <c r="N20" i="302" s="1"/>
  <c r="M12" i="302"/>
  <c r="M18" i="302" s="1"/>
  <c r="M19" i="302" s="1"/>
  <c r="M20" i="302" s="1"/>
  <c r="K12" i="302"/>
  <c r="G18" i="302" s="1"/>
  <c r="G19" i="302" s="1"/>
  <c r="G20" i="302" s="1"/>
  <c r="I12" i="302"/>
  <c r="F18" i="302" s="1"/>
  <c r="F19" i="302" s="1"/>
  <c r="F20" i="302" s="1"/>
  <c r="G12" i="302"/>
  <c r="E18" i="302" s="1"/>
  <c r="E19" i="302" s="1"/>
  <c r="E20" i="302" s="1"/>
  <c r="E12" i="302"/>
  <c r="C12" i="302"/>
  <c r="B18" i="302" s="1"/>
  <c r="B19" i="302" s="1"/>
  <c r="B20" i="302" s="1"/>
  <c r="X11" i="302"/>
  <c r="V11" i="302"/>
  <c r="T11" i="302"/>
  <c r="R11" i="302"/>
  <c r="P11" i="302"/>
  <c r="N11" i="302"/>
  <c r="L11" i="302"/>
  <c r="J11" i="302"/>
  <c r="H11" i="302"/>
  <c r="F11" i="302"/>
  <c r="D11" i="302"/>
  <c r="Y11" i="302" s="1"/>
  <c r="X10" i="302"/>
  <c r="V10" i="302"/>
  <c r="T10" i="302"/>
  <c r="R10" i="302"/>
  <c r="P10" i="302"/>
  <c r="N10" i="302"/>
  <c r="L10" i="302"/>
  <c r="J10" i="302"/>
  <c r="H10" i="302"/>
  <c r="F10" i="302"/>
  <c r="D10" i="302"/>
  <c r="Y10" i="302" s="1"/>
  <c r="X9" i="302"/>
  <c r="V9" i="302"/>
  <c r="T9" i="302"/>
  <c r="R9" i="302"/>
  <c r="P9" i="302"/>
  <c r="N9" i="302"/>
  <c r="L9" i="302"/>
  <c r="J9" i="302"/>
  <c r="H9" i="302"/>
  <c r="H12" i="302" s="1"/>
  <c r="F9" i="302"/>
  <c r="D9" i="302"/>
  <c r="X8" i="302"/>
  <c r="V8" i="302"/>
  <c r="T8" i="302"/>
  <c r="R8" i="302"/>
  <c r="P8" i="302"/>
  <c r="N8" i="302"/>
  <c r="L8" i="302"/>
  <c r="J8" i="302"/>
  <c r="H8" i="302"/>
  <c r="F8" i="302"/>
  <c r="D8" i="302"/>
  <c r="X7" i="302"/>
  <c r="V7" i="302"/>
  <c r="T7" i="302"/>
  <c r="R7" i="302"/>
  <c r="P7" i="302"/>
  <c r="N7" i="302"/>
  <c r="L7" i="302"/>
  <c r="J7" i="302"/>
  <c r="H7" i="302"/>
  <c r="F7" i="302"/>
  <c r="D7" i="302"/>
  <c r="X6" i="302"/>
  <c r="V6" i="302"/>
  <c r="V12" i="302" s="1"/>
  <c r="T6" i="302"/>
  <c r="R6" i="302"/>
  <c r="R12" i="302" s="1"/>
  <c r="P6" i="302"/>
  <c r="N6" i="302"/>
  <c r="N12" i="302" s="1"/>
  <c r="L6" i="302"/>
  <c r="L12" i="302" s="1"/>
  <c r="J6" i="302"/>
  <c r="H6" i="302"/>
  <c r="F6" i="302"/>
  <c r="F12" i="302" s="1"/>
  <c r="D6" i="302"/>
  <c r="Y12" i="304" l="1"/>
  <c r="V16" i="304" s="1"/>
  <c r="V24" i="304" s="1"/>
  <c r="B21" i="303"/>
  <c r="D12" i="303"/>
  <c r="Y12" i="303" s="1"/>
  <c r="V16" i="303" s="1"/>
  <c r="V24" i="303" s="1"/>
  <c r="T12" i="302"/>
  <c r="Y7" i="302"/>
  <c r="Y8" i="302"/>
  <c r="Y6" i="302"/>
  <c r="J12" i="302"/>
  <c r="Y9" i="302"/>
  <c r="B21" i="302"/>
  <c r="D12" i="302"/>
  <c r="V25" i="301"/>
  <c r="F22" i="301"/>
  <c r="S19" i="301"/>
  <c r="S20" i="301" s="1"/>
  <c r="Q19" i="301"/>
  <c r="Q20" i="301" s="1"/>
  <c r="P19" i="301"/>
  <c r="P20" i="301" s="1"/>
  <c r="L19" i="301"/>
  <c r="L20" i="301" s="1"/>
  <c r="J19" i="301"/>
  <c r="J20" i="301" s="1"/>
  <c r="H19" i="301"/>
  <c r="H20" i="301" s="1"/>
  <c r="O18" i="301"/>
  <c r="O19" i="301" s="1"/>
  <c r="O20" i="301" s="1"/>
  <c r="E18" i="301"/>
  <c r="E19" i="301" s="1"/>
  <c r="E20" i="301" s="1"/>
  <c r="D18" i="301"/>
  <c r="D19" i="301" s="1"/>
  <c r="D20" i="301" s="1"/>
  <c r="W12" i="301"/>
  <c r="K18" i="301" s="1"/>
  <c r="K19" i="301" s="1"/>
  <c r="K20" i="301" s="1"/>
  <c r="U12" i="301"/>
  <c r="I18" i="301" s="1"/>
  <c r="I19" i="301" s="1"/>
  <c r="I20" i="301" s="1"/>
  <c r="T12" i="301"/>
  <c r="S12" i="301"/>
  <c r="Q12" i="301"/>
  <c r="P12" i="301"/>
  <c r="O12" i="301"/>
  <c r="N18" i="301" s="1"/>
  <c r="N19" i="301" s="1"/>
  <c r="N20" i="301" s="1"/>
  <c r="M12" i="301"/>
  <c r="M18" i="301" s="1"/>
  <c r="M19" i="301" s="1"/>
  <c r="M20" i="301" s="1"/>
  <c r="L12" i="301"/>
  <c r="K12" i="301"/>
  <c r="G18" i="301" s="1"/>
  <c r="G19" i="301" s="1"/>
  <c r="G20" i="301" s="1"/>
  <c r="I12" i="301"/>
  <c r="F18" i="301" s="1"/>
  <c r="F19" i="301" s="1"/>
  <c r="F20" i="301" s="1"/>
  <c r="G12" i="301"/>
  <c r="E12" i="301"/>
  <c r="C12" i="301"/>
  <c r="B18" i="301" s="1"/>
  <c r="B19" i="301" s="1"/>
  <c r="B20" i="301" s="1"/>
  <c r="X11" i="301"/>
  <c r="V11" i="301"/>
  <c r="T11" i="301"/>
  <c r="R11" i="301"/>
  <c r="P11" i="301"/>
  <c r="N11" i="301"/>
  <c r="L11" i="301"/>
  <c r="J11" i="301"/>
  <c r="H11" i="301"/>
  <c r="F11" i="301"/>
  <c r="D11" i="301"/>
  <c r="Y11" i="301" s="1"/>
  <c r="X10" i="301"/>
  <c r="V10" i="301"/>
  <c r="T10" i="301"/>
  <c r="R10" i="301"/>
  <c r="P10" i="301"/>
  <c r="N10" i="301"/>
  <c r="L10" i="301"/>
  <c r="J10" i="301"/>
  <c r="H10" i="301"/>
  <c r="F10" i="301"/>
  <c r="D10" i="301"/>
  <c r="Y10" i="301" s="1"/>
  <c r="X9" i="301"/>
  <c r="V9" i="301"/>
  <c r="T9" i="301"/>
  <c r="R9" i="301"/>
  <c r="P9" i="301"/>
  <c r="N9" i="301"/>
  <c r="L9" i="301"/>
  <c r="J9" i="301"/>
  <c r="H9" i="301"/>
  <c r="F9" i="301"/>
  <c r="D9" i="301"/>
  <c r="X8" i="301"/>
  <c r="X12" i="301" s="1"/>
  <c r="V8" i="301"/>
  <c r="T8" i="301"/>
  <c r="R8" i="301"/>
  <c r="P8" i="301"/>
  <c r="N8" i="301"/>
  <c r="L8" i="301"/>
  <c r="J8" i="301"/>
  <c r="H8" i="301"/>
  <c r="F8" i="301"/>
  <c r="D8" i="301"/>
  <c r="X7" i="301"/>
  <c r="V7" i="301"/>
  <c r="T7" i="301"/>
  <c r="R7" i="301"/>
  <c r="P7" i="301"/>
  <c r="N7" i="301"/>
  <c r="L7" i="301"/>
  <c r="J7" i="301"/>
  <c r="H7" i="301"/>
  <c r="H12" i="301" s="1"/>
  <c r="F7" i="301"/>
  <c r="D7" i="301"/>
  <c r="Y7" i="301" s="1"/>
  <c r="X6" i="301"/>
  <c r="V6" i="301"/>
  <c r="T6" i="301"/>
  <c r="R6" i="301"/>
  <c r="R12" i="301" s="1"/>
  <c r="P6" i="301"/>
  <c r="N6" i="301"/>
  <c r="N12" i="301" s="1"/>
  <c r="L6" i="301"/>
  <c r="J6" i="301"/>
  <c r="J12" i="301" s="1"/>
  <c r="H6" i="301"/>
  <c r="F6" i="301"/>
  <c r="F12" i="301" s="1"/>
  <c r="D6" i="301"/>
  <c r="Y6" i="301" s="1"/>
  <c r="V25" i="300"/>
  <c r="F22" i="300"/>
  <c r="S19" i="300"/>
  <c r="S20" i="300" s="1"/>
  <c r="Q19" i="300"/>
  <c r="Q20" i="300" s="1"/>
  <c r="P19" i="300"/>
  <c r="P20" i="300" s="1"/>
  <c r="L19" i="300"/>
  <c r="L20" i="300" s="1"/>
  <c r="J19" i="300"/>
  <c r="J20" i="300" s="1"/>
  <c r="H19" i="300"/>
  <c r="H20" i="300" s="1"/>
  <c r="M18" i="300"/>
  <c r="M19" i="300" s="1"/>
  <c r="M20" i="300" s="1"/>
  <c r="F18" i="300"/>
  <c r="F19" i="300" s="1"/>
  <c r="F20" i="300" s="1"/>
  <c r="W12" i="300"/>
  <c r="K18" i="300" s="1"/>
  <c r="K19" i="300" s="1"/>
  <c r="K20" i="300" s="1"/>
  <c r="U12" i="300"/>
  <c r="I18" i="300" s="1"/>
  <c r="I19" i="300" s="1"/>
  <c r="I20" i="300" s="1"/>
  <c r="S12" i="300"/>
  <c r="Q12" i="300"/>
  <c r="O18" i="300" s="1"/>
  <c r="O19" i="300" s="1"/>
  <c r="O20" i="300" s="1"/>
  <c r="O12" i="300"/>
  <c r="N18" i="300" s="1"/>
  <c r="N19" i="300" s="1"/>
  <c r="N20" i="300" s="1"/>
  <c r="N12" i="300"/>
  <c r="M12" i="300"/>
  <c r="K12" i="300"/>
  <c r="G18" i="300" s="1"/>
  <c r="G19" i="300" s="1"/>
  <c r="G20" i="300" s="1"/>
  <c r="I12" i="300"/>
  <c r="G12" i="300"/>
  <c r="E18" i="300" s="1"/>
  <c r="E19" i="300" s="1"/>
  <c r="E20" i="300" s="1"/>
  <c r="F12" i="300"/>
  <c r="E12" i="300"/>
  <c r="D18" i="300" s="1"/>
  <c r="D19" i="300" s="1"/>
  <c r="D20" i="300" s="1"/>
  <c r="C12" i="300"/>
  <c r="B18" i="300" s="1"/>
  <c r="B19" i="300" s="1"/>
  <c r="B20" i="300" s="1"/>
  <c r="X11" i="300"/>
  <c r="V11" i="300"/>
  <c r="T11" i="300"/>
  <c r="R11" i="300"/>
  <c r="P11" i="300"/>
  <c r="N11" i="300"/>
  <c r="L11" i="300"/>
  <c r="J11" i="300"/>
  <c r="Y11" i="300" s="1"/>
  <c r="H11" i="300"/>
  <c r="F11" i="300"/>
  <c r="D11" i="300"/>
  <c r="X10" i="300"/>
  <c r="V10" i="300"/>
  <c r="T10" i="300"/>
  <c r="R10" i="300"/>
  <c r="P10" i="300"/>
  <c r="N10" i="300"/>
  <c r="L10" i="300"/>
  <c r="J10" i="300"/>
  <c r="H10" i="300"/>
  <c r="F10" i="300"/>
  <c r="D10" i="300"/>
  <c r="X9" i="300"/>
  <c r="V9" i="300"/>
  <c r="T9" i="300"/>
  <c r="R9" i="300"/>
  <c r="P9" i="300"/>
  <c r="N9" i="300"/>
  <c r="L9" i="300"/>
  <c r="J9" i="300"/>
  <c r="H9" i="300"/>
  <c r="F9" i="300"/>
  <c r="D9" i="300"/>
  <c r="X8" i="300"/>
  <c r="V8" i="300"/>
  <c r="T8" i="300"/>
  <c r="R8" i="300"/>
  <c r="P8" i="300"/>
  <c r="N8" i="300"/>
  <c r="L8" i="300"/>
  <c r="J8" i="300"/>
  <c r="H8" i="300"/>
  <c r="F8" i="300"/>
  <c r="D8" i="300"/>
  <c r="X7" i="300"/>
  <c r="V7" i="300"/>
  <c r="V12" i="300" s="1"/>
  <c r="T7" i="300"/>
  <c r="R7" i="300"/>
  <c r="P7" i="300"/>
  <c r="N7" i="300"/>
  <c r="L7" i="300"/>
  <c r="J7" i="300"/>
  <c r="H7" i="300"/>
  <c r="F7" i="300"/>
  <c r="D7" i="300"/>
  <c r="X6" i="300"/>
  <c r="V6" i="300"/>
  <c r="T6" i="300"/>
  <c r="T12" i="300" s="1"/>
  <c r="R6" i="300"/>
  <c r="R12" i="300" s="1"/>
  <c r="P6" i="300"/>
  <c r="P12" i="300" s="1"/>
  <c r="N6" i="300"/>
  <c r="L6" i="300"/>
  <c r="L12" i="300" s="1"/>
  <c r="J6" i="300"/>
  <c r="H6" i="300"/>
  <c r="F6" i="300"/>
  <c r="D6" i="300"/>
  <c r="V25" i="299"/>
  <c r="F22" i="299"/>
  <c r="S19" i="299"/>
  <c r="S20" i="299" s="1"/>
  <c r="Q19" i="299"/>
  <c r="Q20" i="299" s="1"/>
  <c r="P19" i="299"/>
  <c r="P20" i="299" s="1"/>
  <c r="L19" i="299"/>
  <c r="L20" i="299" s="1"/>
  <c r="J19" i="299"/>
  <c r="J20" i="299" s="1"/>
  <c r="H19" i="299"/>
  <c r="H20" i="299" s="1"/>
  <c r="K18" i="299"/>
  <c r="K19" i="299" s="1"/>
  <c r="K20" i="299" s="1"/>
  <c r="E18" i="299"/>
  <c r="E19" i="299" s="1"/>
  <c r="E20" i="299" s="1"/>
  <c r="W12" i="299"/>
  <c r="U12" i="299"/>
  <c r="I18" i="299" s="1"/>
  <c r="I19" i="299" s="1"/>
  <c r="I20" i="299" s="1"/>
  <c r="S12" i="299"/>
  <c r="Q12" i="299"/>
  <c r="O18" i="299" s="1"/>
  <c r="O19" i="299" s="1"/>
  <c r="O20" i="299" s="1"/>
  <c r="O12" i="299"/>
  <c r="N18" i="299" s="1"/>
  <c r="N19" i="299" s="1"/>
  <c r="N20" i="299" s="1"/>
  <c r="M12" i="299"/>
  <c r="M18" i="299" s="1"/>
  <c r="M19" i="299" s="1"/>
  <c r="M20" i="299" s="1"/>
  <c r="K12" i="299"/>
  <c r="G18" i="299" s="1"/>
  <c r="G19" i="299" s="1"/>
  <c r="G20" i="299" s="1"/>
  <c r="I12" i="299"/>
  <c r="F18" i="299" s="1"/>
  <c r="F19" i="299" s="1"/>
  <c r="F20" i="299" s="1"/>
  <c r="G12" i="299"/>
  <c r="E12" i="299"/>
  <c r="D18" i="299" s="1"/>
  <c r="D19" i="299" s="1"/>
  <c r="D20" i="299" s="1"/>
  <c r="C12" i="299"/>
  <c r="B18" i="299" s="1"/>
  <c r="B19" i="299" s="1"/>
  <c r="B20" i="299" s="1"/>
  <c r="X11" i="299"/>
  <c r="V11" i="299"/>
  <c r="T11" i="299"/>
  <c r="R11" i="299"/>
  <c r="P11" i="299"/>
  <c r="N11" i="299"/>
  <c r="L11" i="299"/>
  <c r="J11" i="299"/>
  <c r="H11" i="299"/>
  <c r="F11" i="299"/>
  <c r="D11" i="299"/>
  <c r="Y11" i="299" s="1"/>
  <c r="X10" i="299"/>
  <c r="V10" i="299"/>
  <c r="T10" i="299"/>
  <c r="R10" i="299"/>
  <c r="P10" i="299"/>
  <c r="N10" i="299"/>
  <c r="L10" i="299"/>
  <c r="J10" i="299"/>
  <c r="H10" i="299"/>
  <c r="F10" i="299"/>
  <c r="D10" i="299"/>
  <c r="Y10" i="299" s="1"/>
  <c r="X9" i="299"/>
  <c r="V9" i="299"/>
  <c r="T9" i="299"/>
  <c r="R9" i="299"/>
  <c r="P9" i="299"/>
  <c r="N9" i="299"/>
  <c r="L9" i="299"/>
  <c r="J9" i="299"/>
  <c r="H9" i="299"/>
  <c r="F9" i="299"/>
  <c r="D9" i="299"/>
  <c r="Y9" i="299" s="1"/>
  <c r="X8" i="299"/>
  <c r="V8" i="299"/>
  <c r="T8" i="299"/>
  <c r="R8" i="299"/>
  <c r="P8" i="299"/>
  <c r="N8" i="299"/>
  <c r="L8" i="299"/>
  <c r="J8" i="299"/>
  <c r="H8" i="299"/>
  <c r="F8" i="299"/>
  <c r="D8" i="299"/>
  <c r="X7" i="299"/>
  <c r="V7" i="299"/>
  <c r="T7" i="299"/>
  <c r="R7" i="299"/>
  <c r="P7" i="299"/>
  <c r="N7" i="299"/>
  <c r="L7" i="299"/>
  <c r="J7" i="299"/>
  <c r="H7" i="299"/>
  <c r="F7" i="299"/>
  <c r="D7" i="299"/>
  <c r="Y7" i="299" s="1"/>
  <c r="X6" i="299"/>
  <c r="X12" i="299" s="1"/>
  <c r="V6" i="299"/>
  <c r="V12" i="299" s="1"/>
  <c r="T6" i="299"/>
  <c r="T12" i="299" s="1"/>
  <c r="R6" i="299"/>
  <c r="R12" i="299" s="1"/>
  <c r="P6" i="299"/>
  <c r="P12" i="299" s="1"/>
  <c r="N6" i="299"/>
  <c r="N12" i="299" s="1"/>
  <c r="L6" i="299"/>
  <c r="L12" i="299" s="1"/>
  <c r="J6" i="299"/>
  <c r="H6" i="299"/>
  <c r="H12" i="299" s="1"/>
  <c r="F6" i="299"/>
  <c r="F12" i="299" s="1"/>
  <c r="D6" i="299"/>
  <c r="V25" i="298"/>
  <c r="F22" i="298"/>
  <c r="S19" i="298"/>
  <c r="S20" i="298" s="1"/>
  <c r="Q19" i="298"/>
  <c r="Q20" i="298" s="1"/>
  <c r="P19" i="298"/>
  <c r="P20" i="298" s="1"/>
  <c r="L19" i="298"/>
  <c r="L20" i="298" s="1"/>
  <c r="J19" i="298"/>
  <c r="J20" i="298" s="1"/>
  <c r="H19" i="298"/>
  <c r="H20" i="298" s="1"/>
  <c r="O18" i="298"/>
  <c r="O19" i="298" s="1"/>
  <c r="O20" i="298" s="1"/>
  <c r="I18" i="298"/>
  <c r="I19" i="298" s="1"/>
  <c r="I20" i="298" s="1"/>
  <c r="D18" i="298"/>
  <c r="D19" i="298" s="1"/>
  <c r="D20" i="298" s="1"/>
  <c r="X12" i="298"/>
  <c r="W12" i="298"/>
  <c r="K18" i="298" s="1"/>
  <c r="K19" i="298" s="1"/>
  <c r="K20" i="298" s="1"/>
  <c r="U12" i="298"/>
  <c r="T12" i="298"/>
  <c r="S12" i="298"/>
  <c r="Q12" i="298"/>
  <c r="P12" i="298"/>
  <c r="O12" i="298"/>
  <c r="N18" i="298" s="1"/>
  <c r="N19" i="298" s="1"/>
  <c r="N20" i="298" s="1"/>
  <c r="M12" i="298"/>
  <c r="M18" i="298" s="1"/>
  <c r="M19" i="298" s="1"/>
  <c r="M20" i="298" s="1"/>
  <c r="L12" i="298"/>
  <c r="K12" i="298"/>
  <c r="G18" i="298" s="1"/>
  <c r="G19" i="298" s="1"/>
  <c r="G20" i="298" s="1"/>
  <c r="I12" i="298"/>
  <c r="F18" i="298" s="1"/>
  <c r="F19" i="298" s="1"/>
  <c r="F20" i="298" s="1"/>
  <c r="H12" i="298"/>
  <c r="G12" i="298"/>
  <c r="E18" i="298" s="1"/>
  <c r="E19" i="298" s="1"/>
  <c r="E20" i="298" s="1"/>
  <c r="E12" i="298"/>
  <c r="C12" i="298"/>
  <c r="B18" i="298" s="1"/>
  <c r="B19" i="298" s="1"/>
  <c r="B20" i="298" s="1"/>
  <c r="X11" i="298"/>
  <c r="V11" i="298"/>
  <c r="T11" i="298"/>
  <c r="R11" i="298"/>
  <c r="P11" i="298"/>
  <c r="N11" i="298"/>
  <c r="L11" i="298"/>
  <c r="J11" i="298"/>
  <c r="H11" i="298"/>
  <c r="F11" i="298"/>
  <c r="D11" i="298"/>
  <c r="Y11" i="298" s="1"/>
  <c r="X10" i="298"/>
  <c r="V10" i="298"/>
  <c r="T10" i="298"/>
  <c r="R10" i="298"/>
  <c r="P10" i="298"/>
  <c r="N10" i="298"/>
  <c r="L10" i="298"/>
  <c r="J10" i="298"/>
  <c r="H10" i="298"/>
  <c r="F10" i="298"/>
  <c r="D10" i="298"/>
  <c r="Y10" i="298" s="1"/>
  <c r="X9" i="298"/>
  <c r="V9" i="298"/>
  <c r="T9" i="298"/>
  <c r="R9" i="298"/>
  <c r="P9" i="298"/>
  <c r="N9" i="298"/>
  <c r="L9" i="298"/>
  <c r="J9" i="298"/>
  <c r="H9" i="298"/>
  <c r="F9" i="298"/>
  <c r="D9" i="298"/>
  <c r="X8" i="298"/>
  <c r="V8" i="298"/>
  <c r="T8" i="298"/>
  <c r="R8" i="298"/>
  <c r="P8" i="298"/>
  <c r="N8" i="298"/>
  <c r="L8" i="298"/>
  <c r="J8" i="298"/>
  <c r="H8" i="298"/>
  <c r="F8" i="298"/>
  <c r="D8" i="298"/>
  <c r="X7" i="298"/>
  <c r="V7" i="298"/>
  <c r="T7" i="298"/>
  <c r="R7" i="298"/>
  <c r="P7" i="298"/>
  <c r="N7" i="298"/>
  <c r="L7" i="298"/>
  <c r="J7" i="298"/>
  <c r="H7" i="298"/>
  <c r="F7" i="298"/>
  <c r="D7" i="298"/>
  <c r="X6" i="298"/>
  <c r="V6" i="298"/>
  <c r="V12" i="298" s="1"/>
  <c r="T6" i="298"/>
  <c r="R6" i="298"/>
  <c r="R12" i="298" s="1"/>
  <c r="P6" i="298"/>
  <c r="N6" i="298"/>
  <c r="N12" i="298" s="1"/>
  <c r="L6" i="298"/>
  <c r="J6" i="298"/>
  <c r="H6" i="298"/>
  <c r="F6" i="298"/>
  <c r="F12" i="298" s="1"/>
  <c r="D6" i="298"/>
  <c r="V25" i="297"/>
  <c r="F22" i="297"/>
  <c r="S19" i="297"/>
  <c r="S20" i="297" s="1"/>
  <c r="Q19" i="297"/>
  <c r="Q20" i="297" s="1"/>
  <c r="P19" i="297"/>
  <c r="P20" i="297" s="1"/>
  <c r="L19" i="297"/>
  <c r="L20" i="297" s="1"/>
  <c r="J19" i="297"/>
  <c r="J20" i="297" s="1"/>
  <c r="H19" i="297"/>
  <c r="H20" i="297" s="1"/>
  <c r="O18" i="297"/>
  <c r="O19" i="297" s="1"/>
  <c r="O20" i="297" s="1"/>
  <c r="M18" i="297"/>
  <c r="M19" i="297" s="1"/>
  <c r="M20" i="297" s="1"/>
  <c r="K18" i="297"/>
  <c r="K19" i="297" s="1"/>
  <c r="K20" i="297" s="1"/>
  <c r="I18" i="297"/>
  <c r="I19" i="297" s="1"/>
  <c r="I20" i="297" s="1"/>
  <c r="E18" i="297"/>
  <c r="E19" i="297" s="1"/>
  <c r="E20" i="297" s="1"/>
  <c r="D18" i="297"/>
  <c r="D19" i="297" s="1"/>
  <c r="D20" i="297" s="1"/>
  <c r="W12" i="297"/>
  <c r="U12" i="297"/>
  <c r="T12" i="297"/>
  <c r="S12" i="297"/>
  <c r="Q12" i="297"/>
  <c r="P12" i="297"/>
  <c r="O12" i="297"/>
  <c r="N18" i="297" s="1"/>
  <c r="N19" i="297" s="1"/>
  <c r="N20" i="297" s="1"/>
  <c r="M12" i="297"/>
  <c r="L12" i="297"/>
  <c r="K12" i="297"/>
  <c r="G18" i="297" s="1"/>
  <c r="G19" i="297" s="1"/>
  <c r="G20" i="297" s="1"/>
  <c r="I12" i="297"/>
  <c r="F18" i="297" s="1"/>
  <c r="F19" i="297" s="1"/>
  <c r="F20" i="297" s="1"/>
  <c r="H12" i="297"/>
  <c r="G12" i="297"/>
  <c r="E12" i="297"/>
  <c r="C12" i="297"/>
  <c r="B18" i="297" s="1"/>
  <c r="B19" i="297" s="1"/>
  <c r="B20" i="297" s="1"/>
  <c r="X11" i="297"/>
  <c r="V11" i="297"/>
  <c r="T11" i="297"/>
  <c r="R11" i="297"/>
  <c r="P11" i="297"/>
  <c r="N11" i="297"/>
  <c r="L11" i="297"/>
  <c r="J11" i="297"/>
  <c r="H11" i="297"/>
  <c r="F11" i="297"/>
  <c r="Y11" i="297" s="1"/>
  <c r="D11" i="297"/>
  <c r="X10" i="297"/>
  <c r="V10" i="297"/>
  <c r="T10" i="297"/>
  <c r="R10" i="297"/>
  <c r="P10" i="297"/>
  <c r="N10" i="297"/>
  <c r="L10" i="297"/>
  <c r="J10" i="297"/>
  <c r="H10" i="297"/>
  <c r="F10" i="297"/>
  <c r="Y10" i="297" s="1"/>
  <c r="D10" i="297"/>
  <c r="X9" i="297"/>
  <c r="V9" i="297"/>
  <c r="T9" i="297"/>
  <c r="R9" i="297"/>
  <c r="P9" i="297"/>
  <c r="N9" i="297"/>
  <c r="L9" i="297"/>
  <c r="J9" i="297"/>
  <c r="H9" i="297"/>
  <c r="F9" i="297"/>
  <c r="D9" i="297"/>
  <c r="X8" i="297"/>
  <c r="V8" i="297"/>
  <c r="T8" i="297"/>
  <c r="R8" i="297"/>
  <c r="P8" i="297"/>
  <c r="N8" i="297"/>
  <c r="L8" i="297"/>
  <c r="J8" i="297"/>
  <c r="H8" i="297"/>
  <c r="F8" i="297"/>
  <c r="D8" i="297"/>
  <c r="X7" i="297"/>
  <c r="V7" i="297"/>
  <c r="T7" i="297"/>
  <c r="R7" i="297"/>
  <c r="P7" i="297"/>
  <c r="N7" i="297"/>
  <c r="L7" i="297"/>
  <c r="J7" i="297"/>
  <c r="H7" i="297"/>
  <c r="F7" i="297"/>
  <c r="D7" i="297"/>
  <c r="X6" i="297"/>
  <c r="X12" i="297" s="1"/>
  <c r="V6" i="297"/>
  <c r="V12" i="297" s="1"/>
  <c r="T6" i="297"/>
  <c r="R6" i="297"/>
  <c r="R12" i="297" s="1"/>
  <c r="P6" i="297"/>
  <c r="N6" i="297"/>
  <c r="N12" i="297" s="1"/>
  <c r="L6" i="297"/>
  <c r="J6" i="297"/>
  <c r="H6" i="297"/>
  <c r="F6" i="297"/>
  <c r="F12" i="297" s="1"/>
  <c r="D6" i="297"/>
  <c r="V25" i="296"/>
  <c r="F22" i="296"/>
  <c r="S19" i="296"/>
  <c r="S20" i="296" s="1"/>
  <c r="Q19" i="296"/>
  <c r="Q20" i="296" s="1"/>
  <c r="P19" i="296"/>
  <c r="P20" i="296" s="1"/>
  <c r="L19" i="296"/>
  <c r="L20" i="296" s="1"/>
  <c r="J19" i="296"/>
  <c r="J20" i="296" s="1"/>
  <c r="H19" i="296"/>
  <c r="H20" i="296" s="1"/>
  <c r="O18" i="296"/>
  <c r="O19" i="296" s="1"/>
  <c r="O20" i="296" s="1"/>
  <c r="I18" i="296"/>
  <c r="I19" i="296" s="1"/>
  <c r="I20" i="296" s="1"/>
  <c r="D18" i="296"/>
  <c r="D19" i="296" s="1"/>
  <c r="D20" i="296" s="1"/>
  <c r="W12" i="296"/>
  <c r="K18" i="296" s="1"/>
  <c r="K19" i="296" s="1"/>
  <c r="K20" i="296" s="1"/>
  <c r="U12" i="296"/>
  <c r="T12" i="296"/>
  <c r="S12" i="296"/>
  <c r="Q12" i="296"/>
  <c r="P12" i="296"/>
  <c r="O12" i="296"/>
  <c r="N18" i="296" s="1"/>
  <c r="N19" i="296" s="1"/>
  <c r="N20" i="296" s="1"/>
  <c r="M12" i="296"/>
  <c r="M18" i="296" s="1"/>
  <c r="M19" i="296" s="1"/>
  <c r="M20" i="296" s="1"/>
  <c r="L12" i="296"/>
  <c r="K12" i="296"/>
  <c r="G18" i="296" s="1"/>
  <c r="G19" i="296" s="1"/>
  <c r="G20" i="296" s="1"/>
  <c r="I12" i="296"/>
  <c r="F18" i="296" s="1"/>
  <c r="F19" i="296" s="1"/>
  <c r="F20" i="296" s="1"/>
  <c r="H12" i="296"/>
  <c r="G12" i="296"/>
  <c r="E18" i="296" s="1"/>
  <c r="E19" i="296" s="1"/>
  <c r="E20" i="296" s="1"/>
  <c r="E12" i="296"/>
  <c r="C12" i="296"/>
  <c r="B18" i="296" s="1"/>
  <c r="B19" i="296" s="1"/>
  <c r="B20" i="296" s="1"/>
  <c r="X11" i="296"/>
  <c r="V11" i="296"/>
  <c r="T11" i="296"/>
  <c r="R11" i="296"/>
  <c r="P11" i="296"/>
  <c r="N11" i="296"/>
  <c r="L11" i="296"/>
  <c r="J11" i="296"/>
  <c r="H11" i="296"/>
  <c r="F11" i="296"/>
  <c r="D11" i="296"/>
  <c r="Y11" i="296" s="1"/>
  <c r="X10" i="296"/>
  <c r="V10" i="296"/>
  <c r="T10" i="296"/>
  <c r="R10" i="296"/>
  <c r="P10" i="296"/>
  <c r="N10" i="296"/>
  <c r="L10" i="296"/>
  <c r="J10" i="296"/>
  <c r="H10" i="296"/>
  <c r="F10" i="296"/>
  <c r="D10" i="296"/>
  <c r="Y10" i="296" s="1"/>
  <c r="X9" i="296"/>
  <c r="V9" i="296"/>
  <c r="T9" i="296"/>
  <c r="R9" i="296"/>
  <c r="P9" i="296"/>
  <c r="N9" i="296"/>
  <c r="L9" i="296"/>
  <c r="J9" i="296"/>
  <c r="H9" i="296"/>
  <c r="F9" i="296"/>
  <c r="D9" i="296"/>
  <c r="Y9" i="296" s="1"/>
  <c r="X8" i="296"/>
  <c r="V8" i="296"/>
  <c r="T8" i="296"/>
  <c r="R8" i="296"/>
  <c r="P8" i="296"/>
  <c r="N8" i="296"/>
  <c r="L8" i="296"/>
  <c r="J8" i="296"/>
  <c r="H8" i="296"/>
  <c r="F8" i="296"/>
  <c r="D8" i="296"/>
  <c r="Y8" i="296" s="1"/>
  <c r="X7" i="296"/>
  <c r="V7" i="296"/>
  <c r="T7" i="296"/>
  <c r="R7" i="296"/>
  <c r="P7" i="296"/>
  <c r="N7" i="296"/>
  <c r="L7" i="296"/>
  <c r="J7" i="296"/>
  <c r="H7" i="296"/>
  <c r="F7" i="296"/>
  <c r="D7" i="296"/>
  <c r="Y7" i="296" s="1"/>
  <c r="X6" i="296"/>
  <c r="X12" i="296" s="1"/>
  <c r="V6" i="296"/>
  <c r="V12" i="296" s="1"/>
  <c r="T6" i="296"/>
  <c r="R6" i="296"/>
  <c r="R12" i="296" s="1"/>
  <c r="P6" i="296"/>
  <c r="N6" i="296"/>
  <c r="N12" i="296" s="1"/>
  <c r="L6" i="296"/>
  <c r="J6" i="296"/>
  <c r="J12" i="296" s="1"/>
  <c r="H6" i="296"/>
  <c r="F6" i="296"/>
  <c r="F12" i="296" s="1"/>
  <c r="D6" i="296"/>
  <c r="Y6" i="296" s="1"/>
  <c r="V25" i="295"/>
  <c r="F22" i="295"/>
  <c r="S19" i="295"/>
  <c r="S20" i="295" s="1"/>
  <c r="Q19" i="295"/>
  <c r="Q20" i="295" s="1"/>
  <c r="P19" i="295"/>
  <c r="P20" i="295" s="1"/>
  <c r="L19" i="295"/>
  <c r="L20" i="295" s="1"/>
  <c r="J19" i="295"/>
  <c r="J20" i="295" s="1"/>
  <c r="H19" i="295"/>
  <c r="H20" i="295" s="1"/>
  <c r="M18" i="295"/>
  <c r="M19" i="295" s="1"/>
  <c r="M20" i="295" s="1"/>
  <c r="F18" i="295"/>
  <c r="F19" i="295" s="1"/>
  <c r="F20" i="295" s="1"/>
  <c r="W12" i="295"/>
  <c r="K18" i="295" s="1"/>
  <c r="K19" i="295" s="1"/>
  <c r="K20" i="295" s="1"/>
  <c r="V12" i="295"/>
  <c r="U12" i="295"/>
  <c r="I18" i="295" s="1"/>
  <c r="I19" i="295" s="1"/>
  <c r="I20" i="295" s="1"/>
  <c r="S12" i="295"/>
  <c r="Q12" i="295"/>
  <c r="O18" i="295" s="1"/>
  <c r="O19" i="295" s="1"/>
  <c r="O20" i="295" s="1"/>
  <c r="O12" i="295"/>
  <c r="N18" i="295" s="1"/>
  <c r="N19" i="295" s="1"/>
  <c r="N20" i="295" s="1"/>
  <c r="N12" i="295"/>
  <c r="M12" i="295"/>
  <c r="K12" i="295"/>
  <c r="G18" i="295" s="1"/>
  <c r="G19" i="295" s="1"/>
  <c r="G20" i="295" s="1"/>
  <c r="I12" i="295"/>
  <c r="G12" i="295"/>
  <c r="E18" i="295" s="1"/>
  <c r="E19" i="295" s="1"/>
  <c r="E20" i="295" s="1"/>
  <c r="F12" i="295"/>
  <c r="E12" i="295"/>
  <c r="D18" i="295" s="1"/>
  <c r="D19" i="295" s="1"/>
  <c r="D20" i="295" s="1"/>
  <c r="C12" i="295"/>
  <c r="B18" i="295" s="1"/>
  <c r="B19" i="295" s="1"/>
  <c r="B20" i="295" s="1"/>
  <c r="X11" i="295"/>
  <c r="V11" i="295"/>
  <c r="T11" i="295"/>
  <c r="R11" i="295"/>
  <c r="P11" i="295"/>
  <c r="N11" i="295"/>
  <c r="L11" i="295"/>
  <c r="J11" i="295"/>
  <c r="Y11" i="295" s="1"/>
  <c r="H11" i="295"/>
  <c r="F11" i="295"/>
  <c r="D11" i="295"/>
  <c r="X10" i="295"/>
  <c r="V10" i="295"/>
  <c r="T10" i="295"/>
  <c r="R10" i="295"/>
  <c r="P10" i="295"/>
  <c r="N10" i="295"/>
  <c r="L10" i="295"/>
  <c r="J10" i="295"/>
  <c r="H10" i="295"/>
  <c r="F10" i="295"/>
  <c r="D10" i="295"/>
  <c r="X9" i="295"/>
  <c r="V9" i="295"/>
  <c r="T9" i="295"/>
  <c r="R9" i="295"/>
  <c r="P9" i="295"/>
  <c r="N9" i="295"/>
  <c r="L9" i="295"/>
  <c r="J9" i="295"/>
  <c r="H9" i="295"/>
  <c r="F9" i="295"/>
  <c r="D9" i="295"/>
  <c r="X8" i="295"/>
  <c r="V8" i="295"/>
  <c r="T8" i="295"/>
  <c r="R8" i="295"/>
  <c r="P8" i="295"/>
  <c r="N8" i="295"/>
  <c r="L8" i="295"/>
  <c r="J8" i="295"/>
  <c r="Y8" i="295" s="1"/>
  <c r="H8" i="295"/>
  <c r="F8" i="295"/>
  <c r="D8" i="295"/>
  <c r="X7" i="295"/>
  <c r="V7" i="295"/>
  <c r="T7" i="295"/>
  <c r="R7" i="295"/>
  <c r="P7" i="295"/>
  <c r="N7" i="295"/>
  <c r="L7" i="295"/>
  <c r="J7" i="295"/>
  <c r="Y7" i="295" s="1"/>
  <c r="H7" i="295"/>
  <c r="F7" i="295"/>
  <c r="D7" i="295"/>
  <c r="X6" i="295"/>
  <c r="X12" i="295" s="1"/>
  <c r="V6" i="295"/>
  <c r="T6" i="295"/>
  <c r="T12" i="295" s="1"/>
  <c r="R6" i="295"/>
  <c r="R12" i="295" s="1"/>
  <c r="P6" i="295"/>
  <c r="P12" i="295" s="1"/>
  <c r="N6" i="295"/>
  <c r="L6" i="295"/>
  <c r="L12" i="295" s="1"/>
  <c r="J6" i="295"/>
  <c r="J12" i="295" s="1"/>
  <c r="H6" i="295"/>
  <c r="H12" i="295" s="1"/>
  <c r="F6" i="295"/>
  <c r="D6" i="295"/>
  <c r="V25" i="294"/>
  <c r="F22" i="294"/>
  <c r="S19" i="294"/>
  <c r="S20" i="294" s="1"/>
  <c r="Q19" i="294"/>
  <c r="Q20" i="294" s="1"/>
  <c r="P19" i="294"/>
  <c r="P20" i="294" s="1"/>
  <c r="L19" i="294"/>
  <c r="L20" i="294" s="1"/>
  <c r="J19" i="294"/>
  <c r="J20" i="294" s="1"/>
  <c r="H19" i="294"/>
  <c r="H20" i="294" s="1"/>
  <c r="O18" i="294"/>
  <c r="O19" i="294" s="1"/>
  <c r="O20" i="294" s="1"/>
  <c r="K18" i="294"/>
  <c r="K19" i="294" s="1"/>
  <c r="K20" i="294" s="1"/>
  <c r="I18" i="294"/>
  <c r="I19" i="294" s="1"/>
  <c r="I20" i="294" s="1"/>
  <c r="E18" i="294"/>
  <c r="E19" i="294" s="1"/>
  <c r="E20" i="294" s="1"/>
  <c r="D18" i="294"/>
  <c r="D19" i="294" s="1"/>
  <c r="D20" i="294" s="1"/>
  <c r="X12" i="294"/>
  <c r="W12" i="294"/>
  <c r="U12" i="294"/>
  <c r="T12" i="294"/>
  <c r="S12" i="294"/>
  <c r="Q12" i="294"/>
  <c r="P12" i="294"/>
  <c r="O12" i="294"/>
  <c r="N18" i="294" s="1"/>
  <c r="N19" i="294" s="1"/>
  <c r="N20" i="294" s="1"/>
  <c r="M12" i="294"/>
  <c r="M18" i="294" s="1"/>
  <c r="M19" i="294" s="1"/>
  <c r="M20" i="294" s="1"/>
  <c r="L12" i="294"/>
  <c r="K12" i="294"/>
  <c r="G18" i="294" s="1"/>
  <c r="G19" i="294" s="1"/>
  <c r="G20" i="294" s="1"/>
  <c r="I12" i="294"/>
  <c r="F18" i="294" s="1"/>
  <c r="F19" i="294" s="1"/>
  <c r="F20" i="294" s="1"/>
  <c r="H12" i="294"/>
  <c r="G12" i="294"/>
  <c r="E12" i="294"/>
  <c r="C12" i="294"/>
  <c r="B18" i="294" s="1"/>
  <c r="B19" i="294" s="1"/>
  <c r="B20" i="294" s="1"/>
  <c r="X11" i="294"/>
  <c r="V11" i="294"/>
  <c r="T11" i="294"/>
  <c r="R11" i="294"/>
  <c r="P11" i="294"/>
  <c r="N11" i="294"/>
  <c r="L11" i="294"/>
  <c r="J11" i="294"/>
  <c r="H11" i="294"/>
  <c r="F11" i="294"/>
  <c r="D11" i="294"/>
  <c r="Y11" i="294" s="1"/>
  <c r="X10" i="294"/>
  <c r="V10" i="294"/>
  <c r="T10" i="294"/>
  <c r="R10" i="294"/>
  <c r="P10" i="294"/>
  <c r="N10" i="294"/>
  <c r="L10" i="294"/>
  <c r="J10" i="294"/>
  <c r="H10" i="294"/>
  <c r="F10" i="294"/>
  <c r="D10" i="294"/>
  <c r="Y10" i="294" s="1"/>
  <c r="X9" i="294"/>
  <c r="V9" i="294"/>
  <c r="T9" i="294"/>
  <c r="R9" i="294"/>
  <c r="P9" i="294"/>
  <c r="N9" i="294"/>
  <c r="L9" i="294"/>
  <c r="J9" i="294"/>
  <c r="H9" i="294"/>
  <c r="F9" i="294"/>
  <c r="D9" i="294"/>
  <c r="Y9" i="294" s="1"/>
  <c r="X8" i="294"/>
  <c r="V8" i="294"/>
  <c r="T8" i="294"/>
  <c r="R8" i="294"/>
  <c r="P8" i="294"/>
  <c r="N8" i="294"/>
  <c r="L8" i="294"/>
  <c r="J8" i="294"/>
  <c r="H8" i="294"/>
  <c r="F8" i="294"/>
  <c r="D8" i="294"/>
  <c r="Y8" i="294" s="1"/>
  <c r="X7" i="294"/>
  <c r="V7" i="294"/>
  <c r="T7" i="294"/>
  <c r="R7" i="294"/>
  <c r="P7" i="294"/>
  <c r="N7" i="294"/>
  <c r="L7" i="294"/>
  <c r="J7" i="294"/>
  <c r="H7" i="294"/>
  <c r="F7" i="294"/>
  <c r="D7" i="294"/>
  <c r="X6" i="294"/>
  <c r="V6" i="294"/>
  <c r="T6" i="294"/>
  <c r="R6" i="294"/>
  <c r="R12" i="294" s="1"/>
  <c r="P6" i="294"/>
  <c r="N6" i="294"/>
  <c r="N12" i="294" s="1"/>
  <c r="L6" i="294"/>
  <c r="J6" i="294"/>
  <c r="J12" i="294" s="1"/>
  <c r="H6" i="294"/>
  <c r="F6" i="294"/>
  <c r="F12" i="294" s="1"/>
  <c r="D6" i="294"/>
  <c r="Y6" i="294" s="1"/>
  <c r="Y12" i="302" l="1"/>
  <c r="V16" i="302" s="1"/>
  <c r="V24" i="302" s="1"/>
  <c r="V12" i="301"/>
  <c r="Y9" i="301"/>
  <c r="Y8" i="301"/>
  <c r="D12" i="301"/>
  <c r="Y12" i="301" s="1"/>
  <c r="V16" i="301" s="1"/>
  <c r="V24" i="301" s="1"/>
  <c r="B21" i="301"/>
  <c r="Y7" i="300"/>
  <c r="H12" i="300"/>
  <c r="Y9" i="300"/>
  <c r="X12" i="300"/>
  <c r="D12" i="300"/>
  <c r="B21" i="300"/>
  <c r="J12" i="300"/>
  <c r="Y10" i="300"/>
  <c r="Y8" i="300"/>
  <c r="Y6" i="300"/>
  <c r="J12" i="299"/>
  <c r="Y8" i="299"/>
  <c r="D12" i="299"/>
  <c r="Y12" i="299" s="1"/>
  <c r="V16" i="299" s="1"/>
  <c r="V24" i="299" s="1"/>
  <c r="B21" i="299"/>
  <c r="Y6" i="299"/>
  <c r="Y9" i="298"/>
  <c r="Y6" i="298"/>
  <c r="J12" i="298"/>
  <c r="Y7" i="298"/>
  <c r="Y8" i="298"/>
  <c r="D12" i="298"/>
  <c r="B21" i="298"/>
  <c r="Y8" i="297"/>
  <c r="J12" i="297"/>
  <c r="D12" i="297"/>
  <c r="Y7" i="297"/>
  <c r="Y9" i="297"/>
  <c r="Y12" i="297"/>
  <c r="V16" i="297" s="1"/>
  <c r="V24" i="297" s="1"/>
  <c r="B21" i="297"/>
  <c r="Y6" i="297"/>
  <c r="D12" i="296"/>
  <c r="Y12" i="296" s="1"/>
  <c r="V16" i="296" s="1"/>
  <c r="V24" i="296" s="1"/>
  <c r="B21" i="296"/>
  <c r="Y9" i="295"/>
  <c r="D12" i="295"/>
  <c r="Y12" i="295" s="1"/>
  <c r="V16" i="295" s="1"/>
  <c r="V24" i="295" s="1"/>
  <c r="Y10" i="295"/>
  <c r="B21" i="295"/>
  <c r="Y6" i="295"/>
  <c r="Y7" i="294"/>
  <c r="V12" i="294"/>
  <c r="D12" i="294"/>
  <c r="Y12" i="294" s="1"/>
  <c r="V16" i="294" s="1"/>
  <c r="V24" i="294" s="1"/>
  <c r="B21" i="294"/>
  <c r="V25" i="293"/>
  <c r="F22" i="293"/>
  <c r="S19" i="293"/>
  <c r="S20" i="293" s="1"/>
  <c r="Q19" i="293"/>
  <c r="Q20" i="293" s="1"/>
  <c r="P19" i="293"/>
  <c r="P20" i="293" s="1"/>
  <c r="M19" i="293"/>
  <c r="M20" i="293" s="1"/>
  <c r="L19" i="293"/>
  <c r="L20" i="293" s="1"/>
  <c r="J19" i="293"/>
  <c r="J20" i="293" s="1"/>
  <c r="I19" i="293"/>
  <c r="I20" i="293" s="1"/>
  <c r="H19" i="293"/>
  <c r="H20" i="293" s="1"/>
  <c r="O18" i="293"/>
  <c r="O19" i="293" s="1"/>
  <c r="O20" i="293" s="1"/>
  <c r="M18" i="293"/>
  <c r="I18" i="293"/>
  <c r="F18" i="293"/>
  <c r="F19" i="293" s="1"/>
  <c r="F20" i="293" s="1"/>
  <c r="D18" i="293"/>
  <c r="D19" i="293" s="1"/>
  <c r="D20" i="293" s="1"/>
  <c r="X12" i="293"/>
  <c r="W12" i="293"/>
  <c r="K18" i="293" s="1"/>
  <c r="K19" i="293" s="1"/>
  <c r="K20" i="293" s="1"/>
  <c r="U12" i="293"/>
  <c r="S12" i="293"/>
  <c r="Q12" i="293"/>
  <c r="P12" i="293"/>
  <c r="O12" i="293"/>
  <c r="N18" i="293" s="1"/>
  <c r="N19" i="293" s="1"/>
  <c r="N20" i="293" s="1"/>
  <c r="M12" i="293"/>
  <c r="K12" i="293"/>
  <c r="G18" i="293" s="1"/>
  <c r="G19" i="293" s="1"/>
  <c r="G20" i="293" s="1"/>
  <c r="I12" i="293"/>
  <c r="H12" i="293"/>
  <c r="G12" i="293"/>
  <c r="E18" i="293" s="1"/>
  <c r="E19" i="293" s="1"/>
  <c r="E20" i="293" s="1"/>
  <c r="E12" i="293"/>
  <c r="C12" i="293"/>
  <c r="B18" i="293" s="1"/>
  <c r="B19" i="293" s="1"/>
  <c r="B20" i="293" s="1"/>
  <c r="X11" i="293"/>
  <c r="V11" i="293"/>
  <c r="T11" i="293"/>
  <c r="R11" i="293"/>
  <c r="P11" i="293"/>
  <c r="N11" i="293"/>
  <c r="L11" i="293"/>
  <c r="J11" i="293"/>
  <c r="H11" i="293"/>
  <c r="F11" i="293"/>
  <c r="D11" i="293"/>
  <c r="Y11" i="293" s="1"/>
  <c r="X10" i="293"/>
  <c r="V10" i="293"/>
  <c r="T10" i="293"/>
  <c r="R10" i="293"/>
  <c r="P10" i="293"/>
  <c r="N10" i="293"/>
  <c r="L10" i="293"/>
  <c r="J10" i="293"/>
  <c r="H10" i="293"/>
  <c r="F10" i="293"/>
  <c r="D10" i="293"/>
  <c r="Y10" i="293" s="1"/>
  <c r="X9" i="293"/>
  <c r="V9" i="293"/>
  <c r="T9" i="293"/>
  <c r="R9" i="293"/>
  <c r="P9" i="293"/>
  <c r="N9" i="293"/>
  <c r="L9" i="293"/>
  <c r="J9" i="293"/>
  <c r="H9" i="293"/>
  <c r="F9" i="293"/>
  <c r="D9" i="293"/>
  <c r="Y9" i="293" s="1"/>
  <c r="X8" i="293"/>
  <c r="V8" i="293"/>
  <c r="T8" i="293"/>
  <c r="R8" i="293"/>
  <c r="P8" i="293"/>
  <c r="N8" i="293"/>
  <c r="L8" i="293"/>
  <c r="J8" i="293"/>
  <c r="H8" i="293"/>
  <c r="F8" i="293"/>
  <c r="D8" i="293"/>
  <c r="X7" i="293"/>
  <c r="V7" i="293"/>
  <c r="T7" i="293"/>
  <c r="R7" i="293"/>
  <c r="P7" i="293"/>
  <c r="N7" i="293"/>
  <c r="L7" i="293"/>
  <c r="J7" i="293"/>
  <c r="H7" i="293"/>
  <c r="F7" i="293"/>
  <c r="D7" i="293"/>
  <c r="X6" i="293"/>
  <c r="V6" i="293"/>
  <c r="V12" i="293" s="1"/>
  <c r="T6" i="293"/>
  <c r="T12" i="293" s="1"/>
  <c r="R6" i="293"/>
  <c r="R12" i="293" s="1"/>
  <c r="P6" i="293"/>
  <c r="N6" i="293"/>
  <c r="N12" i="293" s="1"/>
  <c r="L6" i="293"/>
  <c r="L12" i="293" s="1"/>
  <c r="J6" i="293"/>
  <c r="H6" i="293"/>
  <c r="F6" i="293"/>
  <c r="F12" i="293" s="1"/>
  <c r="D6" i="293"/>
  <c r="Y6" i="293" s="1"/>
  <c r="V25" i="292"/>
  <c r="F22" i="292"/>
  <c r="S19" i="292"/>
  <c r="S20" i="292" s="1"/>
  <c r="Q19" i="292"/>
  <c r="Q20" i="292" s="1"/>
  <c r="P19" i="292"/>
  <c r="P20" i="292" s="1"/>
  <c r="M19" i="292"/>
  <c r="M20" i="292" s="1"/>
  <c r="L19" i="292"/>
  <c r="L20" i="292" s="1"/>
  <c r="J19" i="292"/>
  <c r="J20" i="292" s="1"/>
  <c r="I19" i="292"/>
  <c r="I20" i="292" s="1"/>
  <c r="H19" i="292"/>
  <c r="H20" i="292" s="1"/>
  <c r="O18" i="292"/>
  <c r="O19" i="292" s="1"/>
  <c r="O20" i="292" s="1"/>
  <c r="M18" i="292"/>
  <c r="I18" i="292"/>
  <c r="F18" i="292"/>
  <c r="F19" i="292" s="1"/>
  <c r="F20" i="292" s="1"/>
  <c r="X12" i="292"/>
  <c r="W12" i="292"/>
  <c r="K18" i="292" s="1"/>
  <c r="K19" i="292" s="1"/>
  <c r="K20" i="292" s="1"/>
  <c r="U12" i="292"/>
  <c r="S12" i="292"/>
  <c r="Q12" i="292"/>
  <c r="P12" i="292"/>
  <c r="O12" i="292"/>
  <c r="N18" i="292" s="1"/>
  <c r="N19" i="292" s="1"/>
  <c r="N20" i="292" s="1"/>
  <c r="M12" i="292"/>
  <c r="K12" i="292"/>
  <c r="G18" i="292" s="1"/>
  <c r="G19" i="292" s="1"/>
  <c r="G20" i="292" s="1"/>
  <c r="I12" i="292"/>
  <c r="H12" i="292"/>
  <c r="G12" i="292"/>
  <c r="E18" i="292" s="1"/>
  <c r="E19" i="292" s="1"/>
  <c r="E20" i="292" s="1"/>
  <c r="E12" i="292"/>
  <c r="D18" i="292" s="1"/>
  <c r="D19" i="292" s="1"/>
  <c r="D20" i="292" s="1"/>
  <c r="C12" i="292"/>
  <c r="B18" i="292" s="1"/>
  <c r="B19" i="292" s="1"/>
  <c r="B20" i="292" s="1"/>
  <c r="X11" i="292"/>
  <c r="V11" i="292"/>
  <c r="T11" i="292"/>
  <c r="R11" i="292"/>
  <c r="P11" i="292"/>
  <c r="N11" i="292"/>
  <c r="L11" i="292"/>
  <c r="J11" i="292"/>
  <c r="H11" i="292"/>
  <c r="F11" i="292"/>
  <c r="D11" i="292"/>
  <c r="Y11" i="292" s="1"/>
  <c r="X10" i="292"/>
  <c r="V10" i="292"/>
  <c r="T10" i="292"/>
  <c r="R10" i="292"/>
  <c r="P10" i="292"/>
  <c r="N10" i="292"/>
  <c r="L10" i="292"/>
  <c r="J10" i="292"/>
  <c r="H10" i="292"/>
  <c r="F10" i="292"/>
  <c r="D10" i="292"/>
  <c r="Y10" i="292" s="1"/>
  <c r="X9" i="292"/>
  <c r="V9" i="292"/>
  <c r="T9" i="292"/>
  <c r="R9" i="292"/>
  <c r="P9" i="292"/>
  <c r="N9" i="292"/>
  <c r="L9" i="292"/>
  <c r="J9" i="292"/>
  <c r="H9" i="292"/>
  <c r="F9" i="292"/>
  <c r="D9" i="292"/>
  <c r="X8" i="292"/>
  <c r="V8" i="292"/>
  <c r="T8" i="292"/>
  <c r="R8" i="292"/>
  <c r="P8" i="292"/>
  <c r="N8" i="292"/>
  <c r="L8" i="292"/>
  <c r="J8" i="292"/>
  <c r="H8" i="292"/>
  <c r="F8" i="292"/>
  <c r="D8" i="292"/>
  <c r="X7" i="292"/>
  <c r="V7" i="292"/>
  <c r="T7" i="292"/>
  <c r="R7" i="292"/>
  <c r="P7" i="292"/>
  <c r="N7" i="292"/>
  <c r="L7" i="292"/>
  <c r="J7" i="292"/>
  <c r="H7" i="292"/>
  <c r="F7" i="292"/>
  <c r="D7" i="292"/>
  <c r="X6" i="292"/>
  <c r="V6" i="292"/>
  <c r="V12" i="292" s="1"/>
  <c r="T6" i="292"/>
  <c r="T12" i="292" s="1"/>
  <c r="R6" i="292"/>
  <c r="R12" i="292" s="1"/>
  <c r="P6" i="292"/>
  <c r="N6" i="292"/>
  <c r="N12" i="292" s="1"/>
  <c r="L6" i="292"/>
  <c r="L12" i="292" s="1"/>
  <c r="J6" i="292"/>
  <c r="H6" i="292"/>
  <c r="F6" i="292"/>
  <c r="F12" i="292" s="1"/>
  <c r="D6" i="292"/>
  <c r="V25" i="291"/>
  <c r="F22" i="291"/>
  <c r="S19" i="291"/>
  <c r="S20" i="291" s="1"/>
  <c r="Q19" i="291"/>
  <c r="Q20" i="291" s="1"/>
  <c r="P19" i="291"/>
  <c r="P20" i="291" s="1"/>
  <c r="L19" i="291"/>
  <c r="L20" i="291" s="1"/>
  <c r="J19" i="291"/>
  <c r="J20" i="291" s="1"/>
  <c r="H19" i="291"/>
  <c r="H20" i="291" s="1"/>
  <c r="K18" i="291"/>
  <c r="K19" i="291" s="1"/>
  <c r="K20" i="291" s="1"/>
  <c r="E18" i="291"/>
  <c r="E19" i="291" s="1"/>
  <c r="E20" i="291" s="1"/>
  <c r="W12" i="291"/>
  <c r="V12" i="291"/>
  <c r="U12" i="291"/>
  <c r="I18" i="291" s="1"/>
  <c r="I19" i="291" s="1"/>
  <c r="I20" i="291" s="1"/>
  <c r="S12" i="291"/>
  <c r="Q12" i="291"/>
  <c r="O18" i="291" s="1"/>
  <c r="O19" i="291" s="1"/>
  <c r="O20" i="291" s="1"/>
  <c r="O12" i="291"/>
  <c r="N18" i="291" s="1"/>
  <c r="N19" i="291" s="1"/>
  <c r="N20" i="291" s="1"/>
  <c r="N12" i="291"/>
  <c r="M12" i="291"/>
  <c r="M18" i="291" s="1"/>
  <c r="M19" i="291" s="1"/>
  <c r="M20" i="291" s="1"/>
  <c r="K12" i="291"/>
  <c r="G18" i="291" s="1"/>
  <c r="G19" i="291" s="1"/>
  <c r="G20" i="291" s="1"/>
  <c r="I12" i="291"/>
  <c r="F18" i="291" s="1"/>
  <c r="F19" i="291" s="1"/>
  <c r="F20" i="291" s="1"/>
  <c r="G12" i="291"/>
  <c r="F12" i="291"/>
  <c r="E12" i="291"/>
  <c r="D18" i="291" s="1"/>
  <c r="D19" i="291" s="1"/>
  <c r="D20" i="291" s="1"/>
  <c r="C12" i="291"/>
  <c r="B18" i="291" s="1"/>
  <c r="B19" i="291" s="1"/>
  <c r="B20" i="291" s="1"/>
  <c r="X11" i="291"/>
  <c r="V11" i="291"/>
  <c r="T11" i="291"/>
  <c r="R11" i="291"/>
  <c r="P11" i="291"/>
  <c r="N11" i="291"/>
  <c r="L11" i="291"/>
  <c r="J11" i="291"/>
  <c r="H11" i="291"/>
  <c r="Y11" i="291" s="1"/>
  <c r="F11" i="291"/>
  <c r="D11" i="291"/>
  <c r="X10" i="291"/>
  <c r="V10" i="291"/>
  <c r="T10" i="291"/>
  <c r="R10" i="291"/>
  <c r="P10" i="291"/>
  <c r="N10" i="291"/>
  <c r="L10" i="291"/>
  <c r="J10" i="291"/>
  <c r="H10" i="291"/>
  <c r="Y10" i="291" s="1"/>
  <c r="F10" i="291"/>
  <c r="D10" i="291"/>
  <c r="X9" i="291"/>
  <c r="V9" i="291"/>
  <c r="T9" i="291"/>
  <c r="R9" i="291"/>
  <c r="P9" i="291"/>
  <c r="N9" i="291"/>
  <c r="L9" i="291"/>
  <c r="J9" i="291"/>
  <c r="H9" i="291"/>
  <c r="F9" i="291"/>
  <c r="D9" i="291"/>
  <c r="X8" i="291"/>
  <c r="V8" i="291"/>
  <c r="T8" i="291"/>
  <c r="R8" i="291"/>
  <c r="P8" i="291"/>
  <c r="N8" i="291"/>
  <c r="L8" i="291"/>
  <c r="J8" i="291"/>
  <c r="H8" i="291"/>
  <c r="F8" i="291"/>
  <c r="D8" i="291"/>
  <c r="X7" i="291"/>
  <c r="V7" i="291"/>
  <c r="T7" i="291"/>
  <c r="R7" i="291"/>
  <c r="P7" i="291"/>
  <c r="N7" i="291"/>
  <c r="L7" i="291"/>
  <c r="J7" i="291"/>
  <c r="H7" i="291"/>
  <c r="F7" i="291"/>
  <c r="D7" i="291"/>
  <c r="X6" i="291"/>
  <c r="X12" i="291" s="1"/>
  <c r="V6" i="291"/>
  <c r="T6" i="291"/>
  <c r="T12" i="291" s="1"/>
  <c r="R6" i="291"/>
  <c r="R12" i="291" s="1"/>
  <c r="P6" i="291"/>
  <c r="P12" i="291" s="1"/>
  <c r="N6" i="291"/>
  <c r="L6" i="291"/>
  <c r="L12" i="291" s="1"/>
  <c r="J6" i="291"/>
  <c r="H6" i="291"/>
  <c r="H12" i="291" s="1"/>
  <c r="F6" i="291"/>
  <c r="D6" i="291"/>
  <c r="V25" i="290"/>
  <c r="F22" i="290"/>
  <c r="S19" i="290"/>
  <c r="S20" i="290" s="1"/>
  <c r="Q19" i="290"/>
  <c r="Q20" i="290" s="1"/>
  <c r="P19" i="290"/>
  <c r="P20" i="290" s="1"/>
  <c r="L19" i="290"/>
  <c r="L20" i="290" s="1"/>
  <c r="J19" i="290"/>
  <c r="J20" i="290" s="1"/>
  <c r="H19" i="290"/>
  <c r="H20" i="290" s="1"/>
  <c r="M18" i="290"/>
  <c r="M19" i="290" s="1"/>
  <c r="M20" i="290" s="1"/>
  <c r="W12" i="290"/>
  <c r="K18" i="290" s="1"/>
  <c r="K19" i="290" s="1"/>
  <c r="K20" i="290" s="1"/>
  <c r="U12" i="290"/>
  <c r="I18" i="290" s="1"/>
  <c r="I19" i="290" s="1"/>
  <c r="I20" i="290" s="1"/>
  <c r="S12" i="290"/>
  <c r="Q12" i="290"/>
  <c r="O18" i="290" s="1"/>
  <c r="O19" i="290" s="1"/>
  <c r="O20" i="290" s="1"/>
  <c r="O12" i="290"/>
  <c r="N18" i="290" s="1"/>
  <c r="N19" i="290" s="1"/>
  <c r="N20" i="290" s="1"/>
  <c r="N12" i="290"/>
  <c r="M12" i="290"/>
  <c r="K12" i="290"/>
  <c r="G18" i="290" s="1"/>
  <c r="G19" i="290" s="1"/>
  <c r="G20" i="290" s="1"/>
  <c r="I12" i="290"/>
  <c r="F18" i="290" s="1"/>
  <c r="F19" i="290" s="1"/>
  <c r="F20" i="290" s="1"/>
  <c r="G12" i="290"/>
  <c r="E18" i="290" s="1"/>
  <c r="E19" i="290" s="1"/>
  <c r="E20" i="290" s="1"/>
  <c r="F12" i="290"/>
  <c r="E12" i="290"/>
  <c r="D18" i="290" s="1"/>
  <c r="D19" i="290" s="1"/>
  <c r="D20" i="290" s="1"/>
  <c r="C12" i="290"/>
  <c r="B18" i="290" s="1"/>
  <c r="B19" i="290" s="1"/>
  <c r="B20" i="290" s="1"/>
  <c r="X11" i="290"/>
  <c r="V11" i="290"/>
  <c r="T11" i="290"/>
  <c r="R11" i="290"/>
  <c r="P11" i="290"/>
  <c r="N11" i="290"/>
  <c r="L11" i="290"/>
  <c r="J11" i="290"/>
  <c r="Y11" i="290" s="1"/>
  <c r="H11" i="290"/>
  <c r="F11" i="290"/>
  <c r="D11" i="290"/>
  <c r="X10" i="290"/>
  <c r="V10" i="290"/>
  <c r="T10" i="290"/>
  <c r="R10" i="290"/>
  <c r="P10" i="290"/>
  <c r="N10" i="290"/>
  <c r="L10" i="290"/>
  <c r="J10" i="290"/>
  <c r="Y10" i="290" s="1"/>
  <c r="H10" i="290"/>
  <c r="F10" i="290"/>
  <c r="D10" i="290"/>
  <c r="X9" i="290"/>
  <c r="V9" i="290"/>
  <c r="T9" i="290"/>
  <c r="R9" i="290"/>
  <c r="P9" i="290"/>
  <c r="N9" i="290"/>
  <c r="L9" i="290"/>
  <c r="J9" i="290"/>
  <c r="H9" i="290"/>
  <c r="F9" i="290"/>
  <c r="D9" i="290"/>
  <c r="X8" i="290"/>
  <c r="V8" i="290"/>
  <c r="T8" i="290"/>
  <c r="R8" i="290"/>
  <c r="P8" i="290"/>
  <c r="N8" i="290"/>
  <c r="L8" i="290"/>
  <c r="J8" i="290"/>
  <c r="H8" i="290"/>
  <c r="F8" i="290"/>
  <c r="D8" i="290"/>
  <c r="X7" i="290"/>
  <c r="V7" i="290"/>
  <c r="V12" i="290" s="1"/>
  <c r="T7" i="290"/>
  <c r="R7" i="290"/>
  <c r="P7" i="290"/>
  <c r="N7" i="290"/>
  <c r="L7" i="290"/>
  <c r="J7" i="290"/>
  <c r="H7" i="290"/>
  <c r="F7" i="290"/>
  <c r="D7" i="290"/>
  <c r="X6" i="290"/>
  <c r="X12" i="290" s="1"/>
  <c r="V6" i="290"/>
  <c r="T6" i="290"/>
  <c r="T12" i="290" s="1"/>
  <c r="R6" i="290"/>
  <c r="R12" i="290" s="1"/>
  <c r="P6" i="290"/>
  <c r="P12" i="290" s="1"/>
  <c r="N6" i="290"/>
  <c r="L6" i="290"/>
  <c r="L12" i="290" s="1"/>
  <c r="J6" i="290"/>
  <c r="H6" i="290"/>
  <c r="H12" i="290" s="1"/>
  <c r="F6" i="290"/>
  <c r="D6" i="290"/>
  <c r="V25" i="289"/>
  <c r="F22" i="289"/>
  <c r="S19" i="289"/>
  <c r="S20" i="289" s="1"/>
  <c r="Q19" i="289"/>
  <c r="Q20" i="289" s="1"/>
  <c r="P19" i="289"/>
  <c r="P20" i="289" s="1"/>
  <c r="L19" i="289"/>
  <c r="L20" i="289" s="1"/>
  <c r="J19" i="289"/>
  <c r="J20" i="289" s="1"/>
  <c r="H19" i="289"/>
  <c r="H20" i="289" s="1"/>
  <c r="O18" i="289"/>
  <c r="O19" i="289" s="1"/>
  <c r="O20" i="289" s="1"/>
  <c r="K18" i="289"/>
  <c r="K19" i="289" s="1"/>
  <c r="K20" i="289" s="1"/>
  <c r="I18" i="289"/>
  <c r="I19" i="289" s="1"/>
  <c r="I20" i="289" s="1"/>
  <c r="E18" i="289"/>
  <c r="E19" i="289" s="1"/>
  <c r="E20" i="289" s="1"/>
  <c r="D18" i="289"/>
  <c r="D19" i="289" s="1"/>
  <c r="D20" i="289" s="1"/>
  <c r="X12" i="289"/>
  <c r="W12" i="289"/>
  <c r="U12" i="289"/>
  <c r="S12" i="289"/>
  <c r="Q12" i="289"/>
  <c r="P12" i="289"/>
  <c r="O12" i="289"/>
  <c r="N18" i="289" s="1"/>
  <c r="N19" i="289" s="1"/>
  <c r="N20" i="289" s="1"/>
  <c r="M12" i="289"/>
  <c r="M18" i="289" s="1"/>
  <c r="M19" i="289" s="1"/>
  <c r="M20" i="289" s="1"/>
  <c r="L12" i="289"/>
  <c r="K12" i="289"/>
  <c r="G18" i="289" s="1"/>
  <c r="G19" i="289" s="1"/>
  <c r="G20" i="289" s="1"/>
  <c r="I12" i="289"/>
  <c r="F18" i="289" s="1"/>
  <c r="F19" i="289" s="1"/>
  <c r="F20" i="289" s="1"/>
  <c r="H12" i="289"/>
  <c r="G12" i="289"/>
  <c r="E12" i="289"/>
  <c r="C12" i="289"/>
  <c r="B18" i="289" s="1"/>
  <c r="B19" i="289" s="1"/>
  <c r="B20" i="289" s="1"/>
  <c r="X11" i="289"/>
  <c r="V11" i="289"/>
  <c r="T11" i="289"/>
  <c r="R11" i="289"/>
  <c r="P11" i="289"/>
  <c r="N11" i="289"/>
  <c r="L11" i="289"/>
  <c r="J11" i="289"/>
  <c r="H11" i="289"/>
  <c r="F11" i="289"/>
  <c r="D11" i="289"/>
  <c r="Y11" i="289" s="1"/>
  <c r="X10" i="289"/>
  <c r="V10" i="289"/>
  <c r="T10" i="289"/>
  <c r="T12" i="289" s="1"/>
  <c r="R10" i="289"/>
  <c r="P10" i="289"/>
  <c r="N10" i="289"/>
  <c r="L10" i="289"/>
  <c r="J10" i="289"/>
  <c r="H10" i="289"/>
  <c r="F10" i="289"/>
  <c r="D10" i="289"/>
  <c r="X9" i="289"/>
  <c r="V9" i="289"/>
  <c r="T9" i="289"/>
  <c r="R9" i="289"/>
  <c r="P9" i="289"/>
  <c r="N9" i="289"/>
  <c r="L9" i="289"/>
  <c r="J9" i="289"/>
  <c r="H9" i="289"/>
  <c r="F9" i="289"/>
  <c r="D9" i="289"/>
  <c r="X8" i="289"/>
  <c r="V8" i="289"/>
  <c r="T8" i="289"/>
  <c r="R8" i="289"/>
  <c r="P8" i="289"/>
  <c r="N8" i="289"/>
  <c r="L8" i="289"/>
  <c r="J8" i="289"/>
  <c r="H8" i="289"/>
  <c r="F8" i="289"/>
  <c r="D8" i="289"/>
  <c r="X7" i="289"/>
  <c r="V7" i="289"/>
  <c r="T7" i="289"/>
  <c r="R7" i="289"/>
  <c r="P7" i="289"/>
  <c r="N7" i="289"/>
  <c r="L7" i="289"/>
  <c r="J7" i="289"/>
  <c r="H7" i="289"/>
  <c r="F7" i="289"/>
  <c r="D7" i="289"/>
  <c r="X6" i="289"/>
  <c r="V6" i="289"/>
  <c r="V12" i="289" s="1"/>
  <c r="T6" i="289"/>
  <c r="R6" i="289"/>
  <c r="R12" i="289" s="1"/>
  <c r="P6" i="289"/>
  <c r="N6" i="289"/>
  <c r="N12" i="289" s="1"/>
  <c r="L6" i="289"/>
  <c r="J6" i="289"/>
  <c r="H6" i="289"/>
  <c r="F6" i="289"/>
  <c r="F12" i="289" s="1"/>
  <c r="D6" i="289"/>
  <c r="Y12" i="300" l="1"/>
  <c r="V16" i="300" s="1"/>
  <c r="V24" i="300" s="1"/>
  <c r="Y12" i="298"/>
  <c r="V16" i="298" s="1"/>
  <c r="V24" i="298" s="1"/>
  <c r="Y8" i="293"/>
  <c r="J12" i="293"/>
  <c r="Y7" i="293"/>
  <c r="B21" i="293"/>
  <c r="D12" i="293"/>
  <c r="Y6" i="292"/>
  <c r="Y9" i="292"/>
  <c r="Y8" i="292"/>
  <c r="J12" i="292"/>
  <c r="Y7" i="292"/>
  <c r="B21" i="292"/>
  <c r="D12" i="292"/>
  <c r="Y9" i="291"/>
  <c r="B21" i="291"/>
  <c r="J12" i="291"/>
  <c r="Y8" i="291"/>
  <c r="D12" i="291"/>
  <c r="Y7" i="291"/>
  <c r="Y6" i="291"/>
  <c r="Y9" i="290"/>
  <c r="D12" i="290"/>
  <c r="Y7" i="290"/>
  <c r="J12" i="290"/>
  <c r="Y12" i="290" s="1"/>
  <c r="V16" i="290" s="1"/>
  <c r="V24" i="290" s="1"/>
  <c r="Y8" i="290"/>
  <c r="B21" i="290"/>
  <c r="Y6" i="290"/>
  <c r="Y10" i="289"/>
  <c r="Y6" i="289"/>
  <c r="Y8" i="289"/>
  <c r="J12" i="289"/>
  <c r="Y7" i="289"/>
  <c r="Y9" i="289"/>
  <c r="D12" i="289"/>
  <c r="B21" i="289"/>
  <c r="V25" i="288"/>
  <c r="F22" i="288"/>
  <c r="S19" i="288"/>
  <c r="S20" i="288" s="1"/>
  <c r="Q19" i="288"/>
  <c r="Q20" i="288" s="1"/>
  <c r="P19" i="288"/>
  <c r="P20" i="288" s="1"/>
  <c r="L19" i="288"/>
  <c r="L20" i="288" s="1"/>
  <c r="J19" i="288"/>
  <c r="J20" i="288" s="1"/>
  <c r="H19" i="288"/>
  <c r="H20" i="288" s="1"/>
  <c r="K18" i="288"/>
  <c r="K19" i="288" s="1"/>
  <c r="K20" i="288" s="1"/>
  <c r="W12" i="288"/>
  <c r="U12" i="288"/>
  <c r="I18" i="288" s="1"/>
  <c r="I19" i="288" s="1"/>
  <c r="I20" i="288" s="1"/>
  <c r="S12" i="288"/>
  <c r="Q12" i="288"/>
  <c r="O18" i="288" s="1"/>
  <c r="O19" i="288" s="1"/>
  <c r="O20" i="288" s="1"/>
  <c r="O12" i="288"/>
  <c r="N18" i="288" s="1"/>
  <c r="N19" i="288" s="1"/>
  <c r="N20" i="288" s="1"/>
  <c r="M12" i="288"/>
  <c r="M18" i="288" s="1"/>
  <c r="M19" i="288" s="1"/>
  <c r="M20" i="288" s="1"/>
  <c r="K12" i="288"/>
  <c r="G18" i="288" s="1"/>
  <c r="G19" i="288" s="1"/>
  <c r="G20" i="288" s="1"/>
  <c r="I12" i="288"/>
  <c r="F18" i="288" s="1"/>
  <c r="F19" i="288" s="1"/>
  <c r="F20" i="288" s="1"/>
  <c r="G12" i="288"/>
  <c r="E18" i="288" s="1"/>
  <c r="E19" i="288" s="1"/>
  <c r="E20" i="288" s="1"/>
  <c r="E12" i="288"/>
  <c r="D18" i="288" s="1"/>
  <c r="D19" i="288" s="1"/>
  <c r="D20" i="288" s="1"/>
  <c r="C12" i="288"/>
  <c r="B18" i="288" s="1"/>
  <c r="B19" i="288" s="1"/>
  <c r="B20" i="288" s="1"/>
  <c r="X11" i="288"/>
  <c r="V11" i="288"/>
  <c r="T11" i="288"/>
  <c r="R11" i="288"/>
  <c r="P11" i="288"/>
  <c r="N11" i="288"/>
  <c r="L11" i="288"/>
  <c r="J11" i="288"/>
  <c r="H11" i="288"/>
  <c r="F11" i="288"/>
  <c r="D11" i="288"/>
  <c r="Y11" i="288" s="1"/>
  <c r="X10" i="288"/>
  <c r="V10" i="288"/>
  <c r="T10" i="288"/>
  <c r="R10" i="288"/>
  <c r="P10" i="288"/>
  <c r="N10" i="288"/>
  <c r="L10" i="288"/>
  <c r="J10" i="288"/>
  <c r="H10" i="288"/>
  <c r="F10" i="288"/>
  <c r="D10" i="288"/>
  <c r="X9" i="288"/>
  <c r="V9" i="288"/>
  <c r="T9" i="288"/>
  <c r="R9" i="288"/>
  <c r="P9" i="288"/>
  <c r="N9" i="288"/>
  <c r="L9" i="288"/>
  <c r="J9" i="288"/>
  <c r="H9" i="288"/>
  <c r="F9" i="288"/>
  <c r="D9" i="288"/>
  <c r="X8" i="288"/>
  <c r="V8" i="288"/>
  <c r="T8" i="288"/>
  <c r="R8" i="288"/>
  <c r="P8" i="288"/>
  <c r="N8" i="288"/>
  <c r="L8" i="288"/>
  <c r="J8" i="288"/>
  <c r="H8" i="288"/>
  <c r="F8" i="288"/>
  <c r="D8" i="288"/>
  <c r="X7" i="288"/>
  <c r="V7" i="288"/>
  <c r="T7" i="288"/>
  <c r="R7" i="288"/>
  <c r="P7" i="288"/>
  <c r="N7" i="288"/>
  <c r="L7" i="288"/>
  <c r="J7" i="288"/>
  <c r="H7" i="288"/>
  <c r="F7" i="288"/>
  <c r="D7" i="288"/>
  <c r="X6" i="288"/>
  <c r="X12" i="288" s="1"/>
  <c r="V6" i="288"/>
  <c r="V12" i="288" s="1"/>
  <c r="T6" i="288"/>
  <c r="R6" i="288"/>
  <c r="R12" i="288" s="1"/>
  <c r="P6" i="288"/>
  <c r="P12" i="288" s="1"/>
  <c r="N6" i="288"/>
  <c r="N12" i="288" s="1"/>
  <c r="L6" i="288"/>
  <c r="L12" i="288" s="1"/>
  <c r="J6" i="288"/>
  <c r="H6" i="288"/>
  <c r="H12" i="288" s="1"/>
  <c r="F6" i="288"/>
  <c r="F12" i="288" s="1"/>
  <c r="D6" i="288"/>
  <c r="Y12" i="293" l="1"/>
  <c r="V16" i="293" s="1"/>
  <c r="V24" i="293" s="1"/>
  <c r="Y12" i="292"/>
  <c r="V16" i="292" s="1"/>
  <c r="V24" i="292" s="1"/>
  <c r="Y12" i="291"/>
  <c r="V16" i="291" s="1"/>
  <c r="V24" i="291" s="1"/>
  <c r="Y12" i="289"/>
  <c r="V16" i="289" s="1"/>
  <c r="V24" i="289" s="1"/>
  <c r="Y8" i="288"/>
  <c r="J12" i="288"/>
  <c r="T12" i="288"/>
  <c r="Y7" i="288"/>
  <c r="Y10" i="288"/>
  <c r="Y9" i="288"/>
  <c r="D12" i="288"/>
  <c r="Y12" i="288" s="1"/>
  <c r="V16" i="288" s="1"/>
  <c r="V24" i="288" s="1"/>
  <c r="B21" i="288"/>
  <c r="Y6" i="288"/>
  <c r="V25" i="287" l="1"/>
  <c r="F22" i="287"/>
  <c r="S19" i="287"/>
  <c r="S20" i="287" s="1"/>
  <c r="Q19" i="287"/>
  <c r="Q20" i="287" s="1"/>
  <c r="P19" i="287"/>
  <c r="P20" i="287" s="1"/>
  <c r="L19" i="287"/>
  <c r="L20" i="287" s="1"/>
  <c r="J19" i="287"/>
  <c r="J20" i="287" s="1"/>
  <c r="H19" i="287"/>
  <c r="H20" i="287" s="1"/>
  <c r="M18" i="287"/>
  <c r="M19" i="287" s="1"/>
  <c r="M20" i="287" s="1"/>
  <c r="K18" i="287"/>
  <c r="K19" i="287" s="1"/>
  <c r="K20" i="287" s="1"/>
  <c r="E18" i="287"/>
  <c r="E19" i="287" s="1"/>
  <c r="E20" i="287" s="1"/>
  <c r="W12" i="287"/>
  <c r="V12" i="287"/>
  <c r="U12" i="287"/>
  <c r="I18" i="287" s="1"/>
  <c r="I19" i="287" s="1"/>
  <c r="I20" i="287" s="1"/>
  <c r="S12" i="287"/>
  <c r="Q12" i="287"/>
  <c r="O18" i="287" s="1"/>
  <c r="O19" i="287" s="1"/>
  <c r="O20" i="287" s="1"/>
  <c r="O12" i="287"/>
  <c r="N18" i="287" s="1"/>
  <c r="N19" i="287" s="1"/>
  <c r="N20" i="287" s="1"/>
  <c r="N12" i="287"/>
  <c r="M12" i="287"/>
  <c r="K12" i="287"/>
  <c r="G18" i="287" s="1"/>
  <c r="G19" i="287" s="1"/>
  <c r="G20" i="287" s="1"/>
  <c r="I12" i="287"/>
  <c r="F18" i="287" s="1"/>
  <c r="F19" i="287" s="1"/>
  <c r="F20" i="287" s="1"/>
  <c r="G12" i="287"/>
  <c r="F12" i="287"/>
  <c r="E12" i="287"/>
  <c r="D18" i="287" s="1"/>
  <c r="D19" i="287" s="1"/>
  <c r="D20" i="287" s="1"/>
  <c r="C12" i="287"/>
  <c r="B18" i="287" s="1"/>
  <c r="B19" i="287" s="1"/>
  <c r="B20" i="287" s="1"/>
  <c r="X11" i="287"/>
  <c r="V11" i="287"/>
  <c r="T11" i="287"/>
  <c r="R11" i="287"/>
  <c r="P11" i="287"/>
  <c r="N11" i="287"/>
  <c r="L11" i="287"/>
  <c r="J11" i="287"/>
  <c r="H11" i="287"/>
  <c r="F11" i="287"/>
  <c r="D11" i="287"/>
  <c r="X10" i="287"/>
  <c r="V10" i="287"/>
  <c r="T10" i="287"/>
  <c r="R10" i="287"/>
  <c r="P10" i="287"/>
  <c r="N10" i="287"/>
  <c r="L10" i="287"/>
  <c r="J10" i="287"/>
  <c r="H10" i="287"/>
  <c r="F10" i="287"/>
  <c r="D10" i="287"/>
  <c r="X9" i="287"/>
  <c r="V9" i="287"/>
  <c r="T9" i="287"/>
  <c r="R9" i="287"/>
  <c r="P9" i="287"/>
  <c r="N9" i="287"/>
  <c r="L9" i="287"/>
  <c r="J9" i="287"/>
  <c r="H9" i="287"/>
  <c r="F9" i="287"/>
  <c r="D9" i="287"/>
  <c r="X8" i="287"/>
  <c r="V8" i="287"/>
  <c r="T8" i="287"/>
  <c r="R8" i="287"/>
  <c r="P8" i="287"/>
  <c r="N8" i="287"/>
  <c r="L8" i="287"/>
  <c r="J8" i="287"/>
  <c r="Y8" i="287" s="1"/>
  <c r="H8" i="287"/>
  <c r="F8" i="287"/>
  <c r="D8" i="287"/>
  <c r="X7" i="287"/>
  <c r="V7" i="287"/>
  <c r="T7" i="287"/>
  <c r="R7" i="287"/>
  <c r="P7" i="287"/>
  <c r="N7" i="287"/>
  <c r="L7" i="287"/>
  <c r="J7" i="287"/>
  <c r="Y7" i="287" s="1"/>
  <c r="H7" i="287"/>
  <c r="F7" i="287"/>
  <c r="D7" i="287"/>
  <c r="X6" i="287"/>
  <c r="X12" i="287" s="1"/>
  <c r="V6" i="287"/>
  <c r="T6" i="287"/>
  <c r="R6" i="287"/>
  <c r="R12" i="287" s="1"/>
  <c r="P6" i="287"/>
  <c r="P12" i="287" s="1"/>
  <c r="N6" i="287"/>
  <c r="L6" i="287"/>
  <c r="L12" i="287" s="1"/>
  <c r="J6" i="287"/>
  <c r="H6" i="287"/>
  <c r="H12" i="287" s="1"/>
  <c r="F6" i="287"/>
  <c r="D6" i="287"/>
  <c r="T12" i="287" l="1"/>
  <c r="Y11" i="287"/>
  <c r="Y10" i="287"/>
  <c r="Y9" i="287"/>
  <c r="D12" i="287"/>
  <c r="J12" i="287"/>
  <c r="Y12" i="287" s="1"/>
  <c r="V16" i="287" s="1"/>
  <c r="V24" i="287" s="1"/>
  <c r="B21" i="287"/>
  <c r="Y6" i="287"/>
  <c r="V25" i="286"/>
  <c r="F22" i="286"/>
  <c r="S19" i="286"/>
  <c r="S20" i="286" s="1"/>
  <c r="Q19" i="286"/>
  <c r="Q20" i="286" s="1"/>
  <c r="P19" i="286"/>
  <c r="P20" i="286" s="1"/>
  <c r="L19" i="286"/>
  <c r="L20" i="286" s="1"/>
  <c r="J19" i="286"/>
  <c r="J20" i="286" s="1"/>
  <c r="H19" i="286"/>
  <c r="H20" i="286" s="1"/>
  <c r="E18" i="286"/>
  <c r="E19" i="286" s="1"/>
  <c r="E20" i="286" s="1"/>
  <c r="W12" i="286"/>
  <c r="K18" i="286" s="1"/>
  <c r="K19" i="286" s="1"/>
  <c r="K20" i="286" s="1"/>
  <c r="U12" i="286"/>
  <c r="I18" i="286" s="1"/>
  <c r="I19" i="286" s="1"/>
  <c r="I20" i="286" s="1"/>
  <c r="T12" i="286"/>
  <c r="S12" i="286"/>
  <c r="Q12" i="286"/>
  <c r="O18" i="286" s="1"/>
  <c r="O19" i="286" s="1"/>
  <c r="O20" i="286" s="1"/>
  <c r="O12" i="286"/>
  <c r="N18" i="286" s="1"/>
  <c r="N19" i="286" s="1"/>
  <c r="N20" i="286" s="1"/>
  <c r="M12" i="286"/>
  <c r="M18" i="286" s="1"/>
  <c r="M19" i="286" s="1"/>
  <c r="M20" i="286" s="1"/>
  <c r="L12" i="286"/>
  <c r="K12" i="286"/>
  <c r="G18" i="286" s="1"/>
  <c r="G19" i="286" s="1"/>
  <c r="G20" i="286" s="1"/>
  <c r="I12" i="286"/>
  <c r="F18" i="286" s="1"/>
  <c r="F19" i="286" s="1"/>
  <c r="F20" i="286" s="1"/>
  <c r="G12" i="286"/>
  <c r="E12" i="286"/>
  <c r="D18" i="286" s="1"/>
  <c r="D19" i="286" s="1"/>
  <c r="D20" i="286" s="1"/>
  <c r="C12" i="286"/>
  <c r="B18" i="286" s="1"/>
  <c r="B19" i="286" s="1"/>
  <c r="B20" i="286" s="1"/>
  <c r="X11" i="286"/>
  <c r="V11" i="286"/>
  <c r="T11" i="286"/>
  <c r="R11" i="286"/>
  <c r="P11" i="286"/>
  <c r="N11" i="286"/>
  <c r="L11" i="286"/>
  <c r="J11" i="286"/>
  <c r="H11" i="286"/>
  <c r="F11" i="286"/>
  <c r="Y11" i="286" s="1"/>
  <c r="D11" i="286"/>
  <c r="X10" i="286"/>
  <c r="V10" i="286"/>
  <c r="T10" i="286"/>
  <c r="R10" i="286"/>
  <c r="P10" i="286"/>
  <c r="N10" i="286"/>
  <c r="L10" i="286"/>
  <c r="J10" i="286"/>
  <c r="H10" i="286"/>
  <c r="F10" i="286"/>
  <c r="Y10" i="286" s="1"/>
  <c r="D10" i="286"/>
  <c r="X9" i="286"/>
  <c r="V9" i="286"/>
  <c r="T9" i="286"/>
  <c r="R9" i="286"/>
  <c r="P9" i="286"/>
  <c r="N9" i="286"/>
  <c r="L9" i="286"/>
  <c r="J9" i="286"/>
  <c r="H9" i="286"/>
  <c r="F9" i="286"/>
  <c r="D9" i="286"/>
  <c r="X8" i="286"/>
  <c r="V8" i="286"/>
  <c r="T8" i="286"/>
  <c r="R8" i="286"/>
  <c r="P8" i="286"/>
  <c r="N8" i="286"/>
  <c r="L8" i="286"/>
  <c r="J8" i="286"/>
  <c r="H8" i="286"/>
  <c r="F8" i="286"/>
  <c r="D8" i="286"/>
  <c r="X7" i="286"/>
  <c r="V7" i="286"/>
  <c r="T7" i="286"/>
  <c r="R7" i="286"/>
  <c r="P7" i="286"/>
  <c r="N7" i="286"/>
  <c r="L7" i="286"/>
  <c r="J7" i="286"/>
  <c r="H7" i="286"/>
  <c r="F7" i="286"/>
  <c r="D7" i="286"/>
  <c r="D12" i="286" s="1"/>
  <c r="X6" i="286"/>
  <c r="V6" i="286"/>
  <c r="V12" i="286" s="1"/>
  <c r="T6" i="286"/>
  <c r="R6" i="286"/>
  <c r="R12" i="286" s="1"/>
  <c r="P6" i="286"/>
  <c r="P12" i="286" s="1"/>
  <c r="N6" i="286"/>
  <c r="N12" i="286" s="1"/>
  <c r="L6" i="286"/>
  <c r="J6" i="286"/>
  <c r="H6" i="286"/>
  <c r="H12" i="286" s="1"/>
  <c r="F6" i="286"/>
  <c r="F12" i="286" s="1"/>
  <c r="V25" i="285"/>
  <c r="F22" i="285"/>
  <c r="S19" i="285"/>
  <c r="S20" i="285" s="1"/>
  <c r="Q19" i="285"/>
  <c r="Q20" i="285" s="1"/>
  <c r="P19" i="285"/>
  <c r="P20" i="285" s="1"/>
  <c r="L19" i="285"/>
  <c r="L20" i="285" s="1"/>
  <c r="J19" i="285"/>
  <c r="J20" i="285" s="1"/>
  <c r="H19" i="285"/>
  <c r="H20" i="285" s="1"/>
  <c r="E18" i="285"/>
  <c r="E19" i="285" s="1"/>
  <c r="E20" i="285" s="1"/>
  <c r="W12" i="285"/>
  <c r="K18" i="285" s="1"/>
  <c r="K19" i="285" s="1"/>
  <c r="K20" i="285" s="1"/>
  <c r="U12" i="285"/>
  <c r="I18" i="285" s="1"/>
  <c r="I19" i="285" s="1"/>
  <c r="I20" i="285" s="1"/>
  <c r="S12" i="285"/>
  <c r="Q12" i="285"/>
  <c r="O18" i="285" s="1"/>
  <c r="O19" i="285" s="1"/>
  <c r="O20" i="285" s="1"/>
  <c r="O12" i="285"/>
  <c r="N18" i="285" s="1"/>
  <c r="N19" i="285" s="1"/>
  <c r="N20" i="285" s="1"/>
  <c r="M12" i="285"/>
  <c r="M18" i="285" s="1"/>
  <c r="M19" i="285" s="1"/>
  <c r="M20" i="285" s="1"/>
  <c r="K12" i="285"/>
  <c r="G18" i="285" s="1"/>
  <c r="G19" i="285" s="1"/>
  <c r="G20" i="285" s="1"/>
  <c r="I12" i="285"/>
  <c r="F18" i="285" s="1"/>
  <c r="F19" i="285" s="1"/>
  <c r="F20" i="285" s="1"/>
  <c r="G12" i="285"/>
  <c r="E12" i="285"/>
  <c r="D18" i="285" s="1"/>
  <c r="D19" i="285" s="1"/>
  <c r="D20" i="285" s="1"/>
  <c r="C12" i="285"/>
  <c r="B18" i="285" s="1"/>
  <c r="B19" i="285" s="1"/>
  <c r="B20" i="285" s="1"/>
  <c r="X11" i="285"/>
  <c r="V11" i="285"/>
  <c r="T11" i="285"/>
  <c r="R11" i="285"/>
  <c r="P11" i="285"/>
  <c r="N11" i="285"/>
  <c r="L11" i="285"/>
  <c r="J11" i="285"/>
  <c r="H11" i="285"/>
  <c r="F11" i="285"/>
  <c r="D11" i="285"/>
  <c r="Y11" i="285" s="1"/>
  <c r="X10" i="285"/>
  <c r="V10" i="285"/>
  <c r="T10" i="285"/>
  <c r="R10" i="285"/>
  <c r="P10" i="285"/>
  <c r="N10" i="285"/>
  <c r="L10" i="285"/>
  <c r="J10" i="285"/>
  <c r="H10" i="285"/>
  <c r="F10" i="285"/>
  <c r="D10" i="285"/>
  <c r="Y10" i="285" s="1"/>
  <c r="X9" i="285"/>
  <c r="V9" i="285"/>
  <c r="T9" i="285"/>
  <c r="R9" i="285"/>
  <c r="P9" i="285"/>
  <c r="N9" i="285"/>
  <c r="L9" i="285"/>
  <c r="J9" i="285"/>
  <c r="H9" i="285"/>
  <c r="F9" i="285"/>
  <c r="D9" i="285"/>
  <c r="X8" i="285"/>
  <c r="V8" i="285"/>
  <c r="T8" i="285"/>
  <c r="R8" i="285"/>
  <c r="P8" i="285"/>
  <c r="N8" i="285"/>
  <c r="L8" i="285"/>
  <c r="J8" i="285"/>
  <c r="H8" i="285"/>
  <c r="F8" i="285"/>
  <c r="D8" i="285"/>
  <c r="X7" i="285"/>
  <c r="V7" i="285"/>
  <c r="T7" i="285"/>
  <c r="R7" i="285"/>
  <c r="P7" i="285"/>
  <c r="N7" i="285"/>
  <c r="L7" i="285"/>
  <c r="J7" i="285"/>
  <c r="H7" i="285"/>
  <c r="F7" i="285"/>
  <c r="D7" i="285"/>
  <c r="Y7" i="285" s="1"/>
  <c r="X6" i="285"/>
  <c r="V6" i="285"/>
  <c r="V12" i="285" s="1"/>
  <c r="T6" i="285"/>
  <c r="T12" i="285" s="1"/>
  <c r="R6" i="285"/>
  <c r="R12" i="285" s="1"/>
  <c r="P6" i="285"/>
  <c r="P12" i="285" s="1"/>
  <c r="N6" i="285"/>
  <c r="N12" i="285" s="1"/>
  <c r="L6" i="285"/>
  <c r="L12" i="285" s="1"/>
  <c r="J6" i="285"/>
  <c r="H6" i="285"/>
  <c r="H12" i="285" s="1"/>
  <c r="F6" i="285"/>
  <c r="F12" i="285" s="1"/>
  <c r="D6" i="285"/>
  <c r="V25" i="284"/>
  <c r="F22" i="284"/>
  <c r="S19" i="284"/>
  <c r="S20" i="284" s="1"/>
  <c r="Q19" i="284"/>
  <c r="Q20" i="284" s="1"/>
  <c r="P19" i="284"/>
  <c r="P20" i="284" s="1"/>
  <c r="L19" i="284"/>
  <c r="L20" i="284" s="1"/>
  <c r="J19" i="284"/>
  <c r="J20" i="284" s="1"/>
  <c r="H19" i="284"/>
  <c r="H20" i="284" s="1"/>
  <c r="W12" i="284"/>
  <c r="K18" i="284" s="1"/>
  <c r="K19" i="284" s="1"/>
  <c r="K20" i="284" s="1"/>
  <c r="U12" i="284"/>
  <c r="I18" i="284" s="1"/>
  <c r="I19" i="284" s="1"/>
  <c r="I20" i="284" s="1"/>
  <c r="S12" i="284"/>
  <c r="Q12" i="284"/>
  <c r="O18" i="284" s="1"/>
  <c r="O19" i="284" s="1"/>
  <c r="O20" i="284" s="1"/>
  <c r="O12" i="284"/>
  <c r="N18" i="284" s="1"/>
  <c r="N19" i="284" s="1"/>
  <c r="N20" i="284" s="1"/>
  <c r="M12" i="284"/>
  <c r="M18" i="284" s="1"/>
  <c r="M19" i="284" s="1"/>
  <c r="M20" i="284" s="1"/>
  <c r="K12" i="284"/>
  <c r="G18" i="284" s="1"/>
  <c r="G19" i="284" s="1"/>
  <c r="G20" i="284" s="1"/>
  <c r="I12" i="284"/>
  <c r="F18" i="284" s="1"/>
  <c r="F19" i="284" s="1"/>
  <c r="F20" i="284" s="1"/>
  <c r="G12" i="284"/>
  <c r="E18" i="284" s="1"/>
  <c r="E19" i="284" s="1"/>
  <c r="E20" i="284" s="1"/>
  <c r="E12" i="284"/>
  <c r="D18" i="284" s="1"/>
  <c r="D19" i="284" s="1"/>
  <c r="D20" i="284" s="1"/>
  <c r="C12" i="284"/>
  <c r="B18" i="284" s="1"/>
  <c r="B19" i="284" s="1"/>
  <c r="B20" i="284" s="1"/>
  <c r="X11" i="284"/>
  <c r="V11" i="284"/>
  <c r="T11" i="284"/>
  <c r="R11" i="284"/>
  <c r="P11" i="284"/>
  <c r="N11" i="284"/>
  <c r="L11" i="284"/>
  <c r="J11" i="284"/>
  <c r="H11" i="284"/>
  <c r="F11" i="284"/>
  <c r="D11" i="284"/>
  <c r="Y11" i="284" s="1"/>
  <c r="X10" i="284"/>
  <c r="V10" i="284"/>
  <c r="T10" i="284"/>
  <c r="R10" i="284"/>
  <c r="P10" i="284"/>
  <c r="N10" i="284"/>
  <c r="L10" i="284"/>
  <c r="J10" i="284"/>
  <c r="H10" i="284"/>
  <c r="F10" i="284"/>
  <c r="D10" i="284"/>
  <c r="Y10" i="284" s="1"/>
  <c r="X9" i="284"/>
  <c r="V9" i="284"/>
  <c r="T9" i="284"/>
  <c r="R9" i="284"/>
  <c r="P9" i="284"/>
  <c r="N9" i="284"/>
  <c r="L9" i="284"/>
  <c r="J9" i="284"/>
  <c r="H9" i="284"/>
  <c r="F9" i="284"/>
  <c r="D9" i="284"/>
  <c r="Y9" i="284" s="1"/>
  <c r="X8" i="284"/>
  <c r="V8" i="284"/>
  <c r="T8" i="284"/>
  <c r="R8" i="284"/>
  <c r="P8" i="284"/>
  <c r="N8" i="284"/>
  <c r="L8" i="284"/>
  <c r="J8" i="284"/>
  <c r="H8" i="284"/>
  <c r="F8" i="284"/>
  <c r="D8" i="284"/>
  <c r="X7" i="284"/>
  <c r="V7" i="284"/>
  <c r="T7" i="284"/>
  <c r="R7" i="284"/>
  <c r="P7" i="284"/>
  <c r="N7" i="284"/>
  <c r="L7" i="284"/>
  <c r="J7" i="284"/>
  <c r="H7" i="284"/>
  <c r="F7" i="284"/>
  <c r="D7" i="284"/>
  <c r="X6" i="284"/>
  <c r="X12" i="284" s="1"/>
  <c r="V6" i="284"/>
  <c r="V12" i="284" s="1"/>
  <c r="T6" i="284"/>
  <c r="T12" i="284" s="1"/>
  <c r="R6" i="284"/>
  <c r="R12" i="284" s="1"/>
  <c r="P6" i="284"/>
  <c r="P12" i="284" s="1"/>
  <c r="N6" i="284"/>
  <c r="N12" i="284" s="1"/>
  <c r="L6" i="284"/>
  <c r="L12" i="284" s="1"/>
  <c r="J6" i="284"/>
  <c r="H6" i="284"/>
  <c r="F6" i="284"/>
  <c r="F12" i="284" s="1"/>
  <c r="D6" i="284"/>
  <c r="Y9" i="286" l="1"/>
  <c r="X12" i="286"/>
  <c r="J12" i="286"/>
  <c r="Y8" i="286"/>
  <c r="Y7" i="286"/>
  <c r="B21" i="286"/>
  <c r="Y12" i="286"/>
  <c r="V16" i="286" s="1"/>
  <c r="V24" i="286" s="1"/>
  <c r="Y6" i="286"/>
  <c r="X12" i="285"/>
  <c r="Y8" i="285"/>
  <c r="Y9" i="285"/>
  <c r="J12" i="285"/>
  <c r="D12" i="285"/>
  <c r="B21" i="285"/>
  <c r="Y6" i="285"/>
  <c r="Y8" i="284"/>
  <c r="J12" i="284"/>
  <c r="Y7" i="284"/>
  <c r="H12" i="284"/>
  <c r="D12" i="284"/>
  <c r="B21" i="284"/>
  <c r="Y6" i="284"/>
  <c r="Y12" i="285" l="1"/>
  <c r="V16" i="285" s="1"/>
  <c r="V24" i="285" s="1"/>
  <c r="Y12" i="284"/>
  <c r="V16" i="284" s="1"/>
  <c r="V24" i="284" s="1"/>
  <c r="V25" i="283" l="1"/>
  <c r="F22" i="283"/>
  <c r="S19" i="283"/>
  <c r="S20" i="283" s="1"/>
  <c r="Q19" i="283"/>
  <c r="Q20" i="283" s="1"/>
  <c r="P19" i="283"/>
  <c r="P20" i="283" s="1"/>
  <c r="L19" i="283"/>
  <c r="L20" i="283" s="1"/>
  <c r="J19" i="283"/>
  <c r="J20" i="283" s="1"/>
  <c r="H19" i="283"/>
  <c r="H20" i="283" s="1"/>
  <c r="K18" i="283"/>
  <c r="K19" i="283" s="1"/>
  <c r="K20" i="283" s="1"/>
  <c r="W12" i="283"/>
  <c r="U12" i="283"/>
  <c r="I18" i="283" s="1"/>
  <c r="I19" i="283" s="1"/>
  <c r="I20" i="283" s="1"/>
  <c r="S12" i="283"/>
  <c r="Q12" i="283"/>
  <c r="O18" i="283" s="1"/>
  <c r="O19" i="283" s="1"/>
  <c r="O20" i="283" s="1"/>
  <c r="O12" i="283"/>
  <c r="N18" i="283" s="1"/>
  <c r="N19" i="283" s="1"/>
  <c r="N20" i="283" s="1"/>
  <c r="M12" i="283"/>
  <c r="M18" i="283" s="1"/>
  <c r="M19" i="283" s="1"/>
  <c r="M20" i="283" s="1"/>
  <c r="K12" i="283"/>
  <c r="G18" i="283" s="1"/>
  <c r="G19" i="283" s="1"/>
  <c r="G20" i="283" s="1"/>
  <c r="I12" i="283"/>
  <c r="F18" i="283" s="1"/>
  <c r="F19" i="283" s="1"/>
  <c r="F20" i="283" s="1"/>
  <c r="G12" i="283"/>
  <c r="E18" i="283" s="1"/>
  <c r="E19" i="283" s="1"/>
  <c r="E20" i="283" s="1"/>
  <c r="E12" i="283"/>
  <c r="D18" i="283" s="1"/>
  <c r="D19" i="283" s="1"/>
  <c r="D20" i="283" s="1"/>
  <c r="C12" i="283"/>
  <c r="B18" i="283" s="1"/>
  <c r="B19" i="283" s="1"/>
  <c r="B20" i="283" s="1"/>
  <c r="X11" i="283"/>
  <c r="V11" i="283"/>
  <c r="T11" i="283"/>
  <c r="R11" i="283"/>
  <c r="P11" i="283"/>
  <c r="N11" i="283"/>
  <c r="L11" i="283"/>
  <c r="J11" i="283"/>
  <c r="H11" i="283"/>
  <c r="Y11" i="283" s="1"/>
  <c r="F11" i="283"/>
  <c r="D11" i="283"/>
  <c r="X10" i="283"/>
  <c r="V10" i="283"/>
  <c r="T10" i="283"/>
  <c r="R10" i="283"/>
  <c r="P10" i="283"/>
  <c r="N10" i="283"/>
  <c r="L10" i="283"/>
  <c r="J10" i="283"/>
  <c r="H10" i="283"/>
  <c r="Y10" i="283" s="1"/>
  <c r="F10" i="283"/>
  <c r="D10" i="283"/>
  <c r="X9" i="283"/>
  <c r="V9" i="283"/>
  <c r="T9" i="283"/>
  <c r="R9" i="283"/>
  <c r="P9" i="283"/>
  <c r="N9" i="283"/>
  <c r="L9" i="283"/>
  <c r="J9" i="283"/>
  <c r="H9" i="283"/>
  <c r="F9" i="283"/>
  <c r="D9" i="283"/>
  <c r="X8" i="283"/>
  <c r="V8" i="283"/>
  <c r="T8" i="283"/>
  <c r="R8" i="283"/>
  <c r="P8" i="283"/>
  <c r="N8" i="283"/>
  <c r="L8" i="283"/>
  <c r="J8" i="283"/>
  <c r="H8" i="283"/>
  <c r="F8" i="283"/>
  <c r="D8" i="283"/>
  <c r="X7" i="283"/>
  <c r="V7" i="283"/>
  <c r="T7" i="283"/>
  <c r="R7" i="283"/>
  <c r="P7" i="283"/>
  <c r="N7" i="283"/>
  <c r="L7" i="283"/>
  <c r="J7" i="283"/>
  <c r="H7" i="283"/>
  <c r="F7" i="283"/>
  <c r="D7" i="283"/>
  <c r="X6" i="283"/>
  <c r="X12" i="283" s="1"/>
  <c r="V6" i="283"/>
  <c r="T6" i="283"/>
  <c r="T12" i="283" s="1"/>
  <c r="R6" i="283"/>
  <c r="R12" i="283" s="1"/>
  <c r="P6" i="283"/>
  <c r="P12" i="283" s="1"/>
  <c r="N6" i="283"/>
  <c r="N12" i="283" s="1"/>
  <c r="L6" i="283"/>
  <c r="L12" i="283" s="1"/>
  <c r="J6" i="283"/>
  <c r="H6" i="283"/>
  <c r="F6" i="283"/>
  <c r="D6" i="283"/>
  <c r="F12" i="283" l="1"/>
  <c r="V12" i="283"/>
  <c r="Y9" i="283"/>
  <c r="J12" i="283"/>
  <c r="H12" i="283"/>
  <c r="Y8" i="283"/>
  <c r="Y7" i="283"/>
  <c r="D12" i="283"/>
  <c r="B21" i="283"/>
  <c r="Y6" i="283"/>
  <c r="V25" i="282"/>
  <c r="F22" i="282"/>
  <c r="S19" i="282"/>
  <c r="S20" i="282" s="1"/>
  <c r="Q19" i="282"/>
  <c r="Q20" i="282" s="1"/>
  <c r="P19" i="282"/>
  <c r="P20" i="282" s="1"/>
  <c r="L19" i="282"/>
  <c r="L20" i="282" s="1"/>
  <c r="J19" i="282"/>
  <c r="J20" i="282" s="1"/>
  <c r="H19" i="282"/>
  <c r="H20" i="282" s="1"/>
  <c r="O18" i="282"/>
  <c r="O19" i="282" s="1"/>
  <c r="O20" i="282" s="1"/>
  <c r="D18" i="282"/>
  <c r="D19" i="282" s="1"/>
  <c r="D20" i="282" s="1"/>
  <c r="X12" i="282"/>
  <c r="W12" i="282"/>
  <c r="K18" i="282" s="1"/>
  <c r="K19" i="282" s="1"/>
  <c r="K20" i="282" s="1"/>
  <c r="U12" i="282"/>
  <c r="I18" i="282" s="1"/>
  <c r="I19" i="282" s="1"/>
  <c r="I20" i="282" s="1"/>
  <c r="S12" i="282"/>
  <c r="Q12" i="282"/>
  <c r="P12" i="282"/>
  <c r="O12" i="282"/>
  <c r="N18" i="282" s="1"/>
  <c r="N19" i="282" s="1"/>
  <c r="N20" i="282" s="1"/>
  <c r="M12" i="282"/>
  <c r="M18" i="282" s="1"/>
  <c r="M19" i="282" s="1"/>
  <c r="M20" i="282" s="1"/>
  <c r="K12" i="282"/>
  <c r="G18" i="282" s="1"/>
  <c r="G19" i="282" s="1"/>
  <c r="G20" i="282" s="1"/>
  <c r="I12" i="282"/>
  <c r="F18" i="282" s="1"/>
  <c r="F19" i="282" s="1"/>
  <c r="F20" i="282" s="1"/>
  <c r="G12" i="282"/>
  <c r="E18" i="282" s="1"/>
  <c r="E19" i="282" s="1"/>
  <c r="E20" i="282" s="1"/>
  <c r="E12" i="282"/>
  <c r="C12" i="282"/>
  <c r="B18" i="282" s="1"/>
  <c r="B19" i="282" s="1"/>
  <c r="B20" i="282" s="1"/>
  <c r="X11" i="282"/>
  <c r="V11" i="282"/>
  <c r="T11" i="282"/>
  <c r="R11" i="282"/>
  <c r="P11" i="282"/>
  <c r="N11" i="282"/>
  <c r="L11" i="282"/>
  <c r="J11" i="282"/>
  <c r="H11" i="282"/>
  <c r="F11" i="282"/>
  <c r="D11" i="282"/>
  <c r="Y11" i="282" s="1"/>
  <c r="X10" i="282"/>
  <c r="V10" i="282"/>
  <c r="T10" i="282"/>
  <c r="R10" i="282"/>
  <c r="P10" i="282"/>
  <c r="N10" i="282"/>
  <c r="L10" i="282"/>
  <c r="J10" i="282"/>
  <c r="H10" i="282"/>
  <c r="F10" i="282"/>
  <c r="D10" i="282"/>
  <c r="X9" i="282"/>
  <c r="V9" i="282"/>
  <c r="T9" i="282"/>
  <c r="R9" i="282"/>
  <c r="P9" i="282"/>
  <c r="N9" i="282"/>
  <c r="L9" i="282"/>
  <c r="J9" i="282"/>
  <c r="H9" i="282"/>
  <c r="F9" i="282"/>
  <c r="D9" i="282"/>
  <c r="X8" i="282"/>
  <c r="V8" i="282"/>
  <c r="T8" i="282"/>
  <c r="R8" i="282"/>
  <c r="P8" i="282"/>
  <c r="N8" i="282"/>
  <c r="L8" i="282"/>
  <c r="J8" i="282"/>
  <c r="H8" i="282"/>
  <c r="F8" i="282"/>
  <c r="D8" i="282"/>
  <c r="X7" i="282"/>
  <c r="V7" i="282"/>
  <c r="T7" i="282"/>
  <c r="R7" i="282"/>
  <c r="P7" i="282"/>
  <c r="N7" i="282"/>
  <c r="L7" i="282"/>
  <c r="J7" i="282"/>
  <c r="H7" i="282"/>
  <c r="F7" i="282"/>
  <c r="D7" i="282"/>
  <c r="X6" i="282"/>
  <c r="V6" i="282"/>
  <c r="T6" i="282"/>
  <c r="T12" i="282" s="1"/>
  <c r="R6" i="282"/>
  <c r="R12" i="282" s="1"/>
  <c r="P6" i="282"/>
  <c r="N6" i="282"/>
  <c r="N12" i="282" s="1"/>
  <c r="L6" i="282"/>
  <c r="L12" i="282" s="1"/>
  <c r="J6" i="282"/>
  <c r="H6" i="282"/>
  <c r="F6" i="282"/>
  <c r="F12" i="282" s="1"/>
  <c r="D6" i="282"/>
  <c r="Y12" i="283" l="1"/>
  <c r="V16" i="283" s="1"/>
  <c r="V24" i="283" s="1"/>
  <c r="H12" i="282"/>
  <c r="J12" i="282"/>
  <c r="V12" i="282"/>
  <c r="Y6" i="282"/>
  <c r="Y10" i="282"/>
  <c r="Y9" i="282"/>
  <c r="Y8" i="282"/>
  <c r="Y7" i="282"/>
  <c r="B21" i="282"/>
  <c r="D12" i="282"/>
  <c r="Y12" i="282" s="1"/>
  <c r="V16" i="282" s="1"/>
  <c r="V24" i="282" s="1"/>
  <c r="V25" i="281"/>
  <c r="F22" i="281"/>
  <c r="S19" i="281"/>
  <c r="S20" i="281" s="1"/>
  <c r="Q19" i="281"/>
  <c r="Q20" i="281" s="1"/>
  <c r="P19" i="281"/>
  <c r="P20" i="281" s="1"/>
  <c r="L19" i="281"/>
  <c r="L20" i="281" s="1"/>
  <c r="J19" i="281"/>
  <c r="J20" i="281" s="1"/>
  <c r="H19" i="281"/>
  <c r="H20" i="281" s="1"/>
  <c r="K18" i="281"/>
  <c r="K19" i="281" s="1"/>
  <c r="K20" i="281" s="1"/>
  <c r="W12" i="281"/>
  <c r="U12" i="281"/>
  <c r="I18" i="281" s="1"/>
  <c r="I19" i="281" s="1"/>
  <c r="I20" i="281" s="1"/>
  <c r="S12" i="281"/>
  <c r="Q12" i="281"/>
  <c r="O18" i="281" s="1"/>
  <c r="O19" i="281" s="1"/>
  <c r="O20" i="281" s="1"/>
  <c r="O12" i="281"/>
  <c r="N18" i="281" s="1"/>
  <c r="N19" i="281" s="1"/>
  <c r="N20" i="281" s="1"/>
  <c r="N12" i="281"/>
  <c r="M12" i="281"/>
  <c r="M18" i="281" s="1"/>
  <c r="M19" i="281" s="1"/>
  <c r="M20" i="281" s="1"/>
  <c r="K12" i="281"/>
  <c r="G18" i="281" s="1"/>
  <c r="G19" i="281" s="1"/>
  <c r="G20" i="281" s="1"/>
  <c r="I12" i="281"/>
  <c r="F18" i="281" s="1"/>
  <c r="F19" i="281" s="1"/>
  <c r="F20" i="281" s="1"/>
  <c r="G12" i="281"/>
  <c r="E18" i="281" s="1"/>
  <c r="E19" i="281" s="1"/>
  <c r="E20" i="281" s="1"/>
  <c r="E12" i="281"/>
  <c r="D18" i="281" s="1"/>
  <c r="D19" i="281" s="1"/>
  <c r="D20" i="281" s="1"/>
  <c r="C12" i="281"/>
  <c r="B18" i="281" s="1"/>
  <c r="B19" i="281" s="1"/>
  <c r="B20" i="281" s="1"/>
  <c r="X11" i="281"/>
  <c r="V11" i="281"/>
  <c r="T11" i="281"/>
  <c r="R11" i="281"/>
  <c r="P11" i="281"/>
  <c r="N11" i="281"/>
  <c r="L11" i="281"/>
  <c r="J11" i="281"/>
  <c r="H11" i="281"/>
  <c r="Y11" i="281" s="1"/>
  <c r="F11" i="281"/>
  <c r="D11" i="281"/>
  <c r="X10" i="281"/>
  <c r="V10" i="281"/>
  <c r="T10" i="281"/>
  <c r="R10" i="281"/>
  <c r="P10" i="281"/>
  <c r="N10" i="281"/>
  <c r="L10" i="281"/>
  <c r="J10" i="281"/>
  <c r="H10" i="281"/>
  <c r="Y10" i="281" s="1"/>
  <c r="F10" i="281"/>
  <c r="D10" i="281"/>
  <c r="X9" i="281"/>
  <c r="V9" i="281"/>
  <c r="T9" i="281"/>
  <c r="R9" i="281"/>
  <c r="P9" i="281"/>
  <c r="N9" i="281"/>
  <c r="L9" i="281"/>
  <c r="J9" i="281"/>
  <c r="H9" i="281"/>
  <c r="F9" i="281"/>
  <c r="D9" i="281"/>
  <c r="X8" i="281"/>
  <c r="V8" i="281"/>
  <c r="T8" i="281"/>
  <c r="R8" i="281"/>
  <c r="P8" i="281"/>
  <c r="N8" i="281"/>
  <c r="L8" i="281"/>
  <c r="J8" i="281"/>
  <c r="H8" i="281"/>
  <c r="F8" i="281"/>
  <c r="D8" i="281"/>
  <c r="X7" i="281"/>
  <c r="V7" i="281"/>
  <c r="T7" i="281"/>
  <c r="R7" i="281"/>
  <c r="P7" i="281"/>
  <c r="N7" i="281"/>
  <c r="L7" i="281"/>
  <c r="J7" i="281"/>
  <c r="H7" i="281"/>
  <c r="F7" i="281"/>
  <c r="F12" i="281" s="1"/>
  <c r="D7" i="281"/>
  <c r="X6" i="281"/>
  <c r="X12" i="281" s="1"/>
  <c r="V6" i="281"/>
  <c r="T6" i="281"/>
  <c r="T12" i="281" s="1"/>
  <c r="R6" i="281"/>
  <c r="R12" i="281" s="1"/>
  <c r="P6" i="281"/>
  <c r="P12" i="281" s="1"/>
  <c r="N6" i="281"/>
  <c r="L6" i="281"/>
  <c r="L12" i="281" s="1"/>
  <c r="J6" i="281"/>
  <c r="H6" i="281"/>
  <c r="F6" i="281"/>
  <c r="D6" i="281"/>
  <c r="V25" i="280"/>
  <c r="F22" i="280"/>
  <c r="S19" i="280"/>
  <c r="S20" i="280" s="1"/>
  <c r="Q19" i="280"/>
  <c r="Q20" i="280" s="1"/>
  <c r="P19" i="280"/>
  <c r="P20" i="280" s="1"/>
  <c r="L19" i="280"/>
  <c r="L20" i="280" s="1"/>
  <c r="J19" i="280"/>
  <c r="J20" i="280" s="1"/>
  <c r="H19" i="280"/>
  <c r="H20" i="280" s="1"/>
  <c r="K18" i="280"/>
  <c r="K19" i="280" s="1"/>
  <c r="K20" i="280" s="1"/>
  <c r="E18" i="280"/>
  <c r="E19" i="280" s="1"/>
  <c r="E20" i="280" s="1"/>
  <c r="W12" i="280"/>
  <c r="V12" i="280"/>
  <c r="U12" i="280"/>
  <c r="I18" i="280" s="1"/>
  <c r="I19" i="280" s="1"/>
  <c r="I20" i="280" s="1"/>
  <c r="S12" i="280"/>
  <c r="Q12" i="280"/>
  <c r="O18" i="280" s="1"/>
  <c r="O19" i="280" s="1"/>
  <c r="O20" i="280" s="1"/>
  <c r="O12" i="280"/>
  <c r="N18" i="280" s="1"/>
  <c r="N19" i="280" s="1"/>
  <c r="N20" i="280" s="1"/>
  <c r="N12" i="280"/>
  <c r="M12" i="280"/>
  <c r="M18" i="280" s="1"/>
  <c r="M19" i="280" s="1"/>
  <c r="M20" i="280" s="1"/>
  <c r="K12" i="280"/>
  <c r="G18" i="280" s="1"/>
  <c r="G19" i="280" s="1"/>
  <c r="G20" i="280" s="1"/>
  <c r="I12" i="280"/>
  <c r="F18" i="280" s="1"/>
  <c r="F19" i="280" s="1"/>
  <c r="F20" i="280" s="1"/>
  <c r="G12" i="280"/>
  <c r="E12" i="280"/>
  <c r="D18" i="280" s="1"/>
  <c r="D19" i="280" s="1"/>
  <c r="D20" i="280" s="1"/>
  <c r="C12" i="280"/>
  <c r="B18" i="280" s="1"/>
  <c r="B19" i="280" s="1"/>
  <c r="B20" i="280" s="1"/>
  <c r="X11" i="280"/>
  <c r="V11" i="280"/>
  <c r="T11" i="280"/>
  <c r="R11" i="280"/>
  <c r="P11" i="280"/>
  <c r="N11" i="280"/>
  <c r="L11" i="280"/>
  <c r="J11" i="280"/>
  <c r="H11" i="280"/>
  <c r="Y11" i="280" s="1"/>
  <c r="F11" i="280"/>
  <c r="D11" i="280"/>
  <c r="X10" i="280"/>
  <c r="V10" i="280"/>
  <c r="T10" i="280"/>
  <c r="R10" i="280"/>
  <c r="P10" i="280"/>
  <c r="N10" i="280"/>
  <c r="L10" i="280"/>
  <c r="J10" i="280"/>
  <c r="H10" i="280"/>
  <c r="Y10" i="280" s="1"/>
  <c r="F10" i="280"/>
  <c r="D10" i="280"/>
  <c r="X9" i="280"/>
  <c r="V9" i="280"/>
  <c r="T9" i="280"/>
  <c r="R9" i="280"/>
  <c r="P9" i="280"/>
  <c r="N9" i="280"/>
  <c r="L9" i="280"/>
  <c r="J9" i="280"/>
  <c r="H9" i="280"/>
  <c r="F9" i="280"/>
  <c r="D9" i="280"/>
  <c r="X8" i="280"/>
  <c r="V8" i="280"/>
  <c r="T8" i="280"/>
  <c r="R8" i="280"/>
  <c r="P8" i="280"/>
  <c r="N8" i="280"/>
  <c r="L8" i="280"/>
  <c r="J8" i="280"/>
  <c r="H8" i="280"/>
  <c r="F8" i="280"/>
  <c r="D8" i="280"/>
  <c r="X7" i="280"/>
  <c r="V7" i="280"/>
  <c r="T7" i="280"/>
  <c r="R7" i="280"/>
  <c r="P7" i="280"/>
  <c r="N7" i="280"/>
  <c r="L7" i="280"/>
  <c r="J7" i="280"/>
  <c r="H7" i="280"/>
  <c r="F7" i="280"/>
  <c r="F12" i="280" s="1"/>
  <c r="D7" i="280"/>
  <c r="X6" i="280"/>
  <c r="X12" i="280" s="1"/>
  <c r="V6" i="280"/>
  <c r="T6" i="280"/>
  <c r="T12" i="280" s="1"/>
  <c r="R6" i="280"/>
  <c r="R12" i="280" s="1"/>
  <c r="P6" i="280"/>
  <c r="P12" i="280" s="1"/>
  <c r="N6" i="280"/>
  <c r="L6" i="280"/>
  <c r="L12" i="280" s="1"/>
  <c r="J6" i="280"/>
  <c r="H6" i="280"/>
  <c r="H12" i="280" s="1"/>
  <c r="F6" i="280"/>
  <c r="D6" i="280"/>
  <c r="V25" i="279"/>
  <c r="F22" i="279"/>
  <c r="S19" i="279"/>
  <c r="S20" i="279" s="1"/>
  <c r="Q19" i="279"/>
  <c r="Q20" i="279" s="1"/>
  <c r="P19" i="279"/>
  <c r="P20" i="279" s="1"/>
  <c r="L19" i="279"/>
  <c r="L20" i="279" s="1"/>
  <c r="J19" i="279"/>
  <c r="J20" i="279" s="1"/>
  <c r="H19" i="279"/>
  <c r="H20" i="279" s="1"/>
  <c r="O18" i="279"/>
  <c r="O19" i="279" s="1"/>
  <c r="O20" i="279" s="1"/>
  <c r="K18" i="279"/>
  <c r="K19" i="279" s="1"/>
  <c r="K20" i="279" s="1"/>
  <c r="E18" i="279"/>
  <c r="E19" i="279" s="1"/>
  <c r="E20" i="279" s="1"/>
  <c r="D18" i="279"/>
  <c r="D19" i="279" s="1"/>
  <c r="D20" i="279" s="1"/>
  <c r="W12" i="279"/>
  <c r="U12" i="279"/>
  <c r="I18" i="279" s="1"/>
  <c r="I19" i="279" s="1"/>
  <c r="I20" i="279" s="1"/>
  <c r="T12" i="279"/>
  <c r="S12" i="279"/>
  <c r="Q12" i="279"/>
  <c r="O12" i="279"/>
  <c r="N18" i="279" s="1"/>
  <c r="N19" i="279" s="1"/>
  <c r="N20" i="279" s="1"/>
  <c r="M12" i="279"/>
  <c r="M18" i="279" s="1"/>
  <c r="M19" i="279" s="1"/>
  <c r="M20" i="279" s="1"/>
  <c r="L12" i="279"/>
  <c r="K12" i="279"/>
  <c r="G18" i="279" s="1"/>
  <c r="G19" i="279" s="1"/>
  <c r="G20" i="279" s="1"/>
  <c r="I12" i="279"/>
  <c r="F18" i="279" s="1"/>
  <c r="F19" i="279" s="1"/>
  <c r="F20" i="279" s="1"/>
  <c r="H12" i="279"/>
  <c r="G12" i="279"/>
  <c r="E12" i="279"/>
  <c r="C12" i="279"/>
  <c r="B18" i="279" s="1"/>
  <c r="B19" i="279" s="1"/>
  <c r="B20" i="279" s="1"/>
  <c r="X11" i="279"/>
  <c r="V11" i="279"/>
  <c r="T11" i="279"/>
  <c r="R11" i="279"/>
  <c r="P11" i="279"/>
  <c r="N11" i="279"/>
  <c r="L11" i="279"/>
  <c r="J11" i="279"/>
  <c r="H11" i="279"/>
  <c r="F11" i="279"/>
  <c r="Y11" i="279" s="1"/>
  <c r="D11" i="279"/>
  <c r="X10" i="279"/>
  <c r="V10" i="279"/>
  <c r="T10" i="279"/>
  <c r="R10" i="279"/>
  <c r="P10" i="279"/>
  <c r="N10" i="279"/>
  <c r="L10" i="279"/>
  <c r="J10" i="279"/>
  <c r="H10" i="279"/>
  <c r="F10" i="279"/>
  <c r="Y10" i="279" s="1"/>
  <c r="D10" i="279"/>
  <c r="X9" i="279"/>
  <c r="V9" i="279"/>
  <c r="T9" i="279"/>
  <c r="R9" i="279"/>
  <c r="P9" i="279"/>
  <c r="N9" i="279"/>
  <c r="L9" i="279"/>
  <c r="J9" i="279"/>
  <c r="H9" i="279"/>
  <c r="F9" i="279"/>
  <c r="D9" i="279"/>
  <c r="X8" i="279"/>
  <c r="V8" i="279"/>
  <c r="T8" i="279"/>
  <c r="R8" i="279"/>
  <c r="P8" i="279"/>
  <c r="N8" i="279"/>
  <c r="L8" i="279"/>
  <c r="J8" i="279"/>
  <c r="H8" i="279"/>
  <c r="F8" i="279"/>
  <c r="D8" i="279"/>
  <c r="X7" i="279"/>
  <c r="V7" i="279"/>
  <c r="T7" i="279"/>
  <c r="R7" i="279"/>
  <c r="P7" i="279"/>
  <c r="N7" i="279"/>
  <c r="L7" i="279"/>
  <c r="J7" i="279"/>
  <c r="H7" i="279"/>
  <c r="F7" i="279"/>
  <c r="D7" i="279"/>
  <c r="X6" i="279"/>
  <c r="X12" i="279" s="1"/>
  <c r="V6" i="279"/>
  <c r="V12" i="279" s="1"/>
  <c r="T6" i="279"/>
  <c r="R6" i="279"/>
  <c r="R12" i="279" s="1"/>
  <c r="P6" i="279"/>
  <c r="P12" i="279" s="1"/>
  <c r="N6" i="279"/>
  <c r="N12" i="279" s="1"/>
  <c r="L6" i="279"/>
  <c r="J6" i="279"/>
  <c r="H6" i="279"/>
  <c r="F6" i="279"/>
  <c r="F12" i="279" s="1"/>
  <c r="D6" i="279"/>
  <c r="V12" i="281" l="1"/>
  <c r="Y9" i="281"/>
  <c r="H12" i="281"/>
  <c r="J12" i="281"/>
  <c r="D12" i="281"/>
  <c r="Y12" i="281" s="1"/>
  <c r="V16" i="281" s="1"/>
  <c r="V24" i="281" s="1"/>
  <c r="Y8" i="281"/>
  <c r="Y7" i="281"/>
  <c r="B21" i="281"/>
  <c r="Y6" i="281"/>
  <c r="J12" i="280"/>
  <c r="Y9" i="280"/>
  <c r="D12" i="280"/>
  <c r="Y8" i="280"/>
  <c r="Y7" i="280"/>
  <c r="B21" i="280"/>
  <c r="Y6" i="280"/>
  <c r="D12" i="279"/>
  <c r="J12" i="279"/>
  <c r="Y12" i="279" s="1"/>
  <c r="V16" i="279" s="1"/>
  <c r="V24" i="279" s="1"/>
  <c r="Y9" i="279"/>
  <c r="Y8" i="279"/>
  <c r="Y7" i="279"/>
  <c r="B21" i="279"/>
  <c r="Y6" i="279"/>
  <c r="V25" i="278"/>
  <c r="F22" i="278"/>
  <c r="S19" i="278"/>
  <c r="S20" i="278" s="1"/>
  <c r="Q19" i="278"/>
  <c r="Q20" i="278" s="1"/>
  <c r="P19" i="278"/>
  <c r="P20" i="278" s="1"/>
  <c r="L19" i="278"/>
  <c r="L20" i="278" s="1"/>
  <c r="J19" i="278"/>
  <c r="J20" i="278" s="1"/>
  <c r="H19" i="278"/>
  <c r="H20" i="278" s="1"/>
  <c r="D19" i="278"/>
  <c r="D20" i="278" s="1"/>
  <c r="O18" i="278"/>
  <c r="O19" i="278" s="1"/>
  <c r="O20" i="278" s="1"/>
  <c r="M18" i="278"/>
  <c r="M19" i="278" s="1"/>
  <c r="M20" i="278" s="1"/>
  <c r="D18" i="278"/>
  <c r="X12" i="278"/>
  <c r="W12" i="278"/>
  <c r="K18" i="278" s="1"/>
  <c r="K19" i="278" s="1"/>
  <c r="K20" i="278" s="1"/>
  <c r="U12" i="278"/>
  <c r="I18" i="278" s="1"/>
  <c r="I19" i="278" s="1"/>
  <c r="I20" i="278" s="1"/>
  <c r="S12" i="278"/>
  <c r="Q12" i="278"/>
  <c r="P12" i="278"/>
  <c r="O12" i="278"/>
  <c r="N18" i="278" s="1"/>
  <c r="N19" i="278" s="1"/>
  <c r="N20" i="278" s="1"/>
  <c r="N12" i="278"/>
  <c r="M12" i="278"/>
  <c r="K12" i="278"/>
  <c r="G18" i="278" s="1"/>
  <c r="G19" i="278" s="1"/>
  <c r="G20" i="278" s="1"/>
  <c r="I12" i="278"/>
  <c r="F18" i="278" s="1"/>
  <c r="F19" i="278" s="1"/>
  <c r="F20" i="278" s="1"/>
  <c r="H12" i="278"/>
  <c r="G12" i="278"/>
  <c r="E18" i="278" s="1"/>
  <c r="E19" i="278" s="1"/>
  <c r="E20" i="278" s="1"/>
  <c r="F12" i="278"/>
  <c r="E12" i="278"/>
  <c r="C12" i="278"/>
  <c r="B18" i="278" s="1"/>
  <c r="B19" i="278" s="1"/>
  <c r="B20" i="278" s="1"/>
  <c r="X11" i="278"/>
  <c r="V11" i="278"/>
  <c r="T11" i="278"/>
  <c r="R11" i="278"/>
  <c r="P11" i="278"/>
  <c r="N11" i="278"/>
  <c r="L11" i="278"/>
  <c r="J11" i="278"/>
  <c r="Y11" i="278" s="1"/>
  <c r="H11" i="278"/>
  <c r="F11" i="278"/>
  <c r="D11" i="278"/>
  <c r="X10" i="278"/>
  <c r="V10" i="278"/>
  <c r="T10" i="278"/>
  <c r="R10" i="278"/>
  <c r="P10" i="278"/>
  <c r="N10" i="278"/>
  <c r="L10" i="278"/>
  <c r="J10" i="278"/>
  <c r="Y10" i="278" s="1"/>
  <c r="H10" i="278"/>
  <c r="F10" i="278"/>
  <c r="D10" i="278"/>
  <c r="X9" i="278"/>
  <c r="V9" i="278"/>
  <c r="T9" i="278"/>
  <c r="R9" i="278"/>
  <c r="P9" i="278"/>
  <c r="N9" i="278"/>
  <c r="L9" i="278"/>
  <c r="J9" i="278"/>
  <c r="H9" i="278"/>
  <c r="F9" i="278"/>
  <c r="D9" i="278"/>
  <c r="X8" i="278"/>
  <c r="V8" i="278"/>
  <c r="T8" i="278"/>
  <c r="R8" i="278"/>
  <c r="P8" i="278"/>
  <c r="N8" i="278"/>
  <c r="L8" i="278"/>
  <c r="J8" i="278"/>
  <c r="Y8" i="278" s="1"/>
  <c r="H8" i="278"/>
  <c r="F8" i="278"/>
  <c r="D8" i="278"/>
  <c r="X7" i="278"/>
  <c r="V7" i="278"/>
  <c r="V12" i="278" s="1"/>
  <c r="T7" i="278"/>
  <c r="R7" i="278"/>
  <c r="P7" i="278"/>
  <c r="N7" i="278"/>
  <c r="L7" i="278"/>
  <c r="J7" i="278"/>
  <c r="Y7" i="278" s="1"/>
  <c r="H7" i="278"/>
  <c r="F7" i="278"/>
  <c r="D7" i="278"/>
  <c r="X6" i="278"/>
  <c r="V6" i="278"/>
  <c r="T6" i="278"/>
  <c r="T12" i="278" s="1"/>
  <c r="R6" i="278"/>
  <c r="R12" i="278" s="1"/>
  <c r="P6" i="278"/>
  <c r="N6" i="278"/>
  <c r="L6" i="278"/>
  <c r="L12" i="278" s="1"/>
  <c r="J6" i="278"/>
  <c r="H6" i="278"/>
  <c r="F6" i="278"/>
  <c r="D6" i="278"/>
  <c r="Y12" i="280" l="1"/>
  <c r="V16" i="280" s="1"/>
  <c r="V24" i="280" s="1"/>
  <c r="J12" i="278"/>
  <c r="D12" i="278"/>
  <c r="Y9" i="278"/>
  <c r="B21" i="278"/>
  <c r="Y6" i="278"/>
  <c r="Y12" i="278" l="1"/>
  <c r="V16" i="278" s="1"/>
  <c r="V24" i="278" s="1"/>
  <c r="V25" i="276" l="1"/>
  <c r="F22" i="276"/>
  <c r="S19" i="276"/>
  <c r="S20" i="276" s="1"/>
  <c r="Q19" i="276"/>
  <c r="Q20" i="276" s="1"/>
  <c r="P19" i="276"/>
  <c r="P20" i="276" s="1"/>
  <c r="L19" i="276"/>
  <c r="L20" i="276" s="1"/>
  <c r="J19" i="276"/>
  <c r="J20" i="276" s="1"/>
  <c r="H19" i="276"/>
  <c r="H20" i="276" s="1"/>
  <c r="O18" i="276"/>
  <c r="O19" i="276" s="1"/>
  <c r="O20" i="276" s="1"/>
  <c r="K18" i="276"/>
  <c r="K19" i="276" s="1"/>
  <c r="K20" i="276" s="1"/>
  <c r="I18" i="276"/>
  <c r="I19" i="276" s="1"/>
  <c r="I20" i="276" s="1"/>
  <c r="E18" i="276"/>
  <c r="E19" i="276" s="1"/>
  <c r="E20" i="276" s="1"/>
  <c r="X12" i="276"/>
  <c r="W12" i="276"/>
  <c r="U12" i="276"/>
  <c r="T12" i="276"/>
  <c r="S12" i="276"/>
  <c r="Q12" i="276"/>
  <c r="P12" i="276"/>
  <c r="O12" i="276"/>
  <c r="N18" i="276" s="1"/>
  <c r="N19" i="276" s="1"/>
  <c r="N20" i="276" s="1"/>
  <c r="M12" i="276"/>
  <c r="M18" i="276" s="1"/>
  <c r="M19" i="276" s="1"/>
  <c r="M20" i="276" s="1"/>
  <c r="L12" i="276"/>
  <c r="K12" i="276"/>
  <c r="G18" i="276" s="1"/>
  <c r="G19" i="276" s="1"/>
  <c r="G20" i="276" s="1"/>
  <c r="I12" i="276"/>
  <c r="F18" i="276" s="1"/>
  <c r="F19" i="276" s="1"/>
  <c r="F20" i="276" s="1"/>
  <c r="H12" i="276"/>
  <c r="G12" i="276"/>
  <c r="E12" i="276"/>
  <c r="D18" i="276" s="1"/>
  <c r="D19" i="276" s="1"/>
  <c r="D20" i="276" s="1"/>
  <c r="C12" i="276"/>
  <c r="B18" i="276" s="1"/>
  <c r="B19" i="276" s="1"/>
  <c r="B20" i="276" s="1"/>
  <c r="X11" i="276"/>
  <c r="V11" i="276"/>
  <c r="T11" i="276"/>
  <c r="R11" i="276"/>
  <c r="P11" i="276"/>
  <c r="N11" i="276"/>
  <c r="L11" i="276"/>
  <c r="J11" i="276"/>
  <c r="H11" i="276"/>
  <c r="F11" i="276"/>
  <c r="D11" i="276"/>
  <c r="Y11" i="276" s="1"/>
  <c r="X10" i="276"/>
  <c r="V10" i="276"/>
  <c r="T10" i="276"/>
  <c r="R10" i="276"/>
  <c r="P10" i="276"/>
  <c r="N10" i="276"/>
  <c r="L10" i="276"/>
  <c r="J10" i="276"/>
  <c r="H10" i="276"/>
  <c r="F10" i="276"/>
  <c r="D10" i="276"/>
  <c r="X9" i="276"/>
  <c r="V9" i="276"/>
  <c r="T9" i="276"/>
  <c r="R9" i="276"/>
  <c r="P9" i="276"/>
  <c r="N9" i="276"/>
  <c r="L9" i="276"/>
  <c r="J9" i="276"/>
  <c r="H9" i="276"/>
  <c r="F9" i="276"/>
  <c r="D9" i="276"/>
  <c r="X8" i="276"/>
  <c r="V8" i="276"/>
  <c r="T8" i="276"/>
  <c r="R8" i="276"/>
  <c r="P8" i="276"/>
  <c r="N8" i="276"/>
  <c r="L8" i="276"/>
  <c r="J8" i="276"/>
  <c r="H8" i="276"/>
  <c r="F8" i="276"/>
  <c r="D8" i="276"/>
  <c r="X7" i="276"/>
  <c r="V7" i="276"/>
  <c r="T7" i="276"/>
  <c r="R7" i="276"/>
  <c r="P7" i="276"/>
  <c r="N7" i="276"/>
  <c r="L7" i="276"/>
  <c r="J7" i="276"/>
  <c r="H7" i="276"/>
  <c r="F7" i="276"/>
  <c r="D7" i="276"/>
  <c r="X6" i="276"/>
  <c r="V6" i="276"/>
  <c r="V12" i="276" s="1"/>
  <c r="T6" i="276"/>
  <c r="R6" i="276"/>
  <c r="R12" i="276" s="1"/>
  <c r="P6" i="276"/>
  <c r="N6" i="276"/>
  <c r="N12" i="276" s="1"/>
  <c r="L6" i="276"/>
  <c r="J6" i="276"/>
  <c r="H6" i="276"/>
  <c r="F6" i="276"/>
  <c r="F12" i="276" s="1"/>
  <c r="D6" i="276"/>
  <c r="Y7" i="276" l="1"/>
  <c r="Y8" i="276"/>
  <c r="J12" i="276"/>
  <c r="Y10" i="276"/>
  <c r="Y9" i="276"/>
  <c r="Y6" i="276"/>
  <c r="D12" i="276"/>
  <c r="Y12" i="276" s="1"/>
  <c r="V16" i="276" s="1"/>
  <c r="V24" i="276" s="1"/>
  <c r="B21" i="276"/>
  <c r="V25" i="275"/>
  <c r="F22" i="275"/>
  <c r="S19" i="275"/>
  <c r="S20" i="275" s="1"/>
  <c r="Q19" i="275"/>
  <c r="Q20" i="275" s="1"/>
  <c r="P19" i="275"/>
  <c r="P20" i="275" s="1"/>
  <c r="L19" i="275"/>
  <c r="L20" i="275" s="1"/>
  <c r="J19" i="275"/>
  <c r="J20" i="275" s="1"/>
  <c r="H19" i="275"/>
  <c r="H20" i="275" s="1"/>
  <c r="O18" i="275"/>
  <c r="O19" i="275" s="1"/>
  <c r="O20" i="275" s="1"/>
  <c r="I18" i="275"/>
  <c r="I19" i="275" s="1"/>
  <c r="I20" i="275" s="1"/>
  <c r="W12" i="275"/>
  <c r="K18" i="275" s="1"/>
  <c r="K19" i="275" s="1"/>
  <c r="K20" i="275" s="1"/>
  <c r="U12" i="275"/>
  <c r="S12" i="275"/>
  <c r="Q12" i="275"/>
  <c r="P12" i="275"/>
  <c r="O12" i="275"/>
  <c r="N18" i="275" s="1"/>
  <c r="N19" i="275" s="1"/>
  <c r="N20" i="275" s="1"/>
  <c r="M12" i="275"/>
  <c r="M18" i="275" s="1"/>
  <c r="M19" i="275" s="1"/>
  <c r="M20" i="275" s="1"/>
  <c r="K12" i="275"/>
  <c r="G18" i="275" s="1"/>
  <c r="G19" i="275" s="1"/>
  <c r="G20" i="275" s="1"/>
  <c r="I12" i="275"/>
  <c r="F18" i="275" s="1"/>
  <c r="F19" i="275" s="1"/>
  <c r="F20" i="275" s="1"/>
  <c r="H12" i="275"/>
  <c r="G12" i="275"/>
  <c r="E18" i="275" s="1"/>
  <c r="E19" i="275" s="1"/>
  <c r="E20" i="275" s="1"/>
  <c r="E12" i="275"/>
  <c r="D18" i="275" s="1"/>
  <c r="D19" i="275" s="1"/>
  <c r="D20" i="275" s="1"/>
  <c r="C12" i="275"/>
  <c r="B18" i="275" s="1"/>
  <c r="B19" i="275" s="1"/>
  <c r="B20" i="275" s="1"/>
  <c r="X11" i="275"/>
  <c r="V11" i="275"/>
  <c r="T11" i="275"/>
  <c r="R11" i="275"/>
  <c r="P11" i="275"/>
  <c r="N11" i="275"/>
  <c r="L11" i="275"/>
  <c r="J11" i="275"/>
  <c r="H11" i="275"/>
  <c r="F11" i="275"/>
  <c r="D11" i="275"/>
  <c r="Y11" i="275" s="1"/>
  <c r="X10" i="275"/>
  <c r="X12" i="275" s="1"/>
  <c r="V10" i="275"/>
  <c r="T10" i="275"/>
  <c r="R10" i="275"/>
  <c r="P10" i="275"/>
  <c r="N10" i="275"/>
  <c r="L10" i="275"/>
  <c r="J10" i="275"/>
  <c r="H10" i="275"/>
  <c r="F10" i="275"/>
  <c r="D10" i="275"/>
  <c r="X9" i="275"/>
  <c r="V9" i="275"/>
  <c r="T9" i="275"/>
  <c r="R9" i="275"/>
  <c r="P9" i="275"/>
  <c r="N9" i="275"/>
  <c r="L9" i="275"/>
  <c r="J9" i="275"/>
  <c r="H9" i="275"/>
  <c r="F9" i="275"/>
  <c r="D9" i="275"/>
  <c r="X8" i="275"/>
  <c r="V8" i="275"/>
  <c r="T8" i="275"/>
  <c r="R8" i="275"/>
  <c r="P8" i="275"/>
  <c r="N8" i="275"/>
  <c r="L8" i="275"/>
  <c r="J8" i="275"/>
  <c r="H8" i="275"/>
  <c r="F8" i="275"/>
  <c r="D8" i="275"/>
  <c r="X7" i="275"/>
  <c r="V7" i="275"/>
  <c r="T7" i="275"/>
  <c r="R7" i="275"/>
  <c r="P7" i="275"/>
  <c r="N7" i="275"/>
  <c r="L7" i="275"/>
  <c r="J7" i="275"/>
  <c r="H7" i="275"/>
  <c r="F7" i="275"/>
  <c r="D7" i="275"/>
  <c r="X6" i="275"/>
  <c r="V6" i="275"/>
  <c r="T6" i="275"/>
  <c r="T12" i="275" s="1"/>
  <c r="R6" i="275"/>
  <c r="R12" i="275" s="1"/>
  <c r="P6" i="275"/>
  <c r="N6" i="275"/>
  <c r="N12" i="275" s="1"/>
  <c r="L6" i="275"/>
  <c r="L12" i="275" s="1"/>
  <c r="J6" i="275"/>
  <c r="H6" i="275"/>
  <c r="F6" i="275"/>
  <c r="D6" i="275"/>
  <c r="V25" i="274"/>
  <c r="F22" i="274"/>
  <c r="S19" i="274"/>
  <c r="S20" i="274" s="1"/>
  <c r="Q19" i="274"/>
  <c r="Q20" i="274" s="1"/>
  <c r="P19" i="274"/>
  <c r="P20" i="274" s="1"/>
  <c r="L19" i="274"/>
  <c r="L20" i="274" s="1"/>
  <c r="J19" i="274"/>
  <c r="J20" i="274" s="1"/>
  <c r="H19" i="274"/>
  <c r="H20" i="274" s="1"/>
  <c r="O18" i="274"/>
  <c r="O19" i="274" s="1"/>
  <c r="O20" i="274" s="1"/>
  <c r="E18" i="274"/>
  <c r="E19" i="274" s="1"/>
  <c r="E20" i="274" s="1"/>
  <c r="W12" i="274"/>
  <c r="K18" i="274" s="1"/>
  <c r="K19" i="274" s="1"/>
  <c r="K20" i="274" s="1"/>
  <c r="U12" i="274"/>
  <c r="I18" i="274" s="1"/>
  <c r="I19" i="274" s="1"/>
  <c r="I20" i="274" s="1"/>
  <c r="T12" i="274"/>
  <c r="S12" i="274"/>
  <c r="Q12" i="274"/>
  <c r="P12" i="274"/>
  <c r="O12" i="274"/>
  <c r="N18" i="274" s="1"/>
  <c r="N19" i="274" s="1"/>
  <c r="N20" i="274" s="1"/>
  <c r="M12" i="274"/>
  <c r="M18" i="274" s="1"/>
  <c r="M19" i="274" s="1"/>
  <c r="M20" i="274" s="1"/>
  <c r="K12" i="274"/>
  <c r="G18" i="274" s="1"/>
  <c r="G19" i="274" s="1"/>
  <c r="G20" i="274" s="1"/>
  <c r="I12" i="274"/>
  <c r="F18" i="274" s="1"/>
  <c r="F19" i="274" s="1"/>
  <c r="F20" i="274" s="1"/>
  <c r="H12" i="274"/>
  <c r="G12" i="274"/>
  <c r="E12" i="274"/>
  <c r="D18" i="274" s="1"/>
  <c r="D19" i="274" s="1"/>
  <c r="D20" i="274" s="1"/>
  <c r="C12" i="274"/>
  <c r="B18" i="274" s="1"/>
  <c r="B19" i="274" s="1"/>
  <c r="B20" i="274" s="1"/>
  <c r="X11" i="274"/>
  <c r="V11" i="274"/>
  <c r="T11" i="274"/>
  <c r="R11" i="274"/>
  <c r="P11" i="274"/>
  <c r="N11" i="274"/>
  <c r="L11" i="274"/>
  <c r="J11" i="274"/>
  <c r="H11" i="274"/>
  <c r="F11" i="274"/>
  <c r="Y11" i="274" s="1"/>
  <c r="D11" i="274"/>
  <c r="X10" i="274"/>
  <c r="V10" i="274"/>
  <c r="T10" i="274"/>
  <c r="R10" i="274"/>
  <c r="P10" i="274"/>
  <c r="N10" i="274"/>
  <c r="L10" i="274"/>
  <c r="J10" i="274"/>
  <c r="H10" i="274"/>
  <c r="F10" i="274"/>
  <c r="Y10" i="274" s="1"/>
  <c r="D10" i="274"/>
  <c r="X9" i="274"/>
  <c r="X12" i="274" s="1"/>
  <c r="V9" i="274"/>
  <c r="T9" i="274"/>
  <c r="R9" i="274"/>
  <c r="P9" i="274"/>
  <c r="N9" i="274"/>
  <c r="L9" i="274"/>
  <c r="J9" i="274"/>
  <c r="H9" i="274"/>
  <c r="F9" i="274"/>
  <c r="D9" i="274"/>
  <c r="X8" i="274"/>
  <c r="V8" i="274"/>
  <c r="T8" i="274"/>
  <c r="R8" i="274"/>
  <c r="P8" i="274"/>
  <c r="N8" i="274"/>
  <c r="L8" i="274"/>
  <c r="L12" i="274" s="1"/>
  <c r="J8" i="274"/>
  <c r="H8" i="274"/>
  <c r="F8" i="274"/>
  <c r="D8" i="274"/>
  <c r="X7" i="274"/>
  <c r="V7" i="274"/>
  <c r="T7" i="274"/>
  <c r="R7" i="274"/>
  <c r="P7" i="274"/>
  <c r="N7" i="274"/>
  <c r="L7" i="274"/>
  <c r="J7" i="274"/>
  <c r="H7" i="274"/>
  <c r="F7" i="274"/>
  <c r="D7" i="274"/>
  <c r="X6" i="274"/>
  <c r="V6" i="274"/>
  <c r="T6" i="274"/>
  <c r="R6" i="274"/>
  <c r="R12" i="274" s="1"/>
  <c r="P6" i="274"/>
  <c r="N6" i="274"/>
  <c r="N12" i="274" s="1"/>
  <c r="L6" i="274"/>
  <c r="J6" i="274"/>
  <c r="H6" i="274"/>
  <c r="F6" i="274"/>
  <c r="D6" i="274"/>
  <c r="Y8" i="275" l="1"/>
  <c r="F12" i="275"/>
  <c r="V12" i="275"/>
  <c r="J12" i="275"/>
  <c r="Y6" i="275"/>
  <c r="Y10" i="275"/>
  <c r="Y7" i="275"/>
  <c r="Y9" i="275"/>
  <c r="B21" i="275"/>
  <c r="D12" i="275"/>
  <c r="D12" i="274"/>
  <c r="V12" i="274"/>
  <c r="J12" i="274"/>
  <c r="Y7" i="274"/>
  <c r="F12" i="274"/>
  <c r="Y9" i="274"/>
  <c r="Y8" i="274"/>
  <c r="B21" i="274"/>
  <c r="Y6" i="274"/>
  <c r="Y12" i="275" l="1"/>
  <c r="V16" i="275" s="1"/>
  <c r="V24" i="275" s="1"/>
  <c r="Y12" i="274"/>
  <c r="V16" i="274" s="1"/>
  <c r="V24" i="274" s="1"/>
  <c r="V25" i="273" l="1"/>
  <c r="F22" i="273"/>
  <c r="S19" i="273"/>
  <c r="S20" i="273" s="1"/>
  <c r="Q19" i="273"/>
  <c r="Q20" i="273" s="1"/>
  <c r="P19" i="273"/>
  <c r="P20" i="273" s="1"/>
  <c r="L19" i="273"/>
  <c r="L20" i="273" s="1"/>
  <c r="J19" i="273"/>
  <c r="J20" i="273" s="1"/>
  <c r="H19" i="273"/>
  <c r="H20" i="273" s="1"/>
  <c r="O18" i="273"/>
  <c r="O19" i="273" s="1"/>
  <c r="O20" i="273" s="1"/>
  <c r="M18" i="273"/>
  <c r="M19" i="273" s="1"/>
  <c r="M20" i="273" s="1"/>
  <c r="I18" i="273"/>
  <c r="I19" i="273" s="1"/>
  <c r="I20" i="273" s="1"/>
  <c r="X12" i="273"/>
  <c r="W12" i="273"/>
  <c r="K18" i="273" s="1"/>
  <c r="K19" i="273" s="1"/>
  <c r="K20" i="273" s="1"/>
  <c r="U12" i="273"/>
  <c r="T12" i="273"/>
  <c r="S12" i="273"/>
  <c r="Q12" i="273"/>
  <c r="P12" i="273"/>
  <c r="O12" i="273"/>
  <c r="N18" i="273" s="1"/>
  <c r="N19" i="273" s="1"/>
  <c r="N20" i="273" s="1"/>
  <c r="M12" i="273"/>
  <c r="K12" i="273"/>
  <c r="G18" i="273" s="1"/>
  <c r="G19" i="273" s="1"/>
  <c r="G20" i="273" s="1"/>
  <c r="I12" i="273"/>
  <c r="F18" i="273" s="1"/>
  <c r="F19" i="273" s="1"/>
  <c r="F20" i="273" s="1"/>
  <c r="H12" i="273"/>
  <c r="G12" i="273"/>
  <c r="E18" i="273" s="1"/>
  <c r="E19" i="273" s="1"/>
  <c r="E20" i="273" s="1"/>
  <c r="E12" i="273"/>
  <c r="D18" i="273" s="1"/>
  <c r="D19" i="273" s="1"/>
  <c r="D20" i="273" s="1"/>
  <c r="C12" i="273"/>
  <c r="B18" i="273" s="1"/>
  <c r="B19" i="273" s="1"/>
  <c r="B20" i="273" s="1"/>
  <c r="X11" i="273"/>
  <c r="V11" i="273"/>
  <c r="T11" i="273"/>
  <c r="R11" i="273"/>
  <c r="P11" i="273"/>
  <c r="N11" i="273"/>
  <c r="L11" i="273"/>
  <c r="J11" i="273"/>
  <c r="H11" i="273"/>
  <c r="F11" i="273"/>
  <c r="Y11" i="273" s="1"/>
  <c r="D11" i="273"/>
  <c r="X10" i="273"/>
  <c r="V10" i="273"/>
  <c r="T10" i="273"/>
  <c r="R10" i="273"/>
  <c r="P10" i="273"/>
  <c r="N10" i="273"/>
  <c r="L10" i="273"/>
  <c r="J10" i="273"/>
  <c r="H10" i="273"/>
  <c r="F10" i="273"/>
  <c r="D10" i="273"/>
  <c r="X9" i="273"/>
  <c r="V9" i="273"/>
  <c r="T9" i="273"/>
  <c r="R9" i="273"/>
  <c r="P9" i="273"/>
  <c r="N9" i="273"/>
  <c r="L9" i="273"/>
  <c r="J9" i="273"/>
  <c r="H9" i="273"/>
  <c r="F9" i="273"/>
  <c r="D9" i="273"/>
  <c r="X8" i="273"/>
  <c r="V8" i="273"/>
  <c r="T8" i="273"/>
  <c r="R8" i="273"/>
  <c r="P8" i="273"/>
  <c r="N8" i="273"/>
  <c r="L8" i="273"/>
  <c r="L12" i="273" s="1"/>
  <c r="J8" i="273"/>
  <c r="H8" i="273"/>
  <c r="F8" i="273"/>
  <c r="D8" i="273"/>
  <c r="X7" i="273"/>
  <c r="V7" i="273"/>
  <c r="T7" i="273"/>
  <c r="R7" i="273"/>
  <c r="P7" i="273"/>
  <c r="N7" i="273"/>
  <c r="L7" i="273"/>
  <c r="J7" i="273"/>
  <c r="H7" i="273"/>
  <c r="F7" i="273"/>
  <c r="D7" i="273"/>
  <c r="X6" i="273"/>
  <c r="V6" i="273"/>
  <c r="V12" i="273" s="1"/>
  <c r="T6" i="273"/>
  <c r="R6" i="273"/>
  <c r="R12" i="273" s="1"/>
  <c r="P6" i="273"/>
  <c r="N6" i="273"/>
  <c r="N12" i="273" s="1"/>
  <c r="L6" i="273"/>
  <c r="J6" i="273"/>
  <c r="H6" i="273"/>
  <c r="F6" i="273"/>
  <c r="D6" i="273"/>
  <c r="V25" i="272"/>
  <c r="F22" i="272"/>
  <c r="S19" i="272"/>
  <c r="S20" i="272" s="1"/>
  <c r="Q19" i="272"/>
  <c r="Q20" i="272" s="1"/>
  <c r="P19" i="272"/>
  <c r="P20" i="272" s="1"/>
  <c r="L19" i="272"/>
  <c r="L20" i="272" s="1"/>
  <c r="J19" i="272"/>
  <c r="J20" i="272" s="1"/>
  <c r="H19" i="272"/>
  <c r="H20" i="272" s="1"/>
  <c r="W12" i="272"/>
  <c r="K18" i="272" s="1"/>
  <c r="K19" i="272" s="1"/>
  <c r="K20" i="272" s="1"/>
  <c r="U12" i="272"/>
  <c r="I18" i="272" s="1"/>
  <c r="I19" i="272" s="1"/>
  <c r="I20" i="272" s="1"/>
  <c r="S12" i="272"/>
  <c r="Q12" i="272"/>
  <c r="O18" i="272" s="1"/>
  <c r="O19" i="272" s="1"/>
  <c r="O20" i="272" s="1"/>
  <c r="O12" i="272"/>
  <c r="N18" i="272" s="1"/>
  <c r="N19" i="272" s="1"/>
  <c r="N20" i="272" s="1"/>
  <c r="M12" i="272"/>
  <c r="M18" i="272" s="1"/>
  <c r="M19" i="272" s="1"/>
  <c r="M20" i="272" s="1"/>
  <c r="K12" i="272"/>
  <c r="G18" i="272" s="1"/>
  <c r="G19" i="272" s="1"/>
  <c r="G20" i="272" s="1"/>
  <c r="I12" i="272"/>
  <c r="F18" i="272" s="1"/>
  <c r="F19" i="272" s="1"/>
  <c r="F20" i="272" s="1"/>
  <c r="G12" i="272"/>
  <c r="E18" i="272" s="1"/>
  <c r="E19" i="272" s="1"/>
  <c r="E20" i="272" s="1"/>
  <c r="E12" i="272"/>
  <c r="D18" i="272" s="1"/>
  <c r="D19" i="272" s="1"/>
  <c r="D20" i="272" s="1"/>
  <c r="C12" i="272"/>
  <c r="B18" i="272" s="1"/>
  <c r="B19" i="272" s="1"/>
  <c r="B20" i="272" s="1"/>
  <c r="X11" i="272"/>
  <c r="V11" i="272"/>
  <c r="T11" i="272"/>
  <c r="R11" i="272"/>
  <c r="P11" i="272"/>
  <c r="N11" i="272"/>
  <c r="L11" i="272"/>
  <c r="J11" i="272"/>
  <c r="H11" i="272"/>
  <c r="F11" i="272"/>
  <c r="D11" i="272"/>
  <c r="Y11" i="272" s="1"/>
  <c r="X10" i="272"/>
  <c r="V10" i="272"/>
  <c r="T10" i="272"/>
  <c r="R10" i="272"/>
  <c r="P10" i="272"/>
  <c r="N10" i="272"/>
  <c r="L10" i="272"/>
  <c r="J10" i="272"/>
  <c r="H10" i="272"/>
  <c r="F10" i="272"/>
  <c r="D10" i="272"/>
  <c r="X9" i="272"/>
  <c r="V9" i="272"/>
  <c r="T9" i="272"/>
  <c r="R9" i="272"/>
  <c r="P9" i="272"/>
  <c r="N9" i="272"/>
  <c r="L9" i="272"/>
  <c r="J9" i="272"/>
  <c r="H9" i="272"/>
  <c r="F9" i="272"/>
  <c r="D9" i="272"/>
  <c r="X8" i="272"/>
  <c r="V8" i="272"/>
  <c r="T8" i="272"/>
  <c r="R8" i="272"/>
  <c r="P8" i="272"/>
  <c r="N8" i="272"/>
  <c r="L8" i="272"/>
  <c r="J8" i="272"/>
  <c r="H8" i="272"/>
  <c r="F8" i="272"/>
  <c r="D8" i="272"/>
  <c r="X7" i="272"/>
  <c r="V7" i="272"/>
  <c r="T7" i="272"/>
  <c r="R7" i="272"/>
  <c r="P7" i="272"/>
  <c r="N7" i="272"/>
  <c r="L7" i="272"/>
  <c r="J7" i="272"/>
  <c r="H7" i="272"/>
  <c r="F7" i="272"/>
  <c r="D7" i="272"/>
  <c r="X6" i="272"/>
  <c r="X12" i="272" s="1"/>
  <c r="V6" i="272"/>
  <c r="T6" i="272"/>
  <c r="T12" i="272" s="1"/>
  <c r="R6" i="272"/>
  <c r="R12" i="272" s="1"/>
  <c r="P6" i="272"/>
  <c r="P12" i="272" s="1"/>
  <c r="N6" i="272"/>
  <c r="N12" i="272" s="1"/>
  <c r="L6" i="272"/>
  <c r="J6" i="272"/>
  <c r="H6" i="272"/>
  <c r="H12" i="272" s="1"/>
  <c r="F6" i="272"/>
  <c r="D6" i="272"/>
  <c r="F12" i="273" l="1"/>
  <c r="D12" i="273"/>
  <c r="J12" i="273"/>
  <c r="Y7" i="273"/>
  <c r="Y10" i="273"/>
  <c r="Y9" i="273"/>
  <c r="Y8" i="273"/>
  <c r="B21" i="273"/>
  <c r="Y6" i="273"/>
  <c r="F12" i="272"/>
  <c r="L12" i="272"/>
  <c r="Y8" i="272"/>
  <c r="V12" i="272"/>
  <c r="J12" i="272"/>
  <c r="Y7" i="272"/>
  <c r="Y10" i="272"/>
  <c r="Y9" i="272"/>
  <c r="D12" i="272"/>
  <c r="B21" i="272"/>
  <c r="Y6" i="272"/>
  <c r="Y12" i="273" l="1"/>
  <c r="V16" i="273" s="1"/>
  <c r="V24" i="273" s="1"/>
  <c r="Y12" i="272"/>
  <c r="V16" i="272" s="1"/>
  <c r="V24" i="272" s="1"/>
  <c r="V25" i="271" l="1"/>
  <c r="F22" i="271"/>
  <c r="S19" i="271"/>
  <c r="S20" i="271" s="1"/>
  <c r="Q19" i="271"/>
  <c r="Q20" i="271" s="1"/>
  <c r="P19" i="271"/>
  <c r="P20" i="271" s="1"/>
  <c r="L19" i="271"/>
  <c r="L20" i="271" s="1"/>
  <c r="J19" i="271"/>
  <c r="J20" i="271" s="1"/>
  <c r="H19" i="271"/>
  <c r="H20" i="271" s="1"/>
  <c r="K18" i="271"/>
  <c r="K19" i="271" s="1"/>
  <c r="K20" i="271" s="1"/>
  <c r="E18" i="271"/>
  <c r="E19" i="271" s="1"/>
  <c r="E20" i="271" s="1"/>
  <c r="W12" i="271"/>
  <c r="U12" i="271"/>
  <c r="I18" i="271" s="1"/>
  <c r="I19" i="271" s="1"/>
  <c r="I20" i="271" s="1"/>
  <c r="T12" i="271"/>
  <c r="S12" i="271"/>
  <c r="Q12" i="271"/>
  <c r="O18" i="271" s="1"/>
  <c r="O19" i="271" s="1"/>
  <c r="O20" i="271" s="1"/>
  <c r="O12" i="271"/>
  <c r="N18" i="271" s="1"/>
  <c r="N19" i="271" s="1"/>
  <c r="N20" i="271" s="1"/>
  <c r="M12" i="271"/>
  <c r="M18" i="271" s="1"/>
  <c r="M19" i="271" s="1"/>
  <c r="M20" i="271" s="1"/>
  <c r="L12" i="271"/>
  <c r="K12" i="271"/>
  <c r="G18" i="271" s="1"/>
  <c r="G19" i="271" s="1"/>
  <c r="G20" i="271" s="1"/>
  <c r="I12" i="271"/>
  <c r="F18" i="271" s="1"/>
  <c r="F19" i="271" s="1"/>
  <c r="F20" i="271" s="1"/>
  <c r="G12" i="271"/>
  <c r="E12" i="271"/>
  <c r="D18" i="271" s="1"/>
  <c r="D19" i="271" s="1"/>
  <c r="D20" i="271" s="1"/>
  <c r="C12" i="271"/>
  <c r="B18" i="271" s="1"/>
  <c r="B19" i="271" s="1"/>
  <c r="B20" i="271" s="1"/>
  <c r="X11" i="271"/>
  <c r="V11" i="271"/>
  <c r="T11" i="271"/>
  <c r="R11" i="271"/>
  <c r="P11" i="271"/>
  <c r="N11" i="271"/>
  <c r="L11" i="271"/>
  <c r="J11" i="271"/>
  <c r="H11" i="271"/>
  <c r="F11" i="271"/>
  <c r="Y11" i="271" s="1"/>
  <c r="D11" i="271"/>
  <c r="X10" i="271"/>
  <c r="V10" i="271"/>
  <c r="T10" i="271"/>
  <c r="R10" i="271"/>
  <c r="P10" i="271"/>
  <c r="N10" i="271"/>
  <c r="L10" i="271"/>
  <c r="J10" i="271"/>
  <c r="H10" i="271"/>
  <c r="F10" i="271"/>
  <c r="D10" i="271"/>
  <c r="X9" i="271"/>
  <c r="V9" i="271"/>
  <c r="T9" i="271"/>
  <c r="R9" i="271"/>
  <c r="P9" i="271"/>
  <c r="N9" i="271"/>
  <c r="L9" i="271"/>
  <c r="J9" i="271"/>
  <c r="H9" i="271"/>
  <c r="F9" i="271"/>
  <c r="D9" i="271"/>
  <c r="X8" i="271"/>
  <c r="V8" i="271"/>
  <c r="T8" i="271"/>
  <c r="R8" i="271"/>
  <c r="P8" i="271"/>
  <c r="N8" i="271"/>
  <c r="L8" i="271"/>
  <c r="J8" i="271"/>
  <c r="H8" i="271"/>
  <c r="F8" i="271"/>
  <c r="D8" i="271"/>
  <c r="X7" i="271"/>
  <c r="V7" i="271"/>
  <c r="T7" i="271"/>
  <c r="R7" i="271"/>
  <c r="P7" i="271"/>
  <c r="N7" i="271"/>
  <c r="L7" i="271"/>
  <c r="J7" i="271"/>
  <c r="H7" i="271"/>
  <c r="F7" i="271"/>
  <c r="D7" i="271"/>
  <c r="X6" i="271"/>
  <c r="V6" i="271"/>
  <c r="T6" i="271"/>
  <c r="R6" i="271"/>
  <c r="R12" i="271" s="1"/>
  <c r="P6" i="271"/>
  <c r="P12" i="271" s="1"/>
  <c r="N6" i="271"/>
  <c r="N12" i="271" s="1"/>
  <c r="L6" i="271"/>
  <c r="J6" i="271"/>
  <c r="H6" i="271"/>
  <c r="H12" i="271" s="1"/>
  <c r="F6" i="271"/>
  <c r="D6" i="271"/>
  <c r="Y10" i="271" l="1"/>
  <c r="F12" i="271"/>
  <c r="J12" i="271"/>
  <c r="V12" i="271"/>
  <c r="Y12" i="271" s="1"/>
  <c r="V16" i="271" s="1"/>
  <c r="V24" i="271" s="1"/>
  <c r="X12" i="271"/>
  <c r="Y9" i="271"/>
  <c r="D12" i="271"/>
  <c r="Y8" i="271"/>
  <c r="Y7" i="271"/>
  <c r="B21" i="271"/>
  <c r="Y6" i="271"/>
  <c r="V25" i="270" l="1"/>
  <c r="F22" i="270"/>
  <c r="S19" i="270"/>
  <c r="S20" i="270" s="1"/>
  <c r="Q19" i="270"/>
  <c r="Q20" i="270" s="1"/>
  <c r="P19" i="270"/>
  <c r="P20" i="270" s="1"/>
  <c r="L19" i="270"/>
  <c r="L20" i="270" s="1"/>
  <c r="J19" i="270"/>
  <c r="J20" i="270" s="1"/>
  <c r="H19" i="270"/>
  <c r="H20" i="270" s="1"/>
  <c r="O18" i="270"/>
  <c r="O19" i="270" s="1"/>
  <c r="O20" i="270" s="1"/>
  <c r="D18" i="270"/>
  <c r="D19" i="270" s="1"/>
  <c r="D20" i="270" s="1"/>
  <c r="X12" i="270"/>
  <c r="W12" i="270"/>
  <c r="K18" i="270" s="1"/>
  <c r="K19" i="270" s="1"/>
  <c r="K20" i="270" s="1"/>
  <c r="U12" i="270"/>
  <c r="I18" i="270" s="1"/>
  <c r="I19" i="270" s="1"/>
  <c r="I20" i="270" s="1"/>
  <c r="S12" i="270"/>
  <c r="Q12" i="270"/>
  <c r="P12" i="270"/>
  <c r="O12" i="270"/>
  <c r="N18" i="270" s="1"/>
  <c r="N19" i="270" s="1"/>
  <c r="N20" i="270" s="1"/>
  <c r="M12" i="270"/>
  <c r="M18" i="270" s="1"/>
  <c r="M19" i="270" s="1"/>
  <c r="M20" i="270" s="1"/>
  <c r="K12" i="270"/>
  <c r="G18" i="270" s="1"/>
  <c r="G19" i="270" s="1"/>
  <c r="G20" i="270" s="1"/>
  <c r="I12" i="270"/>
  <c r="F18" i="270" s="1"/>
  <c r="F19" i="270" s="1"/>
  <c r="F20" i="270" s="1"/>
  <c r="G12" i="270"/>
  <c r="E18" i="270" s="1"/>
  <c r="E19" i="270" s="1"/>
  <c r="E20" i="270" s="1"/>
  <c r="E12" i="270"/>
  <c r="C12" i="270"/>
  <c r="B18" i="270" s="1"/>
  <c r="B19" i="270" s="1"/>
  <c r="B20" i="270" s="1"/>
  <c r="X11" i="270"/>
  <c r="V11" i="270"/>
  <c r="T11" i="270"/>
  <c r="R11" i="270"/>
  <c r="P11" i="270"/>
  <c r="N11" i="270"/>
  <c r="L11" i="270"/>
  <c r="J11" i="270"/>
  <c r="H11" i="270"/>
  <c r="F11" i="270"/>
  <c r="D11" i="270"/>
  <c r="Y11" i="270" s="1"/>
  <c r="X10" i="270"/>
  <c r="V10" i="270"/>
  <c r="T10" i="270"/>
  <c r="R10" i="270"/>
  <c r="P10" i="270"/>
  <c r="N10" i="270"/>
  <c r="L10" i="270"/>
  <c r="J10" i="270"/>
  <c r="H10" i="270"/>
  <c r="F10" i="270"/>
  <c r="D10" i="270"/>
  <c r="Y10" i="270" s="1"/>
  <c r="X9" i="270"/>
  <c r="V9" i="270"/>
  <c r="T9" i="270"/>
  <c r="R9" i="270"/>
  <c r="P9" i="270"/>
  <c r="N9" i="270"/>
  <c r="L9" i="270"/>
  <c r="J9" i="270"/>
  <c r="H9" i="270"/>
  <c r="F9" i="270"/>
  <c r="D9" i="270"/>
  <c r="Y9" i="270" s="1"/>
  <c r="X8" i="270"/>
  <c r="V8" i="270"/>
  <c r="T8" i="270"/>
  <c r="R8" i="270"/>
  <c r="P8" i="270"/>
  <c r="N8" i="270"/>
  <c r="L8" i="270"/>
  <c r="J8" i="270"/>
  <c r="H8" i="270"/>
  <c r="F8" i="270"/>
  <c r="D8" i="270"/>
  <c r="X7" i="270"/>
  <c r="V7" i="270"/>
  <c r="T7" i="270"/>
  <c r="R7" i="270"/>
  <c r="P7" i="270"/>
  <c r="N7" i="270"/>
  <c r="L7" i="270"/>
  <c r="J7" i="270"/>
  <c r="H7" i="270"/>
  <c r="H12" i="270" s="1"/>
  <c r="F7" i="270"/>
  <c r="D7" i="270"/>
  <c r="X6" i="270"/>
  <c r="V6" i="270"/>
  <c r="V12" i="270" s="1"/>
  <c r="T6" i="270"/>
  <c r="T12" i="270" s="1"/>
  <c r="R6" i="270"/>
  <c r="R12" i="270" s="1"/>
  <c r="P6" i="270"/>
  <c r="N6" i="270"/>
  <c r="N12" i="270" s="1"/>
  <c r="L6" i="270"/>
  <c r="J6" i="270"/>
  <c r="J12" i="270" s="1"/>
  <c r="H6" i="270"/>
  <c r="F6" i="270"/>
  <c r="F12" i="270" s="1"/>
  <c r="D6" i="270"/>
  <c r="V25" i="269"/>
  <c r="F22" i="269"/>
  <c r="S19" i="269"/>
  <c r="S20" i="269" s="1"/>
  <c r="Q19" i="269"/>
  <c r="Q20" i="269" s="1"/>
  <c r="P19" i="269"/>
  <c r="P20" i="269" s="1"/>
  <c r="L19" i="269"/>
  <c r="L20" i="269" s="1"/>
  <c r="J19" i="269"/>
  <c r="J20" i="269" s="1"/>
  <c r="H19" i="269"/>
  <c r="H20" i="269" s="1"/>
  <c r="W12" i="269"/>
  <c r="K18" i="269" s="1"/>
  <c r="K19" i="269" s="1"/>
  <c r="K20" i="269" s="1"/>
  <c r="U12" i="269"/>
  <c r="I18" i="269" s="1"/>
  <c r="I19" i="269" s="1"/>
  <c r="I20" i="269" s="1"/>
  <c r="S12" i="269"/>
  <c r="Q12" i="269"/>
  <c r="O18" i="269" s="1"/>
  <c r="O19" i="269" s="1"/>
  <c r="O20" i="269" s="1"/>
  <c r="O12" i="269"/>
  <c r="N18" i="269" s="1"/>
  <c r="N19" i="269" s="1"/>
  <c r="N20" i="269" s="1"/>
  <c r="N12" i="269"/>
  <c r="M12" i="269"/>
  <c r="M18" i="269" s="1"/>
  <c r="M19" i="269" s="1"/>
  <c r="M20" i="269" s="1"/>
  <c r="K12" i="269"/>
  <c r="G18" i="269" s="1"/>
  <c r="G19" i="269" s="1"/>
  <c r="G20" i="269" s="1"/>
  <c r="I12" i="269"/>
  <c r="F18" i="269" s="1"/>
  <c r="F19" i="269" s="1"/>
  <c r="F20" i="269" s="1"/>
  <c r="G12" i="269"/>
  <c r="E18" i="269" s="1"/>
  <c r="E19" i="269" s="1"/>
  <c r="E20" i="269" s="1"/>
  <c r="F12" i="269"/>
  <c r="E12" i="269"/>
  <c r="D18" i="269" s="1"/>
  <c r="D19" i="269" s="1"/>
  <c r="D20" i="269" s="1"/>
  <c r="C12" i="269"/>
  <c r="B18" i="269" s="1"/>
  <c r="B19" i="269" s="1"/>
  <c r="B20" i="269" s="1"/>
  <c r="X11" i="269"/>
  <c r="V11" i="269"/>
  <c r="T11" i="269"/>
  <c r="R11" i="269"/>
  <c r="P11" i="269"/>
  <c r="N11" i="269"/>
  <c r="L11" i="269"/>
  <c r="J11" i="269"/>
  <c r="H11" i="269"/>
  <c r="Y11" i="269" s="1"/>
  <c r="F11" i="269"/>
  <c r="D11" i="269"/>
  <c r="X10" i="269"/>
  <c r="V10" i="269"/>
  <c r="T10" i="269"/>
  <c r="R10" i="269"/>
  <c r="P10" i="269"/>
  <c r="N10" i="269"/>
  <c r="L10" i="269"/>
  <c r="J10" i="269"/>
  <c r="H10" i="269"/>
  <c r="Y10" i="269" s="1"/>
  <c r="F10" i="269"/>
  <c r="D10" i="269"/>
  <c r="X9" i="269"/>
  <c r="V9" i="269"/>
  <c r="T9" i="269"/>
  <c r="R9" i="269"/>
  <c r="P9" i="269"/>
  <c r="N9" i="269"/>
  <c r="L9" i="269"/>
  <c r="J9" i="269"/>
  <c r="H9" i="269"/>
  <c r="F9" i="269"/>
  <c r="D9" i="269"/>
  <c r="X8" i="269"/>
  <c r="V8" i="269"/>
  <c r="T8" i="269"/>
  <c r="R8" i="269"/>
  <c r="P8" i="269"/>
  <c r="N8" i="269"/>
  <c r="L8" i="269"/>
  <c r="J8" i="269"/>
  <c r="H8" i="269"/>
  <c r="F8" i="269"/>
  <c r="D8" i="269"/>
  <c r="X7" i="269"/>
  <c r="V7" i="269"/>
  <c r="T7" i="269"/>
  <c r="R7" i="269"/>
  <c r="P7" i="269"/>
  <c r="N7" i="269"/>
  <c r="L7" i="269"/>
  <c r="J7" i="269"/>
  <c r="H7" i="269"/>
  <c r="F7" i="269"/>
  <c r="D7" i="269"/>
  <c r="X6" i="269"/>
  <c r="X12" i="269" s="1"/>
  <c r="V6" i="269"/>
  <c r="T6" i="269"/>
  <c r="T12" i="269" s="1"/>
  <c r="R6" i="269"/>
  <c r="R12" i="269" s="1"/>
  <c r="P6" i="269"/>
  <c r="P12" i="269" s="1"/>
  <c r="N6" i="269"/>
  <c r="L6" i="269"/>
  <c r="J6" i="269"/>
  <c r="H6" i="269"/>
  <c r="F6" i="269"/>
  <c r="D6" i="269"/>
  <c r="V25" i="268"/>
  <c r="F22" i="268"/>
  <c r="S19" i="268"/>
  <c r="S20" i="268" s="1"/>
  <c r="Q19" i="268"/>
  <c r="Q20" i="268" s="1"/>
  <c r="P19" i="268"/>
  <c r="P20" i="268" s="1"/>
  <c r="L19" i="268"/>
  <c r="L20" i="268" s="1"/>
  <c r="J19" i="268"/>
  <c r="J20" i="268" s="1"/>
  <c r="H19" i="268"/>
  <c r="H20" i="268" s="1"/>
  <c r="K18" i="268"/>
  <c r="K19" i="268" s="1"/>
  <c r="K20" i="268" s="1"/>
  <c r="E18" i="268"/>
  <c r="E19" i="268" s="1"/>
  <c r="E20" i="268" s="1"/>
  <c r="W12" i="268"/>
  <c r="U12" i="268"/>
  <c r="I18" i="268" s="1"/>
  <c r="I19" i="268" s="1"/>
  <c r="I20" i="268" s="1"/>
  <c r="T12" i="268"/>
  <c r="S12" i="268"/>
  <c r="Q12" i="268"/>
  <c r="O18" i="268" s="1"/>
  <c r="O19" i="268" s="1"/>
  <c r="O20" i="268" s="1"/>
  <c r="O12" i="268"/>
  <c r="N18" i="268" s="1"/>
  <c r="N19" i="268" s="1"/>
  <c r="N20" i="268" s="1"/>
  <c r="M12" i="268"/>
  <c r="M18" i="268" s="1"/>
  <c r="M19" i="268" s="1"/>
  <c r="M20" i="268" s="1"/>
  <c r="K12" i="268"/>
  <c r="G18" i="268" s="1"/>
  <c r="G19" i="268" s="1"/>
  <c r="G20" i="268" s="1"/>
  <c r="I12" i="268"/>
  <c r="F18" i="268" s="1"/>
  <c r="F19" i="268" s="1"/>
  <c r="F20" i="268" s="1"/>
  <c r="G12" i="268"/>
  <c r="E12" i="268"/>
  <c r="D18" i="268" s="1"/>
  <c r="D19" i="268" s="1"/>
  <c r="D20" i="268" s="1"/>
  <c r="C12" i="268"/>
  <c r="B18" i="268" s="1"/>
  <c r="B19" i="268" s="1"/>
  <c r="B20" i="268" s="1"/>
  <c r="X11" i="268"/>
  <c r="V11" i="268"/>
  <c r="T11" i="268"/>
  <c r="R11" i="268"/>
  <c r="P11" i="268"/>
  <c r="N11" i="268"/>
  <c r="L11" i="268"/>
  <c r="J11" i="268"/>
  <c r="H11" i="268"/>
  <c r="F11" i="268"/>
  <c r="D11" i="268"/>
  <c r="X10" i="268"/>
  <c r="V10" i="268"/>
  <c r="T10" i="268"/>
  <c r="R10" i="268"/>
  <c r="P10" i="268"/>
  <c r="N10" i="268"/>
  <c r="L10" i="268"/>
  <c r="J10" i="268"/>
  <c r="H10" i="268"/>
  <c r="F10" i="268"/>
  <c r="D10" i="268"/>
  <c r="X9" i="268"/>
  <c r="V9" i="268"/>
  <c r="T9" i="268"/>
  <c r="R9" i="268"/>
  <c r="P9" i="268"/>
  <c r="N9" i="268"/>
  <c r="L9" i="268"/>
  <c r="J9" i="268"/>
  <c r="H9" i="268"/>
  <c r="F9" i="268"/>
  <c r="D9" i="268"/>
  <c r="X8" i="268"/>
  <c r="V8" i="268"/>
  <c r="T8" i="268"/>
  <c r="R8" i="268"/>
  <c r="P8" i="268"/>
  <c r="N8" i="268"/>
  <c r="L8" i="268"/>
  <c r="J8" i="268"/>
  <c r="H8" i="268"/>
  <c r="F8" i="268"/>
  <c r="D8" i="268"/>
  <c r="X7" i="268"/>
  <c r="V7" i="268"/>
  <c r="T7" i="268"/>
  <c r="R7" i="268"/>
  <c r="P7" i="268"/>
  <c r="N7" i="268"/>
  <c r="L7" i="268"/>
  <c r="J7" i="268"/>
  <c r="H7" i="268"/>
  <c r="F7" i="268"/>
  <c r="D7" i="268"/>
  <c r="X6" i="268"/>
  <c r="X12" i="268" s="1"/>
  <c r="V6" i="268"/>
  <c r="T6" i="268"/>
  <c r="R6" i="268"/>
  <c r="R12" i="268" s="1"/>
  <c r="P6" i="268"/>
  <c r="P12" i="268" s="1"/>
  <c r="N6" i="268"/>
  <c r="N12" i="268" s="1"/>
  <c r="L6" i="268"/>
  <c r="J6" i="268"/>
  <c r="H6" i="268"/>
  <c r="F6" i="268"/>
  <c r="F12" i="268" s="1"/>
  <c r="D6" i="268"/>
  <c r="L12" i="270" l="1"/>
  <c r="Y6" i="270"/>
  <c r="Y8" i="270"/>
  <c r="Y7" i="270"/>
  <c r="B21" i="270"/>
  <c r="D12" i="270"/>
  <c r="Y12" i="270" s="1"/>
  <c r="V16" i="270" s="1"/>
  <c r="V24" i="270" s="1"/>
  <c r="H12" i="269"/>
  <c r="V12" i="269"/>
  <c r="Y9" i="269"/>
  <c r="L12" i="269"/>
  <c r="J12" i="269"/>
  <c r="D12" i="269"/>
  <c r="Y8" i="269"/>
  <c r="Y7" i="269"/>
  <c r="B21" i="269"/>
  <c r="Y6" i="269"/>
  <c r="Y10" i="268"/>
  <c r="Y11" i="268"/>
  <c r="L12" i="268"/>
  <c r="V12" i="268"/>
  <c r="D12" i="268"/>
  <c r="Y9" i="268"/>
  <c r="J12" i="268"/>
  <c r="H12" i="268"/>
  <c r="Y8" i="268"/>
  <c r="Y7" i="268"/>
  <c r="B21" i="268"/>
  <c r="Y6" i="268"/>
  <c r="V25" i="267"/>
  <c r="F22" i="267"/>
  <c r="S19" i="267"/>
  <c r="S20" i="267" s="1"/>
  <c r="Q19" i="267"/>
  <c r="Q20" i="267" s="1"/>
  <c r="P19" i="267"/>
  <c r="P20" i="267" s="1"/>
  <c r="L19" i="267"/>
  <c r="L20" i="267" s="1"/>
  <c r="J19" i="267"/>
  <c r="J20" i="267" s="1"/>
  <c r="I19" i="267"/>
  <c r="I20" i="267" s="1"/>
  <c r="H19" i="267"/>
  <c r="H20" i="267" s="1"/>
  <c r="O18" i="267"/>
  <c r="O19" i="267" s="1"/>
  <c r="O20" i="267" s="1"/>
  <c r="I18" i="267"/>
  <c r="X12" i="267"/>
  <c r="W12" i="267"/>
  <c r="K18" i="267" s="1"/>
  <c r="K19" i="267" s="1"/>
  <c r="K20" i="267" s="1"/>
  <c r="U12" i="267"/>
  <c r="S12" i="267"/>
  <c r="Q12" i="267"/>
  <c r="P12" i="267"/>
  <c r="O12" i="267"/>
  <c r="N18" i="267" s="1"/>
  <c r="N19" i="267" s="1"/>
  <c r="N20" i="267" s="1"/>
  <c r="M12" i="267"/>
  <c r="M18" i="267" s="1"/>
  <c r="M19" i="267" s="1"/>
  <c r="M20" i="267" s="1"/>
  <c r="K12" i="267"/>
  <c r="G18" i="267" s="1"/>
  <c r="G19" i="267" s="1"/>
  <c r="G20" i="267" s="1"/>
  <c r="I12" i="267"/>
  <c r="F18" i="267" s="1"/>
  <c r="F19" i="267" s="1"/>
  <c r="F20" i="267" s="1"/>
  <c r="G12" i="267"/>
  <c r="E18" i="267" s="1"/>
  <c r="E19" i="267" s="1"/>
  <c r="E20" i="267" s="1"/>
  <c r="E12" i="267"/>
  <c r="D18" i="267" s="1"/>
  <c r="D19" i="267" s="1"/>
  <c r="D20" i="267" s="1"/>
  <c r="C12" i="267"/>
  <c r="B18" i="267" s="1"/>
  <c r="B19" i="267" s="1"/>
  <c r="B20" i="267" s="1"/>
  <c r="X11" i="267"/>
  <c r="V11" i="267"/>
  <c r="T11" i="267"/>
  <c r="R11" i="267"/>
  <c r="P11" i="267"/>
  <c r="N11" i="267"/>
  <c r="L11" i="267"/>
  <c r="J11" i="267"/>
  <c r="H11" i="267"/>
  <c r="F11" i="267"/>
  <c r="D11" i="267"/>
  <c r="Y11" i="267" s="1"/>
  <c r="X10" i="267"/>
  <c r="V10" i="267"/>
  <c r="T10" i="267"/>
  <c r="R10" i="267"/>
  <c r="P10" i="267"/>
  <c r="N10" i="267"/>
  <c r="L10" i="267"/>
  <c r="J10" i="267"/>
  <c r="H10" i="267"/>
  <c r="F10" i="267"/>
  <c r="D10" i="267"/>
  <c r="Y10" i="267" s="1"/>
  <c r="X9" i="267"/>
  <c r="V9" i="267"/>
  <c r="T9" i="267"/>
  <c r="R9" i="267"/>
  <c r="P9" i="267"/>
  <c r="N9" i="267"/>
  <c r="L9" i="267"/>
  <c r="J9" i="267"/>
  <c r="H9" i="267"/>
  <c r="F9" i="267"/>
  <c r="D9" i="267"/>
  <c r="X8" i="267"/>
  <c r="V8" i="267"/>
  <c r="T8" i="267"/>
  <c r="R8" i="267"/>
  <c r="P8" i="267"/>
  <c r="N8" i="267"/>
  <c r="L8" i="267"/>
  <c r="J8" i="267"/>
  <c r="H8" i="267"/>
  <c r="F8" i="267"/>
  <c r="D8" i="267"/>
  <c r="X7" i="267"/>
  <c r="V7" i="267"/>
  <c r="T7" i="267"/>
  <c r="R7" i="267"/>
  <c r="P7" i="267"/>
  <c r="N7" i="267"/>
  <c r="L7" i="267"/>
  <c r="J7" i="267"/>
  <c r="H7" i="267"/>
  <c r="F7" i="267"/>
  <c r="D7" i="267"/>
  <c r="X6" i="267"/>
  <c r="V6" i="267"/>
  <c r="V12" i="267" s="1"/>
  <c r="T6" i="267"/>
  <c r="T12" i="267" s="1"/>
  <c r="R6" i="267"/>
  <c r="R12" i="267" s="1"/>
  <c r="P6" i="267"/>
  <c r="N6" i="267"/>
  <c r="N12" i="267" s="1"/>
  <c r="L6" i="267"/>
  <c r="J6" i="267"/>
  <c r="H6" i="267"/>
  <c r="F6" i="267"/>
  <c r="F12" i="267" s="1"/>
  <c r="D6" i="267"/>
  <c r="Y12" i="269" l="1"/>
  <c r="V16" i="269" s="1"/>
  <c r="V24" i="269" s="1"/>
  <c r="Y12" i="268"/>
  <c r="V16" i="268" s="1"/>
  <c r="V24" i="268" s="1"/>
  <c r="J12" i="267"/>
  <c r="H12" i="267"/>
  <c r="L12" i="267"/>
  <c r="Y6" i="267"/>
  <c r="Y9" i="267"/>
  <c r="Y8" i="267"/>
  <c r="Y7" i="267"/>
  <c r="B21" i="267"/>
  <c r="D12" i="267"/>
  <c r="Y12" i="267" s="1"/>
  <c r="V16" i="267" s="1"/>
  <c r="V24" i="267" s="1"/>
  <c r="V25" i="266"/>
  <c r="F22" i="266"/>
  <c r="S19" i="266"/>
  <c r="S20" i="266" s="1"/>
  <c r="Q19" i="266"/>
  <c r="Q20" i="266" s="1"/>
  <c r="P19" i="266"/>
  <c r="P20" i="266" s="1"/>
  <c r="L19" i="266"/>
  <c r="L20" i="266" s="1"/>
  <c r="J19" i="266"/>
  <c r="J20" i="266" s="1"/>
  <c r="H19" i="266"/>
  <c r="H20" i="266" s="1"/>
  <c r="O18" i="266"/>
  <c r="O19" i="266" s="1"/>
  <c r="O20" i="266" s="1"/>
  <c r="K18" i="266"/>
  <c r="K19" i="266" s="1"/>
  <c r="K20" i="266" s="1"/>
  <c r="X12" i="266"/>
  <c r="W12" i="266"/>
  <c r="U12" i="266"/>
  <c r="I18" i="266" s="1"/>
  <c r="I19" i="266" s="1"/>
  <c r="I20" i="266" s="1"/>
  <c r="T12" i="266"/>
  <c r="S12" i="266"/>
  <c r="Q12" i="266"/>
  <c r="P12" i="266"/>
  <c r="O12" i="266"/>
  <c r="N18" i="266" s="1"/>
  <c r="N19" i="266" s="1"/>
  <c r="N20" i="266" s="1"/>
  <c r="M12" i="266"/>
  <c r="M18" i="266" s="1"/>
  <c r="M19" i="266" s="1"/>
  <c r="M20" i="266" s="1"/>
  <c r="K12" i="266"/>
  <c r="G18" i="266" s="1"/>
  <c r="G19" i="266" s="1"/>
  <c r="G20" i="266" s="1"/>
  <c r="I12" i="266"/>
  <c r="F18" i="266" s="1"/>
  <c r="F19" i="266" s="1"/>
  <c r="F20" i="266" s="1"/>
  <c r="G12" i="266"/>
  <c r="E18" i="266" s="1"/>
  <c r="E19" i="266" s="1"/>
  <c r="E20" i="266" s="1"/>
  <c r="E12" i="266"/>
  <c r="D18" i="266" s="1"/>
  <c r="D19" i="266" s="1"/>
  <c r="D20" i="266" s="1"/>
  <c r="C12" i="266"/>
  <c r="B18" i="266" s="1"/>
  <c r="B19" i="266" s="1"/>
  <c r="B20" i="266" s="1"/>
  <c r="X11" i="266"/>
  <c r="V11" i="266"/>
  <c r="T11" i="266"/>
  <c r="R11" i="266"/>
  <c r="P11" i="266"/>
  <c r="N11" i="266"/>
  <c r="L11" i="266"/>
  <c r="J11" i="266"/>
  <c r="H11" i="266"/>
  <c r="F11" i="266"/>
  <c r="D11" i="266"/>
  <c r="Y11" i="266" s="1"/>
  <c r="X10" i="266"/>
  <c r="V10" i="266"/>
  <c r="T10" i="266"/>
  <c r="R10" i="266"/>
  <c r="P10" i="266"/>
  <c r="N10" i="266"/>
  <c r="L10" i="266"/>
  <c r="J10" i="266"/>
  <c r="H10" i="266"/>
  <c r="F10" i="266"/>
  <c r="D10" i="266"/>
  <c r="Y10" i="266" s="1"/>
  <c r="X9" i="266"/>
  <c r="V9" i="266"/>
  <c r="T9" i="266"/>
  <c r="R9" i="266"/>
  <c r="P9" i="266"/>
  <c r="N9" i="266"/>
  <c r="L9" i="266"/>
  <c r="J9" i="266"/>
  <c r="H9" i="266"/>
  <c r="F9" i="266"/>
  <c r="D9" i="266"/>
  <c r="X8" i="266"/>
  <c r="V8" i="266"/>
  <c r="T8" i="266"/>
  <c r="R8" i="266"/>
  <c r="P8" i="266"/>
  <c r="N8" i="266"/>
  <c r="L8" i="266"/>
  <c r="L12" i="266" s="1"/>
  <c r="J8" i="266"/>
  <c r="H8" i="266"/>
  <c r="F8" i="266"/>
  <c r="D8" i="266"/>
  <c r="X7" i="266"/>
  <c r="V7" i="266"/>
  <c r="T7" i="266"/>
  <c r="R7" i="266"/>
  <c r="P7" i="266"/>
  <c r="N7" i="266"/>
  <c r="L7" i="266"/>
  <c r="J7" i="266"/>
  <c r="H7" i="266"/>
  <c r="F7" i="266"/>
  <c r="D7" i="266"/>
  <c r="X6" i="266"/>
  <c r="V6" i="266"/>
  <c r="T6" i="266"/>
  <c r="R6" i="266"/>
  <c r="R12" i="266" s="1"/>
  <c r="P6" i="266"/>
  <c r="N6" i="266"/>
  <c r="N12" i="266" s="1"/>
  <c r="L6" i="266"/>
  <c r="J6" i="266"/>
  <c r="H6" i="266"/>
  <c r="F6" i="266"/>
  <c r="F12" i="266" s="1"/>
  <c r="D6" i="266"/>
  <c r="V25" i="265"/>
  <c r="F22" i="265"/>
  <c r="S19" i="265"/>
  <c r="S20" i="265" s="1"/>
  <c r="Q19" i="265"/>
  <c r="Q20" i="265" s="1"/>
  <c r="P19" i="265"/>
  <c r="P20" i="265" s="1"/>
  <c r="L19" i="265"/>
  <c r="L20" i="265" s="1"/>
  <c r="J19" i="265"/>
  <c r="J20" i="265" s="1"/>
  <c r="H19" i="265"/>
  <c r="H20" i="265" s="1"/>
  <c r="K18" i="265"/>
  <c r="K19" i="265" s="1"/>
  <c r="K20" i="265" s="1"/>
  <c r="W12" i="265"/>
  <c r="U12" i="265"/>
  <c r="I18" i="265" s="1"/>
  <c r="I19" i="265" s="1"/>
  <c r="I20" i="265" s="1"/>
  <c r="S12" i="265"/>
  <c r="Q12" i="265"/>
  <c r="O18" i="265" s="1"/>
  <c r="O19" i="265" s="1"/>
  <c r="O20" i="265" s="1"/>
  <c r="O12" i="265"/>
  <c r="N18" i="265" s="1"/>
  <c r="N19" i="265" s="1"/>
  <c r="N20" i="265" s="1"/>
  <c r="M12" i="265"/>
  <c r="M18" i="265" s="1"/>
  <c r="M19" i="265" s="1"/>
  <c r="M20" i="265" s="1"/>
  <c r="K12" i="265"/>
  <c r="G18" i="265" s="1"/>
  <c r="G19" i="265" s="1"/>
  <c r="G20" i="265" s="1"/>
  <c r="I12" i="265"/>
  <c r="F18" i="265" s="1"/>
  <c r="F19" i="265" s="1"/>
  <c r="F20" i="265" s="1"/>
  <c r="G12" i="265"/>
  <c r="E18" i="265" s="1"/>
  <c r="E19" i="265" s="1"/>
  <c r="E20" i="265" s="1"/>
  <c r="E12" i="265"/>
  <c r="D18" i="265" s="1"/>
  <c r="D19" i="265" s="1"/>
  <c r="D20" i="265" s="1"/>
  <c r="C12" i="265"/>
  <c r="B18" i="265" s="1"/>
  <c r="B19" i="265" s="1"/>
  <c r="B20" i="265" s="1"/>
  <c r="X11" i="265"/>
  <c r="V11" i="265"/>
  <c r="T11" i="265"/>
  <c r="R11" i="265"/>
  <c r="P11" i="265"/>
  <c r="N11" i="265"/>
  <c r="L11" i="265"/>
  <c r="J11" i="265"/>
  <c r="H11" i="265"/>
  <c r="F11" i="265"/>
  <c r="D11" i="265"/>
  <c r="Y11" i="265" s="1"/>
  <c r="X10" i="265"/>
  <c r="V10" i="265"/>
  <c r="T10" i="265"/>
  <c r="R10" i="265"/>
  <c r="P10" i="265"/>
  <c r="N10" i="265"/>
  <c r="L10" i="265"/>
  <c r="J10" i="265"/>
  <c r="H10" i="265"/>
  <c r="F10" i="265"/>
  <c r="Y10" i="265" s="1"/>
  <c r="D10" i="265"/>
  <c r="X9" i="265"/>
  <c r="V9" i="265"/>
  <c r="T9" i="265"/>
  <c r="R9" i="265"/>
  <c r="P9" i="265"/>
  <c r="N9" i="265"/>
  <c r="L9" i="265"/>
  <c r="J9" i="265"/>
  <c r="H9" i="265"/>
  <c r="F9" i="265"/>
  <c r="D9" i="265"/>
  <c r="Y9" i="265" s="1"/>
  <c r="X8" i="265"/>
  <c r="V8" i="265"/>
  <c r="T8" i="265"/>
  <c r="R8" i="265"/>
  <c r="P8" i="265"/>
  <c r="N8" i="265"/>
  <c r="L8" i="265"/>
  <c r="J8" i="265"/>
  <c r="H8" i="265"/>
  <c r="F8" i="265"/>
  <c r="D8" i="265"/>
  <c r="X7" i="265"/>
  <c r="V7" i="265"/>
  <c r="T7" i="265"/>
  <c r="R7" i="265"/>
  <c r="P7" i="265"/>
  <c r="N7" i="265"/>
  <c r="L7" i="265"/>
  <c r="J7" i="265"/>
  <c r="H7" i="265"/>
  <c r="F7" i="265"/>
  <c r="D7" i="265"/>
  <c r="X6" i="265"/>
  <c r="X12" i="265" s="1"/>
  <c r="V6" i="265"/>
  <c r="T6" i="265"/>
  <c r="T12" i="265" s="1"/>
  <c r="R6" i="265"/>
  <c r="R12" i="265" s="1"/>
  <c r="P6" i="265"/>
  <c r="P12" i="265" s="1"/>
  <c r="N6" i="265"/>
  <c r="N12" i="265" s="1"/>
  <c r="L6" i="265"/>
  <c r="L12" i="265" s="1"/>
  <c r="J6" i="265"/>
  <c r="H6" i="265"/>
  <c r="F6" i="265"/>
  <c r="F12" i="265" s="1"/>
  <c r="D6" i="265"/>
  <c r="V25" i="264"/>
  <c r="F22" i="264"/>
  <c r="S19" i="264"/>
  <c r="S20" i="264" s="1"/>
  <c r="Q19" i="264"/>
  <c r="Q20" i="264" s="1"/>
  <c r="P19" i="264"/>
  <c r="P20" i="264" s="1"/>
  <c r="L19" i="264"/>
  <c r="L20" i="264" s="1"/>
  <c r="J19" i="264"/>
  <c r="J20" i="264" s="1"/>
  <c r="H19" i="264"/>
  <c r="H20" i="264" s="1"/>
  <c r="O18" i="264"/>
  <c r="O19" i="264" s="1"/>
  <c r="O20" i="264" s="1"/>
  <c r="D18" i="264"/>
  <c r="D19" i="264" s="1"/>
  <c r="D20" i="264" s="1"/>
  <c r="X12" i="264"/>
  <c r="W12" i="264"/>
  <c r="K18" i="264" s="1"/>
  <c r="K19" i="264" s="1"/>
  <c r="K20" i="264" s="1"/>
  <c r="U12" i="264"/>
  <c r="I18" i="264" s="1"/>
  <c r="I19" i="264" s="1"/>
  <c r="I20" i="264" s="1"/>
  <c r="T12" i="264"/>
  <c r="S12" i="264"/>
  <c r="Q12" i="264"/>
  <c r="O12" i="264"/>
  <c r="N18" i="264" s="1"/>
  <c r="N19" i="264" s="1"/>
  <c r="N20" i="264" s="1"/>
  <c r="M12" i="264"/>
  <c r="M18" i="264" s="1"/>
  <c r="M19" i="264" s="1"/>
  <c r="M20" i="264" s="1"/>
  <c r="L12" i="264"/>
  <c r="K12" i="264"/>
  <c r="G18" i="264" s="1"/>
  <c r="G19" i="264" s="1"/>
  <c r="G20" i="264" s="1"/>
  <c r="I12" i="264"/>
  <c r="F18" i="264" s="1"/>
  <c r="F19" i="264" s="1"/>
  <c r="F20" i="264" s="1"/>
  <c r="G12" i="264"/>
  <c r="E18" i="264" s="1"/>
  <c r="E19" i="264" s="1"/>
  <c r="E20" i="264" s="1"/>
  <c r="E12" i="264"/>
  <c r="C12" i="264"/>
  <c r="B18" i="264" s="1"/>
  <c r="B19" i="264" s="1"/>
  <c r="B20" i="264" s="1"/>
  <c r="X11" i="264"/>
  <c r="V11" i="264"/>
  <c r="T11" i="264"/>
  <c r="R11" i="264"/>
  <c r="P11" i="264"/>
  <c r="N11" i="264"/>
  <c r="L11" i="264"/>
  <c r="J11" i="264"/>
  <c r="H11" i="264"/>
  <c r="F11" i="264"/>
  <c r="D11" i="264"/>
  <c r="Y11" i="264" s="1"/>
  <c r="X10" i="264"/>
  <c r="V10" i="264"/>
  <c r="T10" i="264"/>
  <c r="R10" i="264"/>
  <c r="P10" i="264"/>
  <c r="N10" i="264"/>
  <c r="L10" i="264"/>
  <c r="J10" i="264"/>
  <c r="H10" i="264"/>
  <c r="F10" i="264"/>
  <c r="D10" i="264"/>
  <c r="Y10" i="264" s="1"/>
  <c r="X9" i="264"/>
  <c r="V9" i="264"/>
  <c r="T9" i="264"/>
  <c r="R9" i="264"/>
  <c r="P9" i="264"/>
  <c r="N9" i="264"/>
  <c r="L9" i="264"/>
  <c r="J9" i="264"/>
  <c r="H9" i="264"/>
  <c r="F9" i="264"/>
  <c r="D9" i="264"/>
  <c r="X8" i="264"/>
  <c r="V8" i="264"/>
  <c r="T8" i="264"/>
  <c r="R8" i="264"/>
  <c r="P8" i="264"/>
  <c r="N8" i="264"/>
  <c r="L8" i="264"/>
  <c r="J8" i="264"/>
  <c r="H8" i="264"/>
  <c r="F8" i="264"/>
  <c r="D8" i="264"/>
  <c r="X7" i="264"/>
  <c r="V7" i="264"/>
  <c r="T7" i="264"/>
  <c r="R7" i="264"/>
  <c r="P7" i="264"/>
  <c r="N7" i="264"/>
  <c r="L7" i="264"/>
  <c r="J7" i="264"/>
  <c r="H7" i="264"/>
  <c r="F7" i="264"/>
  <c r="D7" i="264"/>
  <c r="X6" i="264"/>
  <c r="V6" i="264"/>
  <c r="V12" i="264" s="1"/>
  <c r="T6" i="264"/>
  <c r="R6" i="264"/>
  <c r="R12" i="264" s="1"/>
  <c r="P6" i="264"/>
  <c r="P12" i="264" s="1"/>
  <c r="N6" i="264"/>
  <c r="N12" i="264" s="1"/>
  <c r="L6" i="264"/>
  <c r="J6" i="264"/>
  <c r="H6" i="264"/>
  <c r="F6" i="264"/>
  <c r="F12" i="264" s="1"/>
  <c r="D6" i="264"/>
  <c r="V25" i="263"/>
  <c r="F22" i="263"/>
  <c r="S19" i="263"/>
  <c r="S20" i="263" s="1"/>
  <c r="Q19" i="263"/>
  <c r="Q20" i="263" s="1"/>
  <c r="P19" i="263"/>
  <c r="P20" i="263" s="1"/>
  <c r="L19" i="263"/>
  <c r="L20" i="263" s="1"/>
  <c r="J19" i="263"/>
  <c r="J20" i="263" s="1"/>
  <c r="H19" i="263"/>
  <c r="H20" i="263" s="1"/>
  <c r="W12" i="263"/>
  <c r="K18" i="263" s="1"/>
  <c r="K19" i="263" s="1"/>
  <c r="K20" i="263" s="1"/>
  <c r="U12" i="263"/>
  <c r="I18" i="263" s="1"/>
  <c r="I19" i="263" s="1"/>
  <c r="I20" i="263" s="1"/>
  <c r="S12" i="263"/>
  <c r="Q12" i="263"/>
  <c r="O18" i="263" s="1"/>
  <c r="O19" i="263" s="1"/>
  <c r="O20" i="263" s="1"/>
  <c r="O12" i="263"/>
  <c r="N18" i="263" s="1"/>
  <c r="N19" i="263" s="1"/>
  <c r="N20" i="263" s="1"/>
  <c r="M12" i="263"/>
  <c r="M18" i="263" s="1"/>
  <c r="M19" i="263" s="1"/>
  <c r="M20" i="263" s="1"/>
  <c r="K12" i="263"/>
  <c r="G18" i="263" s="1"/>
  <c r="G19" i="263" s="1"/>
  <c r="G20" i="263" s="1"/>
  <c r="I12" i="263"/>
  <c r="F18" i="263" s="1"/>
  <c r="F19" i="263" s="1"/>
  <c r="F20" i="263" s="1"/>
  <c r="G12" i="263"/>
  <c r="E18" i="263" s="1"/>
  <c r="E19" i="263" s="1"/>
  <c r="E20" i="263" s="1"/>
  <c r="E12" i="263"/>
  <c r="D18" i="263" s="1"/>
  <c r="D19" i="263" s="1"/>
  <c r="D20" i="263" s="1"/>
  <c r="C12" i="263"/>
  <c r="B18" i="263" s="1"/>
  <c r="B19" i="263" s="1"/>
  <c r="B20" i="263" s="1"/>
  <c r="X11" i="263"/>
  <c r="V11" i="263"/>
  <c r="T11" i="263"/>
  <c r="R11" i="263"/>
  <c r="P11" i="263"/>
  <c r="N11" i="263"/>
  <c r="L11" i="263"/>
  <c r="J11" i="263"/>
  <c r="H11" i="263"/>
  <c r="F11" i="263"/>
  <c r="D11" i="263"/>
  <c r="Y11" i="263" s="1"/>
  <c r="X10" i="263"/>
  <c r="V10" i="263"/>
  <c r="T10" i="263"/>
  <c r="R10" i="263"/>
  <c r="P10" i="263"/>
  <c r="N10" i="263"/>
  <c r="L10" i="263"/>
  <c r="J10" i="263"/>
  <c r="H10" i="263"/>
  <c r="F10" i="263"/>
  <c r="D10" i="263"/>
  <c r="Y10" i="263" s="1"/>
  <c r="X9" i="263"/>
  <c r="V9" i="263"/>
  <c r="T9" i="263"/>
  <c r="R9" i="263"/>
  <c r="P9" i="263"/>
  <c r="N9" i="263"/>
  <c r="L9" i="263"/>
  <c r="J9" i="263"/>
  <c r="H9" i="263"/>
  <c r="F9" i="263"/>
  <c r="D9" i="263"/>
  <c r="X8" i="263"/>
  <c r="V8" i="263"/>
  <c r="T8" i="263"/>
  <c r="R8" i="263"/>
  <c r="P8" i="263"/>
  <c r="N8" i="263"/>
  <c r="L8" i="263"/>
  <c r="J8" i="263"/>
  <c r="H8" i="263"/>
  <c r="F8" i="263"/>
  <c r="D8" i="263"/>
  <c r="X7" i="263"/>
  <c r="V7" i="263"/>
  <c r="T7" i="263"/>
  <c r="R7" i="263"/>
  <c r="P7" i="263"/>
  <c r="N7" i="263"/>
  <c r="L7" i="263"/>
  <c r="J7" i="263"/>
  <c r="H7" i="263"/>
  <c r="F7" i="263"/>
  <c r="D7" i="263"/>
  <c r="X6" i="263"/>
  <c r="V6" i="263"/>
  <c r="T6" i="263"/>
  <c r="T12" i="263" s="1"/>
  <c r="R6" i="263"/>
  <c r="R12" i="263" s="1"/>
  <c r="P6" i="263"/>
  <c r="P12" i="263" s="1"/>
  <c r="N6" i="263"/>
  <c r="N12" i="263" s="1"/>
  <c r="L6" i="263"/>
  <c r="L12" i="263" s="1"/>
  <c r="J6" i="263"/>
  <c r="H6" i="263"/>
  <c r="F6" i="263"/>
  <c r="D6" i="263"/>
  <c r="V25" i="262"/>
  <c r="F22" i="262"/>
  <c r="S19" i="262"/>
  <c r="S20" i="262" s="1"/>
  <c r="Q19" i="262"/>
  <c r="Q20" i="262" s="1"/>
  <c r="P19" i="262"/>
  <c r="P20" i="262" s="1"/>
  <c r="L19" i="262"/>
  <c r="L20" i="262" s="1"/>
  <c r="J19" i="262"/>
  <c r="J20" i="262" s="1"/>
  <c r="H19" i="262"/>
  <c r="H20" i="262" s="1"/>
  <c r="O18" i="262"/>
  <c r="O19" i="262" s="1"/>
  <c r="O20" i="262" s="1"/>
  <c r="K18" i="262"/>
  <c r="K19" i="262" s="1"/>
  <c r="K20" i="262" s="1"/>
  <c r="E18" i="262"/>
  <c r="E19" i="262" s="1"/>
  <c r="E20" i="262" s="1"/>
  <c r="D18" i="262"/>
  <c r="D19" i="262" s="1"/>
  <c r="D20" i="262" s="1"/>
  <c r="X12" i="262"/>
  <c r="W12" i="262"/>
  <c r="U12" i="262"/>
  <c r="I18" i="262" s="1"/>
  <c r="I19" i="262" s="1"/>
  <c r="I20" i="262" s="1"/>
  <c r="T12" i="262"/>
  <c r="S12" i="262"/>
  <c r="Q12" i="262"/>
  <c r="O12" i="262"/>
  <c r="N18" i="262" s="1"/>
  <c r="N19" i="262" s="1"/>
  <c r="N20" i="262" s="1"/>
  <c r="M12" i="262"/>
  <c r="M18" i="262" s="1"/>
  <c r="M19" i="262" s="1"/>
  <c r="M20" i="262" s="1"/>
  <c r="L12" i="262"/>
  <c r="K12" i="262"/>
  <c r="G18" i="262" s="1"/>
  <c r="G19" i="262" s="1"/>
  <c r="G20" i="262" s="1"/>
  <c r="I12" i="262"/>
  <c r="F18" i="262" s="1"/>
  <c r="F19" i="262" s="1"/>
  <c r="F20" i="262" s="1"/>
  <c r="G12" i="262"/>
  <c r="E12" i="262"/>
  <c r="C12" i="262"/>
  <c r="B18" i="262" s="1"/>
  <c r="B19" i="262" s="1"/>
  <c r="B20" i="262" s="1"/>
  <c r="X11" i="262"/>
  <c r="V11" i="262"/>
  <c r="T11" i="262"/>
  <c r="R11" i="262"/>
  <c r="P11" i="262"/>
  <c r="N11" i="262"/>
  <c r="L11" i="262"/>
  <c r="J11" i="262"/>
  <c r="H11" i="262"/>
  <c r="F11" i="262"/>
  <c r="D11" i="262"/>
  <c r="Y11" i="262" s="1"/>
  <c r="X10" i="262"/>
  <c r="V10" i="262"/>
  <c r="T10" i="262"/>
  <c r="R10" i="262"/>
  <c r="P10" i="262"/>
  <c r="N10" i="262"/>
  <c r="L10" i="262"/>
  <c r="J10" i="262"/>
  <c r="H10" i="262"/>
  <c r="F10" i="262"/>
  <c r="D10" i="262"/>
  <c r="Y10" i="262" s="1"/>
  <c r="X9" i="262"/>
  <c r="V9" i="262"/>
  <c r="T9" i="262"/>
  <c r="R9" i="262"/>
  <c r="P9" i="262"/>
  <c r="N9" i="262"/>
  <c r="L9" i="262"/>
  <c r="J9" i="262"/>
  <c r="H9" i="262"/>
  <c r="F9" i="262"/>
  <c r="D9" i="262"/>
  <c r="X8" i="262"/>
  <c r="V8" i="262"/>
  <c r="T8" i="262"/>
  <c r="R8" i="262"/>
  <c r="P8" i="262"/>
  <c r="P12" i="262" s="1"/>
  <c r="N8" i="262"/>
  <c r="L8" i="262"/>
  <c r="J8" i="262"/>
  <c r="H8" i="262"/>
  <c r="F8" i="262"/>
  <c r="D8" i="262"/>
  <c r="X7" i="262"/>
  <c r="V7" i="262"/>
  <c r="T7" i="262"/>
  <c r="R7" i="262"/>
  <c r="P7" i="262"/>
  <c r="N7" i="262"/>
  <c r="L7" i="262"/>
  <c r="J7" i="262"/>
  <c r="H7" i="262"/>
  <c r="H12" i="262" s="1"/>
  <c r="F7" i="262"/>
  <c r="D7" i="262"/>
  <c r="X6" i="262"/>
  <c r="V6" i="262"/>
  <c r="T6" i="262"/>
  <c r="R6" i="262"/>
  <c r="R12" i="262" s="1"/>
  <c r="P6" i="262"/>
  <c r="N6" i="262"/>
  <c r="N12" i="262" s="1"/>
  <c r="L6" i="262"/>
  <c r="J6" i="262"/>
  <c r="H6" i="262"/>
  <c r="F6" i="262"/>
  <c r="F12" i="262" s="1"/>
  <c r="D6" i="262"/>
  <c r="Y8" i="266" l="1"/>
  <c r="H12" i="266"/>
  <c r="Y6" i="266"/>
  <c r="V12" i="266"/>
  <c r="J12" i="266"/>
  <c r="Y7" i="266"/>
  <c r="Y9" i="266"/>
  <c r="D12" i="266"/>
  <c r="B21" i="266"/>
  <c r="V12" i="265"/>
  <c r="J12" i="265"/>
  <c r="Y8" i="265"/>
  <c r="H12" i="265"/>
  <c r="D12" i="265"/>
  <c r="Y7" i="265"/>
  <c r="B21" i="265"/>
  <c r="Y6" i="265"/>
  <c r="H12" i="264"/>
  <c r="Y6" i="264"/>
  <c r="Y9" i="264"/>
  <c r="J12" i="264"/>
  <c r="Y7" i="264"/>
  <c r="Y8" i="264"/>
  <c r="D12" i="264"/>
  <c r="B21" i="264"/>
  <c r="F12" i="263"/>
  <c r="Y9" i="263"/>
  <c r="X12" i="263"/>
  <c r="V12" i="263"/>
  <c r="H12" i="263"/>
  <c r="D12" i="263"/>
  <c r="Y8" i="263"/>
  <c r="Y7" i="263"/>
  <c r="J12" i="263"/>
  <c r="B21" i="263"/>
  <c r="Y6" i="263"/>
  <c r="V12" i="262"/>
  <c r="Y9" i="262"/>
  <c r="J12" i="262"/>
  <c r="Y7" i="262"/>
  <c r="Y6" i="262"/>
  <c r="Y8" i="262"/>
  <c r="D12" i="262"/>
  <c r="B21" i="262"/>
  <c r="V25" i="261"/>
  <c r="F22" i="261"/>
  <c r="S19" i="261"/>
  <c r="S20" i="261" s="1"/>
  <c r="Q19" i="261"/>
  <c r="Q20" i="261" s="1"/>
  <c r="P19" i="261"/>
  <c r="P20" i="261" s="1"/>
  <c r="L19" i="261"/>
  <c r="L20" i="261" s="1"/>
  <c r="J19" i="261"/>
  <c r="J20" i="261" s="1"/>
  <c r="H19" i="261"/>
  <c r="H20" i="261" s="1"/>
  <c r="O18" i="261"/>
  <c r="O19" i="261" s="1"/>
  <c r="O20" i="261" s="1"/>
  <c r="D18" i="261"/>
  <c r="D19" i="261" s="1"/>
  <c r="D20" i="261" s="1"/>
  <c r="X12" i="261"/>
  <c r="W12" i="261"/>
  <c r="K18" i="261" s="1"/>
  <c r="K19" i="261" s="1"/>
  <c r="K20" i="261" s="1"/>
  <c r="U12" i="261"/>
  <c r="I18" i="261" s="1"/>
  <c r="I19" i="261" s="1"/>
  <c r="I20" i="261" s="1"/>
  <c r="S12" i="261"/>
  <c r="Q12" i="261"/>
  <c r="O12" i="261"/>
  <c r="N18" i="261" s="1"/>
  <c r="N19" i="261" s="1"/>
  <c r="N20" i="261" s="1"/>
  <c r="M12" i="261"/>
  <c r="M18" i="261" s="1"/>
  <c r="M19" i="261" s="1"/>
  <c r="M20" i="261" s="1"/>
  <c r="K12" i="261"/>
  <c r="G18" i="261" s="1"/>
  <c r="G19" i="261" s="1"/>
  <c r="G20" i="261" s="1"/>
  <c r="I12" i="261"/>
  <c r="F18" i="261" s="1"/>
  <c r="F19" i="261" s="1"/>
  <c r="F20" i="261" s="1"/>
  <c r="G12" i="261"/>
  <c r="E18" i="261" s="1"/>
  <c r="E19" i="261" s="1"/>
  <c r="E20" i="261" s="1"/>
  <c r="E12" i="261"/>
  <c r="C12" i="261"/>
  <c r="B18" i="261" s="1"/>
  <c r="B19" i="261" s="1"/>
  <c r="B20" i="261" s="1"/>
  <c r="X11" i="261"/>
  <c r="V11" i="261"/>
  <c r="T11" i="261"/>
  <c r="R11" i="261"/>
  <c r="P11" i="261"/>
  <c r="N11" i="261"/>
  <c r="L11" i="261"/>
  <c r="J11" i="261"/>
  <c r="H11" i="261"/>
  <c r="F11" i="261"/>
  <c r="D11" i="261"/>
  <c r="Y11" i="261" s="1"/>
  <c r="X10" i="261"/>
  <c r="V10" i="261"/>
  <c r="T10" i="261"/>
  <c r="R10" i="261"/>
  <c r="P10" i="261"/>
  <c r="N10" i="261"/>
  <c r="L10" i="261"/>
  <c r="J10" i="261"/>
  <c r="H10" i="261"/>
  <c r="F10" i="261"/>
  <c r="D10" i="261"/>
  <c r="Y10" i="261" s="1"/>
  <c r="X9" i="261"/>
  <c r="V9" i="261"/>
  <c r="T9" i="261"/>
  <c r="R9" i="261"/>
  <c r="P9" i="261"/>
  <c r="N9" i="261"/>
  <c r="L9" i="261"/>
  <c r="J9" i="261"/>
  <c r="H9" i="261"/>
  <c r="F9" i="261"/>
  <c r="D9" i="261"/>
  <c r="Y9" i="261" s="1"/>
  <c r="X8" i="261"/>
  <c r="V8" i="261"/>
  <c r="T8" i="261"/>
  <c r="R8" i="261"/>
  <c r="P8" i="261"/>
  <c r="P12" i="261" s="1"/>
  <c r="N8" i="261"/>
  <c r="L8" i="261"/>
  <c r="J8" i="261"/>
  <c r="H8" i="261"/>
  <c r="F8" i="261"/>
  <c r="D8" i="261"/>
  <c r="X7" i="261"/>
  <c r="V7" i="261"/>
  <c r="T7" i="261"/>
  <c r="R7" i="261"/>
  <c r="P7" i="261"/>
  <c r="N7" i="261"/>
  <c r="L7" i="261"/>
  <c r="J7" i="261"/>
  <c r="H7" i="261"/>
  <c r="F7" i="261"/>
  <c r="D7" i="261"/>
  <c r="X6" i="261"/>
  <c r="V6" i="261"/>
  <c r="V12" i="261" s="1"/>
  <c r="T6" i="261"/>
  <c r="R6" i="261"/>
  <c r="R12" i="261" s="1"/>
  <c r="P6" i="261"/>
  <c r="N6" i="261"/>
  <c r="N12" i="261" s="1"/>
  <c r="L6" i="261"/>
  <c r="L12" i="261" s="1"/>
  <c r="J6" i="261"/>
  <c r="H6" i="261"/>
  <c r="H12" i="261" s="1"/>
  <c r="F6" i="261"/>
  <c r="F12" i="261" s="1"/>
  <c r="D6" i="261"/>
  <c r="Y12" i="266" l="1"/>
  <c r="V16" i="266" s="1"/>
  <c r="V24" i="266" s="1"/>
  <c r="Y12" i="265"/>
  <c r="V16" i="265" s="1"/>
  <c r="V24" i="265" s="1"/>
  <c r="Y12" i="264"/>
  <c r="V16" i="264" s="1"/>
  <c r="V24" i="264" s="1"/>
  <c r="Y12" i="263"/>
  <c r="V16" i="263" s="1"/>
  <c r="V24" i="263" s="1"/>
  <c r="Y12" i="262"/>
  <c r="V16" i="262" s="1"/>
  <c r="V24" i="262" s="1"/>
  <c r="Y8" i="261"/>
  <c r="T12" i="261"/>
  <c r="J12" i="261"/>
  <c r="Y7" i="261"/>
  <c r="Y6" i="261"/>
  <c r="B21" i="261"/>
  <c r="D12" i="261"/>
  <c r="Y12" i="261" l="1"/>
  <c r="V16" i="261" s="1"/>
  <c r="V24" i="261" s="1"/>
  <c r="V25" i="260" l="1"/>
  <c r="F22" i="260"/>
  <c r="S19" i="260"/>
  <c r="S20" i="260" s="1"/>
  <c r="Q19" i="260"/>
  <c r="Q20" i="260" s="1"/>
  <c r="P19" i="260"/>
  <c r="P20" i="260" s="1"/>
  <c r="L19" i="260"/>
  <c r="L20" i="260" s="1"/>
  <c r="J19" i="260"/>
  <c r="J20" i="260" s="1"/>
  <c r="H19" i="260"/>
  <c r="H20" i="260" s="1"/>
  <c r="M18" i="260"/>
  <c r="M19" i="260" s="1"/>
  <c r="M20" i="260" s="1"/>
  <c r="W12" i="260"/>
  <c r="K18" i="260" s="1"/>
  <c r="K19" i="260" s="1"/>
  <c r="K20" i="260" s="1"/>
  <c r="V12" i="260"/>
  <c r="U12" i="260"/>
  <c r="I18" i="260" s="1"/>
  <c r="I19" i="260" s="1"/>
  <c r="I20" i="260" s="1"/>
  <c r="S12" i="260"/>
  <c r="Q12" i="260"/>
  <c r="O18" i="260" s="1"/>
  <c r="O19" i="260" s="1"/>
  <c r="O20" i="260" s="1"/>
  <c r="O12" i="260"/>
  <c r="N18" i="260" s="1"/>
  <c r="N19" i="260" s="1"/>
  <c r="N20" i="260" s="1"/>
  <c r="N12" i="260"/>
  <c r="M12" i="260"/>
  <c r="K12" i="260"/>
  <c r="G18" i="260" s="1"/>
  <c r="G19" i="260" s="1"/>
  <c r="G20" i="260" s="1"/>
  <c r="I12" i="260"/>
  <c r="F18" i="260" s="1"/>
  <c r="F19" i="260" s="1"/>
  <c r="F20" i="260" s="1"/>
  <c r="G12" i="260"/>
  <c r="E18" i="260" s="1"/>
  <c r="E19" i="260" s="1"/>
  <c r="E20" i="260" s="1"/>
  <c r="F12" i="260"/>
  <c r="E12" i="260"/>
  <c r="D18" i="260" s="1"/>
  <c r="D19" i="260" s="1"/>
  <c r="D20" i="260" s="1"/>
  <c r="C12" i="260"/>
  <c r="B18" i="260" s="1"/>
  <c r="B19" i="260" s="1"/>
  <c r="B20" i="260" s="1"/>
  <c r="X11" i="260"/>
  <c r="V11" i="260"/>
  <c r="T11" i="260"/>
  <c r="R11" i="260"/>
  <c r="P11" i="260"/>
  <c r="N11" i="260"/>
  <c r="L11" i="260"/>
  <c r="J11" i="260"/>
  <c r="H11" i="260"/>
  <c r="F11" i="260"/>
  <c r="D11" i="260"/>
  <c r="X10" i="260"/>
  <c r="V10" i="260"/>
  <c r="T10" i="260"/>
  <c r="R10" i="260"/>
  <c r="P10" i="260"/>
  <c r="N10" i="260"/>
  <c r="L10" i="260"/>
  <c r="J10" i="260"/>
  <c r="Y10" i="260" s="1"/>
  <c r="H10" i="260"/>
  <c r="F10" i="260"/>
  <c r="D10" i="260"/>
  <c r="X9" i="260"/>
  <c r="V9" i="260"/>
  <c r="T9" i="260"/>
  <c r="R9" i="260"/>
  <c r="P9" i="260"/>
  <c r="N9" i="260"/>
  <c r="L9" i="260"/>
  <c r="J9" i="260"/>
  <c r="H9" i="260"/>
  <c r="F9" i="260"/>
  <c r="D9" i="260"/>
  <c r="X8" i="260"/>
  <c r="V8" i="260"/>
  <c r="T8" i="260"/>
  <c r="R8" i="260"/>
  <c r="P8" i="260"/>
  <c r="N8" i="260"/>
  <c r="L8" i="260"/>
  <c r="J8" i="260"/>
  <c r="H8" i="260"/>
  <c r="F8" i="260"/>
  <c r="D8" i="260"/>
  <c r="X7" i="260"/>
  <c r="V7" i="260"/>
  <c r="T7" i="260"/>
  <c r="R7" i="260"/>
  <c r="P7" i="260"/>
  <c r="N7" i="260"/>
  <c r="L7" i="260"/>
  <c r="J7" i="260"/>
  <c r="H7" i="260"/>
  <c r="F7" i="260"/>
  <c r="D7" i="260"/>
  <c r="X6" i="260"/>
  <c r="V6" i="260"/>
  <c r="T6" i="260"/>
  <c r="T12" i="260" s="1"/>
  <c r="R6" i="260"/>
  <c r="R12" i="260" s="1"/>
  <c r="P6" i="260"/>
  <c r="N6" i="260"/>
  <c r="L6" i="260"/>
  <c r="L12" i="260" s="1"/>
  <c r="J6" i="260"/>
  <c r="H6" i="260"/>
  <c r="H12" i="260" s="1"/>
  <c r="F6" i="260"/>
  <c r="D6" i="260"/>
  <c r="Y10" i="259"/>
  <c r="Y11" i="259"/>
  <c r="Y9" i="259"/>
  <c r="V25" i="259"/>
  <c r="F22" i="259"/>
  <c r="S19" i="259"/>
  <c r="S20" i="259" s="1"/>
  <c r="Q19" i="259"/>
  <c r="Q20" i="259" s="1"/>
  <c r="P19" i="259"/>
  <c r="P20" i="259" s="1"/>
  <c r="L19" i="259"/>
  <c r="L20" i="259" s="1"/>
  <c r="J19" i="259"/>
  <c r="J20" i="259" s="1"/>
  <c r="I19" i="259"/>
  <c r="I20" i="259" s="1"/>
  <c r="H19" i="259"/>
  <c r="H20" i="259" s="1"/>
  <c r="O18" i="259"/>
  <c r="O19" i="259" s="1"/>
  <c r="O20" i="259" s="1"/>
  <c r="I18" i="259"/>
  <c r="D18" i="259"/>
  <c r="D19" i="259" s="1"/>
  <c r="D20" i="259" s="1"/>
  <c r="W12" i="259"/>
  <c r="K18" i="259" s="1"/>
  <c r="K19" i="259" s="1"/>
  <c r="K20" i="259" s="1"/>
  <c r="U12" i="259"/>
  <c r="S12" i="259"/>
  <c r="Q12" i="259"/>
  <c r="O12" i="259"/>
  <c r="N18" i="259" s="1"/>
  <c r="N19" i="259" s="1"/>
  <c r="N20" i="259" s="1"/>
  <c r="M12" i="259"/>
  <c r="M18" i="259" s="1"/>
  <c r="M19" i="259" s="1"/>
  <c r="M20" i="259" s="1"/>
  <c r="K12" i="259"/>
  <c r="G18" i="259" s="1"/>
  <c r="G19" i="259" s="1"/>
  <c r="G20" i="259" s="1"/>
  <c r="I12" i="259"/>
  <c r="F18" i="259" s="1"/>
  <c r="F19" i="259" s="1"/>
  <c r="F20" i="259" s="1"/>
  <c r="G12" i="259"/>
  <c r="E18" i="259" s="1"/>
  <c r="E19" i="259" s="1"/>
  <c r="E20" i="259" s="1"/>
  <c r="E12" i="259"/>
  <c r="C12" i="259"/>
  <c r="B18" i="259" s="1"/>
  <c r="B19" i="259" s="1"/>
  <c r="B20" i="259" s="1"/>
  <c r="X11" i="259"/>
  <c r="X12" i="259" s="1"/>
  <c r="V11" i="259"/>
  <c r="T11" i="259"/>
  <c r="R11" i="259"/>
  <c r="P11" i="259"/>
  <c r="N11" i="259"/>
  <c r="L11" i="259"/>
  <c r="J11" i="259"/>
  <c r="H11" i="259"/>
  <c r="F11" i="259"/>
  <c r="D11" i="259"/>
  <c r="X10" i="259"/>
  <c r="V10" i="259"/>
  <c r="T10" i="259"/>
  <c r="R10" i="259"/>
  <c r="P10" i="259"/>
  <c r="N10" i="259"/>
  <c r="L10" i="259"/>
  <c r="J10" i="259"/>
  <c r="H10" i="259"/>
  <c r="F10" i="259"/>
  <c r="D10" i="259"/>
  <c r="X9" i="259"/>
  <c r="V9" i="259"/>
  <c r="T9" i="259"/>
  <c r="R9" i="259"/>
  <c r="P9" i="259"/>
  <c r="N9" i="259"/>
  <c r="L9" i="259"/>
  <c r="J9" i="259"/>
  <c r="H9" i="259"/>
  <c r="F9" i="259"/>
  <c r="D9" i="259"/>
  <c r="X8" i="259"/>
  <c r="V8" i="259"/>
  <c r="T8" i="259"/>
  <c r="R8" i="259"/>
  <c r="P8" i="259"/>
  <c r="N8" i="259"/>
  <c r="L8" i="259"/>
  <c r="J8" i="259"/>
  <c r="H8" i="259"/>
  <c r="H12" i="259" s="1"/>
  <c r="F8" i="259"/>
  <c r="D8" i="259"/>
  <c r="X7" i="259"/>
  <c r="V7" i="259"/>
  <c r="T7" i="259"/>
  <c r="R7" i="259"/>
  <c r="P7" i="259"/>
  <c r="N7" i="259"/>
  <c r="L7" i="259"/>
  <c r="J7" i="259"/>
  <c r="H7" i="259"/>
  <c r="F7" i="259"/>
  <c r="D7" i="259"/>
  <c r="X6" i="259"/>
  <c r="V6" i="259"/>
  <c r="V12" i="259" s="1"/>
  <c r="T6" i="259"/>
  <c r="T12" i="259" s="1"/>
  <c r="R6" i="259"/>
  <c r="R12" i="259" s="1"/>
  <c r="P6" i="259"/>
  <c r="N6" i="259"/>
  <c r="N12" i="259" s="1"/>
  <c r="L6" i="259"/>
  <c r="L12" i="259" s="1"/>
  <c r="J6" i="259"/>
  <c r="H6" i="259"/>
  <c r="F6" i="259"/>
  <c r="F12" i="259" s="1"/>
  <c r="D6" i="259"/>
  <c r="X12" i="260" l="1"/>
  <c r="Y11" i="260"/>
  <c r="Y7" i="260"/>
  <c r="P12" i="260"/>
  <c r="J12" i="260"/>
  <c r="Y9" i="260"/>
  <c r="D12" i="260"/>
  <c r="Y8" i="260"/>
  <c r="B21" i="260"/>
  <c r="Y6" i="260"/>
  <c r="J12" i="259"/>
  <c r="Y7" i="259"/>
  <c r="P12" i="259"/>
  <c r="Y6" i="259"/>
  <c r="Y8" i="259"/>
  <c r="B21" i="259"/>
  <c r="D12" i="259"/>
  <c r="Y12" i="260" l="1"/>
  <c r="V16" i="260" s="1"/>
  <c r="V24" i="260" s="1"/>
  <c r="Y12" i="259"/>
  <c r="V16" i="259" s="1"/>
  <c r="V24" i="259" s="1"/>
  <c r="V25" i="258" l="1"/>
  <c r="F22" i="258"/>
  <c r="S19" i="258"/>
  <c r="S20" i="258" s="1"/>
  <c r="Q19" i="258"/>
  <c r="Q20" i="258" s="1"/>
  <c r="P19" i="258"/>
  <c r="P20" i="258" s="1"/>
  <c r="L19" i="258"/>
  <c r="L20" i="258" s="1"/>
  <c r="J19" i="258"/>
  <c r="J20" i="258" s="1"/>
  <c r="I19" i="258"/>
  <c r="I20" i="258" s="1"/>
  <c r="H19" i="258"/>
  <c r="H20" i="258" s="1"/>
  <c r="O18" i="258"/>
  <c r="O19" i="258" s="1"/>
  <c r="O20" i="258" s="1"/>
  <c r="I18" i="258"/>
  <c r="D18" i="258"/>
  <c r="D19" i="258" s="1"/>
  <c r="D20" i="258" s="1"/>
  <c r="X12" i="258"/>
  <c r="W12" i="258"/>
  <c r="K18" i="258" s="1"/>
  <c r="K19" i="258" s="1"/>
  <c r="K20" i="258" s="1"/>
  <c r="U12" i="258"/>
  <c r="S12" i="258"/>
  <c r="Q12" i="258"/>
  <c r="O12" i="258"/>
  <c r="N18" i="258" s="1"/>
  <c r="N19" i="258" s="1"/>
  <c r="N20" i="258" s="1"/>
  <c r="M12" i="258"/>
  <c r="M18" i="258" s="1"/>
  <c r="M19" i="258" s="1"/>
  <c r="M20" i="258" s="1"/>
  <c r="K12" i="258"/>
  <c r="G18" i="258" s="1"/>
  <c r="G19" i="258" s="1"/>
  <c r="G20" i="258" s="1"/>
  <c r="I12" i="258"/>
  <c r="F18" i="258" s="1"/>
  <c r="F19" i="258" s="1"/>
  <c r="F20" i="258" s="1"/>
  <c r="G12" i="258"/>
  <c r="E18" i="258" s="1"/>
  <c r="E19" i="258" s="1"/>
  <c r="E20" i="258" s="1"/>
  <c r="E12" i="258"/>
  <c r="C12" i="258"/>
  <c r="B18" i="258" s="1"/>
  <c r="B19" i="258" s="1"/>
  <c r="B20" i="258" s="1"/>
  <c r="X11" i="258"/>
  <c r="V11" i="258"/>
  <c r="T11" i="258"/>
  <c r="R11" i="258"/>
  <c r="P11" i="258"/>
  <c r="N11" i="258"/>
  <c r="L11" i="258"/>
  <c r="J11" i="258"/>
  <c r="H11" i="258"/>
  <c r="F11" i="258"/>
  <c r="D11" i="258"/>
  <c r="X10" i="258"/>
  <c r="V10" i="258"/>
  <c r="T10" i="258"/>
  <c r="R10" i="258"/>
  <c r="P10" i="258"/>
  <c r="N10" i="258"/>
  <c r="L10" i="258"/>
  <c r="J10" i="258"/>
  <c r="H10" i="258"/>
  <c r="F10" i="258"/>
  <c r="D10" i="258"/>
  <c r="X9" i="258"/>
  <c r="V9" i="258"/>
  <c r="T9" i="258"/>
  <c r="R9" i="258"/>
  <c r="P9" i="258"/>
  <c r="N9" i="258"/>
  <c r="L9" i="258"/>
  <c r="J9" i="258"/>
  <c r="H9" i="258"/>
  <c r="F9" i="258"/>
  <c r="D9" i="258"/>
  <c r="X8" i="258"/>
  <c r="V8" i="258"/>
  <c r="T8" i="258"/>
  <c r="R8" i="258"/>
  <c r="P8" i="258"/>
  <c r="N8" i="258"/>
  <c r="L8" i="258"/>
  <c r="J8" i="258"/>
  <c r="H8" i="258"/>
  <c r="H12" i="258" s="1"/>
  <c r="F8" i="258"/>
  <c r="D8" i="258"/>
  <c r="X7" i="258"/>
  <c r="V7" i="258"/>
  <c r="T7" i="258"/>
  <c r="R7" i="258"/>
  <c r="P7" i="258"/>
  <c r="N7" i="258"/>
  <c r="L7" i="258"/>
  <c r="J7" i="258"/>
  <c r="H7" i="258"/>
  <c r="F7" i="258"/>
  <c r="D7" i="258"/>
  <c r="X6" i="258"/>
  <c r="V6" i="258"/>
  <c r="V12" i="258" s="1"/>
  <c r="T6" i="258"/>
  <c r="T12" i="258" s="1"/>
  <c r="R6" i="258"/>
  <c r="R12" i="258" s="1"/>
  <c r="P6" i="258"/>
  <c r="N6" i="258"/>
  <c r="N12" i="258" s="1"/>
  <c r="L6" i="258"/>
  <c r="L12" i="258" s="1"/>
  <c r="J6" i="258"/>
  <c r="H6" i="258"/>
  <c r="F6" i="258"/>
  <c r="F12" i="258" s="1"/>
  <c r="D6" i="258"/>
  <c r="V25" i="257"/>
  <c r="F22" i="257"/>
  <c r="S20" i="257"/>
  <c r="Q20" i="257"/>
  <c r="P20" i="257"/>
  <c r="H20" i="257"/>
  <c r="S19" i="257"/>
  <c r="Q19" i="257"/>
  <c r="P19" i="257"/>
  <c r="O19" i="257"/>
  <c r="O20" i="257" s="1"/>
  <c r="M19" i="257"/>
  <c r="M20" i="257" s="1"/>
  <c r="L19" i="257"/>
  <c r="L20" i="257" s="1"/>
  <c r="J19" i="257"/>
  <c r="J20" i="257" s="1"/>
  <c r="I19" i="257"/>
  <c r="I20" i="257" s="1"/>
  <c r="H19" i="257"/>
  <c r="D19" i="257"/>
  <c r="D20" i="257" s="1"/>
  <c r="O18" i="257"/>
  <c r="M18" i="257"/>
  <c r="K18" i="257"/>
  <c r="K19" i="257" s="1"/>
  <c r="K20" i="257" s="1"/>
  <c r="I18" i="257"/>
  <c r="F18" i="257"/>
  <c r="F19" i="257" s="1"/>
  <c r="F20" i="257" s="1"/>
  <c r="D18" i="257"/>
  <c r="B18" i="257"/>
  <c r="B19" i="257" s="1"/>
  <c r="B20" i="257" s="1"/>
  <c r="X12" i="257"/>
  <c r="W12" i="257"/>
  <c r="V12" i="257"/>
  <c r="U12" i="257"/>
  <c r="T12" i="257"/>
  <c r="S12" i="257"/>
  <c r="R12" i="257"/>
  <c r="Q12" i="257"/>
  <c r="O12" i="257"/>
  <c r="N18" i="257" s="1"/>
  <c r="N19" i="257" s="1"/>
  <c r="N20" i="257" s="1"/>
  <c r="N12" i="257"/>
  <c r="M12" i="257"/>
  <c r="K12" i="257"/>
  <c r="G18" i="257" s="1"/>
  <c r="G19" i="257" s="1"/>
  <c r="G20" i="257" s="1"/>
  <c r="I12" i="257"/>
  <c r="G12" i="257"/>
  <c r="E18" i="257" s="1"/>
  <c r="E19" i="257" s="1"/>
  <c r="E20" i="257" s="1"/>
  <c r="F12" i="257"/>
  <c r="E12" i="257"/>
  <c r="C12" i="257"/>
  <c r="Y11" i="257"/>
  <c r="X11" i="257"/>
  <c r="V11" i="257"/>
  <c r="T11" i="257"/>
  <c r="R11" i="257"/>
  <c r="P11" i="257"/>
  <c r="N11" i="257"/>
  <c r="L11" i="257"/>
  <c r="J11" i="257"/>
  <c r="H11" i="257"/>
  <c r="F11" i="257"/>
  <c r="D11" i="257"/>
  <c r="Y10" i="257"/>
  <c r="X10" i="257"/>
  <c r="V10" i="257"/>
  <c r="T10" i="257"/>
  <c r="R10" i="257"/>
  <c r="P10" i="257"/>
  <c r="N10" i="257"/>
  <c r="L10" i="257"/>
  <c r="J10" i="257"/>
  <c r="H10" i="257"/>
  <c r="F10" i="257"/>
  <c r="D10" i="257"/>
  <c r="X9" i="257"/>
  <c r="V9" i="257"/>
  <c r="T9" i="257"/>
  <c r="R9" i="257"/>
  <c r="P9" i="257"/>
  <c r="N9" i="257"/>
  <c r="L9" i="257"/>
  <c r="J9" i="257"/>
  <c r="H9" i="257"/>
  <c r="H12" i="257" s="1"/>
  <c r="F9" i="257"/>
  <c r="D9" i="257"/>
  <c r="X8" i="257"/>
  <c r="V8" i="257"/>
  <c r="T8" i="257"/>
  <c r="R8" i="257"/>
  <c r="P8" i="257"/>
  <c r="N8" i="257"/>
  <c r="L8" i="257"/>
  <c r="L12" i="257" s="1"/>
  <c r="J8" i="257"/>
  <c r="H8" i="257"/>
  <c r="F8" i="257"/>
  <c r="D8" i="257"/>
  <c r="X7" i="257"/>
  <c r="V7" i="257"/>
  <c r="T7" i="257"/>
  <c r="R7" i="257"/>
  <c r="P7" i="257"/>
  <c r="N7" i="257"/>
  <c r="L7" i="257"/>
  <c r="J7" i="257"/>
  <c r="H7" i="257"/>
  <c r="F7" i="257"/>
  <c r="D7" i="257"/>
  <c r="X6" i="257"/>
  <c r="V6" i="257"/>
  <c r="T6" i="257"/>
  <c r="R6" i="257"/>
  <c r="P6" i="257"/>
  <c r="N6" i="257"/>
  <c r="L6" i="257"/>
  <c r="J6" i="257"/>
  <c r="H6" i="257"/>
  <c r="F6" i="257"/>
  <c r="D6" i="257"/>
  <c r="Y10" i="258" l="1"/>
  <c r="Y11" i="258"/>
  <c r="P12" i="258"/>
  <c r="Y6" i="258"/>
  <c r="Y8" i="258"/>
  <c r="Y9" i="258"/>
  <c r="J12" i="258"/>
  <c r="Y7" i="258"/>
  <c r="B21" i="258"/>
  <c r="D12" i="258"/>
  <c r="Y9" i="257"/>
  <c r="P12" i="257"/>
  <c r="J12" i="257"/>
  <c r="D12" i="257"/>
  <c r="Y7" i="257"/>
  <c r="Y6" i="257"/>
  <c r="Y8" i="257"/>
  <c r="B21" i="257"/>
  <c r="V25" i="256"/>
  <c r="F22" i="256"/>
  <c r="S19" i="256"/>
  <c r="S20" i="256" s="1"/>
  <c r="Q19" i="256"/>
  <c r="Q20" i="256" s="1"/>
  <c r="P19" i="256"/>
  <c r="P20" i="256" s="1"/>
  <c r="M19" i="256"/>
  <c r="M20" i="256" s="1"/>
  <c r="L19" i="256"/>
  <c r="L20" i="256" s="1"/>
  <c r="J19" i="256"/>
  <c r="J20" i="256" s="1"/>
  <c r="H19" i="256"/>
  <c r="H20" i="256" s="1"/>
  <c r="M18" i="256"/>
  <c r="W12" i="256"/>
  <c r="K18" i="256" s="1"/>
  <c r="K19" i="256" s="1"/>
  <c r="K20" i="256" s="1"/>
  <c r="U12" i="256"/>
  <c r="I18" i="256" s="1"/>
  <c r="I19" i="256" s="1"/>
  <c r="I20" i="256" s="1"/>
  <c r="S12" i="256"/>
  <c r="Q12" i="256"/>
  <c r="O18" i="256" s="1"/>
  <c r="O19" i="256" s="1"/>
  <c r="O20" i="256" s="1"/>
  <c r="O12" i="256"/>
  <c r="N18" i="256" s="1"/>
  <c r="N19" i="256" s="1"/>
  <c r="N20" i="256" s="1"/>
  <c r="N12" i="256"/>
  <c r="M12" i="256"/>
  <c r="K12" i="256"/>
  <c r="G18" i="256" s="1"/>
  <c r="G19" i="256" s="1"/>
  <c r="G20" i="256" s="1"/>
  <c r="I12" i="256"/>
  <c r="F18" i="256" s="1"/>
  <c r="F19" i="256" s="1"/>
  <c r="F20" i="256" s="1"/>
  <c r="G12" i="256"/>
  <c r="E18" i="256" s="1"/>
  <c r="E19" i="256" s="1"/>
  <c r="E20" i="256" s="1"/>
  <c r="F12" i="256"/>
  <c r="E12" i="256"/>
  <c r="D18" i="256" s="1"/>
  <c r="D19" i="256" s="1"/>
  <c r="D20" i="256" s="1"/>
  <c r="C12" i="256"/>
  <c r="B18" i="256" s="1"/>
  <c r="B19" i="256" s="1"/>
  <c r="B20" i="256" s="1"/>
  <c r="X11" i="256"/>
  <c r="V11" i="256"/>
  <c r="T11" i="256"/>
  <c r="R11" i="256"/>
  <c r="P11" i="256"/>
  <c r="N11" i="256"/>
  <c r="L11" i="256"/>
  <c r="J11" i="256"/>
  <c r="H11" i="256"/>
  <c r="F11" i="256"/>
  <c r="D11" i="256"/>
  <c r="Y11" i="256" s="1"/>
  <c r="X10" i="256"/>
  <c r="V10" i="256"/>
  <c r="T10" i="256"/>
  <c r="R10" i="256"/>
  <c r="P10" i="256"/>
  <c r="N10" i="256"/>
  <c r="L10" i="256"/>
  <c r="J10" i="256"/>
  <c r="H10" i="256"/>
  <c r="F10" i="256"/>
  <c r="D10" i="256"/>
  <c r="Y10" i="256" s="1"/>
  <c r="X9" i="256"/>
  <c r="V9" i="256"/>
  <c r="T9" i="256"/>
  <c r="R9" i="256"/>
  <c r="P9" i="256"/>
  <c r="N9" i="256"/>
  <c r="L9" i="256"/>
  <c r="J9" i="256"/>
  <c r="H9" i="256"/>
  <c r="F9" i="256"/>
  <c r="D9" i="256"/>
  <c r="X8" i="256"/>
  <c r="V8" i="256"/>
  <c r="T8" i="256"/>
  <c r="R8" i="256"/>
  <c r="P8" i="256"/>
  <c r="N8" i="256"/>
  <c r="L8" i="256"/>
  <c r="J8" i="256"/>
  <c r="H8" i="256"/>
  <c r="F8" i="256"/>
  <c r="D8" i="256"/>
  <c r="X7" i="256"/>
  <c r="V7" i="256"/>
  <c r="T7" i="256"/>
  <c r="R7" i="256"/>
  <c r="P7" i="256"/>
  <c r="N7" i="256"/>
  <c r="L7" i="256"/>
  <c r="J7" i="256"/>
  <c r="H7" i="256"/>
  <c r="F7" i="256"/>
  <c r="D7" i="256"/>
  <c r="X6" i="256"/>
  <c r="X12" i="256" s="1"/>
  <c r="V6" i="256"/>
  <c r="V12" i="256" s="1"/>
  <c r="T6" i="256"/>
  <c r="T12" i="256" s="1"/>
  <c r="R6" i="256"/>
  <c r="R12" i="256" s="1"/>
  <c r="P6" i="256"/>
  <c r="P12" i="256" s="1"/>
  <c r="N6" i="256"/>
  <c r="L6" i="256"/>
  <c r="L12" i="256" s="1"/>
  <c r="J6" i="256"/>
  <c r="H6" i="256"/>
  <c r="F6" i="256"/>
  <c r="D6" i="256"/>
  <c r="Y12" i="258" l="1"/>
  <c r="V16" i="258" s="1"/>
  <c r="V24" i="258" s="1"/>
  <c r="Y12" i="257"/>
  <c r="V16" i="257" s="1"/>
  <c r="V24" i="257" s="1"/>
  <c r="Y8" i="256"/>
  <c r="H12" i="256"/>
  <c r="Y7" i="256"/>
  <c r="J12" i="256"/>
  <c r="Y9" i="256"/>
  <c r="D12" i="256"/>
  <c r="B21" i="256"/>
  <c r="Y6" i="256"/>
  <c r="Y12" i="256" l="1"/>
  <c r="V16" i="256" s="1"/>
  <c r="V24" i="256" s="1"/>
  <c r="V25" i="255"/>
  <c r="F22" i="255"/>
  <c r="S19" i="255"/>
  <c r="S20" i="255" s="1"/>
  <c r="Q19" i="255"/>
  <c r="Q20" i="255" s="1"/>
  <c r="P19" i="255"/>
  <c r="P20" i="255" s="1"/>
  <c r="L19" i="255"/>
  <c r="L20" i="255" s="1"/>
  <c r="J19" i="255"/>
  <c r="J20" i="255" s="1"/>
  <c r="H19" i="255"/>
  <c r="H20" i="255" s="1"/>
  <c r="O18" i="255"/>
  <c r="O19" i="255" s="1"/>
  <c r="O20" i="255" s="1"/>
  <c r="K18" i="255"/>
  <c r="K19" i="255" s="1"/>
  <c r="K20" i="255" s="1"/>
  <c r="D18" i="255"/>
  <c r="D19" i="255" s="1"/>
  <c r="D20" i="255" s="1"/>
  <c r="W12" i="255"/>
  <c r="U12" i="255"/>
  <c r="I18" i="255" s="1"/>
  <c r="I19" i="255" s="1"/>
  <c r="I20" i="255" s="1"/>
  <c r="T12" i="255"/>
  <c r="S12" i="255"/>
  <c r="Q12" i="255"/>
  <c r="O12" i="255"/>
  <c r="N18" i="255" s="1"/>
  <c r="N19" i="255" s="1"/>
  <c r="N20" i="255" s="1"/>
  <c r="M12" i="255"/>
  <c r="M18" i="255" s="1"/>
  <c r="M19" i="255" s="1"/>
  <c r="M20" i="255" s="1"/>
  <c r="L12" i="255"/>
  <c r="K12" i="255"/>
  <c r="G18" i="255" s="1"/>
  <c r="G19" i="255" s="1"/>
  <c r="G20" i="255" s="1"/>
  <c r="I12" i="255"/>
  <c r="F18" i="255" s="1"/>
  <c r="F19" i="255" s="1"/>
  <c r="F20" i="255" s="1"/>
  <c r="G12" i="255"/>
  <c r="E18" i="255" s="1"/>
  <c r="E19" i="255" s="1"/>
  <c r="E20" i="255" s="1"/>
  <c r="E12" i="255"/>
  <c r="C12" i="255"/>
  <c r="B18" i="255" s="1"/>
  <c r="B19" i="255" s="1"/>
  <c r="B20" i="255" s="1"/>
  <c r="X11" i="255"/>
  <c r="V11" i="255"/>
  <c r="T11" i="255"/>
  <c r="R11" i="255"/>
  <c r="P11" i="255"/>
  <c r="N11" i="255"/>
  <c r="L11" i="255"/>
  <c r="J11" i="255"/>
  <c r="H11" i="255"/>
  <c r="F11" i="255"/>
  <c r="Y11" i="255" s="1"/>
  <c r="D11" i="255"/>
  <c r="X10" i="255"/>
  <c r="V10" i="255"/>
  <c r="T10" i="255"/>
  <c r="R10" i="255"/>
  <c r="P10" i="255"/>
  <c r="N10" i="255"/>
  <c r="L10" i="255"/>
  <c r="J10" i="255"/>
  <c r="H10" i="255"/>
  <c r="F10" i="255"/>
  <c r="Y10" i="255" s="1"/>
  <c r="D10" i="255"/>
  <c r="X9" i="255"/>
  <c r="V9" i="255"/>
  <c r="T9" i="255"/>
  <c r="R9" i="255"/>
  <c r="P9" i="255"/>
  <c r="N9" i="255"/>
  <c r="L9" i="255"/>
  <c r="J9" i="255"/>
  <c r="H9" i="255"/>
  <c r="H12" i="255" s="1"/>
  <c r="F9" i="255"/>
  <c r="D9" i="255"/>
  <c r="X8" i="255"/>
  <c r="V8" i="255"/>
  <c r="T8" i="255"/>
  <c r="R8" i="255"/>
  <c r="P8" i="255"/>
  <c r="N8" i="255"/>
  <c r="L8" i="255"/>
  <c r="J8" i="255"/>
  <c r="H8" i="255"/>
  <c r="F8" i="255"/>
  <c r="D8" i="255"/>
  <c r="X7" i="255"/>
  <c r="V7" i="255"/>
  <c r="T7" i="255"/>
  <c r="R7" i="255"/>
  <c r="P7" i="255"/>
  <c r="N7" i="255"/>
  <c r="L7" i="255"/>
  <c r="J7" i="255"/>
  <c r="H7" i="255"/>
  <c r="F7" i="255"/>
  <c r="D7" i="255"/>
  <c r="X6" i="255"/>
  <c r="X12" i="255" s="1"/>
  <c r="V6" i="255"/>
  <c r="T6" i="255"/>
  <c r="R6" i="255"/>
  <c r="R12" i="255" s="1"/>
  <c r="P6" i="255"/>
  <c r="P12" i="255" s="1"/>
  <c r="N6" i="255"/>
  <c r="N12" i="255" s="1"/>
  <c r="L6" i="255"/>
  <c r="J6" i="255"/>
  <c r="H6" i="255"/>
  <c r="F6" i="255"/>
  <c r="F12" i="255" s="1"/>
  <c r="D6" i="255"/>
  <c r="V25" i="254"/>
  <c r="F22" i="254"/>
  <c r="S19" i="254"/>
  <c r="S20" i="254" s="1"/>
  <c r="Q19" i="254"/>
  <c r="Q20" i="254" s="1"/>
  <c r="P19" i="254"/>
  <c r="P20" i="254" s="1"/>
  <c r="L19" i="254"/>
  <c r="L20" i="254" s="1"/>
  <c r="J19" i="254"/>
  <c r="J20" i="254" s="1"/>
  <c r="H19" i="254"/>
  <c r="H20" i="254" s="1"/>
  <c r="K18" i="254"/>
  <c r="K19" i="254" s="1"/>
  <c r="K20" i="254" s="1"/>
  <c r="W12" i="254"/>
  <c r="U12" i="254"/>
  <c r="I18" i="254" s="1"/>
  <c r="I19" i="254" s="1"/>
  <c r="I20" i="254" s="1"/>
  <c r="T12" i="254"/>
  <c r="S12" i="254"/>
  <c r="Q12" i="254"/>
  <c r="O18" i="254" s="1"/>
  <c r="O19" i="254" s="1"/>
  <c r="O20" i="254" s="1"/>
  <c r="O12" i="254"/>
  <c r="N18" i="254" s="1"/>
  <c r="N19" i="254" s="1"/>
  <c r="N20" i="254" s="1"/>
  <c r="M12" i="254"/>
  <c r="M18" i="254" s="1"/>
  <c r="M19" i="254" s="1"/>
  <c r="M20" i="254" s="1"/>
  <c r="L12" i="254"/>
  <c r="K12" i="254"/>
  <c r="G18" i="254" s="1"/>
  <c r="G19" i="254" s="1"/>
  <c r="G20" i="254" s="1"/>
  <c r="I12" i="254"/>
  <c r="F18" i="254" s="1"/>
  <c r="F19" i="254" s="1"/>
  <c r="F20" i="254" s="1"/>
  <c r="G12" i="254"/>
  <c r="E18" i="254" s="1"/>
  <c r="E19" i="254" s="1"/>
  <c r="E20" i="254" s="1"/>
  <c r="E12" i="254"/>
  <c r="D18" i="254" s="1"/>
  <c r="D19" i="254" s="1"/>
  <c r="D20" i="254" s="1"/>
  <c r="C12" i="254"/>
  <c r="B18" i="254" s="1"/>
  <c r="B19" i="254" s="1"/>
  <c r="B20" i="254" s="1"/>
  <c r="X11" i="254"/>
  <c r="V11" i="254"/>
  <c r="T11" i="254"/>
  <c r="R11" i="254"/>
  <c r="P11" i="254"/>
  <c r="N11" i="254"/>
  <c r="L11" i="254"/>
  <c r="J11" i="254"/>
  <c r="H11" i="254"/>
  <c r="F11" i="254"/>
  <c r="D11" i="254"/>
  <c r="Y11" i="254" s="1"/>
  <c r="X10" i="254"/>
  <c r="V10" i="254"/>
  <c r="T10" i="254"/>
  <c r="R10" i="254"/>
  <c r="P10" i="254"/>
  <c r="N10" i="254"/>
  <c r="L10" i="254"/>
  <c r="J10" i="254"/>
  <c r="H10" i="254"/>
  <c r="F10" i="254"/>
  <c r="D10" i="254"/>
  <c r="Y10" i="254" s="1"/>
  <c r="X9" i="254"/>
  <c r="V9" i="254"/>
  <c r="T9" i="254"/>
  <c r="R9" i="254"/>
  <c r="P9" i="254"/>
  <c r="N9" i="254"/>
  <c r="L9" i="254"/>
  <c r="J9" i="254"/>
  <c r="H9" i="254"/>
  <c r="F9" i="254"/>
  <c r="D9" i="254"/>
  <c r="Y9" i="254" s="1"/>
  <c r="X8" i="254"/>
  <c r="V8" i="254"/>
  <c r="T8" i="254"/>
  <c r="R8" i="254"/>
  <c r="P8" i="254"/>
  <c r="N8" i="254"/>
  <c r="L8" i="254"/>
  <c r="J8" i="254"/>
  <c r="H8" i="254"/>
  <c r="F8" i="254"/>
  <c r="D8" i="254"/>
  <c r="X7" i="254"/>
  <c r="V7" i="254"/>
  <c r="T7" i="254"/>
  <c r="R7" i="254"/>
  <c r="P7" i="254"/>
  <c r="N7" i="254"/>
  <c r="L7" i="254"/>
  <c r="J7" i="254"/>
  <c r="H7" i="254"/>
  <c r="F7" i="254"/>
  <c r="D7" i="254"/>
  <c r="X6" i="254"/>
  <c r="X12" i="254" s="1"/>
  <c r="V6" i="254"/>
  <c r="V12" i="254" s="1"/>
  <c r="T6" i="254"/>
  <c r="R6" i="254"/>
  <c r="R12" i="254" s="1"/>
  <c r="P6" i="254"/>
  <c r="P12" i="254" s="1"/>
  <c r="N6" i="254"/>
  <c r="N12" i="254" s="1"/>
  <c r="L6" i="254"/>
  <c r="J6" i="254"/>
  <c r="H6" i="254"/>
  <c r="F6" i="254"/>
  <c r="F12" i="254" s="1"/>
  <c r="D6" i="254"/>
  <c r="V25" i="253"/>
  <c r="F22" i="253"/>
  <c r="S19" i="253"/>
  <c r="S20" i="253" s="1"/>
  <c r="Q19" i="253"/>
  <c r="Q20" i="253" s="1"/>
  <c r="P19" i="253"/>
  <c r="P20" i="253" s="1"/>
  <c r="L19" i="253"/>
  <c r="L20" i="253" s="1"/>
  <c r="J19" i="253"/>
  <c r="J20" i="253" s="1"/>
  <c r="H19" i="253"/>
  <c r="H20" i="253" s="1"/>
  <c r="W12" i="253"/>
  <c r="K18" i="253" s="1"/>
  <c r="K19" i="253" s="1"/>
  <c r="K20" i="253" s="1"/>
  <c r="U12" i="253"/>
  <c r="I18" i="253" s="1"/>
  <c r="I19" i="253" s="1"/>
  <c r="I20" i="253" s="1"/>
  <c r="S12" i="253"/>
  <c r="Q12" i="253"/>
  <c r="O18" i="253" s="1"/>
  <c r="O19" i="253" s="1"/>
  <c r="O20" i="253" s="1"/>
  <c r="O12" i="253"/>
  <c r="N18" i="253" s="1"/>
  <c r="N19" i="253" s="1"/>
  <c r="N20" i="253" s="1"/>
  <c r="M12" i="253"/>
  <c r="M18" i="253" s="1"/>
  <c r="M19" i="253" s="1"/>
  <c r="M20" i="253" s="1"/>
  <c r="K12" i="253"/>
  <c r="G18" i="253" s="1"/>
  <c r="G19" i="253" s="1"/>
  <c r="G20" i="253" s="1"/>
  <c r="I12" i="253"/>
  <c r="F18" i="253" s="1"/>
  <c r="F19" i="253" s="1"/>
  <c r="F20" i="253" s="1"/>
  <c r="G12" i="253"/>
  <c r="E18" i="253" s="1"/>
  <c r="E19" i="253" s="1"/>
  <c r="E20" i="253" s="1"/>
  <c r="E12" i="253"/>
  <c r="D18" i="253" s="1"/>
  <c r="D19" i="253" s="1"/>
  <c r="D20" i="253" s="1"/>
  <c r="C12" i="253"/>
  <c r="B18" i="253" s="1"/>
  <c r="B19" i="253" s="1"/>
  <c r="B20" i="253" s="1"/>
  <c r="X11" i="253"/>
  <c r="V11" i="253"/>
  <c r="T11" i="253"/>
  <c r="R11" i="253"/>
  <c r="P11" i="253"/>
  <c r="N11" i="253"/>
  <c r="L11" i="253"/>
  <c r="J11" i="253"/>
  <c r="H11" i="253"/>
  <c r="F11" i="253"/>
  <c r="D11" i="253"/>
  <c r="Y11" i="253" s="1"/>
  <c r="X10" i="253"/>
  <c r="V10" i="253"/>
  <c r="T10" i="253"/>
  <c r="R10" i="253"/>
  <c r="P10" i="253"/>
  <c r="N10" i="253"/>
  <c r="L10" i="253"/>
  <c r="J10" i="253"/>
  <c r="H10" i="253"/>
  <c r="F10" i="253"/>
  <c r="D10" i="253"/>
  <c r="Y10" i="253" s="1"/>
  <c r="X9" i="253"/>
  <c r="V9" i="253"/>
  <c r="T9" i="253"/>
  <c r="R9" i="253"/>
  <c r="P9" i="253"/>
  <c r="N9" i="253"/>
  <c r="L9" i="253"/>
  <c r="J9" i="253"/>
  <c r="H9" i="253"/>
  <c r="F9" i="253"/>
  <c r="D9" i="253"/>
  <c r="X8" i="253"/>
  <c r="V8" i="253"/>
  <c r="T8" i="253"/>
  <c r="R8" i="253"/>
  <c r="P8" i="253"/>
  <c r="N8" i="253"/>
  <c r="L8" i="253"/>
  <c r="J8" i="253"/>
  <c r="H8" i="253"/>
  <c r="F8" i="253"/>
  <c r="D8" i="253"/>
  <c r="X7" i="253"/>
  <c r="V7" i="253"/>
  <c r="T7" i="253"/>
  <c r="R7" i="253"/>
  <c r="P7" i="253"/>
  <c r="N7" i="253"/>
  <c r="L7" i="253"/>
  <c r="J7" i="253"/>
  <c r="H7" i="253"/>
  <c r="F7" i="253"/>
  <c r="D7" i="253"/>
  <c r="X6" i="253"/>
  <c r="X12" i="253" s="1"/>
  <c r="V6" i="253"/>
  <c r="T6" i="253"/>
  <c r="R6" i="253"/>
  <c r="R12" i="253" s="1"/>
  <c r="P6" i="253"/>
  <c r="P12" i="253" s="1"/>
  <c r="N6" i="253"/>
  <c r="N12" i="253" s="1"/>
  <c r="L6" i="253"/>
  <c r="J6" i="253"/>
  <c r="H6" i="253"/>
  <c r="F6" i="253"/>
  <c r="F12" i="253" s="1"/>
  <c r="D6" i="253"/>
  <c r="V25" i="252"/>
  <c r="F22" i="252"/>
  <c r="S19" i="252"/>
  <c r="S20" i="252" s="1"/>
  <c r="Q19" i="252"/>
  <c r="Q20" i="252" s="1"/>
  <c r="P19" i="252"/>
  <c r="P20" i="252" s="1"/>
  <c r="L19" i="252"/>
  <c r="L20" i="252" s="1"/>
  <c r="J19" i="252"/>
  <c r="J20" i="252" s="1"/>
  <c r="H19" i="252"/>
  <c r="H20" i="252" s="1"/>
  <c r="O18" i="252"/>
  <c r="O19" i="252" s="1"/>
  <c r="O20" i="252" s="1"/>
  <c r="D18" i="252"/>
  <c r="D19" i="252" s="1"/>
  <c r="D20" i="252" s="1"/>
  <c r="W12" i="252"/>
  <c r="K18" i="252" s="1"/>
  <c r="K19" i="252" s="1"/>
  <c r="K20" i="252" s="1"/>
  <c r="U12" i="252"/>
  <c r="I18" i="252" s="1"/>
  <c r="I19" i="252" s="1"/>
  <c r="I20" i="252" s="1"/>
  <c r="T12" i="252"/>
  <c r="S12" i="252"/>
  <c r="Q12" i="252"/>
  <c r="P12" i="252"/>
  <c r="O12" i="252"/>
  <c r="N18" i="252" s="1"/>
  <c r="N19" i="252" s="1"/>
  <c r="N20" i="252" s="1"/>
  <c r="M12" i="252"/>
  <c r="M18" i="252" s="1"/>
  <c r="M19" i="252" s="1"/>
  <c r="M20" i="252" s="1"/>
  <c r="K12" i="252"/>
  <c r="G18" i="252" s="1"/>
  <c r="G19" i="252" s="1"/>
  <c r="G20" i="252" s="1"/>
  <c r="I12" i="252"/>
  <c r="F18" i="252" s="1"/>
  <c r="F19" i="252" s="1"/>
  <c r="F20" i="252" s="1"/>
  <c r="G12" i="252"/>
  <c r="E18" i="252" s="1"/>
  <c r="E19" i="252" s="1"/>
  <c r="E20" i="252" s="1"/>
  <c r="E12" i="252"/>
  <c r="C12" i="252"/>
  <c r="B18" i="252" s="1"/>
  <c r="B19" i="252" s="1"/>
  <c r="B20" i="252" s="1"/>
  <c r="X11" i="252"/>
  <c r="V11" i="252"/>
  <c r="T11" i="252"/>
  <c r="R11" i="252"/>
  <c r="P11" i="252"/>
  <c r="N11" i="252"/>
  <c r="L11" i="252"/>
  <c r="J11" i="252"/>
  <c r="H11" i="252"/>
  <c r="F11" i="252"/>
  <c r="D11" i="252"/>
  <c r="Y11" i="252" s="1"/>
  <c r="X10" i="252"/>
  <c r="V10" i="252"/>
  <c r="T10" i="252"/>
  <c r="R10" i="252"/>
  <c r="P10" i="252"/>
  <c r="N10" i="252"/>
  <c r="L10" i="252"/>
  <c r="J10" i="252"/>
  <c r="H10" i="252"/>
  <c r="F10" i="252"/>
  <c r="D10" i="252"/>
  <c r="Y10" i="252" s="1"/>
  <c r="X9" i="252"/>
  <c r="V9" i="252"/>
  <c r="T9" i="252"/>
  <c r="R9" i="252"/>
  <c r="P9" i="252"/>
  <c r="N9" i="252"/>
  <c r="L9" i="252"/>
  <c r="J9" i="252"/>
  <c r="H9" i="252"/>
  <c r="F9" i="252"/>
  <c r="D9" i="252"/>
  <c r="X8" i="252"/>
  <c r="V8" i="252"/>
  <c r="T8" i="252"/>
  <c r="R8" i="252"/>
  <c r="P8" i="252"/>
  <c r="N8" i="252"/>
  <c r="L8" i="252"/>
  <c r="L12" i="252" s="1"/>
  <c r="J8" i="252"/>
  <c r="H8" i="252"/>
  <c r="F8" i="252"/>
  <c r="D8" i="252"/>
  <c r="X7" i="252"/>
  <c r="V7" i="252"/>
  <c r="T7" i="252"/>
  <c r="R7" i="252"/>
  <c r="P7" i="252"/>
  <c r="N7" i="252"/>
  <c r="L7" i="252"/>
  <c r="J7" i="252"/>
  <c r="H7" i="252"/>
  <c r="F7" i="252"/>
  <c r="D7" i="252"/>
  <c r="Y7" i="252" s="1"/>
  <c r="X6" i="252"/>
  <c r="V6" i="252"/>
  <c r="V12" i="252" s="1"/>
  <c r="T6" i="252"/>
  <c r="R6" i="252"/>
  <c r="R12" i="252" s="1"/>
  <c r="P6" i="252"/>
  <c r="N6" i="252"/>
  <c r="N12" i="252" s="1"/>
  <c r="L6" i="252"/>
  <c r="J6" i="252"/>
  <c r="H6" i="252"/>
  <c r="F6" i="252"/>
  <c r="F12" i="252" s="1"/>
  <c r="D6" i="252"/>
  <c r="V25" i="251"/>
  <c r="F22" i="251"/>
  <c r="S19" i="251"/>
  <c r="S20" i="251" s="1"/>
  <c r="Q19" i="251"/>
  <c r="Q20" i="251" s="1"/>
  <c r="P19" i="251"/>
  <c r="P20" i="251" s="1"/>
  <c r="L19" i="251"/>
  <c r="L20" i="251" s="1"/>
  <c r="J19" i="251"/>
  <c r="J20" i="251" s="1"/>
  <c r="H19" i="251"/>
  <c r="H20" i="251" s="1"/>
  <c r="E18" i="251"/>
  <c r="E19" i="251" s="1"/>
  <c r="E20" i="251" s="1"/>
  <c r="W12" i="251"/>
  <c r="K18" i="251" s="1"/>
  <c r="K19" i="251" s="1"/>
  <c r="K20" i="251" s="1"/>
  <c r="U12" i="251"/>
  <c r="I18" i="251" s="1"/>
  <c r="I19" i="251" s="1"/>
  <c r="I20" i="251" s="1"/>
  <c r="S12" i="251"/>
  <c r="Q12" i="251"/>
  <c r="O18" i="251" s="1"/>
  <c r="O19" i="251" s="1"/>
  <c r="O20" i="251" s="1"/>
  <c r="O12" i="251"/>
  <c r="N18" i="251" s="1"/>
  <c r="N19" i="251" s="1"/>
  <c r="N20" i="251" s="1"/>
  <c r="N12" i="251"/>
  <c r="M12" i="251"/>
  <c r="M18" i="251" s="1"/>
  <c r="M19" i="251" s="1"/>
  <c r="M20" i="251" s="1"/>
  <c r="K12" i="251"/>
  <c r="G18" i="251" s="1"/>
  <c r="G19" i="251" s="1"/>
  <c r="G20" i="251" s="1"/>
  <c r="I12" i="251"/>
  <c r="F18" i="251" s="1"/>
  <c r="F19" i="251" s="1"/>
  <c r="F20" i="251" s="1"/>
  <c r="G12" i="251"/>
  <c r="F12" i="251"/>
  <c r="E12" i="251"/>
  <c r="D18" i="251" s="1"/>
  <c r="D19" i="251" s="1"/>
  <c r="D20" i="251" s="1"/>
  <c r="C12" i="251"/>
  <c r="B18" i="251" s="1"/>
  <c r="B19" i="251" s="1"/>
  <c r="B20" i="251" s="1"/>
  <c r="X11" i="251"/>
  <c r="V11" i="251"/>
  <c r="T11" i="251"/>
  <c r="R11" i="251"/>
  <c r="P11" i="251"/>
  <c r="N11" i="251"/>
  <c r="L11" i="251"/>
  <c r="J11" i="251"/>
  <c r="H11" i="251"/>
  <c r="Y11" i="251" s="1"/>
  <c r="F11" i="251"/>
  <c r="D11" i="251"/>
  <c r="X10" i="251"/>
  <c r="V10" i="251"/>
  <c r="T10" i="251"/>
  <c r="R10" i="251"/>
  <c r="P10" i="251"/>
  <c r="N10" i="251"/>
  <c r="L10" i="251"/>
  <c r="J10" i="251"/>
  <c r="H10" i="251"/>
  <c r="Y10" i="251" s="1"/>
  <c r="F10" i="251"/>
  <c r="D10" i="251"/>
  <c r="X9" i="251"/>
  <c r="V9" i="251"/>
  <c r="T9" i="251"/>
  <c r="R9" i="251"/>
  <c r="P9" i="251"/>
  <c r="N9" i="251"/>
  <c r="L9" i="251"/>
  <c r="J9" i="251"/>
  <c r="H9" i="251"/>
  <c r="F9" i="251"/>
  <c r="D9" i="251"/>
  <c r="X8" i="251"/>
  <c r="V8" i="251"/>
  <c r="T8" i="251"/>
  <c r="R8" i="251"/>
  <c r="P8" i="251"/>
  <c r="N8" i="251"/>
  <c r="L8" i="251"/>
  <c r="J8" i="251"/>
  <c r="H8" i="251"/>
  <c r="F8" i="251"/>
  <c r="D8" i="251"/>
  <c r="X7" i="251"/>
  <c r="V7" i="251"/>
  <c r="T7" i="251"/>
  <c r="R7" i="251"/>
  <c r="P7" i="251"/>
  <c r="N7" i="251"/>
  <c r="L7" i="251"/>
  <c r="J7" i="251"/>
  <c r="H7" i="251"/>
  <c r="F7" i="251"/>
  <c r="D7" i="251"/>
  <c r="X6" i="251"/>
  <c r="V6" i="251"/>
  <c r="T6" i="251"/>
  <c r="T12" i="251" s="1"/>
  <c r="R6" i="251"/>
  <c r="R12" i="251" s="1"/>
  <c r="P6" i="251"/>
  <c r="P12" i="251" s="1"/>
  <c r="N6" i="251"/>
  <c r="L6" i="251"/>
  <c r="L12" i="251" s="1"/>
  <c r="J6" i="251"/>
  <c r="H6" i="251"/>
  <c r="F6" i="251"/>
  <c r="D6" i="251"/>
  <c r="V25" i="250"/>
  <c r="F22" i="250"/>
  <c r="S19" i="250"/>
  <c r="S20" i="250" s="1"/>
  <c r="Q19" i="250"/>
  <c r="Q20" i="250" s="1"/>
  <c r="P19" i="250"/>
  <c r="P20" i="250" s="1"/>
  <c r="L19" i="250"/>
  <c r="L20" i="250" s="1"/>
  <c r="J19" i="250"/>
  <c r="J20" i="250" s="1"/>
  <c r="H19" i="250"/>
  <c r="H20" i="250" s="1"/>
  <c r="W12" i="250"/>
  <c r="K18" i="250" s="1"/>
  <c r="K19" i="250" s="1"/>
  <c r="K20" i="250" s="1"/>
  <c r="U12" i="250"/>
  <c r="I18" i="250" s="1"/>
  <c r="I19" i="250" s="1"/>
  <c r="I20" i="250" s="1"/>
  <c r="S12" i="250"/>
  <c r="Q12" i="250"/>
  <c r="O18" i="250" s="1"/>
  <c r="O19" i="250" s="1"/>
  <c r="O20" i="250" s="1"/>
  <c r="O12" i="250"/>
  <c r="N18" i="250" s="1"/>
  <c r="N19" i="250" s="1"/>
  <c r="N20" i="250" s="1"/>
  <c r="M12" i="250"/>
  <c r="M18" i="250" s="1"/>
  <c r="M19" i="250" s="1"/>
  <c r="M20" i="250" s="1"/>
  <c r="K12" i="250"/>
  <c r="G18" i="250" s="1"/>
  <c r="G19" i="250" s="1"/>
  <c r="G20" i="250" s="1"/>
  <c r="I12" i="250"/>
  <c r="F18" i="250" s="1"/>
  <c r="F19" i="250" s="1"/>
  <c r="F20" i="250" s="1"/>
  <c r="G12" i="250"/>
  <c r="E18" i="250" s="1"/>
  <c r="E19" i="250" s="1"/>
  <c r="E20" i="250" s="1"/>
  <c r="E12" i="250"/>
  <c r="D18" i="250" s="1"/>
  <c r="D19" i="250" s="1"/>
  <c r="D20" i="250" s="1"/>
  <c r="C12" i="250"/>
  <c r="B18" i="250" s="1"/>
  <c r="B19" i="250" s="1"/>
  <c r="B20" i="250" s="1"/>
  <c r="X11" i="250"/>
  <c r="V11" i="250"/>
  <c r="T11" i="250"/>
  <c r="R11" i="250"/>
  <c r="P11" i="250"/>
  <c r="N11" i="250"/>
  <c r="L11" i="250"/>
  <c r="J11" i="250"/>
  <c r="H11" i="250"/>
  <c r="F11" i="250"/>
  <c r="D11" i="250"/>
  <c r="Y11" i="250" s="1"/>
  <c r="X10" i="250"/>
  <c r="V10" i="250"/>
  <c r="T10" i="250"/>
  <c r="R10" i="250"/>
  <c r="P10" i="250"/>
  <c r="N10" i="250"/>
  <c r="L10" i="250"/>
  <c r="J10" i="250"/>
  <c r="H10" i="250"/>
  <c r="F10" i="250"/>
  <c r="D10" i="250"/>
  <c r="X9" i="250"/>
  <c r="V9" i="250"/>
  <c r="T9" i="250"/>
  <c r="R9" i="250"/>
  <c r="P9" i="250"/>
  <c r="N9" i="250"/>
  <c r="L9" i="250"/>
  <c r="J9" i="250"/>
  <c r="H9" i="250"/>
  <c r="F9" i="250"/>
  <c r="D9" i="250"/>
  <c r="X8" i="250"/>
  <c r="V8" i="250"/>
  <c r="T8" i="250"/>
  <c r="R8" i="250"/>
  <c r="P8" i="250"/>
  <c r="N8" i="250"/>
  <c r="L8" i="250"/>
  <c r="J8" i="250"/>
  <c r="H8" i="250"/>
  <c r="F8" i="250"/>
  <c r="D8" i="250"/>
  <c r="X7" i="250"/>
  <c r="V7" i="250"/>
  <c r="T7" i="250"/>
  <c r="R7" i="250"/>
  <c r="P7" i="250"/>
  <c r="N7" i="250"/>
  <c r="L7" i="250"/>
  <c r="J7" i="250"/>
  <c r="H7" i="250"/>
  <c r="F7" i="250"/>
  <c r="D7" i="250"/>
  <c r="X6" i="250"/>
  <c r="X12" i="250" s="1"/>
  <c r="V6" i="250"/>
  <c r="T6" i="250"/>
  <c r="T12" i="250" s="1"/>
  <c r="R6" i="250"/>
  <c r="R12" i="250" s="1"/>
  <c r="P6" i="250"/>
  <c r="P12" i="250" s="1"/>
  <c r="N6" i="250"/>
  <c r="N12" i="250" s="1"/>
  <c r="L6" i="250"/>
  <c r="L12" i="250" s="1"/>
  <c r="J6" i="250"/>
  <c r="H6" i="250"/>
  <c r="F6" i="250"/>
  <c r="F12" i="250" s="1"/>
  <c r="D6" i="250"/>
  <c r="Y9" i="255" l="1"/>
  <c r="V12" i="255"/>
  <c r="D12" i="255"/>
  <c r="J12" i="255"/>
  <c r="Y8" i="255"/>
  <c r="Y7" i="255"/>
  <c r="B21" i="255"/>
  <c r="Y6" i="255"/>
  <c r="H12" i="254"/>
  <c r="Y8" i="254"/>
  <c r="J12" i="254"/>
  <c r="Y7" i="254"/>
  <c r="Y6" i="254"/>
  <c r="D12" i="254"/>
  <c r="B21" i="254"/>
  <c r="Y12" i="254"/>
  <c r="V16" i="254" s="1"/>
  <c r="V24" i="254" s="1"/>
  <c r="T12" i="253"/>
  <c r="Y9" i="253"/>
  <c r="V12" i="253"/>
  <c r="L12" i="253"/>
  <c r="Y8" i="253"/>
  <c r="J12" i="253"/>
  <c r="H12" i="253"/>
  <c r="Y7" i="253"/>
  <c r="D12" i="253"/>
  <c r="B21" i="253"/>
  <c r="Y6" i="253"/>
  <c r="J12" i="252"/>
  <c r="H12" i="252"/>
  <c r="X12" i="252"/>
  <c r="Y6" i="252"/>
  <c r="Y9" i="252"/>
  <c r="Y8" i="252"/>
  <c r="D12" i="252"/>
  <c r="B21" i="252"/>
  <c r="X12" i="251"/>
  <c r="H12" i="251"/>
  <c r="V12" i="251"/>
  <c r="Y9" i="251"/>
  <c r="J12" i="251"/>
  <c r="D12" i="251"/>
  <c r="Y8" i="251"/>
  <c r="Y7" i="251"/>
  <c r="B21" i="251"/>
  <c r="Y6" i="251"/>
  <c r="Y10" i="250"/>
  <c r="V12" i="250"/>
  <c r="Y9" i="250"/>
  <c r="J12" i="250"/>
  <c r="Y7" i="250"/>
  <c r="H12" i="250"/>
  <c r="Y8" i="250"/>
  <c r="D12" i="250"/>
  <c r="B21" i="250"/>
  <c r="Y6" i="250"/>
  <c r="Y12" i="255" l="1"/>
  <c r="V16" i="255" s="1"/>
  <c r="V24" i="255" s="1"/>
  <c r="Y12" i="253"/>
  <c r="V16" i="253" s="1"/>
  <c r="V24" i="253" s="1"/>
  <c r="Y12" i="252"/>
  <c r="V16" i="252" s="1"/>
  <c r="V24" i="252" s="1"/>
  <c r="Y12" i="251"/>
  <c r="V16" i="251" s="1"/>
  <c r="V24" i="251" s="1"/>
  <c r="Y12" i="250"/>
  <c r="V16" i="250" s="1"/>
  <c r="V24" i="250" s="1"/>
  <c r="V25" i="249" l="1"/>
  <c r="F22" i="249"/>
  <c r="S19" i="249"/>
  <c r="S20" i="249" s="1"/>
  <c r="Q19" i="249"/>
  <c r="Q20" i="249" s="1"/>
  <c r="P19" i="249"/>
  <c r="P20" i="249" s="1"/>
  <c r="L19" i="249"/>
  <c r="L20" i="249" s="1"/>
  <c r="J19" i="249"/>
  <c r="J20" i="249" s="1"/>
  <c r="H19" i="249"/>
  <c r="H20" i="249" s="1"/>
  <c r="D19" i="249"/>
  <c r="D20" i="249" s="1"/>
  <c r="O18" i="249"/>
  <c r="O19" i="249" s="1"/>
  <c r="O20" i="249" s="1"/>
  <c r="M18" i="249"/>
  <c r="M19" i="249" s="1"/>
  <c r="M20" i="249" s="1"/>
  <c r="D18" i="249"/>
  <c r="W12" i="249"/>
  <c r="K18" i="249" s="1"/>
  <c r="K19" i="249" s="1"/>
  <c r="K20" i="249" s="1"/>
  <c r="U12" i="249"/>
  <c r="I18" i="249" s="1"/>
  <c r="I19" i="249" s="1"/>
  <c r="I20" i="249" s="1"/>
  <c r="S12" i="249"/>
  <c r="Q12" i="249"/>
  <c r="P12" i="249"/>
  <c r="O12" i="249"/>
  <c r="N18" i="249" s="1"/>
  <c r="N19" i="249" s="1"/>
  <c r="N20" i="249" s="1"/>
  <c r="N12" i="249"/>
  <c r="M12" i="249"/>
  <c r="K12" i="249"/>
  <c r="G18" i="249" s="1"/>
  <c r="G19" i="249" s="1"/>
  <c r="G20" i="249" s="1"/>
  <c r="I12" i="249"/>
  <c r="F18" i="249" s="1"/>
  <c r="F19" i="249" s="1"/>
  <c r="F20" i="249" s="1"/>
  <c r="G12" i="249"/>
  <c r="E18" i="249" s="1"/>
  <c r="E19" i="249" s="1"/>
  <c r="E20" i="249" s="1"/>
  <c r="F12" i="249"/>
  <c r="E12" i="249"/>
  <c r="C12" i="249"/>
  <c r="B18" i="249" s="1"/>
  <c r="B19" i="249" s="1"/>
  <c r="B20" i="249" s="1"/>
  <c r="X11" i="249"/>
  <c r="V11" i="249"/>
  <c r="T11" i="249"/>
  <c r="R11" i="249"/>
  <c r="P11" i="249"/>
  <c r="N11" i="249"/>
  <c r="L11" i="249"/>
  <c r="J11" i="249"/>
  <c r="Y11" i="249" s="1"/>
  <c r="H11" i="249"/>
  <c r="F11" i="249"/>
  <c r="D11" i="249"/>
  <c r="X10" i="249"/>
  <c r="V10" i="249"/>
  <c r="T10" i="249"/>
  <c r="R10" i="249"/>
  <c r="P10" i="249"/>
  <c r="N10" i="249"/>
  <c r="L10" i="249"/>
  <c r="J10" i="249"/>
  <c r="Y10" i="249" s="1"/>
  <c r="H10" i="249"/>
  <c r="F10" i="249"/>
  <c r="D10" i="249"/>
  <c r="X9" i="249"/>
  <c r="V9" i="249"/>
  <c r="T9" i="249"/>
  <c r="R9" i="249"/>
  <c r="P9" i="249"/>
  <c r="N9" i="249"/>
  <c r="L9" i="249"/>
  <c r="J9" i="249"/>
  <c r="H9" i="249"/>
  <c r="F9" i="249"/>
  <c r="D9" i="249"/>
  <c r="X8" i="249"/>
  <c r="V8" i="249"/>
  <c r="T8" i="249"/>
  <c r="R8" i="249"/>
  <c r="P8" i="249"/>
  <c r="N8" i="249"/>
  <c r="L8" i="249"/>
  <c r="J8" i="249"/>
  <c r="H8" i="249"/>
  <c r="H12" i="249" s="1"/>
  <c r="F8" i="249"/>
  <c r="D8" i="249"/>
  <c r="X7" i="249"/>
  <c r="V7" i="249"/>
  <c r="T7" i="249"/>
  <c r="R7" i="249"/>
  <c r="P7" i="249"/>
  <c r="N7" i="249"/>
  <c r="L7" i="249"/>
  <c r="J7" i="249"/>
  <c r="H7" i="249"/>
  <c r="F7" i="249"/>
  <c r="D7" i="249"/>
  <c r="X6" i="249"/>
  <c r="V6" i="249"/>
  <c r="V12" i="249" s="1"/>
  <c r="T6" i="249"/>
  <c r="T12" i="249" s="1"/>
  <c r="R6" i="249"/>
  <c r="R12" i="249" s="1"/>
  <c r="P6" i="249"/>
  <c r="N6" i="249"/>
  <c r="L6" i="249"/>
  <c r="L12" i="249" s="1"/>
  <c r="J6" i="249"/>
  <c r="H6" i="249"/>
  <c r="F6" i="249"/>
  <c r="D6" i="249"/>
  <c r="V25" i="248"/>
  <c r="F22" i="248"/>
  <c r="S19" i="248"/>
  <c r="S20" i="248" s="1"/>
  <c r="Q19" i="248"/>
  <c r="Q20" i="248" s="1"/>
  <c r="P19" i="248"/>
  <c r="P20" i="248" s="1"/>
  <c r="L19" i="248"/>
  <c r="L20" i="248" s="1"/>
  <c r="J19" i="248"/>
  <c r="J20" i="248" s="1"/>
  <c r="H19" i="248"/>
  <c r="H20" i="248" s="1"/>
  <c r="K18" i="248"/>
  <c r="K19" i="248" s="1"/>
  <c r="K20" i="248" s="1"/>
  <c r="W12" i="248"/>
  <c r="U12" i="248"/>
  <c r="I18" i="248" s="1"/>
  <c r="I19" i="248" s="1"/>
  <c r="I20" i="248" s="1"/>
  <c r="S12" i="248"/>
  <c r="Q12" i="248"/>
  <c r="O18" i="248" s="1"/>
  <c r="O19" i="248" s="1"/>
  <c r="O20" i="248" s="1"/>
  <c r="O12" i="248"/>
  <c r="N18" i="248" s="1"/>
  <c r="N19" i="248" s="1"/>
  <c r="N20" i="248" s="1"/>
  <c r="N12" i="248"/>
  <c r="M12" i="248"/>
  <c r="M18" i="248" s="1"/>
  <c r="M19" i="248" s="1"/>
  <c r="M20" i="248" s="1"/>
  <c r="K12" i="248"/>
  <c r="G18" i="248" s="1"/>
  <c r="G19" i="248" s="1"/>
  <c r="G20" i="248" s="1"/>
  <c r="I12" i="248"/>
  <c r="F18" i="248" s="1"/>
  <c r="F19" i="248" s="1"/>
  <c r="F20" i="248" s="1"/>
  <c r="G12" i="248"/>
  <c r="E18" i="248" s="1"/>
  <c r="E19" i="248" s="1"/>
  <c r="E20" i="248" s="1"/>
  <c r="F12" i="248"/>
  <c r="E12" i="248"/>
  <c r="D18" i="248" s="1"/>
  <c r="D19" i="248" s="1"/>
  <c r="D20" i="248" s="1"/>
  <c r="C12" i="248"/>
  <c r="B18" i="248" s="1"/>
  <c r="B19" i="248" s="1"/>
  <c r="B20" i="248" s="1"/>
  <c r="X11" i="248"/>
  <c r="V11" i="248"/>
  <c r="T11" i="248"/>
  <c r="R11" i="248"/>
  <c r="P11" i="248"/>
  <c r="N11" i="248"/>
  <c r="L11" i="248"/>
  <c r="J11" i="248"/>
  <c r="H11" i="248"/>
  <c r="Y11" i="248" s="1"/>
  <c r="F11" i="248"/>
  <c r="D11" i="248"/>
  <c r="X10" i="248"/>
  <c r="V10" i="248"/>
  <c r="T10" i="248"/>
  <c r="R10" i="248"/>
  <c r="P10" i="248"/>
  <c r="N10" i="248"/>
  <c r="L10" i="248"/>
  <c r="J10" i="248"/>
  <c r="H10" i="248"/>
  <c r="Y10" i="248" s="1"/>
  <c r="F10" i="248"/>
  <c r="D10" i="248"/>
  <c r="X9" i="248"/>
  <c r="V9" i="248"/>
  <c r="T9" i="248"/>
  <c r="R9" i="248"/>
  <c r="P9" i="248"/>
  <c r="N9" i="248"/>
  <c r="L9" i="248"/>
  <c r="J9" i="248"/>
  <c r="H9" i="248"/>
  <c r="F9" i="248"/>
  <c r="D9" i="248"/>
  <c r="X8" i="248"/>
  <c r="V8" i="248"/>
  <c r="T8" i="248"/>
  <c r="R8" i="248"/>
  <c r="P8" i="248"/>
  <c r="N8" i="248"/>
  <c r="L8" i="248"/>
  <c r="J8" i="248"/>
  <c r="H8" i="248"/>
  <c r="F8" i="248"/>
  <c r="D8" i="248"/>
  <c r="X7" i="248"/>
  <c r="V7" i="248"/>
  <c r="T7" i="248"/>
  <c r="R7" i="248"/>
  <c r="P7" i="248"/>
  <c r="N7" i="248"/>
  <c r="L7" i="248"/>
  <c r="J7" i="248"/>
  <c r="H7" i="248"/>
  <c r="F7" i="248"/>
  <c r="D7" i="248"/>
  <c r="X6" i="248"/>
  <c r="V6" i="248"/>
  <c r="T6" i="248"/>
  <c r="T12" i="248" s="1"/>
  <c r="R6" i="248"/>
  <c r="R12" i="248" s="1"/>
  <c r="P6" i="248"/>
  <c r="P12" i="248" s="1"/>
  <c r="N6" i="248"/>
  <c r="L6" i="248"/>
  <c r="L12" i="248" s="1"/>
  <c r="J6" i="248"/>
  <c r="H6" i="248"/>
  <c r="F6" i="248"/>
  <c r="D6" i="248"/>
  <c r="Y9" i="249" l="1"/>
  <c r="Y7" i="249"/>
  <c r="X12" i="249"/>
  <c r="J12" i="249"/>
  <c r="D12" i="249"/>
  <c r="Y8" i="249"/>
  <c r="B21" i="249"/>
  <c r="Y6" i="249"/>
  <c r="X12" i="248"/>
  <c r="H12" i="248"/>
  <c r="D12" i="248"/>
  <c r="V12" i="248"/>
  <c r="Y8" i="248"/>
  <c r="J12" i="248"/>
  <c r="Y7" i="248"/>
  <c r="Y9" i="248"/>
  <c r="B21" i="248"/>
  <c r="Y12" i="248"/>
  <c r="V16" i="248" s="1"/>
  <c r="V24" i="248" s="1"/>
  <c r="Y6" i="248"/>
  <c r="Y12" i="249" l="1"/>
  <c r="V16" i="249" s="1"/>
  <c r="V24" i="249" s="1"/>
  <c r="V25" i="247"/>
  <c r="F22" i="247"/>
  <c r="S19" i="247"/>
  <c r="S20" i="247" s="1"/>
  <c r="Q19" i="247"/>
  <c r="Q20" i="247" s="1"/>
  <c r="P19" i="247"/>
  <c r="P20" i="247" s="1"/>
  <c r="L19" i="247"/>
  <c r="L20" i="247" s="1"/>
  <c r="J19" i="247"/>
  <c r="J20" i="247" s="1"/>
  <c r="H19" i="247"/>
  <c r="H20" i="247" s="1"/>
  <c r="W12" i="247"/>
  <c r="K18" i="247" s="1"/>
  <c r="K19" i="247" s="1"/>
  <c r="K20" i="247" s="1"/>
  <c r="U12" i="247"/>
  <c r="I18" i="247" s="1"/>
  <c r="I19" i="247" s="1"/>
  <c r="I20" i="247" s="1"/>
  <c r="S12" i="247"/>
  <c r="Q12" i="247"/>
  <c r="O18" i="247" s="1"/>
  <c r="O19" i="247" s="1"/>
  <c r="O20" i="247" s="1"/>
  <c r="O12" i="247"/>
  <c r="N18" i="247" s="1"/>
  <c r="N19" i="247" s="1"/>
  <c r="N20" i="247" s="1"/>
  <c r="M12" i="247"/>
  <c r="M18" i="247" s="1"/>
  <c r="M19" i="247" s="1"/>
  <c r="M20" i="247" s="1"/>
  <c r="K12" i="247"/>
  <c r="G18" i="247" s="1"/>
  <c r="G19" i="247" s="1"/>
  <c r="G20" i="247" s="1"/>
  <c r="I12" i="247"/>
  <c r="F18" i="247" s="1"/>
  <c r="F19" i="247" s="1"/>
  <c r="F20" i="247" s="1"/>
  <c r="G12" i="247"/>
  <c r="E18" i="247" s="1"/>
  <c r="E19" i="247" s="1"/>
  <c r="E20" i="247" s="1"/>
  <c r="E12" i="247"/>
  <c r="D18" i="247" s="1"/>
  <c r="D19" i="247" s="1"/>
  <c r="D20" i="247" s="1"/>
  <c r="C12" i="247"/>
  <c r="B18" i="247" s="1"/>
  <c r="B19" i="247" s="1"/>
  <c r="B20" i="247" s="1"/>
  <c r="X11" i="247"/>
  <c r="V11" i="247"/>
  <c r="T11" i="247"/>
  <c r="R11" i="247"/>
  <c r="P11" i="247"/>
  <c r="N11" i="247"/>
  <c r="L11" i="247"/>
  <c r="J11" i="247"/>
  <c r="H11" i="247"/>
  <c r="F11" i="247"/>
  <c r="D11" i="247"/>
  <c r="Y11" i="247" s="1"/>
  <c r="X10" i="247"/>
  <c r="V10" i="247"/>
  <c r="T10" i="247"/>
  <c r="R10" i="247"/>
  <c r="P10" i="247"/>
  <c r="N10" i="247"/>
  <c r="L10" i="247"/>
  <c r="J10" i="247"/>
  <c r="H10" i="247"/>
  <c r="F10" i="247"/>
  <c r="D10" i="247"/>
  <c r="Y10" i="247" s="1"/>
  <c r="X9" i="247"/>
  <c r="V9" i="247"/>
  <c r="T9" i="247"/>
  <c r="R9" i="247"/>
  <c r="P9" i="247"/>
  <c r="N9" i="247"/>
  <c r="L9" i="247"/>
  <c r="J9" i="247"/>
  <c r="H9" i="247"/>
  <c r="F9" i="247"/>
  <c r="D9" i="247"/>
  <c r="X8" i="247"/>
  <c r="V8" i="247"/>
  <c r="T8" i="247"/>
  <c r="R8" i="247"/>
  <c r="P8" i="247"/>
  <c r="N8" i="247"/>
  <c r="L8" i="247"/>
  <c r="J8" i="247"/>
  <c r="H8" i="247"/>
  <c r="F8" i="247"/>
  <c r="D8" i="247"/>
  <c r="X7" i="247"/>
  <c r="V7" i="247"/>
  <c r="T7" i="247"/>
  <c r="R7" i="247"/>
  <c r="P7" i="247"/>
  <c r="N7" i="247"/>
  <c r="L7" i="247"/>
  <c r="J7" i="247"/>
  <c r="H7" i="247"/>
  <c r="F7" i="247"/>
  <c r="D7" i="247"/>
  <c r="X6" i="247"/>
  <c r="X12" i="247" s="1"/>
  <c r="V6" i="247"/>
  <c r="T6" i="247"/>
  <c r="R6" i="247"/>
  <c r="R12" i="247" s="1"/>
  <c r="P6" i="247"/>
  <c r="P12" i="247" s="1"/>
  <c r="N6" i="247"/>
  <c r="N12" i="247" s="1"/>
  <c r="L6" i="247"/>
  <c r="L12" i="247" s="1"/>
  <c r="J6" i="247"/>
  <c r="H6" i="247"/>
  <c r="F6" i="247"/>
  <c r="F12" i="247" s="1"/>
  <c r="D6" i="247"/>
  <c r="V25" i="246"/>
  <c r="F22" i="246"/>
  <c r="S19" i="246"/>
  <c r="S20" i="246" s="1"/>
  <c r="Q19" i="246"/>
  <c r="Q20" i="246" s="1"/>
  <c r="P19" i="246"/>
  <c r="P20" i="246" s="1"/>
  <c r="L19" i="246"/>
  <c r="L20" i="246" s="1"/>
  <c r="J19" i="246"/>
  <c r="J20" i="246" s="1"/>
  <c r="H19" i="246"/>
  <c r="H20" i="246" s="1"/>
  <c r="K18" i="246"/>
  <c r="K19" i="246" s="1"/>
  <c r="K20" i="246" s="1"/>
  <c r="W12" i="246"/>
  <c r="U12" i="246"/>
  <c r="I18" i="246" s="1"/>
  <c r="I19" i="246" s="1"/>
  <c r="I20" i="246" s="1"/>
  <c r="S12" i="246"/>
  <c r="Q12" i="246"/>
  <c r="O18" i="246" s="1"/>
  <c r="O19" i="246" s="1"/>
  <c r="O20" i="246" s="1"/>
  <c r="O12" i="246"/>
  <c r="N18" i="246" s="1"/>
  <c r="N19" i="246" s="1"/>
  <c r="N20" i="246" s="1"/>
  <c r="M12" i="246"/>
  <c r="M18" i="246" s="1"/>
  <c r="M19" i="246" s="1"/>
  <c r="M20" i="246" s="1"/>
  <c r="K12" i="246"/>
  <c r="G18" i="246" s="1"/>
  <c r="G19" i="246" s="1"/>
  <c r="G20" i="246" s="1"/>
  <c r="I12" i="246"/>
  <c r="F18" i="246" s="1"/>
  <c r="F19" i="246" s="1"/>
  <c r="F20" i="246" s="1"/>
  <c r="G12" i="246"/>
  <c r="E18" i="246" s="1"/>
  <c r="E19" i="246" s="1"/>
  <c r="E20" i="246" s="1"/>
  <c r="E12" i="246"/>
  <c r="D18" i="246" s="1"/>
  <c r="D19" i="246" s="1"/>
  <c r="D20" i="246" s="1"/>
  <c r="C12" i="246"/>
  <c r="B18" i="246" s="1"/>
  <c r="B19" i="246" s="1"/>
  <c r="B20" i="246" s="1"/>
  <c r="X11" i="246"/>
  <c r="V11" i="246"/>
  <c r="T11" i="246"/>
  <c r="R11" i="246"/>
  <c r="P11" i="246"/>
  <c r="N11" i="246"/>
  <c r="L11" i="246"/>
  <c r="J11" i="246"/>
  <c r="H11" i="246"/>
  <c r="Y11" i="246" s="1"/>
  <c r="F11" i="246"/>
  <c r="D11" i="246"/>
  <c r="X10" i="246"/>
  <c r="V10" i="246"/>
  <c r="T10" i="246"/>
  <c r="R10" i="246"/>
  <c r="P10" i="246"/>
  <c r="N10" i="246"/>
  <c r="L10" i="246"/>
  <c r="J10" i="246"/>
  <c r="H10" i="246"/>
  <c r="Y10" i="246" s="1"/>
  <c r="F10" i="246"/>
  <c r="D10" i="246"/>
  <c r="X9" i="246"/>
  <c r="V9" i="246"/>
  <c r="T9" i="246"/>
  <c r="R9" i="246"/>
  <c r="P9" i="246"/>
  <c r="N9" i="246"/>
  <c r="L9" i="246"/>
  <c r="J9" i="246"/>
  <c r="H9" i="246"/>
  <c r="F9" i="246"/>
  <c r="D9" i="246"/>
  <c r="X8" i="246"/>
  <c r="V8" i="246"/>
  <c r="T8" i="246"/>
  <c r="R8" i="246"/>
  <c r="P8" i="246"/>
  <c r="N8" i="246"/>
  <c r="L8" i="246"/>
  <c r="J8" i="246"/>
  <c r="H8" i="246"/>
  <c r="F8" i="246"/>
  <c r="D8" i="246"/>
  <c r="X7" i="246"/>
  <c r="V7" i="246"/>
  <c r="T7" i="246"/>
  <c r="R7" i="246"/>
  <c r="P7" i="246"/>
  <c r="N7" i="246"/>
  <c r="L7" i="246"/>
  <c r="J7" i="246"/>
  <c r="H7" i="246"/>
  <c r="F7" i="246"/>
  <c r="D7" i="246"/>
  <c r="X6" i="246"/>
  <c r="X12" i="246" s="1"/>
  <c r="V6" i="246"/>
  <c r="V12" i="246" s="1"/>
  <c r="T6" i="246"/>
  <c r="R6" i="246"/>
  <c r="R12" i="246" s="1"/>
  <c r="P6" i="246"/>
  <c r="P12" i="246" s="1"/>
  <c r="N6" i="246"/>
  <c r="N12" i="246" s="1"/>
  <c r="L6" i="246"/>
  <c r="L12" i="246" s="1"/>
  <c r="J6" i="246"/>
  <c r="H6" i="246"/>
  <c r="F6" i="246"/>
  <c r="F12" i="246" s="1"/>
  <c r="D6" i="246"/>
  <c r="V25" i="245"/>
  <c r="F22" i="245"/>
  <c r="S19" i="245"/>
  <c r="S20" i="245" s="1"/>
  <c r="Q19" i="245"/>
  <c r="Q20" i="245" s="1"/>
  <c r="P19" i="245"/>
  <c r="P20" i="245" s="1"/>
  <c r="L19" i="245"/>
  <c r="L20" i="245" s="1"/>
  <c r="J19" i="245"/>
  <c r="J20" i="245" s="1"/>
  <c r="H19" i="245"/>
  <c r="H20" i="245" s="1"/>
  <c r="O18" i="245"/>
  <c r="O19" i="245" s="1"/>
  <c r="O20" i="245" s="1"/>
  <c r="K18" i="245"/>
  <c r="K19" i="245" s="1"/>
  <c r="K20" i="245" s="1"/>
  <c r="I18" i="245"/>
  <c r="I19" i="245" s="1"/>
  <c r="I20" i="245" s="1"/>
  <c r="D18" i="245"/>
  <c r="D19" i="245" s="1"/>
  <c r="D20" i="245" s="1"/>
  <c r="W12" i="245"/>
  <c r="U12" i="245"/>
  <c r="T12" i="245"/>
  <c r="S12" i="245"/>
  <c r="Q12" i="245"/>
  <c r="O12" i="245"/>
  <c r="N18" i="245" s="1"/>
  <c r="N19" i="245" s="1"/>
  <c r="N20" i="245" s="1"/>
  <c r="M12" i="245"/>
  <c r="M18" i="245" s="1"/>
  <c r="M19" i="245" s="1"/>
  <c r="M20" i="245" s="1"/>
  <c r="L12" i="245"/>
  <c r="K12" i="245"/>
  <c r="G18" i="245" s="1"/>
  <c r="G19" i="245" s="1"/>
  <c r="G20" i="245" s="1"/>
  <c r="I12" i="245"/>
  <c r="F18" i="245" s="1"/>
  <c r="F19" i="245" s="1"/>
  <c r="F20" i="245" s="1"/>
  <c r="G12" i="245"/>
  <c r="E18" i="245" s="1"/>
  <c r="E19" i="245" s="1"/>
  <c r="E20" i="245" s="1"/>
  <c r="E12" i="245"/>
  <c r="C12" i="245"/>
  <c r="B18" i="245" s="1"/>
  <c r="B19" i="245" s="1"/>
  <c r="B20" i="245" s="1"/>
  <c r="X11" i="245"/>
  <c r="V11" i="245"/>
  <c r="T11" i="245"/>
  <c r="R11" i="245"/>
  <c r="P11" i="245"/>
  <c r="N11" i="245"/>
  <c r="L11" i="245"/>
  <c r="J11" i="245"/>
  <c r="H11" i="245"/>
  <c r="F11" i="245"/>
  <c r="D11" i="245"/>
  <c r="Y11" i="245" s="1"/>
  <c r="X10" i="245"/>
  <c r="V10" i="245"/>
  <c r="T10" i="245"/>
  <c r="R10" i="245"/>
  <c r="P10" i="245"/>
  <c r="N10" i="245"/>
  <c r="L10" i="245"/>
  <c r="J10" i="245"/>
  <c r="H10" i="245"/>
  <c r="F10" i="245"/>
  <c r="D10" i="245"/>
  <c r="X9" i="245"/>
  <c r="V9" i="245"/>
  <c r="T9" i="245"/>
  <c r="R9" i="245"/>
  <c r="P9" i="245"/>
  <c r="N9" i="245"/>
  <c r="L9" i="245"/>
  <c r="J9" i="245"/>
  <c r="H9" i="245"/>
  <c r="F9" i="245"/>
  <c r="D9" i="245"/>
  <c r="Y9" i="245" s="1"/>
  <c r="X8" i="245"/>
  <c r="V8" i="245"/>
  <c r="T8" i="245"/>
  <c r="R8" i="245"/>
  <c r="P8" i="245"/>
  <c r="N8" i="245"/>
  <c r="L8" i="245"/>
  <c r="J8" i="245"/>
  <c r="H8" i="245"/>
  <c r="F8" i="245"/>
  <c r="D8" i="245"/>
  <c r="X7" i="245"/>
  <c r="V7" i="245"/>
  <c r="T7" i="245"/>
  <c r="R7" i="245"/>
  <c r="P7" i="245"/>
  <c r="N7" i="245"/>
  <c r="L7" i="245"/>
  <c r="J7" i="245"/>
  <c r="H7" i="245"/>
  <c r="F7" i="245"/>
  <c r="D7" i="245"/>
  <c r="Y7" i="245" s="1"/>
  <c r="X6" i="245"/>
  <c r="X12" i="245" s="1"/>
  <c r="V6" i="245"/>
  <c r="V12" i="245" s="1"/>
  <c r="T6" i="245"/>
  <c r="R6" i="245"/>
  <c r="R12" i="245" s="1"/>
  <c r="P6" i="245"/>
  <c r="P12" i="245" s="1"/>
  <c r="N6" i="245"/>
  <c r="N12" i="245" s="1"/>
  <c r="L6" i="245"/>
  <c r="J6" i="245"/>
  <c r="H6" i="245"/>
  <c r="H12" i="245" s="1"/>
  <c r="F6" i="245"/>
  <c r="F12" i="245" s="1"/>
  <c r="D6" i="245"/>
  <c r="V25" i="244"/>
  <c r="F22" i="244"/>
  <c r="S19" i="244"/>
  <c r="S20" i="244" s="1"/>
  <c r="Q19" i="244"/>
  <c r="Q20" i="244" s="1"/>
  <c r="P19" i="244"/>
  <c r="P20" i="244" s="1"/>
  <c r="L19" i="244"/>
  <c r="L20" i="244" s="1"/>
  <c r="J19" i="244"/>
  <c r="J20" i="244" s="1"/>
  <c r="H19" i="244"/>
  <c r="H20" i="244" s="1"/>
  <c r="O18" i="244"/>
  <c r="O19" i="244" s="1"/>
  <c r="O20" i="244" s="1"/>
  <c r="I18" i="244"/>
  <c r="I19" i="244" s="1"/>
  <c r="I20" i="244" s="1"/>
  <c r="D18" i="244"/>
  <c r="D19" i="244" s="1"/>
  <c r="D20" i="244" s="1"/>
  <c r="X12" i="244"/>
  <c r="W12" i="244"/>
  <c r="K18" i="244" s="1"/>
  <c r="K19" i="244" s="1"/>
  <c r="K20" i="244" s="1"/>
  <c r="U12" i="244"/>
  <c r="T12" i="244"/>
  <c r="S12" i="244"/>
  <c r="Q12" i="244"/>
  <c r="P12" i="244"/>
  <c r="O12" i="244"/>
  <c r="N18" i="244" s="1"/>
  <c r="N19" i="244" s="1"/>
  <c r="N20" i="244" s="1"/>
  <c r="M12" i="244"/>
  <c r="M18" i="244" s="1"/>
  <c r="M19" i="244" s="1"/>
  <c r="M20" i="244" s="1"/>
  <c r="L12" i="244"/>
  <c r="K12" i="244"/>
  <c r="G18" i="244" s="1"/>
  <c r="G19" i="244" s="1"/>
  <c r="G20" i="244" s="1"/>
  <c r="I12" i="244"/>
  <c r="F18" i="244" s="1"/>
  <c r="F19" i="244" s="1"/>
  <c r="F20" i="244" s="1"/>
  <c r="H12" i="244"/>
  <c r="G12" i="244"/>
  <c r="E18" i="244" s="1"/>
  <c r="E19" i="244" s="1"/>
  <c r="E20" i="244" s="1"/>
  <c r="E12" i="244"/>
  <c r="C12" i="244"/>
  <c r="B18" i="244" s="1"/>
  <c r="B19" i="244" s="1"/>
  <c r="B20" i="244" s="1"/>
  <c r="X11" i="244"/>
  <c r="V11" i="244"/>
  <c r="T11" i="244"/>
  <c r="R11" i="244"/>
  <c r="P11" i="244"/>
  <c r="N11" i="244"/>
  <c r="L11" i="244"/>
  <c r="J11" i="244"/>
  <c r="H11" i="244"/>
  <c r="F11" i="244"/>
  <c r="D11" i="244"/>
  <c r="Y11" i="244" s="1"/>
  <c r="X10" i="244"/>
  <c r="V10" i="244"/>
  <c r="T10" i="244"/>
  <c r="R10" i="244"/>
  <c r="P10" i="244"/>
  <c r="N10" i="244"/>
  <c r="L10" i="244"/>
  <c r="J10" i="244"/>
  <c r="H10" i="244"/>
  <c r="F10" i="244"/>
  <c r="D10" i="244"/>
  <c r="Y10" i="244" s="1"/>
  <c r="X9" i="244"/>
  <c r="V9" i="244"/>
  <c r="T9" i="244"/>
  <c r="R9" i="244"/>
  <c r="P9" i="244"/>
  <c r="N9" i="244"/>
  <c r="L9" i="244"/>
  <c r="J9" i="244"/>
  <c r="H9" i="244"/>
  <c r="F9" i="244"/>
  <c r="D9" i="244"/>
  <c r="Y9" i="244" s="1"/>
  <c r="X8" i="244"/>
  <c r="V8" i="244"/>
  <c r="T8" i="244"/>
  <c r="R8" i="244"/>
  <c r="P8" i="244"/>
  <c r="N8" i="244"/>
  <c r="L8" i="244"/>
  <c r="J8" i="244"/>
  <c r="H8" i="244"/>
  <c r="F8" i="244"/>
  <c r="D8" i="244"/>
  <c r="X7" i="244"/>
  <c r="V7" i="244"/>
  <c r="T7" i="244"/>
  <c r="R7" i="244"/>
  <c r="P7" i="244"/>
  <c r="N7" i="244"/>
  <c r="L7" i="244"/>
  <c r="J7" i="244"/>
  <c r="H7" i="244"/>
  <c r="F7" i="244"/>
  <c r="D7" i="244"/>
  <c r="X6" i="244"/>
  <c r="V6" i="244"/>
  <c r="V12" i="244" s="1"/>
  <c r="T6" i="244"/>
  <c r="R6" i="244"/>
  <c r="R12" i="244" s="1"/>
  <c r="P6" i="244"/>
  <c r="N6" i="244"/>
  <c r="N12" i="244" s="1"/>
  <c r="L6" i="244"/>
  <c r="J6" i="244"/>
  <c r="H6" i="244"/>
  <c r="F6" i="244"/>
  <c r="F12" i="244" s="1"/>
  <c r="D6" i="244"/>
  <c r="V25" i="243"/>
  <c r="F22" i="243"/>
  <c r="S19" i="243"/>
  <c r="S20" i="243" s="1"/>
  <c r="Q19" i="243"/>
  <c r="Q20" i="243" s="1"/>
  <c r="P19" i="243"/>
  <c r="P20" i="243" s="1"/>
  <c r="L19" i="243"/>
  <c r="L20" i="243" s="1"/>
  <c r="J19" i="243"/>
  <c r="J20" i="243" s="1"/>
  <c r="H19" i="243"/>
  <c r="H20" i="243" s="1"/>
  <c r="E18" i="243"/>
  <c r="E19" i="243" s="1"/>
  <c r="E20" i="243" s="1"/>
  <c r="W12" i="243"/>
  <c r="K18" i="243" s="1"/>
  <c r="K19" i="243" s="1"/>
  <c r="K20" i="243" s="1"/>
  <c r="V12" i="243"/>
  <c r="U12" i="243"/>
  <c r="I18" i="243" s="1"/>
  <c r="I19" i="243" s="1"/>
  <c r="I20" i="243" s="1"/>
  <c r="S12" i="243"/>
  <c r="Q12" i="243"/>
  <c r="O18" i="243" s="1"/>
  <c r="O19" i="243" s="1"/>
  <c r="O20" i="243" s="1"/>
  <c r="O12" i="243"/>
  <c r="N18" i="243" s="1"/>
  <c r="N19" i="243" s="1"/>
  <c r="N20" i="243" s="1"/>
  <c r="N12" i="243"/>
  <c r="M12" i="243"/>
  <c r="M18" i="243" s="1"/>
  <c r="M19" i="243" s="1"/>
  <c r="M20" i="243" s="1"/>
  <c r="K12" i="243"/>
  <c r="G18" i="243" s="1"/>
  <c r="G19" i="243" s="1"/>
  <c r="G20" i="243" s="1"/>
  <c r="I12" i="243"/>
  <c r="F18" i="243" s="1"/>
  <c r="F19" i="243" s="1"/>
  <c r="F20" i="243" s="1"/>
  <c r="G12" i="243"/>
  <c r="E12" i="243"/>
  <c r="D18" i="243" s="1"/>
  <c r="D19" i="243" s="1"/>
  <c r="D20" i="243" s="1"/>
  <c r="C12" i="243"/>
  <c r="B18" i="243" s="1"/>
  <c r="B19" i="243" s="1"/>
  <c r="B20" i="243" s="1"/>
  <c r="X11" i="243"/>
  <c r="V11" i="243"/>
  <c r="T11" i="243"/>
  <c r="R11" i="243"/>
  <c r="P11" i="243"/>
  <c r="N11" i="243"/>
  <c r="L11" i="243"/>
  <c r="J11" i="243"/>
  <c r="H11" i="243"/>
  <c r="Y11" i="243" s="1"/>
  <c r="F11" i="243"/>
  <c r="D11" i="243"/>
  <c r="X10" i="243"/>
  <c r="V10" i="243"/>
  <c r="T10" i="243"/>
  <c r="R10" i="243"/>
  <c r="P10" i="243"/>
  <c r="N10" i="243"/>
  <c r="L10" i="243"/>
  <c r="J10" i="243"/>
  <c r="H10" i="243"/>
  <c r="Y10" i="243" s="1"/>
  <c r="F10" i="243"/>
  <c r="D10" i="243"/>
  <c r="X9" i="243"/>
  <c r="V9" i="243"/>
  <c r="T9" i="243"/>
  <c r="R9" i="243"/>
  <c r="P9" i="243"/>
  <c r="N9" i="243"/>
  <c r="L9" i="243"/>
  <c r="J9" i="243"/>
  <c r="H9" i="243"/>
  <c r="F9" i="243"/>
  <c r="D9" i="243"/>
  <c r="X8" i="243"/>
  <c r="V8" i="243"/>
  <c r="T8" i="243"/>
  <c r="R8" i="243"/>
  <c r="P8" i="243"/>
  <c r="N8" i="243"/>
  <c r="L8" i="243"/>
  <c r="J8" i="243"/>
  <c r="H8" i="243"/>
  <c r="F8" i="243"/>
  <c r="D8" i="243"/>
  <c r="X7" i="243"/>
  <c r="V7" i="243"/>
  <c r="T7" i="243"/>
  <c r="R7" i="243"/>
  <c r="P7" i="243"/>
  <c r="N7" i="243"/>
  <c r="L7" i="243"/>
  <c r="J7" i="243"/>
  <c r="H7" i="243"/>
  <c r="F7" i="243"/>
  <c r="F12" i="243" s="1"/>
  <c r="D7" i="243"/>
  <c r="X6" i="243"/>
  <c r="X12" i="243" s="1"/>
  <c r="V6" i="243"/>
  <c r="T6" i="243"/>
  <c r="T12" i="243" s="1"/>
  <c r="R6" i="243"/>
  <c r="R12" i="243" s="1"/>
  <c r="P6" i="243"/>
  <c r="P12" i="243" s="1"/>
  <c r="N6" i="243"/>
  <c r="L6" i="243"/>
  <c r="L12" i="243" s="1"/>
  <c r="J6" i="243"/>
  <c r="H6" i="243"/>
  <c r="F6" i="243"/>
  <c r="D6" i="243"/>
  <c r="V25" i="242"/>
  <c r="F22" i="242"/>
  <c r="S19" i="242"/>
  <c r="S20" i="242" s="1"/>
  <c r="Q19" i="242"/>
  <c r="Q20" i="242" s="1"/>
  <c r="P19" i="242"/>
  <c r="P20" i="242" s="1"/>
  <c r="L19" i="242"/>
  <c r="L20" i="242" s="1"/>
  <c r="J19" i="242"/>
  <c r="J20" i="242" s="1"/>
  <c r="H19" i="242"/>
  <c r="H20" i="242" s="1"/>
  <c r="W12" i="242"/>
  <c r="K18" i="242" s="1"/>
  <c r="K19" i="242" s="1"/>
  <c r="K20" i="242" s="1"/>
  <c r="U12" i="242"/>
  <c r="I18" i="242" s="1"/>
  <c r="I19" i="242" s="1"/>
  <c r="I20" i="242" s="1"/>
  <c r="S12" i="242"/>
  <c r="Q12" i="242"/>
  <c r="O18" i="242" s="1"/>
  <c r="O19" i="242" s="1"/>
  <c r="O20" i="242" s="1"/>
  <c r="O12" i="242"/>
  <c r="N18" i="242" s="1"/>
  <c r="N19" i="242" s="1"/>
  <c r="N20" i="242" s="1"/>
  <c r="N12" i="242"/>
  <c r="M12" i="242"/>
  <c r="M18" i="242" s="1"/>
  <c r="M19" i="242" s="1"/>
  <c r="M20" i="242" s="1"/>
  <c r="K12" i="242"/>
  <c r="G18" i="242" s="1"/>
  <c r="G19" i="242" s="1"/>
  <c r="G20" i="242" s="1"/>
  <c r="I12" i="242"/>
  <c r="F18" i="242" s="1"/>
  <c r="F19" i="242" s="1"/>
  <c r="F20" i="242" s="1"/>
  <c r="G12" i="242"/>
  <c r="E18" i="242" s="1"/>
  <c r="E19" i="242" s="1"/>
  <c r="E20" i="242" s="1"/>
  <c r="E12" i="242"/>
  <c r="D18" i="242" s="1"/>
  <c r="D19" i="242" s="1"/>
  <c r="D20" i="242" s="1"/>
  <c r="C12" i="242"/>
  <c r="B18" i="242" s="1"/>
  <c r="B19" i="242" s="1"/>
  <c r="B20" i="242" s="1"/>
  <c r="X11" i="242"/>
  <c r="V11" i="242"/>
  <c r="T11" i="242"/>
  <c r="R11" i="242"/>
  <c r="P11" i="242"/>
  <c r="N11" i="242"/>
  <c r="L11" i="242"/>
  <c r="J11" i="242"/>
  <c r="H11" i="242"/>
  <c r="F11" i="242"/>
  <c r="D11" i="242"/>
  <c r="X10" i="242"/>
  <c r="V10" i="242"/>
  <c r="T10" i="242"/>
  <c r="R10" i="242"/>
  <c r="P10" i="242"/>
  <c r="N10" i="242"/>
  <c r="L10" i="242"/>
  <c r="J10" i="242"/>
  <c r="H10" i="242"/>
  <c r="Y10" i="242" s="1"/>
  <c r="F10" i="242"/>
  <c r="D10" i="242"/>
  <c r="X9" i="242"/>
  <c r="V9" i="242"/>
  <c r="T9" i="242"/>
  <c r="R9" i="242"/>
  <c r="P9" i="242"/>
  <c r="N9" i="242"/>
  <c r="L9" i="242"/>
  <c r="J9" i="242"/>
  <c r="H9" i="242"/>
  <c r="Y9" i="242" s="1"/>
  <c r="F9" i="242"/>
  <c r="D9" i="242"/>
  <c r="X8" i="242"/>
  <c r="V8" i="242"/>
  <c r="V12" i="242" s="1"/>
  <c r="T8" i="242"/>
  <c r="R8" i="242"/>
  <c r="P8" i="242"/>
  <c r="N8" i="242"/>
  <c r="L8" i="242"/>
  <c r="J8" i="242"/>
  <c r="H8" i="242"/>
  <c r="F8" i="242"/>
  <c r="D8" i="242"/>
  <c r="X7" i="242"/>
  <c r="V7" i="242"/>
  <c r="T7" i="242"/>
  <c r="R7" i="242"/>
  <c r="P7" i="242"/>
  <c r="N7" i="242"/>
  <c r="L7" i="242"/>
  <c r="J7" i="242"/>
  <c r="H7" i="242"/>
  <c r="F7" i="242"/>
  <c r="F12" i="242" s="1"/>
  <c r="D7" i="242"/>
  <c r="X6" i="242"/>
  <c r="V6" i="242"/>
  <c r="T6" i="242"/>
  <c r="T12" i="242" s="1"/>
  <c r="R6" i="242"/>
  <c r="R12" i="242" s="1"/>
  <c r="P6" i="242"/>
  <c r="P12" i="242" s="1"/>
  <c r="N6" i="242"/>
  <c r="L6" i="242"/>
  <c r="L12" i="242" s="1"/>
  <c r="J6" i="242"/>
  <c r="H6" i="242"/>
  <c r="H12" i="242" s="1"/>
  <c r="F6" i="242"/>
  <c r="D6" i="242"/>
  <c r="V25" i="241"/>
  <c r="F22" i="241"/>
  <c r="S19" i="241"/>
  <c r="S20" i="241" s="1"/>
  <c r="Q19" i="241"/>
  <c r="Q20" i="241" s="1"/>
  <c r="P19" i="241"/>
  <c r="P20" i="241" s="1"/>
  <c r="L19" i="241"/>
  <c r="L20" i="241" s="1"/>
  <c r="J19" i="241"/>
  <c r="J20" i="241" s="1"/>
  <c r="H19" i="241"/>
  <c r="H20" i="241" s="1"/>
  <c r="O18" i="241"/>
  <c r="O19" i="241" s="1"/>
  <c r="O20" i="241" s="1"/>
  <c r="I18" i="241"/>
  <c r="I19" i="241" s="1"/>
  <c r="I20" i="241" s="1"/>
  <c r="D18" i="241"/>
  <c r="D19" i="241" s="1"/>
  <c r="D20" i="241" s="1"/>
  <c r="W12" i="241"/>
  <c r="K18" i="241" s="1"/>
  <c r="K19" i="241" s="1"/>
  <c r="K20" i="241" s="1"/>
  <c r="U12" i="241"/>
  <c r="T12" i="241"/>
  <c r="S12" i="241"/>
  <c r="Q12" i="241"/>
  <c r="P12" i="241"/>
  <c r="O12" i="241"/>
  <c r="N18" i="241" s="1"/>
  <c r="N19" i="241" s="1"/>
  <c r="N20" i="241" s="1"/>
  <c r="M12" i="241"/>
  <c r="M18" i="241" s="1"/>
  <c r="M19" i="241" s="1"/>
  <c r="M20" i="241" s="1"/>
  <c r="L12" i="241"/>
  <c r="K12" i="241"/>
  <c r="G18" i="241" s="1"/>
  <c r="G19" i="241" s="1"/>
  <c r="G20" i="241" s="1"/>
  <c r="I12" i="241"/>
  <c r="F18" i="241" s="1"/>
  <c r="F19" i="241" s="1"/>
  <c r="F20" i="241" s="1"/>
  <c r="G12" i="241"/>
  <c r="E18" i="241" s="1"/>
  <c r="E19" i="241" s="1"/>
  <c r="E20" i="241" s="1"/>
  <c r="E12" i="241"/>
  <c r="C12" i="241"/>
  <c r="B18" i="241" s="1"/>
  <c r="B19" i="241" s="1"/>
  <c r="B20" i="241" s="1"/>
  <c r="X11" i="241"/>
  <c r="V11" i="241"/>
  <c r="T11" i="241"/>
  <c r="R11" i="241"/>
  <c r="P11" i="241"/>
  <c r="N11" i="241"/>
  <c r="L11" i="241"/>
  <c r="J11" i="241"/>
  <c r="H11" i="241"/>
  <c r="F11" i="241"/>
  <c r="D11" i="241"/>
  <c r="Y11" i="241" s="1"/>
  <c r="X10" i="241"/>
  <c r="V10" i="241"/>
  <c r="T10" i="241"/>
  <c r="R10" i="241"/>
  <c r="P10" i="241"/>
  <c r="N10" i="241"/>
  <c r="L10" i="241"/>
  <c r="J10" i="241"/>
  <c r="H10" i="241"/>
  <c r="F10" i="241"/>
  <c r="D10" i="241"/>
  <c r="Y10" i="241" s="1"/>
  <c r="X9" i="241"/>
  <c r="X12" i="241" s="1"/>
  <c r="V9" i="241"/>
  <c r="T9" i="241"/>
  <c r="R9" i="241"/>
  <c r="P9" i="241"/>
  <c r="N9" i="241"/>
  <c r="L9" i="241"/>
  <c r="J9" i="241"/>
  <c r="H9" i="241"/>
  <c r="F9" i="241"/>
  <c r="D9" i="241"/>
  <c r="X8" i="241"/>
  <c r="V8" i="241"/>
  <c r="T8" i="241"/>
  <c r="R8" i="241"/>
  <c r="P8" i="241"/>
  <c r="N8" i="241"/>
  <c r="L8" i="241"/>
  <c r="J8" i="241"/>
  <c r="H8" i="241"/>
  <c r="F8" i="241"/>
  <c r="D8" i="241"/>
  <c r="X7" i="241"/>
  <c r="V7" i="241"/>
  <c r="T7" i="241"/>
  <c r="R7" i="241"/>
  <c r="P7" i="241"/>
  <c r="N7" i="241"/>
  <c r="L7" i="241"/>
  <c r="J7" i="241"/>
  <c r="H7" i="241"/>
  <c r="F7" i="241"/>
  <c r="D7" i="241"/>
  <c r="X6" i="241"/>
  <c r="V6" i="241"/>
  <c r="V12" i="241" s="1"/>
  <c r="T6" i="241"/>
  <c r="R6" i="241"/>
  <c r="R12" i="241" s="1"/>
  <c r="P6" i="241"/>
  <c r="N6" i="241"/>
  <c r="N12" i="241" s="1"/>
  <c r="L6" i="241"/>
  <c r="J6" i="241"/>
  <c r="H6" i="241"/>
  <c r="H12" i="241" s="1"/>
  <c r="F6" i="241"/>
  <c r="F12" i="241" s="1"/>
  <c r="D6" i="241"/>
  <c r="V25" i="240"/>
  <c r="F22" i="240"/>
  <c r="S19" i="240"/>
  <c r="S20" i="240" s="1"/>
  <c r="Q19" i="240"/>
  <c r="Q20" i="240" s="1"/>
  <c r="P19" i="240"/>
  <c r="P20" i="240" s="1"/>
  <c r="L19" i="240"/>
  <c r="L20" i="240" s="1"/>
  <c r="J19" i="240"/>
  <c r="J20" i="240" s="1"/>
  <c r="H19" i="240"/>
  <c r="H20" i="240" s="1"/>
  <c r="O18" i="240"/>
  <c r="O19" i="240" s="1"/>
  <c r="O20" i="240" s="1"/>
  <c r="I18" i="240"/>
  <c r="I19" i="240" s="1"/>
  <c r="I20" i="240" s="1"/>
  <c r="D18" i="240"/>
  <c r="D19" i="240" s="1"/>
  <c r="D20" i="240" s="1"/>
  <c r="X12" i="240"/>
  <c r="W12" i="240"/>
  <c r="K18" i="240" s="1"/>
  <c r="K19" i="240" s="1"/>
  <c r="K20" i="240" s="1"/>
  <c r="U12" i="240"/>
  <c r="S12" i="240"/>
  <c r="Q12" i="240"/>
  <c r="O12" i="240"/>
  <c r="N18" i="240" s="1"/>
  <c r="N19" i="240" s="1"/>
  <c r="N20" i="240" s="1"/>
  <c r="M12" i="240"/>
  <c r="M18" i="240" s="1"/>
  <c r="M19" i="240" s="1"/>
  <c r="M20" i="240" s="1"/>
  <c r="L12" i="240"/>
  <c r="K12" i="240"/>
  <c r="G18" i="240" s="1"/>
  <c r="G19" i="240" s="1"/>
  <c r="G20" i="240" s="1"/>
  <c r="I12" i="240"/>
  <c r="F18" i="240" s="1"/>
  <c r="F19" i="240" s="1"/>
  <c r="F20" i="240" s="1"/>
  <c r="G12" i="240"/>
  <c r="E18" i="240" s="1"/>
  <c r="E19" i="240" s="1"/>
  <c r="E20" i="240" s="1"/>
  <c r="E12" i="240"/>
  <c r="C12" i="240"/>
  <c r="B18" i="240" s="1"/>
  <c r="B19" i="240" s="1"/>
  <c r="B20" i="240" s="1"/>
  <c r="X11" i="240"/>
  <c r="V11" i="240"/>
  <c r="T11" i="240"/>
  <c r="R11" i="240"/>
  <c r="P11" i="240"/>
  <c r="N11" i="240"/>
  <c r="L11" i="240"/>
  <c r="J11" i="240"/>
  <c r="H11" i="240"/>
  <c r="F11" i="240"/>
  <c r="Y11" i="240" s="1"/>
  <c r="D11" i="240"/>
  <c r="X10" i="240"/>
  <c r="V10" i="240"/>
  <c r="T10" i="240"/>
  <c r="R10" i="240"/>
  <c r="P10" i="240"/>
  <c r="P12" i="240" s="1"/>
  <c r="N10" i="240"/>
  <c r="L10" i="240"/>
  <c r="J10" i="240"/>
  <c r="H10" i="240"/>
  <c r="F10" i="240"/>
  <c r="D10" i="240"/>
  <c r="X9" i="240"/>
  <c r="V9" i="240"/>
  <c r="T9" i="240"/>
  <c r="R9" i="240"/>
  <c r="P9" i="240"/>
  <c r="N9" i="240"/>
  <c r="L9" i="240"/>
  <c r="J9" i="240"/>
  <c r="H9" i="240"/>
  <c r="F9" i="240"/>
  <c r="D9" i="240"/>
  <c r="X8" i="240"/>
  <c r="V8" i="240"/>
  <c r="T8" i="240"/>
  <c r="R8" i="240"/>
  <c r="P8" i="240"/>
  <c r="N8" i="240"/>
  <c r="L8" i="240"/>
  <c r="J8" i="240"/>
  <c r="H8" i="240"/>
  <c r="F8" i="240"/>
  <c r="D8" i="240"/>
  <c r="X7" i="240"/>
  <c r="V7" i="240"/>
  <c r="T7" i="240"/>
  <c r="R7" i="240"/>
  <c r="P7" i="240"/>
  <c r="N7" i="240"/>
  <c r="L7" i="240"/>
  <c r="J7" i="240"/>
  <c r="H7" i="240"/>
  <c r="F7" i="240"/>
  <c r="D7" i="240"/>
  <c r="X6" i="240"/>
  <c r="V6" i="240"/>
  <c r="V12" i="240" s="1"/>
  <c r="T6" i="240"/>
  <c r="T12" i="240" s="1"/>
  <c r="R6" i="240"/>
  <c r="R12" i="240" s="1"/>
  <c r="P6" i="240"/>
  <c r="N6" i="240"/>
  <c r="N12" i="240" s="1"/>
  <c r="L6" i="240"/>
  <c r="J6" i="240"/>
  <c r="H6" i="240"/>
  <c r="F6" i="240"/>
  <c r="F12" i="240" s="1"/>
  <c r="D6" i="240"/>
  <c r="D12" i="240" s="1"/>
  <c r="Y9" i="247" l="1"/>
  <c r="V12" i="247"/>
  <c r="T12" i="247"/>
  <c r="Y8" i="247"/>
  <c r="J12" i="247"/>
  <c r="Y7" i="247"/>
  <c r="H12" i="247"/>
  <c r="D12" i="247"/>
  <c r="B21" i="247"/>
  <c r="Y6" i="247"/>
  <c r="T12" i="246"/>
  <c r="Y9" i="246"/>
  <c r="Y8" i="246"/>
  <c r="J12" i="246"/>
  <c r="H12" i="246"/>
  <c r="D12" i="246"/>
  <c r="Y7" i="246"/>
  <c r="B21" i="246"/>
  <c r="Y6" i="246"/>
  <c r="Y10" i="245"/>
  <c r="Y6" i="245"/>
  <c r="Y8" i="245"/>
  <c r="J12" i="245"/>
  <c r="D12" i="245"/>
  <c r="B21" i="245"/>
  <c r="Y8" i="244"/>
  <c r="J12" i="244"/>
  <c r="Y7" i="244"/>
  <c r="Y6" i="244"/>
  <c r="D12" i="244"/>
  <c r="Y12" i="244" s="1"/>
  <c r="V16" i="244" s="1"/>
  <c r="V24" i="244" s="1"/>
  <c r="B21" i="244"/>
  <c r="J12" i="243"/>
  <c r="Y9" i="243"/>
  <c r="H12" i="243"/>
  <c r="D12" i="243"/>
  <c r="Y8" i="243"/>
  <c r="Y7" i="243"/>
  <c r="B21" i="243"/>
  <c r="Y6" i="243"/>
  <c r="X12" i="242"/>
  <c r="J12" i="242"/>
  <c r="D12" i="242"/>
  <c r="Y8" i="242"/>
  <c r="Y7" i="242"/>
  <c r="Y11" i="242"/>
  <c r="B21" i="242"/>
  <c r="Y6" i="242"/>
  <c r="Y8" i="241"/>
  <c r="Y9" i="241"/>
  <c r="J12" i="241"/>
  <c r="Y6" i="241"/>
  <c r="Y7" i="241"/>
  <c r="D12" i="241"/>
  <c r="B21" i="241"/>
  <c r="Y12" i="241"/>
  <c r="V16" i="241" s="1"/>
  <c r="V24" i="241" s="1"/>
  <c r="Y9" i="240"/>
  <c r="Y8" i="240"/>
  <c r="H12" i="240"/>
  <c r="Y10" i="240"/>
  <c r="J12" i="240"/>
  <c r="Y12" i="240" s="1"/>
  <c r="V16" i="240" s="1"/>
  <c r="V24" i="240" s="1"/>
  <c r="Y7" i="240"/>
  <c r="B21" i="240"/>
  <c r="Y6" i="240"/>
  <c r="Y12" i="247" l="1"/>
  <c r="V16" i="247" s="1"/>
  <c r="V24" i="247" s="1"/>
  <c r="Y12" i="246"/>
  <c r="V16" i="246" s="1"/>
  <c r="V24" i="246" s="1"/>
  <c r="Y12" i="245"/>
  <c r="V16" i="245" s="1"/>
  <c r="V24" i="245" s="1"/>
  <c r="Y12" i="243"/>
  <c r="V16" i="243" s="1"/>
  <c r="V24" i="243" s="1"/>
  <c r="Y12" i="242"/>
  <c r="V16" i="242" s="1"/>
  <c r="V24" i="242" s="1"/>
  <c r="V25" i="239"/>
  <c r="F22" i="239"/>
  <c r="S19" i="239"/>
  <c r="S20" i="239" s="1"/>
  <c r="Q19" i="239"/>
  <c r="Q20" i="239" s="1"/>
  <c r="P19" i="239"/>
  <c r="P20" i="239" s="1"/>
  <c r="L19" i="239"/>
  <c r="L20" i="239" s="1"/>
  <c r="J19" i="239"/>
  <c r="J20" i="239" s="1"/>
  <c r="H19" i="239"/>
  <c r="H20" i="239" s="1"/>
  <c r="O18" i="239"/>
  <c r="O19" i="239" s="1"/>
  <c r="O20" i="239" s="1"/>
  <c r="I18" i="239"/>
  <c r="I19" i="239" s="1"/>
  <c r="I20" i="239" s="1"/>
  <c r="W12" i="239"/>
  <c r="K18" i="239" s="1"/>
  <c r="K19" i="239" s="1"/>
  <c r="K20" i="239" s="1"/>
  <c r="U12" i="239"/>
  <c r="T12" i="239"/>
  <c r="S12" i="239"/>
  <c r="Q12" i="239"/>
  <c r="O12" i="239"/>
  <c r="N18" i="239" s="1"/>
  <c r="N19" i="239" s="1"/>
  <c r="N20" i="239" s="1"/>
  <c r="M12" i="239"/>
  <c r="M18" i="239" s="1"/>
  <c r="M19" i="239" s="1"/>
  <c r="M20" i="239" s="1"/>
  <c r="L12" i="239"/>
  <c r="K12" i="239"/>
  <c r="G18" i="239" s="1"/>
  <c r="G19" i="239" s="1"/>
  <c r="G20" i="239" s="1"/>
  <c r="I12" i="239"/>
  <c r="F18" i="239" s="1"/>
  <c r="F19" i="239" s="1"/>
  <c r="F20" i="239" s="1"/>
  <c r="G12" i="239"/>
  <c r="E18" i="239" s="1"/>
  <c r="E19" i="239" s="1"/>
  <c r="E20" i="239" s="1"/>
  <c r="E12" i="239"/>
  <c r="D18" i="239" s="1"/>
  <c r="D19" i="239" s="1"/>
  <c r="D20" i="239" s="1"/>
  <c r="C12" i="239"/>
  <c r="B18" i="239" s="1"/>
  <c r="B19" i="239" s="1"/>
  <c r="B20" i="239" s="1"/>
  <c r="X11" i="239"/>
  <c r="V11" i="239"/>
  <c r="T11" i="239"/>
  <c r="R11" i="239"/>
  <c r="P11" i="239"/>
  <c r="N11" i="239"/>
  <c r="L11" i="239"/>
  <c r="J11" i="239"/>
  <c r="H11" i="239"/>
  <c r="F11" i="239"/>
  <c r="D11" i="239"/>
  <c r="Y11" i="239" s="1"/>
  <c r="X10" i="239"/>
  <c r="V10" i="239"/>
  <c r="T10" i="239"/>
  <c r="R10" i="239"/>
  <c r="P10" i="239"/>
  <c r="P12" i="239" s="1"/>
  <c r="N10" i="239"/>
  <c r="L10" i="239"/>
  <c r="J10" i="239"/>
  <c r="H10" i="239"/>
  <c r="F10" i="239"/>
  <c r="D10" i="239"/>
  <c r="Y10" i="239" s="1"/>
  <c r="X9" i="239"/>
  <c r="V9" i="239"/>
  <c r="T9" i="239"/>
  <c r="R9" i="239"/>
  <c r="P9" i="239"/>
  <c r="N9" i="239"/>
  <c r="L9" i="239"/>
  <c r="J9" i="239"/>
  <c r="H9" i="239"/>
  <c r="F9" i="239"/>
  <c r="D9" i="239"/>
  <c r="X8" i="239"/>
  <c r="X12" i="239" s="1"/>
  <c r="V8" i="239"/>
  <c r="T8" i="239"/>
  <c r="R8" i="239"/>
  <c r="P8" i="239"/>
  <c r="N8" i="239"/>
  <c r="L8" i="239"/>
  <c r="J8" i="239"/>
  <c r="H8" i="239"/>
  <c r="F8" i="239"/>
  <c r="D8" i="239"/>
  <c r="X7" i="239"/>
  <c r="V7" i="239"/>
  <c r="T7" i="239"/>
  <c r="R7" i="239"/>
  <c r="P7" i="239"/>
  <c r="N7" i="239"/>
  <c r="L7" i="239"/>
  <c r="J7" i="239"/>
  <c r="H7" i="239"/>
  <c r="F7" i="239"/>
  <c r="D7" i="239"/>
  <c r="X6" i="239"/>
  <c r="V6" i="239"/>
  <c r="V12" i="239" s="1"/>
  <c r="T6" i="239"/>
  <c r="R6" i="239"/>
  <c r="R12" i="239" s="1"/>
  <c r="P6" i="239"/>
  <c r="N6" i="239"/>
  <c r="N12" i="239" s="1"/>
  <c r="L6" i="239"/>
  <c r="J6" i="239"/>
  <c r="H6" i="239"/>
  <c r="F6" i="239"/>
  <c r="D6" i="239"/>
  <c r="V25" i="238"/>
  <c r="F22" i="238"/>
  <c r="S19" i="238"/>
  <c r="S20" i="238" s="1"/>
  <c r="Q19" i="238"/>
  <c r="Q20" i="238" s="1"/>
  <c r="P19" i="238"/>
  <c r="P20" i="238" s="1"/>
  <c r="L19" i="238"/>
  <c r="L20" i="238" s="1"/>
  <c r="J19" i="238"/>
  <c r="J20" i="238" s="1"/>
  <c r="H19" i="238"/>
  <c r="H20" i="238" s="1"/>
  <c r="W12" i="238"/>
  <c r="K18" i="238" s="1"/>
  <c r="K19" i="238" s="1"/>
  <c r="K20" i="238" s="1"/>
  <c r="V12" i="238"/>
  <c r="U12" i="238"/>
  <c r="I18" i="238" s="1"/>
  <c r="I19" i="238" s="1"/>
  <c r="I20" i="238" s="1"/>
  <c r="S12" i="238"/>
  <c r="Q12" i="238"/>
  <c r="O18" i="238" s="1"/>
  <c r="O19" i="238" s="1"/>
  <c r="O20" i="238" s="1"/>
  <c r="O12" i="238"/>
  <c r="N18" i="238" s="1"/>
  <c r="N19" i="238" s="1"/>
  <c r="N20" i="238" s="1"/>
  <c r="N12" i="238"/>
  <c r="M12" i="238"/>
  <c r="M18" i="238" s="1"/>
  <c r="M19" i="238" s="1"/>
  <c r="M20" i="238" s="1"/>
  <c r="K12" i="238"/>
  <c r="G18" i="238" s="1"/>
  <c r="G19" i="238" s="1"/>
  <c r="G20" i="238" s="1"/>
  <c r="I12" i="238"/>
  <c r="F18" i="238" s="1"/>
  <c r="F19" i="238" s="1"/>
  <c r="F20" i="238" s="1"/>
  <c r="G12" i="238"/>
  <c r="E18" i="238" s="1"/>
  <c r="E19" i="238" s="1"/>
  <c r="E20" i="238" s="1"/>
  <c r="E12" i="238"/>
  <c r="D18" i="238" s="1"/>
  <c r="D19" i="238" s="1"/>
  <c r="D20" i="238" s="1"/>
  <c r="C12" i="238"/>
  <c r="B18" i="238" s="1"/>
  <c r="B19" i="238" s="1"/>
  <c r="B20" i="238" s="1"/>
  <c r="X11" i="238"/>
  <c r="V11" i="238"/>
  <c r="T11" i="238"/>
  <c r="R11" i="238"/>
  <c r="P11" i="238"/>
  <c r="N11" i="238"/>
  <c r="L11" i="238"/>
  <c r="J11" i="238"/>
  <c r="H11" i="238"/>
  <c r="F11" i="238"/>
  <c r="D11" i="238"/>
  <c r="X10" i="238"/>
  <c r="V10" i="238"/>
  <c r="T10" i="238"/>
  <c r="R10" i="238"/>
  <c r="P10" i="238"/>
  <c r="N10" i="238"/>
  <c r="L10" i="238"/>
  <c r="J10" i="238"/>
  <c r="H10" i="238"/>
  <c r="F10" i="238"/>
  <c r="D10" i="238"/>
  <c r="X9" i="238"/>
  <c r="V9" i="238"/>
  <c r="T9" i="238"/>
  <c r="R9" i="238"/>
  <c r="P9" i="238"/>
  <c r="N9" i="238"/>
  <c r="L9" i="238"/>
  <c r="J9" i="238"/>
  <c r="H9" i="238"/>
  <c r="F9" i="238"/>
  <c r="F12" i="238" s="1"/>
  <c r="D9" i="238"/>
  <c r="X8" i="238"/>
  <c r="V8" i="238"/>
  <c r="T8" i="238"/>
  <c r="R8" i="238"/>
  <c r="P8" i="238"/>
  <c r="N8" i="238"/>
  <c r="L8" i="238"/>
  <c r="J8" i="238"/>
  <c r="H8" i="238"/>
  <c r="F8" i="238"/>
  <c r="D8" i="238"/>
  <c r="X7" i="238"/>
  <c r="V7" i="238"/>
  <c r="T7" i="238"/>
  <c r="R7" i="238"/>
  <c r="P7" i="238"/>
  <c r="N7" i="238"/>
  <c r="L7" i="238"/>
  <c r="J7" i="238"/>
  <c r="H7" i="238"/>
  <c r="F7" i="238"/>
  <c r="D7" i="238"/>
  <c r="X6" i="238"/>
  <c r="V6" i="238"/>
  <c r="T6" i="238"/>
  <c r="T12" i="238" s="1"/>
  <c r="R6" i="238"/>
  <c r="R12" i="238" s="1"/>
  <c r="P6" i="238"/>
  <c r="P12" i="238" s="1"/>
  <c r="N6" i="238"/>
  <c r="L6" i="238"/>
  <c r="L12" i="238" s="1"/>
  <c r="J6" i="238"/>
  <c r="H6" i="238"/>
  <c r="F6" i="238"/>
  <c r="D6" i="238"/>
  <c r="V25" i="237"/>
  <c r="F22" i="237"/>
  <c r="S19" i="237"/>
  <c r="S20" i="237" s="1"/>
  <c r="Q19" i="237"/>
  <c r="Q20" i="237" s="1"/>
  <c r="P19" i="237"/>
  <c r="P20" i="237" s="1"/>
  <c r="L19" i="237"/>
  <c r="L20" i="237" s="1"/>
  <c r="J19" i="237"/>
  <c r="J20" i="237" s="1"/>
  <c r="H19" i="237"/>
  <c r="H20" i="237" s="1"/>
  <c r="O18" i="237"/>
  <c r="O19" i="237" s="1"/>
  <c r="O20" i="237" s="1"/>
  <c r="M18" i="237"/>
  <c r="M19" i="237" s="1"/>
  <c r="M20" i="237" s="1"/>
  <c r="D18" i="237"/>
  <c r="D19" i="237" s="1"/>
  <c r="D20" i="237" s="1"/>
  <c r="X12" i="237"/>
  <c r="W12" i="237"/>
  <c r="K18" i="237" s="1"/>
  <c r="K19" i="237" s="1"/>
  <c r="K20" i="237" s="1"/>
  <c r="U12" i="237"/>
  <c r="I18" i="237" s="1"/>
  <c r="I19" i="237" s="1"/>
  <c r="I20" i="237" s="1"/>
  <c r="T12" i="237"/>
  <c r="S12" i="237"/>
  <c r="Q12" i="237"/>
  <c r="P12" i="237"/>
  <c r="O12" i="237"/>
  <c r="N18" i="237" s="1"/>
  <c r="N19" i="237" s="1"/>
  <c r="N20" i="237" s="1"/>
  <c r="M12" i="237"/>
  <c r="L12" i="237"/>
  <c r="K12" i="237"/>
  <c r="G18" i="237" s="1"/>
  <c r="G19" i="237" s="1"/>
  <c r="G20" i="237" s="1"/>
  <c r="I12" i="237"/>
  <c r="F18" i="237" s="1"/>
  <c r="F19" i="237" s="1"/>
  <c r="F20" i="237" s="1"/>
  <c r="G12" i="237"/>
  <c r="E18" i="237" s="1"/>
  <c r="E19" i="237" s="1"/>
  <c r="E20" i="237" s="1"/>
  <c r="E12" i="237"/>
  <c r="C12" i="237"/>
  <c r="B18" i="237" s="1"/>
  <c r="B19" i="237" s="1"/>
  <c r="B20" i="237" s="1"/>
  <c r="X11" i="237"/>
  <c r="V11" i="237"/>
  <c r="T11" i="237"/>
  <c r="R11" i="237"/>
  <c r="P11" i="237"/>
  <c r="N11" i="237"/>
  <c r="L11" i="237"/>
  <c r="J11" i="237"/>
  <c r="H11" i="237"/>
  <c r="F11" i="237"/>
  <c r="Y11" i="237" s="1"/>
  <c r="D11" i="237"/>
  <c r="X10" i="237"/>
  <c r="V10" i="237"/>
  <c r="T10" i="237"/>
  <c r="R10" i="237"/>
  <c r="P10" i="237"/>
  <c r="N10" i="237"/>
  <c r="L10" i="237"/>
  <c r="J10" i="237"/>
  <c r="H10" i="237"/>
  <c r="F10" i="237"/>
  <c r="Y10" i="237" s="1"/>
  <c r="D10" i="237"/>
  <c r="X9" i="237"/>
  <c r="V9" i="237"/>
  <c r="T9" i="237"/>
  <c r="R9" i="237"/>
  <c r="P9" i="237"/>
  <c r="N9" i="237"/>
  <c r="L9" i="237"/>
  <c r="J9" i="237"/>
  <c r="H9" i="237"/>
  <c r="F9" i="237"/>
  <c r="D9" i="237"/>
  <c r="X8" i="237"/>
  <c r="V8" i="237"/>
  <c r="T8" i="237"/>
  <c r="R8" i="237"/>
  <c r="P8" i="237"/>
  <c r="N8" i="237"/>
  <c r="L8" i="237"/>
  <c r="J8" i="237"/>
  <c r="H8" i="237"/>
  <c r="F8" i="237"/>
  <c r="D8" i="237"/>
  <c r="X7" i="237"/>
  <c r="V7" i="237"/>
  <c r="T7" i="237"/>
  <c r="R7" i="237"/>
  <c r="P7" i="237"/>
  <c r="N7" i="237"/>
  <c r="L7" i="237"/>
  <c r="J7" i="237"/>
  <c r="H7" i="237"/>
  <c r="F7" i="237"/>
  <c r="D7" i="237"/>
  <c r="X6" i="237"/>
  <c r="V6" i="237"/>
  <c r="T6" i="237"/>
  <c r="R6" i="237"/>
  <c r="R12" i="237" s="1"/>
  <c r="P6" i="237"/>
  <c r="N6" i="237"/>
  <c r="N12" i="237" s="1"/>
  <c r="L6" i="237"/>
  <c r="J6" i="237"/>
  <c r="H6" i="237"/>
  <c r="F6" i="237"/>
  <c r="F12" i="237" s="1"/>
  <c r="D6" i="237"/>
  <c r="V25" i="236"/>
  <c r="F22" i="236"/>
  <c r="S19" i="236"/>
  <c r="S20" i="236" s="1"/>
  <c r="Q19" i="236"/>
  <c r="Q20" i="236" s="1"/>
  <c r="P19" i="236"/>
  <c r="P20" i="236" s="1"/>
  <c r="L19" i="236"/>
  <c r="L20" i="236" s="1"/>
  <c r="J19" i="236"/>
  <c r="J20" i="236" s="1"/>
  <c r="H19" i="236"/>
  <c r="H20" i="236" s="1"/>
  <c r="M18" i="236"/>
  <c r="M19" i="236" s="1"/>
  <c r="M20" i="236" s="1"/>
  <c r="W12" i="236"/>
  <c r="K18" i="236" s="1"/>
  <c r="K19" i="236" s="1"/>
  <c r="K20" i="236" s="1"/>
  <c r="V12" i="236"/>
  <c r="U12" i="236"/>
  <c r="I18" i="236" s="1"/>
  <c r="I19" i="236" s="1"/>
  <c r="I20" i="236" s="1"/>
  <c r="S12" i="236"/>
  <c r="Q12" i="236"/>
  <c r="O18" i="236" s="1"/>
  <c r="O19" i="236" s="1"/>
  <c r="O20" i="236" s="1"/>
  <c r="O12" i="236"/>
  <c r="N18" i="236" s="1"/>
  <c r="N19" i="236" s="1"/>
  <c r="N20" i="236" s="1"/>
  <c r="N12" i="236"/>
  <c r="M12" i="236"/>
  <c r="K12" i="236"/>
  <c r="G18" i="236" s="1"/>
  <c r="G19" i="236" s="1"/>
  <c r="G20" i="236" s="1"/>
  <c r="I12" i="236"/>
  <c r="F18" i="236" s="1"/>
  <c r="F19" i="236" s="1"/>
  <c r="F20" i="236" s="1"/>
  <c r="G12" i="236"/>
  <c r="E18" i="236" s="1"/>
  <c r="E19" i="236" s="1"/>
  <c r="E20" i="236" s="1"/>
  <c r="F12" i="236"/>
  <c r="E12" i="236"/>
  <c r="D18" i="236" s="1"/>
  <c r="D19" i="236" s="1"/>
  <c r="D20" i="236" s="1"/>
  <c r="C12" i="236"/>
  <c r="B18" i="236" s="1"/>
  <c r="B19" i="236" s="1"/>
  <c r="B20" i="236" s="1"/>
  <c r="X11" i="236"/>
  <c r="V11" i="236"/>
  <c r="T11" i="236"/>
  <c r="R11" i="236"/>
  <c r="P11" i="236"/>
  <c r="N11" i="236"/>
  <c r="L11" i="236"/>
  <c r="J11" i="236"/>
  <c r="Y11" i="236" s="1"/>
  <c r="H11" i="236"/>
  <c r="F11" i="236"/>
  <c r="D11" i="236"/>
  <c r="X10" i="236"/>
  <c r="V10" i="236"/>
  <c r="T10" i="236"/>
  <c r="R10" i="236"/>
  <c r="P10" i="236"/>
  <c r="N10" i="236"/>
  <c r="L10" i="236"/>
  <c r="J10" i="236"/>
  <c r="Y10" i="236" s="1"/>
  <c r="H10" i="236"/>
  <c r="F10" i="236"/>
  <c r="D10" i="236"/>
  <c r="X9" i="236"/>
  <c r="V9" i="236"/>
  <c r="T9" i="236"/>
  <c r="R9" i="236"/>
  <c r="P9" i="236"/>
  <c r="N9" i="236"/>
  <c r="L9" i="236"/>
  <c r="J9" i="236"/>
  <c r="H9" i="236"/>
  <c r="F9" i="236"/>
  <c r="D9" i="236"/>
  <c r="X8" i="236"/>
  <c r="V8" i="236"/>
  <c r="T8" i="236"/>
  <c r="R8" i="236"/>
  <c r="P8" i="236"/>
  <c r="N8" i="236"/>
  <c r="L8" i="236"/>
  <c r="J8" i="236"/>
  <c r="H8" i="236"/>
  <c r="F8" i="236"/>
  <c r="D8" i="236"/>
  <c r="X7" i="236"/>
  <c r="V7" i="236"/>
  <c r="T7" i="236"/>
  <c r="R7" i="236"/>
  <c r="P7" i="236"/>
  <c r="N7" i="236"/>
  <c r="L7" i="236"/>
  <c r="J7" i="236"/>
  <c r="H7" i="236"/>
  <c r="F7" i="236"/>
  <c r="D7" i="236"/>
  <c r="X6" i="236"/>
  <c r="V6" i="236"/>
  <c r="T6" i="236"/>
  <c r="T12" i="236" s="1"/>
  <c r="R6" i="236"/>
  <c r="R12" i="236" s="1"/>
  <c r="P6" i="236"/>
  <c r="P12" i="236" s="1"/>
  <c r="N6" i="236"/>
  <c r="L6" i="236"/>
  <c r="L12" i="236" s="1"/>
  <c r="J6" i="236"/>
  <c r="H6" i="236"/>
  <c r="F6" i="236"/>
  <c r="D6" i="236"/>
  <c r="D6" i="235"/>
  <c r="V25" i="235"/>
  <c r="F22" i="235"/>
  <c r="S19" i="235"/>
  <c r="S20" i="235" s="1"/>
  <c r="Q19" i="235"/>
  <c r="Q20" i="235" s="1"/>
  <c r="P19" i="235"/>
  <c r="P20" i="235" s="1"/>
  <c r="L19" i="235"/>
  <c r="L20" i="235" s="1"/>
  <c r="J19" i="235"/>
  <c r="J20" i="235" s="1"/>
  <c r="H19" i="235"/>
  <c r="H20" i="235" s="1"/>
  <c r="E18" i="235"/>
  <c r="E19" i="235" s="1"/>
  <c r="E20" i="235" s="1"/>
  <c r="W12" i="235"/>
  <c r="K18" i="235" s="1"/>
  <c r="K19" i="235" s="1"/>
  <c r="K20" i="235" s="1"/>
  <c r="U12" i="235"/>
  <c r="I18" i="235" s="1"/>
  <c r="I19" i="235" s="1"/>
  <c r="I20" i="235" s="1"/>
  <c r="S12" i="235"/>
  <c r="Q12" i="235"/>
  <c r="O18" i="235" s="1"/>
  <c r="O19" i="235" s="1"/>
  <c r="O20" i="235" s="1"/>
  <c r="O12" i="235"/>
  <c r="N18" i="235" s="1"/>
  <c r="N19" i="235" s="1"/>
  <c r="N20" i="235" s="1"/>
  <c r="M12" i="235"/>
  <c r="M18" i="235" s="1"/>
  <c r="M19" i="235" s="1"/>
  <c r="M20" i="235" s="1"/>
  <c r="K12" i="235"/>
  <c r="G18" i="235" s="1"/>
  <c r="G19" i="235" s="1"/>
  <c r="G20" i="235" s="1"/>
  <c r="I12" i="235"/>
  <c r="F18" i="235" s="1"/>
  <c r="F19" i="235" s="1"/>
  <c r="F20" i="235" s="1"/>
  <c r="G12" i="235"/>
  <c r="E12" i="235"/>
  <c r="D18" i="235" s="1"/>
  <c r="D19" i="235" s="1"/>
  <c r="D20" i="235" s="1"/>
  <c r="C12" i="235"/>
  <c r="B18" i="235" s="1"/>
  <c r="B19" i="235" s="1"/>
  <c r="B20" i="235" s="1"/>
  <c r="X11" i="235"/>
  <c r="V11" i="235"/>
  <c r="T11" i="235"/>
  <c r="R11" i="235"/>
  <c r="P11" i="235"/>
  <c r="N11" i="235"/>
  <c r="L11" i="235"/>
  <c r="J11" i="235"/>
  <c r="H11" i="235"/>
  <c r="F11" i="235"/>
  <c r="D11" i="235"/>
  <c r="Y11" i="235" s="1"/>
  <c r="X10" i="235"/>
  <c r="V10" i="235"/>
  <c r="T10" i="235"/>
  <c r="R10" i="235"/>
  <c r="P10" i="235"/>
  <c r="N10" i="235"/>
  <c r="L10" i="235"/>
  <c r="J10" i="235"/>
  <c r="H10" i="235"/>
  <c r="F10" i="235"/>
  <c r="D10" i="235"/>
  <c r="Y10" i="235" s="1"/>
  <c r="X9" i="235"/>
  <c r="V9" i="235"/>
  <c r="T9" i="235"/>
  <c r="R9" i="235"/>
  <c r="P9" i="235"/>
  <c r="N9" i="235"/>
  <c r="L9" i="235"/>
  <c r="J9" i="235"/>
  <c r="H9" i="235"/>
  <c r="F9" i="235"/>
  <c r="D9" i="235"/>
  <c r="X8" i="235"/>
  <c r="V8" i="235"/>
  <c r="T8" i="235"/>
  <c r="R8" i="235"/>
  <c r="P8" i="235"/>
  <c r="N8" i="235"/>
  <c r="L8" i="235"/>
  <c r="J8" i="235"/>
  <c r="H8" i="235"/>
  <c r="F8" i="235"/>
  <c r="D8" i="235"/>
  <c r="X7" i="235"/>
  <c r="V7" i="235"/>
  <c r="T7" i="235"/>
  <c r="R7" i="235"/>
  <c r="P7" i="235"/>
  <c r="N7" i="235"/>
  <c r="L7" i="235"/>
  <c r="J7" i="235"/>
  <c r="H7" i="235"/>
  <c r="F7" i="235"/>
  <c r="D7" i="235"/>
  <c r="X6" i="235"/>
  <c r="X12" i="235" s="1"/>
  <c r="V6" i="235"/>
  <c r="V12" i="235" s="1"/>
  <c r="T6" i="235"/>
  <c r="R6" i="235"/>
  <c r="R12" i="235" s="1"/>
  <c r="P6" i="235"/>
  <c r="P12" i="235" s="1"/>
  <c r="N6" i="235"/>
  <c r="N12" i="235" s="1"/>
  <c r="L6" i="235"/>
  <c r="L12" i="235" s="1"/>
  <c r="J6" i="235"/>
  <c r="H6" i="235"/>
  <c r="H12" i="235" s="1"/>
  <c r="F6" i="235"/>
  <c r="F12" i="235" s="1"/>
  <c r="H12" i="239" l="1"/>
  <c r="Y8" i="239"/>
  <c r="F12" i="239"/>
  <c r="Y7" i="239"/>
  <c r="J12" i="239"/>
  <c r="Y6" i="239"/>
  <c r="Y9" i="239"/>
  <c r="D12" i="239"/>
  <c r="B21" i="239"/>
  <c r="Y10" i="238"/>
  <c r="X12" i="238"/>
  <c r="H12" i="238"/>
  <c r="J12" i="238"/>
  <c r="Y9" i="238"/>
  <c r="D12" i="238"/>
  <c r="Y8" i="238"/>
  <c r="Y7" i="238"/>
  <c r="Y11" i="238"/>
  <c r="B21" i="238"/>
  <c r="Y6" i="238"/>
  <c r="H12" i="237"/>
  <c r="D12" i="237"/>
  <c r="V12" i="237"/>
  <c r="J12" i="237"/>
  <c r="Y7" i="237"/>
  <c r="Y9" i="237"/>
  <c r="Y8" i="237"/>
  <c r="B21" i="237"/>
  <c r="Y6" i="237"/>
  <c r="Y9" i="236"/>
  <c r="H12" i="236"/>
  <c r="X12" i="236"/>
  <c r="Y7" i="236"/>
  <c r="J12" i="236"/>
  <c r="D12" i="236"/>
  <c r="Y8" i="236"/>
  <c r="B21" i="236"/>
  <c r="Y6" i="236"/>
  <c r="J12" i="235"/>
  <c r="Y7" i="235"/>
  <c r="T12" i="235"/>
  <c r="Y9" i="235"/>
  <c r="Y8" i="235"/>
  <c r="D12" i="235"/>
  <c r="B21" i="235"/>
  <c r="Y6" i="235"/>
  <c r="V25" i="234"/>
  <c r="F22" i="234"/>
  <c r="S19" i="234"/>
  <c r="S20" i="234" s="1"/>
  <c r="Q19" i="234"/>
  <c r="Q20" i="234" s="1"/>
  <c r="P19" i="234"/>
  <c r="P20" i="234" s="1"/>
  <c r="L19" i="234"/>
  <c r="L20" i="234" s="1"/>
  <c r="J19" i="234"/>
  <c r="J20" i="234" s="1"/>
  <c r="H19" i="234"/>
  <c r="H20" i="234" s="1"/>
  <c r="O18" i="234"/>
  <c r="O19" i="234" s="1"/>
  <c r="O20" i="234" s="1"/>
  <c r="K18" i="234"/>
  <c r="K19" i="234" s="1"/>
  <c r="K20" i="234" s="1"/>
  <c r="I18" i="234"/>
  <c r="I19" i="234" s="1"/>
  <c r="I20" i="234" s="1"/>
  <c r="E18" i="234"/>
  <c r="E19" i="234" s="1"/>
  <c r="E20" i="234" s="1"/>
  <c r="D18" i="234"/>
  <c r="D19" i="234" s="1"/>
  <c r="D20" i="234" s="1"/>
  <c r="X12" i="234"/>
  <c r="W12" i="234"/>
  <c r="U12" i="234"/>
  <c r="S12" i="234"/>
  <c r="Q12" i="234"/>
  <c r="P12" i="234"/>
  <c r="O12" i="234"/>
  <c r="N18" i="234" s="1"/>
  <c r="N19" i="234" s="1"/>
  <c r="N20" i="234" s="1"/>
  <c r="M12" i="234"/>
  <c r="M18" i="234" s="1"/>
  <c r="M19" i="234" s="1"/>
  <c r="M20" i="234" s="1"/>
  <c r="L12" i="234"/>
  <c r="K12" i="234"/>
  <c r="G18" i="234" s="1"/>
  <c r="G19" i="234" s="1"/>
  <c r="G20" i="234" s="1"/>
  <c r="I12" i="234"/>
  <c r="F18" i="234" s="1"/>
  <c r="F19" i="234" s="1"/>
  <c r="F20" i="234" s="1"/>
  <c r="H12" i="234"/>
  <c r="G12" i="234"/>
  <c r="E12" i="234"/>
  <c r="C12" i="234"/>
  <c r="B18" i="234" s="1"/>
  <c r="B19" i="234" s="1"/>
  <c r="B20" i="234" s="1"/>
  <c r="X11" i="234"/>
  <c r="V11" i="234"/>
  <c r="T11" i="234"/>
  <c r="R11" i="234"/>
  <c r="P11" i="234"/>
  <c r="N11" i="234"/>
  <c r="L11" i="234"/>
  <c r="J11" i="234"/>
  <c r="H11" i="234"/>
  <c r="F11" i="234"/>
  <c r="Y11" i="234" s="1"/>
  <c r="D11" i="234"/>
  <c r="X10" i="234"/>
  <c r="V10" i="234"/>
  <c r="T10" i="234"/>
  <c r="R10" i="234"/>
  <c r="P10" i="234"/>
  <c r="N10" i="234"/>
  <c r="L10" i="234"/>
  <c r="J10" i="234"/>
  <c r="H10" i="234"/>
  <c r="F10" i="234"/>
  <c r="Y10" i="234" s="1"/>
  <c r="D10" i="234"/>
  <c r="X9" i="234"/>
  <c r="V9" i="234"/>
  <c r="T9" i="234"/>
  <c r="R9" i="234"/>
  <c r="P9" i="234"/>
  <c r="N9" i="234"/>
  <c r="L9" i="234"/>
  <c r="J9" i="234"/>
  <c r="H9" i="234"/>
  <c r="F9" i="234"/>
  <c r="D9" i="234"/>
  <c r="X8" i="234"/>
  <c r="V8" i="234"/>
  <c r="T8" i="234"/>
  <c r="R8" i="234"/>
  <c r="P8" i="234"/>
  <c r="N8" i="234"/>
  <c r="L8" i="234"/>
  <c r="J8" i="234"/>
  <c r="H8" i="234"/>
  <c r="F8" i="234"/>
  <c r="D8" i="234"/>
  <c r="X7" i="234"/>
  <c r="V7" i="234"/>
  <c r="T7" i="234"/>
  <c r="R7" i="234"/>
  <c r="P7" i="234"/>
  <c r="N7" i="234"/>
  <c r="L7" i="234"/>
  <c r="J7" i="234"/>
  <c r="H7" i="234"/>
  <c r="F7" i="234"/>
  <c r="D7" i="234"/>
  <c r="X6" i="234"/>
  <c r="V6" i="234"/>
  <c r="V12" i="234" s="1"/>
  <c r="T6" i="234"/>
  <c r="R6" i="234"/>
  <c r="R12" i="234" s="1"/>
  <c r="P6" i="234"/>
  <c r="N6" i="234"/>
  <c r="N12" i="234" s="1"/>
  <c r="L6" i="234"/>
  <c r="J6" i="234"/>
  <c r="J12" i="234" s="1"/>
  <c r="H6" i="234"/>
  <c r="F6" i="234"/>
  <c r="F12" i="234" s="1"/>
  <c r="D6" i="234"/>
  <c r="V25" i="233"/>
  <c r="F22" i="233"/>
  <c r="S19" i="233"/>
  <c r="S20" i="233" s="1"/>
  <c r="Q19" i="233"/>
  <c r="Q20" i="233" s="1"/>
  <c r="P19" i="233"/>
  <c r="P20" i="233" s="1"/>
  <c r="L19" i="233"/>
  <c r="L20" i="233" s="1"/>
  <c r="J19" i="233"/>
  <c r="J20" i="233" s="1"/>
  <c r="H19" i="233"/>
  <c r="H20" i="233" s="1"/>
  <c r="O18" i="233"/>
  <c r="O19" i="233" s="1"/>
  <c r="O20" i="233" s="1"/>
  <c r="K18" i="233"/>
  <c r="K19" i="233" s="1"/>
  <c r="K20" i="233" s="1"/>
  <c r="I18" i="233"/>
  <c r="I19" i="233" s="1"/>
  <c r="I20" i="233" s="1"/>
  <c r="E18" i="233"/>
  <c r="E19" i="233" s="1"/>
  <c r="E20" i="233" s="1"/>
  <c r="D18" i="233"/>
  <c r="D19" i="233" s="1"/>
  <c r="D20" i="233" s="1"/>
  <c r="X12" i="233"/>
  <c r="W12" i="233"/>
  <c r="U12" i="233"/>
  <c r="S12" i="233"/>
  <c r="Q12" i="233"/>
  <c r="P12" i="233"/>
  <c r="O12" i="233"/>
  <c r="N18" i="233" s="1"/>
  <c r="N19" i="233" s="1"/>
  <c r="N20" i="233" s="1"/>
  <c r="M12" i="233"/>
  <c r="M18" i="233" s="1"/>
  <c r="M19" i="233" s="1"/>
  <c r="M20" i="233" s="1"/>
  <c r="L12" i="233"/>
  <c r="K12" i="233"/>
  <c r="G18" i="233" s="1"/>
  <c r="G19" i="233" s="1"/>
  <c r="G20" i="233" s="1"/>
  <c r="I12" i="233"/>
  <c r="F18" i="233" s="1"/>
  <c r="F19" i="233" s="1"/>
  <c r="F20" i="233" s="1"/>
  <c r="H12" i="233"/>
  <c r="G12" i="233"/>
  <c r="E12" i="233"/>
  <c r="C12" i="233"/>
  <c r="B18" i="233" s="1"/>
  <c r="B19" i="233" s="1"/>
  <c r="B20" i="233" s="1"/>
  <c r="X11" i="233"/>
  <c r="V11" i="233"/>
  <c r="T11" i="233"/>
  <c r="R11" i="233"/>
  <c r="P11" i="233"/>
  <c r="N11" i="233"/>
  <c r="L11" i="233"/>
  <c r="J11" i="233"/>
  <c r="H11" i="233"/>
  <c r="F11" i="233"/>
  <c r="Y11" i="233" s="1"/>
  <c r="D11" i="233"/>
  <c r="X10" i="233"/>
  <c r="V10" i="233"/>
  <c r="T10" i="233"/>
  <c r="R10" i="233"/>
  <c r="P10" i="233"/>
  <c r="N10" i="233"/>
  <c r="L10" i="233"/>
  <c r="J10" i="233"/>
  <c r="H10" i="233"/>
  <c r="F10" i="233"/>
  <c r="Y10" i="233" s="1"/>
  <c r="D10" i="233"/>
  <c r="X9" i="233"/>
  <c r="V9" i="233"/>
  <c r="T9" i="233"/>
  <c r="T12" i="233" s="1"/>
  <c r="R9" i="233"/>
  <c r="P9" i="233"/>
  <c r="N9" i="233"/>
  <c r="L9" i="233"/>
  <c r="J9" i="233"/>
  <c r="H9" i="233"/>
  <c r="F9" i="233"/>
  <c r="D9" i="233"/>
  <c r="X8" i="233"/>
  <c r="V8" i="233"/>
  <c r="T8" i="233"/>
  <c r="R8" i="233"/>
  <c r="P8" i="233"/>
  <c r="N8" i="233"/>
  <c r="L8" i="233"/>
  <c r="J8" i="233"/>
  <c r="H8" i="233"/>
  <c r="F8" i="233"/>
  <c r="D8" i="233"/>
  <c r="X7" i="233"/>
  <c r="V7" i="233"/>
  <c r="T7" i="233"/>
  <c r="R7" i="233"/>
  <c r="P7" i="233"/>
  <c r="N7" i="233"/>
  <c r="L7" i="233"/>
  <c r="J7" i="233"/>
  <c r="H7" i="233"/>
  <c r="F7" i="233"/>
  <c r="Y7" i="233" s="1"/>
  <c r="D7" i="233"/>
  <c r="X6" i="233"/>
  <c r="V6" i="233"/>
  <c r="V12" i="233" s="1"/>
  <c r="T6" i="233"/>
  <c r="R6" i="233"/>
  <c r="R12" i="233" s="1"/>
  <c r="P6" i="233"/>
  <c r="N6" i="233"/>
  <c r="N12" i="233" s="1"/>
  <c r="L6" i="233"/>
  <c r="J6" i="233"/>
  <c r="H6" i="233"/>
  <c r="F6" i="233"/>
  <c r="F12" i="233" s="1"/>
  <c r="D6" i="233"/>
  <c r="Y12" i="239" l="1"/>
  <c r="V16" i="239" s="1"/>
  <c r="V24" i="239" s="1"/>
  <c r="Y12" i="238"/>
  <c r="V16" i="238" s="1"/>
  <c r="V24" i="238" s="1"/>
  <c r="Y12" i="237"/>
  <c r="V16" i="237" s="1"/>
  <c r="V24" i="237" s="1"/>
  <c r="Y12" i="236"/>
  <c r="V16" i="236" s="1"/>
  <c r="V24" i="236" s="1"/>
  <c r="Y12" i="235"/>
  <c r="V16" i="235" s="1"/>
  <c r="V24" i="235" s="1"/>
  <c r="T12" i="234"/>
  <c r="Y7" i="234"/>
  <c r="D12" i="234"/>
  <c r="Y9" i="234"/>
  <c r="Y8" i="234"/>
  <c r="B21" i="234"/>
  <c r="Y6" i="234"/>
  <c r="D12" i="233"/>
  <c r="J12" i="233"/>
  <c r="Y9" i="233"/>
  <c r="Y8" i="233"/>
  <c r="B21" i="233"/>
  <c r="Y12" i="233"/>
  <c r="V16" i="233" s="1"/>
  <c r="V24" i="233" s="1"/>
  <c r="Y6" i="233"/>
  <c r="Y12" i="234" l="1"/>
  <c r="V16" i="234" s="1"/>
  <c r="V24" i="234" s="1"/>
  <c r="V25" i="232"/>
  <c r="F22" i="232"/>
  <c r="S19" i="232"/>
  <c r="S20" i="232" s="1"/>
  <c r="Q19" i="232"/>
  <c r="Q20" i="232" s="1"/>
  <c r="P19" i="232"/>
  <c r="P20" i="232" s="1"/>
  <c r="L19" i="232"/>
  <c r="L20" i="232" s="1"/>
  <c r="J19" i="232"/>
  <c r="J20" i="232" s="1"/>
  <c r="H19" i="232"/>
  <c r="H20" i="232" s="1"/>
  <c r="O18" i="232"/>
  <c r="O19" i="232" s="1"/>
  <c r="O20" i="232" s="1"/>
  <c r="M18" i="232"/>
  <c r="M19" i="232" s="1"/>
  <c r="M20" i="232" s="1"/>
  <c r="K18" i="232"/>
  <c r="K19" i="232" s="1"/>
  <c r="K20" i="232" s="1"/>
  <c r="I18" i="232"/>
  <c r="I19" i="232" s="1"/>
  <c r="I20" i="232" s="1"/>
  <c r="E18" i="232"/>
  <c r="E19" i="232" s="1"/>
  <c r="E20" i="232" s="1"/>
  <c r="D18" i="232"/>
  <c r="D19" i="232" s="1"/>
  <c r="D20" i="232" s="1"/>
  <c r="X12" i="232"/>
  <c r="W12" i="232"/>
  <c r="U12" i="232"/>
  <c r="S12" i="232"/>
  <c r="Q12" i="232"/>
  <c r="P12" i="232"/>
  <c r="O12" i="232"/>
  <c r="N18" i="232" s="1"/>
  <c r="N19" i="232" s="1"/>
  <c r="N20" i="232" s="1"/>
  <c r="M12" i="232"/>
  <c r="L12" i="232"/>
  <c r="K12" i="232"/>
  <c r="G18" i="232" s="1"/>
  <c r="G19" i="232" s="1"/>
  <c r="G20" i="232" s="1"/>
  <c r="I12" i="232"/>
  <c r="F18" i="232" s="1"/>
  <c r="F19" i="232" s="1"/>
  <c r="F20" i="232" s="1"/>
  <c r="G12" i="232"/>
  <c r="E12" i="232"/>
  <c r="C12" i="232"/>
  <c r="B18" i="232" s="1"/>
  <c r="B19" i="232" s="1"/>
  <c r="B20" i="232" s="1"/>
  <c r="X11" i="232"/>
  <c r="V11" i="232"/>
  <c r="T11" i="232"/>
  <c r="R11" i="232"/>
  <c r="P11" i="232"/>
  <c r="N11" i="232"/>
  <c r="L11" i="232"/>
  <c r="J11" i="232"/>
  <c r="H11" i="232"/>
  <c r="H12" i="232" s="1"/>
  <c r="F11" i="232"/>
  <c r="D11" i="232"/>
  <c r="X10" i="232"/>
  <c r="V10" i="232"/>
  <c r="T10" i="232"/>
  <c r="R10" i="232"/>
  <c r="P10" i="232"/>
  <c r="N10" i="232"/>
  <c r="L10" i="232"/>
  <c r="J10" i="232"/>
  <c r="H10" i="232"/>
  <c r="F10" i="232"/>
  <c r="D10" i="232"/>
  <c r="X9" i="232"/>
  <c r="V9" i="232"/>
  <c r="T9" i="232"/>
  <c r="T12" i="232" s="1"/>
  <c r="R9" i="232"/>
  <c r="P9" i="232"/>
  <c r="N9" i="232"/>
  <c r="L9" i="232"/>
  <c r="J9" i="232"/>
  <c r="H9" i="232"/>
  <c r="F9" i="232"/>
  <c r="D9" i="232"/>
  <c r="X8" i="232"/>
  <c r="V8" i="232"/>
  <c r="T8" i="232"/>
  <c r="R8" i="232"/>
  <c r="P8" i="232"/>
  <c r="N8" i="232"/>
  <c r="L8" i="232"/>
  <c r="J8" i="232"/>
  <c r="H8" i="232"/>
  <c r="F8" i="232"/>
  <c r="D8" i="232"/>
  <c r="X7" i="232"/>
  <c r="V7" i="232"/>
  <c r="T7" i="232"/>
  <c r="R7" i="232"/>
  <c r="P7" i="232"/>
  <c r="N7" i="232"/>
  <c r="L7" i="232"/>
  <c r="J7" i="232"/>
  <c r="H7" i="232"/>
  <c r="F7" i="232"/>
  <c r="D7" i="232"/>
  <c r="X6" i="232"/>
  <c r="V6" i="232"/>
  <c r="V12" i="232" s="1"/>
  <c r="T6" i="232"/>
  <c r="R6" i="232"/>
  <c r="R12" i="232" s="1"/>
  <c r="P6" i="232"/>
  <c r="N6" i="232"/>
  <c r="N12" i="232" s="1"/>
  <c r="L6" i="232"/>
  <c r="J6" i="232"/>
  <c r="H6" i="232"/>
  <c r="F6" i="232"/>
  <c r="F12" i="232" s="1"/>
  <c r="D6" i="232"/>
  <c r="V25" i="231"/>
  <c r="F22" i="231"/>
  <c r="S19" i="231"/>
  <c r="S20" i="231" s="1"/>
  <c r="Q19" i="231"/>
  <c r="Q20" i="231" s="1"/>
  <c r="P19" i="231"/>
  <c r="P20" i="231" s="1"/>
  <c r="L19" i="231"/>
  <c r="L20" i="231" s="1"/>
  <c r="J19" i="231"/>
  <c r="J20" i="231" s="1"/>
  <c r="H19" i="231"/>
  <c r="H20" i="231" s="1"/>
  <c r="O18" i="231"/>
  <c r="O19" i="231" s="1"/>
  <c r="O20" i="231" s="1"/>
  <c r="E18" i="231"/>
  <c r="E19" i="231" s="1"/>
  <c r="E20" i="231" s="1"/>
  <c r="D18" i="231"/>
  <c r="D19" i="231" s="1"/>
  <c r="D20" i="231" s="1"/>
  <c r="W12" i="231"/>
  <c r="K18" i="231" s="1"/>
  <c r="K19" i="231" s="1"/>
  <c r="K20" i="231" s="1"/>
  <c r="U12" i="231"/>
  <c r="I18" i="231" s="1"/>
  <c r="I19" i="231" s="1"/>
  <c r="I20" i="231" s="1"/>
  <c r="S12" i="231"/>
  <c r="Q12" i="231"/>
  <c r="P12" i="231"/>
  <c r="O12" i="231"/>
  <c r="N18" i="231" s="1"/>
  <c r="N19" i="231" s="1"/>
  <c r="N20" i="231" s="1"/>
  <c r="M12" i="231"/>
  <c r="M18" i="231" s="1"/>
  <c r="M19" i="231" s="1"/>
  <c r="M20" i="231" s="1"/>
  <c r="L12" i="231"/>
  <c r="K12" i="231"/>
  <c r="G18" i="231" s="1"/>
  <c r="G19" i="231" s="1"/>
  <c r="G20" i="231" s="1"/>
  <c r="I12" i="231"/>
  <c r="F18" i="231" s="1"/>
  <c r="F19" i="231" s="1"/>
  <c r="F20" i="231" s="1"/>
  <c r="H12" i="231"/>
  <c r="G12" i="231"/>
  <c r="E12" i="231"/>
  <c r="C12" i="231"/>
  <c r="B18" i="231" s="1"/>
  <c r="B19" i="231" s="1"/>
  <c r="B20" i="231" s="1"/>
  <c r="X11" i="231"/>
  <c r="V11" i="231"/>
  <c r="T11" i="231"/>
  <c r="R11" i="231"/>
  <c r="P11" i="231"/>
  <c r="N11" i="231"/>
  <c r="L11" i="231"/>
  <c r="J11" i="231"/>
  <c r="H11" i="231"/>
  <c r="F11" i="231"/>
  <c r="Y11" i="231" s="1"/>
  <c r="D11" i="231"/>
  <c r="X10" i="231"/>
  <c r="V10" i="231"/>
  <c r="T10" i="231"/>
  <c r="R10" i="231"/>
  <c r="P10" i="231"/>
  <c r="N10" i="231"/>
  <c r="L10" i="231"/>
  <c r="J10" i="231"/>
  <c r="H10" i="231"/>
  <c r="F10" i="231"/>
  <c r="Y10" i="231" s="1"/>
  <c r="D10" i="231"/>
  <c r="X9" i="231"/>
  <c r="V9" i="231"/>
  <c r="T9" i="231"/>
  <c r="T12" i="231" s="1"/>
  <c r="R9" i="231"/>
  <c r="P9" i="231"/>
  <c r="N9" i="231"/>
  <c r="L9" i="231"/>
  <c r="J9" i="231"/>
  <c r="H9" i="231"/>
  <c r="F9" i="231"/>
  <c r="D9" i="231"/>
  <c r="X8" i="231"/>
  <c r="V8" i="231"/>
  <c r="T8" i="231"/>
  <c r="R8" i="231"/>
  <c r="P8" i="231"/>
  <c r="N8" i="231"/>
  <c r="L8" i="231"/>
  <c r="J8" i="231"/>
  <c r="H8" i="231"/>
  <c r="F8" i="231"/>
  <c r="D8" i="231"/>
  <c r="X7" i="231"/>
  <c r="V7" i="231"/>
  <c r="T7" i="231"/>
  <c r="R7" i="231"/>
  <c r="P7" i="231"/>
  <c r="N7" i="231"/>
  <c r="L7" i="231"/>
  <c r="J7" i="231"/>
  <c r="H7" i="231"/>
  <c r="F7" i="231"/>
  <c r="D7" i="231"/>
  <c r="X6" i="231"/>
  <c r="X12" i="231" s="1"/>
  <c r="V6" i="231"/>
  <c r="T6" i="231"/>
  <c r="R6" i="231"/>
  <c r="R12" i="231" s="1"/>
  <c r="P6" i="231"/>
  <c r="N6" i="231"/>
  <c r="N12" i="231" s="1"/>
  <c r="L6" i="231"/>
  <c r="J6" i="231"/>
  <c r="H6" i="231"/>
  <c r="F6" i="231"/>
  <c r="F12" i="231" s="1"/>
  <c r="D6" i="231"/>
  <c r="V25" i="230"/>
  <c r="F22" i="230"/>
  <c r="S19" i="230"/>
  <c r="S20" i="230" s="1"/>
  <c r="Q19" i="230"/>
  <c r="Q20" i="230" s="1"/>
  <c r="P19" i="230"/>
  <c r="P20" i="230" s="1"/>
  <c r="L19" i="230"/>
  <c r="L20" i="230" s="1"/>
  <c r="J19" i="230"/>
  <c r="J20" i="230" s="1"/>
  <c r="H19" i="230"/>
  <c r="H20" i="230" s="1"/>
  <c r="O18" i="230"/>
  <c r="O19" i="230" s="1"/>
  <c r="O20" i="230" s="1"/>
  <c r="E18" i="230"/>
  <c r="E19" i="230" s="1"/>
  <c r="E20" i="230" s="1"/>
  <c r="D18" i="230"/>
  <c r="D19" i="230" s="1"/>
  <c r="D20" i="230" s="1"/>
  <c r="W12" i="230"/>
  <c r="K18" i="230" s="1"/>
  <c r="K19" i="230" s="1"/>
  <c r="K20" i="230" s="1"/>
  <c r="U12" i="230"/>
  <c r="I18" i="230" s="1"/>
  <c r="I19" i="230" s="1"/>
  <c r="I20" i="230" s="1"/>
  <c r="S12" i="230"/>
  <c r="Q12" i="230"/>
  <c r="P12" i="230"/>
  <c r="O12" i="230"/>
  <c r="N18" i="230" s="1"/>
  <c r="N19" i="230" s="1"/>
  <c r="N20" i="230" s="1"/>
  <c r="M12" i="230"/>
  <c r="M18" i="230" s="1"/>
  <c r="M19" i="230" s="1"/>
  <c r="M20" i="230" s="1"/>
  <c r="L12" i="230"/>
  <c r="K12" i="230"/>
  <c r="G18" i="230" s="1"/>
  <c r="G19" i="230" s="1"/>
  <c r="G20" i="230" s="1"/>
  <c r="I12" i="230"/>
  <c r="F18" i="230" s="1"/>
  <c r="F19" i="230" s="1"/>
  <c r="F20" i="230" s="1"/>
  <c r="H12" i="230"/>
  <c r="G12" i="230"/>
  <c r="E12" i="230"/>
  <c r="C12" i="230"/>
  <c r="B18" i="230" s="1"/>
  <c r="B19" i="230" s="1"/>
  <c r="B20" i="230" s="1"/>
  <c r="X11" i="230"/>
  <c r="V11" i="230"/>
  <c r="T11" i="230"/>
  <c r="R11" i="230"/>
  <c r="P11" i="230"/>
  <c r="N11" i="230"/>
  <c r="L11" i="230"/>
  <c r="J11" i="230"/>
  <c r="H11" i="230"/>
  <c r="F11" i="230"/>
  <c r="Y11" i="230" s="1"/>
  <c r="D11" i="230"/>
  <c r="X10" i="230"/>
  <c r="V10" i="230"/>
  <c r="T10" i="230"/>
  <c r="T12" i="230" s="1"/>
  <c r="R10" i="230"/>
  <c r="P10" i="230"/>
  <c r="N10" i="230"/>
  <c r="L10" i="230"/>
  <c r="J10" i="230"/>
  <c r="H10" i="230"/>
  <c r="F10" i="230"/>
  <c r="D10" i="230"/>
  <c r="X9" i="230"/>
  <c r="V9" i="230"/>
  <c r="T9" i="230"/>
  <c r="R9" i="230"/>
  <c r="P9" i="230"/>
  <c r="N9" i="230"/>
  <c r="L9" i="230"/>
  <c r="J9" i="230"/>
  <c r="H9" i="230"/>
  <c r="F9" i="230"/>
  <c r="D9" i="230"/>
  <c r="X8" i="230"/>
  <c r="V8" i="230"/>
  <c r="T8" i="230"/>
  <c r="R8" i="230"/>
  <c r="P8" i="230"/>
  <c r="N8" i="230"/>
  <c r="L8" i="230"/>
  <c r="J8" i="230"/>
  <c r="H8" i="230"/>
  <c r="F8" i="230"/>
  <c r="D8" i="230"/>
  <c r="X7" i="230"/>
  <c r="V7" i="230"/>
  <c r="T7" i="230"/>
  <c r="R7" i="230"/>
  <c r="P7" i="230"/>
  <c r="N7" i="230"/>
  <c r="L7" i="230"/>
  <c r="J7" i="230"/>
  <c r="H7" i="230"/>
  <c r="F7" i="230"/>
  <c r="D7" i="230"/>
  <c r="X6" i="230"/>
  <c r="X12" i="230" s="1"/>
  <c r="V6" i="230"/>
  <c r="T6" i="230"/>
  <c r="R6" i="230"/>
  <c r="R12" i="230" s="1"/>
  <c r="P6" i="230"/>
  <c r="N6" i="230"/>
  <c r="N12" i="230" s="1"/>
  <c r="L6" i="230"/>
  <c r="J6" i="230"/>
  <c r="H6" i="230"/>
  <c r="F6" i="230"/>
  <c r="F12" i="230" s="1"/>
  <c r="D6" i="230"/>
  <c r="V25" i="229"/>
  <c r="F22" i="229"/>
  <c r="S19" i="229"/>
  <c r="S20" i="229" s="1"/>
  <c r="Q19" i="229"/>
  <c r="Q20" i="229" s="1"/>
  <c r="P19" i="229"/>
  <c r="P20" i="229" s="1"/>
  <c r="L19" i="229"/>
  <c r="L20" i="229" s="1"/>
  <c r="J19" i="229"/>
  <c r="J20" i="229" s="1"/>
  <c r="H19" i="229"/>
  <c r="H20" i="229" s="1"/>
  <c r="W12" i="229"/>
  <c r="K18" i="229" s="1"/>
  <c r="K19" i="229" s="1"/>
  <c r="K20" i="229" s="1"/>
  <c r="U12" i="229"/>
  <c r="I18" i="229" s="1"/>
  <c r="I19" i="229" s="1"/>
  <c r="I20" i="229" s="1"/>
  <c r="S12" i="229"/>
  <c r="Q12" i="229"/>
  <c r="O18" i="229" s="1"/>
  <c r="O19" i="229" s="1"/>
  <c r="O20" i="229" s="1"/>
  <c r="O12" i="229"/>
  <c r="N18" i="229" s="1"/>
  <c r="N19" i="229" s="1"/>
  <c r="N20" i="229" s="1"/>
  <c r="M12" i="229"/>
  <c r="M18" i="229" s="1"/>
  <c r="M19" i="229" s="1"/>
  <c r="M20" i="229" s="1"/>
  <c r="K12" i="229"/>
  <c r="G18" i="229" s="1"/>
  <c r="G19" i="229" s="1"/>
  <c r="G20" i="229" s="1"/>
  <c r="I12" i="229"/>
  <c r="F18" i="229" s="1"/>
  <c r="F19" i="229" s="1"/>
  <c r="F20" i="229" s="1"/>
  <c r="G12" i="229"/>
  <c r="E18" i="229" s="1"/>
  <c r="E19" i="229" s="1"/>
  <c r="E20" i="229" s="1"/>
  <c r="E12" i="229"/>
  <c r="D18" i="229" s="1"/>
  <c r="D19" i="229" s="1"/>
  <c r="D20" i="229" s="1"/>
  <c r="C12" i="229"/>
  <c r="B18" i="229" s="1"/>
  <c r="B19" i="229" s="1"/>
  <c r="B20" i="229" s="1"/>
  <c r="X11" i="229"/>
  <c r="V11" i="229"/>
  <c r="T11" i="229"/>
  <c r="R11" i="229"/>
  <c r="P11" i="229"/>
  <c r="N11" i="229"/>
  <c r="L11" i="229"/>
  <c r="J11" i="229"/>
  <c r="H11" i="229"/>
  <c r="F11" i="229"/>
  <c r="D11" i="229"/>
  <c r="Y11" i="229" s="1"/>
  <c r="X10" i="229"/>
  <c r="V10" i="229"/>
  <c r="T10" i="229"/>
  <c r="R10" i="229"/>
  <c r="P10" i="229"/>
  <c r="N10" i="229"/>
  <c r="L10" i="229"/>
  <c r="J10" i="229"/>
  <c r="H10" i="229"/>
  <c r="F10" i="229"/>
  <c r="D10" i="229"/>
  <c r="X9" i="229"/>
  <c r="V9" i="229"/>
  <c r="T9" i="229"/>
  <c r="R9" i="229"/>
  <c r="P9" i="229"/>
  <c r="N9" i="229"/>
  <c r="L9" i="229"/>
  <c r="J9" i="229"/>
  <c r="H9" i="229"/>
  <c r="F9" i="229"/>
  <c r="D9" i="229"/>
  <c r="Y9" i="229" s="1"/>
  <c r="X8" i="229"/>
  <c r="V8" i="229"/>
  <c r="T8" i="229"/>
  <c r="R8" i="229"/>
  <c r="P8" i="229"/>
  <c r="N8" i="229"/>
  <c r="L8" i="229"/>
  <c r="J8" i="229"/>
  <c r="H8" i="229"/>
  <c r="F8" i="229"/>
  <c r="D8" i="229"/>
  <c r="X7" i="229"/>
  <c r="V7" i="229"/>
  <c r="T7" i="229"/>
  <c r="R7" i="229"/>
  <c r="P7" i="229"/>
  <c r="N7" i="229"/>
  <c r="L7" i="229"/>
  <c r="J7" i="229"/>
  <c r="H7" i="229"/>
  <c r="F7" i="229"/>
  <c r="D7" i="229"/>
  <c r="X6" i="229"/>
  <c r="X12" i="229" s="1"/>
  <c r="V6" i="229"/>
  <c r="V12" i="229" s="1"/>
  <c r="T6" i="229"/>
  <c r="T12" i="229" s="1"/>
  <c r="R6" i="229"/>
  <c r="R12" i="229" s="1"/>
  <c r="P6" i="229"/>
  <c r="P12" i="229" s="1"/>
  <c r="N6" i="229"/>
  <c r="N12" i="229" s="1"/>
  <c r="L6" i="229"/>
  <c r="J6" i="229"/>
  <c r="H6" i="229"/>
  <c r="H12" i="229" s="1"/>
  <c r="F6" i="229"/>
  <c r="F12" i="229" s="1"/>
  <c r="D6" i="229"/>
  <c r="Y11" i="232" l="1"/>
  <c r="Y8" i="232"/>
  <c r="D12" i="232"/>
  <c r="J12" i="232"/>
  <c r="Y10" i="232"/>
  <c r="Y7" i="232"/>
  <c r="Y9" i="232"/>
  <c r="B21" i="232"/>
  <c r="Y6" i="232"/>
  <c r="J12" i="231"/>
  <c r="D12" i="231"/>
  <c r="Y7" i="231"/>
  <c r="V12" i="231"/>
  <c r="Y9" i="231"/>
  <c r="Y8" i="231"/>
  <c r="B21" i="231"/>
  <c r="Y12" i="231"/>
  <c r="V16" i="231" s="1"/>
  <c r="V24" i="231" s="1"/>
  <c r="Y6" i="231"/>
  <c r="V12" i="230"/>
  <c r="D12" i="230"/>
  <c r="J12" i="230"/>
  <c r="Y7" i="230"/>
  <c r="Y10" i="230"/>
  <c r="Y9" i="230"/>
  <c r="Y8" i="230"/>
  <c r="B21" i="230"/>
  <c r="Y6" i="230"/>
  <c r="L12" i="229"/>
  <c r="Y8" i="229"/>
  <c r="Y7" i="229"/>
  <c r="J12" i="229"/>
  <c r="Y10" i="229"/>
  <c r="D12" i="229"/>
  <c r="B21" i="229"/>
  <c r="Y12" i="229"/>
  <c r="V16" i="229" s="1"/>
  <c r="V24" i="229" s="1"/>
  <c r="Y6" i="229"/>
  <c r="Y12" i="232" l="1"/>
  <c r="V16" i="232" s="1"/>
  <c r="V24" i="232" s="1"/>
  <c r="Y12" i="230"/>
  <c r="V16" i="230" s="1"/>
  <c r="V24" i="230" s="1"/>
  <c r="V25" i="228"/>
  <c r="F22" i="228"/>
  <c r="S19" i="228"/>
  <c r="S20" i="228" s="1"/>
  <c r="Q19" i="228"/>
  <c r="Q20" i="228" s="1"/>
  <c r="P19" i="228"/>
  <c r="P20" i="228" s="1"/>
  <c r="L19" i="228"/>
  <c r="L20" i="228" s="1"/>
  <c r="J19" i="228"/>
  <c r="J20" i="228" s="1"/>
  <c r="H19" i="228"/>
  <c r="H20" i="228" s="1"/>
  <c r="K18" i="228"/>
  <c r="K19" i="228" s="1"/>
  <c r="K20" i="228" s="1"/>
  <c r="E18" i="228"/>
  <c r="E19" i="228" s="1"/>
  <c r="E20" i="228" s="1"/>
  <c r="W12" i="228"/>
  <c r="V12" i="228"/>
  <c r="U12" i="228"/>
  <c r="I18" i="228" s="1"/>
  <c r="I19" i="228" s="1"/>
  <c r="I20" i="228" s="1"/>
  <c r="S12" i="228"/>
  <c r="Q12" i="228"/>
  <c r="O18" i="228" s="1"/>
  <c r="O19" i="228" s="1"/>
  <c r="O20" i="228" s="1"/>
  <c r="O12" i="228"/>
  <c r="N18" i="228" s="1"/>
  <c r="N19" i="228" s="1"/>
  <c r="N20" i="228" s="1"/>
  <c r="M12" i="228"/>
  <c r="M18" i="228" s="1"/>
  <c r="M19" i="228" s="1"/>
  <c r="M20" i="228" s="1"/>
  <c r="K12" i="228"/>
  <c r="G18" i="228" s="1"/>
  <c r="G19" i="228" s="1"/>
  <c r="G20" i="228" s="1"/>
  <c r="I12" i="228"/>
  <c r="F18" i="228" s="1"/>
  <c r="F19" i="228" s="1"/>
  <c r="F20" i="228" s="1"/>
  <c r="G12" i="228"/>
  <c r="F12" i="228"/>
  <c r="E12" i="228"/>
  <c r="D18" i="228" s="1"/>
  <c r="D19" i="228" s="1"/>
  <c r="D20" i="228" s="1"/>
  <c r="C12" i="228"/>
  <c r="B18" i="228" s="1"/>
  <c r="B19" i="228" s="1"/>
  <c r="B20" i="228" s="1"/>
  <c r="X11" i="228"/>
  <c r="V11" i="228"/>
  <c r="T11" i="228"/>
  <c r="R11" i="228"/>
  <c r="P11" i="228"/>
  <c r="N11" i="228"/>
  <c r="L11" i="228"/>
  <c r="J11" i="228"/>
  <c r="H11" i="228"/>
  <c r="Y11" i="228" s="1"/>
  <c r="F11" i="228"/>
  <c r="D11" i="228"/>
  <c r="X10" i="228"/>
  <c r="V10" i="228"/>
  <c r="T10" i="228"/>
  <c r="R10" i="228"/>
  <c r="P10" i="228"/>
  <c r="N10" i="228"/>
  <c r="L10" i="228"/>
  <c r="J10" i="228"/>
  <c r="H10" i="228"/>
  <c r="Y10" i="228" s="1"/>
  <c r="F10" i="228"/>
  <c r="D10" i="228"/>
  <c r="X9" i="228"/>
  <c r="V9" i="228"/>
  <c r="T9" i="228"/>
  <c r="R9" i="228"/>
  <c r="P9" i="228"/>
  <c r="N9" i="228"/>
  <c r="L9" i="228"/>
  <c r="J9" i="228"/>
  <c r="H9" i="228"/>
  <c r="F9" i="228"/>
  <c r="D9" i="228"/>
  <c r="X8" i="228"/>
  <c r="V8" i="228"/>
  <c r="T8" i="228"/>
  <c r="R8" i="228"/>
  <c r="P8" i="228"/>
  <c r="N8" i="228"/>
  <c r="N12" i="228" s="1"/>
  <c r="L8" i="228"/>
  <c r="J8" i="228"/>
  <c r="H8" i="228"/>
  <c r="F8" i="228"/>
  <c r="D8" i="228"/>
  <c r="X7" i="228"/>
  <c r="V7" i="228"/>
  <c r="T7" i="228"/>
  <c r="R7" i="228"/>
  <c r="P7" i="228"/>
  <c r="N7" i="228"/>
  <c r="L7" i="228"/>
  <c r="J7" i="228"/>
  <c r="H7" i="228"/>
  <c r="F7" i="228"/>
  <c r="D7" i="228"/>
  <c r="X6" i="228"/>
  <c r="X12" i="228" s="1"/>
  <c r="V6" i="228"/>
  <c r="T6" i="228"/>
  <c r="R6" i="228"/>
  <c r="R12" i="228" s="1"/>
  <c r="P6" i="228"/>
  <c r="P12" i="228" s="1"/>
  <c r="N6" i="228"/>
  <c r="L6" i="228"/>
  <c r="J6" i="228"/>
  <c r="H6" i="228"/>
  <c r="H12" i="228" s="1"/>
  <c r="F6" i="228"/>
  <c r="D6" i="228"/>
  <c r="V25" i="227"/>
  <c r="F22" i="227"/>
  <c r="S19" i="227"/>
  <c r="S20" i="227" s="1"/>
  <c r="Q19" i="227"/>
  <c r="Q20" i="227" s="1"/>
  <c r="P19" i="227"/>
  <c r="P20" i="227" s="1"/>
  <c r="L19" i="227"/>
  <c r="L20" i="227" s="1"/>
  <c r="J19" i="227"/>
  <c r="J20" i="227" s="1"/>
  <c r="H19" i="227"/>
  <c r="H20" i="227" s="1"/>
  <c r="K18" i="227"/>
  <c r="K19" i="227" s="1"/>
  <c r="K20" i="227" s="1"/>
  <c r="E18" i="227"/>
  <c r="E19" i="227" s="1"/>
  <c r="E20" i="227" s="1"/>
  <c r="W12" i="227"/>
  <c r="U12" i="227"/>
  <c r="I18" i="227" s="1"/>
  <c r="I19" i="227" s="1"/>
  <c r="I20" i="227" s="1"/>
  <c r="S12" i="227"/>
  <c r="Q12" i="227"/>
  <c r="O18" i="227" s="1"/>
  <c r="O19" i="227" s="1"/>
  <c r="O20" i="227" s="1"/>
  <c r="O12" i="227"/>
  <c r="N18" i="227" s="1"/>
  <c r="N19" i="227" s="1"/>
  <c r="N20" i="227" s="1"/>
  <c r="M12" i="227"/>
  <c r="M18" i="227" s="1"/>
  <c r="M19" i="227" s="1"/>
  <c r="M20" i="227" s="1"/>
  <c r="K12" i="227"/>
  <c r="G18" i="227" s="1"/>
  <c r="G19" i="227" s="1"/>
  <c r="G20" i="227" s="1"/>
  <c r="I12" i="227"/>
  <c r="F18" i="227" s="1"/>
  <c r="F19" i="227" s="1"/>
  <c r="F20" i="227" s="1"/>
  <c r="G12" i="227"/>
  <c r="E12" i="227"/>
  <c r="D18" i="227" s="1"/>
  <c r="D19" i="227" s="1"/>
  <c r="D20" i="227" s="1"/>
  <c r="C12" i="227"/>
  <c r="B18" i="227" s="1"/>
  <c r="B19" i="227" s="1"/>
  <c r="B20" i="227" s="1"/>
  <c r="X11" i="227"/>
  <c r="V11" i="227"/>
  <c r="T11" i="227"/>
  <c r="R11" i="227"/>
  <c r="P11" i="227"/>
  <c r="N11" i="227"/>
  <c r="L11" i="227"/>
  <c r="J11" i="227"/>
  <c r="H11" i="227"/>
  <c r="F11" i="227"/>
  <c r="D11" i="227"/>
  <c r="Y11" i="227" s="1"/>
  <c r="X10" i="227"/>
  <c r="V10" i="227"/>
  <c r="T10" i="227"/>
  <c r="R10" i="227"/>
  <c r="P10" i="227"/>
  <c r="N10" i="227"/>
  <c r="L10" i="227"/>
  <c r="J10" i="227"/>
  <c r="H10" i="227"/>
  <c r="F10" i="227"/>
  <c r="D10" i="227"/>
  <c r="Y10" i="227" s="1"/>
  <c r="X9" i="227"/>
  <c r="V9" i="227"/>
  <c r="T9" i="227"/>
  <c r="R9" i="227"/>
  <c r="P9" i="227"/>
  <c r="N9" i="227"/>
  <c r="L9" i="227"/>
  <c r="J9" i="227"/>
  <c r="H9" i="227"/>
  <c r="F9" i="227"/>
  <c r="D9" i="227"/>
  <c r="X8" i="227"/>
  <c r="V8" i="227"/>
  <c r="T8" i="227"/>
  <c r="R8" i="227"/>
  <c r="P8" i="227"/>
  <c r="N8" i="227"/>
  <c r="L8" i="227"/>
  <c r="J8" i="227"/>
  <c r="H8" i="227"/>
  <c r="F8" i="227"/>
  <c r="D8" i="227"/>
  <c r="X7" i="227"/>
  <c r="V7" i="227"/>
  <c r="T7" i="227"/>
  <c r="R7" i="227"/>
  <c r="P7" i="227"/>
  <c r="N7" i="227"/>
  <c r="L7" i="227"/>
  <c r="J7" i="227"/>
  <c r="H7" i="227"/>
  <c r="F7" i="227"/>
  <c r="D7" i="227"/>
  <c r="X6" i="227"/>
  <c r="X12" i="227" s="1"/>
  <c r="V6" i="227"/>
  <c r="V12" i="227" s="1"/>
  <c r="T6" i="227"/>
  <c r="R6" i="227"/>
  <c r="R12" i="227" s="1"/>
  <c r="P6" i="227"/>
  <c r="N6" i="227"/>
  <c r="N12" i="227" s="1"/>
  <c r="L6" i="227"/>
  <c r="L12" i="227" s="1"/>
  <c r="J6" i="227"/>
  <c r="H6" i="227"/>
  <c r="H12" i="227" s="1"/>
  <c r="F6" i="227"/>
  <c r="D6" i="227"/>
  <c r="V25" i="226"/>
  <c r="F22" i="226"/>
  <c r="S19" i="226"/>
  <c r="S20" i="226" s="1"/>
  <c r="Q19" i="226"/>
  <c r="Q20" i="226" s="1"/>
  <c r="P19" i="226"/>
  <c r="P20" i="226" s="1"/>
  <c r="L19" i="226"/>
  <c r="L20" i="226" s="1"/>
  <c r="J19" i="226"/>
  <c r="J20" i="226" s="1"/>
  <c r="H19" i="226"/>
  <c r="H20" i="226" s="1"/>
  <c r="K18" i="226"/>
  <c r="K19" i="226" s="1"/>
  <c r="K20" i="226" s="1"/>
  <c r="E18" i="226"/>
  <c r="E19" i="226" s="1"/>
  <c r="E20" i="226" s="1"/>
  <c r="W12" i="226"/>
  <c r="U12" i="226"/>
  <c r="I18" i="226" s="1"/>
  <c r="I19" i="226" s="1"/>
  <c r="I20" i="226" s="1"/>
  <c r="S12" i="226"/>
  <c r="Q12" i="226"/>
  <c r="O18" i="226" s="1"/>
  <c r="O19" i="226" s="1"/>
  <c r="O20" i="226" s="1"/>
  <c r="O12" i="226"/>
  <c r="N18" i="226" s="1"/>
  <c r="N19" i="226" s="1"/>
  <c r="N20" i="226" s="1"/>
  <c r="M12" i="226"/>
  <c r="M18" i="226" s="1"/>
  <c r="M19" i="226" s="1"/>
  <c r="M20" i="226" s="1"/>
  <c r="K12" i="226"/>
  <c r="G18" i="226" s="1"/>
  <c r="G19" i="226" s="1"/>
  <c r="G20" i="226" s="1"/>
  <c r="I12" i="226"/>
  <c r="F18" i="226" s="1"/>
  <c r="F19" i="226" s="1"/>
  <c r="F20" i="226" s="1"/>
  <c r="G12" i="226"/>
  <c r="E12" i="226"/>
  <c r="D18" i="226" s="1"/>
  <c r="D19" i="226" s="1"/>
  <c r="D20" i="226" s="1"/>
  <c r="C12" i="226"/>
  <c r="B18" i="226" s="1"/>
  <c r="B19" i="226" s="1"/>
  <c r="B20" i="226" s="1"/>
  <c r="X11" i="226"/>
  <c r="V11" i="226"/>
  <c r="T11" i="226"/>
  <c r="R11" i="226"/>
  <c r="P11" i="226"/>
  <c r="N11" i="226"/>
  <c r="L11" i="226"/>
  <c r="J11" i="226"/>
  <c r="H11" i="226"/>
  <c r="F11" i="226"/>
  <c r="Y11" i="226" s="1"/>
  <c r="D11" i="226"/>
  <c r="X10" i="226"/>
  <c r="V10" i="226"/>
  <c r="T10" i="226"/>
  <c r="R10" i="226"/>
  <c r="P10" i="226"/>
  <c r="N10" i="226"/>
  <c r="L10" i="226"/>
  <c r="J10" i="226"/>
  <c r="H10" i="226"/>
  <c r="F10" i="226"/>
  <c r="Y10" i="226" s="1"/>
  <c r="D10" i="226"/>
  <c r="X9" i="226"/>
  <c r="V9" i="226"/>
  <c r="T9" i="226"/>
  <c r="R9" i="226"/>
  <c r="P9" i="226"/>
  <c r="N9" i="226"/>
  <c r="L9" i="226"/>
  <c r="J9" i="226"/>
  <c r="H9" i="226"/>
  <c r="F9" i="226"/>
  <c r="D9" i="226"/>
  <c r="X8" i="226"/>
  <c r="V8" i="226"/>
  <c r="T8" i="226"/>
  <c r="R8" i="226"/>
  <c r="P8" i="226"/>
  <c r="N8" i="226"/>
  <c r="L8" i="226"/>
  <c r="L12" i="226" s="1"/>
  <c r="J8" i="226"/>
  <c r="H8" i="226"/>
  <c r="F8" i="226"/>
  <c r="D8" i="226"/>
  <c r="X7" i="226"/>
  <c r="V7" i="226"/>
  <c r="T7" i="226"/>
  <c r="R7" i="226"/>
  <c r="P7" i="226"/>
  <c r="N7" i="226"/>
  <c r="L7" i="226"/>
  <c r="J7" i="226"/>
  <c r="H7" i="226"/>
  <c r="F7" i="226"/>
  <c r="D7" i="226"/>
  <c r="X6" i="226"/>
  <c r="X12" i="226" s="1"/>
  <c r="V6" i="226"/>
  <c r="V12" i="226" s="1"/>
  <c r="T6" i="226"/>
  <c r="R6" i="226"/>
  <c r="R12" i="226" s="1"/>
  <c r="P6" i="226"/>
  <c r="N6" i="226"/>
  <c r="N12" i="226" s="1"/>
  <c r="L6" i="226"/>
  <c r="J6" i="226"/>
  <c r="H6" i="226"/>
  <c r="H12" i="226" s="1"/>
  <c r="F6" i="226"/>
  <c r="F12" i="226" s="1"/>
  <c r="D6" i="226"/>
  <c r="V25" i="225"/>
  <c r="F22" i="225"/>
  <c r="S19" i="225"/>
  <c r="S20" i="225" s="1"/>
  <c r="Q19" i="225"/>
  <c r="Q20" i="225" s="1"/>
  <c r="P19" i="225"/>
  <c r="P20" i="225" s="1"/>
  <c r="L19" i="225"/>
  <c r="L20" i="225" s="1"/>
  <c r="J19" i="225"/>
  <c r="J20" i="225" s="1"/>
  <c r="H19" i="225"/>
  <c r="H20" i="225" s="1"/>
  <c r="K18" i="225"/>
  <c r="K19" i="225" s="1"/>
  <c r="K20" i="225" s="1"/>
  <c r="E18" i="225"/>
  <c r="E19" i="225" s="1"/>
  <c r="E20" i="225" s="1"/>
  <c r="W12" i="225"/>
  <c r="U12" i="225"/>
  <c r="I18" i="225" s="1"/>
  <c r="I19" i="225" s="1"/>
  <c r="I20" i="225" s="1"/>
  <c r="S12" i="225"/>
  <c r="Q12" i="225"/>
  <c r="O18" i="225" s="1"/>
  <c r="O19" i="225" s="1"/>
  <c r="O20" i="225" s="1"/>
  <c r="O12" i="225"/>
  <c r="N18" i="225" s="1"/>
  <c r="N19" i="225" s="1"/>
  <c r="N20" i="225" s="1"/>
  <c r="M12" i="225"/>
  <c r="M18" i="225" s="1"/>
  <c r="M19" i="225" s="1"/>
  <c r="M20" i="225" s="1"/>
  <c r="K12" i="225"/>
  <c r="G18" i="225" s="1"/>
  <c r="G19" i="225" s="1"/>
  <c r="G20" i="225" s="1"/>
  <c r="I12" i="225"/>
  <c r="F18" i="225" s="1"/>
  <c r="F19" i="225" s="1"/>
  <c r="F20" i="225" s="1"/>
  <c r="G12" i="225"/>
  <c r="E12" i="225"/>
  <c r="D18" i="225" s="1"/>
  <c r="D19" i="225" s="1"/>
  <c r="D20" i="225" s="1"/>
  <c r="C12" i="225"/>
  <c r="B18" i="225" s="1"/>
  <c r="B19" i="225" s="1"/>
  <c r="B20" i="225" s="1"/>
  <c r="X11" i="225"/>
  <c r="V11" i="225"/>
  <c r="T11" i="225"/>
  <c r="R11" i="225"/>
  <c r="P11" i="225"/>
  <c r="N11" i="225"/>
  <c r="L11" i="225"/>
  <c r="J11" i="225"/>
  <c r="H11" i="225"/>
  <c r="F11" i="225"/>
  <c r="D11" i="225"/>
  <c r="Y11" i="225" s="1"/>
  <c r="X10" i="225"/>
  <c r="V10" i="225"/>
  <c r="T10" i="225"/>
  <c r="R10" i="225"/>
  <c r="P10" i="225"/>
  <c r="N10" i="225"/>
  <c r="L10" i="225"/>
  <c r="J10" i="225"/>
  <c r="H10" i="225"/>
  <c r="F10" i="225"/>
  <c r="D10" i="225"/>
  <c r="Y10" i="225" s="1"/>
  <c r="X9" i="225"/>
  <c r="V9" i="225"/>
  <c r="T9" i="225"/>
  <c r="R9" i="225"/>
  <c r="P9" i="225"/>
  <c r="N9" i="225"/>
  <c r="L9" i="225"/>
  <c r="J9" i="225"/>
  <c r="H9" i="225"/>
  <c r="F9" i="225"/>
  <c r="D9" i="225"/>
  <c r="Y9" i="225" s="1"/>
  <c r="X8" i="225"/>
  <c r="V8" i="225"/>
  <c r="T8" i="225"/>
  <c r="R8" i="225"/>
  <c r="P8" i="225"/>
  <c r="N8" i="225"/>
  <c r="L8" i="225"/>
  <c r="L12" i="225" s="1"/>
  <c r="J8" i="225"/>
  <c r="H8" i="225"/>
  <c r="F8" i="225"/>
  <c r="D8" i="225"/>
  <c r="X7" i="225"/>
  <c r="V7" i="225"/>
  <c r="T7" i="225"/>
  <c r="R7" i="225"/>
  <c r="P7" i="225"/>
  <c r="N7" i="225"/>
  <c r="L7" i="225"/>
  <c r="J7" i="225"/>
  <c r="H7" i="225"/>
  <c r="F7" i="225"/>
  <c r="D7" i="225"/>
  <c r="X6" i="225"/>
  <c r="X12" i="225" s="1"/>
  <c r="V6" i="225"/>
  <c r="T6" i="225"/>
  <c r="R6" i="225"/>
  <c r="R12" i="225" s="1"/>
  <c r="P6" i="225"/>
  <c r="N6" i="225"/>
  <c r="N12" i="225" s="1"/>
  <c r="L6" i="225"/>
  <c r="J6" i="225"/>
  <c r="J12" i="225" s="1"/>
  <c r="H6" i="225"/>
  <c r="H12" i="225" s="1"/>
  <c r="F6" i="225"/>
  <c r="F12" i="225" s="1"/>
  <c r="D6" i="225"/>
  <c r="Y6" i="225" s="1"/>
  <c r="V25" i="224"/>
  <c r="F22" i="224"/>
  <c r="S19" i="224"/>
  <c r="S20" i="224" s="1"/>
  <c r="Q19" i="224"/>
  <c r="Q20" i="224" s="1"/>
  <c r="P19" i="224"/>
  <c r="P20" i="224" s="1"/>
  <c r="L19" i="224"/>
  <c r="L20" i="224" s="1"/>
  <c r="J19" i="224"/>
  <c r="J20" i="224" s="1"/>
  <c r="H19" i="224"/>
  <c r="H20" i="224" s="1"/>
  <c r="E18" i="224"/>
  <c r="E19" i="224" s="1"/>
  <c r="E20" i="224" s="1"/>
  <c r="W12" i="224"/>
  <c r="K18" i="224" s="1"/>
  <c r="K19" i="224" s="1"/>
  <c r="K20" i="224" s="1"/>
  <c r="U12" i="224"/>
  <c r="I18" i="224" s="1"/>
  <c r="I19" i="224" s="1"/>
  <c r="I20" i="224" s="1"/>
  <c r="S12" i="224"/>
  <c r="Q12" i="224"/>
  <c r="O18" i="224" s="1"/>
  <c r="O19" i="224" s="1"/>
  <c r="O20" i="224" s="1"/>
  <c r="O12" i="224"/>
  <c r="N18" i="224" s="1"/>
  <c r="N19" i="224" s="1"/>
  <c r="N20" i="224" s="1"/>
  <c r="M12" i="224"/>
  <c r="M18" i="224" s="1"/>
  <c r="M19" i="224" s="1"/>
  <c r="M20" i="224" s="1"/>
  <c r="K12" i="224"/>
  <c r="G18" i="224" s="1"/>
  <c r="G19" i="224" s="1"/>
  <c r="G20" i="224" s="1"/>
  <c r="I12" i="224"/>
  <c r="F18" i="224" s="1"/>
  <c r="F19" i="224" s="1"/>
  <c r="F20" i="224" s="1"/>
  <c r="G12" i="224"/>
  <c r="E12" i="224"/>
  <c r="D18" i="224" s="1"/>
  <c r="D19" i="224" s="1"/>
  <c r="D20" i="224" s="1"/>
  <c r="C12" i="224"/>
  <c r="B18" i="224" s="1"/>
  <c r="B19" i="224" s="1"/>
  <c r="B20" i="224" s="1"/>
  <c r="X11" i="224"/>
  <c r="V11" i="224"/>
  <c r="T11" i="224"/>
  <c r="R11" i="224"/>
  <c r="P11" i="224"/>
  <c r="N11" i="224"/>
  <c r="L11" i="224"/>
  <c r="J11" i="224"/>
  <c r="H11" i="224"/>
  <c r="F11" i="224"/>
  <c r="D11" i="224"/>
  <c r="X10" i="224"/>
  <c r="V10" i="224"/>
  <c r="T10" i="224"/>
  <c r="R10" i="224"/>
  <c r="P10" i="224"/>
  <c r="N10" i="224"/>
  <c r="L10" i="224"/>
  <c r="J10" i="224"/>
  <c r="H10" i="224"/>
  <c r="F10" i="224"/>
  <c r="D10" i="224"/>
  <c r="Y10" i="224" s="1"/>
  <c r="X9" i="224"/>
  <c r="V9" i="224"/>
  <c r="T9" i="224"/>
  <c r="R9" i="224"/>
  <c r="P9" i="224"/>
  <c r="N9" i="224"/>
  <c r="L9" i="224"/>
  <c r="J9" i="224"/>
  <c r="H9" i="224"/>
  <c r="F9" i="224"/>
  <c r="D9" i="224"/>
  <c r="X8" i="224"/>
  <c r="V8" i="224"/>
  <c r="T8" i="224"/>
  <c r="R8" i="224"/>
  <c r="P8" i="224"/>
  <c r="N8" i="224"/>
  <c r="L8" i="224"/>
  <c r="J8" i="224"/>
  <c r="H8" i="224"/>
  <c r="F8" i="224"/>
  <c r="D8" i="224"/>
  <c r="X7" i="224"/>
  <c r="V7" i="224"/>
  <c r="T7" i="224"/>
  <c r="R7" i="224"/>
  <c r="P7" i="224"/>
  <c r="N7" i="224"/>
  <c r="L7" i="224"/>
  <c r="J7" i="224"/>
  <c r="H7" i="224"/>
  <c r="F7" i="224"/>
  <c r="D7" i="224"/>
  <c r="Y7" i="224" s="1"/>
  <c r="X6" i="224"/>
  <c r="X12" i="224" s="1"/>
  <c r="V6" i="224"/>
  <c r="T6" i="224"/>
  <c r="R6" i="224"/>
  <c r="R12" i="224" s="1"/>
  <c r="P6" i="224"/>
  <c r="N6" i="224"/>
  <c r="N12" i="224" s="1"/>
  <c r="L6" i="224"/>
  <c r="J6" i="224"/>
  <c r="J12" i="224" s="1"/>
  <c r="H6" i="224"/>
  <c r="H12" i="224" s="1"/>
  <c r="F6" i="224"/>
  <c r="D6" i="224"/>
  <c r="V25" i="223"/>
  <c r="F22" i="223"/>
  <c r="S19" i="223"/>
  <c r="S20" i="223" s="1"/>
  <c r="Q19" i="223"/>
  <c r="Q20" i="223" s="1"/>
  <c r="P19" i="223"/>
  <c r="P20" i="223" s="1"/>
  <c r="L19" i="223"/>
  <c r="L20" i="223" s="1"/>
  <c r="J19" i="223"/>
  <c r="J20" i="223" s="1"/>
  <c r="H19" i="223"/>
  <c r="H20" i="223" s="1"/>
  <c r="K18" i="223"/>
  <c r="K19" i="223" s="1"/>
  <c r="K20" i="223" s="1"/>
  <c r="E18" i="223"/>
  <c r="E19" i="223" s="1"/>
  <c r="E20" i="223" s="1"/>
  <c r="W12" i="223"/>
  <c r="U12" i="223"/>
  <c r="I18" i="223" s="1"/>
  <c r="I19" i="223" s="1"/>
  <c r="I20" i="223" s="1"/>
  <c r="S12" i="223"/>
  <c r="Q12" i="223"/>
  <c r="O18" i="223" s="1"/>
  <c r="O19" i="223" s="1"/>
  <c r="O20" i="223" s="1"/>
  <c r="O12" i="223"/>
  <c r="N18" i="223" s="1"/>
  <c r="N19" i="223" s="1"/>
  <c r="N20" i="223" s="1"/>
  <c r="N12" i="223"/>
  <c r="M12" i="223"/>
  <c r="M18" i="223" s="1"/>
  <c r="M19" i="223" s="1"/>
  <c r="M20" i="223" s="1"/>
  <c r="K12" i="223"/>
  <c r="G18" i="223" s="1"/>
  <c r="G19" i="223" s="1"/>
  <c r="G20" i="223" s="1"/>
  <c r="I12" i="223"/>
  <c r="F18" i="223" s="1"/>
  <c r="F19" i="223" s="1"/>
  <c r="F20" i="223" s="1"/>
  <c r="G12" i="223"/>
  <c r="E12" i="223"/>
  <c r="D18" i="223" s="1"/>
  <c r="D19" i="223" s="1"/>
  <c r="D20" i="223" s="1"/>
  <c r="C12" i="223"/>
  <c r="B18" i="223" s="1"/>
  <c r="B19" i="223" s="1"/>
  <c r="B20" i="223" s="1"/>
  <c r="X11" i="223"/>
  <c r="V11" i="223"/>
  <c r="T11" i="223"/>
  <c r="R11" i="223"/>
  <c r="P11" i="223"/>
  <c r="N11" i="223"/>
  <c r="L11" i="223"/>
  <c r="J11" i="223"/>
  <c r="H11" i="223"/>
  <c r="Y11" i="223" s="1"/>
  <c r="F11" i="223"/>
  <c r="D11" i="223"/>
  <c r="X10" i="223"/>
  <c r="V10" i="223"/>
  <c r="T10" i="223"/>
  <c r="R10" i="223"/>
  <c r="P10" i="223"/>
  <c r="N10" i="223"/>
  <c r="L10" i="223"/>
  <c r="J10" i="223"/>
  <c r="Y10" i="223" s="1"/>
  <c r="H10" i="223"/>
  <c r="F10" i="223"/>
  <c r="D10" i="223"/>
  <c r="X9" i="223"/>
  <c r="V9" i="223"/>
  <c r="T9" i="223"/>
  <c r="R9" i="223"/>
  <c r="P9" i="223"/>
  <c r="N9" i="223"/>
  <c r="L9" i="223"/>
  <c r="J9" i="223"/>
  <c r="H9" i="223"/>
  <c r="F9" i="223"/>
  <c r="D9" i="223"/>
  <c r="X8" i="223"/>
  <c r="V8" i="223"/>
  <c r="T8" i="223"/>
  <c r="R8" i="223"/>
  <c r="P8" i="223"/>
  <c r="N8" i="223"/>
  <c r="L8" i="223"/>
  <c r="J8" i="223"/>
  <c r="H8" i="223"/>
  <c r="F8" i="223"/>
  <c r="D8" i="223"/>
  <c r="X7" i="223"/>
  <c r="V7" i="223"/>
  <c r="V12" i="223" s="1"/>
  <c r="T7" i="223"/>
  <c r="R7" i="223"/>
  <c r="P7" i="223"/>
  <c r="N7" i="223"/>
  <c r="L7" i="223"/>
  <c r="J7" i="223"/>
  <c r="H7" i="223"/>
  <c r="F7" i="223"/>
  <c r="D7" i="223"/>
  <c r="X6" i="223"/>
  <c r="X12" i="223" s="1"/>
  <c r="V6" i="223"/>
  <c r="T6" i="223"/>
  <c r="T12" i="223" s="1"/>
  <c r="R6" i="223"/>
  <c r="R12" i="223" s="1"/>
  <c r="P6" i="223"/>
  <c r="N6" i="223"/>
  <c r="L6" i="223"/>
  <c r="J6" i="223"/>
  <c r="J12" i="223" s="1"/>
  <c r="H6" i="223"/>
  <c r="H12" i="223" s="1"/>
  <c r="F6" i="223"/>
  <c r="D6" i="223"/>
  <c r="V25" i="222"/>
  <c r="F22" i="222"/>
  <c r="S19" i="222"/>
  <c r="S20" i="222" s="1"/>
  <c r="Q19" i="222"/>
  <c r="Q20" i="222" s="1"/>
  <c r="P19" i="222"/>
  <c r="P20" i="222" s="1"/>
  <c r="L19" i="222"/>
  <c r="L20" i="222" s="1"/>
  <c r="J19" i="222"/>
  <c r="J20" i="222" s="1"/>
  <c r="H19" i="222"/>
  <c r="H20" i="222" s="1"/>
  <c r="E18" i="222"/>
  <c r="E19" i="222" s="1"/>
  <c r="E20" i="222" s="1"/>
  <c r="W12" i="222"/>
  <c r="K18" i="222" s="1"/>
  <c r="K19" i="222" s="1"/>
  <c r="K20" i="222" s="1"/>
  <c r="U12" i="222"/>
  <c r="I18" i="222" s="1"/>
  <c r="I19" i="222" s="1"/>
  <c r="I20" i="222" s="1"/>
  <c r="S12" i="222"/>
  <c r="Q12" i="222"/>
  <c r="O18" i="222" s="1"/>
  <c r="O19" i="222" s="1"/>
  <c r="O20" i="222" s="1"/>
  <c r="O12" i="222"/>
  <c r="N18" i="222" s="1"/>
  <c r="N19" i="222" s="1"/>
  <c r="N20" i="222" s="1"/>
  <c r="M12" i="222"/>
  <c r="M18" i="222" s="1"/>
  <c r="M19" i="222" s="1"/>
  <c r="M20" i="222" s="1"/>
  <c r="K12" i="222"/>
  <c r="G18" i="222" s="1"/>
  <c r="G19" i="222" s="1"/>
  <c r="G20" i="222" s="1"/>
  <c r="I12" i="222"/>
  <c r="F18" i="222" s="1"/>
  <c r="F19" i="222" s="1"/>
  <c r="F20" i="222" s="1"/>
  <c r="G12" i="222"/>
  <c r="E12" i="222"/>
  <c r="D18" i="222" s="1"/>
  <c r="D19" i="222" s="1"/>
  <c r="D20" i="222" s="1"/>
  <c r="C12" i="222"/>
  <c r="B18" i="222" s="1"/>
  <c r="B19" i="222" s="1"/>
  <c r="B20" i="222" s="1"/>
  <c r="X11" i="222"/>
  <c r="V11" i="222"/>
  <c r="T11" i="222"/>
  <c r="R11" i="222"/>
  <c r="P11" i="222"/>
  <c r="N11" i="222"/>
  <c r="L11" i="222"/>
  <c r="J11" i="222"/>
  <c r="H11" i="222"/>
  <c r="F11" i="222"/>
  <c r="D11" i="222"/>
  <c r="Y11" i="222" s="1"/>
  <c r="X10" i="222"/>
  <c r="V10" i="222"/>
  <c r="T10" i="222"/>
  <c r="R10" i="222"/>
  <c r="P10" i="222"/>
  <c r="N10" i="222"/>
  <c r="L10" i="222"/>
  <c r="J10" i="222"/>
  <c r="H10" i="222"/>
  <c r="F10" i="222"/>
  <c r="D10" i="222"/>
  <c r="Y10" i="222" s="1"/>
  <c r="X9" i="222"/>
  <c r="V9" i="222"/>
  <c r="T9" i="222"/>
  <c r="R9" i="222"/>
  <c r="P9" i="222"/>
  <c r="N9" i="222"/>
  <c r="L9" i="222"/>
  <c r="J9" i="222"/>
  <c r="H9" i="222"/>
  <c r="F9" i="222"/>
  <c r="D9" i="222"/>
  <c r="X8" i="222"/>
  <c r="V8" i="222"/>
  <c r="T8" i="222"/>
  <c r="R8" i="222"/>
  <c r="P8" i="222"/>
  <c r="N8" i="222"/>
  <c r="L8" i="222"/>
  <c r="J8" i="222"/>
  <c r="H8" i="222"/>
  <c r="F8" i="222"/>
  <c r="D8" i="222"/>
  <c r="X7" i="222"/>
  <c r="V7" i="222"/>
  <c r="T7" i="222"/>
  <c r="R7" i="222"/>
  <c r="P7" i="222"/>
  <c r="N7" i="222"/>
  <c r="L7" i="222"/>
  <c r="J7" i="222"/>
  <c r="H7" i="222"/>
  <c r="F7" i="222"/>
  <c r="D7" i="222"/>
  <c r="Y7" i="222" s="1"/>
  <c r="X6" i="222"/>
  <c r="X12" i="222" s="1"/>
  <c r="V6" i="222"/>
  <c r="T6" i="222"/>
  <c r="T12" i="222" s="1"/>
  <c r="R6" i="222"/>
  <c r="R12" i="222" s="1"/>
  <c r="P6" i="222"/>
  <c r="N6" i="222"/>
  <c r="N12" i="222" s="1"/>
  <c r="L6" i="222"/>
  <c r="L12" i="222" s="1"/>
  <c r="J6" i="222"/>
  <c r="J12" i="222" s="1"/>
  <c r="H6" i="222"/>
  <c r="H12" i="222" s="1"/>
  <c r="F6" i="222"/>
  <c r="D6" i="222"/>
  <c r="V25" i="221"/>
  <c r="F22" i="221"/>
  <c r="S19" i="221"/>
  <c r="S20" i="221" s="1"/>
  <c r="Q19" i="221"/>
  <c r="Q20" i="221" s="1"/>
  <c r="P19" i="221"/>
  <c r="P20" i="221" s="1"/>
  <c r="M19" i="221"/>
  <c r="M20" i="221" s="1"/>
  <c r="L19" i="221"/>
  <c r="L20" i="221" s="1"/>
  <c r="J19" i="221"/>
  <c r="J20" i="221" s="1"/>
  <c r="H19" i="221"/>
  <c r="H20" i="221" s="1"/>
  <c r="O18" i="221"/>
  <c r="O19" i="221" s="1"/>
  <c r="O20" i="221" s="1"/>
  <c r="M18" i="221"/>
  <c r="F18" i="221"/>
  <c r="F19" i="221" s="1"/>
  <c r="F20" i="221" s="1"/>
  <c r="W12" i="221"/>
  <c r="K18" i="221" s="1"/>
  <c r="K19" i="221" s="1"/>
  <c r="K20" i="221" s="1"/>
  <c r="U12" i="221"/>
  <c r="I18" i="221" s="1"/>
  <c r="I19" i="221" s="1"/>
  <c r="I20" i="221" s="1"/>
  <c r="S12" i="221"/>
  <c r="Q12" i="221"/>
  <c r="O12" i="221"/>
  <c r="N18" i="221" s="1"/>
  <c r="N19" i="221" s="1"/>
  <c r="N20" i="221" s="1"/>
  <c r="M12" i="221"/>
  <c r="K12" i="221"/>
  <c r="G18" i="221" s="1"/>
  <c r="G19" i="221" s="1"/>
  <c r="G20" i="221" s="1"/>
  <c r="I12" i="221"/>
  <c r="G12" i="221"/>
  <c r="E18" i="221" s="1"/>
  <c r="E19" i="221" s="1"/>
  <c r="E20" i="221" s="1"/>
  <c r="E12" i="221"/>
  <c r="D18" i="221" s="1"/>
  <c r="D19" i="221" s="1"/>
  <c r="D20" i="221" s="1"/>
  <c r="C12" i="221"/>
  <c r="B18" i="221" s="1"/>
  <c r="B19" i="221" s="1"/>
  <c r="B20" i="221" s="1"/>
  <c r="X11" i="221"/>
  <c r="V11" i="221"/>
  <c r="T11" i="221"/>
  <c r="R11" i="221"/>
  <c r="P11" i="221"/>
  <c r="N11" i="221"/>
  <c r="L11" i="221"/>
  <c r="J11" i="221"/>
  <c r="H11" i="221"/>
  <c r="F11" i="221"/>
  <c r="D11" i="221"/>
  <c r="Y11" i="221" s="1"/>
  <c r="X10" i="221"/>
  <c r="V10" i="221"/>
  <c r="T10" i="221"/>
  <c r="R10" i="221"/>
  <c r="P10" i="221"/>
  <c r="N10" i="221"/>
  <c r="L10" i="221"/>
  <c r="J10" i="221"/>
  <c r="H10" i="221"/>
  <c r="F10" i="221"/>
  <c r="D10" i="221"/>
  <c r="Y10" i="221" s="1"/>
  <c r="X9" i="221"/>
  <c r="V9" i="221"/>
  <c r="T9" i="221"/>
  <c r="R9" i="221"/>
  <c r="P9" i="221"/>
  <c r="N9" i="221"/>
  <c r="L9" i="221"/>
  <c r="J9" i="221"/>
  <c r="H9" i="221"/>
  <c r="F9" i="221"/>
  <c r="D9" i="221"/>
  <c r="Y9" i="221" s="1"/>
  <c r="X8" i="221"/>
  <c r="V8" i="221"/>
  <c r="T8" i="221"/>
  <c r="R8" i="221"/>
  <c r="P8" i="221"/>
  <c r="N8" i="221"/>
  <c r="L8" i="221"/>
  <c r="J8" i="221"/>
  <c r="H8" i="221"/>
  <c r="H12" i="221" s="1"/>
  <c r="F8" i="221"/>
  <c r="D8" i="221"/>
  <c r="X7" i="221"/>
  <c r="V7" i="221"/>
  <c r="T7" i="221"/>
  <c r="R7" i="221"/>
  <c r="P7" i="221"/>
  <c r="N7" i="221"/>
  <c r="L7" i="221"/>
  <c r="J7" i="221"/>
  <c r="H7" i="221"/>
  <c r="F7" i="221"/>
  <c r="D7" i="221"/>
  <c r="X6" i="221"/>
  <c r="X12" i="221" s="1"/>
  <c r="V6" i="221"/>
  <c r="T6" i="221"/>
  <c r="R6" i="221"/>
  <c r="R12" i="221" s="1"/>
  <c r="P6" i="221"/>
  <c r="N6" i="221"/>
  <c r="N12" i="221" s="1"/>
  <c r="L6" i="221"/>
  <c r="J6" i="221"/>
  <c r="J12" i="221" s="1"/>
  <c r="H6" i="221"/>
  <c r="F6" i="221"/>
  <c r="D6" i="221"/>
  <c r="L7" i="220"/>
  <c r="L8" i="220"/>
  <c r="L9" i="220"/>
  <c r="L10" i="220"/>
  <c r="L11" i="220"/>
  <c r="V25" i="220"/>
  <c r="F22" i="220"/>
  <c r="S19" i="220"/>
  <c r="S20" i="220" s="1"/>
  <c r="Q19" i="220"/>
  <c r="Q20" i="220" s="1"/>
  <c r="P19" i="220"/>
  <c r="P20" i="220" s="1"/>
  <c r="L19" i="220"/>
  <c r="L20" i="220" s="1"/>
  <c r="J19" i="220"/>
  <c r="J20" i="220" s="1"/>
  <c r="H19" i="220"/>
  <c r="H20" i="220" s="1"/>
  <c r="K18" i="220"/>
  <c r="K19" i="220" s="1"/>
  <c r="K20" i="220" s="1"/>
  <c r="E18" i="220"/>
  <c r="E19" i="220" s="1"/>
  <c r="E20" i="220" s="1"/>
  <c r="W12" i="220"/>
  <c r="U12" i="220"/>
  <c r="I18" i="220" s="1"/>
  <c r="I19" i="220" s="1"/>
  <c r="I20" i="220" s="1"/>
  <c r="S12" i="220"/>
  <c r="Q12" i="220"/>
  <c r="O18" i="220" s="1"/>
  <c r="O19" i="220" s="1"/>
  <c r="O20" i="220" s="1"/>
  <c r="O12" i="220"/>
  <c r="N18" i="220" s="1"/>
  <c r="N19" i="220" s="1"/>
  <c r="N20" i="220" s="1"/>
  <c r="M12" i="220"/>
  <c r="M18" i="220" s="1"/>
  <c r="M19" i="220" s="1"/>
  <c r="M20" i="220" s="1"/>
  <c r="K12" i="220"/>
  <c r="G18" i="220" s="1"/>
  <c r="G19" i="220" s="1"/>
  <c r="G20" i="220" s="1"/>
  <c r="I12" i="220"/>
  <c r="F18" i="220" s="1"/>
  <c r="F19" i="220" s="1"/>
  <c r="F20" i="220" s="1"/>
  <c r="G12" i="220"/>
  <c r="E12" i="220"/>
  <c r="D18" i="220" s="1"/>
  <c r="D19" i="220" s="1"/>
  <c r="D20" i="220" s="1"/>
  <c r="C12" i="220"/>
  <c r="B18" i="220" s="1"/>
  <c r="B19" i="220" s="1"/>
  <c r="B20" i="220" s="1"/>
  <c r="X11" i="220"/>
  <c r="V11" i="220"/>
  <c r="T11" i="220"/>
  <c r="R11" i="220"/>
  <c r="P11" i="220"/>
  <c r="N11" i="220"/>
  <c r="J11" i="220"/>
  <c r="H11" i="220"/>
  <c r="Y11" i="220" s="1"/>
  <c r="F11" i="220"/>
  <c r="D11" i="220"/>
  <c r="X10" i="220"/>
  <c r="V10" i="220"/>
  <c r="T10" i="220"/>
  <c r="R10" i="220"/>
  <c r="P10" i="220"/>
  <c r="N10" i="220"/>
  <c r="J10" i="220"/>
  <c r="H10" i="220"/>
  <c r="Y10" i="220" s="1"/>
  <c r="F10" i="220"/>
  <c r="D10" i="220"/>
  <c r="X9" i="220"/>
  <c r="V9" i="220"/>
  <c r="T9" i="220"/>
  <c r="R9" i="220"/>
  <c r="P9" i="220"/>
  <c r="N9" i="220"/>
  <c r="J9" i="220"/>
  <c r="H9" i="220"/>
  <c r="F9" i="220"/>
  <c r="D9" i="220"/>
  <c r="X8" i="220"/>
  <c r="V8" i="220"/>
  <c r="T8" i="220"/>
  <c r="R8" i="220"/>
  <c r="P8" i="220"/>
  <c r="N8" i="220"/>
  <c r="J8" i="220"/>
  <c r="H8" i="220"/>
  <c r="F8" i="220"/>
  <c r="D8" i="220"/>
  <c r="X7" i="220"/>
  <c r="V7" i="220"/>
  <c r="V12" i="220" s="1"/>
  <c r="T7" i="220"/>
  <c r="R7" i="220"/>
  <c r="P7" i="220"/>
  <c r="N7" i="220"/>
  <c r="J7" i="220"/>
  <c r="H7" i="220"/>
  <c r="F7" i="220"/>
  <c r="F12" i="220" s="1"/>
  <c r="D7" i="220"/>
  <c r="X6" i="220"/>
  <c r="X12" i="220" s="1"/>
  <c r="V6" i="220"/>
  <c r="T6" i="220"/>
  <c r="T12" i="220" s="1"/>
  <c r="R6" i="220"/>
  <c r="R12" i="220" s="1"/>
  <c r="P6" i="220"/>
  <c r="N6" i="220"/>
  <c r="N12" i="220" s="1"/>
  <c r="L6" i="220"/>
  <c r="J6" i="220"/>
  <c r="H6" i="220"/>
  <c r="H12" i="220" s="1"/>
  <c r="F6" i="220"/>
  <c r="D6" i="220"/>
  <c r="V25" i="219"/>
  <c r="F22" i="219"/>
  <c r="S19" i="219"/>
  <c r="S20" i="219" s="1"/>
  <c r="Q19" i="219"/>
  <c r="Q20" i="219" s="1"/>
  <c r="P19" i="219"/>
  <c r="P20" i="219" s="1"/>
  <c r="L19" i="219"/>
  <c r="L20" i="219" s="1"/>
  <c r="J19" i="219"/>
  <c r="J20" i="219" s="1"/>
  <c r="H19" i="219"/>
  <c r="H20" i="219" s="1"/>
  <c r="O18" i="219"/>
  <c r="O19" i="219" s="1"/>
  <c r="O20" i="219" s="1"/>
  <c r="D18" i="219"/>
  <c r="D19" i="219" s="1"/>
  <c r="D20" i="219" s="1"/>
  <c r="X12" i="219"/>
  <c r="W12" i="219"/>
  <c r="K18" i="219" s="1"/>
  <c r="K19" i="219" s="1"/>
  <c r="K20" i="219" s="1"/>
  <c r="U12" i="219"/>
  <c r="I18" i="219" s="1"/>
  <c r="I19" i="219" s="1"/>
  <c r="I20" i="219" s="1"/>
  <c r="S12" i="219"/>
  <c r="Q12" i="219"/>
  <c r="O12" i="219"/>
  <c r="N18" i="219" s="1"/>
  <c r="N19" i="219" s="1"/>
  <c r="N20" i="219" s="1"/>
  <c r="M12" i="219"/>
  <c r="M18" i="219" s="1"/>
  <c r="M19" i="219" s="1"/>
  <c r="M20" i="219" s="1"/>
  <c r="K12" i="219"/>
  <c r="G18" i="219" s="1"/>
  <c r="G19" i="219" s="1"/>
  <c r="G20" i="219" s="1"/>
  <c r="I12" i="219"/>
  <c r="F18" i="219" s="1"/>
  <c r="F19" i="219" s="1"/>
  <c r="F20" i="219" s="1"/>
  <c r="G12" i="219"/>
  <c r="E18" i="219" s="1"/>
  <c r="E19" i="219" s="1"/>
  <c r="E20" i="219" s="1"/>
  <c r="E12" i="219"/>
  <c r="C12" i="219"/>
  <c r="B18" i="219" s="1"/>
  <c r="B19" i="219" s="1"/>
  <c r="B20" i="219" s="1"/>
  <c r="X11" i="219"/>
  <c r="V11" i="219"/>
  <c r="T11" i="219"/>
  <c r="R11" i="219"/>
  <c r="P11" i="219"/>
  <c r="N11" i="219"/>
  <c r="L11" i="219"/>
  <c r="J11" i="219"/>
  <c r="H11" i="219"/>
  <c r="F11" i="219"/>
  <c r="D11" i="219"/>
  <c r="Y11" i="219" s="1"/>
  <c r="X10" i="219"/>
  <c r="V10" i="219"/>
  <c r="T10" i="219"/>
  <c r="R10" i="219"/>
  <c r="P10" i="219"/>
  <c r="N10" i="219"/>
  <c r="L10" i="219"/>
  <c r="J10" i="219"/>
  <c r="H10" i="219"/>
  <c r="F10" i="219"/>
  <c r="D10" i="219"/>
  <c r="Y10" i="219" s="1"/>
  <c r="X9" i="219"/>
  <c r="V9" i="219"/>
  <c r="T9" i="219"/>
  <c r="R9" i="219"/>
  <c r="P9" i="219"/>
  <c r="N9" i="219"/>
  <c r="L9" i="219"/>
  <c r="J9" i="219"/>
  <c r="H9" i="219"/>
  <c r="F9" i="219"/>
  <c r="D9" i="219"/>
  <c r="X8" i="219"/>
  <c r="V8" i="219"/>
  <c r="T8" i="219"/>
  <c r="R8" i="219"/>
  <c r="P8" i="219"/>
  <c r="N8" i="219"/>
  <c r="L8" i="219"/>
  <c r="J8" i="219"/>
  <c r="H8" i="219"/>
  <c r="H12" i="219" s="1"/>
  <c r="F8" i="219"/>
  <c r="D8" i="219"/>
  <c r="X7" i="219"/>
  <c r="V7" i="219"/>
  <c r="T7" i="219"/>
  <c r="R7" i="219"/>
  <c r="P7" i="219"/>
  <c r="N7" i="219"/>
  <c r="L7" i="219"/>
  <c r="J7" i="219"/>
  <c r="H7" i="219"/>
  <c r="F7" i="219"/>
  <c r="D7" i="219"/>
  <c r="Y7" i="219" s="1"/>
  <c r="X6" i="219"/>
  <c r="V6" i="219"/>
  <c r="T6" i="219"/>
  <c r="T12" i="219" s="1"/>
  <c r="R6" i="219"/>
  <c r="R12" i="219" s="1"/>
  <c r="P6" i="219"/>
  <c r="P12" i="219" s="1"/>
  <c r="N6" i="219"/>
  <c r="N12" i="219" s="1"/>
  <c r="L6" i="219"/>
  <c r="J6" i="219"/>
  <c r="H6" i="219"/>
  <c r="F6" i="219"/>
  <c r="D6" i="219"/>
  <c r="L12" i="228" l="1"/>
  <c r="Y9" i="228"/>
  <c r="T12" i="228"/>
  <c r="J12" i="228"/>
  <c r="D12" i="228"/>
  <c r="Y8" i="228"/>
  <c r="Y7" i="228"/>
  <c r="B21" i="228"/>
  <c r="Y6" i="228"/>
  <c r="T12" i="227"/>
  <c r="Y7" i="227"/>
  <c r="J12" i="227"/>
  <c r="P12" i="227"/>
  <c r="Y9" i="227"/>
  <c r="F12" i="227"/>
  <c r="Y8" i="227"/>
  <c r="D12" i="227"/>
  <c r="Y12" i="227"/>
  <c r="V16" i="227" s="1"/>
  <c r="V24" i="227" s="1"/>
  <c r="B21" i="227"/>
  <c r="Y6" i="227"/>
  <c r="T12" i="226"/>
  <c r="Y9" i="226"/>
  <c r="J12" i="226"/>
  <c r="D12" i="226"/>
  <c r="Y12" i="226" s="1"/>
  <c r="V16" i="226" s="1"/>
  <c r="V24" i="226" s="1"/>
  <c r="P12" i="226"/>
  <c r="Y7" i="226"/>
  <c r="Y8" i="226"/>
  <c r="B21" i="226"/>
  <c r="Y6" i="226"/>
  <c r="T12" i="225"/>
  <c r="V12" i="225"/>
  <c r="P12" i="225"/>
  <c r="Y7" i="225"/>
  <c r="Y8" i="225"/>
  <c r="D12" i="225"/>
  <c r="B21" i="225"/>
  <c r="Y11" i="224"/>
  <c r="T12" i="224"/>
  <c r="V12" i="224"/>
  <c r="Y9" i="224"/>
  <c r="P12" i="224"/>
  <c r="L12" i="224"/>
  <c r="F12" i="224"/>
  <c r="Y8" i="224"/>
  <c r="D12" i="224"/>
  <c r="B21" i="224"/>
  <c r="Y6" i="224"/>
  <c r="L12" i="223"/>
  <c r="F12" i="223"/>
  <c r="P12" i="223"/>
  <c r="Y7" i="223"/>
  <c r="Y9" i="223"/>
  <c r="D12" i="223"/>
  <c r="Y8" i="223"/>
  <c r="B21" i="223"/>
  <c r="Y6" i="223"/>
  <c r="Y9" i="222"/>
  <c r="V12" i="222"/>
  <c r="P12" i="222"/>
  <c r="F12" i="222"/>
  <c r="Y8" i="222"/>
  <c r="D12" i="222"/>
  <c r="B21" i="222"/>
  <c r="Y6" i="222"/>
  <c r="V12" i="221"/>
  <c r="F12" i="221"/>
  <c r="P12" i="221"/>
  <c r="Y7" i="221"/>
  <c r="T12" i="221"/>
  <c r="L12" i="221"/>
  <c r="Y6" i="221"/>
  <c r="Y8" i="221"/>
  <c r="B21" i="221"/>
  <c r="D12" i="221"/>
  <c r="Y9" i="220"/>
  <c r="P12" i="220"/>
  <c r="L12" i="220"/>
  <c r="J12" i="220"/>
  <c r="D12" i="220"/>
  <c r="Y8" i="220"/>
  <c r="Y7" i="220"/>
  <c r="B21" i="220"/>
  <c r="Y6" i="220"/>
  <c r="V12" i="219"/>
  <c r="F12" i="219"/>
  <c r="J12" i="219"/>
  <c r="L12" i="219"/>
  <c r="Y6" i="219"/>
  <c r="Y9" i="219"/>
  <c r="Y8" i="219"/>
  <c r="B21" i="219"/>
  <c r="D12" i="219"/>
  <c r="Y12" i="219" s="1"/>
  <c r="V16" i="219" s="1"/>
  <c r="V24" i="219" s="1"/>
  <c r="P7" i="218"/>
  <c r="P8" i="218"/>
  <c r="P9" i="218"/>
  <c r="P10" i="218"/>
  <c r="P11" i="218"/>
  <c r="P6" i="218"/>
  <c r="P19" i="218"/>
  <c r="P20" i="218" s="1"/>
  <c r="V25" i="218"/>
  <c r="F22" i="218"/>
  <c r="S19" i="218"/>
  <c r="S20" i="218" s="1"/>
  <c r="Q19" i="218"/>
  <c r="Q20" i="218" s="1"/>
  <c r="L19" i="218"/>
  <c r="L20" i="218" s="1"/>
  <c r="K19" i="218"/>
  <c r="K20" i="218" s="1"/>
  <c r="J19" i="218"/>
  <c r="J20" i="218" s="1"/>
  <c r="H19" i="218"/>
  <c r="H20" i="218" s="1"/>
  <c r="K18" i="218"/>
  <c r="D18" i="218"/>
  <c r="D19" i="218" s="1"/>
  <c r="D20" i="218" s="1"/>
  <c r="X12" i="218"/>
  <c r="W12" i="218"/>
  <c r="U12" i="218"/>
  <c r="I18" i="218" s="1"/>
  <c r="I19" i="218" s="1"/>
  <c r="I20" i="218" s="1"/>
  <c r="T12" i="218"/>
  <c r="S12" i="218"/>
  <c r="Q12" i="218"/>
  <c r="O18" i="218" s="1"/>
  <c r="O19" i="218" s="1"/>
  <c r="O20" i="218" s="1"/>
  <c r="O12" i="218"/>
  <c r="N18" i="218" s="1"/>
  <c r="N19" i="218" s="1"/>
  <c r="N20" i="218" s="1"/>
  <c r="M12" i="218"/>
  <c r="M18" i="218" s="1"/>
  <c r="M19" i="218" s="1"/>
  <c r="M20" i="218" s="1"/>
  <c r="K12" i="218"/>
  <c r="G18" i="218" s="1"/>
  <c r="G19" i="218" s="1"/>
  <c r="G20" i="218" s="1"/>
  <c r="I12" i="218"/>
  <c r="F18" i="218" s="1"/>
  <c r="F19" i="218" s="1"/>
  <c r="F20" i="218" s="1"/>
  <c r="G12" i="218"/>
  <c r="E18" i="218" s="1"/>
  <c r="E19" i="218" s="1"/>
  <c r="E20" i="218" s="1"/>
  <c r="E12" i="218"/>
  <c r="C12" i="218"/>
  <c r="B18" i="218" s="1"/>
  <c r="B19" i="218" s="1"/>
  <c r="B20" i="218" s="1"/>
  <c r="X11" i="218"/>
  <c r="V11" i="218"/>
  <c r="T11" i="218"/>
  <c r="R11" i="218"/>
  <c r="N11" i="218"/>
  <c r="L11" i="218"/>
  <c r="J11" i="218"/>
  <c r="H11" i="218"/>
  <c r="F11" i="218"/>
  <c r="D11" i="218"/>
  <c r="X10" i="218"/>
  <c r="V10" i="218"/>
  <c r="T10" i="218"/>
  <c r="R10" i="218"/>
  <c r="N10" i="218"/>
  <c r="L10" i="218"/>
  <c r="J10" i="218"/>
  <c r="H10" i="218"/>
  <c r="F10" i="218"/>
  <c r="D10" i="218"/>
  <c r="X9" i="218"/>
  <c r="V9" i="218"/>
  <c r="T9" i="218"/>
  <c r="R9" i="218"/>
  <c r="N9" i="218"/>
  <c r="L9" i="218"/>
  <c r="J9" i="218"/>
  <c r="H9" i="218"/>
  <c r="F9" i="218"/>
  <c r="D9" i="218"/>
  <c r="X8" i="218"/>
  <c r="V8" i="218"/>
  <c r="T8" i="218"/>
  <c r="R8" i="218"/>
  <c r="N8" i="218"/>
  <c r="L8" i="218"/>
  <c r="J8" i="218"/>
  <c r="H8" i="218"/>
  <c r="H12" i="218" s="1"/>
  <c r="F8" i="218"/>
  <c r="D8" i="218"/>
  <c r="X7" i="218"/>
  <c r="V7" i="218"/>
  <c r="T7" i="218"/>
  <c r="R7" i="218"/>
  <c r="N7" i="218"/>
  <c r="L7" i="218"/>
  <c r="J7" i="218"/>
  <c r="H7" i="218"/>
  <c r="F7" i="218"/>
  <c r="D7" i="218"/>
  <c r="X6" i="218"/>
  <c r="V6" i="218"/>
  <c r="T6" i="218"/>
  <c r="R6" i="218"/>
  <c r="R12" i="218" s="1"/>
  <c r="N6" i="218"/>
  <c r="N12" i="218" s="1"/>
  <c r="L6" i="218"/>
  <c r="J6" i="218"/>
  <c r="H6" i="218"/>
  <c r="F6" i="218"/>
  <c r="F12" i="218" s="1"/>
  <c r="D6" i="218"/>
  <c r="P20" i="217"/>
  <c r="V25" i="217"/>
  <c r="F22" i="217"/>
  <c r="S19" i="217"/>
  <c r="S20" i="217" s="1"/>
  <c r="Q19" i="217"/>
  <c r="Q20" i="217" s="1"/>
  <c r="P19" i="217"/>
  <c r="N19" i="217"/>
  <c r="N20" i="217" s="1"/>
  <c r="L19" i="217"/>
  <c r="L20" i="217" s="1"/>
  <c r="J19" i="217"/>
  <c r="J20" i="217" s="1"/>
  <c r="H19" i="217"/>
  <c r="H20" i="217" s="1"/>
  <c r="O18" i="217"/>
  <c r="O19" i="217" s="1"/>
  <c r="O20" i="217" s="1"/>
  <c r="W12" i="217"/>
  <c r="K18" i="217" s="1"/>
  <c r="K19" i="217" s="1"/>
  <c r="K20" i="217" s="1"/>
  <c r="U12" i="217"/>
  <c r="I18" i="217" s="1"/>
  <c r="I19" i="217" s="1"/>
  <c r="I20" i="217" s="1"/>
  <c r="S12" i="217"/>
  <c r="Q12" i="217"/>
  <c r="O12" i="217"/>
  <c r="M12" i="217"/>
  <c r="M18" i="217" s="1"/>
  <c r="M19" i="217" s="1"/>
  <c r="M20" i="217" s="1"/>
  <c r="K12" i="217"/>
  <c r="G18" i="217" s="1"/>
  <c r="G19" i="217" s="1"/>
  <c r="G20" i="217" s="1"/>
  <c r="I12" i="217"/>
  <c r="F18" i="217" s="1"/>
  <c r="F19" i="217" s="1"/>
  <c r="F20" i="217" s="1"/>
  <c r="G12" i="217"/>
  <c r="E18" i="217" s="1"/>
  <c r="E19" i="217" s="1"/>
  <c r="E20" i="217" s="1"/>
  <c r="E12" i="217"/>
  <c r="D18" i="217" s="1"/>
  <c r="D19" i="217" s="1"/>
  <c r="D20" i="217" s="1"/>
  <c r="C12" i="217"/>
  <c r="B18" i="217" s="1"/>
  <c r="B19" i="217" s="1"/>
  <c r="B20" i="217" s="1"/>
  <c r="X11" i="217"/>
  <c r="V11" i="217"/>
  <c r="T11" i="217"/>
  <c r="R11" i="217"/>
  <c r="P11" i="217"/>
  <c r="N11" i="217"/>
  <c r="L11" i="217"/>
  <c r="J11" i="217"/>
  <c r="H11" i="217"/>
  <c r="F11" i="217"/>
  <c r="D11" i="217"/>
  <c r="Y11" i="217" s="1"/>
  <c r="X10" i="217"/>
  <c r="V10" i="217"/>
  <c r="T10" i="217"/>
  <c r="R10" i="217"/>
  <c r="P10" i="217"/>
  <c r="N10" i="217"/>
  <c r="L10" i="217"/>
  <c r="J10" i="217"/>
  <c r="H10" i="217"/>
  <c r="F10" i="217"/>
  <c r="D10" i="217"/>
  <c r="X9" i="217"/>
  <c r="V9" i="217"/>
  <c r="T9" i="217"/>
  <c r="R9" i="217"/>
  <c r="P9" i="217"/>
  <c r="N9" i="217"/>
  <c r="L9" i="217"/>
  <c r="J9" i="217"/>
  <c r="H9" i="217"/>
  <c r="F9" i="217"/>
  <c r="D9" i="217"/>
  <c r="X8" i="217"/>
  <c r="V8" i="217"/>
  <c r="T8" i="217"/>
  <c r="R8" i="217"/>
  <c r="P8" i="217"/>
  <c r="N8" i="217"/>
  <c r="L8" i="217"/>
  <c r="J8" i="217"/>
  <c r="H8" i="217"/>
  <c r="F8" i="217"/>
  <c r="D8" i="217"/>
  <c r="X7" i="217"/>
  <c r="V7" i="217"/>
  <c r="T7" i="217"/>
  <c r="R7" i="217"/>
  <c r="P7" i="217"/>
  <c r="N7" i="217"/>
  <c r="L7" i="217"/>
  <c r="J7" i="217"/>
  <c r="H7" i="217"/>
  <c r="F7" i="217"/>
  <c r="D7" i="217"/>
  <c r="X6" i="217"/>
  <c r="X12" i="217" s="1"/>
  <c r="V6" i="217"/>
  <c r="T6" i="217"/>
  <c r="T12" i="217" s="1"/>
  <c r="R6" i="217"/>
  <c r="R12" i="217" s="1"/>
  <c r="P6" i="217"/>
  <c r="P12" i="217" s="1"/>
  <c r="N6" i="217"/>
  <c r="N12" i="217" s="1"/>
  <c r="L6" i="217"/>
  <c r="J6" i="217"/>
  <c r="H6" i="217"/>
  <c r="H12" i="217" s="1"/>
  <c r="F6" i="217"/>
  <c r="F12" i="217" s="1"/>
  <c r="D6" i="217"/>
  <c r="Y12" i="228" l="1"/>
  <c r="V16" i="228" s="1"/>
  <c r="V24" i="228" s="1"/>
  <c r="Y12" i="225"/>
  <c r="V16" i="225" s="1"/>
  <c r="V24" i="225" s="1"/>
  <c r="Y12" i="224"/>
  <c r="V16" i="224" s="1"/>
  <c r="V24" i="224" s="1"/>
  <c r="Y12" i="223"/>
  <c r="V16" i="223" s="1"/>
  <c r="V24" i="223" s="1"/>
  <c r="Y12" i="222"/>
  <c r="V16" i="222" s="1"/>
  <c r="V24" i="222" s="1"/>
  <c r="Y12" i="221"/>
  <c r="V16" i="221" s="1"/>
  <c r="V24" i="221" s="1"/>
  <c r="Y12" i="220"/>
  <c r="V16" i="220" s="1"/>
  <c r="V24" i="220" s="1"/>
  <c r="Y10" i="218"/>
  <c r="P12" i="218"/>
  <c r="Y11" i="218"/>
  <c r="L12" i="218"/>
  <c r="Y6" i="218"/>
  <c r="V12" i="218"/>
  <c r="Y9" i="218"/>
  <c r="Y8" i="218"/>
  <c r="J12" i="218"/>
  <c r="Y7" i="218"/>
  <c r="D12" i="218"/>
  <c r="B21" i="218"/>
  <c r="L12" i="217"/>
  <c r="V12" i="217"/>
  <c r="Y8" i="217"/>
  <c r="J12" i="217"/>
  <c r="Y7" i="217"/>
  <c r="Y6" i="217"/>
  <c r="Y10" i="217"/>
  <c r="Y9" i="217"/>
  <c r="B21" i="217"/>
  <c r="D12" i="217"/>
  <c r="Y12" i="218" l="1"/>
  <c r="V16" i="218" s="1"/>
  <c r="V24" i="218" s="1"/>
  <c r="Y12" i="217"/>
  <c r="V16" i="217" s="1"/>
  <c r="V24" i="217" s="1"/>
  <c r="M20" i="216" l="1"/>
  <c r="V25" i="216" l="1"/>
  <c r="F22" i="216"/>
  <c r="S19" i="216"/>
  <c r="S20" i="216" s="1"/>
  <c r="Q19" i="216"/>
  <c r="Q20" i="216" s="1"/>
  <c r="P19" i="216"/>
  <c r="P20" i="216" s="1"/>
  <c r="N19" i="216"/>
  <c r="N20" i="216" s="1"/>
  <c r="L19" i="216"/>
  <c r="L20" i="216" s="1"/>
  <c r="K19" i="216"/>
  <c r="K20" i="216" s="1"/>
  <c r="J19" i="216"/>
  <c r="J20" i="216" s="1"/>
  <c r="H19" i="216"/>
  <c r="H20" i="216" s="1"/>
  <c r="K18" i="216"/>
  <c r="E18" i="216"/>
  <c r="E19" i="216" s="1"/>
  <c r="E20" i="216" s="1"/>
  <c r="D18" i="216"/>
  <c r="D19" i="216" s="1"/>
  <c r="D20" i="216" s="1"/>
  <c r="X12" i="216"/>
  <c r="W12" i="216"/>
  <c r="U12" i="216"/>
  <c r="I18" i="216" s="1"/>
  <c r="I19" i="216" s="1"/>
  <c r="I20" i="216" s="1"/>
  <c r="S12" i="216"/>
  <c r="Q12" i="216"/>
  <c r="O18" i="216" s="1"/>
  <c r="O19" i="216" s="1"/>
  <c r="O20" i="216" s="1"/>
  <c r="P12" i="216"/>
  <c r="O12" i="216"/>
  <c r="M12" i="216"/>
  <c r="M18" i="216" s="1"/>
  <c r="M19" i="216" s="1"/>
  <c r="L12" i="216"/>
  <c r="K12" i="216"/>
  <c r="G18" i="216" s="1"/>
  <c r="G19" i="216" s="1"/>
  <c r="G20" i="216" s="1"/>
  <c r="I12" i="216"/>
  <c r="F18" i="216" s="1"/>
  <c r="F19" i="216" s="1"/>
  <c r="F20" i="216" s="1"/>
  <c r="H12" i="216"/>
  <c r="G12" i="216"/>
  <c r="E12" i="216"/>
  <c r="C12" i="216"/>
  <c r="B18" i="216" s="1"/>
  <c r="B19" i="216" s="1"/>
  <c r="B20" i="216" s="1"/>
  <c r="X11" i="216"/>
  <c r="V11" i="216"/>
  <c r="T11" i="216"/>
  <c r="R11" i="216"/>
  <c r="P11" i="216"/>
  <c r="N11" i="216"/>
  <c r="L11" i="216"/>
  <c r="J11" i="216"/>
  <c r="H11" i="216"/>
  <c r="F11" i="216"/>
  <c r="Y11" i="216" s="1"/>
  <c r="D11" i="216"/>
  <c r="X10" i="216"/>
  <c r="V10" i="216"/>
  <c r="T10" i="216"/>
  <c r="R10" i="216"/>
  <c r="P10" i="216"/>
  <c r="N10" i="216"/>
  <c r="L10" i="216"/>
  <c r="J10" i="216"/>
  <c r="H10" i="216"/>
  <c r="F10" i="216"/>
  <c r="D10" i="216"/>
  <c r="X9" i="216"/>
  <c r="V9" i="216"/>
  <c r="T9" i="216"/>
  <c r="T12" i="216" s="1"/>
  <c r="R9" i="216"/>
  <c r="P9" i="216"/>
  <c r="N9" i="216"/>
  <c r="L9" i="216"/>
  <c r="J9" i="216"/>
  <c r="H9" i="216"/>
  <c r="F9" i="216"/>
  <c r="D9" i="216"/>
  <c r="X8" i="216"/>
  <c r="V8" i="216"/>
  <c r="T8" i="216"/>
  <c r="R8" i="216"/>
  <c r="P8" i="216"/>
  <c r="N8" i="216"/>
  <c r="L8" i="216"/>
  <c r="J8" i="216"/>
  <c r="H8" i="216"/>
  <c r="F8" i="216"/>
  <c r="D8" i="216"/>
  <c r="X7" i="216"/>
  <c r="V7" i="216"/>
  <c r="T7" i="216"/>
  <c r="R7" i="216"/>
  <c r="P7" i="216"/>
  <c r="N7" i="216"/>
  <c r="L7" i="216"/>
  <c r="J7" i="216"/>
  <c r="H7" i="216"/>
  <c r="F7" i="216"/>
  <c r="D7" i="216"/>
  <c r="X6" i="216"/>
  <c r="V6" i="216"/>
  <c r="T6" i="216"/>
  <c r="R6" i="216"/>
  <c r="R12" i="216" s="1"/>
  <c r="P6" i="216"/>
  <c r="N6" i="216"/>
  <c r="N12" i="216" s="1"/>
  <c r="L6" i="216"/>
  <c r="J6" i="216"/>
  <c r="H6" i="216"/>
  <c r="F6" i="216"/>
  <c r="F12" i="216" s="1"/>
  <c r="D6" i="216"/>
  <c r="Y6" i="216" s="1"/>
  <c r="V25" i="215"/>
  <c r="F22" i="215"/>
  <c r="S19" i="215"/>
  <c r="S20" i="215" s="1"/>
  <c r="Q19" i="215"/>
  <c r="Q20" i="215" s="1"/>
  <c r="P19" i="215"/>
  <c r="P20" i="215" s="1"/>
  <c r="N19" i="215"/>
  <c r="N20" i="215" s="1"/>
  <c r="L19" i="215"/>
  <c r="L20" i="215" s="1"/>
  <c r="J19" i="215"/>
  <c r="J20" i="215" s="1"/>
  <c r="H19" i="215"/>
  <c r="H20" i="215" s="1"/>
  <c r="D18" i="215"/>
  <c r="D19" i="215" s="1"/>
  <c r="D20" i="215" s="1"/>
  <c r="X12" i="215"/>
  <c r="W12" i="215"/>
  <c r="K18" i="215" s="1"/>
  <c r="K19" i="215" s="1"/>
  <c r="K20" i="215" s="1"/>
  <c r="U12" i="215"/>
  <c r="I18" i="215" s="1"/>
  <c r="I19" i="215" s="1"/>
  <c r="I20" i="215" s="1"/>
  <c r="S12" i="215"/>
  <c r="Q12" i="215"/>
  <c r="O18" i="215" s="1"/>
  <c r="O19" i="215" s="1"/>
  <c r="O20" i="215" s="1"/>
  <c r="P12" i="215"/>
  <c r="O12" i="215"/>
  <c r="M12" i="215"/>
  <c r="M18" i="215" s="1"/>
  <c r="M19" i="215" s="1"/>
  <c r="M20" i="215" s="1"/>
  <c r="L12" i="215"/>
  <c r="K12" i="215"/>
  <c r="G18" i="215" s="1"/>
  <c r="G19" i="215" s="1"/>
  <c r="G20" i="215" s="1"/>
  <c r="I12" i="215"/>
  <c r="F18" i="215" s="1"/>
  <c r="F19" i="215" s="1"/>
  <c r="F20" i="215" s="1"/>
  <c r="G12" i="215"/>
  <c r="E18" i="215" s="1"/>
  <c r="E19" i="215" s="1"/>
  <c r="E20" i="215" s="1"/>
  <c r="E12" i="215"/>
  <c r="C12" i="215"/>
  <c r="B18" i="215" s="1"/>
  <c r="B19" i="215" s="1"/>
  <c r="B20" i="215" s="1"/>
  <c r="X11" i="215"/>
  <c r="V11" i="215"/>
  <c r="T11" i="215"/>
  <c r="R11" i="215"/>
  <c r="P11" i="215"/>
  <c r="N11" i="215"/>
  <c r="L11" i="215"/>
  <c r="J11" i="215"/>
  <c r="H11" i="215"/>
  <c r="F11" i="215"/>
  <c r="D11" i="215"/>
  <c r="Y11" i="215" s="1"/>
  <c r="X10" i="215"/>
  <c r="V10" i="215"/>
  <c r="T10" i="215"/>
  <c r="R10" i="215"/>
  <c r="P10" i="215"/>
  <c r="N10" i="215"/>
  <c r="L10" i="215"/>
  <c r="J10" i="215"/>
  <c r="H10" i="215"/>
  <c r="F10" i="215"/>
  <c r="D10" i="215"/>
  <c r="Y10" i="215" s="1"/>
  <c r="X9" i="215"/>
  <c r="V9" i="215"/>
  <c r="T9" i="215"/>
  <c r="T12" i="215" s="1"/>
  <c r="R9" i="215"/>
  <c r="P9" i="215"/>
  <c r="N9" i="215"/>
  <c r="L9" i="215"/>
  <c r="J9" i="215"/>
  <c r="H9" i="215"/>
  <c r="F9" i="215"/>
  <c r="D9" i="215"/>
  <c r="X8" i="215"/>
  <c r="V8" i="215"/>
  <c r="T8" i="215"/>
  <c r="R8" i="215"/>
  <c r="P8" i="215"/>
  <c r="N8" i="215"/>
  <c r="L8" i="215"/>
  <c r="J8" i="215"/>
  <c r="H8" i="215"/>
  <c r="F8" i="215"/>
  <c r="D8" i="215"/>
  <c r="Y8" i="215" s="1"/>
  <c r="X7" i="215"/>
  <c r="V7" i="215"/>
  <c r="T7" i="215"/>
  <c r="R7" i="215"/>
  <c r="P7" i="215"/>
  <c r="N7" i="215"/>
  <c r="L7" i="215"/>
  <c r="J7" i="215"/>
  <c r="H7" i="215"/>
  <c r="H12" i="215" s="1"/>
  <c r="F7" i="215"/>
  <c r="D7" i="215"/>
  <c r="X6" i="215"/>
  <c r="V6" i="215"/>
  <c r="T6" i="215"/>
  <c r="R6" i="215"/>
  <c r="R12" i="215" s="1"/>
  <c r="P6" i="215"/>
  <c r="N6" i="215"/>
  <c r="N12" i="215" s="1"/>
  <c r="L6" i="215"/>
  <c r="J6" i="215"/>
  <c r="J12" i="215" s="1"/>
  <c r="H6" i="215"/>
  <c r="F6" i="215"/>
  <c r="F12" i="215" s="1"/>
  <c r="D6" i="215"/>
  <c r="Y6" i="215" s="1"/>
  <c r="V25" i="214"/>
  <c r="F22" i="214"/>
  <c r="S19" i="214"/>
  <c r="S20" i="214" s="1"/>
  <c r="Q19" i="214"/>
  <c r="Q20" i="214" s="1"/>
  <c r="P19" i="214"/>
  <c r="P20" i="214" s="1"/>
  <c r="N19" i="214"/>
  <c r="N20" i="214" s="1"/>
  <c r="L19" i="214"/>
  <c r="L20" i="214" s="1"/>
  <c r="J19" i="214"/>
  <c r="J20" i="214" s="1"/>
  <c r="H19" i="214"/>
  <c r="H20" i="214" s="1"/>
  <c r="K18" i="214"/>
  <c r="K19" i="214" s="1"/>
  <c r="K20" i="214" s="1"/>
  <c r="W12" i="214"/>
  <c r="U12" i="214"/>
  <c r="I18" i="214" s="1"/>
  <c r="I19" i="214" s="1"/>
  <c r="I20" i="214" s="1"/>
  <c r="S12" i="214"/>
  <c r="Q12" i="214"/>
  <c r="O18" i="214" s="1"/>
  <c r="O19" i="214" s="1"/>
  <c r="O20" i="214" s="1"/>
  <c r="O12" i="214"/>
  <c r="M12" i="214"/>
  <c r="M18" i="214" s="1"/>
  <c r="M19" i="214" s="1"/>
  <c r="M20" i="214" s="1"/>
  <c r="K12" i="214"/>
  <c r="G18" i="214" s="1"/>
  <c r="G19" i="214" s="1"/>
  <c r="G20" i="214" s="1"/>
  <c r="I12" i="214"/>
  <c r="F18" i="214" s="1"/>
  <c r="F19" i="214" s="1"/>
  <c r="F20" i="214" s="1"/>
  <c r="G12" i="214"/>
  <c r="E18" i="214" s="1"/>
  <c r="E19" i="214" s="1"/>
  <c r="E20" i="214" s="1"/>
  <c r="E12" i="214"/>
  <c r="D18" i="214" s="1"/>
  <c r="D19" i="214" s="1"/>
  <c r="D20" i="214" s="1"/>
  <c r="C12" i="214"/>
  <c r="B18" i="214" s="1"/>
  <c r="B19" i="214" s="1"/>
  <c r="B20" i="214" s="1"/>
  <c r="X11" i="214"/>
  <c r="V11" i="214"/>
  <c r="T11" i="214"/>
  <c r="R11" i="214"/>
  <c r="P11" i="214"/>
  <c r="N11" i="214"/>
  <c r="L11" i="214"/>
  <c r="J11" i="214"/>
  <c r="H11" i="214"/>
  <c r="F11" i="214"/>
  <c r="D11" i="214"/>
  <c r="Y11" i="214" s="1"/>
  <c r="X10" i="214"/>
  <c r="V10" i="214"/>
  <c r="T10" i="214"/>
  <c r="R10" i="214"/>
  <c r="P10" i="214"/>
  <c r="N10" i="214"/>
  <c r="L10" i="214"/>
  <c r="J10" i="214"/>
  <c r="H10" i="214"/>
  <c r="F10" i="214"/>
  <c r="D10" i="214"/>
  <c r="Y10" i="214" s="1"/>
  <c r="X9" i="214"/>
  <c r="V9" i="214"/>
  <c r="T9" i="214"/>
  <c r="R9" i="214"/>
  <c r="P9" i="214"/>
  <c r="N9" i="214"/>
  <c r="L9" i="214"/>
  <c r="J9" i="214"/>
  <c r="H9" i="214"/>
  <c r="F9" i="214"/>
  <c r="D9" i="214"/>
  <c r="Y9" i="214" s="1"/>
  <c r="X8" i="214"/>
  <c r="V8" i="214"/>
  <c r="T8" i="214"/>
  <c r="R8" i="214"/>
  <c r="P8" i="214"/>
  <c r="N8" i="214"/>
  <c r="L8" i="214"/>
  <c r="J8" i="214"/>
  <c r="H8" i="214"/>
  <c r="F8" i="214"/>
  <c r="D8" i="214"/>
  <c r="Y8" i="214" s="1"/>
  <c r="X7" i="214"/>
  <c r="V7" i="214"/>
  <c r="T7" i="214"/>
  <c r="R7" i="214"/>
  <c r="P7" i="214"/>
  <c r="N7" i="214"/>
  <c r="L7" i="214"/>
  <c r="J7" i="214"/>
  <c r="H7" i="214"/>
  <c r="F7" i="214"/>
  <c r="D7" i="214"/>
  <c r="X6" i="214"/>
  <c r="X12" i="214" s="1"/>
  <c r="V6" i="214"/>
  <c r="T6" i="214"/>
  <c r="T12" i="214" s="1"/>
  <c r="R6" i="214"/>
  <c r="R12" i="214" s="1"/>
  <c r="P6" i="214"/>
  <c r="P12" i="214" s="1"/>
  <c r="N6" i="214"/>
  <c r="N12" i="214" s="1"/>
  <c r="L6" i="214"/>
  <c r="L12" i="214" s="1"/>
  <c r="J6" i="214"/>
  <c r="J12" i="214" s="1"/>
  <c r="H6" i="214"/>
  <c r="H12" i="214" s="1"/>
  <c r="F6" i="214"/>
  <c r="F12" i="214" s="1"/>
  <c r="D6" i="214"/>
  <c r="Y10" i="216" l="1"/>
  <c r="D12" i="216"/>
  <c r="V12" i="216"/>
  <c r="J12" i="216"/>
  <c r="Y12" i="216" s="1"/>
  <c r="V16" i="216" s="1"/>
  <c r="V24" i="216" s="1"/>
  <c r="Y9" i="216"/>
  <c r="Y8" i="216"/>
  <c r="Y7" i="216"/>
  <c r="B21" i="216"/>
  <c r="Y9" i="215"/>
  <c r="V12" i="215"/>
  <c r="Y7" i="215"/>
  <c r="D12" i="215"/>
  <c r="B21" i="215"/>
  <c r="V12" i="214"/>
  <c r="Y7" i="214"/>
  <c r="Y6" i="214"/>
  <c r="B21" i="214"/>
  <c r="D12" i="214"/>
  <c r="Y12" i="214" s="1"/>
  <c r="V16" i="214" s="1"/>
  <c r="V24" i="214" s="1"/>
  <c r="V25" i="213"/>
  <c r="F22" i="213"/>
  <c r="S19" i="213"/>
  <c r="S20" i="213" s="1"/>
  <c r="Q19" i="213"/>
  <c r="Q20" i="213" s="1"/>
  <c r="P19" i="213"/>
  <c r="P20" i="213" s="1"/>
  <c r="N19" i="213"/>
  <c r="N20" i="213" s="1"/>
  <c r="L19" i="213"/>
  <c r="L20" i="213" s="1"/>
  <c r="K19" i="213"/>
  <c r="K20" i="213" s="1"/>
  <c r="J19" i="213"/>
  <c r="J20" i="213" s="1"/>
  <c r="H19" i="213"/>
  <c r="H20" i="213" s="1"/>
  <c r="K18" i="213"/>
  <c r="I18" i="213"/>
  <c r="I19" i="213" s="1"/>
  <c r="I20" i="213" s="1"/>
  <c r="E18" i="213"/>
  <c r="E19" i="213" s="1"/>
  <c r="E20" i="213" s="1"/>
  <c r="D18" i="213"/>
  <c r="D19" i="213" s="1"/>
  <c r="D20" i="213" s="1"/>
  <c r="X12" i="213"/>
  <c r="W12" i="213"/>
  <c r="U12" i="213"/>
  <c r="S12" i="213"/>
  <c r="Q12" i="213"/>
  <c r="O18" i="213" s="1"/>
  <c r="O19" i="213" s="1"/>
  <c r="O20" i="213" s="1"/>
  <c r="P12" i="213"/>
  <c r="O12" i="213"/>
  <c r="M12" i="213"/>
  <c r="M18" i="213" s="1"/>
  <c r="M19" i="213" s="1"/>
  <c r="M20" i="213" s="1"/>
  <c r="L12" i="213"/>
  <c r="K12" i="213"/>
  <c r="G18" i="213" s="1"/>
  <c r="G19" i="213" s="1"/>
  <c r="G20" i="213" s="1"/>
  <c r="I12" i="213"/>
  <c r="F18" i="213" s="1"/>
  <c r="F19" i="213" s="1"/>
  <c r="F20" i="213" s="1"/>
  <c r="H12" i="213"/>
  <c r="G12" i="213"/>
  <c r="E12" i="213"/>
  <c r="C12" i="213"/>
  <c r="B18" i="213" s="1"/>
  <c r="B19" i="213" s="1"/>
  <c r="B20" i="213" s="1"/>
  <c r="X11" i="213"/>
  <c r="V11" i="213"/>
  <c r="T11" i="213"/>
  <c r="R11" i="213"/>
  <c r="P11" i="213"/>
  <c r="N11" i="213"/>
  <c r="L11" i="213"/>
  <c r="J11" i="213"/>
  <c r="H11" i="213"/>
  <c r="F11" i="213"/>
  <c r="D11" i="213"/>
  <c r="Y11" i="213" s="1"/>
  <c r="X10" i="213"/>
  <c r="V10" i="213"/>
  <c r="T10" i="213"/>
  <c r="R10" i="213"/>
  <c r="P10" i="213"/>
  <c r="N10" i="213"/>
  <c r="L10" i="213"/>
  <c r="J10" i="213"/>
  <c r="H10" i="213"/>
  <c r="F10" i="213"/>
  <c r="D10" i="213"/>
  <c r="Y10" i="213" s="1"/>
  <c r="X9" i="213"/>
  <c r="V9" i="213"/>
  <c r="T9" i="213"/>
  <c r="R9" i="213"/>
  <c r="P9" i="213"/>
  <c r="N9" i="213"/>
  <c r="L9" i="213"/>
  <c r="J9" i="213"/>
  <c r="H9" i="213"/>
  <c r="F9" i="213"/>
  <c r="D9" i="213"/>
  <c r="Y9" i="213" s="1"/>
  <c r="X8" i="213"/>
  <c r="V8" i="213"/>
  <c r="T8" i="213"/>
  <c r="R8" i="213"/>
  <c r="P8" i="213"/>
  <c r="N8" i="213"/>
  <c r="L8" i="213"/>
  <c r="J8" i="213"/>
  <c r="H8" i="213"/>
  <c r="F8" i="213"/>
  <c r="D8" i="213"/>
  <c r="Y8" i="213" s="1"/>
  <c r="X7" i="213"/>
  <c r="V7" i="213"/>
  <c r="T7" i="213"/>
  <c r="R7" i="213"/>
  <c r="P7" i="213"/>
  <c r="N7" i="213"/>
  <c r="L7" i="213"/>
  <c r="J7" i="213"/>
  <c r="H7" i="213"/>
  <c r="F7" i="213"/>
  <c r="D7" i="213"/>
  <c r="X6" i="213"/>
  <c r="V6" i="213"/>
  <c r="V12" i="213" s="1"/>
  <c r="T6" i="213"/>
  <c r="T12" i="213" s="1"/>
  <c r="R6" i="213"/>
  <c r="R12" i="213" s="1"/>
  <c r="P6" i="213"/>
  <c r="N6" i="213"/>
  <c r="N12" i="213" s="1"/>
  <c r="L6" i="213"/>
  <c r="J6" i="213"/>
  <c r="H6" i="213"/>
  <c r="F6" i="213"/>
  <c r="F12" i="213" s="1"/>
  <c r="D6" i="213"/>
  <c r="Y12" i="215" l="1"/>
  <c r="V16" i="215" s="1"/>
  <c r="V24" i="215" s="1"/>
  <c r="Y7" i="213"/>
  <c r="J12" i="213"/>
  <c r="Y6" i="213"/>
  <c r="D12" i="213"/>
  <c r="Y12" i="213" s="1"/>
  <c r="V16" i="213" s="1"/>
  <c r="V24" i="213" s="1"/>
  <c r="B21" i="213"/>
  <c r="N7" i="212"/>
  <c r="N8" i="212"/>
  <c r="N9" i="212"/>
  <c r="N10" i="212"/>
  <c r="N11" i="212"/>
  <c r="N6" i="212"/>
  <c r="V25" i="212" l="1"/>
  <c r="F22" i="212"/>
  <c r="S19" i="212"/>
  <c r="S20" i="212" s="1"/>
  <c r="Q19" i="212"/>
  <c r="Q20" i="212" s="1"/>
  <c r="P19" i="212"/>
  <c r="P20" i="212" s="1"/>
  <c r="N19" i="212"/>
  <c r="N20" i="212" s="1"/>
  <c r="L19" i="212"/>
  <c r="L20" i="212" s="1"/>
  <c r="J19" i="212"/>
  <c r="J20" i="212" s="1"/>
  <c r="H19" i="212"/>
  <c r="H20" i="212" s="1"/>
  <c r="I18" i="212"/>
  <c r="I19" i="212" s="1"/>
  <c r="I20" i="212" s="1"/>
  <c r="D18" i="212"/>
  <c r="D19" i="212" s="1"/>
  <c r="D20" i="212" s="1"/>
  <c r="X12" i="212"/>
  <c r="W12" i="212"/>
  <c r="K18" i="212" s="1"/>
  <c r="K19" i="212" s="1"/>
  <c r="K20" i="212" s="1"/>
  <c r="U12" i="212"/>
  <c r="S12" i="212"/>
  <c r="Q12" i="212"/>
  <c r="O18" i="212" s="1"/>
  <c r="O19" i="212" s="1"/>
  <c r="O20" i="212" s="1"/>
  <c r="P12" i="212"/>
  <c r="O12" i="212"/>
  <c r="M12" i="212"/>
  <c r="M18" i="212" s="1"/>
  <c r="M19" i="212" s="1"/>
  <c r="M20" i="212" s="1"/>
  <c r="L12" i="212"/>
  <c r="K12" i="212"/>
  <c r="G18" i="212" s="1"/>
  <c r="G19" i="212" s="1"/>
  <c r="G20" i="212" s="1"/>
  <c r="I12" i="212"/>
  <c r="F18" i="212" s="1"/>
  <c r="F19" i="212" s="1"/>
  <c r="F20" i="212" s="1"/>
  <c r="H12" i="212"/>
  <c r="G12" i="212"/>
  <c r="E18" i="212" s="1"/>
  <c r="E19" i="212" s="1"/>
  <c r="E20" i="212" s="1"/>
  <c r="E12" i="212"/>
  <c r="C12" i="212"/>
  <c r="B18" i="212" s="1"/>
  <c r="B19" i="212" s="1"/>
  <c r="B20" i="212" s="1"/>
  <c r="X11" i="212"/>
  <c r="V11" i="212"/>
  <c r="T11" i="212"/>
  <c r="R11" i="212"/>
  <c r="P11" i="212"/>
  <c r="L11" i="212"/>
  <c r="J11" i="212"/>
  <c r="H11" i="212"/>
  <c r="F11" i="212"/>
  <c r="D11" i="212"/>
  <c r="X10" i="212"/>
  <c r="V10" i="212"/>
  <c r="T10" i="212"/>
  <c r="R10" i="212"/>
  <c r="P10" i="212"/>
  <c r="L10" i="212"/>
  <c r="J10" i="212"/>
  <c r="H10" i="212"/>
  <c r="F10" i="212"/>
  <c r="D10" i="212"/>
  <c r="Y10" i="212" s="1"/>
  <c r="X9" i="212"/>
  <c r="V9" i="212"/>
  <c r="T9" i="212"/>
  <c r="R9" i="212"/>
  <c r="P9" i="212"/>
  <c r="L9" i="212"/>
  <c r="J9" i="212"/>
  <c r="H9" i="212"/>
  <c r="F9" i="212"/>
  <c r="D9" i="212"/>
  <c r="Y9" i="212" s="1"/>
  <c r="X8" i="212"/>
  <c r="V8" i="212"/>
  <c r="T8" i="212"/>
  <c r="R8" i="212"/>
  <c r="P8" i="212"/>
  <c r="L8" i="212"/>
  <c r="J8" i="212"/>
  <c r="H8" i="212"/>
  <c r="F8" i="212"/>
  <c r="D8" i="212"/>
  <c r="X7" i="212"/>
  <c r="V7" i="212"/>
  <c r="T7" i="212"/>
  <c r="R7" i="212"/>
  <c r="P7" i="212"/>
  <c r="L7" i="212"/>
  <c r="J7" i="212"/>
  <c r="H7" i="212"/>
  <c r="F7" i="212"/>
  <c r="D7" i="212"/>
  <c r="X6" i="212"/>
  <c r="V6" i="212"/>
  <c r="V12" i="212" s="1"/>
  <c r="T6" i="212"/>
  <c r="R6" i="212"/>
  <c r="R12" i="212" s="1"/>
  <c r="P6" i="212"/>
  <c r="N12" i="212"/>
  <c r="L6" i="212"/>
  <c r="J6" i="212"/>
  <c r="H6" i="212"/>
  <c r="F6" i="212"/>
  <c r="F12" i="212" s="1"/>
  <c r="D6" i="212"/>
  <c r="Y11" i="212" l="1"/>
  <c r="T12" i="212"/>
  <c r="Y8" i="212"/>
  <c r="J12" i="212"/>
  <c r="Y7" i="212"/>
  <c r="Y6" i="212"/>
  <c r="D12" i="212"/>
  <c r="Y12" i="212" s="1"/>
  <c r="V16" i="212" s="1"/>
  <c r="V24" i="212" s="1"/>
  <c r="B21" i="212"/>
  <c r="V25" i="211" l="1"/>
  <c r="F22" i="211"/>
  <c r="S19" i="211"/>
  <c r="S20" i="211" s="1"/>
  <c r="Q19" i="211"/>
  <c r="Q20" i="211" s="1"/>
  <c r="P19" i="211"/>
  <c r="P20" i="211" s="1"/>
  <c r="N19" i="211"/>
  <c r="N20" i="211" s="1"/>
  <c r="L19" i="211"/>
  <c r="L20" i="211" s="1"/>
  <c r="K19" i="211"/>
  <c r="K20" i="211" s="1"/>
  <c r="J19" i="211"/>
  <c r="J20" i="211" s="1"/>
  <c r="H19" i="211"/>
  <c r="H20" i="211" s="1"/>
  <c r="K18" i="211"/>
  <c r="I18" i="211"/>
  <c r="I19" i="211" s="1"/>
  <c r="I20" i="211" s="1"/>
  <c r="E18" i="211"/>
  <c r="E19" i="211" s="1"/>
  <c r="E20" i="211" s="1"/>
  <c r="D18" i="211"/>
  <c r="D19" i="211" s="1"/>
  <c r="D20" i="211" s="1"/>
  <c r="X12" i="211"/>
  <c r="W12" i="211"/>
  <c r="U12" i="211"/>
  <c r="T12" i="211"/>
  <c r="S12" i="211"/>
  <c r="Q12" i="211"/>
  <c r="O18" i="211" s="1"/>
  <c r="O19" i="211" s="1"/>
  <c r="O20" i="211" s="1"/>
  <c r="P12" i="211"/>
  <c r="O12" i="211"/>
  <c r="M12" i="211"/>
  <c r="M18" i="211" s="1"/>
  <c r="M19" i="211" s="1"/>
  <c r="M20" i="211" s="1"/>
  <c r="L12" i="211"/>
  <c r="K12" i="211"/>
  <c r="G18" i="211" s="1"/>
  <c r="G19" i="211" s="1"/>
  <c r="G20" i="211" s="1"/>
  <c r="I12" i="211"/>
  <c r="F18" i="211" s="1"/>
  <c r="F19" i="211" s="1"/>
  <c r="F20" i="211" s="1"/>
  <c r="H12" i="211"/>
  <c r="G12" i="211"/>
  <c r="E12" i="211"/>
  <c r="C12" i="211"/>
  <c r="B18" i="211" s="1"/>
  <c r="B19" i="211" s="1"/>
  <c r="B20" i="211" s="1"/>
  <c r="X11" i="211"/>
  <c r="V11" i="211"/>
  <c r="T11" i="211"/>
  <c r="R11" i="211"/>
  <c r="P11" i="211"/>
  <c r="N11" i="211"/>
  <c r="L11" i="211"/>
  <c r="J11" i="211"/>
  <c r="H11" i="211"/>
  <c r="F11" i="211"/>
  <c r="D11" i="211"/>
  <c r="Y11" i="211" s="1"/>
  <c r="X10" i="211"/>
  <c r="V10" i="211"/>
  <c r="T10" i="211"/>
  <c r="R10" i="211"/>
  <c r="P10" i="211"/>
  <c r="N10" i="211"/>
  <c r="L10" i="211"/>
  <c r="J10" i="211"/>
  <c r="H10" i="211"/>
  <c r="F10" i="211"/>
  <c r="D10" i="211"/>
  <c r="Y10" i="211" s="1"/>
  <c r="X9" i="211"/>
  <c r="V9" i="211"/>
  <c r="T9" i="211"/>
  <c r="R9" i="211"/>
  <c r="P9" i="211"/>
  <c r="N9" i="211"/>
  <c r="L9" i="211"/>
  <c r="J9" i="211"/>
  <c r="H9" i="211"/>
  <c r="F9" i="211"/>
  <c r="D9" i="211"/>
  <c r="X8" i="211"/>
  <c r="V8" i="211"/>
  <c r="T8" i="211"/>
  <c r="R8" i="211"/>
  <c r="P8" i="211"/>
  <c r="N8" i="211"/>
  <c r="L8" i="211"/>
  <c r="J8" i="211"/>
  <c r="H8" i="211"/>
  <c r="F8" i="211"/>
  <c r="D8" i="211"/>
  <c r="Y8" i="211" s="1"/>
  <c r="X7" i="211"/>
  <c r="V7" i="211"/>
  <c r="T7" i="211"/>
  <c r="R7" i="211"/>
  <c r="P7" i="211"/>
  <c r="N7" i="211"/>
  <c r="L7" i="211"/>
  <c r="J7" i="211"/>
  <c r="H7" i="211"/>
  <c r="F7" i="211"/>
  <c r="D7" i="211"/>
  <c r="X6" i="211"/>
  <c r="V6" i="211"/>
  <c r="V12" i="211" s="1"/>
  <c r="T6" i="211"/>
  <c r="R6" i="211"/>
  <c r="R12" i="211" s="1"/>
  <c r="P6" i="211"/>
  <c r="N6" i="211"/>
  <c r="N12" i="211" s="1"/>
  <c r="L6" i="211"/>
  <c r="J6" i="211"/>
  <c r="H6" i="211"/>
  <c r="F6" i="211"/>
  <c r="F12" i="211" s="1"/>
  <c r="D6" i="211"/>
  <c r="Y9" i="211" l="1"/>
  <c r="J12" i="211"/>
  <c r="Y7" i="211"/>
  <c r="Y6" i="211"/>
  <c r="D12" i="211"/>
  <c r="B21" i="211"/>
  <c r="Y12" i="211" l="1"/>
  <c r="V16" i="211" s="1"/>
  <c r="V24" i="211" s="1"/>
  <c r="V25" i="210" l="1"/>
  <c r="F22" i="210"/>
  <c r="S19" i="210"/>
  <c r="S20" i="210" s="1"/>
  <c r="Q19" i="210"/>
  <c r="Q20" i="210" s="1"/>
  <c r="P19" i="210"/>
  <c r="P20" i="210" s="1"/>
  <c r="N19" i="210"/>
  <c r="N20" i="210" s="1"/>
  <c r="L19" i="210"/>
  <c r="L20" i="210" s="1"/>
  <c r="K19" i="210"/>
  <c r="K20" i="210" s="1"/>
  <c r="J19" i="210"/>
  <c r="J20" i="210" s="1"/>
  <c r="H19" i="210"/>
  <c r="H20" i="210" s="1"/>
  <c r="K18" i="210"/>
  <c r="I18" i="210"/>
  <c r="I19" i="210" s="1"/>
  <c r="I20" i="210" s="1"/>
  <c r="D18" i="210"/>
  <c r="D19" i="210" s="1"/>
  <c r="D20" i="210" s="1"/>
  <c r="X12" i="210"/>
  <c r="W12" i="210"/>
  <c r="U12" i="210"/>
  <c r="S12" i="210"/>
  <c r="Q12" i="210"/>
  <c r="O18" i="210" s="1"/>
  <c r="O19" i="210" s="1"/>
  <c r="O20" i="210" s="1"/>
  <c r="P12" i="210"/>
  <c r="O12" i="210"/>
  <c r="M12" i="210"/>
  <c r="M18" i="210" s="1"/>
  <c r="M19" i="210" s="1"/>
  <c r="M20" i="210" s="1"/>
  <c r="L12" i="210"/>
  <c r="K12" i="210"/>
  <c r="G18" i="210" s="1"/>
  <c r="G19" i="210" s="1"/>
  <c r="G20" i="210" s="1"/>
  <c r="I12" i="210"/>
  <c r="F18" i="210" s="1"/>
  <c r="F19" i="210" s="1"/>
  <c r="F20" i="210" s="1"/>
  <c r="H12" i="210"/>
  <c r="G12" i="210"/>
  <c r="E18" i="210" s="1"/>
  <c r="E19" i="210" s="1"/>
  <c r="E20" i="210" s="1"/>
  <c r="E12" i="210"/>
  <c r="C12" i="210"/>
  <c r="B18" i="210" s="1"/>
  <c r="B19" i="210" s="1"/>
  <c r="B20" i="210" s="1"/>
  <c r="X11" i="210"/>
  <c r="V11" i="210"/>
  <c r="T11" i="210"/>
  <c r="R11" i="210"/>
  <c r="P11" i="210"/>
  <c r="N11" i="210"/>
  <c r="L11" i="210"/>
  <c r="J11" i="210"/>
  <c r="H11" i="210"/>
  <c r="F11" i="210"/>
  <c r="D11" i="210"/>
  <c r="Y11" i="210" s="1"/>
  <c r="X10" i="210"/>
  <c r="V10" i="210"/>
  <c r="T10" i="210"/>
  <c r="R10" i="210"/>
  <c r="P10" i="210"/>
  <c r="N10" i="210"/>
  <c r="L10" i="210"/>
  <c r="J10" i="210"/>
  <c r="H10" i="210"/>
  <c r="F10" i="210"/>
  <c r="D10" i="210"/>
  <c r="X9" i="210"/>
  <c r="V9" i="210"/>
  <c r="T9" i="210"/>
  <c r="R9" i="210"/>
  <c r="P9" i="210"/>
  <c r="N9" i="210"/>
  <c r="L9" i="210"/>
  <c r="J9" i="210"/>
  <c r="H9" i="210"/>
  <c r="F9" i="210"/>
  <c r="D9" i="210"/>
  <c r="X8" i="210"/>
  <c r="V8" i="210"/>
  <c r="T8" i="210"/>
  <c r="R8" i="210"/>
  <c r="P8" i="210"/>
  <c r="N8" i="210"/>
  <c r="L8" i="210"/>
  <c r="J8" i="210"/>
  <c r="H8" i="210"/>
  <c r="F8" i="210"/>
  <c r="D8" i="210"/>
  <c r="X7" i="210"/>
  <c r="V7" i="210"/>
  <c r="T7" i="210"/>
  <c r="R7" i="210"/>
  <c r="P7" i="210"/>
  <c r="N7" i="210"/>
  <c r="L7" i="210"/>
  <c r="J7" i="210"/>
  <c r="H7" i="210"/>
  <c r="F7" i="210"/>
  <c r="D7" i="210"/>
  <c r="X6" i="210"/>
  <c r="V6" i="210"/>
  <c r="V12" i="210" s="1"/>
  <c r="T6" i="210"/>
  <c r="R6" i="210"/>
  <c r="R12" i="210" s="1"/>
  <c r="P6" i="210"/>
  <c r="N6" i="210"/>
  <c r="N12" i="210" s="1"/>
  <c r="L6" i="210"/>
  <c r="J6" i="210"/>
  <c r="J12" i="210" s="1"/>
  <c r="H6" i="210"/>
  <c r="F6" i="210"/>
  <c r="D6" i="210"/>
  <c r="V25" i="209"/>
  <c r="F22" i="209"/>
  <c r="S19" i="209"/>
  <c r="S20" i="209" s="1"/>
  <c r="Q19" i="209"/>
  <c r="Q20" i="209" s="1"/>
  <c r="P19" i="209"/>
  <c r="P20" i="209" s="1"/>
  <c r="N19" i="209"/>
  <c r="N20" i="209" s="1"/>
  <c r="L19" i="209"/>
  <c r="L20" i="209" s="1"/>
  <c r="J19" i="209"/>
  <c r="J20" i="209" s="1"/>
  <c r="H19" i="209"/>
  <c r="H20" i="209" s="1"/>
  <c r="I18" i="209"/>
  <c r="I19" i="209" s="1"/>
  <c r="I20" i="209" s="1"/>
  <c r="X12" i="209"/>
  <c r="W12" i="209"/>
  <c r="K18" i="209" s="1"/>
  <c r="K19" i="209" s="1"/>
  <c r="K20" i="209" s="1"/>
  <c r="U12" i="209"/>
  <c r="S12" i="209"/>
  <c r="Q12" i="209"/>
  <c r="O18" i="209" s="1"/>
  <c r="O19" i="209" s="1"/>
  <c r="O20" i="209" s="1"/>
  <c r="P12" i="209"/>
  <c r="O12" i="209"/>
  <c r="M12" i="209"/>
  <c r="M18" i="209" s="1"/>
  <c r="M19" i="209" s="1"/>
  <c r="M20" i="209" s="1"/>
  <c r="L12" i="209"/>
  <c r="K12" i="209"/>
  <c r="G18" i="209" s="1"/>
  <c r="G19" i="209" s="1"/>
  <c r="G20" i="209" s="1"/>
  <c r="I12" i="209"/>
  <c r="F18" i="209" s="1"/>
  <c r="F19" i="209" s="1"/>
  <c r="F20" i="209" s="1"/>
  <c r="G12" i="209"/>
  <c r="E18" i="209" s="1"/>
  <c r="E19" i="209" s="1"/>
  <c r="E20" i="209" s="1"/>
  <c r="E12" i="209"/>
  <c r="D18" i="209" s="1"/>
  <c r="D19" i="209" s="1"/>
  <c r="D20" i="209" s="1"/>
  <c r="C12" i="209"/>
  <c r="B18" i="209" s="1"/>
  <c r="B19" i="209" s="1"/>
  <c r="B20" i="209" s="1"/>
  <c r="X11" i="209"/>
  <c r="V11" i="209"/>
  <c r="T11" i="209"/>
  <c r="R11" i="209"/>
  <c r="P11" i="209"/>
  <c r="N11" i="209"/>
  <c r="L11" i="209"/>
  <c r="J11" i="209"/>
  <c r="H11" i="209"/>
  <c r="F11" i="209"/>
  <c r="D11" i="209"/>
  <c r="X10" i="209"/>
  <c r="V10" i="209"/>
  <c r="T10" i="209"/>
  <c r="R10" i="209"/>
  <c r="P10" i="209"/>
  <c r="N10" i="209"/>
  <c r="L10" i="209"/>
  <c r="J10" i="209"/>
  <c r="H10" i="209"/>
  <c r="F10" i="209"/>
  <c r="D10" i="209"/>
  <c r="X9" i="209"/>
  <c r="V9" i="209"/>
  <c r="T9" i="209"/>
  <c r="R9" i="209"/>
  <c r="P9" i="209"/>
  <c r="N9" i="209"/>
  <c r="L9" i="209"/>
  <c r="J9" i="209"/>
  <c r="H9" i="209"/>
  <c r="F9" i="209"/>
  <c r="D9" i="209"/>
  <c r="X8" i="209"/>
  <c r="V8" i="209"/>
  <c r="T8" i="209"/>
  <c r="T12" i="209" s="1"/>
  <c r="R8" i="209"/>
  <c r="P8" i="209"/>
  <c r="N8" i="209"/>
  <c r="L8" i="209"/>
  <c r="J8" i="209"/>
  <c r="H8" i="209"/>
  <c r="F8" i="209"/>
  <c r="D8" i="209"/>
  <c r="X7" i="209"/>
  <c r="V7" i="209"/>
  <c r="T7" i="209"/>
  <c r="R7" i="209"/>
  <c r="P7" i="209"/>
  <c r="N7" i="209"/>
  <c r="L7" i="209"/>
  <c r="J7" i="209"/>
  <c r="H7" i="209"/>
  <c r="F7" i="209"/>
  <c r="D7" i="209"/>
  <c r="X6" i="209"/>
  <c r="V6" i="209"/>
  <c r="V12" i="209" s="1"/>
  <c r="T6" i="209"/>
  <c r="R6" i="209"/>
  <c r="R12" i="209" s="1"/>
  <c r="P6" i="209"/>
  <c r="N6" i="209"/>
  <c r="N12" i="209" s="1"/>
  <c r="L6" i="209"/>
  <c r="J6" i="209"/>
  <c r="H6" i="209"/>
  <c r="H12" i="209" s="1"/>
  <c r="F6" i="209"/>
  <c r="F12" i="209" s="1"/>
  <c r="D6" i="209"/>
  <c r="V25" i="208"/>
  <c r="F22" i="208"/>
  <c r="S19" i="208"/>
  <c r="S20" i="208" s="1"/>
  <c r="Q19" i="208"/>
  <c r="Q20" i="208" s="1"/>
  <c r="P19" i="208"/>
  <c r="P20" i="208" s="1"/>
  <c r="N19" i="208"/>
  <c r="N20" i="208" s="1"/>
  <c r="L19" i="208"/>
  <c r="L20" i="208" s="1"/>
  <c r="J19" i="208"/>
  <c r="J20" i="208" s="1"/>
  <c r="H19" i="208"/>
  <c r="H20" i="208" s="1"/>
  <c r="O18" i="208"/>
  <c r="O19" i="208" s="1"/>
  <c r="O20" i="208" s="1"/>
  <c r="W12" i="208"/>
  <c r="K18" i="208" s="1"/>
  <c r="K19" i="208" s="1"/>
  <c r="K20" i="208" s="1"/>
  <c r="U12" i="208"/>
  <c r="I18" i="208" s="1"/>
  <c r="I19" i="208" s="1"/>
  <c r="I20" i="208" s="1"/>
  <c r="S12" i="208"/>
  <c r="Q12" i="208"/>
  <c r="O12" i="208"/>
  <c r="M12" i="208"/>
  <c r="M18" i="208" s="1"/>
  <c r="M19" i="208" s="1"/>
  <c r="M20" i="208" s="1"/>
  <c r="K12" i="208"/>
  <c r="G18" i="208" s="1"/>
  <c r="G19" i="208" s="1"/>
  <c r="G20" i="208" s="1"/>
  <c r="I12" i="208"/>
  <c r="F18" i="208" s="1"/>
  <c r="F19" i="208" s="1"/>
  <c r="F20" i="208" s="1"/>
  <c r="G12" i="208"/>
  <c r="E18" i="208" s="1"/>
  <c r="E19" i="208" s="1"/>
  <c r="E20" i="208" s="1"/>
  <c r="E12" i="208"/>
  <c r="D18" i="208" s="1"/>
  <c r="D19" i="208" s="1"/>
  <c r="D20" i="208" s="1"/>
  <c r="C12" i="208"/>
  <c r="B18" i="208" s="1"/>
  <c r="B19" i="208" s="1"/>
  <c r="B20" i="208" s="1"/>
  <c r="X11" i="208"/>
  <c r="V11" i="208"/>
  <c r="T11" i="208"/>
  <c r="R11" i="208"/>
  <c r="P11" i="208"/>
  <c r="N11" i="208"/>
  <c r="L11" i="208"/>
  <c r="J11" i="208"/>
  <c r="H11" i="208"/>
  <c r="F11" i="208"/>
  <c r="D11" i="208"/>
  <c r="Y11" i="208" s="1"/>
  <c r="X10" i="208"/>
  <c r="V10" i="208"/>
  <c r="T10" i="208"/>
  <c r="R10" i="208"/>
  <c r="P10" i="208"/>
  <c r="N10" i="208"/>
  <c r="L10" i="208"/>
  <c r="J10" i="208"/>
  <c r="H10" i="208"/>
  <c r="F10" i="208"/>
  <c r="D10" i="208"/>
  <c r="X9" i="208"/>
  <c r="V9" i="208"/>
  <c r="T9" i="208"/>
  <c r="R9" i="208"/>
  <c r="P9" i="208"/>
  <c r="N9" i="208"/>
  <c r="L9" i="208"/>
  <c r="J9" i="208"/>
  <c r="H9" i="208"/>
  <c r="F9" i="208"/>
  <c r="D9" i="208"/>
  <c r="X8" i="208"/>
  <c r="V8" i="208"/>
  <c r="T8" i="208"/>
  <c r="R8" i="208"/>
  <c r="P8" i="208"/>
  <c r="N8" i="208"/>
  <c r="L8" i="208"/>
  <c r="J8" i="208"/>
  <c r="H8" i="208"/>
  <c r="F8" i="208"/>
  <c r="D8" i="208"/>
  <c r="X7" i="208"/>
  <c r="V7" i="208"/>
  <c r="T7" i="208"/>
  <c r="R7" i="208"/>
  <c r="P7" i="208"/>
  <c r="N7" i="208"/>
  <c r="L7" i="208"/>
  <c r="J7" i="208"/>
  <c r="H7" i="208"/>
  <c r="F7" i="208"/>
  <c r="D7" i="208"/>
  <c r="Y7" i="208" s="1"/>
  <c r="X6" i="208"/>
  <c r="V6" i="208"/>
  <c r="V12" i="208" s="1"/>
  <c r="T6" i="208"/>
  <c r="T12" i="208" s="1"/>
  <c r="R6" i="208"/>
  <c r="R12" i="208" s="1"/>
  <c r="P6" i="208"/>
  <c r="P12" i="208" s="1"/>
  <c r="N6" i="208"/>
  <c r="N12" i="208" s="1"/>
  <c r="L6" i="208"/>
  <c r="L12" i="208" s="1"/>
  <c r="J6" i="208"/>
  <c r="H6" i="208"/>
  <c r="F6" i="208"/>
  <c r="D6" i="208"/>
  <c r="V25" i="207"/>
  <c r="F22" i="207"/>
  <c r="S19" i="207"/>
  <c r="S20" i="207" s="1"/>
  <c r="Q19" i="207"/>
  <c r="Q20" i="207" s="1"/>
  <c r="P19" i="207"/>
  <c r="P20" i="207" s="1"/>
  <c r="N19" i="207"/>
  <c r="N20" i="207" s="1"/>
  <c r="L19" i="207"/>
  <c r="L20" i="207" s="1"/>
  <c r="J19" i="207"/>
  <c r="J20" i="207" s="1"/>
  <c r="H19" i="207"/>
  <c r="H20" i="207" s="1"/>
  <c r="O18" i="207"/>
  <c r="O19" i="207" s="1"/>
  <c r="O20" i="207" s="1"/>
  <c r="M18" i="207"/>
  <c r="M19" i="207" s="1"/>
  <c r="M20" i="207" s="1"/>
  <c r="W12" i="207"/>
  <c r="K18" i="207" s="1"/>
  <c r="K19" i="207" s="1"/>
  <c r="K20" i="207" s="1"/>
  <c r="V12" i="207"/>
  <c r="U12" i="207"/>
  <c r="I18" i="207" s="1"/>
  <c r="I19" i="207" s="1"/>
  <c r="I20" i="207" s="1"/>
  <c r="S12" i="207"/>
  <c r="Q12" i="207"/>
  <c r="O12" i="207"/>
  <c r="N12" i="207"/>
  <c r="M12" i="207"/>
  <c r="K12" i="207"/>
  <c r="G18" i="207" s="1"/>
  <c r="G19" i="207" s="1"/>
  <c r="G20" i="207" s="1"/>
  <c r="I12" i="207"/>
  <c r="F18" i="207" s="1"/>
  <c r="F19" i="207" s="1"/>
  <c r="F20" i="207" s="1"/>
  <c r="G12" i="207"/>
  <c r="E18" i="207" s="1"/>
  <c r="E19" i="207" s="1"/>
  <c r="E20" i="207" s="1"/>
  <c r="E12" i="207"/>
  <c r="D18" i="207" s="1"/>
  <c r="D19" i="207" s="1"/>
  <c r="D20" i="207" s="1"/>
  <c r="C12" i="207"/>
  <c r="B18" i="207" s="1"/>
  <c r="B19" i="207" s="1"/>
  <c r="B20" i="207" s="1"/>
  <c r="X11" i="207"/>
  <c r="V11" i="207"/>
  <c r="T11" i="207"/>
  <c r="R11" i="207"/>
  <c r="P11" i="207"/>
  <c r="N11" i="207"/>
  <c r="L11" i="207"/>
  <c r="J11" i="207"/>
  <c r="Y11" i="207" s="1"/>
  <c r="H11" i="207"/>
  <c r="F11" i="207"/>
  <c r="D11" i="207"/>
  <c r="X10" i="207"/>
  <c r="V10" i="207"/>
  <c r="T10" i="207"/>
  <c r="R10" i="207"/>
  <c r="P10" i="207"/>
  <c r="N10" i="207"/>
  <c r="L10" i="207"/>
  <c r="J10" i="207"/>
  <c r="H10" i="207"/>
  <c r="F10" i="207"/>
  <c r="D10" i="207"/>
  <c r="X9" i="207"/>
  <c r="V9" i="207"/>
  <c r="T9" i="207"/>
  <c r="R9" i="207"/>
  <c r="P9" i="207"/>
  <c r="N9" i="207"/>
  <c r="L9" i="207"/>
  <c r="J9" i="207"/>
  <c r="H9" i="207"/>
  <c r="F9" i="207"/>
  <c r="D9" i="207"/>
  <c r="X8" i="207"/>
  <c r="V8" i="207"/>
  <c r="T8" i="207"/>
  <c r="R8" i="207"/>
  <c r="P8" i="207"/>
  <c r="N8" i="207"/>
  <c r="L8" i="207"/>
  <c r="J8" i="207"/>
  <c r="H8" i="207"/>
  <c r="F8" i="207"/>
  <c r="D8" i="207"/>
  <c r="X7" i="207"/>
  <c r="V7" i="207"/>
  <c r="T7" i="207"/>
  <c r="R7" i="207"/>
  <c r="P7" i="207"/>
  <c r="N7" i="207"/>
  <c r="L7" i="207"/>
  <c r="J7" i="207"/>
  <c r="H7" i="207"/>
  <c r="F7" i="207"/>
  <c r="F12" i="207" s="1"/>
  <c r="D7" i="207"/>
  <c r="X6" i="207"/>
  <c r="X12" i="207" s="1"/>
  <c r="V6" i="207"/>
  <c r="T6" i="207"/>
  <c r="T12" i="207" s="1"/>
  <c r="R6" i="207"/>
  <c r="R12" i="207" s="1"/>
  <c r="P6" i="207"/>
  <c r="P12" i="207" s="1"/>
  <c r="N6" i="207"/>
  <c r="L6" i="207"/>
  <c r="L12" i="207" s="1"/>
  <c r="J6" i="207"/>
  <c r="H6" i="207"/>
  <c r="F6" i="207"/>
  <c r="D6" i="207"/>
  <c r="T12" i="210" l="1"/>
  <c r="Y6" i="210"/>
  <c r="Y10" i="210"/>
  <c r="Y9" i="210"/>
  <c r="Y8" i="210"/>
  <c r="F12" i="210"/>
  <c r="Y7" i="210"/>
  <c r="D12" i="210"/>
  <c r="Y12" i="210" s="1"/>
  <c r="V16" i="210" s="1"/>
  <c r="V24" i="210" s="1"/>
  <c r="B21" i="210"/>
  <c r="Y11" i="209"/>
  <c r="Y9" i="209"/>
  <c r="D12" i="209"/>
  <c r="J12" i="209"/>
  <c r="Y10" i="209"/>
  <c r="Y7" i="209"/>
  <c r="Y8" i="209"/>
  <c r="B21" i="209"/>
  <c r="Y6" i="209"/>
  <c r="J12" i="208"/>
  <c r="Y10" i="208"/>
  <c r="X12" i="208"/>
  <c r="Y6" i="208"/>
  <c r="Y9" i="208"/>
  <c r="H12" i="208"/>
  <c r="Y8" i="208"/>
  <c r="F12" i="208"/>
  <c r="B21" i="208"/>
  <c r="D12" i="208"/>
  <c r="Y10" i="207"/>
  <c r="Y9" i="207"/>
  <c r="Y8" i="207"/>
  <c r="D12" i="207"/>
  <c r="J12" i="207"/>
  <c r="H12" i="207"/>
  <c r="Y7" i="207"/>
  <c r="B21" i="207"/>
  <c r="Y6" i="207"/>
  <c r="Y12" i="209" l="1"/>
  <c r="V16" i="209" s="1"/>
  <c r="V24" i="209" s="1"/>
  <c r="Y12" i="208"/>
  <c r="V16" i="208" s="1"/>
  <c r="V24" i="208" s="1"/>
  <c r="Y12" i="207"/>
  <c r="V16" i="207" s="1"/>
  <c r="V24" i="207" s="1"/>
  <c r="V25" i="206" l="1"/>
  <c r="F22" i="206"/>
  <c r="S19" i="206"/>
  <c r="S20" i="206" s="1"/>
  <c r="Q19" i="206"/>
  <c r="Q20" i="206" s="1"/>
  <c r="P19" i="206"/>
  <c r="P20" i="206" s="1"/>
  <c r="N19" i="206"/>
  <c r="N20" i="206" s="1"/>
  <c r="L19" i="206"/>
  <c r="L20" i="206" s="1"/>
  <c r="K19" i="206"/>
  <c r="K20" i="206" s="1"/>
  <c r="J19" i="206"/>
  <c r="J20" i="206" s="1"/>
  <c r="H19" i="206"/>
  <c r="H20" i="206" s="1"/>
  <c r="K18" i="206"/>
  <c r="I18" i="206"/>
  <c r="I19" i="206" s="1"/>
  <c r="I20" i="206" s="1"/>
  <c r="W12" i="206"/>
  <c r="U12" i="206"/>
  <c r="S12" i="206"/>
  <c r="Q12" i="206"/>
  <c r="O18" i="206" s="1"/>
  <c r="O19" i="206" s="1"/>
  <c r="O20" i="206" s="1"/>
  <c r="P12" i="206"/>
  <c r="O12" i="206"/>
  <c r="M12" i="206"/>
  <c r="M18" i="206" s="1"/>
  <c r="M19" i="206" s="1"/>
  <c r="M20" i="206" s="1"/>
  <c r="L12" i="206"/>
  <c r="K12" i="206"/>
  <c r="G18" i="206" s="1"/>
  <c r="G19" i="206" s="1"/>
  <c r="G20" i="206" s="1"/>
  <c r="I12" i="206"/>
  <c r="F18" i="206" s="1"/>
  <c r="F19" i="206" s="1"/>
  <c r="F20" i="206" s="1"/>
  <c r="G12" i="206"/>
  <c r="E18" i="206" s="1"/>
  <c r="E19" i="206" s="1"/>
  <c r="E20" i="206" s="1"/>
  <c r="E12" i="206"/>
  <c r="D18" i="206" s="1"/>
  <c r="D19" i="206" s="1"/>
  <c r="D20" i="206" s="1"/>
  <c r="C12" i="206"/>
  <c r="B18" i="206" s="1"/>
  <c r="B19" i="206" s="1"/>
  <c r="B20" i="206" s="1"/>
  <c r="X11" i="206"/>
  <c r="V11" i="206"/>
  <c r="T11" i="206"/>
  <c r="R11" i="206"/>
  <c r="P11" i="206"/>
  <c r="N11" i="206"/>
  <c r="L11" i="206"/>
  <c r="J11" i="206"/>
  <c r="H11" i="206"/>
  <c r="F11" i="206"/>
  <c r="D11" i="206"/>
  <c r="Y11" i="206" s="1"/>
  <c r="X10" i="206"/>
  <c r="V10" i="206"/>
  <c r="T10" i="206"/>
  <c r="R10" i="206"/>
  <c r="P10" i="206"/>
  <c r="N10" i="206"/>
  <c r="L10" i="206"/>
  <c r="J10" i="206"/>
  <c r="H10" i="206"/>
  <c r="F10" i="206"/>
  <c r="D10" i="206"/>
  <c r="Y10" i="206" s="1"/>
  <c r="X9" i="206"/>
  <c r="V9" i="206"/>
  <c r="T9" i="206"/>
  <c r="R9" i="206"/>
  <c r="P9" i="206"/>
  <c r="N9" i="206"/>
  <c r="L9" i="206"/>
  <c r="J9" i="206"/>
  <c r="H9" i="206"/>
  <c r="F9" i="206"/>
  <c r="D9" i="206"/>
  <c r="X8" i="206"/>
  <c r="V8" i="206"/>
  <c r="T8" i="206"/>
  <c r="R8" i="206"/>
  <c r="P8" i="206"/>
  <c r="N8" i="206"/>
  <c r="L8" i="206"/>
  <c r="J8" i="206"/>
  <c r="H8" i="206"/>
  <c r="F8" i="206"/>
  <c r="D8" i="206"/>
  <c r="X7" i="206"/>
  <c r="V7" i="206"/>
  <c r="T7" i="206"/>
  <c r="R7" i="206"/>
  <c r="P7" i="206"/>
  <c r="N7" i="206"/>
  <c r="L7" i="206"/>
  <c r="J7" i="206"/>
  <c r="H7" i="206"/>
  <c r="H12" i="206" s="1"/>
  <c r="F7" i="206"/>
  <c r="D7" i="206"/>
  <c r="X6" i="206"/>
  <c r="X12" i="206" s="1"/>
  <c r="V6" i="206"/>
  <c r="V12" i="206" s="1"/>
  <c r="T6" i="206"/>
  <c r="R6" i="206"/>
  <c r="R12" i="206" s="1"/>
  <c r="P6" i="206"/>
  <c r="N6" i="206"/>
  <c r="N12" i="206" s="1"/>
  <c r="L6" i="206"/>
  <c r="J6" i="206"/>
  <c r="H6" i="206"/>
  <c r="F6" i="206"/>
  <c r="D6" i="206"/>
  <c r="V25" i="205"/>
  <c r="F22" i="205"/>
  <c r="S19" i="205"/>
  <c r="S20" i="205" s="1"/>
  <c r="Q19" i="205"/>
  <c r="Q20" i="205" s="1"/>
  <c r="P19" i="205"/>
  <c r="P20" i="205" s="1"/>
  <c r="N19" i="205"/>
  <c r="N20" i="205" s="1"/>
  <c r="L19" i="205"/>
  <c r="L20" i="205" s="1"/>
  <c r="K19" i="205"/>
  <c r="K20" i="205" s="1"/>
  <c r="J19" i="205"/>
  <c r="J20" i="205" s="1"/>
  <c r="H19" i="205"/>
  <c r="H20" i="205" s="1"/>
  <c r="K18" i="205"/>
  <c r="I18" i="205"/>
  <c r="I19" i="205" s="1"/>
  <c r="I20" i="205" s="1"/>
  <c r="X12" i="205"/>
  <c r="W12" i="205"/>
  <c r="U12" i="205"/>
  <c r="S12" i="205"/>
  <c r="Q12" i="205"/>
  <c r="O18" i="205" s="1"/>
  <c r="O19" i="205" s="1"/>
  <c r="O20" i="205" s="1"/>
  <c r="O12" i="205"/>
  <c r="M12" i="205"/>
  <c r="M18" i="205" s="1"/>
  <c r="M19" i="205" s="1"/>
  <c r="M20" i="205" s="1"/>
  <c r="L12" i="205"/>
  <c r="K12" i="205"/>
  <c r="G18" i="205" s="1"/>
  <c r="G19" i="205" s="1"/>
  <c r="G20" i="205" s="1"/>
  <c r="I12" i="205"/>
  <c r="F18" i="205" s="1"/>
  <c r="F19" i="205" s="1"/>
  <c r="F20" i="205" s="1"/>
  <c r="H12" i="205"/>
  <c r="G12" i="205"/>
  <c r="E18" i="205" s="1"/>
  <c r="E19" i="205" s="1"/>
  <c r="E20" i="205" s="1"/>
  <c r="E12" i="205"/>
  <c r="D18" i="205" s="1"/>
  <c r="D19" i="205" s="1"/>
  <c r="D20" i="205" s="1"/>
  <c r="C12" i="205"/>
  <c r="B18" i="205" s="1"/>
  <c r="B19" i="205" s="1"/>
  <c r="B20" i="205" s="1"/>
  <c r="X11" i="205"/>
  <c r="V11" i="205"/>
  <c r="T11" i="205"/>
  <c r="R11" i="205"/>
  <c r="P11" i="205"/>
  <c r="N11" i="205"/>
  <c r="L11" i="205"/>
  <c r="J11" i="205"/>
  <c r="H11" i="205"/>
  <c r="F11" i="205"/>
  <c r="D11" i="205"/>
  <c r="Y11" i="205" s="1"/>
  <c r="X10" i="205"/>
  <c r="V10" i="205"/>
  <c r="T10" i="205"/>
  <c r="R10" i="205"/>
  <c r="P10" i="205"/>
  <c r="N10" i="205"/>
  <c r="L10" i="205"/>
  <c r="J10" i="205"/>
  <c r="H10" i="205"/>
  <c r="F10" i="205"/>
  <c r="D10" i="205"/>
  <c r="Y10" i="205" s="1"/>
  <c r="X9" i="205"/>
  <c r="V9" i="205"/>
  <c r="T9" i="205"/>
  <c r="R9" i="205"/>
  <c r="P9" i="205"/>
  <c r="N9" i="205"/>
  <c r="L9" i="205"/>
  <c r="J9" i="205"/>
  <c r="H9" i="205"/>
  <c r="F9" i="205"/>
  <c r="D9" i="205"/>
  <c r="Y9" i="205" s="1"/>
  <c r="X8" i="205"/>
  <c r="V8" i="205"/>
  <c r="T8" i="205"/>
  <c r="R8" i="205"/>
  <c r="P8" i="205"/>
  <c r="N8" i="205"/>
  <c r="L8" i="205"/>
  <c r="J8" i="205"/>
  <c r="H8" i="205"/>
  <c r="F8" i="205"/>
  <c r="D8" i="205"/>
  <c r="Y8" i="205" s="1"/>
  <c r="X7" i="205"/>
  <c r="V7" i="205"/>
  <c r="T7" i="205"/>
  <c r="T12" i="205" s="1"/>
  <c r="R7" i="205"/>
  <c r="P7" i="205"/>
  <c r="N7" i="205"/>
  <c r="L7" i="205"/>
  <c r="J7" i="205"/>
  <c r="H7" i="205"/>
  <c r="F7" i="205"/>
  <c r="D7" i="205"/>
  <c r="X6" i="205"/>
  <c r="V6" i="205"/>
  <c r="V12" i="205" s="1"/>
  <c r="T6" i="205"/>
  <c r="R6" i="205"/>
  <c r="R12" i="205" s="1"/>
  <c r="P6" i="205"/>
  <c r="P12" i="205" s="1"/>
  <c r="N6" i="205"/>
  <c r="N12" i="205" s="1"/>
  <c r="L6" i="205"/>
  <c r="J6" i="205"/>
  <c r="H6" i="205"/>
  <c r="F6" i="205"/>
  <c r="D6" i="205"/>
  <c r="V25" i="204"/>
  <c r="F22" i="204"/>
  <c r="S19" i="204"/>
  <c r="S20" i="204" s="1"/>
  <c r="Q19" i="204"/>
  <c r="Q20" i="204" s="1"/>
  <c r="P19" i="204"/>
  <c r="P20" i="204" s="1"/>
  <c r="N19" i="204"/>
  <c r="N20" i="204" s="1"/>
  <c r="L19" i="204"/>
  <c r="L20" i="204" s="1"/>
  <c r="J19" i="204"/>
  <c r="J20" i="204" s="1"/>
  <c r="H19" i="204"/>
  <c r="H20" i="204" s="1"/>
  <c r="O18" i="204"/>
  <c r="O19" i="204" s="1"/>
  <c r="O20" i="204" s="1"/>
  <c r="M18" i="204"/>
  <c r="M19" i="204" s="1"/>
  <c r="M20" i="204" s="1"/>
  <c r="W12" i="204"/>
  <c r="K18" i="204" s="1"/>
  <c r="K19" i="204" s="1"/>
  <c r="K20" i="204" s="1"/>
  <c r="V12" i="204"/>
  <c r="U12" i="204"/>
  <c r="I18" i="204" s="1"/>
  <c r="I19" i="204" s="1"/>
  <c r="I20" i="204" s="1"/>
  <c r="S12" i="204"/>
  <c r="Q12" i="204"/>
  <c r="O12" i="204"/>
  <c r="N12" i="204"/>
  <c r="M12" i="204"/>
  <c r="K12" i="204"/>
  <c r="G18" i="204" s="1"/>
  <c r="G19" i="204" s="1"/>
  <c r="G20" i="204" s="1"/>
  <c r="I12" i="204"/>
  <c r="F18" i="204" s="1"/>
  <c r="F19" i="204" s="1"/>
  <c r="F20" i="204" s="1"/>
  <c r="G12" i="204"/>
  <c r="E18" i="204" s="1"/>
  <c r="E19" i="204" s="1"/>
  <c r="E20" i="204" s="1"/>
  <c r="F12" i="204"/>
  <c r="E12" i="204"/>
  <c r="D18" i="204" s="1"/>
  <c r="D19" i="204" s="1"/>
  <c r="D20" i="204" s="1"/>
  <c r="C12" i="204"/>
  <c r="B18" i="204" s="1"/>
  <c r="B19" i="204" s="1"/>
  <c r="B20" i="204" s="1"/>
  <c r="X11" i="204"/>
  <c r="V11" i="204"/>
  <c r="T11" i="204"/>
  <c r="R11" i="204"/>
  <c r="P11" i="204"/>
  <c r="N11" i="204"/>
  <c r="L11" i="204"/>
  <c r="J11" i="204"/>
  <c r="Y11" i="204" s="1"/>
  <c r="H11" i="204"/>
  <c r="F11" i="204"/>
  <c r="D11" i="204"/>
  <c r="X10" i="204"/>
  <c r="V10" i="204"/>
  <c r="T10" i="204"/>
  <c r="R10" i="204"/>
  <c r="P10" i="204"/>
  <c r="N10" i="204"/>
  <c r="L10" i="204"/>
  <c r="J10" i="204"/>
  <c r="H10" i="204"/>
  <c r="F10" i="204"/>
  <c r="D10" i="204"/>
  <c r="X9" i="204"/>
  <c r="V9" i="204"/>
  <c r="T9" i="204"/>
  <c r="R9" i="204"/>
  <c r="P9" i="204"/>
  <c r="N9" i="204"/>
  <c r="L9" i="204"/>
  <c r="J9" i="204"/>
  <c r="H9" i="204"/>
  <c r="F9" i="204"/>
  <c r="D9" i="204"/>
  <c r="X8" i="204"/>
  <c r="V8" i="204"/>
  <c r="T8" i="204"/>
  <c r="R8" i="204"/>
  <c r="P8" i="204"/>
  <c r="N8" i="204"/>
  <c r="L8" i="204"/>
  <c r="J8" i="204"/>
  <c r="H8" i="204"/>
  <c r="F8" i="204"/>
  <c r="D8" i="204"/>
  <c r="X7" i="204"/>
  <c r="V7" i="204"/>
  <c r="T7" i="204"/>
  <c r="R7" i="204"/>
  <c r="P7" i="204"/>
  <c r="N7" i="204"/>
  <c r="L7" i="204"/>
  <c r="J7" i="204"/>
  <c r="H7" i="204"/>
  <c r="F7" i="204"/>
  <c r="D7" i="204"/>
  <c r="X6" i="204"/>
  <c r="X12" i="204" s="1"/>
  <c r="V6" i="204"/>
  <c r="T6" i="204"/>
  <c r="T12" i="204" s="1"/>
  <c r="R6" i="204"/>
  <c r="R12" i="204" s="1"/>
  <c r="P6" i="204"/>
  <c r="P12" i="204" s="1"/>
  <c r="N6" i="204"/>
  <c r="L6" i="204"/>
  <c r="L12" i="204" s="1"/>
  <c r="J6" i="204"/>
  <c r="H6" i="204"/>
  <c r="F6" i="204"/>
  <c r="D6" i="204"/>
  <c r="J12" i="206" l="1"/>
  <c r="Y7" i="206"/>
  <c r="T12" i="206"/>
  <c r="D12" i="206"/>
  <c r="Y12" i="206" s="1"/>
  <c r="V16" i="206" s="1"/>
  <c r="V24" i="206" s="1"/>
  <c r="F12" i="206"/>
  <c r="Y9" i="206"/>
  <c r="Y6" i="206"/>
  <c r="Y8" i="206"/>
  <c r="B21" i="206"/>
  <c r="F12" i="205"/>
  <c r="J12" i="205"/>
  <c r="Y7" i="205"/>
  <c r="Y6" i="205"/>
  <c r="D12" i="205"/>
  <c r="B21" i="205"/>
  <c r="Y9" i="204"/>
  <c r="Y8" i="204"/>
  <c r="D12" i="204"/>
  <c r="J12" i="204"/>
  <c r="Y7" i="204"/>
  <c r="H12" i="204"/>
  <c r="Y10" i="204"/>
  <c r="B21" i="204"/>
  <c r="Y6" i="204"/>
  <c r="V25" i="203"/>
  <c r="F22" i="203"/>
  <c r="S19" i="203"/>
  <c r="S20" i="203" s="1"/>
  <c r="Q19" i="203"/>
  <c r="Q20" i="203" s="1"/>
  <c r="P19" i="203"/>
  <c r="P20" i="203" s="1"/>
  <c r="N19" i="203"/>
  <c r="N20" i="203" s="1"/>
  <c r="L19" i="203"/>
  <c r="L20" i="203" s="1"/>
  <c r="J19" i="203"/>
  <c r="J20" i="203" s="1"/>
  <c r="H19" i="203"/>
  <c r="H20" i="203" s="1"/>
  <c r="M18" i="203"/>
  <c r="M19" i="203" s="1"/>
  <c r="M20" i="203" s="1"/>
  <c r="K18" i="203"/>
  <c r="K19" i="203" s="1"/>
  <c r="K20" i="203" s="1"/>
  <c r="E18" i="203"/>
  <c r="E19" i="203" s="1"/>
  <c r="E20" i="203" s="1"/>
  <c r="W12" i="203"/>
  <c r="V12" i="203"/>
  <c r="U12" i="203"/>
  <c r="I18" i="203" s="1"/>
  <c r="I19" i="203" s="1"/>
  <c r="I20" i="203" s="1"/>
  <c r="S12" i="203"/>
  <c r="Q12" i="203"/>
  <c r="O18" i="203" s="1"/>
  <c r="O19" i="203" s="1"/>
  <c r="O20" i="203" s="1"/>
  <c r="O12" i="203"/>
  <c r="N12" i="203"/>
  <c r="M12" i="203"/>
  <c r="K12" i="203"/>
  <c r="G18" i="203" s="1"/>
  <c r="G19" i="203" s="1"/>
  <c r="G20" i="203" s="1"/>
  <c r="I12" i="203"/>
  <c r="F18" i="203" s="1"/>
  <c r="F19" i="203" s="1"/>
  <c r="F20" i="203" s="1"/>
  <c r="G12" i="203"/>
  <c r="F12" i="203"/>
  <c r="E12" i="203"/>
  <c r="D18" i="203" s="1"/>
  <c r="D19" i="203" s="1"/>
  <c r="D20" i="203" s="1"/>
  <c r="C12" i="203"/>
  <c r="B18" i="203" s="1"/>
  <c r="B19" i="203" s="1"/>
  <c r="B20" i="203" s="1"/>
  <c r="X11" i="203"/>
  <c r="V11" i="203"/>
  <c r="T11" i="203"/>
  <c r="R11" i="203"/>
  <c r="P11" i="203"/>
  <c r="N11" i="203"/>
  <c r="L11" i="203"/>
  <c r="J11" i="203"/>
  <c r="Y11" i="203" s="1"/>
  <c r="H11" i="203"/>
  <c r="F11" i="203"/>
  <c r="D11" i="203"/>
  <c r="X10" i="203"/>
  <c r="V10" i="203"/>
  <c r="T10" i="203"/>
  <c r="R10" i="203"/>
  <c r="P10" i="203"/>
  <c r="N10" i="203"/>
  <c r="L10" i="203"/>
  <c r="J10" i="203"/>
  <c r="Y10" i="203" s="1"/>
  <c r="H10" i="203"/>
  <c r="F10" i="203"/>
  <c r="D10" i="203"/>
  <c r="X9" i="203"/>
  <c r="V9" i="203"/>
  <c r="T9" i="203"/>
  <c r="R9" i="203"/>
  <c r="P9" i="203"/>
  <c r="N9" i="203"/>
  <c r="L9" i="203"/>
  <c r="J9" i="203"/>
  <c r="H9" i="203"/>
  <c r="F9" i="203"/>
  <c r="D9" i="203"/>
  <c r="X8" i="203"/>
  <c r="V8" i="203"/>
  <c r="T8" i="203"/>
  <c r="R8" i="203"/>
  <c r="P8" i="203"/>
  <c r="N8" i="203"/>
  <c r="L8" i="203"/>
  <c r="J8" i="203"/>
  <c r="H8" i="203"/>
  <c r="F8" i="203"/>
  <c r="D8" i="203"/>
  <c r="X7" i="203"/>
  <c r="V7" i="203"/>
  <c r="T7" i="203"/>
  <c r="R7" i="203"/>
  <c r="P7" i="203"/>
  <c r="N7" i="203"/>
  <c r="L7" i="203"/>
  <c r="J7" i="203"/>
  <c r="Y7" i="203" s="1"/>
  <c r="H7" i="203"/>
  <c r="F7" i="203"/>
  <c r="D7" i="203"/>
  <c r="X6" i="203"/>
  <c r="X12" i="203" s="1"/>
  <c r="V6" i="203"/>
  <c r="T6" i="203"/>
  <c r="T12" i="203" s="1"/>
  <c r="R6" i="203"/>
  <c r="R12" i="203" s="1"/>
  <c r="P6" i="203"/>
  <c r="P12" i="203" s="1"/>
  <c r="N6" i="203"/>
  <c r="L6" i="203"/>
  <c r="L12" i="203" s="1"/>
  <c r="J6" i="203"/>
  <c r="H6" i="203"/>
  <c r="H12" i="203" s="1"/>
  <c r="F6" i="203"/>
  <c r="D6" i="203"/>
  <c r="V25" i="202"/>
  <c r="F22" i="202"/>
  <c r="S19" i="202"/>
  <c r="S20" i="202" s="1"/>
  <c r="Q19" i="202"/>
  <c r="Q20" i="202" s="1"/>
  <c r="P19" i="202"/>
  <c r="P20" i="202" s="1"/>
  <c r="N19" i="202"/>
  <c r="N20" i="202" s="1"/>
  <c r="L19" i="202"/>
  <c r="L20" i="202" s="1"/>
  <c r="K19" i="202"/>
  <c r="K20" i="202" s="1"/>
  <c r="J19" i="202"/>
  <c r="J20" i="202" s="1"/>
  <c r="H19" i="202"/>
  <c r="H20" i="202" s="1"/>
  <c r="K18" i="202"/>
  <c r="I18" i="202"/>
  <c r="I19" i="202" s="1"/>
  <c r="I20" i="202" s="1"/>
  <c r="E18" i="202"/>
  <c r="E19" i="202" s="1"/>
  <c r="E20" i="202" s="1"/>
  <c r="D18" i="202"/>
  <c r="D19" i="202" s="1"/>
  <c r="D20" i="202" s="1"/>
  <c r="X12" i="202"/>
  <c r="W12" i="202"/>
  <c r="U12" i="202"/>
  <c r="T12" i="202"/>
  <c r="S12" i="202"/>
  <c r="Q12" i="202"/>
  <c r="O18" i="202" s="1"/>
  <c r="O19" i="202" s="1"/>
  <c r="O20" i="202" s="1"/>
  <c r="P12" i="202"/>
  <c r="O12" i="202"/>
  <c r="M12" i="202"/>
  <c r="M18" i="202" s="1"/>
  <c r="M19" i="202" s="1"/>
  <c r="M20" i="202" s="1"/>
  <c r="L12" i="202"/>
  <c r="K12" i="202"/>
  <c r="G18" i="202" s="1"/>
  <c r="G19" i="202" s="1"/>
  <c r="G20" i="202" s="1"/>
  <c r="I12" i="202"/>
  <c r="F18" i="202" s="1"/>
  <c r="F19" i="202" s="1"/>
  <c r="F20" i="202" s="1"/>
  <c r="H12" i="202"/>
  <c r="G12" i="202"/>
  <c r="E12" i="202"/>
  <c r="C12" i="202"/>
  <c r="B18" i="202" s="1"/>
  <c r="B19" i="202" s="1"/>
  <c r="B20" i="202" s="1"/>
  <c r="X11" i="202"/>
  <c r="V11" i="202"/>
  <c r="T11" i="202"/>
  <c r="R11" i="202"/>
  <c r="P11" i="202"/>
  <c r="N11" i="202"/>
  <c r="L11" i="202"/>
  <c r="J11" i="202"/>
  <c r="H11" i="202"/>
  <c r="F11" i="202"/>
  <c r="Y11" i="202" s="1"/>
  <c r="D11" i="202"/>
  <c r="X10" i="202"/>
  <c r="V10" i="202"/>
  <c r="T10" i="202"/>
  <c r="R10" i="202"/>
  <c r="P10" i="202"/>
  <c r="N10" i="202"/>
  <c r="L10" i="202"/>
  <c r="J10" i="202"/>
  <c r="H10" i="202"/>
  <c r="F10" i="202"/>
  <c r="Y10" i="202" s="1"/>
  <c r="D10" i="202"/>
  <c r="X9" i="202"/>
  <c r="V9" i="202"/>
  <c r="T9" i="202"/>
  <c r="R9" i="202"/>
  <c r="P9" i="202"/>
  <c r="N9" i="202"/>
  <c r="L9" i="202"/>
  <c r="J9" i="202"/>
  <c r="H9" i="202"/>
  <c r="F9" i="202"/>
  <c r="D9" i="202"/>
  <c r="X8" i="202"/>
  <c r="V8" i="202"/>
  <c r="T8" i="202"/>
  <c r="R8" i="202"/>
  <c r="P8" i="202"/>
  <c r="N8" i="202"/>
  <c r="L8" i="202"/>
  <c r="J8" i="202"/>
  <c r="H8" i="202"/>
  <c r="F8" i="202"/>
  <c r="D8" i="202"/>
  <c r="X7" i="202"/>
  <c r="V7" i="202"/>
  <c r="T7" i="202"/>
  <c r="R7" i="202"/>
  <c r="P7" i="202"/>
  <c r="N7" i="202"/>
  <c r="L7" i="202"/>
  <c r="J7" i="202"/>
  <c r="H7" i="202"/>
  <c r="F7" i="202"/>
  <c r="D7" i="202"/>
  <c r="X6" i="202"/>
  <c r="V6" i="202"/>
  <c r="V12" i="202" s="1"/>
  <c r="T6" i="202"/>
  <c r="R6" i="202"/>
  <c r="R12" i="202" s="1"/>
  <c r="P6" i="202"/>
  <c r="N6" i="202"/>
  <c r="N12" i="202" s="1"/>
  <c r="L6" i="202"/>
  <c r="J6" i="202"/>
  <c r="H6" i="202"/>
  <c r="F6" i="202"/>
  <c r="F12" i="202" s="1"/>
  <c r="D6" i="202"/>
  <c r="Y12" i="205" l="1"/>
  <c r="V16" i="205" s="1"/>
  <c r="V24" i="205" s="1"/>
  <c r="Y12" i="204"/>
  <c r="V16" i="204" s="1"/>
  <c r="V24" i="204" s="1"/>
  <c r="Y9" i="203"/>
  <c r="J12" i="203"/>
  <c r="D12" i="203"/>
  <c r="Y8" i="203"/>
  <c r="B21" i="203"/>
  <c r="Y6" i="203"/>
  <c r="D12" i="202"/>
  <c r="Y12" i="202" s="1"/>
  <c r="V16" i="202" s="1"/>
  <c r="V24" i="202" s="1"/>
  <c r="J12" i="202"/>
  <c r="Y9" i="202"/>
  <c r="Y8" i="202"/>
  <c r="Y7" i="202"/>
  <c r="B21" i="202"/>
  <c r="Y6" i="202"/>
  <c r="Y12" i="203" l="1"/>
  <c r="V16" i="203" s="1"/>
  <c r="V24" i="203" s="1"/>
  <c r="V25" i="201"/>
  <c r="F22" i="201"/>
  <c r="S19" i="201"/>
  <c r="S20" i="201" s="1"/>
  <c r="Q19" i="201"/>
  <c r="Q20" i="201" s="1"/>
  <c r="P19" i="201"/>
  <c r="P20" i="201" s="1"/>
  <c r="N19" i="201"/>
  <c r="N20" i="201" s="1"/>
  <c r="L19" i="201"/>
  <c r="L20" i="201" s="1"/>
  <c r="J19" i="201"/>
  <c r="J20" i="201" s="1"/>
  <c r="H19" i="201"/>
  <c r="H20" i="201" s="1"/>
  <c r="O18" i="201"/>
  <c r="O19" i="201" s="1"/>
  <c r="O20" i="201" s="1"/>
  <c r="M18" i="201"/>
  <c r="M19" i="201" s="1"/>
  <c r="M20" i="201" s="1"/>
  <c r="I18" i="201"/>
  <c r="I19" i="201" s="1"/>
  <c r="I20" i="201" s="1"/>
  <c r="F18" i="201"/>
  <c r="F19" i="201" s="1"/>
  <c r="F20" i="201" s="1"/>
  <c r="D18" i="201"/>
  <c r="D19" i="201" s="1"/>
  <c r="D20" i="201" s="1"/>
  <c r="X12" i="201"/>
  <c r="W12" i="201"/>
  <c r="K18" i="201" s="1"/>
  <c r="K19" i="201" s="1"/>
  <c r="K20" i="201" s="1"/>
  <c r="U12" i="201"/>
  <c r="S12" i="201"/>
  <c r="Q12" i="201"/>
  <c r="P12" i="201"/>
  <c r="O12" i="201"/>
  <c r="M12" i="201"/>
  <c r="K12" i="201"/>
  <c r="G18" i="201" s="1"/>
  <c r="G19" i="201" s="1"/>
  <c r="G20" i="201" s="1"/>
  <c r="I12" i="201"/>
  <c r="H12" i="201"/>
  <c r="G12" i="201"/>
  <c r="E18" i="201" s="1"/>
  <c r="E19" i="201" s="1"/>
  <c r="E20" i="201" s="1"/>
  <c r="E12" i="201"/>
  <c r="C12" i="201"/>
  <c r="B18" i="201" s="1"/>
  <c r="B19" i="201" s="1"/>
  <c r="B20" i="201" s="1"/>
  <c r="X11" i="201"/>
  <c r="V11" i="201"/>
  <c r="T11" i="201"/>
  <c r="R11" i="201"/>
  <c r="P11" i="201"/>
  <c r="N11" i="201"/>
  <c r="L11" i="201"/>
  <c r="J11" i="201"/>
  <c r="H11" i="201"/>
  <c r="F11" i="201"/>
  <c r="D11" i="201"/>
  <c r="Y11" i="201" s="1"/>
  <c r="X10" i="201"/>
  <c r="V10" i="201"/>
  <c r="T10" i="201"/>
  <c r="R10" i="201"/>
  <c r="P10" i="201"/>
  <c r="N10" i="201"/>
  <c r="L10" i="201"/>
  <c r="J10" i="201"/>
  <c r="H10" i="201"/>
  <c r="F10" i="201"/>
  <c r="D10" i="201"/>
  <c r="X9" i="201"/>
  <c r="V9" i="201"/>
  <c r="T9" i="201"/>
  <c r="R9" i="201"/>
  <c r="P9" i="201"/>
  <c r="N9" i="201"/>
  <c r="L9" i="201"/>
  <c r="J9" i="201"/>
  <c r="H9" i="201"/>
  <c r="F9" i="201"/>
  <c r="D9" i="201"/>
  <c r="X8" i="201"/>
  <c r="V8" i="201"/>
  <c r="T8" i="201"/>
  <c r="R8" i="201"/>
  <c r="P8" i="201"/>
  <c r="N8" i="201"/>
  <c r="L8" i="201"/>
  <c r="J8" i="201"/>
  <c r="H8" i="201"/>
  <c r="F8" i="201"/>
  <c r="D8" i="201"/>
  <c r="X7" i="201"/>
  <c r="V7" i="201"/>
  <c r="T7" i="201"/>
  <c r="R7" i="201"/>
  <c r="P7" i="201"/>
  <c r="N7" i="201"/>
  <c r="L7" i="201"/>
  <c r="J7" i="201"/>
  <c r="H7" i="201"/>
  <c r="F7" i="201"/>
  <c r="D7" i="201"/>
  <c r="X6" i="201"/>
  <c r="V6" i="201"/>
  <c r="V12" i="201" s="1"/>
  <c r="T6" i="201"/>
  <c r="T12" i="201" s="1"/>
  <c r="R6" i="201"/>
  <c r="R12" i="201" s="1"/>
  <c r="P6" i="201"/>
  <c r="N6" i="201"/>
  <c r="N12" i="201" s="1"/>
  <c r="L6" i="201"/>
  <c r="L12" i="201" s="1"/>
  <c r="J6" i="201"/>
  <c r="H6" i="201"/>
  <c r="F6" i="201"/>
  <c r="F12" i="201" s="1"/>
  <c r="D6" i="201"/>
  <c r="V25" i="200"/>
  <c r="F22" i="200"/>
  <c r="S19" i="200"/>
  <c r="S20" i="200" s="1"/>
  <c r="Q19" i="200"/>
  <c r="Q20" i="200" s="1"/>
  <c r="P19" i="200"/>
  <c r="P20" i="200" s="1"/>
  <c r="N19" i="200"/>
  <c r="N20" i="200" s="1"/>
  <c r="L19" i="200"/>
  <c r="L20" i="200" s="1"/>
  <c r="J19" i="200"/>
  <c r="J20" i="200" s="1"/>
  <c r="H19" i="200"/>
  <c r="H20" i="200" s="1"/>
  <c r="D18" i="200"/>
  <c r="D19" i="200" s="1"/>
  <c r="D20" i="200" s="1"/>
  <c r="X12" i="200"/>
  <c r="W12" i="200"/>
  <c r="K18" i="200" s="1"/>
  <c r="K19" i="200" s="1"/>
  <c r="K20" i="200" s="1"/>
  <c r="U12" i="200"/>
  <c r="I18" i="200" s="1"/>
  <c r="I19" i="200" s="1"/>
  <c r="I20" i="200" s="1"/>
  <c r="S12" i="200"/>
  <c r="Q12" i="200"/>
  <c r="O18" i="200" s="1"/>
  <c r="O19" i="200" s="1"/>
  <c r="O20" i="200" s="1"/>
  <c r="P12" i="200"/>
  <c r="O12" i="200"/>
  <c r="M12" i="200"/>
  <c r="M18" i="200" s="1"/>
  <c r="M19" i="200" s="1"/>
  <c r="M20" i="200" s="1"/>
  <c r="L12" i="200"/>
  <c r="K12" i="200"/>
  <c r="G18" i="200" s="1"/>
  <c r="G19" i="200" s="1"/>
  <c r="G20" i="200" s="1"/>
  <c r="I12" i="200"/>
  <c r="F18" i="200" s="1"/>
  <c r="F19" i="200" s="1"/>
  <c r="F20" i="200" s="1"/>
  <c r="G12" i="200"/>
  <c r="E18" i="200" s="1"/>
  <c r="E19" i="200" s="1"/>
  <c r="E20" i="200" s="1"/>
  <c r="E12" i="200"/>
  <c r="C12" i="200"/>
  <c r="B18" i="200" s="1"/>
  <c r="B19" i="200" s="1"/>
  <c r="B20" i="200" s="1"/>
  <c r="X11" i="200"/>
  <c r="V11" i="200"/>
  <c r="T11" i="200"/>
  <c r="R11" i="200"/>
  <c r="P11" i="200"/>
  <c r="N11" i="200"/>
  <c r="L11" i="200"/>
  <c r="J11" i="200"/>
  <c r="H11" i="200"/>
  <c r="F11" i="200"/>
  <c r="D11" i="200"/>
  <c r="Y11" i="200" s="1"/>
  <c r="X10" i="200"/>
  <c r="V10" i="200"/>
  <c r="T10" i="200"/>
  <c r="R10" i="200"/>
  <c r="P10" i="200"/>
  <c r="N10" i="200"/>
  <c r="L10" i="200"/>
  <c r="J10" i="200"/>
  <c r="H10" i="200"/>
  <c r="F10" i="200"/>
  <c r="D10" i="200"/>
  <c r="Y10" i="200" s="1"/>
  <c r="X9" i="200"/>
  <c r="V9" i="200"/>
  <c r="T9" i="200"/>
  <c r="R9" i="200"/>
  <c r="P9" i="200"/>
  <c r="N9" i="200"/>
  <c r="L9" i="200"/>
  <c r="J9" i="200"/>
  <c r="H9" i="200"/>
  <c r="F9" i="200"/>
  <c r="D9" i="200"/>
  <c r="Y9" i="200" s="1"/>
  <c r="X8" i="200"/>
  <c r="V8" i="200"/>
  <c r="T8" i="200"/>
  <c r="R8" i="200"/>
  <c r="P8" i="200"/>
  <c r="N8" i="200"/>
  <c r="L8" i="200"/>
  <c r="J8" i="200"/>
  <c r="H8" i="200"/>
  <c r="F8" i="200"/>
  <c r="D8" i="200"/>
  <c r="X7" i="200"/>
  <c r="V7" i="200"/>
  <c r="T7" i="200"/>
  <c r="R7" i="200"/>
  <c r="P7" i="200"/>
  <c r="N7" i="200"/>
  <c r="L7" i="200"/>
  <c r="J7" i="200"/>
  <c r="H7" i="200"/>
  <c r="F7" i="200"/>
  <c r="D7" i="200"/>
  <c r="X6" i="200"/>
  <c r="V6" i="200"/>
  <c r="T6" i="200"/>
  <c r="T12" i="200" s="1"/>
  <c r="R6" i="200"/>
  <c r="R12" i="200" s="1"/>
  <c r="P6" i="200"/>
  <c r="N6" i="200"/>
  <c r="N12" i="200" s="1"/>
  <c r="L6" i="200"/>
  <c r="J6" i="200"/>
  <c r="H6" i="200"/>
  <c r="H12" i="200" s="1"/>
  <c r="F6" i="200"/>
  <c r="F12" i="200" s="1"/>
  <c r="D6" i="200"/>
  <c r="S20" i="199"/>
  <c r="J12" i="201" l="1"/>
  <c r="Y7" i="201"/>
  <c r="Y6" i="201"/>
  <c r="Y9" i="201"/>
  <c r="Y10" i="201"/>
  <c r="Y8" i="201"/>
  <c r="B21" i="201"/>
  <c r="D12" i="201"/>
  <c r="Y12" i="201" s="1"/>
  <c r="V16" i="201" s="1"/>
  <c r="V24" i="201" s="1"/>
  <c r="V12" i="200"/>
  <c r="Y8" i="200"/>
  <c r="J12" i="200"/>
  <c r="Y7" i="200"/>
  <c r="Y6" i="200"/>
  <c r="D12" i="200"/>
  <c r="B21" i="200"/>
  <c r="Y12" i="200"/>
  <c r="V16" i="200" s="1"/>
  <c r="V24" i="200" s="1"/>
  <c r="V25" i="199"/>
  <c r="F22" i="199"/>
  <c r="S19" i="199"/>
  <c r="Q19" i="199"/>
  <c r="Q20" i="199" s="1"/>
  <c r="P19" i="199"/>
  <c r="P20" i="199" s="1"/>
  <c r="N19" i="199"/>
  <c r="N20" i="199" s="1"/>
  <c r="L19" i="199"/>
  <c r="L20" i="199" s="1"/>
  <c r="J19" i="199"/>
  <c r="J20" i="199" s="1"/>
  <c r="H19" i="199"/>
  <c r="H20" i="199" s="1"/>
  <c r="O18" i="199"/>
  <c r="O19" i="199" s="1"/>
  <c r="O20" i="199" s="1"/>
  <c r="D18" i="199"/>
  <c r="D19" i="199" s="1"/>
  <c r="D20" i="199" s="1"/>
  <c r="X12" i="199"/>
  <c r="W12" i="199"/>
  <c r="K18" i="199" s="1"/>
  <c r="K19" i="199" s="1"/>
  <c r="K20" i="199" s="1"/>
  <c r="U12" i="199"/>
  <c r="I18" i="199" s="1"/>
  <c r="I19" i="199" s="1"/>
  <c r="I20" i="199" s="1"/>
  <c r="S12" i="199"/>
  <c r="Q12" i="199"/>
  <c r="P12" i="199"/>
  <c r="O12" i="199"/>
  <c r="M12" i="199"/>
  <c r="M18" i="199" s="1"/>
  <c r="M19" i="199" s="1"/>
  <c r="M20" i="199" s="1"/>
  <c r="K12" i="199"/>
  <c r="G18" i="199" s="1"/>
  <c r="G19" i="199" s="1"/>
  <c r="G20" i="199" s="1"/>
  <c r="I12" i="199"/>
  <c r="F18" i="199" s="1"/>
  <c r="F19" i="199" s="1"/>
  <c r="F20" i="199" s="1"/>
  <c r="G12" i="199"/>
  <c r="E18" i="199" s="1"/>
  <c r="E19" i="199" s="1"/>
  <c r="E20" i="199" s="1"/>
  <c r="E12" i="199"/>
  <c r="C12" i="199"/>
  <c r="B18" i="199" s="1"/>
  <c r="B19" i="199" s="1"/>
  <c r="B20" i="199" s="1"/>
  <c r="X11" i="199"/>
  <c r="V11" i="199"/>
  <c r="T11" i="199"/>
  <c r="R11" i="199"/>
  <c r="P11" i="199"/>
  <c r="N11" i="199"/>
  <c r="L11" i="199"/>
  <c r="J11" i="199"/>
  <c r="H11" i="199"/>
  <c r="F11" i="199"/>
  <c r="D11" i="199"/>
  <c r="Y11" i="199" s="1"/>
  <c r="X10" i="199"/>
  <c r="V10" i="199"/>
  <c r="T10" i="199"/>
  <c r="R10" i="199"/>
  <c r="P10" i="199"/>
  <c r="N10" i="199"/>
  <c r="L10" i="199"/>
  <c r="J10" i="199"/>
  <c r="H10" i="199"/>
  <c r="F10" i="199"/>
  <c r="D10" i="199"/>
  <c r="Y10" i="199" s="1"/>
  <c r="X9" i="199"/>
  <c r="V9" i="199"/>
  <c r="T9" i="199"/>
  <c r="R9" i="199"/>
  <c r="P9" i="199"/>
  <c r="N9" i="199"/>
  <c r="L9" i="199"/>
  <c r="J9" i="199"/>
  <c r="H9" i="199"/>
  <c r="F9" i="199"/>
  <c r="D9" i="199"/>
  <c r="X8" i="199"/>
  <c r="V8" i="199"/>
  <c r="T8" i="199"/>
  <c r="R8" i="199"/>
  <c r="P8" i="199"/>
  <c r="N8" i="199"/>
  <c r="L8" i="199"/>
  <c r="J8" i="199"/>
  <c r="H8" i="199"/>
  <c r="H12" i="199" s="1"/>
  <c r="F8" i="199"/>
  <c r="D8" i="199"/>
  <c r="X7" i="199"/>
  <c r="V7" i="199"/>
  <c r="T7" i="199"/>
  <c r="R7" i="199"/>
  <c r="P7" i="199"/>
  <c r="N7" i="199"/>
  <c r="L7" i="199"/>
  <c r="J7" i="199"/>
  <c r="H7" i="199"/>
  <c r="F7" i="199"/>
  <c r="D7" i="199"/>
  <c r="X6" i="199"/>
  <c r="V6" i="199"/>
  <c r="T6" i="199"/>
  <c r="R6" i="199"/>
  <c r="R12" i="199" s="1"/>
  <c r="P6" i="199"/>
  <c r="N6" i="199"/>
  <c r="N12" i="199" s="1"/>
  <c r="L6" i="199"/>
  <c r="L12" i="199" s="1"/>
  <c r="J6" i="199"/>
  <c r="H6" i="199"/>
  <c r="F6" i="199"/>
  <c r="F12" i="199" s="1"/>
  <c r="D6" i="199"/>
  <c r="V25" i="198"/>
  <c r="F22" i="198"/>
  <c r="S19" i="198"/>
  <c r="S20" i="198" s="1"/>
  <c r="Q19" i="198"/>
  <c r="Q20" i="198" s="1"/>
  <c r="P19" i="198"/>
  <c r="P20" i="198" s="1"/>
  <c r="N19" i="198"/>
  <c r="N20" i="198" s="1"/>
  <c r="L19" i="198"/>
  <c r="L20" i="198" s="1"/>
  <c r="J19" i="198"/>
  <c r="J20" i="198" s="1"/>
  <c r="H19" i="198"/>
  <c r="H20" i="198" s="1"/>
  <c r="O18" i="198"/>
  <c r="O19" i="198" s="1"/>
  <c r="O20" i="198" s="1"/>
  <c r="D18" i="198"/>
  <c r="D19" i="198" s="1"/>
  <c r="D20" i="198" s="1"/>
  <c r="X12" i="198"/>
  <c r="W12" i="198"/>
  <c r="K18" i="198" s="1"/>
  <c r="K19" i="198" s="1"/>
  <c r="K20" i="198" s="1"/>
  <c r="U12" i="198"/>
  <c r="I18" i="198" s="1"/>
  <c r="I19" i="198" s="1"/>
  <c r="I20" i="198" s="1"/>
  <c r="S12" i="198"/>
  <c r="Q12" i="198"/>
  <c r="P12" i="198"/>
  <c r="O12" i="198"/>
  <c r="M12" i="198"/>
  <c r="M18" i="198" s="1"/>
  <c r="M19" i="198" s="1"/>
  <c r="M20" i="198" s="1"/>
  <c r="K12" i="198"/>
  <c r="G18" i="198" s="1"/>
  <c r="G19" i="198" s="1"/>
  <c r="G20" i="198" s="1"/>
  <c r="I12" i="198"/>
  <c r="F18" i="198" s="1"/>
  <c r="F19" i="198" s="1"/>
  <c r="F20" i="198" s="1"/>
  <c r="H12" i="198"/>
  <c r="G12" i="198"/>
  <c r="E18" i="198" s="1"/>
  <c r="E19" i="198" s="1"/>
  <c r="E20" i="198" s="1"/>
  <c r="E12" i="198"/>
  <c r="C12" i="198"/>
  <c r="B18" i="198" s="1"/>
  <c r="B19" i="198" s="1"/>
  <c r="B20" i="198" s="1"/>
  <c r="X11" i="198"/>
  <c r="V11" i="198"/>
  <c r="T11" i="198"/>
  <c r="R11" i="198"/>
  <c r="P11" i="198"/>
  <c r="N11" i="198"/>
  <c r="L11" i="198"/>
  <c r="J11" i="198"/>
  <c r="H11" i="198"/>
  <c r="F11" i="198"/>
  <c r="D11" i="198"/>
  <c r="Y11" i="198" s="1"/>
  <c r="X10" i="198"/>
  <c r="V10" i="198"/>
  <c r="T10" i="198"/>
  <c r="R10" i="198"/>
  <c r="P10" i="198"/>
  <c r="N10" i="198"/>
  <c r="L10" i="198"/>
  <c r="J10" i="198"/>
  <c r="H10" i="198"/>
  <c r="F10" i="198"/>
  <c r="D10" i="198"/>
  <c r="Y10" i="198" s="1"/>
  <c r="X9" i="198"/>
  <c r="V9" i="198"/>
  <c r="T9" i="198"/>
  <c r="R9" i="198"/>
  <c r="P9" i="198"/>
  <c r="N9" i="198"/>
  <c r="L9" i="198"/>
  <c r="J9" i="198"/>
  <c r="H9" i="198"/>
  <c r="F9" i="198"/>
  <c r="D9" i="198"/>
  <c r="X8" i="198"/>
  <c r="V8" i="198"/>
  <c r="T8" i="198"/>
  <c r="R8" i="198"/>
  <c r="P8" i="198"/>
  <c r="N8" i="198"/>
  <c r="L8" i="198"/>
  <c r="J8" i="198"/>
  <c r="H8" i="198"/>
  <c r="F8" i="198"/>
  <c r="D8" i="198"/>
  <c r="X7" i="198"/>
  <c r="V7" i="198"/>
  <c r="T7" i="198"/>
  <c r="R7" i="198"/>
  <c r="P7" i="198"/>
  <c r="N7" i="198"/>
  <c r="L7" i="198"/>
  <c r="J7" i="198"/>
  <c r="H7" i="198"/>
  <c r="F7" i="198"/>
  <c r="D7" i="198"/>
  <c r="X6" i="198"/>
  <c r="V6" i="198"/>
  <c r="T6" i="198"/>
  <c r="R6" i="198"/>
  <c r="R12" i="198" s="1"/>
  <c r="P6" i="198"/>
  <c r="N6" i="198"/>
  <c r="N12" i="198" s="1"/>
  <c r="L6" i="198"/>
  <c r="L12" i="198" s="1"/>
  <c r="J6" i="198"/>
  <c r="H6" i="198"/>
  <c r="F6" i="198"/>
  <c r="F12" i="198" s="1"/>
  <c r="D6" i="198"/>
  <c r="V25" i="197"/>
  <c r="F22" i="197"/>
  <c r="S19" i="197"/>
  <c r="S20" i="197" s="1"/>
  <c r="Q19" i="197"/>
  <c r="Q20" i="197" s="1"/>
  <c r="P19" i="197"/>
  <c r="P20" i="197" s="1"/>
  <c r="N19" i="197"/>
  <c r="N20" i="197" s="1"/>
  <c r="L19" i="197"/>
  <c r="L20" i="197" s="1"/>
  <c r="J19" i="197"/>
  <c r="J20" i="197" s="1"/>
  <c r="H19" i="197"/>
  <c r="H20" i="197" s="1"/>
  <c r="O18" i="197"/>
  <c r="O19" i="197" s="1"/>
  <c r="O20" i="197" s="1"/>
  <c r="D18" i="197"/>
  <c r="D19" i="197" s="1"/>
  <c r="D20" i="197" s="1"/>
  <c r="X12" i="197"/>
  <c r="W12" i="197"/>
  <c r="K18" i="197" s="1"/>
  <c r="K19" i="197" s="1"/>
  <c r="K20" i="197" s="1"/>
  <c r="U12" i="197"/>
  <c r="I18" i="197" s="1"/>
  <c r="I19" i="197" s="1"/>
  <c r="I20" i="197" s="1"/>
  <c r="S12" i="197"/>
  <c r="Q12" i="197"/>
  <c r="P12" i="197"/>
  <c r="O12" i="197"/>
  <c r="M12" i="197"/>
  <c r="M18" i="197" s="1"/>
  <c r="M19" i="197" s="1"/>
  <c r="M20" i="197" s="1"/>
  <c r="K12" i="197"/>
  <c r="G18" i="197" s="1"/>
  <c r="G19" i="197" s="1"/>
  <c r="G20" i="197" s="1"/>
  <c r="I12" i="197"/>
  <c r="F18" i="197" s="1"/>
  <c r="F19" i="197" s="1"/>
  <c r="F20" i="197" s="1"/>
  <c r="G12" i="197"/>
  <c r="E18" i="197" s="1"/>
  <c r="E19" i="197" s="1"/>
  <c r="E20" i="197" s="1"/>
  <c r="E12" i="197"/>
  <c r="C12" i="197"/>
  <c r="B18" i="197" s="1"/>
  <c r="B19" i="197" s="1"/>
  <c r="B20" i="197" s="1"/>
  <c r="X11" i="197"/>
  <c r="V11" i="197"/>
  <c r="T11" i="197"/>
  <c r="R11" i="197"/>
  <c r="P11" i="197"/>
  <c r="N11" i="197"/>
  <c r="L11" i="197"/>
  <c r="J11" i="197"/>
  <c r="H11" i="197"/>
  <c r="F11" i="197"/>
  <c r="D11" i="197"/>
  <c r="Y11" i="197" s="1"/>
  <c r="X10" i="197"/>
  <c r="V10" i="197"/>
  <c r="T10" i="197"/>
  <c r="R10" i="197"/>
  <c r="P10" i="197"/>
  <c r="N10" i="197"/>
  <c r="L10" i="197"/>
  <c r="J10" i="197"/>
  <c r="H10" i="197"/>
  <c r="F10" i="197"/>
  <c r="D10" i="197"/>
  <c r="Y10" i="197" s="1"/>
  <c r="X9" i="197"/>
  <c r="V9" i="197"/>
  <c r="T9" i="197"/>
  <c r="R9" i="197"/>
  <c r="P9" i="197"/>
  <c r="N9" i="197"/>
  <c r="L9" i="197"/>
  <c r="J9" i="197"/>
  <c r="H9" i="197"/>
  <c r="F9" i="197"/>
  <c r="D9" i="197"/>
  <c r="X8" i="197"/>
  <c r="V8" i="197"/>
  <c r="T8" i="197"/>
  <c r="R8" i="197"/>
  <c r="P8" i="197"/>
  <c r="N8" i="197"/>
  <c r="L8" i="197"/>
  <c r="J8" i="197"/>
  <c r="H8" i="197"/>
  <c r="H12" i="197" s="1"/>
  <c r="F8" i="197"/>
  <c r="D8" i="197"/>
  <c r="X7" i="197"/>
  <c r="V7" i="197"/>
  <c r="T7" i="197"/>
  <c r="R7" i="197"/>
  <c r="P7" i="197"/>
  <c r="N7" i="197"/>
  <c r="L7" i="197"/>
  <c r="J7" i="197"/>
  <c r="H7" i="197"/>
  <c r="F7" i="197"/>
  <c r="D7" i="197"/>
  <c r="X6" i="197"/>
  <c r="V6" i="197"/>
  <c r="T6" i="197"/>
  <c r="T12" i="197" s="1"/>
  <c r="R6" i="197"/>
  <c r="R12" i="197" s="1"/>
  <c r="P6" i="197"/>
  <c r="N6" i="197"/>
  <c r="N12" i="197" s="1"/>
  <c r="L6" i="197"/>
  <c r="J6" i="197"/>
  <c r="H6" i="197"/>
  <c r="F6" i="197"/>
  <c r="F12" i="197" s="1"/>
  <c r="D6" i="197"/>
  <c r="Y6" i="197" s="1"/>
  <c r="V25" i="196"/>
  <c r="F22" i="196"/>
  <c r="S19" i="196"/>
  <c r="S20" i="196" s="1"/>
  <c r="Q19" i="196"/>
  <c r="Q20" i="196" s="1"/>
  <c r="P19" i="196"/>
  <c r="P20" i="196" s="1"/>
  <c r="N19" i="196"/>
  <c r="N20" i="196" s="1"/>
  <c r="L19" i="196"/>
  <c r="L20" i="196" s="1"/>
  <c r="J19" i="196"/>
  <c r="J20" i="196" s="1"/>
  <c r="H19" i="196"/>
  <c r="H20" i="196" s="1"/>
  <c r="I18" i="196"/>
  <c r="I19" i="196" s="1"/>
  <c r="I20" i="196" s="1"/>
  <c r="D18" i="196"/>
  <c r="D19" i="196" s="1"/>
  <c r="D20" i="196" s="1"/>
  <c r="X12" i="196"/>
  <c r="W12" i="196"/>
  <c r="K18" i="196" s="1"/>
  <c r="K19" i="196" s="1"/>
  <c r="K20" i="196" s="1"/>
  <c r="U12" i="196"/>
  <c r="T12" i="196"/>
  <c r="S12" i="196"/>
  <c r="Q12" i="196"/>
  <c r="O18" i="196" s="1"/>
  <c r="O19" i="196" s="1"/>
  <c r="O20" i="196" s="1"/>
  <c r="P12" i="196"/>
  <c r="O12" i="196"/>
  <c r="M12" i="196"/>
  <c r="M18" i="196" s="1"/>
  <c r="M19" i="196" s="1"/>
  <c r="M20" i="196" s="1"/>
  <c r="K12" i="196"/>
  <c r="G18" i="196" s="1"/>
  <c r="G19" i="196" s="1"/>
  <c r="G20" i="196" s="1"/>
  <c r="I12" i="196"/>
  <c r="F18" i="196" s="1"/>
  <c r="F19" i="196" s="1"/>
  <c r="F20" i="196" s="1"/>
  <c r="G12" i="196"/>
  <c r="E18" i="196" s="1"/>
  <c r="E19" i="196" s="1"/>
  <c r="E20" i="196" s="1"/>
  <c r="E12" i="196"/>
  <c r="C12" i="196"/>
  <c r="B18" i="196" s="1"/>
  <c r="B19" i="196" s="1"/>
  <c r="B20" i="196" s="1"/>
  <c r="X11" i="196"/>
  <c r="V11" i="196"/>
  <c r="T11" i="196"/>
  <c r="R11" i="196"/>
  <c r="P11" i="196"/>
  <c r="N11" i="196"/>
  <c r="L11" i="196"/>
  <c r="J11" i="196"/>
  <c r="H11" i="196"/>
  <c r="F11" i="196"/>
  <c r="D11" i="196"/>
  <c r="Y11" i="196" s="1"/>
  <c r="X10" i="196"/>
  <c r="V10" i="196"/>
  <c r="T10" i="196"/>
  <c r="R10" i="196"/>
  <c r="P10" i="196"/>
  <c r="N10" i="196"/>
  <c r="L10" i="196"/>
  <c r="J10" i="196"/>
  <c r="H10" i="196"/>
  <c r="F10" i="196"/>
  <c r="D10" i="196"/>
  <c r="Y10" i="196" s="1"/>
  <c r="X9" i="196"/>
  <c r="V9" i="196"/>
  <c r="T9" i="196"/>
  <c r="R9" i="196"/>
  <c r="P9" i="196"/>
  <c r="N9" i="196"/>
  <c r="L9" i="196"/>
  <c r="J9" i="196"/>
  <c r="H9" i="196"/>
  <c r="F9" i="196"/>
  <c r="D9" i="196"/>
  <c r="Y9" i="196" s="1"/>
  <c r="X8" i="196"/>
  <c r="V8" i="196"/>
  <c r="T8" i="196"/>
  <c r="R8" i="196"/>
  <c r="P8" i="196"/>
  <c r="N8" i="196"/>
  <c r="L8" i="196"/>
  <c r="J8" i="196"/>
  <c r="H8" i="196"/>
  <c r="F8" i="196"/>
  <c r="D8" i="196"/>
  <c r="X7" i="196"/>
  <c r="V7" i="196"/>
  <c r="T7" i="196"/>
  <c r="R7" i="196"/>
  <c r="P7" i="196"/>
  <c r="N7" i="196"/>
  <c r="L7" i="196"/>
  <c r="J7" i="196"/>
  <c r="H7" i="196"/>
  <c r="F7" i="196"/>
  <c r="D7" i="196"/>
  <c r="X6" i="196"/>
  <c r="V6" i="196"/>
  <c r="V12" i="196" s="1"/>
  <c r="T6" i="196"/>
  <c r="R6" i="196"/>
  <c r="R12" i="196" s="1"/>
  <c r="P6" i="196"/>
  <c r="N6" i="196"/>
  <c r="N12" i="196" s="1"/>
  <c r="L6" i="196"/>
  <c r="J6" i="196"/>
  <c r="J12" i="196" s="1"/>
  <c r="H6" i="196"/>
  <c r="F6" i="196"/>
  <c r="F12" i="196" s="1"/>
  <c r="D6" i="196"/>
  <c r="T12" i="199" l="1"/>
  <c r="J12" i="199"/>
  <c r="V12" i="199"/>
  <c r="Y6" i="199"/>
  <c r="Y9" i="199"/>
  <c r="Y8" i="199"/>
  <c r="Y7" i="199"/>
  <c r="B21" i="199"/>
  <c r="D12" i="199"/>
  <c r="Y12" i="199" s="1"/>
  <c r="V16" i="199" s="1"/>
  <c r="V24" i="199" s="1"/>
  <c r="Y8" i="198"/>
  <c r="T12" i="198"/>
  <c r="Y6" i="198"/>
  <c r="V12" i="198"/>
  <c r="Y9" i="198"/>
  <c r="J12" i="198"/>
  <c r="Y7" i="198"/>
  <c r="B21" i="198"/>
  <c r="D12" i="198"/>
  <c r="Y9" i="197"/>
  <c r="V12" i="197"/>
  <c r="Y7" i="197"/>
  <c r="J12" i="197"/>
  <c r="L12" i="197"/>
  <c r="Y8" i="197"/>
  <c r="B21" i="197"/>
  <c r="D12" i="197"/>
  <c r="L12" i="196"/>
  <c r="H12" i="196"/>
  <c r="Y8" i="196"/>
  <c r="Y7" i="196"/>
  <c r="Y6" i="196"/>
  <c r="D12" i="196"/>
  <c r="B21" i="196"/>
  <c r="Y12" i="198" l="1"/>
  <c r="V16" i="198" s="1"/>
  <c r="V24" i="198" s="1"/>
  <c r="Y12" i="197"/>
  <c r="V16" i="197" s="1"/>
  <c r="V24" i="197" s="1"/>
  <c r="Y12" i="196"/>
  <c r="V16" i="196" s="1"/>
  <c r="V24" i="196" s="1"/>
  <c r="V25" i="195" l="1"/>
  <c r="F22" i="195"/>
  <c r="S19" i="195"/>
  <c r="S20" i="195" s="1"/>
  <c r="Q19" i="195"/>
  <c r="Q20" i="195" s="1"/>
  <c r="P19" i="195"/>
  <c r="P20" i="195" s="1"/>
  <c r="N19" i="195"/>
  <c r="N20" i="195" s="1"/>
  <c r="L19" i="195"/>
  <c r="L20" i="195" s="1"/>
  <c r="K19" i="195"/>
  <c r="K20" i="195" s="1"/>
  <c r="J19" i="195"/>
  <c r="J20" i="195" s="1"/>
  <c r="H19" i="195"/>
  <c r="H20" i="195" s="1"/>
  <c r="K18" i="195"/>
  <c r="I18" i="195"/>
  <c r="I19" i="195" s="1"/>
  <c r="I20" i="195" s="1"/>
  <c r="D18" i="195"/>
  <c r="D19" i="195" s="1"/>
  <c r="D20" i="195" s="1"/>
  <c r="X12" i="195"/>
  <c r="W12" i="195"/>
  <c r="U12" i="195"/>
  <c r="S12" i="195"/>
  <c r="Q12" i="195"/>
  <c r="O18" i="195" s="1"/>
  <c r="O19" i="195" s="1"/>
  <c r="O20" i="195" s="1"/>
  <c r="P12" i="195"/>
  <c r="O12" i="195"/>
  <c r="M12" i="195"/>
  <c r="M18" i="195" s="1"/>
  <c r="M19" i="195" s="1"/>
  <c r="M20" i="195" s="1"/>
  <c r="K12" i="195"/>
  <c r="G18" i="195" s="1"/>
  <c r="G19" i="195" s="1"/>
  <c r="G20" i="195" s="1"/>
  <c r="I12" i="195"/>
  <c r="F18" i="195" s="1"/>
  <c r="F19" i="195" s="1"/>
  <c r="F20" i="195" s="1"/>
  <c r="G12" i="195"/>
  <c r="E18" i="195" s="1"/>
  <c r="E19" i="195" s="1"/>
  <c r="E20" i="195" s="1"/>
  <c r="E12" i="195"/>
  <c r="C12" i="195"/>
  <c r="B18" i="195" s="1"/>
  <c r="B19" i="195" s="1"/>
  <c r="B20" i="195" s="1"/>
  <c r="X11" i="195"/>
  <c r="V11" i="195"/>
  <c r="T11" i="195"/>
  <c r="R11" i="195"/>
  <c r="P11" i="195"/>
  <c r="N11" i="195"/>
  <c r="L11" i="195"/>
  <c r="J11" i="195"/>
  <c r="H11" i="195"/>
  <c r="F11" i="195"/>
  <c r="D11" i="195"/>
  <c r="Y11" i="195" s="1"/>
  <c r="X10" i="195"/>
  <c r="V10" i="195"/>
  <c r="T10" i="195"/>
  <c r="R10" i="195"/>
  <c r="P10" i="195"/>
  <c r="N10" i="195"/>
  <c r="L10" i="195"/>
  <c r="J10" i="195"/>
  <c r="H10" i="195"/>
  <c r="F10" i="195"/>
  <c r="D10" i="195"/>
  <c r="Y10" i="195" s="1"/>
  <c r="X9" i="195"/>
  <c r="V9" i="195"/>
  <c r="T9" i="195"/>
  <c r="R9" i="195"/>
  <c r="P9" i="195"/>
  <c r="N9" i="195"/>
  <c r="L9" i="195"/>
  <c r="J9" i="195"/>
  <c r="H9" i="195"/>
  <c r="F9" i="195"/>
  <c r="D9" i="195"/>
  <c r="Y9" i="195" s="1"/>
  <c r="X8" i="195"/>
  <c r="V8" i="195"/>
  <c r="T8" i="195"/>
  <c r="T12" i="195" s="1"/>
  <c r="R8" i="195"/>
  <c r="P8" i="195"/>
  <c r="N8" i="195"/>
  <c r="L8" i="195"/>
  <c r="J8" i="195"/>
  <c r="H8" i="195"/>
  <c r="F8" i="195"/>
  <c r="D8" i="195"/>
  <c r="X7" i="195"/>
  <c r="V7" i="195"/>
  <c r="T7" i="195"/>
  <c r="R7" i="195"/>
  <c r="P7" i="195"/>
  <c r="N7" i="195"/>
  <c r="L7" i="195"/>
  <c r="J7" i="195"/>
  <c r="H7" i="195"/>
  <c r="F7" i="195"/>
  <c r="D7" i="195"/>
  <c r="X6" i="195"/>
  <c r="V6" i="195"/>
  <c r="V12" i="195" s="1"/>
  <c r="T6" i="195"/>
  <c r="R6" i="195"/>
  <c r="R12" i="195" s="1"/>
  <c r="P6" i="195"/>
  <c r="N6" i="195"/>
  <c r="N12" i="195" s="1"/>
  <c r="L6" i="195"/>
  <c r="J6" i="195"/>
  <c r="H6" i="195"/>
  <c r="F6" i="195"/>
  <c r="F12" i="195" s="1"/>
  <c r="D6" i="195"/>
  <c r="V25" i="194"/>
  <c r="F22" i="194"/>
  <c r="S19" i="194"/>
  <c r="S20" i="194" s="1"/>
  <c r="Q19" i="194"/>
  <c r="Q20" i="194" s="1"/>
  <c r="P19" i="194"/>
  <c r="P20" i="194" s="1"/>
  <c r="N19" i="194"/>
  <c r="N20" i="194" s="1"/>
  <c r="L19" i="194"/>
  <c r="L20" i="194" s="1"/>
  <c r="J19" i="194"/>
  <c r="J20" i="194" s="1"/>
  <c r="H19" i="194"/>
  <c r="H20" i="194" s="1"/>
  <c r="I18" i="194"/>
  <c r="I19" i="194" s="1"/>
  <c r="I20" i="194" s="1"/>
  <c r="D18" i="194"/>
  <c r="D19" i="194" s="1"/>
  <c r="D20" i="194" s="1"/>
  <c r="X12" i="194"/>
  <c r="W12" i="194"/>
  <c r="K18" i="194" s="1"/>
  <c r="K19" i="194" s="1"/>
  <c r="K20" i="194" s="1"/>
  <c r="U12" i="194"/>
  <c r="S12" i="194"/>
  <c r="Q12" i="194"/>
  <c r="O18" i="194" s="1"/>
  <c r="O19" i="194" s="1"/>
  <c r="O20" i="194" s="1"/>
  <c r="P12" i="194"/>
  <c r="O12" i="194"/>
  <c r="M12" i="194"/>
  <c r="M18" i="194" s="1"/>
  <c r="M19" i="194" s="1"/>
  <c r="M20" i="194" s="1"/>
  <c r="K12" i="194"/>
  <c r="G18" i="194" s="1"/>
  <c r="G19" i="194" s="1"/>
  <c r="G20" i="194" s="1"/>
  <c r="I12" i="194"/>
  <c r="F18" i="194" s="1"/>
  <c r="F19" i="194" s="1"/>
  <c r="F20" i="194" s="1"/>
  <c r="G12" i="194"/>
  <c r="E18" i="194" s="1"/>
  <c r="E19" i="194" s="1"/>
  <c r="E20" i="194" s="1"/>
  <c r="E12" i="194"/>
  <c r="C12" i="194"/>
  <c r="B18" i="194" s="1"/>
  <c r="B19" i="194" s="1"/>
  <c r="B20" i="194" s="1"/>
  <c r="X11" i="194"/>
  <c r="V11" i="194"/>
  <c r="T11" i="194"/>
  <c r="R11" i="194"/>
  <c r="P11" i="194"/>
  <c r="N11" i="194"/>
  <c r="L11" i="194"/>
  <c r="J11" i="194"/>
  <c r="H11" i="194"/>
  <c r="F11" i="194"/>
  <c r="D11" i="194"/>
  <c r="X10" i="194"/>
  <c r="V10" i="194"/>
  <c r="T10" i="194"/>
  <c r="R10" i="194"/>
  <c r="P10" i="194"/>
  <c r="N10" i="194"/>
  <c r="L10" i="194"/>
  <c r="J10" i="194"/>
  <c r="H10" i="194"/>
  <c r="F10" i="194"/>
  <c r="D10" i="194"/>
  <c r="Y10" i="194" s="1"/>
  <c r="X9" i="194"/>
  <c r="V9" i="194"/>
  <c r="T9" i="194"/>
  <c r="R9" i="194"/>
  <c r="P9" i="194"/>
  <c r="N9" i="194"/>
  <c r="L9" i="194"/>
  <c r="J9" i="194"/>
  <c r="H9" i="194"/>
  <c r="F9" i="194"/>
  <c r="D9" i="194"/>
  <c r="X8" i="194"/>
  <c r="V8" i="194"/>
  <c r="T8" i="194"/>
  <c r="T12" i="194" s="1"/>
  <c r="R8" i="194"/>
  <c r="P8" i="194"/>
  <c r="N8" i="194"/>
  <c r="L8" i="194"/>
  <c r="J8" i="194"/>
  <c r="H8" i="194"/>
  <c r="F8" i="194"/>
  <c r="D8" i="194"/>
  <c r="X7" i="194"/>
  <c r="V7" i="194"/>
  <c r="T7" i="194"/>
  <c r="R7" i="194"/>
  <c r="P7" i="194"/>
  <c r="N7" i="194"/>
  <c r="L7" i="194"/>
  <c r="J7" i="194"/>
  <c r="H7" i="194"/>
  <c r="F7" i="194"/>
  <c r="D7" i="194"/>
  <c r="X6" i="194"/>
  <c r="V6" i="194"/>
  <c r="V12" i="194" s="1"/>
  <c r="T6" i="194"/>
  <c r="R6" i="194"/>
  <c r="R12" i="194" s="1"/>
  <c r="P6" i="194"/>
  <c r="N6" i="194"/>
  <c r="N12" i="194" s="1"/>
  <c r="L6" i="194"/>
  <c r="J6" i="194"/>
  <c r="H6" i="194"/>
  <c r="F6" i="194"/>
  <c r="F12" i="194" s="1"/>
  <c r="D6" i="194"/>
  <c r="S12" i="193"/>
  <c r="Y6" i="195" l="1"/>
  <c r="J12" i="195"/>
  <c r="L12" i="195"/>
  <c r="H12" i="195"/>
  <c r="Y8" i="195"/>
  <c r="Y7" i="195"/>
  <c r="D12" i="195"/>
  <c r="B21" i="195"/>
  <c r="H12" i="194"/>
  <c r="Y9" i="194"/>
  <c r="L12" i="194"/>
  <c r="Y11" i="194"/>
  <c r="Y8" i="194"/>
  <c r="J12" i="194"/>
  <c r="Y7" i="194"/>
  <c r="Y6" i="194"/>
  <c r="D12" i="194"/>
  <c r="B21" i="194"/>
  <c r="Y12" i="195" l="1"/>
  <c r="V16" i="195" s="1"/>
  <c r="V24" i="195" s="1"/>
  <c r="Y12" i="194"/>
  <c r="V16" i="194" s="1"/>
  <c r="V24" i="194" s="1"/>
  <c r="V25" i="193" l="1"/>
  <c r="F22" i="193"/>
  <c r="S19" i="193"/>
  <c r="S20" i="193" s="1"/>
  <c r="Q19" i="193"/>
  <c r="Q20" i="193" s="1"/>
  <c r="P19" i="193"/>
  <c r="P20" i="193" s="1"/>
  <c r="N19" i="193"/>
  <c r="N20" i="193" s="1"/>
  <c r="L19" i="193"/>
  <c r="L20" i="193" s="1"/>
  <c r="J19" i="193"/>
  <c r="J20" i="193" s="1"/>
  <c r="H19" i="193"/>
  <c r="H20" i="193" s="1"/>
  <c r="K18" i="193"/>
  <c r="K19" i="193" s="1"/>
  <c r="K20" i="193" s="1"/>
  <c r="W12" i="193"/>
  <c r="U12" i="193"/>
  <c r="I18" i="193" s="1"/>
  <c r="I19" i="193" s="1"/>
  <c r="I20" i="193" s="1"/>
  <c r="Q12" i="193"/>
  <c r="O18" i="193" s="1"/>
  <c r="O19" i="193" s="1"/>
  <c r="O20" i="193" s="1"/>
  <c r="P12" i="193"/>
  <c r="O12" i="193"/>
  <c r="M12" i="193"/>
  <c r="M18" i="193" s="1"/>
  <c r="M19" i="193" s="1"/>
  <c r="M20" i="193" s="1"/>
  <c r="K12" i="193"/>
  <c r="G18" i="193" s="1"/>
  <c r="G19" i="193" s="1"/>
  <c r="G20" i="193" s="1"/>
  <c r="I12" i="193"/>
  <c r="F18" i="193" s="1"/>
  <c r="F19" i="193" s="1"/>
  <c r="F20" i="193" s="1"/>
  <c r="G12" i="193"/>
  <c r="E18" i="193" s="1"/>
  <c r="E19" i="193" s="1"/>
  <c r="E20" i="193" s="1"/>
  <c r="E12" i="193"/>
  <c r="D18" i="193" s="1"/>
  <c r="D19" i="193" s="1"/>
  <c r="D20" i="193" s="1"/>
  <c r="C12" i="193"/>
  <c r="B18" i="193" s="1"/>
  <c r="B19" i="193" s="1"/>
  <c r="B20" i="193" s="1"/>
  <c r="X11" i="193"/>
  <c r="V11" i="193"/>
  <c r="T11" i="193"/>
  <c r="R11" i="193"/>
  <c r="P11" i="193"/>
  <c r="N11" i="193"/>
  <c r="L11" i="193"/>
  <c r="J11" i="193"/>
  <c r="H11" i="193"/>
  <c r="F11" i="193"/>
  <c r="D11" i="193"/>
  <c r="X10" i="193"/>
  <c r="V10" i="193"/>
  <c r="T10" i="193"/>
  <c r="R10" i="193"/>
  <c r="P10" i="193"/>
  <c r="N10" i="193"/>
  <c r="L10" i="193"/>
  <c r="J10" i="193"/>
  <c r="H10" i="193"/>
  <c r="F10" i="193"/>
  <c r="Y10" i="193" s="1"/>
  <c r="D10" i="193"/>
  <c r="X9" i="193"/>
  <c r="V9" i="193"/>
  <c r="T9" i="193"/>
  <c r="R9" i="193"/>
  <c r="P9" i="193"/>
  <c r="N9" i="193"/>
  <c r="L9" i="193"/>
  <c r="J9" i="193"/>
  <c r="H9" i="193"/>
  <c r="F9" i="193"/>
  <c r="D9" i="193"/>
  <c r="X8" i="193"/>
  <c r="V8" i="193"/>
  <c r="T8" i="193"/>
  <c r="R8" i="193"/>
  <c r="P8" i="193"/>
  <c r="N8" i="193"/>
  <c r="L8" i="193"/>
  <c r="J8" i="193"/>
  <c r="H8" i="193"/>
  <c r="F8" i="193"/>
  <c r="D8" i="193"/>
  <c r="X7" i="193"/>
  <c r="V7" i="193"/>
  <c r="T7" i="193"/>
  <c r="R7" i="193"/>
  <c r="P7" i="193"/>
  <c r="N7" i="193"/>
  <c r="L7" i="193"/>
  <c r="J7" i="193"/>
  <c r="H7" i="193"/>
  <c r="F7" i="193"/>
  <c r="D7" i="193"/>
  <c r="X6" i="193"/>
  <c r="X12" i="193" s="1"/>
  <c r="V6" i="193"/>
  <c r="V12" i="193" s="1"/>
  <c r="T6" i="193"/>
  <c r="R6" i="193"/>
  <c r="R12" i="193" s="1"/>
  <c r="P6" i="193"/>
  <c r="N6" i="193"/>
  <c r="N12" i="193" s="1"/>
  <c r="L6" i="193"/>
  <c r="J6" i="193"/>
  <c r="H6" i="193"/>
  <c r="F6" i="193"/>
  <c r="F12" i="193" s="1"/>
  <c r="D6" i="193"/>
  <c r="Y11" i="193" l="1"/>
  <c r="L12" i="193"/>
  <c r="T12" i="193"/>
  <c r="D12" i="193"/>
  <c r="H12" i="193"/>
  <c r="J12" i="193"/>
  <c r="Y9" i="193"/>
  <c r="Y8" i="193"/>
  <c r="Y7" i="193"/>
  <c r="B21" i="193"/>
  <c r="Y6" i="193"/>
  <c r="V25" i="192"/>
  <c r="F22" i="192"/>
  <c r="S19" i="192"/>
  <c r="S20" i="192" s="1"/>
  <c r="Q19" i="192"/>
  <c r="Q20" i="192" s="1"/>
  <c r="P19" i="192"/>
  <c r="P20" i="192" s="1"/>
  <c r="N19" i="192"/>
  <c r="N20" i="192" s="1"/>
  <c r="L19" i="192"/>
  <c r="L20" i="192" s="1"/>
  <c r="J19" i="192"/>
  <c r="J20" i="192" s="1"/>
  <c r="H19" i="192"/>
  <c r="H20" i="192" s="1"/>
  <c r="I18" i="192"/>
  <c r="I19" i="192" s="1"/>
  <c r="I20" i="192" s="1"/>
  <c r="D18" i="192"/>
  <c r="D19" i="192" s="1"/>
  <c r="D20" i="192" s="1"/>
  <c r="X12" i="192"/>
  <c r="W12" i="192"/>
  <c r="K18" i="192" s="1"/>
  <c r="K19" i="192" s="1"/>
  <c r="K20" i="192" s="1"/>
  <c r="U12" i="192"/>
  <c r="Q12" i="192"/>
  <c r="O18" i="192" s="1"/>
  <c r="O19" i="192" s="1"/>
  <c r="O20" i="192" s="1"/>
  <c r="P12" i="192"/>
  <c r="O12" i="192"/>
  <c r="M12" i="192"/>
  <c r="M18" i="192" s="1"/>
  <c r="M19" i="192" s="1"/>
  <c r="M20" i="192" s="1"/>
  <c r="K12" i="192"/>
  <c r="G18" i="192" s="1"/>
  <c r="G19" i="192" s="1"/>
  <c r="G20" i="192" s="1"/>
  <c r="I12" i="192"/>
  <c r="F18" i="192" s="1"/>
  <c r="F19" i="192" s="1"/>
  <c r="F20" i="192" s="1"/>
  <c r="G12" i="192"/>
  <c r="E18" i="192" s="1"/>
  <c r="E19" i="192" s="1"/>
  <c r="E20" i="192" s="1"/>
  <c r="E12" i="192"/>
  <c r="C12" i="192"/>
  <c r="B18" i="192" s="1"/>
  <c r="B19" i="192" s="1"/>
  <c r="B20" i="192" s="1"/>
  <c r="X11" i="192"/>
  <c r="V11" i="192"/>
  <c r="T11" i="192"/>
  <c r="R11" i="192"/>
  <c r="P11" i="192"/>
  <c r="N11" i="192"/>
  <c r="L11" i="192"/>
  <c r="J11" i="192"/>
  <c r="H11" i="192"/>
  <c r="F11" i="192"/>
  <c r="D11" i="192"/>
  <c r="Y11" i="192" s="1"/>
  <c r="X10" i="192"/>
  <c r="V10" i="192"/>
  <c r="T10" i="192"/>
  <c r="T12" i="192" s="1"/>
  <c r="R10" i="192"/>
  <c r="P10" i="192"/>
  <c r="N10" i="192"/>
  <c r="L10" i="192"/>
  <c r="J10" i="192"/>
  <c r="H10" i="192"/>
  <c r="F10" i="192"/>
  <c r="D10" i="192"/>
  <c r="X9" i="192"/>
  <c r="V9" i="192"/>
  <c r="T9" i="192"/>
  <c r="R9" i="192"/>
  <c r="P9" i="192"/>
  <c r="N9" i="192"/>
  <c r="L9" i="192"/>
  <c r="J9" i="192"/>
  <c r="H9" i="192"/>
  <c r="F9" i="192"/>
  <c r="D9" i="192"/>
  <c r="X8" i="192"/>
  <c r="V8" i="192"/>
  <c r="T8" i="192"/>
  <c r="R8" i="192"/>
  <c r="P8" i="192"/>
  <c r="N8" i="192"/>
  <c r="L8" i="192"/>
  <c r="J8" i="192"/>
  <c r="H8" i="192"/>
  <c r="F8" i="192"/>
  <c r="D8" i="192"/>
  <c r="X7" i="192"/>
  <c r="V7" i="192"/>
  <c r="T7" i="192"/>
  <c r="R7" i="192"/>
  <c r="P7" i="192"/>
  <c r="N7" i="192"/>
  <c r="L7" i="192"/>
  <c r="J7" i="192"/>
  <c r="H7" i="192"/>
  <c r="F7" i="192"/>
  <c r="D7" i="192"/>
  <c r="X6" i="192"/>
  <c r="V6" i="192"/>
  <c r="V12" i="192" s="1"/>
  <c r="T6" i="192"/>
  <c r="R6" i="192"/>
  <c r="R12" i="192" s="1"/>
  <c r="P6" i="192"/>
  <c r="N6" i="192"/>
  <c r="N12" i="192" s="1"/>
  <c r="L6" i="192"/>
  <c r="L12" i="192" s="1"/>
  <c r="J6" i="192"/>
  <c r="H6" i="192"/>
  <c r="F6" i="192"/>
  <c r="F12" i="192" s="1"/>
  <c r="D6" i="192"/>
  <c r="Y12" i="193" l="1"/>
  <c r="V16" i="193" s="1"/>
  <c r="V24" i="193" s="1"/>
  <c r="H12" i="192"/>
  <c r="Y9" i="192"/>
  <c r="J12" i="192"/>
  <c r="Y7" i="192"/>
  <c r="Y6" i="192"/>
  <c r="Y10" i="192"/>
  <c r="Y8" i="192"/>
  <c r="D12" i="192"/>
  <c r="B21" i="192"/>
  <c r="Y12" i="192" l="1"/>
  <c r="V16" i="192" s="1"/>
  <c r="V24" i="192" s="1"/>
  <c r="T11" i="191" l="1"/>
  <c r="V25" i="191" l="1"/>
  <c r="F22" i="191"/>
  <c r="S19" i="191"/>
  <c r="S20" i="191" s="1"/>
  <c r="Q19" i="191"/>
  <c r="Q20" i="191" s="1"/>
  <c r="N19" i="191"/>
  <c r="N20" i="191" s="1"/>
  <c r="L19" i="191"/>
  <c r="L20" i="191" s="1"/>
  <c r="J19" i="191"/>
  <c r="J20" i="191" s="1"/>
  <c r="H19" i="191"/>
  <c r="H20" i="191" s="1"/>
  <c r="K18" i="191"/>
  <c r="K19" i="191" s="1"/>
  <c r="K20" i="191" s="1"/>
  <c r="W12" i="191"/>
  <c r="U12" i="191"/>
  <c r="I18" i="191" s="1"/>
  <c r="I19" i="191" s="1"/>
  <c r="I20" i="191" s="1"/>
  <c r="S12" i="191"/>
  <c r="Q12" i="191"/>
  <c r="O18" i="191" s="1"/>
  <c r="O19" i="191" s="1"/>
  <c r="O20" i="191" s="1"/>
  <c r="O12" i="191"/>
  <c r="P19" i="191" s="1"/>
  <c r="P20" i="191" s="1"/>
  <c r="M12" i="191"/>
  <c r="M18" i="191" s="1"/>
  <c r="M19" i="191" s="1"/>
  <c r="M20" i="191" s="1"/>
  <c r="K12" i="191"/>
  <c r="G18" i="191" s="1"/>
  <c r="G19" i="191" s="1"/>
  <c r="G20" i="191" s="1"/>
  <c r="I12" i="191"/>
  <c r="F18" i="191" s="1"/>
  <c r="F19" i="191" s="1"/>
  <c r="F20" i="191" s="1"/>
  <c r="G12" i="191"/>
  <c r="E18" i="191" s="1"/>
  <c r="E19" i="191" s="1"/>
  <c r="E20" i="191" s="1"/>
  <c r="E12" i="191"/>
  <c r="D18" i="191" s="1"/>
  <c r="D19" i="191" s="1"/>
  <c r="D20" i="191" s="1"/>
  <c r="C12" i="191"/>
  <c r="B18" i="191" s="1"/>
  <c r="B19" i="191" s="1"/>
  <c r="B20" i="191" s="1"/>
  <c r="X11" i="191"/>
  <c r="V11" i="191"/>
  <c r="R11" i="191"/>
  <c r="P11" i="191"/>
  <c r="N11" i="191"/>
  <c r="L11" i="191"/>
  <c r="J11" i="191"/>
  <c r="H11" i="191"/>
  <c r="F11" i="191"/>
  <c r="D11" i="191"/>
  <c r="X10" i="191"/>
  <c r="V10" i="191"/>
  <c r="T10" i="191"/>
  <c r="R10" i="191"/>
  <c r="P10" i="191"/>
  <c r="N10" i="191"/>
  <c r="L10" i="191"/>
  <c r="J10" i="191"/>
  <c r="H10" i="191"/>
  <c r="F10" i="191"/>
  <c r="D10" i="191"/>
  <c r="X9" i="191"/>
  <c r="V9" i="191"/>
  <c r="T9" i="191"/>
  <c r="R9" i="191"/>
  <c r="P9" i="191"/>
  <c r="N9" i="191"/>
  <c r="L9" i="191"/>
  <c r="J9" i="191"/>
  <c r="H9" i="191"/>
  <c r="F9" i="191"/>
  <c r="D9" i="191"/>
  <c r="X8" i="191"/>
  <c r="V8" i="191"/>
  <c r="T8" i="191"/>
  <c r="R8" i="191"/>
  <c r="P8" i="191"/>
  <c r="N8" i="191"/>
  <c r="L8" i="191"/>
  <c r="J8" i="191"/>
  <c r="H8" i="191"/>
  <c r="F8" i="191"/>
  <c r="D8" i="191"/>
  <c r="X7" i="191"/>
  <c r="V7" i="191"/>
  <c r="T7" i="191"/>
  <c r="R7" i="191"/>
  <c r="P7" i="191"/>
  <c r="N7" i="191"/>
  <c r="L7" i="191"/>
  <c r="J7" i="191"/>
  <c r="H7" i="191"/>
  <c r="F7" i="191"/>
  <c r="D7" i="191"/>
  <c r="X6" i="191"/>
  <c r="X12" i="191" s="1"/>
  <c r="V6" i="191"/>
  <c r="V12" i="191" s="1"/>
  <c r="T6" i="191"/>
  <c r="R6" i="191"/>
  <c r="R12" i="191" s="1"/>
  <c r="P6" i="191"/>
  <c r="P12" i="191" s="1"/>
  <c r="N6" i="191"/>
  <c r="N12" i="191" s="1"/>
  <c r="L6" i="191"/>
  <c r="L12" i="191" s="1"/>
  <c r="J6" i="191"/>
  <c r="H6" i="191"/>
  <c r="F6" i="191"/>
  <c r="F12" i="191" s="1"/>
  <c r="D6" i="191"/>
  <c r="Y10" i="191" l="1"/>
  <c r="T12" i="191"/>
  <c r="Y11" i="191"/>
  <c r="Y9" i="191"/>
  <c r="H12" i="191"/>
  <c r="Y8" i="191"/>
  <c r="J12" i="191"/>
  <c r="D12" i="191"/>
  <c r="Y7" i="191"/>
  <c r="B21" i="191"/>
  <c r="Y6" i="191"/>
  <c r="Y12" i="191" l="1"/>
  <c r="V16" i="191" s="1"/>
  <c r="V24" i="191" s="1"/>
  <c r="V25" i="190" l="1"/>
  <c r="F22" i="190"/>
  <c r="S19" i="190"/>
  <c r="S20" i="190" s="1"/>
  <c r="Q19" i="190"/>
  <c r="Q20" i="190" s="1"/>
  <c r="N19" i="190"/>
  <c r="N20" i="190" s="1"/>
  <c r="L19" i="190"/>
  <c r="L20" i="190" s="1"/>
  <c r="J19" i="190"/>
  <c r="J20" i="190" s="1"/>
  <c r="H19" i="190"/>
  <c r="H20" i="190" s="1"/>
  <c r="W12" i="190"/>
  <c r="K18" i="190" s="1"/>
  <c r="K19" i="190" s="1"/>
  <c r="K20" i="190" s="1"/>
  <c r="U12" i="190"/>
  <c r="I18" i="190" s="1"/>
  <c r="I19" i="190" s="1"/>
  <c r="I20" i="190" s="1"/>
  <c r="S12" i="190"/>
  <c r="Q12" i="190"/>
  <c r="O18" i="190" s="1"/>
  <c r="O19" i="190" s="1"/>
  <c r="O20" i="190" s="1"/>
  <c r="O12" i="190"/>
  <c r="P18" i="190" s="1"/>
  <c r="P19" i="190" s="1"/>
  <c r="P20" i="190" s="1"/>
  <c r="M12" i="190"/>
  <c r="M18" i="190" s="1"/>
  <c r="M19" i="190" s="1"/>
  <c r="M20" i="190" s="1"/>
  <c r="K12" i="190"/>
  <c r="G18" i="190" s="1"/>
  <c r="G19" i="190" s="1"/>
  <c r="G20" i="190" s="1"/>
  <c r="I12" i="190"/>
  <c r="F18" i="190" s="1"/>
  <c r="F19" i="190" s="1"/>
  <c r="F20" i="190" s="1"/>
  <c r="G12" i="190"/>
  <c r="E18" i="190" s="1"/>
  <c r="E19" i="190" s="1"/>
  <c r="E20" i="190" s="1"/>
  <c r="E12" i="190"/>
  <c r="D18" i="190" s="1"/>
  <c r="D19" i="190" s="1"/>
  <c r="D20" i="190" s="1"/>
  <c r="C12" i="190"/>
  <c r="B18" i="190" s="1"/>
  <c r="B19" i="190" s="1"/>
  <c r="B20" i="190" s="1"/>
  <c r="X11" i="190"/>
  <c r="V11" i="190"/>
  <c r="T11" i="190"/>
  <c r="R11" i="190"/>
  <c r="P11" i="190"/>
  <c r="N11" i="190"/>
  <c r="L11" i="190"/>
  <c r="J11" i="190"/>
  <c r="H11" i="190"/>
  <c r="F11" i="190"/>
  <c r="D11" i="190"/>
  <c r="Y11" i="190" s="1"/>
  <c r="X10" i="190"/>
  <c r="V10" i="190"/>
  <c r="T10" i="190"/>
  <c r="R10" i="190"/>
  <c r="P10" i="190"/>
  <c r="N10" i="190"/>
  <c r="L10" i="190"/>
  <c r="J10" i="190"/>
  <c r="H10" i="190"/>
  <c r="F10" i="190"/>
  <c r="D10" i="190"/>
  <c r="Y10" i="190" s="1"/>
  <c r="X9" i="190"/>
  <c r="V9" i="190"/>
  <c r="T9" i="190"/>
  <c r="R9" i="190"/>
  <c r="P9" i="190"/>
  <c r="N9" i="190"/>
  <c r="L9" i="190"/>
  <c r="J9" i="190"/>
  <c r="H9" i="190"/>
  <c r="F9" i="190"/>
  <c r="D9" i="190"/>
  <c r="X8" i="190"/>
  <c r="V8" i="190"/>
  <c r="T8" i="190"/>
  <c r="R8" i="190"/>
  <c r="P8" i="190"/>
  <c r="N8" i="190"/>
  <c r="L8" i="190"/>
  <c r="J8" i="190"/>
  <c r="H8" i="190"/>
  <c r="F8" i="190"/>
  <c r="D8" i="190"/>
  <c r="X7" i="190"/>
  <c r="V7" i="190"/>
  <c r="T7" i="190"/>
  <c r="R7" i="190"/>
  <c r="P7" i="190"/>
  <c r="N7" i="190"/>
  <c r="L7" i="190"/>
  <c r="J7" i="190"/>
  <c r="H7" i="190"/>
  <c r="F7" i="190"/>
  <c r="D7" i="190"/>
  <c r="X6" i="190"/>
  <c r="X12" i="190" s="1"/>
  <c r="V6" i="190"/>
  <c r="V12" i="190" s="1"/>
  <c r="T6" i="190"/>
  <c r="R6" i="190"/>
  <c r="R12" i="190" s="1"/>
  <c r="P6" i="190"/>
  <c r="P12" i="190" s="1"/>
  <c r="N6" i="190"/>
  <c r="N12" i="190" s="1"/>
  <c r="L6" i="190"/>
  <c r="J6" i="190"/>
  <c r="H6" i="190"/>
  <c r="H12" i="190" s="1"/>
  <c r="F6" i="190"/>
  <c r="F12" i="190" s="1"/>
  <c r="D6" i="190"/>
  <c r="V25" i="189"/>
  <c r="F22" i="189"/>
  <c r="S19" i="189"/>
  <c r="S20" i="189" s="1"/>
  <c r="Q19" i="189"/>
  <c r="Q20" i="189" s="1"/>
  <c r="N19" i="189"/>
  <c r="N20" i="189" s="1"/>
  <c r="L19" i="189"/>
  <c r="L20" i="189" s="1"/>
  <c r="J19" i="189"/>
  <c r="J20" i="189" s="1"/>
  <c r="I19" i="189"/>
  <c r="I20" i="189" s="1"/>
  <c r="H19" i="189"/>
  <c r="H20" i="189" s="1"/>
  <c r="O18" i="189"/>
  <c r="O19" i="189" s="1"/>
  <c r="O20" i="189" s="1"/>
  <c r="I18" i="189"/>
  <c r="D18" i="189"/>
  <c r="D19" i="189" s="1"/>
  <c r="D20" i="189" s="1"/>
  <c r="X12" i="189"/>
  <c r="W12" i="189"/>
  <c r="K18" i="189" s="1"/>
  <c r="K19" i="189" s="1"/>
  <c r="K20" i="189" s="1"/>
  <c r="U12" i="189"/>
  <c r="S12" i="189"/>
  <c r="Q12" i="189"/>
  <c r="P12" i="189"/>
  <c r="O12" i="189"/>
  <c r="P18" i="189" s="1"/>
  <c r="P19" i="189" s="1"/>
  <c r="P20" i="189" s="1"/>
  <c r="M12" i="189"/>
  <c r="M18" i="189" s="1"/>
  <c r="M19" i="189" s="1"/>
  <c r="M20" i="189" s="1"/>
  <c r="K12" i="189"/>
  <c r="G18" i="189" s="1"/>
  <c r="G19" i="189" s="1"/>
  <c r="G20" i="189" s="1"/>
  <c r="I12" i="189"/>
  <c r="F18" i="189" s="1"/>
  <c r="F19" i="189" s="1"/>
  <c r="F20" i="189" s="1"/>
  <c r="H12" i="189"/>
  <c r="G12" i="189"/>
  <c r="E18" i="189" s="1"/>
  <c r="E19" i="189" s="1"/>
  <c r="E20" i="189" s="1"/>
  <c r="E12" i="189"/>
  <c r="C12" i="189"/>
  <c r="B18" i="189" s="1"/>
  <c r="B19" i="189" s="1"/>
  <c r="B20" i="189" s="1"/>
  <c r="X11" i="189"/>
  <c r="V11" i="189"/>
  <c r="T11" i="189"/>
  <c r="R11" i="189"/>
  <c r="P11" i="189"/>
  <c r="N11" i="189"/>
  <c r="L11" i="189"/>
  <c r="J11" i="189"/>
  <c r="H11" i="189"/>
  <c r="F11" i="189"/>
  <c r="D11" i="189"/>
  <c r="Y11" i="189" s="1"/>
  <c r="X10" i="189"/>
  <c r="V10" i="189"/>
  <c r="T10" i="189"/>
  <c r="R10" i="189"/>
  <c r="P10" i="189"/>
  <c r="N10" i="189"/>
  <c r="L10" i="189"/>
  <c r="J10" i="189"/>
  <c r="H10" i="189"/>
  <c r="F10" i="189"/>
  <c r="D10" i="189"/>
  <c r="Y10" i="189" s="1"/>
  <c r="X9" i="189"/>
  <c r="V9" i="189"/>
  <c r="T9" i="189"/>
  <c r="R9" i="189"/>
  <c r="P9" i="189"/>
  <c r="N9" i="189"/>
  <c r="L9" i="189"/>
  <c r="J9" i="189"/>
  <c r="H9" i="189"/>
  <c r="F9" i="189"/>
  <c r="D9" i="189"/>
  <c r="X8" i="189"/>
  <c r="V8" i="189"/>
  <c r="T8" i="189"/>
  <c r="R8" i="189"/>
  <c r="P8" i="189"/>
  <c r="N8" i="189"/>
  <c r="L8" i="189"/>
  <c r="J8" i="189"/>
  <c r="H8" i="189"/>
  <c r="F8" i="189"/>
  <c r="D8" i="189"/>
  <c r="X7" i="189"/>
  <c r="V7" i="189"/>
  <c r="T7" i="189"/>
  <c r="R7" i="189"/>
  <c r="P7" i="189"/>
  <c r="N7" i="189"/>
  <c r="L7" i="189"/>
  <c r="J7" i="189"/>
  <c r="H7" i="189"/>
  <c r="F7" i="189"/>
  <c r="D7" i="189"/>
  <c r="X6" i="189"/>
  <c r="V6" i="189"/>
  <c r="V12" i="189" s="1"/>
  <c r="T6" i="189"/>
  <c r="R6" i="189"/>
  <c r="R12" i="189" s="1"/>
  <c r="P6" i="189"/>
  <c r="N6" i="189"/>
  <c r="N12" i="189" s="1"/>
  <c r="L6" i="189"/>
  <c r="L12" i="189" s="1"/>
  <c r="J6" i="189"/>
  <c r="H6" i="189"/>
  <c r="F6" i="189"/>
  <c r="D6" i="189"/>
  <c r="P7" i="188"/>
  <c r="P8" i="188"/>
  <c r="P9" i="188"/>
  <c r="P10" i="188"/>
  <c r="P11" i="188"/>
  <c r="P6" i="188"/>
  <c r="Y9" i="190" l="1"/>
  <c r="T12" i="190"/>
  <c r="L12" i="190"/>
  <c r="Y8" i="190"/>
  <c r="Y7" i="190"/>
  <c r="J12" i="190"/>
  <c r="D12" i="190"/>
  <c r="B21" i="190"/>
  <c r="Y6" i="190"/>
  <c r="T12" i="189"/>
  <c r="Y6" i="189"/>
  <c r="Y9" i="189"/>
  <c r="Y8" i="189"/>
  <c r="J12" i="189"/>
  <c r="F12" i="189"/>
  <c r="Y7" i="189"/>
  <c r="B21" i="189"/>
  <c r="D12" i="189"/>
  <c r="V25" i="188"/>
  <c r="F22" i="188"/>
  <c r="S19" i="188"/>
  <c r="S20" i="188" s="1"/>
  <c r="Q19" i="188"/>
  <c r="Q20" i="188" s="1"/>
  <c r="N19" i="188"/>
  <c r="N20" i="188" s="1"/>
  <c r="L19" i="188"/>
  <c r="L20" i="188" s="1"/>
  <c r="J19" i="188"/>
  <c r="J20" i="188" s="1"/>
  <c r="I19" i="188"/>
  <c r="I20" i="188" s="1"/>
  <c r="H19" i="188"/>
  <c r="H20" i="188" s="1"/>
  <c r="O18" i="188"/>
  <c r="O19" i="188" s="1"/>
  <c r="O20" i="188" s="1"/>
  <c r="M18" i="188"/>
  <c r="M19" i="188" s="1"/>
  <c r="M20" i="188" s="1"/>
  <c r="I18" i="188"/>
  <c r="D18" i="188"/>
  <c r="D19" i="188" s="1"/>
  <c r="D20" i="188" s="1"/>
  <c r="X12" i="188"/>
  <c r="W12" i="188"/>
  <c r="K18" i="188" s="1"/>
  <c r="K19" i="188" s="1"/>
  <c r="K20" i="188" s="1"/>
  <c r="V12" i="188"/>
  <c r="U12" i="188"/>
  <c r="S12" i="188"/>
  <c r="Q12" i="188"/>
  <c r="P12" i="188"/>
  <c r="O12" i="188"/>
  <c r="P18" i="188" s="1"/>
  <c r="P19" i="188" s="1"/>
  <c r="P20" i="188" s="1"/>
  <c r="N12" i="188"/>
  <c r="M12" i="188"/>
  <c r="K12" i="188"/>
  <c r="G18" i="188" s="1"/>
  <c r="G19" i="188" s="1"/>
  <c r="G20" i="188" s="1"/>
  <c r="I12" i="188"/>
  <c r="F18" i="188" s="1"/>
  <c r="F19" i="188" s="1"/>
  <c r="F20" i="188" s="1"/>
  <c r="G12" i="188"/>
  <c r="E18" i="188" s="1"/>
  <c r="E19" i="188" s="1"/>
  <c r="E20" i="188" s="1"/>
  <c r="E12" i="188"/>
  <c r="C12" i="188"/>
  <c r="B18" i="188" s="1"/>
  <c r="B19" i="188" s="1"/>
  <c r="B20" i="188" s="1"/>
  <c r="X11" i="188"/>
  <c r="V11" i="188"/>
  <c r="T11" i="188"/>
  <c r="R11" i="188"/>
  <c r="N11" i="188"/>
  <c r="L11" i="188"/>
  <c r="J11" i="188"/>
  <c r="Y11" i="188" s="1"/>
  <c r="H11" i="188"/>
  <c r="F11" i="188"/>
  <c r="D11" i="188"/>
  <c r="X10" i="188"/>
  <c r="V10" i="188"/>
  <c r="T10" i="188"/>
  <c r="R10" i="188"/>
  <c r="N10" i="188"/>
  <c r="L10" i="188"/>
  <c r="J10" i="188"/>
  <c r="Y10" i="188" s="1"/>
  <c r="H10" i="188"/>
  <c r="F10" i="188"/>
  <c r="D10" i="188"/>
  <c r="X9" i="188"/>
  <c r="V9" i="188"/>
  <c r="T9" i="188"/>
  <c r="R9" i="188"/>
  <c r="N9" i="188"/>
  <c r="L9" i="188"/>
  <c r="J9" i="188"/>
  <c r="H9" i="188"/>
  <c r="F9" i="188"/>
  <c r="D9" i="188"/>
  <c r="X8" i="188"/>
  <c r="V8" i="188"/>
  <c r="T8" i="188"/>
  <c r="R8" i="188"/>
  <c r="N8" i="188"/>
  <c r="L8" i="188"/>
  <c r="J8" i="188"/>
  <c r="H8" i="188"/>
  <c r="F8" i="188"/>
  <c r="D8" i="188"/>
  <c r="X7" i="188"/>
  <c r="V7" i="188"/>
  <c r="T7" i="188"/>
  <c r="R7" i="188"/>
  <c r="N7" i="188"/>
  <c r="L7" i="188"/>
  <c r="J7" i="188"/>
  <c r="H7" i="188"/>
  <c r="F7" i="188"/>
  <c r="F12" i="188" s="1"/>
  <c r="D7" i="188"/>
  <c r="X6" i="188"/>
  <c r="V6" i="188"/>
  <c r="T6" i="188"/>
  <c r="T12" i="188" s="1"/>
  <c r="R6" i="188"/>
  <c r="R12" i="188" s="1"/>
  <c r="N6" i="188"/>
  <c r="L6" i="188"/>
  <c r="J6" i="188"/>
  <c r="H6" i="188"/>
  <c r="H12" i="188" s="1"/>
  <c r="F6" i="188"/>
  <c r="D6" i="188"/>
  <c r="Y12" i="190" l="1"/>
  <c r="V16" i="190" s="1"/>
  <c r="V24" i="190" s="1"/>
  <c r="Y12" i="189"/>
  <c r="V16" i="189" s="1"/>
  <c r="V24" i="189" s="1"/>
  <c r="Y9" i="188"/>
  <c r="Y7" i="188"/>
  <c r="L12" i="188"/>
  <c r="J12" i="188"/>
  <c r="D12" i="188"/>
  <c r="Y8" i="188"/>
  <c r="B21" i="188"/>
  <c r="Y6" i="188"/>
  <c r="Y12" i="188" l="1"/>
  <c r="V16" i="188" s="1"/>
  <c r="V24" i="188" s="1"/>
  <c r="V25" i="187" l="1"/>
  <c r="F22" i="187"/>
  <c r="S19" i="187"/>
  <c r="S20" i="187" s="1"/>
  <c r="Q19" i="187"/>
  <c r="Q20" i="187" s="1"/>
  <c r="N19" i="187"/>
  <c r="N20" i="187" s="1"/>
  <c r="L19" i="187"/>
  <c r="L20" i="187" s="1"/>
  <c r="J19" i="187"/>
  <c r="J20" i="187" s="1"/>
  <c r="H19" i="187"/>
  <c r="H20" i="187" s="1"/>
  <c r="P18" i="187"/>
  <c r="P19" i="187" s="1"/>
  <c r="P20" i="187" s="1"/>
  <c r="K18" i="187"/>
  <c r="K19" i="187" s="1"/>
  <c r="K20" i="187" s="1"/>
  <c r="E18" i="187"/>
  <c r="E19" i="187" s="1"/>
  <c r="E20" i="187" s="1"/>
  <c r="W12" i="187"/>
  <c r="U12" i="187"/>
  <c r="I18" i="187" s="1"/>
  <c r="I19" i="187" s="1"/>
  <c r="I20" i="187" s="1"/>
  <c r="T12" i="187"/>
  <c r="S12" i="187"/>
  <c r="Q12" i="187"/>
  <c r="O18" i="187" s="1"/>
  <c r="O19" i="187" s="1"/>
  <c r="O20" i="187" s="1"/>
  <c r="O12" i="187"/>
  <c r="M12" i="187"/>
  <c r="M18" i="187" s="1"/>
  <c r="M19" i="187" s="1"/>
  <c r="M20" i="187" s="1"/>
  <c r="K12" i="187"/>
  <c r="G18" i="187" s="1"/>
  <c r="G19" i="187" s="1"/>
  <c r="G20" i="187" s="1"/>
  <c r="I12" i="187"/>
  <c r="F18" i="187" s="1"/>
  <c r="F19" i="187" s="1"/>
  <c r="F20" i="187" s="1"/>
  <c r="G12" i="187"/>
  <c r="E12" i="187"/>
  <c r="D18" i="187" s="1"/>
  <c r="D19" i="187" s="1"/>
  <c r="D20" i="187" s="1"/>
  <c r="C12" i="187"/>
  <c r="B18" i="187" s="1"/>
  <c r="B19" i="187" s="1"/>
  <c r="B20" i="187" s="1"/>
  <c r="X11" i="187"/>
  <c r="V11" i="187"/>
  <c r="T11" i="187"/>
  <c r="R11" i="187"/>
  <c r="P11" i="187"/>
  <c r="N11" i="187"/>
  <c r="L11" i="187"/>
  <c r="J11" i="187"/>
  <c r="H11" i="187"/>
  <c r="F11" i="187"/>
  <c r="D11" i="187"/>
  <c r="X10" i="187"/>
  <c r="V10" i="187"/>
  <c r="T10" i="187"/>
  <c r="R10" i="187"/>
  <c r="P10" i="187"/>
  <c r="N10" i="187"/>
  <c r="L10" i="187"/>
  <c r="J10" i="187"/>
  <c r="H10" i="187"/>
  <c r="F10" i="187"/>
  <c r="Y10" i="187" s="1"/>
  <c r="D10" i="187"/>
  <c r="X9" i="187"/>
  <c r="V9" i="187"/>
  <c r="T9" i="187"/>
  <c r="R9" i="187"/>
  <c r="P9" i="187"/>
  <c r="N9" i="187"/>
  <c r="L9" i="187"/>
  <c r="J9" i="187"/>
  <c r="H9" i="187"/>
  <c r="F9" i="187"/>
  <c r="D9" i="187"/>
  <c r="X8" i="187"/>
  <c r="V8" i="187"/>
  <c r="T8" i="187"/>
  <c r="R8" i="187"/>
  <c r="P8" i="187"/>
  <c r="N8" i="187"/>
  <c r="L8" i="187"/>
  <c r="J8" i="187"/>
  <c r="H8" i="187"/>
  <c r="F8" i="187"/>
  <c r="D8" i="187"/>
  <c r="X7" i="187"/>
  <c r="V7" i="187"/>
  <c r="T7" i="187"/>
  <c r="R7" i="187"/>
  <c r="P7" i="187"/>
  <c r="N7" i="187"/>
  <c r="L7" i="187"/>
  <c r="J7" i="187"/>
  <c r="H7" i="187"/>
  <c r="F7" i="187"/>
  <c r="D7" i="187"/>
  <c r="X6" i="187"/>
  <c r="X12" i="187" s="1"/>
  <c r="V6" i="187"/>
  <c r="V12" i="187" s="1"/>
  <c r="T6" i="187"/>
  <c r="R6" i="187"/>
  <c r="R12" i="187" s="1"/>
  <c r="P6" i="187"/>
  <c r="P12" i="187" s="1"/>
  <c r="N6" i="187"/>
  <c r="N12" i="187" s="1"/>
  <c r="L6" i="187"/>
  <c r="J6" i="187"/>
  <c r="H6" i="187"/>
  <c r="H12" i="187" s="1"/>
  <c r="F6" i="187"/>
  <c r="F12" i="187" s="1"/>
  <c r="D6" i="187"/>
  <c r="V25" i="186"/>
  <c r="F22" i="186"/>
  <c r="S19" i="186"/>
  <c r="S20" i="186" s="1"/>
  <c r="Q19" i="186"/>
  <c r="Q20" i="186" s="1"/>
  <c r="N19" i="186"/>
  <c r="N20" i="186" s="1"/>
  <c r="L19" i="186"/>
  <c r="L20" i="186" s="1"/>
  <c r="J19" i="186"/>
  <c r="J20" i="186" s="1"/>
  <c r="H19" i="186"/>
  <c r="H20" i="186" s="1"/>
  <c r="K18" i="186"/>
  <c r="K19" i="186" s="1"/>
  <c r="K20" i="186" s="1"/>
  <c r="E18" i="186"/>
  <c r="E19" i="186" s="1"/>
  <c r="E20" i="186" s="1"/>
  <c r="W12" i="186"/>
  <c r="U12" i="186"/>
  <c r="I18" i="186" s="1"/>
  <c r="I19" i="186" s="1"/>
  <c r="I20" i="186" s="1"/>
  <c r="S12" i="186"/>
  <c r="Q12" i="186"/>
  <c r="O18" i="186" s="1"/>
  <c r="O19" i="186" s="1"/>
  <c r="O20" i="186" s="1"/>
  <c r="O12" i="186"/>
  <c r="P18" i="186" s="1"/>
  <c r="P19" i="186" s="1"/>
  <c r="P20" i="186" s="1"/>
  <c r="M12" i="186"/>
  <c r="M18" i="186" s="1"/>
  <c r="M19" i="186" s="1"/>
  <c r="M20" i="186" s="1"/>
  <c r="K12" i="186"/>
  <c r="G18" i="186" s="1"/>
  <c r="G19" i="186" s="1"/>
  <c r="G20" i="186" s="1"/>
  <c r="I12" i="186"/>
  <c r="F18" i="186" s="1"/>
  <c r="F19" i="186" s="1"/>
  <c r="F20" i="186" s="1"/>
  <c r="G12" i="186"/>
  <c r="E12" i="186"/>
  <c r="D18" i="186" s="1"/>
  <c r="D19" i="186" s="1"/>
  <c r="D20" i="186" s="1"/>
  <c r="C12" i="186"/>
  <c r="B18" i="186" s="1"/>
  <c r="B19" i="186" s="1"/>
  <c r="B20" i="186" s="1"/>
  <c r="X11" i="186"/>
  <c r="V11" i="186"/>
  <c r="T11" i="186"/>
  <c r="R11" i="186"/>
  <c r="P11" i="186"/>
  <c r="N11" i="186"/>
  <c r="L11" i="186"/>
  <c r="J11" i="186"/>
  <c r="H11" i="186"/>
  <c r="F11" i="186"/>
  <c r="D11" i="186"/>
  <c r="Y11" i="186" s="1"/>
  <c r="X10" i="186"/>
  <c r="V10" i="186"/>
  <c r="T10" i="186"/>
  <c r="R10" i="186"/>
  <c r="P10" i="186"/>
  <c r="N10" i="186"/>
  <c r="L10" i="186"/>
  <c r="J10" i="186"/>
  <c r="H10" i="186"/>
  <c r="F10" i="186"/>
  <c r="D10" i="186"/>
  <c r="Y10" i="186" s="1"/>
  <c r="X9" i="186"/>
  <c r="V9" i="186"/>
  <c r="T9" i="186"/>
  <c r="R9" i="186"/>
  <c r="P9" i="186"/>
  <c r="N9" i="186"/>
  <c r="L9" i="186"/>
  <c r="J9" i="186"/>
  <c r="H9" i="186"/>
  <c r="F9" i="186"/>
  <c r="D9" i="186"/>
  <c r="Y9" i="186" s="1"/>
  <c r="X8" i="186"/>
  <c r="V8" i="186"/>
  <c r="T8" i="186"/>
  <c r="R8" i="186"/>
  <c r="P8" i="186"/>
  <c r="N8" i="186"/>
  <c r="L8" i="186"/>
  <c r="J8" i="186"/>
  <c r="H8" i="186"/>
  <c r="F8" i="186"/>
  <c r="D8" i="186"/>
  <c r="Y8" i="186" s="1"/>
  <c r="X7" i="186"/>
  <c r="V7" i="186"/>
  <c r="T7" i="186"/>
  <c r="R7" i="186"/>
  <c r="P7" i="186"/>
  <c r="N7" i="186"/>
  <c r="L7" i="186"/>
  <c r="J7" i="186"/>
  <c r="H7" i="186"/>
  <c r="F7" i="186"/>
  <c r="D7" i="186"/>
  <c r="Y7" i="186" s="1"/>
  <c r="X6" i="186"/>
  <c r="X12" i="186" s="1"/>
  <c r="V6" i="186"/>
  <c r="V12" i="186" s="1"/>
  <c r="T6" i="186"/>
  <c r="T12" i="186" s="1"/>
  <c r="R6" i="186"/>
  <c r="R12" i="186" s="1"/>
  <c r="P6" i="186"/>
  <c r="P12" i="186" s="1"/>
  <c r="N6" i="186"/>
  <c r="N12" i="186" s="1"/>
  <c r="L6" i="186"/>
  <c r="L12" i="186" s="1"/>
  <c r="J6" i="186"/>
  <c r="J12" i="186" s="1"/>
  <c r="H6" i="186"/>
  <c r="H12" i="186" s="1"/>
  <c r="F6" i="186"/>
  <c r="F12" i="186" s="1"/>
  <c r="D6" i="186"/>
  <c r="V25" i="185"/>
  <c r="F22" i="185"/>
  <c r="S19" i="185"/>
  <c r="S20" i="185" s="1"/>
  <c r="Q19" i="185"/>
  <c r="Q20" i="185" s="1"/>
  <c r="N19" i="185"/>
  <c r="N20" i="185" s="1"/>
  <c r="L19" i="185"/>
  <c r="L20" i="185" s="1"/>
  <c r="J19" i="185"/>
  <c r="J20" i="185" s="1"/>
  <c r="H19" i="185"/>
  <c r="H20" i="185" s="1"/>
  <c r="D19" i="185"/>
  <c r="D20" i="185" s="1"/>
  <c r="O18" i="185"/>
  <c r="O19" i="185" s="1"/>
  <c r="O20" i="185" s="1"/>
  <c r="M18" i="185"/>
  <c r="M19" i="185" s="1"/>
  <c r="M20" i="185" s="1"/>
  <c r="I18" i="185"/>
  <c r="I19" i="185" s="1"/>
  <c r="I20" i="185" s="1"/>
  <c r="F18" i="185"/>
  <c r="F19" i="185" s="1"/>
  <c r="F20" i="185" s="1"/>
  <c r="D18" i="185"/>
  <c r="W12" i="185"/>
  <c r="K18" i="185" s="1"/>
  <c r="K19" i="185" s="1"/>
  <c r="K20" i="185" s="1"/>
  <c r="V12" i="185"/>
  <c r="U12" i="185"/>
  <c r="S12" i="185"/>
  <c r="Q12" i="185"/>
  <c r="O12" i="185"/>
  <c r="P18" i="185" s="1"/>
  <c r="P19" i="185" s="1"/>
  <c r="P20" i="185" s="1"/>
  <c r="N12" i="185"/>
  <c r="M12" i="185"/>
  <c r="K12" i="185"/>
  <c r="G18" i="185" s="1"/>
  <c r="G19" i="185" s="1"/>
  <c r="G20" i="185" s="1"/>
  <c r="I12" i="185"/>
  <c r="G12" i="185"/>
  <c r="E18" i="185" s="1"/>
  <c r="E19" i="185" s="1"/>
  <c r="E20" i="185" s="1"/>
  <c r="F12" i="185"/>
  <c r="E12" i="185"/>
  <c r="C12" i="185"/>
  <c r="B18" i="185" s="1"/>
  <c r="B19" i="185" s="1"/>
  <c r="B20" i="185" s="1"/>
  <c r="X11" i="185"/>
  <c r="V11" i="185"/>
  <c r="T11" i="185"/>
  <c r="R11" i="185"/>
  <c r="P11" i="185"/>
  <c r="N11" i="185"/>
  <c r="L11" i="185"/>
  <c r="J11" i="185"/>
  <c r="Y11" i="185" s="1"/>
  <c r="H11" i="185"/>
  <c r="F11" i="185"/>
  <c r="D11" i="185"/>
  <c r="X10" i="185"/>
  <c r="V10" i="185"/>
  <c r="T10" i="185"/>
  <c r="R10" i="185"/>
  <c r="P10" i="185"/>
  <c r="N10" i="185"/>
  <c r="L10" i="185"/>
  <c r="J10" i="185"/>
  <c r="H10" i="185"/>
  <c r="F10" i="185"/>
  <c r="D10" i="185"/>
  <c r="X9" i="185"/>
  <c r="V9" i="185"/>
  <c r="T9" i="185"/>
  <c r="R9" i="185"/>
  <c r="P9" i="185"/>
  <c r="N9" i="185"/>
  <c r="L9" i="185"/>
  <c r="J9" i="185"/>
  <c r="Y9" i="185" s="1"/>
  <c r="H9" i="185"/>
  <c r="F9" i="185"/>
  <c r="D9" i="185"/>
  <c r="X8" i="185"/>
  <c r="V8" i="185"/>
  <c r="T8" i="185"/>
  <c r="R8" i="185"/>
  <c r="P8" i="185"/>
  <c r="N8" i="185"/>
  <c r="L8" i="185"/>
  <c r="J8" i="185"/>
  <c r="H8" i="185"/>
  <c r="F8" i="185"/>
  <c r="D8" i="185"/>
  <c r="X7" i="185"/>
  <c r="V7" i="185"/>
  <c r="T7" i="185"/>
  <c r="R7" i="185"/>
  <c r="P7" i="185"/>
  <c r="N7" i="185"/>
  <c r="L7" i="185"/>
  <c r="J7" i="185"/>
  <c r="Y7" i="185" s="1"/>
  <c r="H7" i="185"/>
  <c r="F7" i="185"/>
  <c r="D7" i="185"/>
  <c r="X6" i="185"/>
  <c r="X12" i="185" s="1"/>
  <c r="V6" i="185"/>
  <c r="T6" i="185"/>
  <c r="T12" i="185" s="1"/>
  <c r="R6" i="185"/>
  <c r="R12" i="185" s="1"/>
  <c r="P6" i="185"/>
  <c r="N6" i="185"/>
  <c r="L6" i="185"/>
  <c r="L12" i="185" s="1"/>
  <c r="J6" i="185"/>
  <c r="H6" i="185"/>
  <c r="H12" i="185" s="1"/>
  <c r="F6" i="185"/>
  <c r="D6" i="185"/>
  <c r="Y11" i="187" l="1"/>
  <c r="D12" i="187"/>
  <c r="L12" i="187"/>
  <c r="Y8" i="187"/>
  <c r="J12" i="187"/>
  <c r="Y7" i="187"/>
  <c r="Y9" i="187"/>
  <c r="B21" i="187"/>
  <c r="Y6" i="187"/>
  <c r="D12" i="186"/>
  <c r="B21" i="186"/>
  <c r="Y12" i="186"/>
  <c r="V16" i="186" s="1"/>
  <c r="V24" i="186" s="1"/>
  <c r="Y6" i="186"/>
  <c r="D12" i="185"/>
  <c r="Y10" i="185"/>
  <c r="Y8" i="185"/>
  <c r="P12" i="185"/>
  <c r="Y12" i="185"/>
  <c r="V16" i="185" s="1"/>
  <c r="V24" i="185" s="1"/>
  <c r="J12" i="185"/>
  <c r="B21" i="185"/>
  <c r="Y6" i="185"/>
  <c r="Y12" i="187" l="1"/>
  <c r="V16" i="187" s="1"/>
  <c r="V24" i="187" s="1"/>
  <c r="V25" i="184"/>
  <c r="F22" i="184"/>
  <c r="S19" i="184"/>
  <c r="S20" i="184" s="1"/>
  <c r="Q19" i="184"/>
  <c r="Q20" i="184" s="1"/>
  <c r="N19" i="184"/>
  <c r="N20" i="184" s="1"/>
  <c r="L19" i="184"/>
  <c r="L20" i="184" s="1"/>
  <c r="J19" i="184"/>
  <c r="J20" i="184" s="1"/>
  <c r="H19" i="184"/>
  <c r="H20" i="184" s="1"/>
  <c r="K18" i="184"/>
  <c r="K19" i="184" s="1"/>
  <c r="K20" i="184" s="1"/>
  <c r="E18" i="184"/>
  <c r="E19" i="184" s="1"/>
  <c r="E20" i="184" s="1"/>
  <c r="W12" i="184"/>
  <c r="V12" i="184"/>
  <c r="U12" i="184"/>
  <c r="I18" i="184" s="1"/>
  <c r="I19" i="184" s="1"/>
  <c r="I20" i="184" s="1"/>
  <c r="S12" i="184"/>
  <c r="Q12" i="184"/>
  <c r="O18" i="184" s="1"/>
  <c r="O19" i="184" s="1"/>
  <c r="O20" i="184" s="1"/>
  <c r="O12" i="184"/>
  <c r="P18" i="184" s="1"/>
  <c r="P19" i="184" s="1"/>
  <c r="P20" i="184" s="1"/>
  <c r="N12" i="184"/>
  <c r="M12" i="184"/>
  <c r="M18" i="184" s="1"/>
  <c r="M19" i="184" s="1"/>
  <c r="M20" i="184" s="1"/>
  <c r="K12" i="184"/>
  <c r="G18" i="184" s="1"/>
  <c r="G19" i="184" s="1"/>
  <c r="G20" i="184" s="1"/>
  <c r="I12" i="184"/>
  <c r="F18" i="184" s="1"/>
  <c r="F19" i="184" s="1"/>
  <c r="F20" i="184" s="1"/>
  <c r="G12" i="184"/>
  <c r="F12" i="184"/>
  <c r="E12" i="184"/>
  <c r="D18" i="184" s="1"/>
  <c r="D19" i="184" s="1"/>
  <c r="D20" i="184" s="1"/>
  <c r="C12" i="184"/>
  <c r="B18" i="184" s="1"/>
  <c r="B19" i="184" s="1"/>
  <c r="B20" i="184" s="1"/>
  <c r="X11" i="184"/>
  <c r="V11" i="184"/>
  <c r="T11" i="184"/>
  <c r="R11" i="184"/>
  <c r="P11" i="184"/>
  <c r="N11" i="184"/>
  <c r="L11" i="184"/>
  <c r="J11" i="184"/>
  <c r="H11" i="184"/>
  <c r="Y11" i="184" s="1"/>
  <c r="F11" i="184"/>
  <c r="D11" i="184"/>
  <c r="X10" i="184"/>
  <c r="V10" i="184"/>
  <c r="T10" i="184"/>
  <c r="R10" i="184"/>
  <c r="P10" i="184"/>
  <c r="N10" i="184"/>
  <c r="L10" i="184"/>
  <c r="J10" i="184"/>
  <c r="H10" i="184"/>
  <c r="F10" i="184"/>
  <c r="D10" i="184"/>
  <c r="X9" i="184"/>
  <c r="V9" i="184"/>
  <c r="T9" i="184"/>
  <c r="R9" i="184"/>
  <c r="P9" i="184"/>
  <c r="N9" i="184"/>
  <c r="L9" i="184"/>
  <c r="J9" i="184"/>
  <c r="H9" i="184"/>
  <c r="F9" i="184"/>
  <c r="D9" i="184"/>
  <c r="X8" i="184"/>
  <c r="V8" i="184"/>
  <c r="T8" i="184"/>
  <c r="R8" i="184"/>
  <c r="P8" i="184"/>
  <c r="N8" i="184"/>
  <c r="L8" i="184"/>
  <c r="J8" i="184"/>
  <c r="H8" i="184"/>
  <c r="F8" i="184"/>
  <c r="D8" i="184"/>
  <c r="X7" i="184"/>
  <c r="V7" i="184"/>
  <c r="T7" i="184"/>
  <c r="R7" i="184"/>
  <c r="P7" i="184"/>
  <c r="N7" i="184"/>
  <c r="L7" i="184"/>
  <c r="J7" i="184"/>
  <c r="H7" i="184"/>
  <c r="F7" i="184"/>
  <c r="D7" i="184"/>
  <c r="X6" i="184"/>
  <c r="X12" i="184" s="1"/>
  <c r="V6" i="184"/>
  <c r="T6" i="184"/>
  <c r="T12" i="184" s="1"/>
  <c r="R6" i="184"/>
  <c r="R12" i="184" s="1"/>
  <c r="P6" i="184"/>
  <c r="N6" i="184"/>
  <c r="L6" i="184"/>
  <c r="J6" i="184"/>
  <c r="H6" i="184"/>
  <c r="H12" i="184" s="1"/>
  <c r="F6" i="184"/>
  <c r="D6" i="184"/>
  <c r="P18" i="183"/>
  <c r="Y9" i="184" l="1"/>
  <c r="Y10" i="184"/>
  <c r="P12" i="184"/>
  <c r="L12" i="184"/>
  <c r="J12" i="184"/>
  <c r="D12" i="184"/>
  <c r="Y8" i="184"/>
  <c r="Y7" i="184"/>
  <c r="B21" i="184"/>
  <c r="Y6" i="184"/>
  <c r="Y12" i="184" l="1"/>
  <c r="V16" i="184" s="1"/>
  <c r="V24" i="184" s="1"/>
  <c r="P7" i="183"/>
  <c r="P8" i="183"/>
  <c r="P9" i="183"/>
  <c r="P10" i="183"/>
  <c r="P11" i="183"/>
  <c r="P6" i="183"/>
  <c r="V25" i="183"/>
  <c r="F22" i="183"/>
  <c r="S19" i="183"/>
  <c r="S20" i="183" s="1"/>
  <c r="Q19" i="183"/>
  <c r="Q20" i="183" s="1"/>
  <c r="P19" i="183"/>
  <c r="P20" i="183" s="1"/>
  <c r="L19" i="183"/>
  <c r="L20" i="183" s="1"/>
  <c r="J19" i="183"/>
  <c r="J20" i="183" s="1"/>
  <c r="H19" i="183"/>
  <c r="H20" i="183" s="1"/>
  <c r="K18" i="183"/>
  <c r="K19" i="183" s="1"/>
  <c r="K20" i="183" s="1"/>
  <c r="W12" i="183"/>
  <c r="U12" i="183"/>
  <c r="I18" i="183" s="1"/>
  <c r="I19" i="183" s="1"/>
  <c r="I20" i="183" s="1"/>
  <c r="S12" i="183"/>
  <c r="Q12" i="183"/>
  <c r="O18" i="183" s="1"/>
  <c r="O19" i="183" s="1"/>
  <c r="O20" i="183" s="1"/>
  <c r="O12" i="183"/>
  <c r="N19" i="183" s="1"/>
  <c r="N20" i="183" s="1"/>
  <c r="M12" i="183"/>
  <c r="M18" i="183" s="1"/>
  <c r="M19" i="183" s="1"/>
  <c r="M20" i="183" s="1"/>
  <c r="K12" i="183"/>
  <c r="G18" i="183" s="1"/>
  <c r="G19" i="183" s="1"/>
  <c r="G20" i="183" s="1"/>
  <c r="I12" i="183"/>
  <c r="F18" i="183" s="1"/>
  <c r="F19" i="183" s="1"/>
  <c r="F20" i="183" s="1"/>
  <c r="G12" i="183"/>
  <c r="E18" i="183" s="1"/>
  <c r="E19" i="183" s="1"/>
  <c r="E20" i="183" s="1"/>
  <c r="E12" i="183"/>
  <c r="D18" i="183" s="1"/>
  <c r="D19" i="183" s="1"/>
  <c r="D20" i="183" s="1"/>
  <c r="C12" i="183"/>
  <c r="B18" i="183" s="1"/>
  <c r="B19" i="183" s="1"/>
  <c r="B20" i="183" s="1"/>
  <c r="X11" i="183"/>
  <c r="V11" i="183"/>
  <c r="T11" i="183"/>
  <c r="R11" i="183"/>
  <c r="N11" i="183"/>
  <c r="L11" i="183"/>
  <c r="J11" i="183"/>
  <c r="H11" i="183"/>
  <c r="F11" i="183"/>
  <c r="D11" i="183"/>
  <c r="Y11" i="183" s="1"/>
  <c r="X10" i="183"/>
  <c r="V10" i="183"/>
  <c r="T10" i="183"/>
  <c r="R10" i="183"/>
  <c r="N10" i="183"/>
  <c r="L10" i="183"/>
  <c r="J10" i="183"/>
  <c r="H10" i="183"/>
  <c r="F10" i="183"/>
  <c r="D10" i="183"/>
  <c r="X9" i="183"/>
  <c r="V9" i="183"/>
  <c r="T9" i="183"/>
  <c r="R9" i="183"/>
  <c r="N9" i="183"/>
  <c r="L9" i="183"/>
  <c r="J9" i="183"/>
  <c r="H9" i="183"/>
  <c r="F9" i="183"/>
  <c r="D9" i="183"/>
  <c r="X8" i="183"/>
  <c r="V8" i="183"/>
  <c r="T8" i="183"/>
  <c r="R8" i="183"/>
  <c r="N8" i="183"/>
  <c r="L8" i="183"/>
  <c r="J8" i="183"/>
  <c r="H8" i="183"/>
  <c r="F8" i="183"/>
  <c r="D8" i="183"/>
  <c r="X7" i="183"/>
  <c r="V7" i="183"/>
  <c r="T7" i="183"/>
  <c r="R7" i="183"/>
  <c r="N7" i="183"/>
  <c r="L7" i="183"/>
  <c r="J7" i="183"/>
  <c r="H7" i="183"/>
  <c r="F7" i="183"/>
  <c r="D7" i="183"/>
  <c r="Y7" i="183" s="1"/>
  <c r="X6" i="183"/>
  <c r="X12" i="183" s="1"/>
  <c r="V6" i="183"/>
  <c r="V12" i="183" s="1"/>
  <c r="T6" i="183"/>
  <c r="T12" i="183" s="1"/>
  <c r="R6" i="183"/>
  <c r="R12" i="183" s="1"/>
  <c r="N6" i="183"/>
  <c r="N12" i="183" s="1"/>
  <c r="L6" i="183"/>
  <c r="L12" i="183" s="1"/>
  <c r="J6" i="183"/>
  <c r="J12" i="183" s="1"/>
  <c r="H6" i="183"/>
  <c r="H12" i="183" s="1"/>
  <c r="F6" i="183"/>
  <c r="F12" i="183" s="1"/>
  <c r="D6" i="183"/>
  <c r="V25" i="182"/>
  <c r="F22" i="182"/>
  <c r="S19" i="182"/>
  <c r="S20" i="182" s="1"/>
  <c r="Q19" i="182"/>
  <c r="Q20" i="182" s="1"/>
  <c r="P19" i="182"/>
  <c r="P20" i="182" s="1"/>
  <c r="L19" i="182"/>
  <c r="L20" i="182" s="1"/>
  <c r="J19" i="182"/>
  <c r="J20" i="182" s="1"/>
  <c r="H19" i="182"/>
  <c r="H20" i="182" s="1"/>
  <c r="K18" i="182"/>
  <c r="K19" i="182" s="1"/>
  <c r="K20" i="182" s="1"/>
  <c r="E18" i="182"/>
  <c r="E19" i="182" s="1"/>
  <c r="E20" i="182" s="1"/>
  <c r="W12" i="182"/>
  <c r="U12" i="182"/>
  <c r="I18" i="182" s="1"/>
  <c r="I19" i="182" s="1"/>
  <c r="I20" i="182" s="1"/>
  <c r="S12" i="182"/>
  <c r="Q12" i="182"/>
  <c r="O18" i="182" s="1"/>
  <c r="O19" i="182" s="1"/>
  <c r="O20" i="182" s="1"/>
  <c r="O12" i="182"/>
  <c r="N18" i="182" s="1"/>
  <c r="N19" i="182" s="1"/>
  <c r="N20" i="182" s="1"/>
  <c r="M12" i="182"/>
  <c r="M18" i="182" s="1"/>
  <c r="M19" i="182" s="1"/>
  <c r="M20" i="182" s="1"/>
  <c r="K12" i="182"/>
  <c r="G18" i="182" s="1"/>
  <c r="G19" i="182" s="1"/>
  <c r="G20" i="182" s="1"/>
  <c r="I12" i="182"/>
  <c r="F18" i="182" s="1"/>
  <c r="F19" i="182" s="1"/>
  <c r="F20" i="182" s="1"/>
  <c r="G12" i="182"/>
  <c r="E12" i="182"/>
  <c r="D18" i="182" s="1"/>
  <c r="D19" i="182" s="1"/>
  <c r="D20" i="182" s="1"/>
  <c r="C12" i="182"/>
  <c r="B18" i="182" s="1"/>
  <c r="B19" i="182" s="1"/>
  <c r="B20" i="182" s="1"/>
  <c r="X11" i="182"/>
  <c r="V11" i="182"/>
  <c r="T11" i="182"/>
  <c r="R11" i="182"/>
  <c r="P11" i="182"/>
  <c r="N11" i="182"/>
  <c r="L11" i="182"/>
  <c r="J11" i="182"/>
  <c r="H11" i="182"/>
  <c r="F11" i="182"/>
  <c r="D11" i="182"/>
  <c r="Y11" i="182" s="1"/>
  <c r="X10" i="182"/>
  <c r="V10" i="182"/>
  <c r="T10" i="182"/>
  <c r="R10" i="182"/>
  <c r="P10" i="182"/>
  <c r="N10" i="182"/>
  <c r="L10" i="182"/>
  <c r="J10" i="182"/>
  <c r="H10" i="182"/>
  <c r="F10" i="182"/>
  <c r="D10" i="182"/>
  <c r="Y10" i="182" s="1"/>
  <c r="X9" i="182"/>
  <c r="V9" i="182"/>
  <c r="T9" i="182"/>
  <c r="R9" i="182"/>
  <c r="P9" i="182"/>
  <c r="N9" i="182"/>
  <c r="L9" i="182"/>
  <c r="J9" i="182"/>
  <c r="H9" i="182"/>
  <c r="F9" i="182"/>
  <c r="D9" i="182"/>
  <c r="Y9" i="182" s="1"/>
  <c r="X8" i="182"/>
  <c r="V8" i="182"/>
  <c r="T8" i="182"/>
  <c r="R8" i="182"/>
  <c r="P8" i="182"/>
  <c r="N8" i="182"/>
  <c r="L8" i="182"/>
  <c r="J8" i="182"/>
  <c r="H8" i="182"/>
  <c r="F8" i="182"/>
  <c r="D8" i="182"/>
  <c r="Y8" i="182" s="1"/>
  <c r="X7" i="182"/>
  <c r="V7" i="182"/>
  <c r="T7" i="182"/>
  <c r="R7" i="182"/>
  <c r="P7" i="182"/>
  <c r="N7" i="182"/>
  <c r="L7" i="182"/>
  <c r="J7" i="182"/>
  <c r="H7" i="182"/>
  <c r="F7" i="182"/>
  <c r="D7" i="182"/>
  <c r="Y7" i="182" s="1"/>
  <c r="X6" i="182"/>
  <c r="X12" i="182" s="1"/>
  <c r="V6" i="182"/>
  <c r="V12" i="182" s="1"/>
  <c r="T6" i="182"/>
  <c r="T12" i="182" s="1"/>
  <c r="R6" i="182"/>
  <c r="R12" i="182" s="1"/>
  <c r="P6" i="182"/>
  <c r="P12" i="182" s="1"/>
  <c r="N6" i="182"/>
  <c r="N12" i="182" s="1"/>
  <c r="L6" i="182"/>
  <c r="L12" i="182" s="1"/>
  <c r="J6" i="182"/>
  <c r="J12" i="182" s="1"/>
  <c r="H6" i="182"/>
  <c r="H12" i="182" s="1"/>
  <c r="F6" i="182"/>
  <c r="F12" i="182" s="1"/>
  <c r="D6" i="182"/>
  <c r="Y8" i="183" l="1"/>
  <c r="Y10" i="183"/>
  <c r="P12" i="183"/>
  <c r="Y9" i="183"/>
  <c r="D12" i="183"/>
  <c r="B21" i="183"/>
  <c r="Y6" i="183"/>
  <c r="D12" i="182"/>
  <c r="Y12" i="182" s="1"/>
  <c r="V16" i="182" s="1"/>
  <c r="V24" i="182" s="1"/>
  <c r="B21" i="182"/>
  <c r="Y6" i="182"/>
  <c r="Y12" i="183" l="1"/>
  <c r="V16" i="183" s="1"/>
  <c r="V24" i="183" s="1"/>
  <c r="V25" i="181"/>
  <c r="F22" i="181"/>
  <c r="S19" i="181"/>
  <c r="S20" i="181" s="1"/>
  <c r="Q19" i="181"/>
  <c r="Q20" i="181" s="1"/>
  <c r="P19" i="181"/>
  <c r="P20" i="181" s="1"/>
  <c r="L19" i="181"/>
  <c r="L20" i="181" s="1"/>
  <c r="J19" i="181"/>
  <c r="J20" i="181" s="1"/>
  <c r="H19" i="181"/>
  <c r="H20" i="181" s="1"/>
  <c r="K18" i="181"/>
  <c r="K19" i="181" s="1"/>
  <c r="K20" i="181" s="1"/>
  <c r="E18" i="181"/>
  <c r="E19" i="181" s="1"/>
  <c r="E20" i="181" s="1"/>
  <c r="W12" i="181"/>
  <c r="V12" i="181"/>
  <c r="U12" i="181"/>
  <c r="I18" i="181" s="1"/>
  <c r="I19" i="181" s="1"/>
  <c r="I20" i="181" s="1"/>
  <c r="S12" i="181"/>
  <c r="Q12" i="181"/>
  <c r="O18" i="181" s="1"/>
  <c r="O19" i="181" s="1"/>
  <c r="O20" i="181" s="1"/>
  <c r="O12" i="181"/>
  <c r="N18" i="181" s="1"/>
  <c r="N19" i="181" s="1"/>
  <c r="N20" i="181" s="1"/>
  <c r="N12" i="181"/>
  <c r="M12" i="181"/>
  <c r="M18" i="181" s="1"/>
  <c r="M19" i="181" s="1"/>
  <c r="M20" i="181" s="1"/>
  <c r="K12" i="181"/>
  <c r="G18" i="181" s="1"/>
  <c r="G19" i="181" s="1"/>
  <c r="G20" i="181" s="1"/>
  <c r="I12" i="181"/>
  <c r="F18" i="181" s="1"/>
  <c r="F19" i="181" s="1"/>
  <c r="F20" i="181" s="1"/>
  <c r="G12" i="181"/>
  <c r="F12" i="181"/>
  <c r="E12" i="181"/>
  <c r="D18" i="181" s="1"/>
  <c r="D19" i="181" s="1"/>
  <c r="D20" i="181" s="1"/>
  <c r="C12" i="181"/>
  <c r="B18" i="181" s="1"/>
  <c r="B19" i="181" s="1"/>
  <c r="B20" i="181" s="1"/>
  <c r="X11" i="181"/>
  <c r="V11" i="181"/>
  <c r="T11" i="181"/>
  <c r="R11" i="181"/>
  <c r="P11" i="181"/>
  <c r="N11" i="181"/>
  <c r="L11" i="181"/>
  <c r="J11" i="181"/>
  <c r="H11" i="181"/>
  <c r="Y11" i="181" s="1"/>
  <c r="F11" i="181"/>
  <c r="D11" i="181"/>
  <c r="X10" i="181"/>
  <c r="V10" i="181"/>
  <c r="T10" i="181"/>
  <c r="R10" i="181"/>
  <c r="P10" i="181"/>
  <c r="N10" i="181"/>
  <c r="L10" i="181"/>
  <c r="J10" i="181"/>
  <c r="H10" i="181"/>
  <c r="Y10" i="181" s="1"/>
  <c r="F10" i="181"/>
  <c r="D10" i="181"/>
  <c r="X9" i="181"/>
  <c r="V9" i="181"/>
  <c r="T9" i="181"/>
  <c r="R9" i="181"/>
  <c r="P9" i="181"/>
  <c r="N9" i="181"/>
  <c r="L9" i="181"/>
  <c r="J9" i="181"/>
  <c r="H9" i="181"/>
  <c r="F9" i="181"/>
  <c r="D9" i="181"/>
  <c r="X8" i="181"/>
  <c r="V8" i="181"/>
  <c r="T8" i="181"/>
  <c r="R8" i="181"/>
  <c r="P8" i="181"/>
  <c r="N8" i="181"/>
  <c r="L8" i="181"/>
  <c r="J8" i="181"/>
  <c r="H8" i="181"/>
  <c r="Y8" i="181" s="1"/>
  <c r="F8" i="181"/>
  <c r="D8" i="181"/>
  <c r="X7" i="181"/>
  <c r="V7" i="181"/>
  <c r="T7" i="181"/>
  <c r="R7" i="181"/>
  <c r="P7" i="181"/>
  <c r="N7" i="181"/>
  <c r="L7" i="181"/>
  <c r="J7" i="181"/>
  <c r="H7" i="181"/>
  <c r="F7" i="181"/>
  <c r="D7" i="181"/>
  <c r="X6" i="181"/>
  <c r="X12" i="181" s="1"/>
  <c r="V6" i="181"/>
  <c r="T6" i="181"/>
  <c r="T12" i="181" s="1"/>
  <c r="R6" i="181"/>
  <c r="R12" i="181" s="1"/>
  <c r="P6" i="181"/>
  <c r="P12" i="181" s="1"/>
  <c r="N6" i="181"/>
  <c r="L6" i="181"/>
  <c r="L12" i="181" s="1"/>
  <c r="J6" i="181"/>
  <c r="H6" i="181"/>
  <c r="H12" i="181" s="1"/>
  <c r="F6" i="181"/>
  <c r="D6" i="181"/>
  <c r="D12" i="181" s="1"/>
  <c r="Y7" i="181" l="1"/>
  <c r="J12" i="181"/>
  <c r="Y12" i="181" s="1"/>
  <c r="V16" i="181" s="1"/>
  <c r="V24" i="181" s="1"/>
  <c r="Y9" i="181"/>
  <c r="B21" i="181"/>
  <c r="Y6" i="181"/>
  <c r="V25" i="180" l="1"/>
  <c r="F22" i="180"/>
  <c r="S19" i="180"/>
  <c r="S20" i="180" s="1"/>
  <c r="Q19" i="180"/>
  <c r="Q20" i="180" s="1"/>
  <c r="P19" i="180"/>
  <c r="P20" i="180" s="1"/>
  <c r="L19" i="180"/>
  <c r="L20" i="180" s="1"/>
  <c r="J19" i="180"/>
  <c r="J20" i="180" s="1"/>
  <c r="H19" i="180"/>
  <c r="H20" i="180" s="1"/>
  <c r="O18" i="180"/>
  <c r="O19" i="180" s="1"/>
  <c r="O20" i="180" s="1"/>
  <c r="K18" i="180"/>
  <c r="K19" i="180" s="1"/>
  <c r="K20" i="180" s="1"/>
  <c r="I18" i="180"/>
  <c r="I19" i="180" s="1"/>
  <c r="I20" i="180" s="1"/>
  <c r="W12" i="180"/>
  <c r="U12" i="180"/>
  <c r="T12" i="180"/>
  <c r="S12" i="180"/>
  <c r="Q12" i="180"/>
  <c r="O12" i="180"/>
  <c r="N18" i="180" s="1"/>
  <c r="N19" i="180" s="1"/>
  <c r="N20" i="180" s="1"/>
  <c r="M12" i="180"/>
  <c r="M18" i="180" s="1"/>
  <c r="M19" i="180" s="1"/>
  <c r="M20" i="180" s="1"/>
  <c r="K12" i="180"/>
  <c r="G18" i="180" s="1"/>
  <c r="G19" i="180" s="1"/>
  <c r="G20" i="180" s="1"/>
  <c r="I12" i="180"/>
  <c r="F18" i="180" s="1"/>
  <c r="F19" i="180" s="1"/>
  <c r="F20" i="180" s="1"/>
  <c r="G12" i="180"/>
  <c r="E18" i="180" s="1"/>
  <c r="E19" i="180" s="1"/>
  <c r="E20" i="180" s="1"/>
  <c r="E12" i="180"/>
  <c r="D18" i="180" s="1"/>
  <c r="D19" i="180" s="1"/>
  <c r="D20" i="180" s="1"/>
  <c r="C12" i="180"/>
  <c r="B18" i="180" s="1"/>
  <c r="B19" i="180" s="1"/>
  <c r="B20" i="180" s="1"/>
  <c r="X11" i="180"/>
  <c r="V11" i="180"/>
  <c r="T11" i="180"/>
  <c r="R11" i="180"/>
  <c r="P11" i="180"/>
  <c r="N11" i="180"/>
  <c r="L11" i="180"/>
  <c r="J11" i="180"/>
  <c r="H11" i="180"/>
  <c r="F11" i="180"/>
  <c r="D11" i="180"/>
  <c r="Y11" i="180" s="1"/>
  <c r="X10" i="180"/>
  <c r="V10" i="180"/>
  <c r="T10" i="180"/>
  <c r="R10" i="180"/>
  <c r="P10" i="180"/>
  <c r="N10" i="180"/>
  <c r="L10" i="180"/>
  <c r="J10" i="180"/>
  <c r="H10" i="180"/>
  <c r="F10" i="180"/>
  <c r="D10" i="180"/>
  <c r="Y10" i="180" s="1"/>
  <c r="X9" i="180"/>
  <c r="V9" i="180"/>
  <c r="T9" i="180"/>
  <c r="R9" i="180"/>
  <c r="P9" i="180"/>
  <c r="N9" i="180"/>
  <c r="L9" i="180"/>
  <c r="J9" i="180"/>
  <c r="H9" i="180"/>
  <c r="F9" i="180"/>
  <c r="D9" i="180"/>
  <c r="X8" i="180"/>
  <c r="V8" i="180"/>
  <c r="T8" i="180"/>
  <c r="R8" i="180"/>
  <c r="P8" i="180"/>
  <c r="N8" i="180"/>
  <c r="L8" i="180"/>
  <c r="J8" i="180"/>
  <c r="H8" i="180"/>
  <c r="F8" i="180"/>
  <c r="D8" i="180"/>
  <c r="X7" i="180"/>
  <c r="V7" i="180"/>
  <c r="T7" i="180"/>
  <c r="R7" i="180"/>
  <c r="P7" i="180"/>
  <c r="N7" i="180"/>
  <c r="L7" i="180"/>
  <c r="J7" i="180"/>
  <c r="H7" i="180"/>
  <c r="F7" i="180"/>
  <c r="D7" i="180"/>
  <c r="Y7" i="180" s="1"/>
  <c r="X6" i="180"/>
  <c r="X12" i="180" s="1"/>
  <c r="V6" i="180"/>
  <c r="V12" i="180" s="1"/>
  <c r="T6" i="180"/>
  <c r="R6" i="180"/>
  <c r="R12" i="180" s="1"/>
  <c r="P6" i="180"/>
  <c r="P12" i="180" s="1"/>
  <c r="N6" i="180"/>
  <c r="N12" i="180" s="1"/>
  <c r="L6" i="180"/>
  <c r="L12" i="180" s="1"/>
  <c r="J6" i="180"/>
  <c r="H6" i="180"/>
  <c r="F6" i="180"/>
  <c r="F12" i="180" s="1"/>
  <c r="D6" i="180"/>
  <c r="J12" i="180" l="1"/>
  <c r="Y6" i="180"/>
  <c r="Y9" i="180"/>
  <c r="H12" i="180"/>
  <c r="Y8" i="180"/>
  <c r="D12" i="180"/>
  <c r="Y12" i="180" s="1"/>
  <c r="V16" i="180" s="1"/>
  <c r="V24" i="180" s="1"/>
  <c r="B21" i="180"/>
  <c r="V25" i="179" l="1"/>
  <c r="F22" i="179"/>
  <c r="S19" i="179"/>
  <c r="S20" i="179" s="1"/>
  <c r="Q19" i="179"/>
  <c r="Q20" i="179" s="1"/>
  <c r="P19" i="179"/>
  <c r="P20" i="179" s="1"/>
  <c r="L19" i="179"/>
  <c r="L20" i="179" s="1"/>
  <c r="J19" i="179"/>
  <c r="J20" i="179" s="1"/>
  <c r="H19" i="179"/>
  <c r="H20" i="179" s="1"/>
  <c r="E18" i="179"/>
  <c r="E19" i="179" s="1"/>
  <c r="E20" i="179" s="1"/>
  <c r="W12" i="179"/>
  <c r="K18" i="179" s="1"/>
  <c r="K19" i="179" s="1"/>
  <c r="K20" i="179" s="1"/>
  <c r="V12" i="179"/>
  <c r="U12" i="179"/>
  <c r="I18" i="179" s="1"/>
  <c r="I19" i="179" s="1"/>
  <c r="I20" i="179" s="1"/>
  <c r="S12" i="179"/>
  <c r="Q12" i="179"/>
  <c r="O18" i="179" s="1"/>
  <c r="O19" i="179" s="1"/>
  <c r="O20" i="179" s="1"/>
  <c r="O12" i="179"/>
  <c r="N18" i="179" s="1"/>
  <c r="N19" i="179" s="1"/>
  <c r="N20" i="179" s="1"/>
  <c r="N12" i="179"/>
  <c r="M12" i="179"/>
  <c r="M18" i="179" s="1"/>
  <c r="M19" i="179" s="1"/>
  <c r="M20" i="179" s="1"/>
  <c r="K12" i="179"/>
  <c r="G18" i="179" s="1"/>
  <c r="G19" i="179" s="1"/>
  <c r="G20" i="179" s="1"/>
  <c r="I12" i="179"/>
  <c r="F18" i="179" s="1"/>
  <c r="F19" i="179" s="1"/>
  <c r="F20" i="179" s="1"/>
  <c r="G12" i="179"/>
  <c r="F12" i="179"/>
  <c r="E12" i="179"/>
  <c r="D18" i="179" s="1"/>
  <c r="D19" i="179" s="1"/>
  <c r="D20" i="179" s="1"/>
  <c r="C12" i="179"/>
  <c r="B18" i="179" s="1"/>
  <c r="B19" i="179" s="1"/>
  <c r="B20" i="179" s="1"/>
  <c r="X11" i="179"/>
  <c r="V11" i="179"/>
  <c r="T11" i="179"/>
  <c r="R11" i="179"/>
  <c r="P11" i="179"/>
  <c r="N11" i="179"/>
  <c r="L11" i="179"/>
  <c r="J11" i="179"/>
  <c r="H11" i="179"/>
  <c r="Y11" i="179" s="1"/>
  <c r="F11" i="179"/>
  <c r="D11" i="179"/>
  <c r="X10" i="179"/>
  <c r="V10" i="179"/>
  <c r="T10" i="179"/>
  <c r="R10" i="179"/>
  <c r="P10" i="179"/>
  <c r="N10" i="179"/>
  <c r="L10" i="179"/>
  <c r="J10" i="179"/>
  <c r="H10" i="179"/>
  <c r="Y10" i="179" s="1"/>
  <c r="F10" i="179"/>
  <c r="D10" i="179"/>
  <c r="X9" i="179"/>
  <c r="V9" i="179"/>
  <c r="T9" i="179"/>
  <c r="R9" i="179"/>
  <c r="P9" i="179"/>
  <c r="N9" i="179"/>
  <c r="L9" i="179"/>
  <c r="J9" i="179"/>
  <c r="H9" i="179"/>
  <c r="F9" i="179"/>
  <c r="D9" i="179"/>
  <c r="X8" i="179"/>
  <c r="V8" i="179"/>
  <c r="T8" i="179"/>
  <c r="R8" i="179"/>
  <c r="P8" i="179"/>
  <c r="N8" i="179"/>
  <c r="L8" i="179"/>
  <c r="J8" i="179"/>
  <c r="H8" i="179"/>
  <c r="F8" i="179"/>
  <c r="D8" i="179"/>
  <c r="X7" i="179"/>
  <c r="V7" i="179"/>
  <c r="T7" i="179"/>
  <c r="R7" i="179"/>
  <c r="P7" i="179"/>
  <c r="N7" i="179"/>
  <c r="L7" i="179"/>
  <c r="J7" i="179"/>
  <c r="H7" i="179"/>
  <c r="F7" i="179"/>
  <c r="D7" i="179"/>
  <c r="X6" i="179"/>
  <c r="X12" i="179" s="1"/>
  <c r="V6" i="179"/>
  <c r="T6" i="179"/>
  <c r="T12" i="179" s="1"/>
  <c r="R6" i="179"/>
  <c r="R12" i="179" s="1"/>
  <c r="P6" i="179"/>
  <c r="P12" i="179" s="1"/>
  <c r="N6" i="179"/>
  <c r="L6" i="179"/>
  <c r="L12" i="179" s="1"/>
  <c r="J6" i="179"/>
  <c r="H6" i="179"/>
  <c r="F6" i="179"/>
  <c r="D6" i="179"/>
  <c r="Y9" i="179" l="1"/>
  <c r="H12" i="179"/>
  <c r="J12" i="179"/>
  <c r="D12" i="179"/>
  <c r="Y12" i="179" s="1"/>
  <c r="V16" i="179" s="1"/>
  <c r="V24" i="179" s="1"/>
  <c r="Y8" i="179"/>
  <c r="Y7" i="179"/>
  <c r="B21" i="179"/>
  <c r="Y6" i="179"/>
  <c r="D8" i="178" l="1"/>
  <c r="V25" i="178" l="1"/>
  <c r="F22" i="178"/>
  <c r="S19" i="178"/>
  <c r="S20" i="178" s="1"/>
  <c r="Q19" i="178"/>
  <c r="Q20" i="178" s="1"/>
  <c r="P19" i="178"/>
  <c r="P20" i="178" s="1"/>
  <c r="L19" i="178"/>
  <c r="L20" i="178" s="1"/>
  <c r="J19" i="178"/>
  <c r="J20" i="178" s="1"/>
  <c r="H19" i="178"/>
  <c r="H20" i="178" s="1"/>
  <c r="W12" i="178"/>
  <c r="K18" i="178" s="1"/>
  <c r="K19" i="178" s="1"/>
  <c r="K20" i="178" s="1"/>
  <c r="U12" i="178"/>
  <c r="I18" i="178" s="1"/>
  <c r="I19" i="178" s="1"/>
  <c r="I20" i="178" s="1"/>
  <c r="S12" i="178"/>
  <c r="Q12" i="178"/>
  <c r="O18" i="178" s="1"/>
  <c r="O19" i="178" s="1"/>
  <c r="O20" i="178" s="1"/>
  <c r="O12" i="178"/>
  <c r="N18" i="178" s="1"/>
  <c r="N19" i="178" s="1"/>
  <c r="N20" i="178" s="1"/>
  <c r="M12" i="178"/>
  <c r="M18" i="178" s="1"/>
  <c r="M19" i="178" s="1"/>
  <c r="M20" i="178" s="1"/>
  <c r="K12" i="178"/>
  <c r="G18" i="178" s="1"/>
  <c r="G19" i="178" s="1"/>
  <c r="G20" i="178" s="1"/>
  <c r="I12" i="178"/>
  <c r="F18" i="178" s="1"/>
  <c r="F19" i="178" s="1"/>
  <c r="F20" i="178" s="1"/>
  <c r="G12" i="178"/>
  <c r="E18" i="178" s="1"/>
  <c r="E19" i="178" s="1"/>
  <c r="E20" i="178" s="1"/>
  <c r="E12" i="178"/>
  <c r="D18" i="178" s="1"/>
  <c r="D19" i="178" s="1"/>
  <c r="D20" i="178" s="1"/>
  <c r="C12" i="178"/>
  <c r="B18" i="178" s="1"/>
  <c r="B19" i="178" s="1"/>
  <c r="B20" i="178" s="1"/>
  <c r="X11" i="178"/>
  <c r="V11" i="178"/>
  <c r="T11" i="178"/>
  <c r="R11" i="178"/>
  <c r="P11" i="178"/>
  <c r="N11" i="178"/>
  <c r="L11" i="178"/>
  <c r="J11" i="178"/>
  <c r="H11" i="178"/>
  <c r="F11" i="178"/>
  <c r="D11" i="178"/>
  <c r="Y11" i="178" s="1"/>
  <c r="X10" i="178"/>
  <c r="V10" i="178"/>
  <c r="T10" i="178"/>
  <c r="R10" i="178"/>
  <c r="P10" i="178"/>
  <c r="N10" i="178"/>
  <c r="L10" i="178"/>
  <c r="J10" i="178"/>
  <c r="H10" i="178"/>
  <c r="F10" i="178"/>
  <c r="D10" i="178"/>
  <c r="Y10" i="178" s="1"/>
  <c r="X9" i="178"/>
  <c r="V9" i="178"/>
  <c r="T9" i="178"/>
  <c r="R9" i="178"/>
  <c r="P9" i="178"/>
  <c r="N9" i="178"/>
  <c r="L9" i="178"/>
  <c r="J9" i="178"/>
  <c r="H9" i="178"/>
  <c r="F9" i="178"/>
  <c r="D9" i="178"/>
  <c r="X8" i="178"/>
  <c r="V8" i="178"/>
  <c r="T8" i="178"/>
  <c r="R8" i="178"/>
  <c r="P8" i="178"/>
  <c r="N8" i="178"/>
  <c r="L8" i="178"/>
  <c r="J8" i="178"/>
  <c r="H8" i="178"/>
  <c r="F8" i="178"/>
  <c r="X7" i="178"/>
  <c r="V7" i="178"/>
  <c r="T7" i="178"/>
  <c r="R7" i="178"/>
  <c r="P7" i="178"/>
  <c r="N7" i="178"/>
  <c r="L7" i="178"/>
  <c r="J7" i="178"/>
  <c r="H7" i="178"/>
  <c r="F7" i="178"/>
  <c r="D7" i="178"/>
  <c r="X6" i="178"/>
  <c r="X12" i="178" s="1"/>
  <c r="V6" i="178"/>
  <c r="V12" i="178" s="1"/>
  <c r="T6" i="178"/>
  <c r="R6" i="178"/>
  <c r="R12" i="178" s="1"/>
  <c r="P6" i="178"/>
  <c r="P12" i="178" s="1"/>
  <c r="N6" i="178"/>
  <c r="N12" i="178" s="1"/>
  <c r="L6" i="178"/>
  <c r="L12" i="178" s="1"/>
  <c r="J6" i="178"/>
  <c r="H6" i="178"/>
  <c r="F6" i="178"/>
  <c r="D6" i="178"/>
  <c r="V25" i="177"/>
  <c r="F22" i="177"/>
  <c r="S19" i="177"/>
  <c r="S20" i="177" s="1"/>
  <c r="Q19" i="177"/>
  <c r="Q20" i="177" s="1"/>
  <c r="P19" i="177"/>
  <c r="P20" i="177" s="1"/>
  <c r="L19" i="177"/>
  <c r="L20" i="177" s="1"/>
  <c r="J19" i="177"/>
  <c r="J20" i="177" s="1"/>
  <c r="H19" i="177"/>
  <c r="H20" i="177" s="1"/>
  <c r="W12" i="177"/>
  <c r="K18" i="177" s="1"/>
  <c r="K19" i="177" s="1"/>
  <c r="K20" i="177" s="1"/>
  <c r="U12" i="177"/>
  <c r="I18" i="177" s="1"/>
  <c r="I19" i="177" s="1"/>
  <c r="I20" i="177" s="1"/>
  <c r="S12" i="177"/>
  <c r="Q12" i="177"/>
  <c r="O18" i="177" s="1"/>
  <c r="O19" i="177" s="1"/>
  <c r="O20" i="177" s="1"/>
  <c r="O12" i="177"/>
  <c r="N18" i="177" s="1"/>
  <c r="N19" i="177" s="1"/>
  <c r="N20" i="177" s="1"/>
  <c r="M12" i="177"/>
  <c r="M18" i="177" s="1"/>
  <c r="M19" i="177" s="1"/>
  <c r="M20" i="177" s="1"/>
  <c r="K12" i="177"/>
  <c r="G18" i="177" s="1"/>
  <c r="G19" i="177" s="1"/>
  <c r="G20" i="177" s="1"/>
  <c r="I12" i="177"/>
  <c r="F18" i="177" s="1"/>
  <c r="F19" i="177" s="1"/>
  <c r="F20" i="177" s="1"/>
  <c r="G12" i="177"/>
  <c r="E18" i="177" s="1"/>
  <c r="E19" i="177" s="1"/>
  <c r="E20" i="177" s="1"/>
  <c r="E12" i="177"/>
  <c r="D18" i="177" s="1"/>
  <c r="D19" i="177" s="1"/>
  <c r="D20" i="177" s="1"/>
  <c r="C12" i="177"/>
  <c r="B18" i="177" s="1"/>
  <c r="B19" i="177" s="1"/>
  <c r="B20" i="177" s="1"/>
  <c r="X11" i="177"/>
  <c r="V11" i="177"/>
  <c r="T11" i="177"/>
  <c r="R11" i="177"/>
  <c r="P11" i="177"/>
  <c r="N11" i="177"/>
  <c r="L11" i="177"/>
  <c r="J11" i="177"/>
  <c r="H11" i="177"/>
  <c r="F11" i="177"/>
  <c r="D11" i="177"/>
  <c r="Y11" i="177" s="1"/>
  <c r="X10" i="177"/>
  <c r="V10" i="177"/>
  <c r="T10" i="177"/>
  <c r="R10" i="177"/>
  <c r="P10" i="177"/>
  <c r="N10" i="177"/>
  <c r="L10" i="177"/>
  <c r="J10" i="177"/>
  <c r="H10" i="177"/>
  <c r="F10" i="177"/>
  <c r="D10" i="177"/>
  <c r="Y10" i="177" s="1"/>
  <c r="X9" i="177"/>
  <c r="V9" i="177"/>
  <c r="T9" i="177"/>
  <c r="R9" i="177"/>
  <c r="P9" i="177"/>
  <c r="N9" i="177"/>
  <c r="L9" i="177"/>
  <c r="J9" i="177"/>
  <c r="H9" i="177"/>
  <c r="F9" i="177"/>
  <c r="D9" i="177"/>
  <c r="X8" i="177"/>
  <c r="V8" i="177"/>
  <c r="T8" i="177"/>
  <c r="R8" i="177"/>
  <c r="P8" i="177"/>
  <c r="N8" i="177"/>
  <c r="L8" i="177"/>
  <c r="J8" i="177"/>
  <c r="H8" i="177"/>
  <c r="F8" i="177"/>
  <c r="D8" i="177"/>
  <c r="X7" i="177"/>
  <c r="V7" i="177"/>
  <c r="T7" i="177"/>
  <c r="R7" i="177"/>
  <c r="P7" i="177"/>
  <c r="N7" i="177"/>
  <c r="L7" i="177"/>
  <c r="J7" i="177"/>
  <c r="H7" i="177"/>
  <c r="F7" i="177"/>
  <c r="D7" i="177"/>
  <c r="X6" i="177"/>
  <c r="X12" i="177" s="1"/>
  <c r="V6" i="177"/>
  <c r="V12" i="177" s="1"/>
  <c r="T6" i="177"/>
  <c r="R6" i="177"/>
  <c r="R12" i="177" s="1"/>
  <c r="P6" i="177"/>
  <c r="P12" i="177" s="1"/>
  <c r="N6" i="177"/>
  <c r="N12" i="177" s="1"/>
  <c r="L6" i="177"/>
  <c r="L12" i="177" s="1"/>
  <c r="J6" i="177"/>
  <c r="H6" i="177"/>
  <c r="F6" i="177"/>
  <c r="D6" i="177"/>
  <c r="T12" i="178" l="1"/>
  <c r="J12" i="178"/>
  <c r="Y7" i="178"/>
  <c r="Y9" i="178"/>
  <c r="H12" i="178"/>
  <c r="F12" i="178"/>
  <c r="Y8" i="178"/>
  <c r="D12" i="178"/>
  <c r="Y12" i="178" s="1"/>
  <c r="V16" i="178" s="1"/>
  <c r="V24" i="178" s="1"/>
  <c r="B21" i="178"/>
  <c r="Y6" i="178"/>
  <c r="Y9" i="177"/>
  <c r="F12" i="177"/>
  <c r="T12" i="177"/>
  <c r="Y8" i="177"/>
  <c r="J12" i="177"/>
  <c r="H12" i="177"/>
  <c r="Y7" i="177"/>
  <c r="D12" i="177"/>
  <c r="B21" i="177"/>
  <c r="Y6" i="177"/>
  <c r="V25" i="176"/>
  <c r="F22" i="176"/>
  <c r="S19" i="176"/>
  <c r="S20" i="176" s="1"/>
  <c r="Q19" i="176"/>
  <c r="Q20" i="176" s="1"/>
  <c r="P19" i="176"/>
  <c r="P20" i="176" s="1"/>
  <c r="L19" i="176"/>
  <c r="L20" i="176" s="1"/>
  <c r="J19" i="176"/>
  <c r="J20" i="176" s="1"/>
  <c r="H19" i="176"/>
  <c r="H20" i="176" s="1"/>
  <c r="O18" i="176"/>
  <c r="O19" i="176" s="1"/>
  <c r="O20" i="176" s="1"/>
  <c r="K18" i="176"/>
  <c r="K19" i="176" s="1"/>
  <c r="K20" i="176" s="1"/>
  <c r="I18" i="176"/>
  <c r="I19" i="176" s="1"/>
  <c r="I20" i="176" s="1"/>
  <c r="X12" i="176"/>
  <c r="W12" i="176"/>
  <c r="U12" i="176"/>
  <c r="S12" i="176"/>
  <c r="Q12" i="176"/>
  <c r="P12" i="176"/>
  <c r="O12" i="176"/>
  <c r="N18" i="176" s="1"/>
  <c r="N19" i="176" s="1"/>
  <c r="N20" i="176" s="1"/>
  <c r="M12" i="176"/>
  <c r="M18" i="176" s="1"/>
  <c r="M19" i="176" s="1"/>
  <c r="M20" i="176" s="1"/>
  <c r="L12" i="176"/>
  <c r="K12" i="176"/>
  <c r="G18" i="176" s="1"/>
  <c r="G19" i="176" s="1"/>
  <c r="G20" i="176" s="1"/>
  <c r="I12" i="176"/>
  <c r="F18" i="176" s="1"/>
  <c r="F19" i="176" s="1"/>
  <c r="F20" i="176" s="1"/>
  <c r="G12" i="176"/>
  <c r="E18" i="176" s="1"/>
  <c r="E19" i="176" s="1"/>
  <c r="E20" i="176" s="1"/>
  <c r="E12" i="176"/>
  <c r="D18" i="176" s="1"/>
  <c r="D19" i="176" s="1"/>
  <c r="D20" i="176" s="1"/>
  <c r="C12" i="176"/>
  <c r="B18" i="176" s="1"/>
  <c r="B19" i="176" s="1"/>
  <c r="B20" i="176" s="1"/>
  <c r="X11" i="176"/>
  <c r="V11" i="176"/>
  <c r="T11" i="176"/>
  <c r="R11" i="176"/>
  <c r="P11" i="176"/>
  <c r="N11" i="176"/>
  <c r="L11" i="176"/>
  <c r="J11" i="176"/>
  <c r="H11" i="176"/>
  <c r="F11" i="176"/>
  <c r="D11" i="176"/>
  <c r="Y11" i="176" s="1"/>
  <c r="X10" i="176"/>
  <c r="V10" i="176"/>
  <c r="T10" i="176"/>
  <c r="R10" i="176"/>
  <c r="P10" i="176"/>
  <c r="N10" i="176"/>
  <c r="L10" i="176"/>
  <c r="J10" i="176"/>
  <c r="H10" i="176"/>
  <c r="F10" i="176"/>
  <c r="D10" i="176"/>
  <c r="Y10" i="176" s="1"/>
  <c r="X9" i="176"/>
  <c r="V9" i="176"/>
  <c r="T9" i="176"/>
  <c r="R9" i="176"/>
  <c r="P9" i="176"/>
  <c r="N9" i="176"/>
  <c r="L9" i="176"/>
  <c r="J9" i="176"/>
  <c r="H9" i="176"/>
  <c r="F9" i="176"/>
  <c r="D9" i="176"/>
  <c r="Y9" i="176" s="1"/>
  <c r="X8" i="176"/>
  <c r="V8" i="176"/>
  <c r="T8" i="176"/>
  <c r="R8" i="176"/>
  <c r="P8" i="176"/>
  <c r="N8" i="176"/>
  <c r="L8" i="176"/>
  <c r="J8" i="176"/>
  <c r="H8" i="176"/>
  <c r="F8" i="176"/>
  <c r="D8" i="176"/>
  <c r="X7" i="176"/>
  <c r="V7" i="176"/>
  <c r="T7" i="176"/>
  <c r="R7" i="176"/>
  <c r="P7" i="176"/>
  <c r="N7" i="176"/>
  <c r="L7" i="176"/>
  <c r="J7" i="176"/>
  <c r="H7" i="176"/>
  <c r="F7" i="176"/>
  <c r="D7" i="176"/>
  <c r="X6" i="176"/>
  <c r="V6" i="176"/>
  <c r="V12" i="176" s="1"/>
  <c r="T6" i="176"/>
  <c r="R6" i="176"/>
  <c r="R12" i="176" s="1"/>
  <c r="P6" i="176"/>
  <c r="N6" i="176"/>
  <c r="N12" i="176" s="1"/>
  <c r="L6" i="176"/>
  <c r="J6" i="176"/>
  <c r="H6" i="176"/>
  <c r="F6" i="176"/>
  <c r="D6" i="176"/>
  <c r="Y12" i="177" l="1"/>
  <c r="V16" i="177" s="1"/>
  <c r="V24" i="177" s="1"/>
  <c r="T12" i="176"/>
  <c r="H12" i="176"/>
  <c r="Y8" i="176"/>
  <c r="J12" i="176"/>
  <c r="Y7" i="176"/>
  <c r="Y6" i="176"/>
  <c r="F12" i="176"/>
  <c r="D12" i="176"/>
  <c r="B21" i="176"/>
  <c r="Y12" i="176" l="1"/>
  <c r="V16" i="176" s="1"/>
  <c r="V24" i="176" s="1"/>
  <c r="V25" i="175" l="1"/>
  <c r="F22" i="175"/>
  <c r="S19" i="175"/>
  <c r="S20" i="175" s="1"/>
  <c r="Q19" i="175"/>
  <c r="Q20" i="175" s="1"/>
  <c r="P19" i="175"/>
  <c r="P20" i="175" s="1"/>
  <c r="L19" i="175"/>
  <c r="L20" i="175" s="1"/>
  <c r="J19" i="175"/>
  <c r="J20" i="175" s="1"/>
  <c r="H19" i="175"/>
  <c r="H20" i="175" s="1"/>
  <c r="K18" i="175"/>
  <c r="K19" i="175" s="1"/>
  <c r="K20" i="175" s="1"/>
  <c r="W12" i="175"/>
  <c r="U12" i="175"/>
  <c r="I18" i="175" s="1"/>
  <c r="I19" i="175" s="1"/>
  <c r="I20" i="175" s="1"/>
  <c r="S12" i="175"/>
  <c r="Q12" i="175"/>
  <c r="O18" i="175" s="1"/>
  <c r="O19" i="175" s="1"/>
  <c r="O20" i="175" s="1"/>
  <c r="O12" i="175"/>
  <c r="N18" i="175" s="1"/>
  <c r="N19" i="175" s="1"/>
  <c r="N20" i="175" s="1"/>
  <c r="M12" i="175"/>
  <c r="M18" i="175" s="1"/>
  <c r="M19" i="175" s="1"/>
  <c r="M20" i="175" s="1"/>
  <c r="K12" i="175"/>
  <c r="G18" i="175" s="1"/>
  <c r="G19" i="175" s="1"/>
  <c r="G20" i="175" s="1"/>
  <c r="I12" i="175"/>
  <c r="F18" i="175" s="1"/>
  <c r="F19" i="175" s="1"/>
  <c r="F20" i="175" s="1"/>
  <c r="G12" i="175"/>
  <c r="E18" i="175" s="1"/>
  <c r="E19" i="175" s="1"/>
  <c r="E20" i="175" s="1"/>
  <c r="E12" i="175"/>
  <c r="D18" i="175" s="1"/>
  <c r="D19" i="175" s="1"/>
  <c r="D20" i="175" s="1"/>
  <c r="C12" i="175"/>
  <c r="B18" i="175" s="1"/>
  <c r="B19" i="175" s="1"/>
  <c r="B20" i="175" s="1"/>
  <c r="X11" i="175"/>
  <c r="V11" i="175"/>
  <c r="T11" i="175"/>
  <c r="R11" i="175"/>
  <c r="P11" i="175"/>
  <c r="N11" i="175"/>
  <c r="L11" i="175"/>
  <c r="J11" i="175"/>
  <c r="H11" i="175"/>
  <c r="F11" i="175"/>
  <c r="D11" i="175"/>
  <c r="Y11" i="175" s="1"/>
  <c r="X10" i="175"/>
  <c r="V10" i="175"/>
  <c r="T10" i="175"/>
  <c r="R10" i="175"/>
  <c r="P10" i="175"/>
  <c r="N10" i="175"/>
  <c r="L10" i="175"/>
  <c r="J10" i="175"/>
  <c r="H10" i="175"/>
  <c r="F10" i="175"/>
  <c r="D10" i="175"/>
  <c r="X9" i="175"/>
  <c r="V9" i="175"/>
  <c r="T9" i="175"/>
  <c r="R9" i="175"/>
  <c r="P9" i="175"/>
  <c r="N9" i="175"/>
  <c r="L9" i="175"/>
  <c r="J9" i="175"/>
  <c r="H9" i="175"/>
  <c r="F9" i="175"/>
  <c r="D9" i="175"/>
  <c r="Y9" i="175" s="1"/>
  <c r="X8" i="175"/>
  <c r="V8" i="175"/>
  <c r="T8" i="175"/>
  <c r="R8" i="175"/>
  <c r="P8" i="175"/>
  <c r="N8" i="175"/>
  <c r="L8" i="175"/>
  <c r="J8" i="175"/>
  <c r="H8" i="175"/>
  <c r="F8" i="175"/>
  <c r="D8" i="175"/>
  <c r="X7" i="175"/>
  <c r="V7" i="175"/>
  <c r="T7" i="175"/>
  <c r="R7" i="175"/>
  <c r="P7" i="175"/>
  <c r="N7" i="175"/>
  <c r="L7" i="175"/>
  <c r="J7" i="175"/>
  <c r="H7" i="175"/>
  <c r="F7" i="175"/>
  <c r="D7" i="175"/>
  <c r="Y7" i="175" s="1"/>
  <c r="X6" i="175"/>
  <c r="X12" i="175" s="1"/>
  <c r="V6" i="175"/>
  <c r="V12" i="175" s="1"/>
  <c r="T6" i="175"/>
  <c r="R6" i="175"/>
  <c r="R12" i="175" s="1"/>
  <c r="P6" i="175"/>
  <c r="P12" i="175" s="1"/>
  <c r="N6" i="175"/>
  <c r="N12" i="175" s="1"/>
  <c r="L6" i="175"/>
  <c r="J6" i="175"/>
  <c r="J12" i="175" s="1"/>
  <c r="H6" i="175"/>
  <c r="F6" i="175"/>
  <c r="D6" i="175"/>
  <c r="H12" i="175" l="1"/>
  <c r="T12" i="175"/>
  <c r="L12" i="175"/>
  <c r="Y10" i="175"/>
  <c r="F12" i="175"/>
  <c r="Y8" i="175"/>
  <c r="D12" i="175"/>
  <c r="B21" i="175"/>
  <c r="Y6" i="175"/>
  <c r="Y12" i="175" l="1"/>
  <c r="V16" i="175" s="1"/>
  <c r="V24" i="175" s="1"/>
  <c r="V25" i="174" l="1"/>
  <c r="F22" i="174"/>
  <c r="S19" i="174"/>
  <c r="S20" i="174" s="1"/>
  <c r="Q19" i="174"/>
  <c r="Q20" i="174" s="1"/>
  <c r="P19" i="174"/>
  <c r="P20" i="174" s="1"/>
  <c r="L19" i="174"/>
  <c r="L20" i="174" s="1"/>
  <c r="J19" i="174"/>
  <c r="J20" i="174" s="1"/>
  <c r="H19" i="174"/>
  <c r="H20" i="174" s="1"/>
  <c r="K18" i="174"/>
  <c r="K19" i="174" s="1"/>
  <c r="K20" i="174" s="1"/>
  <c r="W12" i="174"/>
  <c r="U12" i="174"/>
  <c r="I18" i="174" s="1"/>
  <c r="I19" i="174" s="1"/>
  <c r="I20" i="174" s="1"/>
  <c r="S12" i="174"/>
  <c r="Q12" i="174"/>
  <c r="O18" i="174" s="1"/>
  <c r="O19" i="174" s="1"/>
  <c r="O20" i="174" s="1"/>
  <c r="O12" i="174"/>
  <c r="N18" i="174" s="1"/>
  <c r="N19" i="174" s="1"/>
  <c r="N20" i="174" s="1"/>
  <c r="M12" i="174"/>
  <c r="M18" i="174" s="1"/>
  <c r="M19" i="174" s="1"/>
  <c r="M20" i="174" s="1"/>
  <c r="K12" i="174"/>
  <c r="G18" i="174" s="1"/>
  <c r="G19" i="174" s="1"/>
  <c r="G20" i="174" s="1"/>
  <c r="I12" i="174"/>
  <c r="F18" i="174" s="1"/>
  <c r="F19" i="174" s="1"/>
  <c r="F20" i="174" s="1"/>
  <c r="G12" i="174"/>
  <c r="E18" i="174" s="1"/>
  <c r="E19" i="174" s="1"/>
  <c r="E20" i="174" s="1"/>
  <c r="E12" i="174"/>
  <c r="D18" i="174" s="1"/>
  <c r="D19" i="174" s="1"/>
  <c r="D20" i="174" s="1"/>
  <c r="C12" i="174"/>
  <c r="B18" i="174" s="1"/>
  <c r="B19" i="174" s="1"/>
  <c r="B20" i="174" s="1"/>
  <c r="X11" i="174"/>
  <c r="V11" i="174"/>
  <c r="T11" i="174"/>
  <c r="R11" i="174"/>
  <c r="P11" i="174"/>
  <c r="N11" i="174"/>
  <c r="L11" i="174"/>
  <c r="J11" i="174"/>
  <c r="H11" i="174"/>
  <c r="F11" i="174"/>
  <c r="D11" i="174"/>
  <c r="Y11" i="174" s="1"/>
  <c r="X10" i="174"/>
  <c r="V10" i="174"/>
  <c r="T10" i="174"/>
  <c r="R10" i="174"/>
  <c r="P10" i="174"/>
  <c r="N10" i="174"/>
  <c r="L10" i="174"/>
  <c r="J10" i="174"/>
  <c r="H10" i="174"/>
  <c r="F10" i="174"/>
  <c r="D10" i="174"/>
  <c r="X9" i="174"/>
  <c r="V9" i="174"/>
  <c r="T9" i="174"/>
  <c r="R9" i="174"/>
  <c r="P9" i="174"/>
  <c r="N9" i="174"/>
  <c r="L9" i="174"/>
  <c r="J9" i="174"/>
  <c r="H9" i="174"/>
  <c r="F9" i="174"/>
  <c r="D9" i="174"/>
  <c r="X8" i="174"/>
  <c r="V8" i="174"/>
  <c r="T8" i="174"/>
  <c r="R8" i="174"/>
  <c r="P8" i="174"/>
  <c r="N8" i="174"/>
  <c r="L8" i="174"/>
  <c r="J8" i="174"/>
  <c r="H8" i="174"/>
  <c r="F8" i="174"/>
  <c r="D8" i="174"/>
  <c r="X7" i="174"/>
  <c r="V7" i="174"/>
  <c r="T7" i="174"/>
  <c r="R7" i="174"/>
  <c r="P7" i="174"/>
  <c r="N7" i="174"/>
  <c r="L7" i="174"/>
  <c r="J7" i="174"/>
  <c r="H7" i="174"/>
  <c r="F7" i="174"/>
  <c r="D7" i="174"/>
  <c r="X6" i="174"/>
  <c r="X12" i="174" s="1"/>
  <c r="V6" i="174"/>
  <c r="V12" i="174" s="1"/>
  <c r="T6" i="174"/>
  <c r="T12" i="174" s="1"/>
  <c r="R6" i="174"/>
  <c r="R12" i="174" s="1"/>
  <c r="P6" i="174"/>
  <c r="P12" i="174" s="1"/>
  <c r="N6" i="174"/>
  <c r="N12" i="174" s="1"/>
  <c r="L6" i="174"/>
  <c r="J6" i="174"/>
  <c r="H6" i="174"/>
  <c r="F6" i="174"/>
  <c r="D6" i="174"/>
  <c r="G18" i="173"/>
  <c r="L7" i="173"/>
  <c r="L8" i="173"/>
  <c r="L9" i="173"/>
  <c r="L10" i="173"/>
  <c r="L12" i="173" s="1"/>
  <c r="L11" i="173"/>
  <c r="L6" i="173"/>
  <c r="V25" i="173"/>
  <c r="F22" i="173"/>
  <c r="S19" i="173"/>
  <c r="S20" i="173" s="1"/>
  <c r="Q19" i="173"/>
  <c r="Q20" i="173" s="1"/>
  <c r="P19" i="173"/>
  <c r="P20" i="173" s="1"/>
  <c r="L19" i="173"/>
  <c r="L20" i="173" s="1"/>
  <c r="J19" i="173"/>
  <c r="J20" i="173" s="1"/>
  <c r="H19" i="173"/>
  <c r="H20" i="173" s="1"/>
  <c r="O18" i="173"/>
  <c r="O19" i="173" s="1"/>
  <c r="O20" i="173" s="1"/>
  <c r="M18" i="173"/>
  <c r="M19" i="173" s="1"/>
  <c r="M20" i="173" s="1"/>
  <c r="K18" i="173"/>
  <c r="K19" i="173" s="1"/>
  <c r="K20" i="173" s="1"/>
  <c r="X12" i="173"/>
  <c r="W12" i="173"/>
  <c r="U12" i="173"/>
  <c r="I18" i="173" s="1"/>
  <c r="I19" i="173" s="1"/>
  <c r="I20" i="173" s="1"/>
  <c r="S12" i="173"/>
  <c r="Q12" i="173"/>
  <c r="P12" i="173"/>
  <c r="O12" i="173"/>
  <c r="N18" i="173" s="1"/>
  <c r="N19" i="173" s="1"/>
  <c r="N20" i="173" s="1"/>
  <c r="M12" i="173"/>
  <c r="K12" i="173"/>
  <c r="I12" i="173"/>
  <c r="F18" i="173" s="1"/>
  <c r="F19" i="173" s="1"/>
  <c r="F20" i="173" s="1"/>
  <c r="G12" i="173"/>
  <c r="E18" i="173" s="1"/>
  <c r="E19" i="173" s="1"/>
  <c r="E20" i="173" s="1"/>
  <c r="E12" i="173"/>
  <c r="D18" i="173" s="1"/>
  <c r="D19" i="173" s="1"/>
  <c r="D20" i="173" s="1"/>
  <c r="C12" i="173"/>
  <c r="B18" i="173" s="1"/>
  <c r="B19" i="173" s="1"/>
  <c r="B20" i="173" s="1"/>
  <c r="X11" i="173"/>
  <c r="V11" i="173"/>
  <c r="T11" i="173"/>
  <c r="R11" i="173"/>
  <c r="P11" i="173"/>
  <c r="N11" i="173"/>
  <c r="J11" i="173"/>
  <c r="H11" i="173"/>
  <c r="F11" i="173"/>
  <c r="D11" i="173"/>
  <c r="X10" i="173"/>
  <c r="V10" i="173"/>
  <c r="T10" i="173"/>
  <c r="R10" i="173"/>
  <c r="P10" i="173"/>
  <c r="N10" i="173"/>
  <c r="J10" i="173"/>
  <c r="H10" i="173"/>
  <c r="F10" i="173"/>
  <c r="D10" i="173"/>
  <c r="X9" i="173"/>
  <c r="V9" i="173"/>
  <c r="T9" i="173"/>
  <c r="R9" i="173"/>
  <c r="P9" i="173"/>
  <c r="N9" i="173"/>
  <c r="J9" i="173"/>
  <c r="H9" i="173"/>
  <c r="F9" i="173"/>
  <c r="D9" i="173"/>
  <c r="X8" i="173"/>
  <c r="V8" i="173"/>
  <c r="T8" i="173"/>
  <c r="R8" i="173"/>
  <c r="P8" i="173"/>
  <c r="N8" i="173"/>
  <c r="J8" i="173"/>
  <c r="H8" i="173"/>
  <c r="F8" i="173"/>
  <c r="D8" i="173"/>
  <c r="X7" i="173"/>
  <c r="V7" i="173"/>
  <c r="T7" i="173"/>
  <c r="R7" i="173"/>
  <c r="P7" i="173"/>
  <c r="N7" i="173"/>
  <c r="J7" i="173"/>
  <c r="H7" i="173"/>
  <c r="F7" i="173"/>
  <c r="D7" i="173"/>
  <c r="D12" i="173" s="1"/>
  <c r="X6" i="173"/>
  <c r="V6" i="173"/>
  <c r="V12" i="173" s="1"/>
  <c r="T6" i="173"/>
  <c r="R6" i="173"/>
  <c r="R12" i="173" s="1"/>
  <c r="P6" i="173"/>
  <c r="N6" i="173"/>
  <c r="N12" i="173" s="1"/>
  <c r="J6" i="173"/>
  <c r="H6" i="173"/>
  <c r="H12" i="173" s="1"/>
  <c r="F6" i="173"/>
  <c r="D6" i="173"/>
  <c r="V25" i="172"/>
  <c r="F22" i="172"/>
  <c r="S19" i="172"/>
  <c r="S20" i="172" s="1"/>
  <c r="Q19" i="172"/>
  <c r="Q20" i="172" s="1"/>
  <c r="P19" i="172"/>
  <c r="P20" i="172" s="1"/>
  <c r="L19" i="172"/>
  <c r="L20" i="172" s="1"/>
  <c r="J19" i="172"/>
  <c r="J20" i="172" s="1"/>
  <c r="H19" i="172"/>
  <c r="H20" i="172" s="1"/>
  <c r="W12" i="172"/>
  <c r="K18" i="172" s="1"/>
  <c r="K19" i="172" s="1"/>
  <c r="K20" i="172" s="1"/>
  <c r="U12" i="172"/>
  <c r="I18" i="172" s="1"/>
  <c r="I19" i="172" s="1"/>
  <c r="I20" i="172" s="1"/>
  <c r="S12" i="172"/>
  <c r="Q12" i="172"/>
  <c r="O18" i="172" s="1"/>
  <c r="O19" i="172" s="1"/>
  <c r="O20" i="172" s="1"/>
  <c r="O12" i="172"/>
  <c r="N18" i="172" s="1"/>
  <c r="N19" i="172" s="1"/>
  <c r="N20" i="172" s="1"/>
  <c r="M12" i="172"/>
  <c r="M18" i="172" s="1"/>
  <c r="M19" i="172" s="1"/>
  <c r="M20" i="172" s="1"/>
  <c r="K12" i="172"/>
  <c r="G18" i="172" s="1"/>
  <c r="G19" i="172" s="1"/>
  <c r="G20" i="172" s="1"/>
  <c r="I12" i="172"/>
  <c r="F18" i="172" s="1"/>
  <c r="F19" i="172" s="1"/>
  <c r="F20" i="172" s="1"/>
  <c r="G12" i="172"/>
  <c r="E18" i="172" s="1"/>
  <c r="E19" i="172" s="1"/>
  <c r="E20" i="172" s="1"/>
  <c r="E12" i="172"/>
  <c r="D18" i="172" s="1"/>
  <c r="D19" i="172" s="1"/>
  <c r="D20" i="172" s="1"/>
  <c r="C12" i="172"/>
  <c r="B18" i="172" s="1"/>
  <c r="B19" i="172" s="1"/>
  <c r="B20" i="172" s="1"/>
  <c r="X11" i="172"/>
  <c r="V11" i="172"/>
  <c r="T11" i="172"/>
  <c r="R11" i="172"/>
  <c r="P11" i="172"/>
  <c r="N11" i="172"/>
  <c r="L11" i="172"/>
  <c r="J11" i="172"/>
  <c r="H11" i="172"/>
  <c r="F11" i="172"/>
  <c r="D11" i="172"/>
  <c r="Y11" i="172" s="1"/>
  <c r="X10" i="172"/>
  <c r="V10" i="172"/>
  <c r="T10" i="172"/>
  <c r="R10" i="172"/>
  <c r="P10" i="172"/>
  <c r="N10" i="172"/>
  <c r="L10" i="172"/>
  <c r="J10" i="172"/>
  <c r="H10" i="172"/>
  <c r="F10" i="172"/>
  <c r="D10" i="172"/>
  <c r="X9" i="172"/>
  <c r="V9" i="172"/>
  <c r="T9" i="172"/>
  <c r="R9" i="172"/>
  <c r="P9" i="172"/>
  <c r="N9" i="172"/>
  <c r="L9" i="172"/>
  <c r="J9" i="172"/>
  <c r="H9" i="172"/>
  <c r="F9" i="172"/>
  <c r="D9" i="172"/>
  <c r="X8" i="172"/>
  <c r="V8" i="172"/>
  <c r="T8" i="172"/>
  <c r="R8" i="172"/>
  <c r="P8" i="172"/>
  <c r="N8" i="172"/>
  <c r="L8" i="172"/>
  <c r="J8" i="172"/>
  <c r="H8" i="172"/>
  <c r="F8" i="172"/>
  <c r="D8" i="172"/>
  <c r="X7" i="172"/>
  <c r="V7" i="172"/>
  <c r="T7" i="172"/>
  <c r="R7" i="172"/>
  <c r="P7" i="172"/>
  <c r="N7" i="172"/>
  <c r="L7" i="172"/>
  <c r="J7" i="172"/>
  <c r="H7" i="172"/>
  <c r="F7" i="172"/>
  <c r="D7" i="172"/>
  <c r="X6" i="172"/>
  <c r="X12" i="172" s="1"/>
  <c r="V6" i="172"/>
  <c r="V12" i="172" s="1"/>
  <c r="T6" i="172"/>
  <c r="R6" i="172"/>
  <c r="R12" i="172" s="1"/>
  <c r="P6" i="172"/>
  <c r="P12" i="172" s="1"/>
  <c r="N6" i="172"/>
  <c r="N12" i="172" s="1"/>
  <c r="L6" i="172"/>
  <c r="L12" i="172" s="1"/>
  <c r="J6" i="172"/>
  <c r="H6" i="172"/>
  <c r="F6" i="172"/>
  <c r="D6" i="172"/>
  <c r="V25" i="171"/>
  <c r="F22" i="171"/>
  <c r="S19" i="171"/>
  <c r="S20" i="171" s="1"/>
  <c r="Q19" i="171"/>
  <c r="Q20" i="171" s="1"/>
  <c r="P19" i="171"/>
  <c r="P20" i="171" s="1"/>
  <c r="L19" i="171"/>
  <c r="L20" i="171" s="1"/>
  <c r="J19" i="171"/>
  <c r="J20" i="171" s="1"/>
  <c r="H19" i="171"/>
  <c r="H20" i="171" s="1"/>
  <c r="W12" i="171"/>
  <c r="K18" i="171" s="1"/>
  <c r="K19" i="171" s="1"/>
  <c r="K20" i="171" s="1"/>
  <c r="U12" i="171"/>
  <c r="I18" i="171" s="1"/>
  <c r="I19" i="171" s="1"/>
  <c r="I20" i="171" s="1"/>
  <c r="S12" i="171"/>
  <c r="Q12" i="171"/>
  <c r="O18" i="171" s="1"/>
  <c r="O19" i="171" s="1"/>
  <c r="O20" i="171" s="1"/>
  <c r="O12" i="171"/>
  <c r="N18" i="171" s="1"/>
  <c r="N19" i="171" s="1"/>
  <c r="N20" i="171" s="1"/>
  <c r="M12" i="171"/>
  <c r="M18" i="171" s="1"/>
  <c r="M19" i="171" s="1"/>
  <c r="M20" i="171" s="1"/>
  <c r="L12" i="171"/>
  <c r="K12" i="171"/>
  <c r="G18" i="171" s="1"/>
  <c r="G19" i="171" s="1"/>
  <c r="G20" i="171" s="1"/>
  <c r="I12" i="171"/>
  <c r="F18" i="171" s="1"/>
  <c r="F19" i="171" s="1"/>
  <c r="F20" i="171" s="1"/>
  <c r="G12" i="171"/>
  <c r="E18" i="171" s="1"/>
  <c r="E19" i="171" s="1"/>
  <c r="E20" i="171" s="1"/>
  <c r="E12" i="171"/>
  <c r="D18" i="171" s="1"/>
  <c r="D19" i="171" s="1"/>
  <c r="D20" i="171" s="1"/>
  <c r="C12" i="171"/>
  <c r="B18" i="171" s="1"/>
  <c r="B19" i="171" s="1"/>
  <c r="B20" i="171" s="1"/>
  <c r="X11" i="171"/>
  <c r="V11" i="171"/>
  <c r="T11" i="171"/>
  <c r="R11" i="171"/>
  <c r="P11" i="171"/>
  <c r="N11" i="171"/>
  <c r="L11" i="171"/>
  <c r="J11" i="171"/>
  <c r="H11" i="171"/>
  <c r="F11" i="171"/>
  <c r="D11" i="171"/>
  <c r="X10" i="171"/>
  <c r="V10" i="171"/>
  <c r="T10" i="171"/>
  <c r="R10" i="171"/>
  <c r="P10" i="171"/>
  <c r="N10" i="171"/>
  <c r="L10" i="171"/>
  <c r="J10" i="171"/>
  <c r="H10" i="171"/>
  <c r="F10" i="171"/>
  <c r="D10" i="171"/>
  <c r="X9" i="171"/>
  <c r="V9" i="171"/>
  <c r="T9" i="171"/>
  <c r="R9" i="171"/>
  <c r="P9" i="171"/>
  <c r="N9" i="171"/>
  <c r="L9" i="171"/>
  <c r="J9" i="171"/>
  <c r="H9" i="171"/>
  <c r="F9" i="171"/>
  <c r="D9" i="171"/>
  <c r="X8" i="171"/>
  <c r="V8" i="171"/>
  <c r="T8" i="171"/>
  <c r="R8" i="171"/>
  <c r="P8" i="171"/>
  <c r="N8" i="171"/>
  <c r="L8" i="171"/>
  <c r="J8" i="171"/>
  <c r="H8" i="171"/>
  <c r="F8" i="171"/>
  <c r="D8" i="171"/>
  <c r="X7" i="171"/>
  <c r="V7" i="171"/>
  <c r="T7" i="171"/>
  <c r="R7" i="171"/>
  <c r="P7" i="171"/>
  <c r="N7" i="171"/>
  <c r="L7" i="171"/>
  <c r="J7" i="171"/>
  <c r="H7" i="171"/>
  <c r="F7" i="171"/>
  <c r="D7" i="171"/>
  <c r="X6" i="171"/>
  <c r="V6" i="171"/>
  <c r="V12" i="171" s="1"/>
  <c r="T6" i="171"/>
  <c r="R6" i="171"/>
  <c r="R12" i="171" s="1"/>
  <c r="P6" i="171"/>
  <c r="P12" i="171" s="1"/>
  <c r="N6" i="171"/>
  <c r="N12" i="171" s="1"/>
  <c r="L6" i="171"/>
  <c r="J6" i="171"/>
  <c r="H6" i="171"/>
  <c r="F6" i="171"/>
  <c r="F12" i="171" s="1"/>
  <c r="D6" i="171"/>
  <c r="V25" i="170"/>
  <c r="F22" i="170"/>
  <c r="S19" i="170"/>
  <c r="S20" i="170" s="1"/>
  <c r="Q19" i="170"/>
  <c r="Q20" i="170" s="1"/>
  <c r="P19" i="170"/>
  <c r="P20" i="170" s="1"/>
  <c r="L19" i="170"/>
  <c r="L20" i="170" s="1"/>
  <c r="J19" i="170"/>
  <c r="J20" i="170" s="1"/>
  <c r="H19" i="170"/>
  <c r="H20" i="170" s="1"/>
  <c r="K18" i="170"/>
  <c r="K19" i="170" s="1"/>
  <c r="K20" i="170" s="1"/>
  <c r="W12" i="170"/>
  <c r="U12" i="170"/>
  <c r="I18" i="170" s="1"/>
  <c r="I19" i="170" s="1"/>
  <c r="I20" i="170" s="1"/>
  <c r="S12" i="170"/>
  <c r="Q12" i="170"/>
  <c r="O18" i="170" s="1"/>
  <c r="O19" i="170" s="1"/>
  <c r="O20" i="170" s="1"/>
  <c r="O12" i="170"/>
  <c r="N18" i="170" s="1"/>
  <c r="N19" i="170" s="1"/>
  <c r="N20" i="170" s="1"/>
  <c r="N12" i="170"/>
  <c r="M12" i="170"/>
  <c r="M18" i="170" s="1"/>
  <c r="M19" i="170" s="1"/>
  <c r="M20" i="170" s="1"/>
  <c r="L12" i="170"/>
  <c r="K12" i="170"/>
  <c r="G18" i="170" s="1"/>
  <c r="G19" i="170" s="1"/>
  <c r="G20" i="170" s="1"/>
  <c r="I12" i="170"/>
  <c r="F18" i="170" s="1"/>
  <c r="F19" i="170" s="1"/>
  <c r="F20" i="170" s="1"/>
  <c r="G12" i="170"/>
  <c r="E18" i="170" s="1"/>
  <c r="E19" i="170" s="1"/>
  <c r="E20" i="170" s="1"/>
  <c r="F12" i="170"/>
  <c r="E12" i="170"/>
  <c r="D18" i="170" s="1"/>
  <c r="D19" i="170" s="1"/>
  <c r="D20" i="170" s="1"/>
  <c r="C12" i="170"/>
  <c r="B18" i="170" s="1"/>
  <c r="B19" i="170" s="1"/>
  <c r="B20" i="170" s="1"/>
  <c r="X11" i="170"/>
  <c r="V11" i="170"/>
  <c r="T11" i="170"/>
  <c r="R11" i="170"/>
  <c r="P11" i="170"/>
  <c r="N11" i="170"/>
  <c r="L11" i="170"/>
  <c r="J11" i="170"/>
  <c r="H11" i="170"/>
  <c r="Y11" i="170" s="1"/>
  <c r="F11" i="170"/>
  <c r="D11" i="170"/>
  <c r="X10" i="170"/>
  <c r="V10" i="170"/>
  <c r="T10" i="170"/>
  <c r="R10" i="170"/>
  <c r="P10" i="170"/>
  <c r="N10" i="170"/>
  <c r="L10" i="170"/>
  <c r="J10" i="170"/>
  <c r="H10" i="170"/>
  <c r="F10" i="170"/>
  <c r="D10" i="170"/>
  <c r="X9" i="170"/>
  <c r="V9" i="170"/>
  <c r="V12" i="170" s="1"/>
  <c r="T9" i="170"/>
  <c r="R9" i="170"/>
  <c r="P9" i="170"/>
  <c r="N9" i="170"/>
  <c r="L9" i="170"/>
  <c r="J9" i="170"/>
  <c r="H9" i="170"/>
  <c r="F9" i="170"/>
  <c r="D9" i="170"/>
  <c r="X8" i="170"/>
  <c r="V8" i="170"/>
  <c r="T8" i="170"/>
  <c r="R8" i="170"/>
  <c r="P8" i="170"/>
  <c r="N8" i="170"/>
  <c r="L8" i="170"/>
  <c r="J8" i="170"/>
  <c r="H8" i="170"/>
  <c r="F8" i="170"/>
  <c r="D8" i="170"/>
  <c r="X7" i="170"/>
  <c r="V7" i="170"/>
  <c r="T7" i="170"/>
  <c r="R7" i="170"/>
  <c r="P7" i="170"/>
  <c r="N7" i="170"/>
  <c r="L7" i="170"/>
  <c r="J7" i="170"/>
  <c r="H7" i="170"/>
  <c r="F7" i="170"/>
  <c r="D7" i="170"/>
  <c r="X6" i="170"/>
  <c r="X12" i="170" s="1"/>
  <c r="V6" i="170"/>
  <c r="T6" i="170"/>
  <c r="R6" i="170"/>
  <c r="R12" i="170" s="1"/>
  <c r="P6" i="170"/>
  <c r="P12" i="170" s="1"/>
  <c r="N6" i="170"/>
  <c r="L6" i="170"/>
  <c r="J6" i="170"/>
  <c r="H6" i="170"/>
  <c r="H12" i="170" s="1"/>
  <c r="F6" i="170"/>
  <c r="D6" i="170"/>
  <c r="V25" i="169"/>
  <c r="F22" i="169"/>
  <c r="S19" i="169"/>
  <c r="S20" i="169" s="1"/>
  <c r="Q19" i="169"/>
  <c r="Q20" i="169" s="1"/>
  <c r="P19" i="169"/>
  <c r="P20" i="169" s="1"/>
  <c r="L19" i="169"/>
  <c r="L20" i="169" s="1"/>
  <c r="J19" i="169"/>
  <c r="J20" i="169" s="1"/>
  <c r="H19" i="169"/>
  <c r="H20" i="169" s="1"/>
  <c r="W12" i="169"/>
  <c r="K18" i="169" s="1"/>
  <c r="K19" i="169" s="1"/>
  <c r="K20" i="169" s="1"/>
  <c r="U12" i="169"/>
  <c r="I18" i="169" s="1"/>
  <c r="I19" i="169" s="1"/>
  <c r="I20" i="169" s="1"/>
  <c r="S12" i="169"/>
  <c r="Q12" i="169"/>
  <c r="O18" i="169" s="1"/>
  <c r="O19" i="169" s="1"/>
  <c r="O20" i="169" s="1"/>
  <c r="O12" i="169"/>
  <c r="N18" i="169" s="1"/>
  <c r="N19" i="169" s="1"/>
  <c r="N20" i="169" s="1"/>
  <c r="M12" i="169"/>
  <c r="M18" i="169" s="1"/>
  <c r="M19" i="169" s="1"/>
  <c r="M20" i="169" s="1"/>
  <c r="K12" i="169"/>
  <c r="G18" i="169" s="1"/>
  <c r="G19" i="169" s="1"/>
  <c r="G20" i="169" s="1"/>
  <c r="I12" i="169"/>
  <c r="F18" i="169" s="1"/>
  <c r="F19" i="169" s="1"/>
  <c r="F20" i="169" s="1"/>
  <c r="G12" i="169"/>
  <c r="E18" i="169" s="1"/>
  <c r="E19" i="169" s="1"/>
  <c r="E20" i="169" s="1"/>
  <c r="E12" i="169"/>
  <c r="D18" i="169" s="1"/>
  <c r="D19" i="169" s="1"/>
  <c r="D20" i="169" s="1"/>
  <c r="C12" i="169"/>
  <c r="B18" i="169" s="1"/>
  <c r="B19" i="169" s="1"/>
  <c r="B20" i="169" s="1"/>
  <c r="X11" i="169"/>
  <c r="V11" i="169"/>
  <c r="T11" i="169"/>
  <c r="R11" i="169"/>
  <c r="P11" i="169"/>
  <c r="N11" i="169"/>
  <c r="L11" i="169"/>
  <c r="J11" i="169"/>
  <c r="H11" i="169"/>
  <c r="F11" i="169"/>
  <c r="D11" i="169"/>
  <c r="Y11" i="169" s="1"/>
  <c r="X10" i="169"/>
  <c r="V10" i="169"/>
  <c r="T10" i="169"/>
  <c r="R10" i="169"/>
  <c r="P10" i="169"/>
  <c r="N10" i="169"/>
  <c r="L10" i="169"/>
  <c r="J10" i="169"/>
  <c r="H10" i="169"/>
  <c r="F10" i="169"/>
  <c r="D10" i="169"/>
  <c r="X9" i="169"/>
  <c r="V9" i="169"/>
  <c r="T9" i="169"/>
  <c r="R9" i="169"/>
  <c r="P9" i="169"/>
  <c r="N9" i="169"/>
  <c r="L9" i="169"/>
  <c r="J9" i="169"/>
  <c r="H9" i="169"/>
  <c r="F9" i="169"/>
  <c r="D9" i="169"/>
  <c r="X8" i="169"/>
  <c r="V8" i="169"/>
  <c r="T8" i="169"/>
  <c r="R8" i="169"/>
  <c r="P8" i="169"/>
  <c r="N8" i="169"/>
  <c r="L8" i="169"/>
  <c r="J8" i="169"/>
  <c r="H8" i="169"/>
  <c r="F8" i="169"/>
  <c r="D8" i="169"/>
  <c r="X7" i="169"/>
  <c r="V7" i="169"/>
  <c r="T7" i="169"/>
  <c r="R7" i="169"/>
  <c r="P7" i="169"/>
  <c r="N7" i="169"/>
  <c r="L7" i="169"/>
  <c r="J7" i="169"/>
  <c r="H7" i="169"/>
  <c r="F7" i="169"/>
  <c r="D7" i="169"/>
  <c r="X6" i="169"/>
  <c r="X12" i="169" s="1"/>
  <c r="V6" i="169"/>
  <c r="T6" i="169"/>
  <c r="R6" i="169"/>
  <c r="R12" i="169" s="1"/>
  <c r="P6" i="169"/>
  <c r="P12" i="169" s="1"/>
  <c r="N6" i="169"/>
  <c r="L6" i="169"/>
  <c r="L12" i="169" s="1"/>
  <c r="J6" i="169"/>
  <c r="H6" i="169"/>
  <c r="F6" i="169"/>
  <c r="F12" i="169" s="1"/>
  <c r="D6" i="169"/>
  <c r="V7" i="168"/>
  <c r="V8" i="168"/>
  <c r="V9" i="168"/>
  <c r="V10" i="168"/>
  <c r="V11" i="168"/>
  <c r="V6" i="168"/>
  <c r="Y10" i="174" l="1"/>
  <c r="L12" i="174"/>
  <c r="J12" i="174"/>
  <c r="Y7" i="174"/>
  <c r="Y9" i="174"/>
  <c r="H12" i="174"/>
  <c r="F12" i="174"/>
  <c r="Y8" i="174"/>
  <c r="D12" i="174"/>
  <c r="B21" i="174"/>
  <c r="Y6" i="174"/>
  <c r="G19" i="173"/>
  <c r="G20" i="173" s="1"/>
  <c r="B21" i="173" s="1"/>
  <c r="Y9" i="173"/>
  <c r="T12" i="173"/>
  <c r="Y11" i="173"/>
  <c r="J12" i="173"/>
  <c r="Y12" i="173" s="1"/>
  <c r="V16" i="173" s="1"/>
  <c r="V24" i="173" s="1"/>
  <c r="Y8" i="173"/>
  <c r="F12" i="173"/>
  <c r="Y7" i="173"/>
  <c r="Y10" i="173"/>
  <c r="Y6" i="173"/>
  <c r="F12" i="172"/>
  <c r="T12" i="172"/>
  <c r="J12" i="172"/>
  <c r="Y7" i="172"/>
  <c r="Y9" i="172"/>
  <c r="Y10" i="172"/>
  <c r="H12" i="172"/>
  <c r="Y8" i="172"/>
  <c r="D12" i="172"/>
  <c r="B21" i="172"/>
  <c r="Y6" i="172"/>
  <c r="Y11" i="171"/>
  <c r="T12" i="171"/>
  <c r="X12" i="171"/>
  <c r="H12" i="171"/>
  <c r="D12" i="171"/>
  <c r="Y10" i="171"/>
  <c r="Y9" i="171"/>
  <c r="J12" i="171"/>
  <c r="Y8" i="171"/>
  <c r="Y7" i="171"/>
  <c r="B21" i="171"/>
  <c r="Y6" i="171"/>
  <c r="T12" i="170"/>
  <c r="J12" i="170"/>
  <c r="D12" i="170"/>
  <c r="Y7" i="170"/>
  <c r="Y10" i="170"/>
  <c r="Y9" i="170"/>
  <c r="Y8" i="170"/>
  <c r="B21" i="170"/>
  <c r="Y6" i="170"/>
  <c r="T12" i="169"/>
  <c r="V12" i="169"/>
  <c r="Y9" i="169"/>
  <c r="N12" i="169"/>
  <c r="J12" i="169"/>
  <c r="Y7" i="169"/>
  <c r="Y10" i="169"/>
  <c r="H12" i="169"/>
  <c r="Y8" i="169"/>
  <c r="D12" i="169"/>
  <c r="B21" i="169"/>
  <c r="Y6" i="169"/>
  <c r="Y12" i="174" l="1"/>
  <c r="V16" i="174" s="1"/>
  <c r="V24" i="174" s="1"/>
  <c r="Y12" i="172"/>
  <c r="V16" i="172" s="1"/>
  <c r="V24" i="172" s="1"/>
  <c r="Y12" i="171"/>
  <c r="V16" i="171" s="1"/>
  <c r="V24" i="171" s="1"/>
  <c r="Y12" i="170"/>
  <c r="V16" i="170" s="1"/>
  <c r="V24" i="170" s="1"/>
  <c r="Y12" i="169"/>
  <c r="V16" i="169" s="1"/>
  <c r="V24" i="169" s="1"/>
  <c r="V25" i="168"/>
  <c r="F22" i="168"/>
  <c r="S19" i="168"/>
  <c r="S20" i="168" s="1"/>
  <c r="Q19" i="168"/>
  <c r="Q20" i="168" s="1"/>
  <c r="P19" i="168"/>
  <c r="P20" i="168" s="1"/>
  <c r="L19" i="168"/>
  <c r="L20" i="168" s="1"/>
  <c r="J19" i="168"/>
  <c r="J20" i="168" s="1"/>
  <c r="H19" i="168"/>
  <c r="H20" i="168" s="1"/>
  <c r="W12" i="168"/>
  <c r="K18" i="168" s="1"/>
  <c r="K19" i="168" s="1"/>
  <c r="K20" i="168" s="1"/>
  <c r="U12" i="168"/>
  <c r="I18" i="168" s="1"/>
  <c r="I19" i="168" s="1"/>
  <c r="I20" i="168" s="1"/>
  <c r="S12" i="168"/>
  <c r="Q12" i="168"/>
  <c r="O18" i="168" s="1"/>
  <c r="O19" i="168" s="1"/>
  <c r="O20" i="168" s="1"/>
  <c r="O12" i="168"/>
  <c r="N18" i="168" s="1"/>
  <c r="N19" i="168" s="1"/>
  <c r="N20" i="168" s="1"/>
  <c r="M12" i="168"/>
  <c r="M18" i="168" s="1"/>
  <c r="M19" i="168" s="1"/>
  <c r="M20" i="168" s="1"/>
  <c r="K12" i="168"/>
  <c r="G18" i="168" s="1"/>
  <c r="G19" i="168" s="1"/>
  <c r="G20" i="168" s="1"/>
  <c r="I12" i="168"/>
  <c r="F18" i="168" s="1"/>
  <c r="F19" i="168" s="1"/>
  <c r="F20" i="168" s="1"/>
  <c r="G12" i="168"/>
  <c r="E18" i="168" s="1"/>
  <c r="E19" i="168" s="1"/>
  <c r="E20" i="168" s="1"/>
  <c r="E12" i="168"/>
  <c r="D18" i="168" s="1"/>
  <c r="D19" i="168" s="1"/>
  <c r="D20" i="168" s="1"/>
  <c r="C12" i="168"/>
  <c r="B18" i="168" s="1"/>
  <c r="B19" i="168" s="1"/>
  <c r="B20" i="168" s="1"/>
  <c r="X11" i="168"/>
  <c r="T11" i="168"/>
  <c r="R11" i="168"/>
  <c r="P11" i="168"/>
  <c r="N11" i="168"/>
  <c r="L11" i="168"/>
  <c r="J11" i="168"/>
  <c r="H11" i="168"/>
  <c r="F11" i="168"/>
  <c r="D11" i="168"/>
  <c r="X10" i="168"/>
  <c r="T10" i="168"/>
  <c r="R10" i="168"/>
  <c r="P10" i="168"/>
  <c r="N10" i="168"/>
  <c r="L10" i="168"/>
  <c r="J10" i="168"/>
  <c r="H10" i="168"/>
  <c r="F10" i="168"/>
  <c r="D10" i="168"/>
  <c r="X9" i="168"/>
  <c r="T9" i="168"/>
  <c r="R9" i="168"/>
  <c r="P9" i="168"/>
  <c r="N9" i="168"/>
  <c r="L9" i="168"/>
  <c r="J9" i="168"/>
  <c r="H9" i="168"/>
  <c r="F9" i="168"/>
  <c r="D9" i="168"/>
  <c r="X8" i="168"/>
  <c r="T8" i="168"/>
  <c r="R8" i="168"/>
  <c r="P8" i="168"/>
  <c r="N8" i="168"/>
  <c r="L8" i="168"/>
  <c r="J8" i="168"/>
  <c r="H8" i="168"/>
  <c r="F8" i="168"/>
  <c r="D8" i="168"/>
  <c r="X7" i="168"/>
  <c r="T7" i="168"/>
  <c r="R7" i="168"/>
  <c r="P7" i="168"/>
  <c r="N7" i="168"/>
  <c r="L7" i="168"/>
  <c r="J7" i="168"/>
  <c r="H7" i="168"/>
  <c r="F7" i="168"/>
  <c r="D7" i="168"/>
  <c r="X6" i="168"/>
  <c r="X12" i="168" s="1"/>
  <c r="V12" i="168"/>
  <c r="T6" i="168"/>
  <c r="R6" i="168"/>
  <c r="R12" i="168" s="1"/>
  <c r="P6" i="168"/>
  <c r="P12" i="168" s="1"/>
  <c r="N6" i="168"/>
  <c r="L6" i="168"/>
  <c r="L12" i="168" s="1"/>
  <c r="J6" i="168"/>
  <c r="H6" i="168"/>
  <c r="H12" i="168" s="1"/>
  <c r="F6" i="168"/>
  <c r="F12" i="168" s="1"/>
  <c r="D6" i="168"/>
  <c r="Y10" i="168" l="1"/>
  <c r="Y8" i="168"/>
  <c r="N12" i="168"/>
  <c r="Y11" i="168"/>
  <c r="T12" i="168"/>
  <c r="J12" i="168"/>
  <c r="Y7" i="168"/>
  <c r="Y9" i="168"/>
  <c r="D12" i="168"/>
  <c r="B21" i="168"/>
  <c r="Y6" i="168"/>
  <c r="Y12" i="168" l="1"/>
  <c r="V16" i="168" s="1"/>
  <c r="V24" i="168" s="1"/>
  <c r="V25" i="167" l="1"/>
  <c r="F22" i="167"/>
  <c r="S19" i="167"/>
  <c r="S20" i="167" s="1"/>
  <c r="Q19" i="167"/>
  <c r="Q20" i="167" s="1"/>
  <c r="P19" i="167"/>
  <c r="P20" i="167" s="1"/>
  <c r="L19" i="167"/>
  <c r="L20" i="167" s="1"/>
  <c r="J19" i="167"/>
  <c r="J20" i="167" s="1"/>
  <c r="H19" i="167"/>
  <c r="H20" i="167" s="1"/>
  <c r="O18" i="167"/>
  <c r="O19" i="167" s="1"/>
  <c r="O20" i="167" s="1"/>
  <c r="D18" i="167"/>
  <c r="D19" i="167" s="1"/>
  <c r="D20" i="167" s="1"/>
  <c r="W12" i="167"/>
  <c r="K18" i="167" s="1"/>
  <c r="K19" i="167" s="1"/>
  <c r="K20" i="167" s="1"/>
  <c r="U12" i="167"/>
  <c r="I18" i="167" s="1"/>
  <c r="I19" i="167" s="1"/>
  <c r="I20" i="167" s="1"/>
  <c r="S12" i="167"/>
  <c r="Q12" i="167"/>
  <c r="P12" i="167"/>
  <c r="O12" i="167"/>
  <c r="N18" i="167" s="1"/>
  <c r="N19" i="167" s="1"/>
  <c r="N20" i="167" s="1"/>
  <c r="M12" i="167"/>
  <c r="M18" i="167" s="1"/>
  <c r="M19" i="167" s="1"/>
  <c r="M20" i="167" s="1"/>
  <c r="L12" i="167"/>
  <c r="K12" i="167"/>
  <c r="G18" i="167" s="1"/>
  <c r="G19" i="167" s="1"/>
  <c r="G20" i="167" s="1"/>
  <c r="I12" i="167"/>
  <c r="F18" i="167" s="1"/>
  <c r="F19" i="167" s="1"/>
  <c r="F20" i="167" s="1"/>
  <c r="G12" i="167"/>
  <c r="E18" i="167" s="1"/>
  <c r="E19" i="167" s="1"/>
  <c r="E20" i="167" s="1"/>
  <c r="E12" i="167"/>
  <c r="C12" i="167"/>
  <c r="B18" i="167" s="1"/>
  <c r="B19" i="167" s="1"/>
  <c r="B20" i="167" s="1"/>
  <c r="X11" i="167"/>
  <c r="V11" i="167"/>
  <c r="T11" i="167"/>
  <c r="R11" i="167"/>
  <c r="P11" i="167"/>
  <c r="N11" i="167"/>
  <c r="L11" i="167"/>
  <c r="J11" i="167"/>
  <c r="H11" i="167"/>
  <c r="F11" i="167"/>
  <c r="D11" i="167"/>
  <c r="X10" i="167"/>
  <c r="V10" i="167"/>
  <c r="T10" i="167"/>
  <c r="R10" i="167"/>
  <c r="P10" i="167"/>
  <c r="N10" i="167"/>
  <c r="L10" i="167"/>
  <c r="J10" i="167"/>
  <c r="H10" i="167"/>
  <c r="F10" i="167"/>
  <c r="Y10" i="167" s="1"/>
  <c r="D10" i="167"/>
  <c r="X9" i="167"/>
  <c r="V9" i="167"/>
  <c r="T9" i="167"/>
  <c r="R9" i="167"/>
  <c r="P9" i="167"/>
  <c r="N9" i="167"/>
  <c r="L9" i="167"/>
  <c r="J9" i="167"/>
  <c r="H9" i="167"/>
  <c r="F9" i="167"/>
  <c r="D9" i="167"/>
  <c r="X8" i="167"/>
  <c r="V8" i="167"/>
  <c r="T8" i="167"/>
  <c r="R8" i="167"/>
  <c r="P8" i="167"/>
  <c r="N8" i="167"/>
  <c r="L8" i="167"/>
  <c r="J8" i="167"/>
  <c r="H8" i="167"/>
  <c r="F8" i="167"/>
  <c r="D8" i="167"/>
  <c r="X7" i="167"/>
  <c r="V7" i="167"/>
  <c r="T7" i="167"/>
  <c r="R7" i="167"/>
  <c r="P7" i="167"/>
  <c r="N7" i="167"/>
  <c r="L7" i="167"/>
  <c r="J7" i="167"/>
  <c r="H7" i="167"/>
  <c r="F7" i="167"/>
  <c r="D7" i="167"/>
  <c r="X6" i="167"/>
  <c r="X12" i="167" s="1"/>
  <c r="V6" i="167"/>
  <c r="V12" i="167" s="1"/>
  <c r="T6" i="167"/>
  <c r="R6" i="167"/>
  <c r="R12" i="167" s="1"/>
  <c r="P6" i="167"/>
  <c r="N6" i="167"/>
  <c r="N12" i="167" s="1"/>
  <c r="L6" i="167"/>
  <c r="J6" i="167"/>
  <c r="H6" i="167"/>
  <c r="F6" i="167"/>
  <c r="F12" i="167" s="1"/>
  <c r="D6" i="167"/>
  <c r="T12" i="167" l="1"/>
  <c r="Y11" i="167"/>
  <c r="D12" i="167"/>
  <c r="H12" i="167"/>
  <c r="J12" i="167"/>
  <c r="Y7" i="167"/>
  <c r="Y9" i="167"/>
  <c r="Y8" i="167"/>
  <c r="B21" i="167"/>
  <c r="Y6" i="167"/>
  <c r="Y12" i="167" l="1"/>
  <c r="V16" i="167" s="1"/>
  <c r="V24" i="167" s="1"/>
  <c r="I20" i="166" l="1"/>
  <c r="V25" i="166" l="1"/>
  <c r="F22" i="166"/>
  <c r="S19" i="166"/>
  <c r="S20" i="166" s="1"/>
  <c r="Q19" i="166"/>
  <c r="Q20" i="166" s="1"/>
  <c r="P19" i="166"/>
  <c r="P20" i="166" s="1"/>
  <c r="L19" i="166"/>
  <c r="L20" i="166" s="1"/>
  <c r="J19" i="166"/>
  <c r="J20" i="166" s="1"/>
  <c r="H19" i="166"/>
  <c r="H20" i="166" s="1"/>
  <c r="O18" i="166"/>
  <c r="O19" i="166" s="1"/>
  <c r="O20" i="166" s="1"/>
  <c r="D18" i="166"/>
  <c r="D19" i="166" s="1"/>
  <c r="D20" i="166" s="1"/>
  <c r="X12" i="166"/>
  <c r="W12" i="166"/>
  <c r="K18" i="166" s="1"/>
  <c r="K19" i="166" s="1"/>
  <c r="K20" i="166" s="1"/>
  <c r="U12" i="166"/>
  <c r="I18" i="166" s="1"/>
  <c r="I19" i="166" s="1"/>
  <c r="S12" i="166"/>
  <c r="Q12" i="166"/>
  <c r="P12" i="166"/>
  <c r="O12" i="166"/>
  <c r="N18" i="166" s="1"/>
  <c r="N19" i="166" s="1"/>
  <c r="N20" i="166" s="1"/>
  <c r="M12" i="166"/>
  <c r="M18" i="166" s="1"/>
  <c r="M19" i="166" s="1"/>
  <c r="M20" i="166" s="1"/>
  <c r="L12" i="166"/>
  <c r="K12" i="166"/>
  <c r="G18" i="166" s="1"/>
  <c r="G19" i="166" s="1"/>
  <c r="G20" i="166" s="1"/>
  <c r="I12" i="166"/>
  <c r="F18" i="166" s="1"/>
  <c r="F19" i="166" s="1"/>
  <c r="F20" i="166" s="1"/>
  <c r="G12" i="166"/>
  <c r="E18" i="166" s="1"/>
  <c r="E19" i="166" s="1"/>
  <c r="E20" i="166" s="1"/>
  <c r="E12" i="166"/>
  <c r="C12" i="166"/>
  <c r="B18" i="166" s="1"/>
  <c r="B19" i="166" s="1"/>
  <c r="B20" i="166" s="1"/>
  <c r="X11" i="166"/>
  <c r="V11" i="166"/>
  <c r="T11" i="166"/>
  <c r="R11" i="166"/>
  <c r="P11" i="166"/>
  <c r="N11" i="166"/>
  <c r="L11" i="166"/>
  <c r="J11" i="166"/>
  <c r="H11" i="166"/>
  <c r="F11" i="166"/>
  <c r="D11" i="166"/>
  <c r="X10" i="166"/>
  <c r="V10" i="166"/>
  <c r="T10" i="166"/>
  <c r="R10" i="166"/>
  <c r="P10" i="166"/>
  <c r="N10" i="166"/>
  <c r="L10" i="166"/>
  <c r="J10" i="166"/>
  <c r="H10" i="166"/>
  <c r="F10" i="166"/>
  <c r="Y10" i="166" s="1"/>
  <c r="D10" i="166"/>
  <c r="X9" i="166"/>
  <c r="V9" i="166"/>
  <c r="T9" i="166"/>
  <c r="R9" i="166"/>
  <c r="P9" i="166"/>
  <c r="N9" i="166"/>
  <c r="L9" i="166"/>
  <c r="J9" i="166"/>
  <c r="H9" i="166"/>
  <c r="F9" i="166"/>
  <c r="D9" i="166"/>
  <c r="X8" i="166"/>
  <c r="V8" i="166"/>
  <c r="T8" i="166"/>
  <c r="R8" i="166"/>
  <c r="P8" i="166"/>
  <c r="N8" i="166"/>
  <c r="L8" i="166"/>
  <c r="J8" i="166"/>
  <c r="H8" i="166"/>
  <c r="F8" i="166"/>
  <c r="D8" i="166"/>
  <c r="X7" i="166"/>
  <c r="V7" i="166"/>
  <c r="T7" i="166"/>
  <c r="R7" i="166"/>
  <c r="P7" i="166"/>
  <c r="N7" i="166"/>
  <c r="L7" i="166"/>
  <c r="J7" i="166"/>
  <c r="H7" i="166"/>
  <c r="F7" i="166"/>
  <c r="Y7" i="166" s="1"/>
  <c r="D7" i="166"/>
  <c r="X6" i="166"/>
  <c r="V6" i="166"/>
  <c r="T6" i="166"/>
  <c r="R6" i="166"/>
  <c r="R12" i="166" s="1"/>
  <c r="P6" i="166"/>
  <c r="N6" i="166"/>
  <c r="N12" i="166" s="1"/>
  <c r="L6" i="166"/>
  <c r="J6" i="166"/>
  <c r="H6" i="166"/>
  <c r="F6" i="166"/>
  <c r="F12" i="166" s="1"/>
  <c r="D6" i="166"/>
  <c r="V25" i="165"/>
  <c r="F22" i="165"/>
  <c r="S19" i="165"/>
  <c r="S20" i="165" s="1"/>
  <c r="Q19" i="165"/>
  <c r="Q20" i="165" s="1"/>
  <c r="P19" i="165"/>
  <c r="P20" i="165" s="1"/>
  <c r="L19" i="165"/>
  <c r="L20" i="165" s="1"/>
  <c r="J19" i="165"/>
  <c r="J20" i="165" s="1"/>
  <c r="H19" i="165"/>
  <c r="H20" i="165" s="1"/>
  <c r="K18" i="165"/>
  <c r="K19" i="165" s="1"/>
  <c r="K20" i="165" s="1"/>
  <c r="W12" i="165"/>
  <c r="U12" i="165"/>
  <c r="I18" i="165" s="1"/>
  <c r="I19" i="165" s="1"/>
  <c r="I20" i="165" s="1"/>
  <c r="S12" i="165"/>
  <c r="Q12" i="165"/>
  <c r="O18" i="165" s="1"/>
  <c r="O19" i="165" s="1"/>
  <c r="O20" i="165" s="1"/>
  <c r="O12" i="165"/>
  <c r="N18" i="165" s="1"/>
  <c r="N19" i="165" s="1"/>
  <c r="N20" i="165" s="1"/>
  <c r="M12" i="165"/>
  <c r="M18" i="165" s="1"/>
  <c r="M19" i="165" s="1"/>
  <c r="M20" i="165" s="1"/>
  <c r="K12" i="165"/>
  <c r="G18" i="165" s="1"/>
  <c r="G19" i="165" s="1"/>
  <c r="G20" i="165" s="1"/>
  <c r="I12" i="165"/>
  <c r="F18" i="165" s="1"/>
  <c r="F19" i="165" s="1"/>
  <c r="F20" i="165" s="1"/>
  <c r="G12" i="165"/>
  <c r="E18" i="165" s="1"/>
  <c r="E19" i="165" s="1"/>
  <c r="E20" i="165" s="1"/>
  <c r="E12" i="165"/>
  <c r="D18" i="165" s="1"/>
  <c r="D19" i="165" s="1"/>
  <c r="D20" i="165" s="1"/>
  <c r="C12" i="165"/>
  <c r="B18" i="165" s="1"/>
  <c r="B19" i="165" s="1"/>
  <c r="B20" i="165" s="1"/>
  <c r="X11" i="165"/>
  <c r="V11" i="165"/>
  <c r="T11" i="165"/>
  <c r="R11" i="165"/>
  <c r="P11" i="165"/>
  <c r="N11" i="165"/>
  <c r="L11" i="165"/>
  <c r="J11" i="165"/>
  <c r="H11" i="165"/>
  <c r="F11" i="165"/>
  <c r="D11" i="165"/>
  <c r="Y11" i="165" s="1"/>
  <c r="X10" i="165"/>
  <c r="V10" i="165"/>
  <c r="T10" i="165"/>
  <c r="R10" i="165"/>
  <c r="P10" i="165"/>
  <c r="N10" i="165"/>
  <c r="L10" i="165"/>
  <c r="J10" i="165"/>
  <c r="H10" i="165"/>
  <c r="F10" i="165"/>
  <c r="D10" i="165"/>
  <c r="Y10" i="165" s="1"/>
  <c r="X9" i="165"/>
  <c r="V9" i="165"/>
  <c r="T9" i="165"/>
  <c r="R9" i="165"/>
  <c r="P9" i="165"/>
  <c r="N9" i="165"/>
  <c r="L9" i="165"/>
  <c r="J9" i="165"/>
  <c r="H9" i="165"/>
  <c r="F9" i="165"/>
  <c r="D9" i="165"/>
  <c r="X8" i="165"/>
  <c r="V8" i="165"/>
  <c r="T8" i="165"/>
  <c r="R8" i="165"/>
  <c r="P8" i="165"/>
  <c r="N8" i="165"/>
  <c r="L8" i="165"/>
  <c r="J8" i="165"/>
  <c r="H8" i="165"/>
  <c r="F8" i="165"/>
  <c r="D8" i="165"/>
  <c r="X7" i="165"/>
  <c r="V7" i="165"/>
  <c r="T7" i="165"/>
  <c r="R7" i="165"/>
  <c r="P7" i="165"/>
  <c r="N7" i="165"/>
  <c r="L7" i="165"/>
  <c r="J7" i="165"/>
  <c r="H7" i="165"/>
  <c r="F7" i="165"/>
  <c r="D7" i="165"/>
  <c r="Y7" i="165" s="1"/>
  <c r="X6" i="165"/>
  <c r="X12" i="165" s="1"/>
  <c r="V6" i="165"/>
  <c r="V12" i="165" s="1"/>
  <c r="T6" i="165"/>
  <c r="R6" i="165"/>
  <c r="R12" i="165" s="1"/>
  <c r="P6" i="165"/>
  <c r="P12" i="165" s="1"/>
  <c r="N6" i="165"/>
  <c r="N12" i="165" s="1"/>
  <c r="L6" i="165"/>
  <c r="L12" i="165" s="1"/>
  <c r="J6" i="165"/>
  <c r="J12" i="165" s="1"/>
  <c r="H6" i="165"/>
  <c r="F6" i="165"/>
  <c r="F12" i="165" s="1"/>
  <c r="D6" i="165"/>
  <c r="V25" i="164"/>
  <c r="F22" i="164"/>
  <c r="S19" i="164"/>
  <c r="S20" i="164" s="1"/>
  <c r="Q19" i="164"/>
  <c r="Q20" i="164" s="1"/>
  <c r="P19" i="164"/>
  <c r="P20" i="164" s="1"/>
  <c r="L19" i="164"/>
  <c r="L20" i="164" s="1"/>
  <c r="J19" i="164"/>
  <c r="J20" i="164" s="1"/>
  <c r="H19" i="164"/>
  <c r="H20" i="164" s="1"/>
  <c r="K18" i="164"/>
  <c r="K19" i="164" s="1"/>
  <c r="K20" i="164" s="1"/>
  <c r="W12" i="164"/>
  <c r="U12" i="164"/>
  <c r="I18" i="164" s="1"/>
  <c r="I19" i="164" s="1"/>
  <c r="I20" i="164" s="1"/>
  <c r="S12" i="164"/>
  <c r="Q12" i="164"/>
  <c r="O18" i="164" s="1"/>
  <c r="O19" i="164" s="1"/>
  <c r="O20" i="164" s="1"/>
  <c r="O12" i="164"/>
  <c r="N18" i="164" s="1"/>
  <c r="N19" i="164" s="1"/>
  <c r="N20" i="164" s="1"/>
  <c r="M12" i="164"/>
  <c r="M18" i="164" s="1"/>
  <c r="M19" i="164" s="1"/>
  <c r="M20" i="164" s="1"/>
  <c r="K12" i="164"/>
  <c r="G18" i="164" s="1"/>
  <c r="G19" i="164" s="1"/>
  <c r="G20" i="164" s="1"/>
  <c r="I12" i="164"/>
  <c r="F18" i="164" s="1"/>
  <c r="F19" i="164" s="1"/>
  <c r="F20" i="164" s="1"/>
  <c r="G12" i="164"/>
  <c r="E18" i="164" s="1"/>
  <c r="E19" i="164" s="1"/>
  <c r="E20" i="164" s="1"/>
  <c r="E12" i="164"/>
  <c r="D18" i="164" s="1"/>
  <c r="D19" i="164" s="1"/>
  <c r="D20" i="164" s="1"/>
  <c r="C12" i="164"/>
  <c r="B18" i="164" s="1"/>
  <c r="B19" i="164" s="1"/>
  <c r="B20" i="164" s="1"/>
  <c r="X11" i="164"/>
  <c r="V11" i="164"/>
  <c r="T11" i="164"/>
  <c r="R11" i="164"/>
  <c r="P11" i="164"/>
  <c r="N11" i="164"/>
  <c r="L11" i="164"/>
  <c r="J11" i="164"/>
  <c r="H11" i="164"/>
  <c r="F11" i="164"/>
  <c r="D11" i="164"/>
  <c r="X10" i="164"/>
  <c r="V10" i="164"/>
  <c r="T10" i="164"/>
  <c r="R10" i="164"/>
  <c r="P10" i="164"/>
  <c r="N10" i="164"/>
  <c r="L10" i="164"/>
  <c r="J10" i="164"/>
  <c r="H10" i="164"/>
  <c r="F10" i="164"/>
  <c r="D10" i="164"/>
  <c r="Y10" i="164" s="1"/>
  <c r="X9" i="164"/>
  <c r="V9" i="164"/>
  <c r="T9" i="164"/>
  <c r="R9" i="164"/>
  <c r="P9" i="164"/>
  <c r="N9" i="164"/>
  <c r="L9" i="164"/>
  <c r="J9" i="164"/>
  <c r="H9" i="164"/>
  <c r="F9" i="164"/>
  <c r="D9" i="164"/>
  <c r="X8" i="164"/>
  <c r="V8" i="164"/>
  <c r="T8" i="164"/>
  <c r="R8" i="164"/>
  <c r="P8" i="164"/>
  <c r="N8" i="164"/>
  <c r="L8" i="164"/>
  <c r="J8" i="164"/>
  <c r="H8" i="164"/>
  <c r="F8" i="164"/>
  <c r="D8" i="164"/>
  <c r="X7" i="164"/>
  <c r="V7" i="164"/>
  <c r="T7" i="164"/>
  <c r="R7" i="164"/>
  <c r="P7" i="164"/>
  <c r="N7" i="164"/>
  <c r="L7" i="164"/>
  <c r="J7" i="164"/>
  <c r="H7" i="164"/>
  <c r="F7" i="164"/>
  <c r="D7" i="164"/>
  <c r="X6" i="164"/>
  <c r="X12" i="164" s="1"/>
  <c r="V6" i="164"/>
  <c r="V12" i="164" s="1"/>
  <c r="T6" i="164"/>
  <c r="R6" i="164"/>
  <c r="R12" i="164" s="1"/>
  <c r="P6" i="164"/>
  <c r="P12" i="164" s="1"/>
  <c r="N6" i="164"/>
  <c r="N12" i="164" s="1"/>
  <c r="L6" i="164"/>
  <c r="L12" i="164" s="1"/>
  <c r="J6" i="164"/>
  <c r="J12" i="164" s="1"/>
  <c r="H6" i="164"/>
  <c r="F6" i="164"/>
  <c r="F12" i="164" s="1"/>
  <c r="D6" i="164"/>
  <c r="V12" i="166" l="1"/>
  <c r="Y11" i="166"/>
  <c r="T12" i="166"/>
  <c r="H12" i="166"/>
  <c r="D12" i="166"/>
  <c r="J12" i="166"/>
  <c r="Y9" i="166"/>
  <c r="Y8" i="166"/>
  <c r="B21" i="166"/>
  <c r="Y6" i="166"/>
  <c r="T12" i="165"/>
  <c r="Y9" i="165"/>
  <c r="H12" i="165"/>
  <c r="Y8" i="165"/>
  <c r="D12" i="165"/>
  <c r="B21" i="165"/>
  <c r="Y6" i="165"/>
  <c r="Y11" i="164"/>
  <c r="Y7" i="164"/>
  <c r="T12" i="164"/>
  <c r="Y9" i="164"/>
  <c r="H12" i="164"/>
  <c r="Y8" i="164"/>
  <c r="D12" i="164"/>
  <c r="B21" i="164"/>
  <c r="Y6" i="164"/>
  <c r="Y12" i="166" l="1"/>
  <c r="V16" i="166" s="1"/>
  <c r="V24" i="166" s="1"/>
  <c r="Y12" i="165"/>
  <c r="V16" i="165" s="1"/>
  <c r="V24" i="165" s="1"/>
  <c r="Y12" i="164"/>
  <c r="V16" i="164" s="1"/>
  <c r="V24" i="164" s="1"/>
  <c r="V25" i="163" l="1"/>
  <c r="F22" i="163"/>
  <c r="S19" i="163"/>
  <c r="S20" i="163" s="1"/>
  <c r="Q19" i="163"/>
  <c r="Q20" i="163" s="1"/>
  <c r="P19" i="163"/>
  <c r="P20" i="163" s="1"/>
  <c r="L19" i="163"/>
  <c r="L20" i="163" s="1"/>
  <c r="J19" i="163"/>
  <c r="J20" i="163" s="1"/>
  <c r="I19" i="163"/>
  <c r="I20" i="163" s="1"/>
  <c r="H19" i="163"/>
  <c r="H20" i="163" s="1"/>
  <c r="I18" i="163"/>
  <c r="W12" i="163"/>
  <c r="K18" i="163" s="1"/>
  <c r="K19" i="163" s="1"/>
  <c r="K20" i="163" s="1"/>
  <c r="U12" i="163"/>
  <c r="S12" i="163"/>
  <c r="Q12" i="163"/>
  <c r="O18" i="163" s="1"/>
  <c r="O19" i="163" s="1"/>
  <c r="O20" i="163" s="1"/>
  <c r="O12" i="163"/>
  <c r="N18" i="163" s="1"/>
  <c r="N19" i="163" s="1"/>
  <c r="N20" i="163" s="1"/>
  <c r="M12" i="163"/>
  <c r="M18" i="163" s="1"/>
  <c r="M19" i="163" s="1"/>
  <c r="M20" i="163" s="1"/>
  <c r="K12" i="163"/>
  <c r="G18" i="163" s="1"/>
  <c r="G19" i="163" s="1"/>
  <c r="G20" i="163" s="1"/>
  <c r="I12" i="163"/>
  <c r="F18" i="163" s="1"/>
  <c r="F19" i="163" s="1"/>
  <c r="F20" i="163" s="1"/>
  <c r="G12" i="163"/>
  <c r="E18" i="163" s="1"/>
  <c r="E19" i="163" s="1"/>
  <c r="E20" i="163" s="1"/>
  <c r="E12" i="163"/>
  <c r="D18" i="163" s="1"/>
  <c r="D19" i="163" s="1"/>
  <c r="D20" i="163" s="1"/>
  <c r="C12" i="163"/>
  <c r="B18" i="163" s="1"/>
  <c r="B19" i="163" s="1"/>
  <c r="B20" i="163" s="1"/>
  <c r="X11" i="163"/>
  <c r="V11" i="163"/>
  <c r="T11" i="163"/>
  <c r="R11" i="163"/>
  <c r="P11" i="163"/>
  <c r="N11" i="163"/>
  <c r="L11" i="163"/>
  <c r="J11" i="163"/>
  <c r="H11" i="163"/>
  <c r="F11" i="163"/>
  <c r="D11" i="163"/>
  <c r="Y11" i="163" s="1"/>
  <c r="X10" i="163"/>
  <c r="V10" i="163"/>
  <c r="T10" i="163"/>
  <c r="R10" i="163"/>
  <c r="P10" i="163"/>
  <c r="N10" i="163"/>
  <c r="L10" i="163"/>
  <c r="J10" i="163"/>
  <c r="H10" i="163"/>
  <c r="F10" i="163"/>
  <c r="D10" i="163"/>
  <c r="X9" i="163"/>
  <c r="V9" i="163"/>
  <c r="T9" i="163"/>
  <c r="R9" i="163"/>
  <c r="P9" i="163"/>
  <c r="N9" i="163"/>
  <c r="L9" i="163"/>
  <c r="J9" i="163"/>
  <c r="H9" i="163"/>
  <c r="F9" i="163"/>
  <c r="D9" i="163"/>
  <c r="X8" i="163"/>
  <c r="V8" i="163"/>
  <c r="T8" i="163"/>
  <c r="R8" i="163"/>
  <c r="P8" i="163"/>
  <c r="N8" i="163"/>
  <c r="L8" i="163"/>
  <c r="J8" i="163"/>
  <c r="H8" i="163"/>
  <c r="F8" i="163"/>
  <c r="D8" i="163"/>
  <c r="X7" i="163"/>
  <c r="V7" i="163"/>
  <c r="T7" i="163"/>
  <c r="R7" i="163"/>
  <c r="P7" i="163"/>
  <c r="N7" i="163"/>
  <c r="L7" i="163"/>
  <c r="J7" i="163"/>
  <c r="H7" i="163"/>
  <c r="F7" i="163"/>
  <c r="D7" i="163"/>
  <c r="X6" i="163"/>
  <c r="X12" i="163" s="1"/>
  <c r="V6" i="163"/>
  <c r="V12" i="163" s="1"/>
  <c r="T6" i="163"/>
  <c r="R6" i="163"/>
  <c r="R12" i="163" s="1"/>
  <c r="P6" i="163"/>
  <c r="P12" i="163" s="1"/>
  <c r="N6" i="163"/>
  <c r="N12" i="163" s="1"/>
  <c r="L6" i="163"/>
  <c r="L12" i="163" s="1"/>
  <c r="J6" i="163"/>
  <c r="H6" i="163"/>
  <c r="H12" i="163" s="1"/>
  <c r="F6" i="163"/>
  <c r="F12" i="163" s="1"/>
  <c r="D6" i="163"/>
  <c r="Y7" i="163" l="1"/>
  <c r="J12" i="163"/>
  <c r="T12" i="163"/>
  <c r="Y10" i="163"/>
  <c r="Y9" i="163"/>
  <c r="Y8" i="163"/>
  <c r="D12" i="163"/>
  <c r="Y12" i="163" s="1"/>
  <c r="V16" i="163" s="1"/>
  <c r="V24" i="163" s="1"/>
  <c r="B21" i="163"/>
  <c r="Y6" i="163"/>
  <c r="V25" i="162" l="1"/>
  <c r="F22" i="162"/>
  <c r="S19" i="162"/>
  <c r="S20" i="162" s="1"/>
  <c r="Q19" i="162"/>
  <c r="Q20" i="162" s="1"/>
  <c r="P19" i="162"/>
  <c r="P20" i="162" s="1"/>
  <c r="L19" i="162"/>
  <c r="L20" i="162" s="1"/>
  <c r="J19" i="162"/>
  <c r="J20" i="162" s="1"/>
  <c r="H19" i="162"/>
  <c r="H20" i="162" s="1"/>
  <c r="O18" i="162"/>
  <c r="O19" i="162" s="1"/>
  <c r="O20" i="162" s="1"/>
  <c r="I18" i="162"/>
  <c r="I19" i="162" s="1"/>
  <c r="I20" i="162" s="1"/>
  <c r="X12" i="162"/>
  <c r="W12" i="162"/>
  <c r="K18" i="162" s="1"/>
  <c r="K19" i="162" s="1"/>
  <c r="K20" i="162" s="1"/>
  <c r="U12" i="162"/>
  <c r="S12" i="162"/>
  <c r="Q12" i="162"/>
  <c r="P12" i="162"/>
  <c r="O12" i="162"/>
  <c r="N18" i="162" s="1"/>
  <c r="N19" i="162" s="1"/>
  <c r="N20" i="162" s="1"/>
  <c r="M12" i="162"/>
  <c r="M18" i="162" s="1"/>
  <c r="M19" i="162" s="1"/>
  <c r="M20" i="162" s="1"/>
  <c r="L12" i="162"/>
  <c r="K12" i="162"/>
  <c r="G18" i="162" s="1"/>
  <c r="G19" i="162" s="1"/>
  <c r="G20" i="162" s="1"/>
  <c r="I12" i="162"/>
  <c r="F18" i="162" s="1"/>
  <c r="F19" i="162" s="1"/>
  <c r="F20" i="162" s="1"/>
  <c r="G12" i="162"/>
  <c r="E18" i="162" s="1"/>
  <c r="E19" i="162" s="1"/>
  <c r="E20" i="162" s="1"/>
  <c r="E12" i="162"/>
  <c r="D18" i="162" s="1"/>
  <c r="D19" i="162" s="1"/>
  <c r="D20" i="162" s="1"/>
  <c r="C12" i="162"/>
  <c r="B18" i="162" s="1"/>
  <c r="B19" i="162" s="1"/>
  <c r="B20" i="162" s="1"/>
  <c r="X11" i="162"/>
  <c r="V11" i="162"/>
  <c r="T11" i="162"/>
  <c r="R11" i="162"/>
  <c r="P11" i="162"/>
  <c r="N11" i="162"/>
  <c r="L11" i="162"/>
  <c r="J11" i="162"/>
  <c r="H11" i="162"/>
  <c r="F11" i="162"/>
  <c r="D11" i="162"/>
  <c r="Y11" i="162" s="1"/>
  <c r="X10" i="162"/>
  <c r="V10" i="162"/>
  <c r="T10" i="162"/>
  <c r="R10" i="162"/>
  <c r="P10" i="162"/>
  <c r="N10" i="162"/>
  <c r="L10" i="162"/>
  <c r="J10" i="162"/>
  <c r="H10" i="162"/>
  <c r="F10" i="162"/>
  <c r="D10" i="162"/>
  <c r="X9" i="162"/>
  <c r="V9" i="162"/>
  <c r="T9" i="162"/>
  <c r="R9" i="162"/>
  <c r="P9" i="162"/>
  <c r="N9" i="162"/>
  <c r="L9" i="162"/>
  <c r="J9" i="162"/>
  <c r="H9" i="162"/>
  <c r="F9" i="162"/>
  <c r="D9" i="162"/>
  <c r="Y9" i="162" s="1"/>
  <c r="X8" i="162"/>
  <c r="V8" i="162"/>
  <c r="T8" i="162"/>
  <c r="R8" i="162"/>
  <c r="P8" i="162"/>
  <c r="N8" i="162"/>
  <c r="L8" i="162"/>
  <c r="J8" i="162"/>
  <c r="H8" i="162"/>
  <c r="F8" i="162"/>
  <c r="D8" i="162"/>
  <c r="X7" i="162"/>
  <c r="V7" i="162"/>
  <c r="T7" i="162"/>
  <c r="R7" i="162"/>
  <c r="P7" i="162"/>
  <c r="N7" i="162"/>
  <c r="L7" i="162"/>
  <c r="J7" i="162"/>
  <c r="H7" i="162"/>
  <c r="H12" i="162" s="1"/>
  <c r="F7" i="162"/>
  <c r="D7" i="162"/>
  <c r="X6" i="162"/>
  <c r="V6" i="162"/>
  <c r="V12" i="162" s="1"/>
  <c r="T6" i="162"/>
  <c r="T12" i="162" s="1"/>
  <c r="R6" i="162"/>
  <c r="R12" i="162" s="1"/>
  <c r="P6" i="162"/>
  <c r="N6" i="162"/>
  <c r="N12" i="162" s="1"/>
  <c r="L6" i="162"/>
  <c r="J6" i="162"/>
  <c r="H6" i="162"/>
  <c r="F6" i="162"/>
  <c r="F12" i="162" s="1"/>
  <c r="D6" i="162"/>
  <c r="Y8" i="162" l="1"/>
  <c r="J12" i="162"/>
  <c r="Y7" i="162"/>
  <c r="Y6" i="162"/>
  <c r="Y10" i="162"/>
  <c r="D12" i="162"/>
  <c r="B21" i="162"/>
  <c r="Y12" i="162" l="1"/>
  <c r="V16" i="162" s="1"/>
  <c r="V24" i="162" s="1"/>
  <c r="Y8" i="160" l="1"/>
  <c r="Y9" i="160"/>
  <c r="Y10" i="160"/>
  <c r="V25" i="160"/>
  <c r="F22" i="160"/>
  <c r="S19" i="160"/>
  <c r="S20" i="160" s="1"/>
  <c r="Q19" i="160"/>
  <c r="Q20" i="160" s="1"/>
  <c r="P19" i="160"/>
  <c r="P20" i="160" s="1"/>
  <c r="L19" i="160"/>
  <c r="L20" i="160" s="1"/>
  <c r="J19" i="160"/>
  <c r="J20" i="160" s="1"/>
  <c r="I19" i="160"/>
  <c r="I20" i="160" s="1"/>
  <c r="H19" i="160"/>
  <c r="H20" i="160" s="1"/>
  <c r="O18" i="160"/>
  <c r="O19" i="160" s="1"/>
  <c r="O20" i="160" s="1"/>
  <c r="N18" i="160"/>
  <c r="N19" i="160" s="1"/>
  <c r="N20" i="160" s="1"/>
  <c r="I18" i="160"/>
  <c r="X12" i="160"/>
  <c r="W12" i="160"/>
  <c r="K18" i="160" s="1"/>
  <c r="K19" i="160" s="1"/>
  <c r="K20" i="160" s="1"/>
  <c r="U12" i="160"/>
  <c r="S12" i="160"/>
  <c r="Q12" i="160"/>
  <c r="P12" i="160"/>
  <c r="O12" i="160"/>
  <c r="M12" i="160"/>
  <c r="M18" i="160" s="1"/>
  <c r="M19" i="160" s="1"/>
  <c r="M20" i="160" s="1"/>
  <c r="K12" i="160"/>
  <c r="G18" i="160" s="1"/>
  <c r="G19" i="160" s="1"/>
  <c r="G20" i="160" s="1"/>
  <c r="I12" i="160"/>
  <c r="F18" i="160" s="1"/>
  <c r="F19" i="160" s="1"/>
  <c r="F20" i="160" s="1"/>
  <c r="G12" i="160"/>
  <c r="E18" i="160" s="1"/>
  <c r="E19" i="160" s="1"/>
  <c r="E20" i="160" s="1"/>
  <c r="E12" i="160"/>
  <c r="D18" i="160" s="1"/>
  <c r="D19" i="160" s="1"/>
  <c r="D20" i="160" s="1"/>
  <c r="C12" i="160"/>
  <c r="B18" i="160" s="1"/>
  <c r="B19" i="160" s="1"/>
  <c r="B20" i="160" s="1"/>
  <c r="X11" i="160"/>
  <c r="V11" i="160"/>
  <c r="T11" i="160"/>
  <c r="Y11" i="160" s="1"/>
  <c r="R11" i="160"/>
  <c r="P11" i="160"/>
  <c r="N11" i="160"/>
  <c r="L11" i="160"/>
  <c r="J11" i="160"/>
  <c r="H11" i="160"/>
  <c r="F11" i="160"/>
  <c r="D11" i="160"/>
  <c r="X10" i="160"/>
  <c r="V10" i="160"/>
  <c r="T10" i="160"/>
  <c r="R10" i="160"/>
  <c r="P10" i="160"/>
  <c r="N10" i="160"/>
  <c r="L10" i="160"/>
  <c r="J10" i="160"/>
  <c r="H10" i="160"/>
  <c r="F10" i="160"/>
  <c r="D10" i="160"/>
  <c r="X9" i="160"/>
  <c r="V9" i="160"/>
  <c r="T9" i="160"/>
  <c r="R9" i="160"/>
  <c r="P9" i="160"/>
  <c r="N9" i="160"/>
  <c r="L9" i="160"/>
  <c r="J9" i="160"/>
  <c r="H9" i="160"/>
  <c r="F9" i="160"/>
  <c r="D9" i="160"/>
  <c r="X8" i="160"/>
  <c r="V8" i="160"/>
  <c r="T8" i="160"/>
  <c r="R8" i="160"/>
  <c r="P8" i="160"/>
  <c r="N8" i="160"/>
  <c r="L8" i="160"/>
  <c r="J8" i="160"/>
  <c r="H8" i="160"/>
  <c r="F8" i="160"/>
  <c r="D8" i="160"/>
  <c r="X7" i="160"/>
  <c r="V7" i="160"/>
  <c r="T7" i="160"/>
  <c r="R7" i="160"/>
  <c r="P7" i="160"/>
  <c r="N7" i="160"/>
  <c r="L7" i="160"/>
  <c r="J7" i="160"/>
  <c r="H7" i="160"/>
  <c r="F7" i="160"/>
  <c r="D7" i="160"/>
  <c r="X6" i="160"/>
  <c r="V6" i="160"/>
  <c r="V12" i="160" s="1"/>
  <c r="T6" i="160"/>
  <c r="R6" i="160"/>
  <c r="R12" i="160" s="1"/>
  <c r="P6" i="160"/>
  <c r="N6" i="160"/>
  <c r="N12" i="160" s="1"/>
  <c r="L6" i="160"/>
  <c r="L12" i="160" s="1"/>
  <c r="J6" i="160"/>
  <c r="H6" i="160"/>
  <c r="F6" i="160"/>
  <c r="D6" i="160"/>
  <c r="F12" i="160" l="1"/>
  <c r="H12" i="160"/>
  <c r="T12" i="160"/>
  <c r="J12" i="160"/>
  <c r="Y7" i="160"/>
  <c r="Y6" i="160"/>
  <c r="B21" i="160"/>
  <c r="D12" i="160"/>
  <c r="Y12" i="160" l="1"/>
  <c r="V16" i="160"/>
  <c r="V24" i="160" s="1"/>
  <c r="V25" i="159" l="1"/>
  <c r="F22" i="159"/>
  <c r="S19" i="159"/>
  <c r="S20" i="159" s="1"/>
  <c r="Q19" i="159"/>
  <c r="Q20" i="159" s="1"/>
  <c r="P19" i="159"/>
  <c r="P20" i="159" s="1"/>
  <c r="L19" i="159"/>
  <c r="L20" i="159" s="1"/>
  <c r="J19" i="159"/>
  <c r="J20" i="159" s="1"/>
  <c r="H19" i="159"/>
  <c r="H20" i="159" s="1"/>
  <c r="M18" i="159"/>
  <c r="M19" i="159" s="1"/>
  <c r="M20" i="159" s="1"/>
  <c r="W12" i="159"/>
  <c r="K18" i="159" s="1"/>
  <c r="K19" i="159" s="1"/>
  <c r="K20" i="159" s="1"/>
  <c r="V12" i="159"/>
  <c r="U12" i="159"/>
  <c r="I18" i="159" s="1"/>
  <c r="I19" i="159" s="1"/>
  <c r="I20" i="159" s="1"/>
  <c r="S12" i="159"/>
  <c r="Q12" i="159"/>
  <c r="O18" i="159" s="1"/>
  <c r="O19" i="159" s="1"/>
  <c r="O20" i="159" s="1"/>
  <c r="O12" i="159"/>
  <c r="N18" i="159" s="1"/>
  <c r="N19" i="159" s="1"/>
  <c r="N20" i="159" s="1"/>
  <c r="N12" i="159"/>
  <c r="M12" i="159"/>
  <c r="K12" i="159"/>
  <c r="G18" i="159" s="1"/>
  <c r="G19" i="159" s="1"/>
  <c r="G20" i="159" s="1"/>
  <c r="I12" i="159"/>
  <c r="F18" i="159" s="1"/>
  <c r="F19" i="159" s="1"/>
  <c r="F20" i="159" s="1"/>
  <c r="G12" i="159"/>
  <c r="E18" i="159" s="1"/>
  <c r="E19" i="159" s="1"/>
  <c r="E20" i="159" s="1"/>
  <c r="F12" i="159"/>
  <c r="E12" i="159"/>
  <c r="D18" i="159" s="1"/>
  <c r="D19" i="159" s="1"/>
  <c r="D20" i="159" s="1"/>
  <c r="C12" i="159"/>
  <c r="B18" i="159" s="1"/>
  <c r="B19" i="159" s="1"/>
  <c r="B20" i="159" s="1"/>
  <c r="X11" i="159"/>
  <c r="V11" i="159"/>
  <c r="T11" i="159"/>
  <c r="R11" i="159"/>
  <c r="P11" i="159"/>
  <c r="N11" i="159"/>
  <c r="L11" i="159"/>
  <c r="J11" i="159"/>
  <c r="Y11" i="159" s="1"/>
  <c r="H11" i="159"/>
  <c r="F11" i="159"/>
  <c r="D11" i="159"/>
  <c r="X10" i="159"/>
  <c r="V10" i="159"/>
  <c r="T10" i="159"/>
  <c r="R10" i="159"/>
  <c r="P10" i="159"/>
  <c r="N10" i="159"/>
  <c r="L10" i="159"/>
  <c r="J10" i="159"/>
  <c r="Y10" i="159" s="1"/>
  <c r="H10" i="159"/>
  <c r="F10" i="159"/>
  <c r="D10" i="159"/>
  <c r="X9" i="159"/>
  <c r="V9" i="159"/>
  <c r="T9" i="159"/>
  <c r="R9" i="159"/>
  <c r="P9" i="159"/>
  <c r="N9" i="159"/>
  <c r="L9" i="159"/>
  <c r="J9" i="159"/>
  <c r="H9" i="159"/>
  <c r="F9" i="159"/>
  <c r="D9" i="159"/>
  <c r="X8" i="159"/>
  <c r="V8" i="159"/>
  <c r="T8" i="159"/>
  <c r="R8" i="159"/>
  <c r="P8" i="159"/>
  <c r="N8" i="159"/>
  <c r="L8" i="159"/>
  <c r="J8" i="159"/>
  <c r="H8" i="159"/>
  <c r="F8" i="159"/>
  <c r="D8" i="159"/>
  <c r="X7" i="159"/>
  <c r="V7" i="159"/>
  <c r="T7" i="159"/>
  <c r="R7" i="159"/>
  <c r="P7" i="159"/>
  <c r="N7" i="159"/>
  <c r="L7" i="159"/>
  <c r="J7" i="159"/>
  <c r="H7" i="159"/>
  <c r="F7" i="159"/>
  <c r="D7" i="159"/>
  <c r="X6" i="159"/>
  <c r="X12" i="159" s="1"/>
  <c r="V6" i="159"/>
  <c r="T6" i="159"/>
  <c r="T12" i="159" s="1"/>
  <c r="R6" i="159"/>
  <c r="R12" i="159" s="1"/>
  <c r="P6" i="159"/>
  <c r="P12" i="159" s="1"/>
  <c r="N6" i="159"/>
  <c r="L6" i="159"/>
  <c r="L12" i="159" s="1"/>
  <c r="J6" i="159"/>
  <c r="H6" i="159"/>
  <c r="F6" i="159"/>
  <c r="D6" i="159"/>
  <c r="H12" i="159" l="1"/>
  <c r="Y7" i="159"/>
  <c r="J12" i="159"/>
  <c r="D12" i="159"/>
  <c r="Y9" i="159"/>
  <c r="Y8" i="159"/>
  <c r="B21" i="159"/>
  <c r="Y6" i="159"/>
  <c r="Y12" i="159" l="1"/>
  <c r="V16" i="159" s="1"/>
  <c r="V24" i="159" s="1"/>
  <c r="V25" i="158" l="1"/>
  <c r="F22" i="158"/>
  <c r="S19" i="158"/>
  <c r="S20" i="158" s="1"/>
  <c r="Q19" i="158"/>
  <c r="Q20" i="158" s="1"/>
  <c r="P19" i="158"/>
  <c r="P20" i="158" s="1"/>
  <c r="L19" i="158"/>
  <c r="L20" i="158" s="1"/>
  <c r="J19" i="158"/>
  <c r="J20" i="158" s="1"/>
  <c r="H19" i="158"/>
  <c r="H20" i="158" s="1"/>
  <c r="W12" i="158"/>
  <c r="K18" i="158" s="1"/>
  <c r="K19" i="158" s="1"/>
  <c r="K20" i="158" s="1"/>
  <c r="U12" i="158"/>
  <c r="I18" i="158" s="1"/>
  <c r="I19" i="158" s="1"/>
  <c r="I20" i="158" s="1"/>
  <c r="S12" i="158"/>
  <c r="Q12" i="158"/>
  <c r="O18" i="158" s="1"/>
  <c r="O19" i="158" s="1"/>
  <c r="O20" i="158" s="1"/>
  <c r="O12" i="158"/>
  <c r="N18" i="158" s="1"/>
  <c r="N19" i="158" s="1"/>
  <c r="N20" i="158" s="1"/>
  <c r="M12" i="158"/>
  <c r="M18" i="158" s="1"/>
  <c r="M19" i="158" s="1"/>
  <c r="M20" i="158" s="1"/>
  <c r="K12" i="158"/>
  <c r="G18" i="158" s="1"/>
  <c r="G19" i="158" s="1"/>
  <c r="G20" i="158" s="1"/>
  <c r="I12" i="158"/>
  <c r="F18" i="158" s="1"/>
  <c r="F19" i="158" s="1"/>
  <c r="F20" i="158" s="1"/>
  <c r="G12" i="158"/>
  <c r="E18" i="158" s="1"/>
  <c r="E19" i="158" s="1"/>
  <c r="E20" i="158" s="1"/>
  <c r="E12" i="158"/>
  <c r="D18" i="158" s="1"/>
  <c r="D19" i="158" s="1"/>
  <c r="D20" i="158" s="1"/>
  <c r="C12" i="158"/>
  <c r="B18" i="158" s="1"/>
  <c r="B19" i="158" s="1"/>
  <c r="B20" i="158" s="1"/>
  <c r="X11" i="158"/>
  <c r="V11" i="158"/>
  <c r="T11" i="158"/>
  <c r="R11" i="158"/>
  <c r="P11" i="158"/>
  <c r="N11" i="158"/>
  <c r="L11" i="158"/>
  <c r="J11" i="158"/>
  <c r="H11" i="158"/>
  <c r="F11" i="158"/>
  <c r="D11" i="158"/>
  <c r="Y11" i="158" s="1"/>
  <c r="X10" i="158"/>
  <c r="V10" i="158"/>
  <c r="T10" i="158"/>
  <c r="R10" i="158"/>
  <c r="P10" i="158"/>
  <c r="N10" i="158"/>
  <c r="L10" i="158"/>
  <c r="J10" i="158"/>
  <c r="H10" i="158"/>
  <c r="F10" i="158"/>
  <c r="D10" i="158"/>
  <c r="Y10" i="158" s="1"/>
  <c r="X9" i="158"/>
  <c r="V9" i="158"/>
  <c r="T9" i="158"/>
  <c r="R9" i="158"/>
  <c r="P9" i="158"/>
  <c r="N9" i="158"/>
  <c r="L9" i="158"/>
  <c r="J9" i="158"/>
  <c r="H9" i="158"/>
  <c r="F9" i="158"/>
  <c r="D9" i="158"/>
  <c r="X8" i="158"/>
  <c r="V8" i="158"/>
  <c r="T8" i="158"/>
  <c r="R8" i="158"/>
  <c r="P8" i="158"/>
  <c r="N8" i="158"/>
  <c r="L8" i="158"/>
  <c r="J8" i="158"/>
  <c r="H8" i="158"/>
  <c r="F8" i="158"/>
  <c r="D8" i="158"/>
  <c r="X7" i="158"/>
  <c r="V7" i="158"/>
  <c r="T7" i="158"/>
  <c r="R7" i="158"/>
  <c r="P7" i="158"/>
  <c r="N7" i="158"/>
  <c r="L7" i="158"/>
  <c r="J7" i="158"/>
  <c r="H7" i="158"/>
  <c r="F7" i="158"/>
  <c r="D7" i="158"/>
  <c r="X6" i="158"/>
  <c r="V6" i="158"/>
  <c r="V12" i="158" s="1"/>
  <c r="T6" i="158"/>
  <c r="T12" i="158" s="1"/>
  <c r="R6" i="158"/>
  <c r="R12" i="158" s="1"/>
  <c r="P6" i="158"/>
  <c r="P12" i="158" s="1"/>
  <c r="N6" i="158"/>
  <c r="N12" i="158" s="1"/>
  <c r="L6" i="158"/>
  <c r="L12" i="158" s="1"/>
  <c r="J6" i="158"/>
  <c r="H6" i="158"/>
  <c r="F6" i="158"/>
  <c r="F12" i="158" s="1"/>
  <c r="D6" i="158"/>
  <c r="V25" i="157"/>
  <c r="F22" i="157"/>
  <c r="S19" i="157"/>
  <c r="S20" i="157" s="1"/>
  <c r="Q19" i="157"/>
  <c r="Q20" i="157" s="1"/>
  <c r="P19" i="157"/>
  <c r="P20" i="157" s="1"/>
  <c r="L19" i="157"/>
  <c r="L20" i="157" s="1"/>
  <c r="J19" i="157"/>
  <c r="J20" i="157" s="1"/>
  <c r="H19" i="157"/>
  <c r="H20" i="157" s="1"/>
  <c r="K18" i="157"/>
  <c r="K19" i="157" s="1"/>
  <c r="K20" i="157" s="1"/>
  <c r="W12" i="157"/>
  <c r="U12" i="157"/>
  <c r="I18" i="157" s="1"/>
  <c r="I19" i="157" s="1"/>
  <c r="I20" i="157" s="1"/>
  <c r="S12" i="157"/>
  <c r="Q12" i="157"/>
  <c r="O18" i="157" s="1"/>
  <c r="O19" i="157" s="1"/>
  <c r="O20" i="157" s="1"/>
  <c r="O12" i="157"/>
  <c r="N18" i="157" s="1"/>
  <c r="N19" i="157" s="1"/>
  <c r="N20" i="157" s="1"/>
  <c r="M12" i="157"/>
  <c r="M18" i="157" s="1"/>
  <c r="M19" i="157" s="1"/>
  <c r="M20" i="157" s="1"/>
  <c r="K12" i="157"/>
  <c r="G18" i="157" s="1"/>
  <c r="G19" i="157" s="1"/>
  <c r="G20" i="157" s="1"/>
  <c r="I12" i="157"/>
  <c r="F18" i="157" s="1"/>
  <c r="F19" i="157" s="1"/>
  <c r="F20" i="157" s="1"/>
  <c r="G12" i="157"/>
  <c r="E18" i="157" s="1"/>
  <c r="E19" i="157" s="1"/>
  <c r="E20" i="157" s="1"/>
  <c r="E12" i="157"/>
  <c r="D18" i="157" s="1"/>
  <c r="D19" i="157" s="1"/>
  <c r="D20" i="157" s="1"/>
  <c r="C12" i="157"/>
  <c r="B18" i="157" s="1"/>
  <c r="B19" i="157" s="1"/>
  <c r="B20" i="157" s="1"/>
  <c r="X11" i="157"/>
  <c r="V11" i="157"/>
  <c r="T11" i="157"/>
  <c r="R11" i="157"/>
  <c r="P11" i="157"/>
  <c r="N11" i="157"/>
  <c r="L11" i="157"/>
  <c r="J11" i="157"/>
  <c r="H11" i="157"/>
  <c r="F11" i="157"/>
  <c r="D11" i="157"/>
  <c r="Y11" i="157" s="1"/>
  <c r="X10" i="157"/>
  <c r="V10" i="157"/>
  <c r="T10" i="157"/>
  <c r="R10" i="157"/>
  <c r="P10" i="157"/>
  <c r="N10" i="157"/>
  <c r="L10" i="157"/>
  <c r="J10" i="157"/>
  <c r="H10" i="157"/>
  <c r="F10" i="157"/>
  <c r="D10" i="157"/>
  <c r="X9" i="157"/>
  <c r="V9" i="157"/>
  <c r="T9" i="157"/>
  <c r="R9" i="157"/>
  <c r="P9" i="157"/>
  <c r="N9" i="157"/>
  <c r="L9" i="157"/>
  <c r="J9" i="157"/>
  <c r="H9" i="157"/>
  <c r="F9" i="157"/>
  <c r="D9" i="157"/>
  <c r="Y9" i="157" s="1"/>
  <c r="X8" i="157"/>
  <c r="V8" i="157"/>
  <c r="T8" i="157"/>
  <c r="R8" i="157"/>
  <c r="P8" i="157"/>
  <c r="N8" i="157"/>
  <c r="L8" i="157"/>
  <c r="J8" i="157"/>
  <c r="H8" i="157"/>
  <c r="F8" i="157"/>
  <c r="D8" i="157"/>
  <c r="X7" i="157"/>
  <c r="V7" i="157"/>
  <c r="T7" i="157"/>
  <c r="R7" i="157"/>
  <c r="P7" i="157"/>
  <c r="N7" i="157"/>
  <c r="L7" i="157"/>
  <c r="J7" i="157"/>
  <c r="H7" i="157"/>
  <c r="F7" i="157"/>
  <c r="D7" i="157"/>
  <c r="X6" i="157"/>
  <c r="X12" i="157" s="1"/>
  <c r="V6" i="157"/>
  <c r="V12" i="157" s="1"/>
  <c r="T6" i="157"/>
  <c r="R6" i="157"/>
  <c r="R12" i="157" s="1"/>
  <c r="P6" i="157"/>
  <c r="P12" i="157" s="1"/>
  <c r="N6" i="157"/>
  <c r="N12" i="157" s="1"/>
  <c r="L6" i="157"/>
  <c r="L12" i="157" s="1"/>
  <c r="J6" i="157"/>
  <c r="H6" i="157"/>
  <c r="F6" i="157"/>
  <c r="D6" i="157"/>
  <c r="X12" i="158" l="1"/>
  <c r="Y9" i="158"/>
  <c r="J12" i="158"/>
  <c r="Y8" i="158"/>
  <c r="H12" i="158"/>
  <c r="D12" i="158"/>
  <c r="Y7" i="158"/>
  <c r="B21" i="158"/>
  <c r="Y6" i="158"/>
  <c r="Y10" i="157"/>
  <c r="H12" i="157"/>
  <c r="T12" i="157"/>
  <c r="Y8" i="157"/>
  <c r="J12" i="157"/>
  <c r="Y7" i="157"/>
  <c r="F12" i="157"/>
  <c r="D12" i="157"/>
  <c r="B21" i="157"/>
  <c r="Y6" i="157"/>
  <c r="Y12" i="158" l="1"/>
  <c r="V16" i="158" s="1"/>
  <c r="V24" i="158" s="1"/>
  <c r="Y12" i="157"/>
  <c r="V16" i="157" s="1"/>
  <c r="V24" i="157" s="1"/>
  <c r="V25" i="156" l="1"/>
  <c r="F22" i="156"/>
  <c r="S19" i="156"/>
  <c r="S20" i="156" s="1"/>
  <c r="Q19" i="156"/>
  <c r="Q20" i="156" s="1"/>
  <c r="P19" i="156"/>
  <c r="P20" i="156" s="1"/>
  <c r="L19" i="156"/>
  <c r="L20" i="156" s="1"/>
  <c r="J19" i="156"/>
  <c r="J20" i="156" s="1"/>
  <c r="H19" i="156"/>
  <c r="H20" i="156" s="1"/>
  <c r="M18" i="156"/>
  <c r="M19" i="156" s="1"/>
  <c r="M20" i="156" s="1"/>
  <c r="W12" i="156"/>
  <c r="K18" i="156" s="1"/>
  <c r="K19" i="156" s="1"/>
  <c r="K20" i="156" s="1"/>
  <c r="U12" i="156"/>
  <c r="I18" i="156" s="1"/>
  <c r="I19" i="156" s="1"/>
  <c r="I20" i="156" s="1"/>
  <c r="S12" i="156"/>
  <c r="Q12" i="156"/>
  <c r="O18" i="156" s="1"/>
  <c r="O19" i="156" s="1"/>
  <c r="O20" i="156" s="1"/>
  <c r="O12" i="156"/>
  <c r="N18" i="156" s="1"/>
  <c r="N19" i="156" s="1"/>
  <c r="N20" i="156" s="1"/>
  <c r="N12" i="156"/>
  <c r="M12" i="156"/>
  <c r="K12" i="156"/>
  <c r="G18" i="156" s="1"/>
  <c r="G19" i="156" s="1"/>
  <c r="G20" i="156" s="1"/>
  <c r="I12" i="156"/>
  <c r="F18" i="156" s="1"/>
  <c r="F19" i="156" s="1"/>
  <c r="F20" i="156" s="1"/>
  <c r="G12" i="156"/>
  <c r="E18" i="156" s="1"/>
  <c r="E19" i="156" s="1"/>
  <c r="E20" i="156" s="1"/>
  <c r="E12" i="156"/>
  <c r="D18" i="156" s="1"/>
  <c r="D19" i="156" s="1"/>
  <c r="D20" i="156" s="1"/>
  <c r="C12" i="156"/>
  <c r="B18" i="156" s="1"/>
  <c r="B19" i="156" s="1"/>
  <c r="B20" i="156" s="1"/>
  <c r="X11" i="156"/>
  <c r="V11" i="156"/>
  <c r="T11" i="156"/>
  <c r="R11" i="156"/>
  <c r="P11" i="156"/>
  <c r="N11" i="156"/>
  <c r="L11" i="156"/>
  <c r="J11" i="156"/>
  <c r="Y11" i="156" s="1"/>
  <c r="H11" i="156"/>
  <c r="F11" i="156"/>
  <c r="D11" i="156"/>
  <c r="X10" i="156"/>
  <c r="V10" i="156"/>
  <c r="T10" i="156"/>
  <c r="R10" i="156"/>
  <c r="P10" i="156"/>
  <c r="N10" i="156"/>
  <c r="L10" i="156"/>
  <c r="J10" i="156"/>
  <c r="Y10" i="156" s="1"/>
  <c r="H10" i="156"/>
  <c r="F10" i="156"/>
  <c r="D10" i="156"/>
  <c r="X9" i="156"/>
  <c r="V9" i="156"/>
  <c r="T9" i="156"/>
  <c r="R9" i="156"/>
  <c r="P9" i="156"/>
  <c r="N9" i="156"/>
  <c r="L9" i="156"/>
  <c r="J9" i="156"/>
  <c r="H9" i="156"/>
  <c r="F9" i="156"/>
  <c r="D9" i="156"/>
  <c r="X8" i="156"/>
  <c r="V8" i="156"/>
  <c r="T8" i="156"/>
  <c r="R8" i="156"/>
  <c r="P8" i="156"/>
  <c r="N8" i="156"/>
  <c r="L8" i="156"/>
  <c r="J8" i="156"/>
  <c r="H8" i="156"/>
  <c r="F8" i="156"/>
  <c r="D8" i="156"/>
  <c r="X7" i="156"/>
  <c r="V7" i="156"/>
  <c r="T7" i="156"/>
  <c r="R7" i="156"/>
  <c r="P7" i="156"/>
  <c r="N7" i="156"/>
  <c r="L7" i="156"/>
  <c r="J7" i="156"/>
  <c r="H7" i="156"/>
  <c r="F7" i="156"/>
  <c r="F12" i="156" s="1"/>
  <c r="D7" i="156"/>
  <c r="X6" i="156"/>
  <c r="X12" i="156" s="1"/>
  <c r="V6" i="156"/>
  <c r="V12" i="156" s="1"/>
  <c r="T6" i="156"/>
  <c r="R6" i="156"/>
  <c r="R12" i="156" s="1"/>
  <c r="P6" i="156"/>
  <c r="P12" i="156" s="1"/>
  <c r="N6" i="156"/>
  <c r="L6" i="156"/>
  <c r="L12" i="156" s="1"/>
  <c r="J6" i="156"/>
  <c r="H6" i="156"/>
  <c r="F6" i="156"/>
  <c r="D6" i="156"/>
  <c r="H12" i="156" l="1"/>
  <c r="Y7" i="156"/>
  <c r="T12" i="156"/>
  <c r="J12" i="156"/>
  <c r="Y9" i="156"/>
  <c r="D12" i="156"/>
  <c r="Y8" i="156"/>
  <c r="B21" i="156"/>
  <c r="Y6" i="156"/>
  <c r="Y12" i="156" l="1"/>
  <c r="V16" i="156" s="1"/>
  <c r="V24" i="156" s="1"/>
  <c r="V25" i="155" l="1"/>
  <c r="F22" i="155"/>
  <c r="S19" i="155"/>
  <c r="S20" i="155" s="1"/>
  <c r="Q19" i="155"/>
  <c r="Q20" i="155" s="1"/>
  <c r="P19" i="155"/>
  <c r="P20" i="155" s="1"/>
  <c r="L19" i="155"/>
  <c r="L20" i="155" s="1"/>
  <c r="J19" i="155"/>
  <c r="J20" i="155" s="1"/>
  <c r="H19" i="155"/>
  <c r="H20" i="155" s="1"/>
  <c r="K18" i="155"/>
  <c r="K19" i="155" s="1"/>
  <c r="K20" i="155" s="1"/>
  <c r="W12" i="155"/>
  <c r="U12" i="155"/>
  <c r="I18" i="155" s="1"/>
  <c r="I19" i="155" s="1"/>
  <c r="I20" i="155" s="1"/>
  <c r="S12" i="155"/>
  <c r="Q12" i="155"/>
  <c r="O18" i="155" s="1"/>
  <c r="O19" i="155" s="1"/>
  <c r="O20" i="155" s="1"/>
  <c r="O12" i="155"/>
  <c r="N18" i="155" s="1"/>
  <c r="N19" i="155" s="1"/>
  <c r="N20" i="155" s="1"/>
  <c r="M12" i="155"/>
  <c r="M18" i="155" s="1"/>
  <c r="M19" i="155" s="1"/>
  <c r="M20" i="155" s="1"/>
  <c r="K12" i="155"/>
  <c r="G18" i="155" s="1"/>
  <c r="G19" i="155" s="1"/>
  <c r="G20" i="155" s="1"/>
  <c r="I12" i="155"/>
  <c r="F18" i="155" s="1"/>
  <c r="F19" i="155" s="1"/>
  <c r="F20" i="155" s="1"/>
  <c r="G12" i="155"/>
  <c r="E18" i="155" s="1"/>
  <c r="E19" i="155" s="1"/>
  <c r="E20" i="155" s="1"/>
  <c r="E12" i="155"/>
  <c r="D18" i="155" s="1"/>
  <c r="D19" i="155" s="1"/>
  <c r="D20" i="155" s="1"/>
  <c r="C12" i="155"/>
  <c r="B18" i="155" s="1"/>
  <c r="B19" i="155" s="1"/>
  <c r="B20" i="155" s="1"/>
  <c r="X11" i="155"/>
  <c r="V11" i="155"/>
  <c r="T11" i="155"/>
  <c r="R11" i="155"/>
  <c r="P11" i="155"/>
  <c r="N11" i="155"/>
  <c r="L11" i="155"/>
  <c r="J11" i="155"/>
  <c r="H11" i="155"/>
  <c r="F11" i="155"/>
  <c r="D11" i="155"/>
  <c r="Y11" i="155" s="1"/>
  <c r="X10" i="155"/>
  <c r="V10" i="155"/>
  <c r="T10" i="155"/>
  <c r="R10" i="155"/>
  <c r="P10" i="155"/>
  <c r="N10" i="155"/>
  <c r="L10" i="155"/>
  <c r="J10" i="155"/>
  <c r="H10" i="155"/>
  <c r="F10" i="155"/>
  <c r="D10" i="155"/>
  <c r="Y10" i="155" s="1"/>
  <c r="X9" i="155"/>
  <c r="V9" i="155"/>
  <c r="T9" i="155"/>
  <c r="R9" i="155"/>
  <c r="P9" i="155"/>
  <c r="N9" i="155"/>
  <c r="L9" i="155"/>
  <c r="J9" i="155"/>
  <c r="H9" i="155"/>
  <c r="F9" i="155"/>
  <c r="D9" i="155"/>
  <c r="X8" i="155"/>
  <c r="V8" i="155"/>
  <c r="T8" i="155"/>
  <c r="R8" i="155"/>
  <c r="P8" i="155"/>
  <c r="N8" i="155"/>
  <c r="L8" i="155"/>
  <c r="J8" i="155"/>
  <c r="H8" i="155"/>
  <c r="F8" i="155"/>
  <c r="D8" i="155"/>
  <c r="X7" i="155"/>
  <c r="V7" i="155"/>
  <c r="T7" i="155"/>
  <c r="R7" i="155"/>
  <c r="P7" i="155"/>
  <c r="N7" i="155"/>
  <c r="L7" i="155"/>
  <c r="J7" i="155"/>
  <c r="H7" i="155"/>
  <c r="F7" i="155"/>
  <c r="D7" i="155"/>
  <c r="X6" i="155"/>
  <c r="X12" i="155" s="1"/>
  <c r="V6" i="155"/>
  <c r="T6" i="155"/>
  <c r="R6" i="155"/>
  <c r="R12" i="155" s="1"/>
  <c r="P6" i="155"/>
  <c r="P12" i="155" s="1"/>
  <c r="N6" i="155"/>
  <c r="N12" i="155" s="1"/>
  <c r="L6" i="155"/>
  <c r="L12" i="155" s="1"/>
  <c r="J6" i="155"/>
  <c r="H6" i="155"/>
  <c r="F6" i="155"/>
  <c r="D6" i="155"/>
  <c r="T12" i="155" l="1"/>
  <c r="V12" i="155"/>
  <c r="J12" i="155"/>
  <c r="Y7" i="155"/>
  <c r="Y9" i="155"/>
  <c r="H12" i="155"/>
  <c r="Y8" i="155"/>
  <c r="F12" i="155"/>
  <c r="D12" i="155"/>
  <c r="B21" i="155"/>
  <c r="Y6" i="155"/>
  <c r="Y12" i="155" l="1"/>
  <c r="V16" i="155" s="1"/>
  <c r="V24" i="155" s="1"/>
  <c r="V25" i="154" l="1"/>
  <c r="F22" i="154"/>
  <c r="S19" i="154"/>
  <c r="S20" i="154" s="1"/>
  <c r="Q19" i="154"/>
  <c r="Q20" i="154" s="1"/>
  <c r="P19" i="154"/>
  <c r="P20" i="154" s="1"/>
  <c r="L19" i="154"/>
  <c r="L20" i="154" s="1"/>
  <c r="J19" i="154"/>
  <c r="J20" i="154" s="1"/>
  <c r="H19" i="154"/>
  <c r="H20" i="154" s="1"/>
  <c r="K18" i="154"/>
  <c r="K19" i="154" s="1"/>
  <c r="K20" i="154" s="1"/>
  <c r="W12" i="154"/>
  <c r="U12" i="154"/>
  <c r="I18" i="154" s="1"/>
  <c r="I19" i="154" s="1"/>
  <c r="I20" i="154" s="1"/>
  <c r="T12" i="154"/>
  <c r="S12" i="154"/>
  <c r="Q12" i="154"/>
  <c r="O18" i="154" s="1"/>
  <c r="O19" i="154" s="1"/>
  <c r="O20" i="154" s="1"/>
  <c r="O12" i="154"/>
  <c r="N18" i="154" s="1"/>
  <c r="N19" i="154" s="1"/>
  <c r="N20" i="154" s="1"/>
  <c r="M12" i="154"/>
  <c r="M18" i="154" s="1"/>
  <c r="M19" i="154" s="1"/>
  <c r="M20" i="154" s="1"/>
  <c r="L12" i="154"/>
  <c r="K12" i="154"/>
  <c r="G18" i="154" s="1"/>
  <c r="G19" i="154" s="1"/>
  <c r="G20" i="154" s="1"/>
  <c r="I12" i="154"/>
  <c r="F18" i="154" s="1"/>
  <c r="F19" i="154" s="1"/>
  <c r="F20" i="154" s="1"/>
  <c r="G12" i="154"/>
  <c r="E18" i="154" s="1"/>
  <c r="E19" i="154" s="1"/>
  <c r="E20" i="154" s="1"/>
  <c r="E12" i="154"/>
  <c r="D18" i="154" s="1"/>
  <c r="D19" i="154" s="1"/>
  <c r="D20" i="154" s="1"/>
  <c r="C12" i="154"/>
  <c r="B18" i="154" s="1"/>
  <c r="B19" i="154" s="1"/>
  <c r="B20" i="154" s="1"/>
  <c r="X11" i="154"/>
  <c r="V11" i="154"/>
  <c r="T11" i="154"/>
  <c r="R11" i="154"/>
  <c r="P11" i="154"/>
  <c r="N11" i="154"/>
  <c r="L11" i="154"/>
  <c r="J11" i="154"/>
  <c r="H11" i="154"/>
  <c r="F11" i="154"/>
  <c r="D11" i="154"/>
  <c r="Y11" i="154" s="1"/>
  <c r="X10" i="154"/>
  <c r="V10" i="154"/>
  <c r="T10" i="154"/>
  <c r="R10" i="154"/>
  <c r="P10" i="154"/>
  <c r="N10" i="154"/>
  <c r="L10" i="154"/>
  <c r="J10" i="154"/>
  <c r="H10" i="154"/>
  <c r="F10" i="154"/>
  <c r="D10" i="154"/>
  <c r="Y10" i="154" s="1"/>
  <c r="X9" i="154"/>
  <c r="V9" i="154"/>
  <c r="T9" i="154"/>
  <c r="R9" i="154"/>
  <c r="P9" i="154"/>
  <c r="N9" i="154"/>
  <c r="L9" i="154"/>
  <c r="J9" i="154"/>
  <c r="H9" i="154"/>
  <c r="F9" i="154"/>
  <c r="D9" i="154"/>
  <c r="X8" i="154"/>
  <c r="V8" i="154"/>
  <c r="T8" i="154"/>
  <c r="R8" i="154"/>
  <c r="P8" i="154"/>
  <c r="N8" i="154"/>
  <c r="L8" i="154"/>
  <c r="J8" i="154"/>
  <c r="H8" i="154"/>
  <c r="F8" i="154"/>
  <c r="D8" i="154"/>
  <c r="X7" i="154"/>
  <c r="V7" i="154"/>
  <c r="T7" i="154"/>
  <c r="R7" i="154"/>
  <c r="P7" i="154"/>
  <c r="N7" i="154"/>
  <c r="L7" i="154"/>
  <c r="J7" i="154"/>
  <c r="H7" i="154"/>
  <c r="F7" i="154"/>
  <c r="D7" i="154"/>
  <c r="X6" i="154"/>
  <c r="X12" i="154" s="1"/>
  <c r="V6" i="154"/>
  <c r="V12" i="154" s="1"/>
  <c r="T6" i="154"/>
  <c r="R6" i="154"/>
  <c r="R12" i="154" s="1"/>
  <c r="P6" i="154"/>
  <c r="P12" i="154" s="1"/>
  <c r="N6" i="154"/>
  <c r="N12" i="154" s="1"/>
  <c r="L6" i="154"/>
  <c r="J6" i="154"/>
  <c r="H6" i="154"/>
  <c r="F6" i="154"/>
  <c r="D6" i="154"/>
  <c r="Y9" i="154" l="1"/>
  <c r="J12" i="154"/>
  <c r="Y8" i="154"/>
  <c r="F12" i="154"/>
  <c r="H12" i="154"/>
  <c r="Y7" i="154"/>
  <c r="Y6" i="154"/>
  <c r="D12" i="154"/>
  <c r="B21" i="154"/>
  <c r="Y12" i="154" l="1"/>
  <c r="V16" i="154" s="1"/>
  <c r="V24" i="154" s="1"/>
  <c r="V25" i="153" l="1"/>
  <c r="F22" i="153"/>
  <c r="S19" i="153"/>
  <c r="S20" i="153" s="1"/>
  <c r="Q19" i="153"/>
  <c r="Q20" i="153" s="1"/>
  <c r="P19" i="153"/>
  <c r="P20" i="153" s="1"/>
  <c r="L19" i="153"/>
  <c r="L20" i="153" s="1"/>
  <c r="J19" i="153"/>
  <c r="J20" i="153" s="1"/>
  <c r="H19" i="153"/>
  <c r="H20" i="153" s="1"/>
  <c r="K18" i="153"/>
  <c r="K19" i="153" s="1"/>
  <c r="K20" i="153" s="1"/>
  <c r="W12" i="153"/>
  <c r="U12" i="153"/>
  <c r="I18" i="153" s="1"/>
  <c r="I19" i="153" s="1"/>
  <c r="I20" i="153" s="1"/>
  <c r="S12" i="153"/>
  <c r="Q12" i="153"/>
  <c r="O18" i="153" s="1"/>
  <c r="O19" i="153" s="1"/>
  <c r="O20" i="153" s="1"/>
  <c r="O12" i="153"/>
  <c r="N18" i="153" s="1"/>
  <c r="N19" i="153" s="1"/>
  <c r="N20" i="153" s="1"/>
  <c r="M12" i="153"/>
  <c r="M18" i="153" s="1"/>
  <c r="M19" i="153" s="1"/>
  <c r="M20" i="153" s="1"/>
  <c r="K12" i="153"/>
  <c r="G18" i="153" s="1"/>
  <c r="G19" i="153" s="1"/>
  <c r="G20" i="153" s="1"/>
  <c r="I12" i="153"/>
  <c r="F18" i="153" s="1"/>
  <c r="F19" i="153" s="1"/>
  <c r="F20" i="153" s="1"/>
  <c r="G12" i="153"/>
  <c r="E18" i="153" s="1"/>
  <c r="E19" i="153" s="1"/>
  <c r="E20" i="153" s="1"/>
  <c r="E12" i="153"/>
  <c r="D18" i="153" s="1"/>
  <c r="D19" i="153" s="1"/>
  <c r="D20" i="153" s="1"/>
  <c r="C12" i="153"/>
  <c r="B18" i="153" s="1"/>
  <c r="B19" i="153" s="1"/>
  <c r="B20" i="153" s="1"/>
  <c r="X11" i="153"/>
  <c r="V11" i="153"/>
  <c r="T11" i="153"/>
  <c r="R11" i="153"/>
  <c r="P11" i="153"/>
  <c r="N11" i="153"/>
  <c r="L11" i="153"/>
  <c r="J11" i="153"/>
  <c r="H11" i="153"/>
  <c r="F11" i="153"/>
  <c r="D11" i="153"/>
  <c r="Y11" i="153" s="1"/>
  <c r="X10" i="153"/>
  <c r="V10" i="153"/>
  <c r="T10" i="153"/>
  <c r="R10" i="153"/>
  <c r="P10" i="153"/>
  <c r="N10" i="153"/>
  <c r="L10" i="153"/>
  <c r="J10" i="153"/>
  <c r="H10" i="153"/>
  <c r="F10" i="153"/>
  <c r="D10" i="153"/>
  <c r="Y10" i="153" s="1"/>
  <c r="X9" i="153"/>
  <c r="V9" i="153"/>
  <c r="T9" i="153"/>
  <c r="R9" i="153"/>
  <c r="P9" i="153"/>
  <c r="N9" i="153"/>
  <c r="L9" i="153"/>
  <c r="J9" i="153"/>
  <c r="H9" i="153"/>
  <c r="F9" i="153"/>
  <c r="D9" i="153"/>
  <c r="X8" i="153"/>
  <c r="V8" i="153"/>
  <c r="T8" i="153"/>
  <c r="R8" i="153"/>
  <c r="P8" i="153"/>
  <c r="N8" i="153"/>
  <c r="L8" i="153"/>
  <c r="J8" i="153"/>
  <c r="H8" i="153"/>
  <c r="F8" i="153"/>
  <c r="D8" i="153"/>
  <c r="X7" i="153"/>
  <c r="V7" i="153"/>
  <c r="T7" i="153"/>
  <c r="R7" i="153"/>
  <c r="P7" i="153"/>
  <c r="N7" i="153"/>
  <c r="L7" i="153"/>
  <c r="J7" i="153"/>
  <c r="H7" i="153"/>
  <c r="F7" i="153"/>
  <c r="D7" i="153"/>
  <c r="X6" i="153"/>
  <c r="X12" i="153" s="1"/>
  <c r="V6" i="153"/>
  <c r="V12" i="153" s="1"/>
  <c r="T6" i="153"/>
  <c r="R6" i="153"/>
  <c r="R12" i="153" s="1"/>
  <c r="P6" i="153"/>
  <c r="P12" i="153" s="1"/>
  <c r="N6" i="153"/>
  <c r="N12" i="153" s="1"/>
  <c r="L6" i="153"/>
  <c r="L12" i="153" s="1"/>
  <c r="J6" i="153"/>
  <c r="H6" i="153"/>
  <c r="F6" i="153"/>
  <c r="F12" i="153" s="1"/>
  <c r="D6" i="153"/>
  <c r="Y7" i="153" l="1"/>
  <c r="Y9" i="153"/>
  <c r="J12" i="153"/>
  <c r="T12" i="153"/>
  <c r="H12" i="153"/>
  <c r="Y8" i="153"/>
  <c r="D12" i="153"/>
  <c r="B21" i="153"/>
  <c r="Y6" i="153"/>
  <c r="Y12" i="153" l="1"/>
  <c r="V16" i="153" s="1"/>
  <c r="V24" i="153" s="1"/>
  <c r="V25" i="152" l="1"/>
  <c r="F22" i="152"/>
  <c r="S19" i="152"/>
  <c r="S20" i="152" s="1"/>
  <c r="Q19" i="152"/>
  <c r="Q20" i="152" s="1"/>
  <c r="P19" i="152"/>
  <c r="P20" i="152" s="1"/>
  <c r="L19" i="152"/>
  <c r="L20" i="152" s="1"/>
  <c r="J19" i="152"/>
  <c r="J20" i="152" s="1"/>
  <c r="H19" i="152"/>
  <c r="H20" i="152" s="1"/>
  <c r="K18" i="152"/>
  <c r="K19" i="152" s="1"/>
  <c r="K20" i="152" s="1"/>
  <c r="W12" i="152"/>
  <c r="U12" i="152"/>
  <c r="I18" i="152" s="1"/>
  <c r="I19" i="152" s="1"/>
  <c r="I20" i="152" s="1"/>
  <c r="S12" i="152"/>
  <c r="Q12" i="152"/>
  <c r="O18" i="152" s="1"/>
  <c r="O19" i="152" s="1"/>
  <c r="O20" i="152" s="1"/>
  <c r="O12" i="152"/>
  <c r="N18" i="152" s="1"/>
  <c r="N19" i="152" s="1"/>
  <c r="N20" i="152" s="1"/>
  <c r="M12" i="152"/>
  <c r="M18" i="152" s="1"/>
  <c r="M19" i="152" s="1"/>
  <c r="M20" i="152" s="1"/>
  <c r="K12" i="152"/>
  <c r="G18" i="152" s="1"/>
  <c r="G19" i="152" s="1"/>
  <c r="G20" i="152" s="1"/>
  <c r="I12" i="152"/>
  <c r="F18" i="152" s="1"/>
  <c r="F19" i="152" s="1"/>
  <c r="F20" i="152" s="1"/>
  <c r="G12" i="152"/>
  <c r="E18" i="152" s="1"/>
  <c r="E19" i="152" s="1"/>
  <c r="E20" i="152" s="1"/>
  <c r="E12" i="152"/>
  <c r="D18" i="152" s="1"/>
  <c r="D19" i="152" s="1"/>
  <c r="D20" i="152" s="1"/>
  <c r="C12" i="152"/>
  <c r="B18" i="152" s="1"/>
  <c r="B19" i="152" s="1"/>
  <c r="B20" i="152" s="1"/>
  <c r="X11" i="152"/>
  <c r="V11" i="152"/>
  <c r="T11" i="152"/>
  <c r="R11" i="152"/>
  <c r="P11" i="152"/>
  <c r="N11" i="152"/>
  <c r="L11" i="152"/>
  <c r="J11" i="152"/>
  <c r="H11" i="152"/>
  <c r="F11" i="152"/>
  <c r="D11" i="152"/>
  <c r="X10" i="152"/>
  <c r="V10" i="152"/>
  <c r="T10" i="152"/>
  <c r="R10" i="152"/>
  <c r="P10" i="152"/>
  <c r="N10" i="152"/>
  <c r="L10" i="152"/>
  <c r="J10" i="152"/>
  <c r="H10" i="152"/>
  <c r="F10" i="152"/>
  <c r="D10" i="152"/>
  <c r="X9" i="152"/>
  <c r="V9" i="152"/>
  <c r="T9" i="152"/>
  <c r="R9" i="152"/>
  <c r="P9" i="152"/>
  <c r="N9" i="152"/>
  <c r="L9" i="152"/>
  <c r="J9" i="152"/>
  <c r="H9" i="152"/>
  <c r="F9" i="152"/>
  <c r="D9" i="152"/>
  <c r="X8" i="152"/>
  <c r="V8" i="152"/>
  <c r="T8" i="152"/>
  <c r="R8" i="152"/>
  <c r="P8" i="152"/>
  <c r="N8" i="152"/>
  <c r="L8" i="152"/>
  <c r="J8" i="152"/>
  <c r="H8" i="152"/>
  <c r="F8" i="152"/>
  <c r="D8" i="152"/>
  <c r="X7" i="152"/>
  <c r="V7" i="152"/>
  <c r="T7" i="152"/>
  <c r="R7" i="152"/>
  <c r="P7" i="152"/>
  <c r="N7" i="152"/>
  <c r="L7" i="152"/>
  <c r="J7" i="152"/>
  <c r="H7" i="152"/>
  <c r="F7" i="152"/>
  <c r="D7" i="152"/>
  <c r="X6" i="152"/>
  <c r="X12" i="152" s="1"/>
  <c r="V6" i="152"/>
  <c r="V12" i="152" s="1"/>
  <c r="T6" i="152"/>
  <c r="R6" i="152"/>
  <c r="R12" i="152" s="1"/>
  <c r="P6" i="152"/>
  <c r="P12" i="152" s="1"/>
  <c r="N6" i="152"/>
  <c r="N12" i="152" s="1"/>
  <c r="L6" i="152"/>
  <c r="L12" i="152" s="1"/>
  <c r="J6" i="152"/>
  <c r="H6" i="152"/>
  <c r="F6" i="152"/>
  <c r="F12" i="152" s="1"/>
  <c r="D6" i="152"/>
  <c r="Y11" i="152" l="1"/>
  <c r="Y9" i="152"/>
  <c r="T12" i="152"/>
  <c r="Y10" i="152"/>
  <c r="J12" i="152"/>
  <c r="Y7" i="152"/>
  <c r="H12" i="152"/>
  <c r="Y8" i="152"/>
  <c r="D12" i="152"/>
  <c r="B21" i="152"/>
  <c r="Y6" i="152"/>
  <c r="Y12" i="152" l="1"/>
  <c r="V16" i="152" s="1"/>
  <c r="V24" i="152" s="1"/>
  <c r="V18" i="151" l="1"/>
  <c r="V25" i="151"/>
  <c r="F22" i="151"/>
  <c r="S19" i="151"/>
  <c r="S20" i="151" s="1"/>
  <c r="Q19" i="151"/>
  <c r="Q20" i="151" s="1"/>
  <c r="P19" i="151"/>
  <c r="P20" i="151" s="1"/>
  <c r="L19" i="151"/>
  <c r="L20" i="151" s="1"/>
  <c r="J19" i="151"/>
  <c r="J20" i="151" s="1"/>
  <c r="H19" i="151"/>
  <c r="H20" i="151" s="1"/>
  <c r="M18" i="151"/>
  <c r="M19" i="151" s="1"/>
  <c r="M20" i="151" s="1"/>
  <c r="W12" i="151"/>
  <c r="K18" i="151" s="1"/>
  <c r="K19" i="151" s="1"/>
  <c r="K20" i="151" s="1"/>
  <c r="U12" i="151"/>
  <c r="I18" i="151" s="1"/>
  <c r="I19" i="151" s="1"/>
  <c r="I20" i="151" s="1"/>
  <c r="S12" i="151"/>
  <c r="Q12" i="151"/>
  <c r="O18" i="151" s="1"/>
  <c r="O19" i="151" s="1"/>
  <c r="O20" i="151" s="1"/>
  <c r="O12" i="151"/>
  <c r="N18" i="151" s="1"/>
  <c r="N19" i="151" s="1"/>
  <c r="N20" i="151" s="1"/>
  <c r="N12" i="151"/>
  <c r="M12" i="151"/>
  <c r="K12" i="151"/>
  <c r="G18" i="151" s="1"/>
  <c r="G19" i="151" s="1"/>
  <c r="G20" i="151" s="1"/>
  <c r="I12" i="151"/>
  <c r="F18" i="151" s="1"/>
  <c r="F19" i="151" s="1"/>
  <c r="F20" i="151" s="1"/>
  <c r="G12" i="151"/>
  <c r="E18" i="151" s="1"/>
  <c r="E19" i="151" s="1"/>
  <c r="E20" i="151" s="1"/>
  <c r="F12" i="151"/>
  <c r="E12" i="151"/>
  <c r="D18" i="151" s="1"/>
  <c r="D19" i="151" s="1"/>
  <c r="D20" i="151" s="1"/>
  <c r="C12" i="151"/>
  <c r="B18" i="151" s="1"/>
  <c r="B19" i="151" s="1"/>
  <c r="B20" i="151" s="1"/>
  <c r="X11" i="151"/>
  <c r="V11" i="151"/>
  <c r="T11" i="151"/>
  <c r="R11" i="151"/>
  <c r="P11" i="151"/>
  <c r="N11" i="151"/>
  <c r="L11" i="151"/>
  <c r="J11" i="151"/>
  <c r="Y11" i="151" s="1"/>
  <c r="H11" i="151"/>
  <c r="F11" i="151"/>
  <c r="D11" i="151"/>
  <c r="X10" i="151"/>
  <c r="V10" i="151"/>
  <c r="T10" i="151"/>
  <c r="R10" i="151"/>
  <c r="P10" i="151"/>
  <c r="N10" i="151"/>
  <c r="L10" i="151"/>
  <c r="J10" i="151"/>
  <c r="H10" i="151"/>
  <c r="F10" i="151"/>
  <c r="D10" i="151"/>
  <c r="X9" i="151"/>
  <c r="V9" i="151"/>
  <c r="T9" i="151"/>
  <c r="R9" i="151"/>
  <c r="P9" i="151"/>
  <c r="N9" i="151"/>
  <c r="L9" i="151"/>
  <c r="J9" i="151"/>
  <c r="H9" i="151"/>
  <c r="F9" i="151"/>
  <c r="D9" i="151"/>
  <c r="X8" i="151"/>
  <c r="V8" i="151"/>
  <c r="T8" i="151"/>
  <c r="R8" i="151"/>
  <c r="P8" i="151"/>
  <c r="N8" i="151"/>
  <c r="L8" i="151"/>
  <c r="J8" i="151"/>
  <c r="H8" i="151"/>
  <c r="F8" i="151"/>
  <c r="D8" i="151"/>
  <c r="X7" i="151"/>
  <c r="V7" i="151"/>
  <c r="T7" i="151"/>
  <c r="R7" i="151"/>
  <c r="P7" i="151"/>
  <c r="N7" i="151"/>
  <c r="L7" i="151"/>
  <c r="J7" i="151"/>
  <c r="H7" i="151"/>
  <c r="F7" i="151"/>
  <c r="D7" i="151"/>
  <c r="X6" i="151"/>
  <c r="X12" i="151" s="1"/>
  <c r="V6" i="151"/>
  <c r="V12" i="151" s="1"/>
  <c r="T6" i="151"/>
  <c r="R6" i="151"/>
  <c r="R12" i="151" s="1"/>
  <c r="P6" i="151"/>
  <c r="P12" i="151" s="1"/>
  <c r="N6" i="151"/>
  <c r="L6" i="151"/>
  <c r="L12" i="151" s="1"/>
  <c r="J6" i="151"/>
  <c r="H6" i="151"/>
  <c r="H12" i="151" s="1"/>
  <c r="F6" i="151"/>
  <c r="D6" i="151"/>
  <c r="Y10" i="151" l="1"/>
  <c r="T12" i="151"/>
  <c r="Y7" i="151"/>
  <c r="Y9" i="151"/>
  <c r="J12" i="151"/>
  <c r="D12" i="151"/>
  <c r="Y8" i="151"/>
  <c r="B21" i="151"/>
  <c r="Y6" i="151"/>
  <c r="Y12" i="151" l="1"/>
  <c r="V16" i="151" s="1"/>
  <c r="V24" i="151" s="1"/>
  <c r="V18" i="150" l="1"/>
  <c r="V25" i="150" l="1"/>
  <c r="F22" i="150"/>
  <c r="S19" i="150"/>
  <c r="S20" i="150" s="1"/>
  <c r="Q19" i="150"/>
  <c r="Q20" i="150" s="1"/>
  <c r="P19" i="150"/>
  <c r="P20" i="150" s="1"/>
  <c r="L19" i="150"/>
  <c r="L20" i="150" s="1"/>
  <c r="J19" i="150"/>
  <c r="J20" i="150" s="1"/>
  <c r="H19" i="150"/>
  <c r="H20" i="150" s="1"/>
  <c r="K18" i="150"/>
  <c r="K19" i="150" s="1"/>
  <c r="K20" i="150" s="1"/>
  <c r="W12" i="150"/>
  <c r="U12" i="150"/>
  <c r="I18" i="150" s="1"/>
  <c r="I19" i="150" s="1"/>
  <c r="I20" i="150" s="1"/>
  <c r="S12" i="150"/>
  <c r="Q12" i="150"/>
  <c r="O18" i="150" s="1"/>
  <c r="O19" i="150" s="1"/>
  <c r="O20" i="150" s="1"/>
  <c r="O12" i="150"/>
  <c r="N18" i="150" s="1"/>
  <c r="N19" i="150" s="1"/>
  <c r="N20" i="150" s="1"/>
  <c r="M12" i="150"/>
  <c r="M18" i="150" s="1"/>
  <c r="M19" i="150" s="1"/>
  <c r="M20" i="150" s="1"/>
  <c r="K12" i="150"/>
  <c r="G18" i="150" s="1"/>
  <c r="G19" i="150" s="1"/>
  <c r="G20" i="150" s="1"/>
  <c r="I12" i="150"/>
  <c r="F18" i="150" s="1"/>
  <c r="F19" i="150" s="1"/>
  <c r="F20" i="150" s="1"/>
  <c r="G12" i="150"/>
  <c r="E18" i="150" s="1"/>
  <c r="E19" i="150" s="1"/>
  <c r="E20" i="150" s="1"/>
  <c r="E12" i="150"/>
  <c r="D18" i="150" s="1"/>
  <c r="D19" i="150" s="1"/>
  <c r="D20" i="150" s="1"/>
  <c r="C12" i="150"/>
  <c r="B18" i="150" s="1"/>
  <c r="B19" i="150" s="1"/>
  <c r="B20" i="150" s="1"/>
  <c r="X11" i="150"/>
  <c r="V11" i="150"/>
  <c r="T11" i="150"/>
  <c r="R11" i="150"/>
  <c r="P11" i="150"/>
  <c r="N11" i="150"/>
  <c r="L11" i="150"/>
  <c r="J11" i="150"/>
  <c r="H11" i="150"/>
  <c r="F11" i="150"/>
  <c r="D11" i="150"/>
  <c r="Y11" i="150" s="1"/>
  <c r="X10" i="150"/>
  <c r="V10" i="150"/>
  <c r="T10" i="150"/>
  <c r="R10" i="150"/>
  <c r="P10" i="150"/>
  <c r="N10" i="150"/>
  <c r="L10" i="150"/>
  <c r="J10" i="150"/>
  <c r="H10" i="150"/>
  <c r="F10" i="150"/>
  <c r="D10" i="150"/>
  <c r="X9" i="150"/>
  <c r="V9" i="150"/>
  <c r="T9" i="150"/>
  <c r="R9" i="150"/>
  <c r="P9" i="150"/>
  <c r="N9" i="150"/>
  <c r="L9" i="150"/>
  <c r="J9" i="150"/>
  <c r="H9" i="150"/>
  <c r="F9" i="150"/>
  <c r="D9" i="150"/>
  <c r="X8" i="150"/>
  <c r="V8" i="150"/>
  <c r="T8" i="150"/>
  <c r="R8" i="150"/>
  <c r="P8" i="150"/>
  <c r="N8" i="150"/>
  <c r="L8" i="150"/>
  <c r="J8" i="150"/>
  <c r="H8" i="150"/>
  <c r="F8" i="150"/>
  <c r="D8" i="150"/>
  <c r="X7" i="150"/>
  <c r="V7" i="150"/>
  <c r="T7" i="150"/>
  <c r="R7" i="150"/>
  <c r="P7" i="150"/>
  <c r="N7" i="150"/>
  <c r="L7" i="150"/>
  <c r="J7" i="150"/>
  <c r="H7" i="150"/>
  <c r="F7" i="150"/>
  <c r="D7" i="150"/>
  <c r="X6" i="150"/>
  <c r="X12" i="150" s="1"/>
  <c r="V6" i="150"/>
  <c r="T6" i="150"/>
  <c r="R6" i="150"/>
  <c r="R12" i="150" s="1"/>
  <c r="P6" i="150"/>
  <c r="P12" i="150" s="1"/>
  <c r="N6" i="150"/>
  <c r="N12" i="150" s="1"/>
  <c r="L6" i="150"/>
  <c r="L12" i="150" s="1"/>
  <c r="J6" i="150"/>
  <c r="H6" i="150"/>
  <c r="F6" i="150"/>
  <c r="F12" i="150" s="1"/>
  <c r="D6" i="150"/>
  <c r="V25" i="149"/>
  <c r="F22" i="149"/>
  <c r="S19" i="149"/>
  <c r="S20" i="149" s="1"/>
  <c r="Q19" i="149"/>
  <c r="Q20" i="149" s="1"/>
  <c r="P19" i="149"/>
  <c r="P20" i="149" s="1"/>
  <c r="L19" i="149"/>
  <c r="L20" i="149" s="1"/>
  <c r="J19" i="149"/>
  <c r="J20" i="149" s="1"/>
  <c r="H19" i="149"/>
  <c r="H20" i="149" s="1"/>
  <c r="O18" i="149"/>
  <c r="O19" i="149" s="1"/>
  <c r="O20" i="149" s="1"/>
  <c r="D18" i="149"/>
  <c r="D19" i="149" s="1"/>
  <c r="D20" i="149" s="1"/>
  <c r="X12" i="149"/>
  <c r="W12" i="149"/>
  <c r="K18" i="149" s="1"/>
  <c r="K19" i="149" s="1"/>
  <c r="K20" i="149" s="1"/>
  <c r="U12" i="149"/>
  <c r="I18" i="149" s="1"/>
  <c r="I19" i="149" s="1"/>
  <c r="I20" i="149" s="1"/>
  <c r="S12" i="149"/>
  <c r="Q12" i="149"/>
  <c r="P12" i="149"/>
  <c r="O12" i="149"/>
  <c r="N18" i="149" s="1"/>
  <c r="N19" i="149" s="1"/>
  <c r="N20" i="149" s="1"/>
  <c r="M12" i="149"/>
  <c r="M18" i="149" s="1"/>
  <c r="M19" i="149" s="1"/>
  <c r="M20" i="149" s="1"/>
  <c r="L12" i="149"/>
  <c r="K12" i="149"/>
  <c r="G18" i="149" s="1"/>
  <c r="G19" i="149" s="1"/>
  <c r="G20" i="149" s="1"/>
  <c r="I12" i="149"/>
  <c r="F18" i="149" s="1"/>
  <c r="F19" i="149" s="1"/>
  <c r="F20" i="149" s="1"/>
  <c r="G12" i="149"/>
  <c r="E18" i="149" s="1"/>
  <c r="E19" i="149" s="1"/>
  <c r="E20" i="149" s="1"/>
  <c r="E12" i="149"/>
  <c r="C12" i="149"/>
  <c r="B18" i="149" s="1"/>
  <c r="B19" i="149" s="1"/>
  <c r="B20" i="149" s="1"/>
  <c r="X11" i="149"/>
  <c r="V11" i="149"/>
  <c r="T11" i="149"/>
  <c r="R11" i="149"/>
  <c r="P11" i="149"/>
  <c r="N11" i="149"/>
  <c r="L11" i="149"/>
  <c r="J11" i="149"/>
  <c r="H11" i="149"/>
  <c r="F11" i="149"/>
  <c r="D11" i="149"/>
  <c r="Y11" i="149" s="1"/>
  <c r="X10" i="149"/>
  <c r="V10" i="149"/>
  <c r="T10" i="149"/>
  <c r="R10" i="149"/>
  <c r="P10" i="149"/>
  <c r="N10" i="149"/>
  <c r="L10" i="149"/>
  <c r="J10" i="149"/>
  <c r="H10" i="149"/>
  <c r="F10" i="149"/>
  <c r="D10" i="149"/>
  <c r="X9" i="149"/>
  <c r="V9" i="149"/>
  <c r="T9" i="149"/>
  <c r="R9" i="149"/>
  <c r="P9" i="149"/>
  <c r="N9" i="149"/>
  <c r="L9" i="149"/>
  <c r="J9" i="149"/>
  <c r="H9" i="149"/>
  <c r="F9" i="149"/>
  <c r="D9" i="149"/>
  <c r="X8" i="149"/>
  <c r="V8" i="149"/>
  <c r="T8" i="149"/>
  <c r="R8" i="149"/>
  <c r="P8" i="149"/>
  <c r="N8" i="149"/>
  <c r="L8" i="149"/>
  <c r="J8" i="149"/>
  <c r="H8" i="149"/>
  <c r="F8" i="149"/>
  <c r="D8" i="149"/>
  <c r="X7" i="149"/>
  <c r="V7" i="149"/>
  <c r="T7" i="149"/>
  <c r="R7" i="149"/>
  <c r="P7" i="149"/>
  <c r="N7" i="149"/>
  <c r="L7" i="149"/>
  <c r="J7" i="149"/>
  <c r="H7" i="149"/>
  <c r="F7" i="149"/>
  <c r="D7" i="149"/>
  <c r="X6" i="149"/>
  <c r="V6" i="149"/>
  <c r="T6" i="149"/>
  <c r="R6" i="149"/>
  <c r="R12" i="149" s="1"/>
  <c r="P6" i="149"/>
  <c r="N6" i="149"/>
  <c r="N12" i="149" s="1"/>
  <c r="L6" i="149"/>
  <c r="J6" i="149"/>
  <c r="H6" i="149"/>
  <c r="F6" i="149"/>
  <c r="F12" i="149" s="1"/>
  <c r="D6" i="149"/>
  <c r="V12" i="150" l="1"/>
  <c r="T12" i="150"/>
  <c r="J12" i="150"/>
  <c r="Y7" i="150"/>
  <c r="Y10" i="150"/>
  <c r="Y9" i="150"/>
  <c r="H12" i="150"/>
  <c r="Y8" i="150"/>
  <c r="D12" i="150"/>
  <c r="B21" i="150"/>
  <c r="Y6" i="150"/>
  <c r="H12" i="149"/>
  <c r="T12" i="149"/>
  <c r="V12" i="149"/>
  <c r="Y9" i="149"/>
  <c r="Y8" i="149"/>
  <c r="J12" i="149"/>
  <c r="Y7" i="149"/>
  <c r="Y10" i="149"/>
  <c r="Y6" i="149"/>
  <c r="D12" i="149"/>
  <c r="B21" i="149"/>
  <c r="Y12" i="150" l="1"/>
  <c r="V16" i="150" s="1"/>
  <c r="V24" i="150" s="1"/>
  <c r="Y12" i="149"/>
  <c r="V16" i="149" s="1"/>
  <c r="V24" i="149" s="1"/>
  <c r="V25" i="148" l="1"/>
  <c r="F22" i="148"/>
  <c r="S19" i="148"/>
  <c r="S20" i="148" s="1"/>
  <c r="Q19" i="148"/>
  <c r="Q20" i="148" s="1"/>
  <c r="P19" i="148"/>
  <c r="P20" i="148" s="1"/>
  <c r="L19" i="148"/>
  <c r="L20" i="148" s="1"/>
  <c r="J19" i="148"/>
  <c r="J20" i="148" s="1"/>
  <c r="H19" i="148"/>
  <c r="H20" i="148" s="1"/>
  <c r="K18" i="148"/>
  <c r="K19" i="148" s="1"/>
  <c r="K20" i="148" s="1"/>
  <c r="W12" i="148"/>
  <c r="U12" i="148"/>
  <c r="I18" i="148" s="1"/>
  <c r="I19" i="148" s="1"/>
  <c r="I20" i="148" s="1"/>
  <c r="S12" i="148"/>
  <c r="Q12" i="148"/>
  <c r="O18" i="148" s="1"/>
  <c r="O19" i="148" s="1"/>
  <c r="O20" i="148" s="1"/>
  <c r="O12" i="148"/>
  <c r="N18" i="148" s="1"/>
  <c r="N19" i="148" s="1"/>
  <c r="N20" i="148" s="1"/>
  <c r="N12" i="148"/>
  <c r="M12" i="148"/>
  <c r="M18" i="148" s="1"/>
  <c r="M19" i="148" s="1"/>
  <c r="M20" i="148" s="1"/>
  <c r="L12" i="148"/>
  <c r="K12" i="148"/>
  <c r="G18" i="148" s="1"/>
  <c r="G19" i="148" s="1"/>
  <c r="G20" i="148" s="1"/>
  <c r="I12" i="148"/>
  <c r="F18" i="148" s="1"/>
  <c r="F19" i="148" s="1"/>
  <c r="F20" i="148" s="1"/>
  <c r="G12" i="148"/>
  <c r="E18" i="148" s="1"/>
  <c r="E19" i="148" s="1"/>
  <c r="E20" i="148" s="1"/>
  <c r="E12" i="148"/>
  <c r="D18" i="148" s="1"/>
  <c r="D19" i="148" s="1"/>
  <c r="D20" i="148" s="1"/>
  <c r="C12" i="148"/>
  <c r="B18" i="148" s="1"/>
  <c r="B19" i="148" s="1"/>
  <c r="B20" i="148" s="1"/>
  <c r="X11" i="148"/>
  <c r="V11" i="148"/>
  <c r="T11" i="148"/>
  <c r="R11" i="148"/>
  <c r="P11" i="148"/>
  <c r="N11" i="148"/>
  <c r="L11" i="148"/>
  <c r="J11" i="148"/>
  <c r="H11" i="148"/>
  <c r="Y11" i="148" s="1"/>
  <c r="F11" i="148"/>
  <c r="D11" i="148"/>
  <c r="X10" i="148"/>
  <c r="V10" i="148"/>
  <c r="T10" i="148"/>
  <c r="R10" i="148"/>
  <c r="P10" i="148"/>
  <c r="N10" i="148"/>
  <c r="L10" i="148"/>
  <c r="J10" i="148"/>
  <c r="H10" i="148"/>
  <c r="Y10" i="148" s="1"/>
  <c r="F10" i="148"/>
  <c r="D10" i="148"/>
  <c r="X9" i="148"/>
  <c r="V9" i="148"/>
  <c r="T9" i="148"/>
  <c r="R9" i="148"/>
  <c r="P9" i="148"/>
  <c r="N9" i="148"/>
  <c r="L9" i="148"/>
  <c r="J9" i="148"/>
  <c r="H9" i="148"/>
  <c r="F9" i="148"/>
  <c r="D9" i="148"/>
  <c r="X8" i="148"/>
  <c r="V8" i="148"/>
  <c r="V12" i="148" s="1"/>
  <c r="T8" i="148"/>
  <c r="R8" i="148"/>
  <c r="P8" i="148"/>
  <c r="N8" i="148"/>
  <c r="L8" i="148"/>
  <c r="J8" i="148"/>
  <c r="H8" i="148"/>
  <c r="F8" i="148"/>
  <c r="D8" i="148"/>
  <c r="X7" i="148"/>
  <c r="V7" i="148"/>
  <c r="T7" i="148"/>
  <c r="R7" i="148"/>
  <c r="P7" i="148"/>
  <c r="N7" i="148"/>
  <c r="L7" i="148"/>
  <c r="J7" i="148"/>
  <c r="H7" i="148"/>
  <c r="F7" i="148"/>
  <c r="F12" i="148" s="1"/>
  <c r="D7" i="148"/>
  <c r="X6" i="148"/>
  <c r="X12" i="148" s="1"/>
  <c r="V6" i="148"/>
  <c r="T6" i="148"/>
  <c r="T12" i="148" s="1"/>
  <c r="R6" i="148"/>
  <c r="R12" i="148" s="1"/>
  <c r="P6" i="148"/>
  <c r="P12" i="148" s="1"/>
  <c r="N6" i="148"/>
  <c r="L6" i="148"/>
  <c r="J6" i="148"/>
  <c r="H6" i="148"/>
  <c r="F6" i="148"/>
  <c r="D6" i="148"/>
  <c r="V25" i="147"/>
  <c r="F22" i="147"/>
  <c r="S19" i="147"/>
  <c r="S20" i="147" s="1"/>
  <c r="Q19" i="147"/>
  <c r="Q20" i="147" s="1"/>
  <c r="P19" i="147"/>
  <c r="P20" i="147" s="1"/>
  <c r="L19" i="147"/>
  <c r="L20" i="147" s="1"/>
  <c r="J19" i="147"/>
  <c r="J20" i="147" s="1"/>
  <c r="H19" i="147"/>
  <c r="H20" i="147" s="1"/>
  <c r="K18" i="147"/>
  <c r="K19" i="147" s="1"/>
  <c r="K20" i="147" s="1"/>
  <c r="W12" i="147"/>
  <c r="U12" i="147"/>
  <c r="I18" i="147" s="1"/>
  <c r="I19" i="147" s="1"/>
  <c r="I20" i="147" s="1"/>
  <c r="S12" i="147"/>
  <c r="Q12" i="147"/>
  <c r="O18" i="147" s="1"/>
  <c r="O19" i="147" s="1"/>
  <c r="O20" i="147" s="1"/>
  <c r="O12" i="147"/>
  <c r="N18" i="147" s="1"/>
  <c r="N19" i="147" s="1"/>
  <c r="N20" i="147" s="1"/>
  <c r="N12" i="147"/>
  <c r="M12" i="147"/>
  <c r="M18" i="147" s="1"/>
  <c r="M19" i="147" s="1"/>
  <c r="M20" i="147" s="1"/>
  <c r="K12" i="147"/>
  <c r="G18" i="147" s="1"/>
  <c r="G19" i="147" s="1"/>
  <c r="G20" i="147" s="1"/>
  <c r="I12" i="147"/>
  <c r="F18" i="147" s="1"/>
  <c r="F19" i="147" s="1"/>
  <c r="F20" i="147" s="1"/>
  <c r="G12" i="147"/>
  <c r="E18" i="147" s="1"/>
  <c r="E19" i="147" s="1"/>
  <c r="E20" i="147" s="1"/>
  <c r="F12" i="147"/>
  <c r="E12" i="147"/>
  <c r="D18" i="147" s="1"/>
  <c r="D19" i="147" s="1"/>
  <c r="D20" i="147" s="1"/>
  <c r="C12" i="147"/>
  <c r="B18" i="147" s="1"/>
  <c r="B19" i="147" s="1"/>
  <c r="B20" i="147" s="1"/>
  <c r="X11" i="147"/>
  <c r="V11" i="147"/>
  <c r="T11" i="147"/>
  <c r="R11" i="147"/>
  <c r="P11" i="147"/>
  <c r="N11" i="147"/>
  <c r="L11" i="147"/>
  <c r="J11" i="147"/>
  <c r="H11" i="147"/>
  <c r="Y11" i="147" s="1"/>
  <c r="F11" i="147"/>
  <c r="D11" i="147"/>
  <c r="X10" i="147"/>
  <c r="V10" i="147"/>
  <c r="T10" i="147"/>
  <c r="R10" i="147"/>
  <c r="P10" i="147"/>
  <c r="N10" i="147"/>
  <c r="L10" i="147"/>
  <c r="J10" i="147"/>
  <c r="H10" i="147"/>
  <c r="Y10" i="147" s="1"/>
  <c r="F10" i="147"/>
  <c r="D10" i="147"/>
  <c r="X9" i="147"/>
  <c r="V9" i="147"/>
  <c r="T9" i="147"/>
  <c r="R9" i="147"/>
  <c r="P9" i="147"/>
  <c r="N9" i="147"/>
  <c r="L9" i="147"/>
  <c r="J9" i="147"/>
  <c r="H9" i="147"/>
  <c r="F9" i="147"/>
  <c r="D9" i="147"/>
  <c r="X8" i="147"/>
  <c r="V8" i="147"/>
  <c r="T8" i="147"/>
  <c r="R8" i="147"/>
  <c r="P8" i="147"/>
  <c r="N8" i="147"/>
  <c r="L8" i="147"/>
  <c r="J8" i="147"/>
  <c r="H8" i="147"/>
  <c r="F8" i="147"/>
  <c r="D8" i="147"/>
  <c r="X7" i="147"/>
  <c r="V7" i="147"/>
  <c r="T7" i="147"/>
  <c r="R7" i="147"/>
  <c r="P7" i="147"/>
  <c r="N7" i="147"/>
  <c r="L7" i="147"/>
  <c r="J7" i="147"/>
  <c r="H7" i="147"/>
  <c r="F7" i="147"/>
  <c r="D7" i="147"/>
  <c r="X6" i="147"/>
  <c r="X12" i="147" s="1"/>
  <c r="V6" i="147"/>
  <c r="T6" i="147"/>
  <c r="R6" i="147"/>
  <c r="R12" i="147" s="1"/>
  <c r="P6" i="147"/>
  <c r="P12" i="147" s="1"/>
  <c r="N6" i="147"/>
  <c r="L6" i="147"/>
  <c r="L12" i="147" s="1"/>
  <c r="J6" i="147"/>
  <c r="H6" i="147"/>
  <c r="F6" i="147"/>
  <c r="D6" i="147"/>
  <c r="V25" i="146"/>
  <c r="F22" i="146"/>
  <c r="S19" i="146"/>
  <c r="S20" i="146" s="1"/>
  <c r="Q19" i="146"/>
  <c r="Q20" i="146" s="1"/>
  <c r="P19" i="146"/>
  <c r="P20" i="146" s="1"/>
  <c r="L19" i="146"/>
  <c r="L20" i="146" s="1"/>
  <c r="J19" i="146"/>
  <c r="J20" i="146" s="1"/>
  <c r="H19" i="146"/>
  <c r="H20" i="146" s="1"/>
  <c r="E18" i="146"/>
  <c r="E19" i="146" s="1"/>
  <c r="E20" i="146" s="1"/>
  <c r="W12" i="146"/>
  <c r="K18" i="146" s="1"/>
  <c r="K19" i="146" s="1"/>
  <c r="K20" i="146" s="1"/>
  <c r="U12" i="146"/>
  <c r="I18" i="146" s="1"/>
  <c r="I19" i="146" s="1"/>
  <c r="I20" i="146" s="1"/>
  <c r="S12" i="146"/>
  <c r="Q12" i="146"/>
  <c r="O18" i="146" s="1"/>
  <c r="O19" i="146" s="1"/>
  <c r="O20" i="146" s="1"/>
  <c r="O12" i="146"/>
  <c r="N18" i="146" s="1"/>
  <c r="N19" i="146" s="1"/>
  <c r="N20" i="146" s="1"/>
  <c r="N12" i="146"/>
  <c r="M12" i="146"/>
  <c r="M18" i="146" s="1"/>
  <c r="M19" i="146" s="1"/>
  <c r="M20" i="146" s="1"/>
  <c r="K12" i="146"/>
  <c r="G18" i="146" s="1"/>
  <c r="G19" i="146" s="1"/>
  <c r="G20" i="146" s="1"/>
  <c r="I12" i="146"/>
  <c r="F18" i="146" s="1"/>
  <c r="F19" i="146" s="1"/>
  <c r="F20" i="146" s="1"/>
  <c r="G12" i="146"/>
  <c r="F12" i="146"/>
  <c r="E12" i="146"/>
  <c r="D18" i="146" s="1"/>
  <c r="D19" i="146" s="1"/>
  <c r="D20" i="146" s="1"/>
  <c r="C12" i="146"/>
  <c r="B18" i="146" s="1"/>
  <c r="B19" i="146" s="1"/>
  <c r="B20" i="146" s="1"/>
  <c r="X11" i="146"/>
  <c r="V11" i="146"/>
  <c r="T11" i="146"/>
  <c r="R11" i="146"/>
  <c r="P11" i="146"/>
  <c r="N11" i="146"/>
  <c r="L11" i="146"/>
  <c r="J11" i="146"/>
  <c r="H11" i="146"/>
  <c r="Y11" i="146" s="1"/>
  <c r="F11" i="146"/>
  <c r="D11" i="146"/>
  <c r="X10" i="146"/>
  <c r="V10" i="146"/>
  <c r="T10" i="146"/>
  <c r="R10" i="146"/>
  <c r="P10" i="146"/>
  <c r="N10" i="146"/>
  <c r="L10" i="146"/>
  <c r="J10" i="146"/>
  <c r="H10" i="146"/>
  <c r="Y10" i="146" s="1"/>
  <c r="F10" i="146"/>
  <c r="D10" i="146"/>
  <c r="X9" i="146"/>
  <c r="V9" i="146"/>
  <c r="T9" i="146"/>
  <c r="R9" i="146"/>
  <c r="P9" i="146"/>
  <c r="N9" i="146"/>
  <c r="L9" i="146"/>
  <c r="J9" i="146"/>
  <c r="H9" i="146"/>
  <c r="F9" i="146"/>
  <c r="D9" i="146"/>
  <c r="X8" i="146"/>
  <c r="V8" i="146"/>
  <c r="T8" i="146"/>
  <c r="R8" i="146"/>
  <c r="P8" i="146"/>
  <c r="N8" i="146"/>
  <c r="L8" i="146"/>
  <c r="J8" i="146"/>
  <c r="H8" i="146"/>
  <c r="F8" i="146"/>
  <c r="D8" i="146"/>
  <c r="X7" i="146"/>
  <c r="V7" i="146"/>
  <c r="T7" i="146"/>
  <c r="R7" i="146"/>
  <c r="P7" i="146"/>
  <c r="N7" i="146"/>
  <c r="L7" i="146"/>
  <c r="J7" i="146"/>
  <c r="H7" i="146"/>
  <c r="F7" i="146"/>
  <c r="D7" i="146"/>
  <c r="X6" i="146"/>
  <c r="X12" i="146" s="1"/>
  <c r="V6" i="146"/>
  <c r="T6" i="146"/>
  <c r="T12" i="146" s="1"/>
  <c r="R6" i="146"/>
  <c r="R12" i="146" s="1"/>
  <c r="P6" i="146"/>
  <c r="P12" i="146" s="1"/>
  <c r="N6" i="146"/>
  <c r="L6" i="146"/>
  <c r="L12" i="146" s="1"/>
  <c r="J6" i="146"/>
  <c r="H6" i="146"/>
  <c r="H12" i="146" s="1"/>
  <c r="F6" i="146"/>
  <c r="D6" i="146"/>
  <c r="V25" i="145"/>
  <c r="F22" i="145"/>
  <c r="S19" i="145"/>
  <c r="S20" i="145" s="1"/>
  <c r="Q19" i="145"/>
  <c r="Q20" i="145" s="1"/>
  <c r="P19" i="145"/>
  <c r="P20" i="145" s="1"/>
  <c r="L19" i="145"/>
  <c r="L20" i="145" s="1"/>
  <c r="J19" i="145"/>
  <c r="J20" i="145" s="1"/>
  <c r="H19" i="145"/>
  <c r="H20" i="145" s="1"/>
  <c r="W12" i="145"/>
  <c r="K18" i="145" s="1"/>
  <c r="K19" i="145" s="1"/>
  <c r="K20" i="145" s="1"/>
  <c r="U12" i="145"/>
  <c r="I18" i="145" s="1"/>
  <c r="I19" i="145" s="1"/>
  <c r="I20" i="145" s="1"/>
  <c r="S12" i="145"/>
  <c r="Q12" i="145"/>
  <c r="O18" i="145" s="1"/>
  <c r="O19" i="145" s="1"/>
  <c r="O20" i="145" s="1"/>
  <c r="O12" i="145"/>
  <c r="N18" i="145" s="1"/>
  <c r="N19" i="145" s="1"/>
  <c r="N20" i="145" s="1"/>
  <c r="N12" i="145"/>
  <c r="M12" i="145"/>
  <c r="M18" i="145" s="1"/>
  <c r="M19" i="145" s="1"/>
  <c r="M20" i="145" s="1"/>
  <c r="K12" i="145"/>
  <c r="G18" i="145" s="1"/>
  <c r="G19" i="145" s="1"/>
  <c r="G20" i="145" s="1"/>
  <c r="I12" i="145"/>
  <c r="F18" i="145" s="1"/>
  <c r="F19" i="145" s="1"/>
  <c r="F20" i="145" s="1"/>
  <c r="G12" i="145"/>
  <c r="E18" i="145" s="1"/>
  <c r="E19" i="145" s="1"/>
  <c r="E20" i="145" s="1"/>
  <c r="E12" i="145"/>
  <c r="D18" i="145" s="1"/>
  <c r="D19" i="145" s="1"/>
  <c r="D20" i="145" s="1"/>
  <c r="C12" i="145"/>
  <c r="B18" i="145" s="1"/>
  <c r="B19" i="145" s="1"/>
  <c r="B20" i="145" s="1"/>
  <c r="X11" i="145"/>
  <c r="V11" i="145"/>
  <c r="T11" i="145"/>
  <c r="R11" i="145"/>
  <c r="P11" i="145"/>
  <c r="N11" i="145"/>
  <c r="L11" i="145"/>
  <c r="J11" i="145"/>
  <c r="H11" i="145"/>
  <c r="Y11" i="145" s="1"/>
  <c r="F11" i="145"/>
  <c r="D11" i="145"/>
  <c r="X10" i="145"/>
  <c r="V10" i="145"/>
  <c r="T10" i="145"/>
  <c r="R10" i="145"/>
  <c r="P10" i="145"/>
  <c r="N10" i="145"/>
  <c r="L10" i="145"/>
  <c r="J10" i="145"/>
  <c r="H10" i="145"/>
  <c r="F10" i="145"/>
  <c r="D10" i="145"/>
  <c r="X9" i="145"/>
  <c r="V9" i="145"/>
  <c r="T9" i="145"/>
  <c r="R9" i="145"/>
  <c r="P9" i="145"/>
  <c r="N9" i="145"/>
  <c r="L9" i="145"/>
  <c r="J9" i="145"/>
  <c r="H9" i="145"/>
  <c r="F9" i="145"/>
  <c r="F12" i="145" s="1"/>
  <c r="D9" i="145"/>
  <c r="X8" i="145"/>
  <c r="V8" i="145"/>
  <c r="T8" i="145"/>
  <c r="R8" i="145"/>
  <c r="P8" i="145"/>
  <c r="N8" i="145"/>
  <c r="L8" i="145"/>
  <c r="J8" i="145"/>
  <c r="H8" i="145"/>
  <c r="F8" i="145"/>
  <c r="D8" i="145"/>
  <c r="X7" i="145"/>
  <c r="V7" i="145"/>
  <c r="T7" i="145"/>
  <c r="R7" i="145"/>
  <c r="P7" i="145"/>
  <c r="N7" i="145"/>
  <c r="L7" i="145"/>
  <c r="J7" i="145"/>
  <c r="H7" i="145"/>
  <c r="F7" i="145"/>
  <c r="D7" i="145"/>
  <c r="X6" i="145"/>
  <c r="X12" i="145" s="1"/>
  <c r="V6" i="145"/>
  <c r="T6" i="145"/>
  <c r="R6" i="145"/>
  <c r="R12" i="145" s="1"/>
  <c r="P6" i="145"/>
  <c r="P12" i="145" s="1"/>
  <c r="N6" i="145"/>
  <c r="L6" i="145"/>
  <c r="L12" i="145" s="1"/>
  <c r="J6" i="145"/>
  <c r="H6" i="145"/>
  <c r="F6" i="145"/>
  <c r="D6" i="145"/>
  <c r="V12" i="146" l="1"/>
  <c r="H12" i="148"/>
  <c r="Y8" i="148"/>
  <c r="Y7" i="148"/>
  <c r="J12" i="148"/>
  <c r="D12" i="148"/>
  <c r="Y9" i="148"/>
  <c r="B21" i="148"/>
  <c r="Y6" i="148"/>
  <c r="H12" i="147"/>
  <c r="V12" i="147"/>
  <c r="Y9" i="147"/>
  <c r="T12" i="147"/>
  <c r="J12" i="147"/>
  <c r="D12" i="147"/>
  <c r="Y8" i="147"/>
  <c r="Y7" i="147"/>
  <c r="B21" i="147"/>
  <c r="Y6" i="147"/>
  <c r="Y9" i="146"/>
  <c r="J12" i="146"/>
  <c r="D12" i="146"/>
  <c r="Y8" i="146"/>
  <c r="Y7" i="146"/>
  <c r="B21" i="146"/>
  <c r="Y6" i="146"/>
  <c r="H12" i="145"/>
  <c r="V12" i="145"/>
  <c r="Y10" i="145"/>
  <c r="T12" i="145"/>
  <c r="Y9" i="145"/>
  <c r="J12" i="145"/>
  <c r="D12" i="145"/>
  <c r="Y8" i="145"/>
  <c r="Y7" i="145"/>
  <c r="B21" i="145"/>
  <c r="Y6" i="145"/>
  <c r="Y12" i="148" l="1"/>
  <c r="V16" i="148" s="1"/>
  <c r="V24" i="148" s="1"/>
  <c r="Y12" i="147"/>
  <c r="V16" i="147" s="1"/>
  <c r="V24" i="147" s="1"/>
  <c r="Y12" i="146"/>
  <c r="V16" i="146" s="1"/>
  <c r="V24" i="146" s="1"/>
  <c r="Y12" i="145"/>
  <c r="V16" i="145" s="1"/>
  <c r="V24" i="145" s="1"/>
  <c r="V18" i="144" l="1"/>
  <c r="V18" i="141" l="1"/>
  <c r="D20" i="141"/>
  <c r="D20" i="142"/>
  <c r="D20" i="143"/>
  <c r="V25" i="144"/>
  <c r="F22" i="144"/>
  <c r="S19" i="144"/>
  <c r="S20" i="144" s="1"/>
  <c r="Q19" i="144"/>
  <c r="Q20" i="144" s="1"/>
  <c r="P19" i="144"/>
  <c r="P20" i="144" s="1"/>
  <c r="L19" i="144"/>
  <c r="L20" i="144" s="1"/>
  <c r="J19" i="144"/>
  <c r="J20" i="144" s="1"/>
  <c r="H19" i="144"/>
  <c r="H20" i="144" s="1"/>
  <c r="K18" i="144"/>
  <c r="K19" i="144" s="1"/>
  <c r="K20" i="144" s="1"/>
  <c r="W12" i="144"/>
  <c r="U12" i="144"/>
  <c r="I18" i="144" s="1"/>
  <c r="I19" i="144" s="1"/>
  <c r="I20" i="144" s="1"/>
  <c r="S12" i="144"/>
  <c r="Q12" i="144"/>
  <c r="O18" i="144" s="1"/>
  <c r="O19" i="144" s="1"/>
  <c r="O20" i="144" s="1"/>
  <c r="O12" i="144"/>
  <c r="N18" i="144" s="1"/>
  <c r="N19" i="144" s="1"/>
  <c r="N20" i="144" s="1"/>
  <c r="M12" i="144"/>
  <c r="M18" i="144" s="1"/>
  <c r="M19" i="144" s="1"/>
  <c r="M20" i="144" s="1"/>
  <c r="K12" i="144"/>
  <c r="G18" i="144" s="1"/>
  <c r="G19" i="144" s="1"/>
  <c r="G20" i="144" s="1"/>
  <c r="I12" i="144"/>
  <c r="F18" i="144" s="1"/>
  <c r="F19" i="144" s="1"/>
  <c r="F20" i="144" s="1"/>
  <c r="G12" i="144"/>
  <c r="E18" i="144" s="1"/>
  <c r="E19" i="144" s="1"/>
  <c r="E20" i="144" s="1"/>
  <c r="E12" i="144"/>
  <c r="D18" i="144" s="1"/>
  <c r="D19" i="144" s="1"/>
  <c r="D20" i="144" s="1"/>
  <c r="C12" i="144"/>
  <c r="B18" i="144" s="1"/>
  <c r="B19" i="144" s="1"/>
  <c r="B20" i="144" s="1"/>
  <c r="X11" i="144"/>
  <c r="V11" i="144"/>
  <c r="T11" i="144"/>
  <c r="R11" i="144"/>
  <c r="P11" i="144"/>
  <c r="N11" i="144"/>
  <c r="L11" i="144"/>
  <c r="J11" i="144"/>
  <c r="H11" i="144"/>
  <c r="F11" i="144"/>
  <c r="D11" i="144"/>
  <c r="Y11" i="144" s="1"/>
  <c r="X10" i="144"/>
  <c r="V10" i="144"/>
  <c r="T10" i="144"/>
  <c r="R10" i="144"/>
  <c r="P10" i="144"/>
  <c r="N10" i="144"/>
  <c r="L10" i="144"/>
  <c r="J10" i="144"/>
  <c r="H10" i="144"/>
  <c r="F10" i="144"/>
  <c r="D10" i="144"/>
  <c r="Y10" i="144" s="1"/>
  <c r="X9" i="144"/>
  <c r="V9" i="144"/>
  <c r="T9" i="144"/>
  <c r="R9" i="144"/>
  <c r="P9" i="144"/>
  <c r="N9" i="144"/>
  <c r="L9" i="144"/>
  <c r="J9" i="144"/>
  <c r="H9" i="144"/>
  <c r="F9" i="144"/>
  <c r="D9" i="144"/>
  <c r="X8" i="144"/>
  <c r="V8" i="144"/>
  <c r="T8" i="144"/>
  <c r="R8" i="144"/>
  <c r="P8" i="144"/>
  <c r="N8" i="144"/>
  <c r="L8" i="144"/>
  <c r="J8" i="144"/>
  <c r="H8" i="144"/>
  <c r="F8" i="144"/>
  <c r="D8" i="144"/>
  <c r="X7" i="144"/>
  <c r="V7" i="144"/>
  <c r="T7" i="144"/>
  <c r="R7" i="144"/>
  <c r="P7" i="144"/>
  <c r="N7" i="144"/>
  <c r="L7" i="144"/>
  <c r="J7" i="144"/>
  <c r="H7" i="144"/>
  <c r="F7" i="144"/>
  <c r="D7" i="144"/>
  <c r="X6" i="144"/>
  <c r="X12" i="144" s="1"/>
  <c r="V6" i="144"/>
  <c r="T6" i="144"/>
  <c r="T12" i="144" s="1"/>
  <c r="R6" i="144"/>
  <c r="R12" i="144" s="1"/>
  <c r="P6" i="144"/>
  <c r="P12" i="144" s="1"/>
  <c r="N6" i="144"/>
  <c r="N12" i="144" s="1"/>
  <c r="L6" i="144"/>
  <c r="L12" i="144" s="1"/>
  <c r="J6" i="144"/>
  <c r="H6" i="144"/>
  <c r="F6" i="144"/>
  <c r="D6" i="144"/>
  <c r="F7" i="143"/>
  <c r="F8" i="143"/>
  <c r="F9" i="143"/>
  <c r="F10" i="143"/>
  <c r="F11" i="143"/>
  <c r="F6" i="143"/>
  <c r="V25" i="143"/>
  <c r="F22" i="143"/>
  <c r="S19" i="143"/>
  <c r="S20" i="143" s="1"/>
  <c r="Q19" i="143"/>
  <c r="Q20" i="143" s="1"/>
  <c r="P19" i="143"/>
  <c r="P20" i="143" s="1"/>
  <c r="L19" i="143"/>
  <c r="L20" i="143" s="1"/>
  <c r="J19" i="143"/>
  <c r="J20" i="143" s="1"/>
  <c r="H19" i="143"/>
  <c r="H20" i="143" s="1"/>
  <c r="O18" i="143"/>
  <c r="O19" i="143" s="1"/>
  <c r="O20" i="143" s="1"/>
  <c r="I18" i="143"/>
  <c r="I19" i="143" s="1"/>
  <c r="I20" i="143" s="1"/>
  <c r="W12" i="143"/>
  <c r="K18" i="143" s="1"/>
  <c r="K19" i="143" s="1"/>
  <c r="K20" i="143" s="1"/>
  <c r="U12" i="143"/>
  <c r="S12" i="143"/>
  <c r="Q12" i="143"/>
  <c r="P12" i="143"/>
  <c r="O12" i="143"/>
  <c r="N18" i="143" s="1"/>
  <c r="N19" i="143" s="1"/>
  <c r="N20" i="143" s="1"/>
  <c r="M12" i="143"/>
  <c r="M18" i="143" s="1"/>
  <c r="M19" i="143" s="1"/>
  <c r="M20" i="143" s="1"/>
  <c r="L12" i="143"/>
  <c r="K12" i="143"/>
  <c r="G18" i="143" s="1"/>
  <c r="G19" i="143" s="1"/>
  <c r="G20" i="143" s="1"/>
  <c r="I12" i="143"/>
  <c r="F18" i="143" s="1"/>
  <c r="F19" i="143" s="1"/>
  <c r="F20" i="143" s="1"/>
  <c r="G12" i="143"/>
  <c r="E18" i="143" s="1"/>
  <c r="E19" i="143" s="1"/>
  <c r="E20" i="143" s="1"/>
  <c r="E12" i="143"/>
  <c r="D18" i="143" s="1"/>
  <c r="D19" i="143" s="1"/>
  <c r="C12" i="143"/>
  <c r="B18" i="143" s="1"/>
  <c r="B19" i="143" s="1"/>
  <c r="B20" i="143" s="1"/>
  <c r="X11" i="143"/>
  <c r="V11" i="143"/>
  <c r="T11" i="143"/>
  <c r="R11" i="143"/>
  <c r="P11" i="143"/>
  <c r="N11" i="143"/>
  <c r="L11" i="143"/>
  <c r="J11" i="143"/>
  <c r="H11" i="143"/>
  <c r="Y11" i="143"/>
  <c r="D11" i="143"/>
  <c r="X10" i="143"/>
  <c r="V10" i="143"/>
  <c r="T10" i="143"/>
  <c r="R10" i="143"/>
  <c r="P10" i="143"/>
  <c r="N10" i="143"/>
  <c r="L10" i="143"/>
  <c r="J10" i="143"/>
  <c r="H10" i="143"/>
  <c r="D10" i="143"/>
  <c r="X9" i="143"/>
  <c r="V9" i="143"/>
  <c r="T9" i="143"/>
  <c r="R9" i="143"/>
  <c r="P9" i="143"/>
  <c r="N9" i="143"/>
  <c r="L9" i="143"/>
  <c r="J9" i="143"/>
  <c r="H9" i="143"/>
  <c r="D9" i="143"/>
  <c r="X8" i="143"/>
  <c r="V8" i="143"/>
  <c r="T8" i="143"/>
  <c r="R8" i="143"/>
  <c r="P8" i="143"/>
  <c r="N8" i="143"/>
  <c r="L8" i="143"/>
  <c r="J8" i="143"/>
  <c r="H8" i="143"/>
  <c r="D8" i="143"/>
  <c r="X7" i="143"/>
  <c r="V7" i="143"/>
  <c r="T7" i="143"/>
  <c r="R7" i="143"/>
  <c r="P7" i="143"/>
  <c r="N7" i="143"/>
  <c r="L7" i="143"/>
  <c r="J7" i="143"/>
  <c r="H7" i="143"/>
  <c r="D7" i="143"/>
  <c r="X6" i="143"/>
  <c r="X12" i="143" s="1"/>
  <c r="V6" i="143"/>
  <c r="V12" i="143" s="1"/>
  <c r="T6" i="143"/>
  <c r="R6" i="143"/>
  <c r="R12" i="143" s="1"/>
  <c r="P6" i="143"/>
  <c r="N6" i="143"/>
  <c r="N12" i="143" s="1"/>
  <c r="L6" i="143"/>
  <c r="J6" i="143"/>
  <c r="H6" i="143"/>
  <c r="F12" i="143"/>
  <c r="D6" i="143"/>
  <c r="Y9" i="144" l="1"/>
  <c r="V12" i="144"/>
  <c r="H12" i="144"/>
  <c r="Y8" i="144"/>
  <c r="J12" i="144"/>
  <c r="Y7" i="144"/>
  <c r="F12" i="144"/>
  <c r="D12" i="144"/>
  <c r="B21" i="144"/>
  <c r="Y6" i="144"/>
  <c r="D12" i="143"/>
  <c r="T12" i="143"/>
  <c r="H12" i="143"/>
  <c r="Y7" i="143"/>
  <c r="J12" i="143"/>
  <c r="Y10" i="143"/>
  <c r="Y9" i="143"/>
  <c r="Y8" i="143"/>
  <c r="B21" i="143"/>
  <c r="Y6" i="143"/>
  <c r="Y12" i="144" l="1"/>
  <c r="V16" i="144" s="1"/>
  <c r="V24" i="144" s="1"/>
  <c r="Y12" i="143"/>
  <c r="V16" i="143" s="1"/>
  <c r="V24" i="143" s="1"/>
  <c r="V25" i="142" l="1"/>
  <c r="F22" i="142"/>
  <c r="S19" i="142"/>
  <c r="S20" i="142" s="1"/>
  <c r="Q19" i="142"/>
  <c r="Q20" i="142" s="1"/>
  <c r="P19" i="142"/>
  <c r="P20" i="142" s="1"/>
  <c r="O19" i="142"/>
  <c r="O20" i="142" s="1"/>
  <c r="L19" i="142"/>
  <c r="L20" i="142" s="1"/>
  <c r="J19" i="142"/>
  <c r="J20" i="142" s="1"/>
  <c r="H19" i="142"/>
  <c r="H20" i="142" s="1"/>
  <c r="O18" i="142"/>
  <c r="M18" i="142"/>
  <c r="M19" i="142" s="1"/>
  <c r="M20" i="142" s="1"/>
  <c r="I18" i="142"/>
  <c r="I19" i="142" s="1"/>
  <c r="I20" i="142" s="1"/>
  <c r="D18" i="142"/>
  <c r="D19" i="142" s="1"/>
  <c r="W12" i="142"/>
  <c r="K18" i="142" s="1"/>
  <c r="K19" i="142" s="1"/>
  <c r="K20" i="142" s="1"/>
  <c r="U12" i="142"/>
  <c r="S12" i="142"/>
  <c r="Q12" i="142"/>
  <c r="P12" i="142"/>
  <c r="O12" i="142"/>
  <c r="N18" i="142" s="1"/>
  <c r="N19" i="142" s="1"/>
  <c r="N20" i="142" s="1"/>
  <c r="N12" i="142"/>
  <c r="M12" i="142"/>
  <c r="L12" i="142"/>
  <c r="K12" i="142"/>
  <c r="G18" i="142" s="1"/>
  <c r="G19" i="142" s="1"/>
  <c r="G20" i="142" s="1"/>
  <c r="I12" i="142"/>
  <c r="F18" i="142" s="1"/>
  <c r="F19" i="142" s="1"/>
  <c r="F20" i="142" s="1"/>
  <c r="G12" i="142"/>
  <c r="E18" i="142" s="1"/>
  <c r="E19" i="142" s="1"/>
  <c r="E20" i="142" s="1"/>
  <c r="F12" i="142"/>
  <c r="E12" i="142"/>
  <c r="C12" i="142"/>
  <c r="B18" i="142" s="1"/>
  <c r="B19" i="142" s="1"/>
  <c r="B20" i="142" s="1"/>
  <c r="X11" i="142"/>
  <c r="V11" i="142"/>
  <c r="T11" i="142"/>
  <c r="R11" i="142"/>
  <c r="P11" i="142"/>
  <c r="N11" i="142"/>
  <c r="L11" i="142"/>
  <c r="J11" i="142"/>
  <c r="Y11" i="142" s="1"/>
  <c r="H11" i="142"/>
  <c r="F11" i="142"/>
  <c r="D11" i="142"/>
  <c r="X10" i="142"/>
  <c r="V10" i="142"/>
  <c r="T10" i="142"/>
  <c r="R10" i="142"/>
  <c r="P10" i="142"/>
  <c r="N10" i="142"/>
  <c r="L10" i="142"/>
  <c r="J10" i="142"/>
  <c r="Y10" i="142" s="1"/>
  <c r="H10" i="142"/>
  <c r="F10" i="142"/>
  <c r="D10" i="142"/>
  <c r="X9" i="142"/>
  <c r="V9" i="142"/>
  <c r="T9" i="142"/>
  <c r="R9" i="142"/>
  <c r="P9" i="142"/>
  <c r="N9" i="142"/>
  <c r="L9" i="142"/>
  <c r="J9" i="142"/>
  <c r="H9" i="142"/>
  <c r="F9" i="142"/>
  <c r="D9" i="142"/>
  <c r="X8" i="142"/>
  <c r="V8" i="142"/>
  <c r="T8" i="142"/>
  <c r="R8" i="142"/>
  <c r="P8" i="142"/>
  <c r="N8" i="142"/>
  <c r="L8" i="142"/>
  <c r="J8" i="142"/>
  <c r="H8" i="142"/>
  <c r="F8" i="142"/>
  <c r="D8" i="142"/>
  <c r="X7" i="142"/>
  <c r="V7" i="142"/>
  <c r="T7" i="142"/>
  <c r="T12" i="142" s="1"/>
  <c r="R7" i="142"/>
  <c r="P7" i="142"/>
  <c r="N7" i="142"/>
  <c r="L7" i="142"/>
  <c r="J7" i="142"/>
  <c r="H7" i="142"/>
  <c r="F7" i="142"/>
  <c r="D7" i="142"/>
  <c r="X6" i="142"/>
  <c r="X12" i="142" s="1"/>
  <c r="V6" i="142"/>
  <c r="V12" i="142" s="1"/>
  <c r="T6" i="142"/>
  <c r="R6" i="142"/>
  <c r="R12" i="142" s="1"/>
  <c r="P6" i="142"/>
  <c r="N6" i="142"/>
  <c r="L6" i="142"/>
  <c r="J6" i="142"/>
  <c r="H6" i="142"/>
  <c r="F6" i="142"/>
  <c r="D6" i="142"/>
  <c r="V25" i="141"/>
  <c r="F22" i="141"/>
  <c r="S19" i="141"/>
  <c r="S20" i="141" s="1"/>
  <c r="Q19" i="141"/>
  <c r="Q20" i="141" s="1"/>
  <c r="P19" i="141"/>
  <c r="P20" i="141" s="1"/>
  <c r="O19" i="141"/>
  <c r="O20" i="141" s="1"/>
  <c r="L19" i="141"/>
  <c r="L20" i="141" s="1"/>
  <c r="J19" i="141"/>
  <c r="J20" i="141" s="1"/>
  <c r="H19" i="141"/>
  <c r="H20" i="141" s="1"/>
  <c r="O18" i="141"/>
  <c r="M18" i="141"/>
  <c r="M19" i="141" s="1"/>
  <c r="M20" i="141" s="1"/>
  <c r="I18" i="141"/>
  <c r="I19" i="141" s="1"/>
  <c r="I20" i="141" s="1"/>
  <c r="F18" i="141"/>
  <c r="F19" i="141" s="1"/>
  <c r="F20" i="141" s="1"/>
  <c r="D18" i="141"/>
  <c r="D19" i="141" s="1"/>
  <c r="X12" i="141"/>
  <c r="W12" i="141"/>
  <c r="K18" i="141" s="1"/>
  <c r="K19" i="141" s="1"/>
  <c r="K20" i="141" s="1"/>
  <c r="V12" i="141"/>
  <c r="U12" i="141"/>
  <c r="S12" i="141"/>
  <c r="Q12" i="141"/>
  <c r="P12" i="141"/>
  <c r="O12" i="141"/>
  <c r="N18" i="141" s="1"/>
  <c r="N19" i="141" s="1"/>
  <c r="N20" i="141" s="1"/>
  <c r="N12" i="141"/>
  <c r="M12" i="141"/>
  <c r="L12" i="141"/>
  <c r="K12" i="141"/>
  <c r="G18" i="141" s="1"/>
  <c r="G19" i="141" s="1"/>
  <c r="G20" i="141" s="1"/>
  <c r="I12" i="141"/>
  <c r="G12" i="141"/>
  <c r="E18" i="141" s="1"/>
  <c r="E19" i="141" s="1"/>
  <c r="E20" i="141" s="1"/>
  <c r="F12" i="141"/>
  <c r="E12" i="141"/>
  <c r="C12" i="141"/>
  <c r="B18" i="141" s="1"/>
  <c r="B19" i="141" s="1"/>
  <c r="B20" i="141" s="1"/>
  <c r="X11" i="141"/>
  <c r="V11" i="141"/>
  <c r="T11" i="141"/>
  <c r="T12" i="141" s="1"/>
  <c r="R11" i="141"/>
  <c r="P11" i="141"/>
  <c r="N11" i="141"/>
  <c r="L11" i="141"/>
  <c r="J11" i="141"/>
  <c r="H11" i="141"/>
  <c r="F11" i="141"/>
  <c r="D11" i="141"/>
  <c r="X10" i="141"/>
  <c r="V10" i="141"/>
  <c r="T10" i="141"/>
  <c r="R10" i="141"/>
  <c r="P10" i="141"/>
  <c r="N10" i="141"/>
  <c r="L10" i="141"/>
  <c r="J10" i="141"/>
  <c r="H10" i="141"/>
  <c r="F10" i="141"/>
  <c r="D10" i="141"/>
  <c r="X9" i="141"/>
  <c r="V9" i="141"/>
  <c r="T9" i="141"/>
  <c r="R9" i="141"/>
  <c r="P9" i="141"/>
  <c r="N9" i="141"/>
  <c r="L9" i="141"/>
  <c r="J9" i="141"/>
  <c r="Y9" i="141" s="1"/>
  <c r="H9" i="141"/>
  <c r="F9" i="141"/>
  <c r="D9" i="141"/>
  <c r="X8" i="141"/>
  <c r="V8" i="141"/>
  <c r="T8" i="141"/>
  <c r="R8" i="141"/>
  <c r="P8" i="141"/>
  <c r="N8" i="141"/>
  <c r="L8" i="141"/>
  <c r="J8" i="141"/>
  <c r="H8" i="141"/>
  <c r="F8" i="141"/>
  <c r="D8" i="141"/>
  <c r="X7" i="141"/>
  <c r="V7" i="141"/>
  <c r="T7" i="141"/>
  <c r="R7" i="141"/>
  <c r="P7" i="141"/>
  <c r="N7" i="141"/>
  <c r="L7" i="141"/>
  <c r="J7" i="141"/>
  <c r="Y7" i="141" s="1"/>
  <c r="H7" i="141"/>
  <c r="F7" i="141"/>
  <c r="D7" i="141"/>
  <c r="X6" i="141"/>
  <c r="V6" i="141"/>
  <c r="T6" i="141"/>
  <c r="R6" i="141"/>
  <c r="R12" i="141" s="1"/>
  <c r="P6" i="141"/>
  <c r="N6" i="141"/>
  <c r="L6" i="141"/>
  <c r="J6" i="141"/>
  <c r="J12" i="141" s="1"/>
  <c r="H6" i="141"/>
  <c r="H12" i="141" s="1"/>
  <c r="F6" i="141"/>
  <c r="D6" i="141"/>
  <c r="Y9" i="142" l="1"/>
  <c r="H12" i="142"/>
  <c r="D12" i="142"/>
  <c r="Y6" i="142"/>
  <c r="Y8" i="142"/>
  <c r="Y7" i="142"/>
  <c r="B21" i="142"/>
  <c r="J12" i="142"/>
  <c r="D12" i="141"/>
  <c r="Y8" i="141"/>
  <c r="Y11" i="141"/>
  <c r="Y10" i="141"/>
  <c r="B21" i="141"/>
  <c r="Y6" i="141"/>
  <c r="Y12" i="141" s="1"/>
  <c r="V16" i="141" s="1"/>
  <c r="V24" i="141" s="1"/>
  <c r="Y12" i="142" l="1"/>
  <c r="V16" i="142" s="1"/>
  <c r="V24" i="142" s="1"/>
  <c r="V18" i="140"/>
  <c r="V25" i="140" l="1"/>
  <c r="F22" i="140"/>
  <c r="S19" i="140"/>
  <c r="S20" i="140" s="1"/>
  <c r="Q19" i="140"/>
  <c r="Q20" i="140" s="1"/>
  <c r="P19" i="140"/>
  <c r="P20" i="140" s="1"/>
  <c r="L19" i="140"/>
  <c r="L20" i="140" s="1"/>
  <c r="J19" i="140"/>
  <c r="J20" i="140" s="1"/>
  <c r="H19" i="140"/>
  <c r="H20" i="140" s="1"/>
  <c r="M18" i="140"/>
  <c r="M19" i="140" s="1"/>
  <c r="M20" i="140" s="1"/>
  <c r="F18" i="140"/>
  <c r="F19" i="140" s="1"/>
  <c r="F20" i="140" s="1"/>
  <c r="W12" i="140"/>
  <c r="K18" i="140" s="1"/>
  <c r="K19" i="140" s="1"/>
  <c r="K20" i="140" s="1"/>
  <c r="U12" i="140"/>
  <c r="I18" i="140" s="1"/>
  <c r="I19" i="140" s="1"/>
  <c r="I20" i="140" s="1"/>
  <c r="S12" i="140"/>
  <c r="Q12" i="140"/>
  <c r="O18" i="140" s="1"/>
  <c r="O19" i="140" s="1"/>
  <c r="O20" i="140" s="1"/>
  <c r="O12" i="140"/>
  <c r="N18" i="140" s="1"/>
  <c r="N19" i="140" s="1"/>
  <c r="N20" i="140" s="1"/>
  <c r="N12" i="140"/>
  <c r="M12" i="140"/>
  <c r="K12" i="140"/>
  <c r="G18" i="140" s="1"/>
  <c r="G19" i="140" s="1"/>
  <c r="G20" i="140" s="1"/>
  <c r="I12" i="140"/>
  <c r="G12" i="140"/>
  <c r="E18" i="140" s="1"/>
  <c r="E19" i="140" s="1"/>
  <c r="E20" i="140" s="1"/>
  <c r="F12" i="140"/>
  <c r="E12" i="140"/>
  <c r="D18" i="140" s="1"/>
  <c r="D19" i="140" s="1"/>
  <c r="D20" i="140" s="1"/>
  <c r="C12" i="140"/>
  <c r="B18" i="140" s="1"/>
  <c r="B19" i="140" s="1"/>
  <c r="B20" i="140" s="1"/>
  <c r="X11" i="140"/>
  <c r="V11" i="140"/>
  <c r="T11" i="140"/>
  <c r="R11" i="140"/>
  <c r="P11" i="140"/>
  <c r="N11" i="140"/>
  <c r="L11" i="140"/>
  <c r="J11" i="140"/>
  <c r="Y11" i="140" s="1"/>
  <c r="H11" i="140"/>
  <c r="F11" i="140"/>
  <c r="D11" i="140"/>
  <c r="X10" i="140"/>
  <c r="V10" i="140"/>
  <c r="T10" i="140"/>
  <c r="R10" i="140"/>
  <c r="P10" i="140"/>
  <c r="N10" i="140"/>
  <c r="L10" i="140"/>
  <c r="J10" i="140"/>
  <c r="Y10" i="140" s="1"/>
  <c r="H10" i="140"/>
  <c r="F10" i="140"/>
  <c r="D10" i="140"/>
  <c r="X9" i="140"/>
  <c r="V9" i="140"/>
  <c r="V12" i="140" s="1"/>
  <c r="T9" i="140"/>
  <c r="R9" i="140"/>
  <c r="P9" i="140"/>
  <c r="N9" i="140"/>
  <c r="L9" i="140"/>
  <c r="J9" i="140"/>
  <c r="H9" i="140"/>
  <c r="F9" i="140"/>
  <c r="D9" i="140"/>
  <c r="X8" i="140"/>
  <c r="V8" i="140"/>
  <c r="T8" i="140"/>
  <c r="R8" i="140"/>
  <c r="P8" i="140"/>
  <c r="N8" i="140"/>
  <c r="L8" i="140"/>
  <c r="J8" i="140"/>
  <c r="H8" i="140"/>
  <c r="F8" i="140"/>
  <c r="D8" i="140"/>
  <c r="X7" i="140"/>
  <c r="V7" i="140"/>
  <c r="T7" i="140"/>
  <c r="R7" i="140"/>
  <c r="P7" i="140"/>
  <c r="N7" i="140"/>
  <c r="L7" i="140"/>
  <c r="J7" i="140"/>
  <c r="Y7" i="140" s="1"/>
  <c r="H7" i="140"/>
  <c r="F7" i="140"/>
  <c r="D7" i="140"/>
  <c r="X6" i="140"/>
  <c r="X12" i="140" s="1"/>
  <c r="V6" i="140"/>
  <c r="T6" i="140"/>
  <c r="R6" i="140"/>
  <c r="R12" i="140" s="1"/>
  <c r="P6" i="140"/>
  <c r="P12" i="140" s="1"/>
  <c r="N6" i="140"/>
  <c r="L6" i="140"/>
  <c r="L12" i="140" s="1"/>
  <c r="J6" i="140"/>
  <c r="J12" i="140" s="1"/>
  <c r="H6" i="140"/>
  <c r="H12" i="140" s="1"/>
  <c r="F6" i="140"/>
  <c r="D6" i="140"/>
  <c r="T12" i="140" l="1"/>
  <c r="Y9" i="140"/>
  <c r="D12" i="140"/>
  <c r="Y8" i="140"/>
  <c r="B21" i="140"/>
  <c r="Y6" i="140"/>
  <c r="Y12" i="140" l="1"/>
  <c r="V16" i="140" s="1"/>
  <c r="V24" i="140" s="1"/>
  <c r="V18" i="139" l="1"/>
  <c r="V25" i="139" l="1"/>
  <c r="F22" i="139"/>
  <c r="S19" i="139"/>
  <c r="S20" i="139" s="1"/>
  <c r="Q19" i="139"/>
  <c r="Q20" i="139" s="1"/>
  <c r="P19" i="139"/>
  <c r="P20" i="139" s="1"/>
  <c r="L19" i="139"/>
  <c r="L20" i="139" s="1"/>
  <c r="J19" i="139"/>
  <c r="J20" i="139" s="1"/>
  <c r="H19" i="139"/>
  <c r="H20" i="139" s="1"/>
  <c r="O18" i="139"/>
  <c r="O19" i="139" s="1"/>
  <c r="O20" i="139" s="1"/>
  <c r="K18" i="139"/>
  <c r="K19" i="139" s="1"/>
  <c r="K20" i="139" s="1"/>
  <c r="D18" i="139"/>
  <c r="D19" i="139" s="1"/>
  <c r="D20" i="139" s="1"/>
  <c r="X12" i="139"/>
  <c r="W12" i="139"/>
  <c r="U12" i="139"/>
  <c r="I18" i="139" s="1"/>
  <c r="I19" i="139" s="1"/>
  <c r="I20" i="139" s="1"/>
  <c r="T12" i="139"/>
  <c r="S12" i="139"/>
  <c r="Q12" i="139"/>
  <c r="P12" i="139"/>
  <c r="O12" i="139"/>
  <c r="N18" i="139" s="1"/>
  <c r="N19" i="139" s="1"/>
  <c r="N20" i="139" s="1"/>
  <c r="M12" i="139"/>
  <c r="M18" i="139" s="1"/>
  <c r="M19" i="139" s="1"/>
  <c r="M20" i="139" s="1"/>
  <c r="L12" i="139"/>
  <c r="K12" i="139"/>
  <c r="G18" i="139" s="1"/>
  <c r="G19" i="139" s="1"/>
  <c r="G20" i="139" s="1"/>
  <c r="I12" i="139"/>
  <c r="F18" i="139" s="1"/>
  <c r="F19" i="139" s="1"/>
  <c r="F20" i="139" s="1"/>
  <c r="H12" i="139"/>
  <c r="G12" i="139"/>
  <c r="E18" i="139" s="1"/>
  <c r="E19" i="139" s="1"/>
  <c r="E20" i="139" s="1"/>
  <c r="E12" i="139"/>
  <c r="C12" i="139"/>
  <c r="B18" i="139" s="1"/>
  <c r="B19" i="139" s="1"/>
  <c r="B20" i="139" s="1"/>
  <c r="X11" i="139"/>
  <c r="V11" i="139"/>
  <c r="T11" i="139"/>
  <c r="R11" i="139"/>
  <c r="P11" i="139"/>
  <c r="N11" i="139"/>
  <c r="L11" i="139"/>
  <c r="J11" i="139"/>
  <c r="H11" i="139"/>
  <c r="F11" i="139"/>
  <c r="Y11" i="139" s="1"/>
  <c r="D11" i="139"/>
  <c r="X10" i="139"/>
  <c r="V10" i="139"/>
  <c r="T10" i="139"/>
  <c r="R10" i="139"/>
  <c r="P10" i="139"/>
  <c r="N10" i="139"/>
  <c r="L10" i="139"/>
  <c r="J10" i="139"/>
  <c r="H10" i="139"/>
  <c r="F10" i="139"/>
  <c r="D10" i="139"/>
  <c r="X9" i="139"/>
  <c r="V9" i="139"/>
  <c r="T9" i="139"/>
  <c r="R9" i="139"/>
  <c r="P9" i="139"/>
  <c r="N9" i="139"/>
  <c r="L9" i="139"/>
  <c r="J9" i="139"/>
  <c r="H9" i="139"/>
  <c r="F9" i="139"/>
  <c r="D9" i="139"/>
  <c r="X8" i="139"/>
  <c r="V8" i="139"/>
  <c r="T8" i="139"/>
  <c r="R8" i="139"/>
  <c r="P8" i="139"/>
  <c r="N8" i="139"/>
  <c r="L8" i="139"/>
  <c r="J8" i="139"/>
  <c r="H8" i="139"/>
  <c r="F8" i="139"/>
  <c r="D8" i="139"/>
  <c r="X7" i="139"/>
  <c r="V7" i="139"/>
  <c r="T7" i="139"/>
  <c r="R7" i="139"/>
  <c r="P7" i="139"/>
  <c r="N7" i="139"/>
  <c r="L7" i="139"/>
  <c r="J7" i="139"/>
  <c r="H7" i="139"/>
  <c r="F7" i="139"/>
  <c r="D7" i="139"/>
  <c r="X6" i="139"/>
  <c r="V6" i="139"/>
  <c r="T6" i="139"/>
  <c r="R6" i="139"/>
  <c r="R12" i="139" s="1"/>
  <c r="P6" i="139"/>
  <c r="N6" i="139"/>
  <c r="N12" i="139" s="1"/>
  <c r="L6" i="139"/>
  <c r="J6" i="139"/>
  <c r="J12" i="139" s="1"/>
  <c r="H6" i="139"/>
  <c r="F6" i="139"/>
  <c r="F12" i="139" s="1"/>
  <c r="D6" i="139"/>
  <c r="V12" i="139" l="1"/>
  <c r="Y7" i="139"/>
  <c r="D12" i="139"/>
  <c r="Y10" i="139"/>
  <c r="Y9" i="139"/>
  <c r="Y8" i="139"/>
  <c r="B21" i="139"/>
  <c r="Y6" i="139"/>
  <c r="Y12" i="139" l="1"/>
  <c r="V16" i="139" s="1"/>
  <c r="V24" i="139" s="1"/>
  <c r="V25" i="138" l="1"/>
  <c r="F22" i="138"/>
  <c r="S19" i="138"/>
  <c r="S20" i="138" s="1"/>
  <c r="Q19" i="138"/>
  <c r="Q20" i="138" s="1"/>
  <c r="P19" i="138"/>
  <c r="P20" i="138" s="1"/>
  <c r="L19" i="138"/>
  <c r="L20" i="138" s="1"/>
  <c r="J19" i="138"/>
  <c r="J20" i="138" s="1"/>
  <c r="H19" i="138"/>
  <c r="H20" i="138" s="1"/>
  <c r="O18" i="138"/>
  <c r="O19" i="138" s="1"/>
  <c r="O20" i="138" s="1"/>
  <c r="K18" i="138"/>
  <c r="K19" i="138" s="1"/>
  <c r="K20" i="138" s="1"/>
  <c r="I18" i="138"/>
  <c r="I19" i="138" s="1"/>
  <c r="I20" i="138" s="1"/>
  <c r="D18" i="138"/>
  <c r="D19" i="138" s="1"/>
  <c r="D20" i="138" s="1"/>
  <c r="X12" i="138"/>
  <c r="W12" i="138"/>
  <c r="U12" i="138"/>
  <c r="T12" i="138"/>
  <c r="S12" i="138"/>
  <c r="Q12" i="138"/>
  <c r="P12" i="138"/>
  <c r="O12" i="138"/>
  <c r="N18" i="138" s="1"/>
  <c r="N19" i="138" s="1"/>
  <c r="N20" i="138" s="1"/>
  <c r="M12" i="138"/>
  <c r="M18" i="138" s="1"/>
  <c r="M19" i="138" s="1"/>
  <c r="M20" i="138" s="1"/>
  <c r="L12" i="138"/>
  <c r="K12" i="138"/>
  <c r="G18" i="138" s="1"/>
  <c r="G19" i="138" s="1"/>
  <c r="G20" i="138" s="1"/>
  <c r="I12" i="138"/>
  <c r="F18" i="138" s="1"/>
  <c r="F19" i="138" s="1"/>
  <c r="F20" i="138" s="1"/>
  <c r="G12" i="138"/>
  <c r="E18" i="138" s="1"/>
  <c r="E19" i="138" s="1"/>
  <c r="E20" i="138" s="1"/>
  <c r="E12" i="138"/>
  <c r="C12" i="138"/>
  <c r="B18" i="138" s="1"/>
  <c r="B19" i="138" s="1"/>
  <c r="B20" i="138" s="1"/>
  <c r="X11" i="138"/>
  <c r="V11" i="138"/>
  <c r="T11" i="138"/>
  <c r="R11" i="138"/>
  <c r="P11" i="138"/>
  <c r="N11" i="138"/>
  <c r="L11" i="138"/>
  <c r="J11" i="138"/>
  <c r="H11" i="138"/>
  <c r="F11" i="138"/>
  <c r="D11" i="138"/>
  <c r="Y11" i="138" s="1"/>
  <c r="X10" i="138"/>
  <c r="V10" i="138"/>
  <c r="T10" i="138"/>
  <c r="R10" i="138"/>
  <c r="P10" i="138"/>
  <c r="N10" i="138"/>
  <c r="L10" i="138"/>
  <c r="J10" i="138"/>
  <c r="H10" i="138"/>
  <c r="F10" i="138"/>
  <c r="D10" i="138"/>
  <c r="X9" i="138"/>
  <c r="V9" i="138"/>
  <c r="T9" i="138"/>
  <c r="R9" i="138"/>
  <c r="P9" i="138"/>
  <c r="N9" i="138"/>
  <c r="L9" i="138"/>
  <c r="J9" i="138"/>
  <c r="H9" i="138"/>
  <c r="F9" i="138"/>
  <c r="D9" i="138"/>
  <c r="X8" i="138"/>
  <c r="V8" i="138"/>
  <c r="T8" i="138"/>
  <c r="R8" i="138"/>
  <c r="P8" i="138"/>
  <c r="N8" i="138"/>
  <c r="L8" i="138"/>
  <c r="J8" i="138"/>
  <c r="H8" i="138"/>
  <c r="F8" i="138"/>
  <c r="D8" i="138"/>
  <c r="X7" i="138"/>
  <c r="V7" i="138"/>
  <c r="T7" i="138"/>
  <c r="R7" i="138"/>
  <c r="P7" i="138"/>
  <c r="N7" i="138"/>
  <c r="L7" i="138"/>
  <c r="J7" i="138"/>
  <c r="H7" i="138"/>
  <c r="F7" i="138"/>
  <c r="D7" i="138"/>
  <c r="Y7" i="138" s="1"/>
  <c r="X6" i="138"/>
  <c r="V6" i="138"/>
  <c r="V12" i="138" s="1"/>
  <c r="T6" i="138"/>
  <c r="R6" i="138"/>
  <c r="R12" i="138" s="1"/>
  <c r="P6" i="138"/>
  <c r="N6" i="138"/>
  <c r="N12" i="138" s="1"/>
  <c r="L6" i="138"/>
  <c r="J6" i="138"/>
  <c r="H6" i="138"/>
  <c r="F6" i="138"/>
  <c r="F12" i="138" s="1"/>
  <c r="D6" i="138"/>
  <c r="H12" i="138" l="1"/>
  <c r="Y10" i="138"/>
  <c r="Y9" i="138"/>
  <c r="Y8" i="138"/>
  <c r="J12" i="138"/>
  <c r="Y6" i="138"/>
  <c r="D12" i="138"/>
  <c r="B21" i="138"/>
  <c r="Y12" i="138" l="1"/>
  <c r="V16" i="138" s="1"/>
  <c r="V24" i="138" s="1"/>
  <c r="V25" i="137"/>
  <c r="F22" i="137"/>
  <c r="S19" i="137"/>
  <c r="S20" i="137" s="1"/>
  <c r="Q19" i="137"/>
  <c r="Q20" i="137" s="1"/>
  <c r="P19" i="137"/>
  <c r="P20" i="137" s="1"/>
  <c r="L19" i="137"/>
  <c r="L20" i="137" s="1"/>
  <c r="J19" i="137"/>
  <c r="J20" i="137" s="1"/>
  <c r="H19" i="137"/>
  <c r="H20" i="137" s="1"/>
  <c r="K18" i="137"/>
  <c r="K19" i="137" s="1"/>
  <c r="K20" i="137" s="1"/>
  <c r="W12" i="137"/>
  <c r="U12" i="137"/>
  <c r="I18" i="137" s="1"/>
  <c r="I19" i="137" s="1"/>
  <c r="I20" i="137" s="1"/>
  <c r="S12" i="137"/>
  <c r="Q12" i="137"/>
  <c r="O18" i="137" s="1"/>
  <c r="O19" i="137" s="1"/>
  <c r="O20" i="137" s="1"/>
  <c r="O12" i="137"/>
  <c r="N18" i="137" s="1"/>
  <c r="N19" i="137" s="1"/>
  <c r="N20" i="137" s="1"/>
  <c r="M12" i="137"/>
  <c r="M18" i="137" s="1"/>
  <c r="M19" i="137" s="1"/>
  <c r="M20" i="137" s="1"/>
  <c r="K12" i="137"/>
  <c r="G18" i="137" s="1"/>
  <c r="G19" i="137" s="1"/>
  <c r="G20" i="137" s="1"/>
  <c r="I12" i="137"/>
  <c r="F18" i="137" s="1"/>
  <c r="F19" i="137" s="1"/>
  <c r="F20" i="137" s="1"/>
  <c r="G12" i="137"/>
  <c r="E18" i="137" s="1"/>
  <c r="E19" i="137" s="1"/>
  <c r="E20" i="137" s="1"/>
  <c r="E12" i="137"/>
  <c r="D18" i="137" s="1"/>
  <c r="D19" i="137" s="1"/>
  <c r="D20" i="137" s="1"/>
  <c r="C12" i="137"/>
  <c r="B18" i="137" s="1"/>
  <c r="B19" i="137" s="1"/>
  <c r="B20" i="137" s="1"/>
  <c r="X11" i="137"/>
  <c r="V11" i="137"/>
  <c r="T11" i="137"/>
  <c r="R11" i="137"/>
  <c r="P11" i="137"/>
  <c r="N11" i="137"/>
  <c r="L11" i="137"/>
  <c r="J11" i="137"/>
  <c r="H11" i="137"/>
  <c r="F11" i="137"/>
  <c r="D11" i="137"/>
  <c r="Y11" i="137" s="1"/>
  <c r="X10" i="137"/>
  <c r="V10" i="137"/>
  <c r="T10" i="137"/>
  <c r="R10" i="137"/>
  <c r="P10" i="137"/>
  <c r="N10" i="137"/>
  <c r="L10" i="137"/>
  <c r="J10" i="137"/>
  <c r="H10" i="137"/>
  <c r="F10" i="137"/>
  <c r="D10" i="137"/>
  <c r="Y10" i="137" s="1"/>
  <c r="X9" i="137"/>
  <c r="V9" i="137"/>
  <c r="T9" i="137"/>
  <c r="R9" i="137"/>
  <c r="P9" i="137"/>
  <c r="N9" i="137"/>
  <c r="L9" i="137"/>
  <c r="J9" i="137"/>
  <c r="H9" i="137"/>
  <c r="F9" i="137"/>
  <c r="D9" i="137"/>
  <c r="X8" i="137"/>
  <c r="V8" i="137"/>
  <c r="T8" i="137"/>
  <c r="R8" i="137"/>
  <c r="P8" i="137"/>
  <c r="N8" i="137"/>
  <c r="L8" i="137"/>
  <c r="J8" i="137"/>
  <c r="H8" i="137"/>
  <c r="F8" i="137"/>
  <c r="D8" i="137"/>
  <c r="X7" i="137"/>
  <c r="V7" i="137"/>
  <c r="T7" i="137"/>
  <c r="R7" i="137"/>
  <c r="P7" i="137"/>
  <c r="N7" i="137"/>
  <c r="L7" i="137"/>
  <c r="J7" i="137"/>
  <c r="H7" i="137"/>
  <c r="F7" i="137"/>
  <c r="D7" i="137"/>
  <c r="X6" i="137"/>
  <c r="X12" i="137" s="1"/>
  <c r="V6" i="137"/>
  <c r="V12" i="137" s="1"/>
  <c r="T6" i="137"/>
  <c r="R6" i="137"/>
  <c r="R12" i="137" s="1"/>
  <c r="P6" i="137"/>
  <c r="P12" i="137" s="1"/>
  <c r="N6" i="137"/>
  <c r="N12" i="137" s="1"/>
  <c r="L6" i="137"/>
  <c r="L12" i="137" s="1"/>
  <c r="J6" i="137"/>
  <c r="H6" i="137"/>
  <c r="F6" i="137"/>
  <c r="F12" i="137" s="1"/>
  <c r="D6" i="137"/>
  <c r="V25" i="136"/>
  <c r="F22" i="136"/>
  <c r="S19" i="136"/>
  <c r="S20" i="136" s="1"/>
  <c r="Q19" i="136"/>
  <c r="Q20" i="136" s="1"/>
  <c r="P19" i="136"/>
  <c r="P20" i="136" s="1"/>
  <c r="L19" i="136"/>
  <c r="L20" i="136" s="1"/>
  <c r="J19" i="136"/>
  <c r="J20" i="136" s="1"/>
  <c r="H19" i="136"/>
  <c r="H20" i="136" s="1"/>
  <c r="O18" i="136"/>
  <c r="O19" i="136" s="1"/>
  <c r="O20" i="136" s="1"/>
  <c r="K18" i="136"/>
  <c r="K19" i="136" s="1"/>
  <c r="K20" i="136" s="1"/>
  <c r="D18" i="136"/>
  <c r="D19" i="136" s="1"/>
  <c r="D20" i="136" s="1"/>
  <c r="X12" i="136"/>
  <c r="W12" i="136"/>
  <c r="U12" i="136"/>
  <c r="I18" i="136" s="1"/>
  <c r="I19" i="136" s="1"/>
  <c r="I20" i="136" s="1"/>
  <c r="S12" i="136"/>
  <c r="Q12" i="136"/>
  <c r="P12" i="136"/>
  <c r="O12" i="136"/>
  <c r="N18" i="136" s="1"/>
  <c r="N19" i="136" s="1"/>
  <c r="N20" i="136" s="1"/>
  <c r="M12" i="136"/>
  <c r="M18" i="136" s="1"/>
  <c r="M19" i="136" s="1"/>
  <c r="M20" i="136" s="1"/>
  <c r="L12" i="136"/>
  <c r="K12" i="136"/>
  <c r="G18" i="136" s="1"/>
  <c r="G19" i="136" s="1"/>
  <c r="G20" i="136" s="1"/>
  <c r="I12" i="136"/>
  <c r="F18" i="136" s="1"/>
  <c r="F19" i="136" s="1"/>
  <c r="F20" i="136" s="1"/>
  <c r="G12" i="136"/>
  <c r="E18" i="136" s="1"/>
  <c r="E19" i="136" s="1"/>
  <c r="E20" i="136" s="1"/>
  <c r="E12" i="136"/>
  <c r="C12" i="136"/>
  <c r="B18" i="136" s="1"/>
  <c r="B19" i="136" s="1"/>
  <c r="B20" i="136" s="1"/>
  <c r="X11" i="136"/>
  <c r="V11" i="136"/>
  <c r="T11" i="136"/>
  <c r="R11" i="136"/>
  <c r="P11" i="136"/>
  <c r="N11" i="136"/>
  <c r="L11" i="136"/>
  <c r="J11" i="136"/>
  <c r="H11" i="136"/>
  <c r="F11" i="136"/>
  <c r="Y11" i="136" s="1"/>
  <c r="D11" i="136"/>
  <c r="X10" i="136"/>
  <c r="V10" i="136"/>
  <c r="T10" i="136"/>
  <c r="R10" i="136"/>
  <c r="P10" i="136"/>
  <c r="N10" i="136"/>
  <c r="L10" i="136"/>
  <c r="J10" i="136"/>
  <c r="H10" i="136"/>
  <c r="F10" i="136"/>
  <c r="Y10" i="136" s="1"/>
  <c r="D10" i="136"/>
  <c r="X9" i="136"/>
  <c r="V9" i="136"/>
  <c r="T9" i="136"/>
  <c r="R9" i="136"/>
  <c r="P9" i="136"/>
  <c r="N9" i="136"/>
  <c r="L9" i="136"/>
  <c r="J9" i="136"/>
  <c r="H9" i="136"/>
  <c r="F9" i="136"/>
  <c r="D9" i="136"/>
  <c r="X8" i="136"/>
  <c r="V8" i="136"/>
  <c r="T8" i="136"/>
  <c r="R8" i="136"/>
  <c r="P8" i="136"/>
  <c r="N8" i="136"/>
  <c r="L8" i="136"/>
  <c r="J8" i="136"/>
  <c r="H8" i="136"/>
  <c r="F8" i="136"/>
  <c r="D8" i="136"/>
  <c r="X7" i="136"/>
  <c r="V7" i="136"/>
  <c r="T7" i="136"/>
  <c r="R7" i="136"/>
  <c r="P7" i="136"/>
  <c r="N7" i="136"/>
  <c r="L7" i="136"/>
  <c r="J7" i="136"/>
  <c r="H7" i="136"/>
  <c r="F7" i="136"/>
  <c r="D7" i="136"/>
  <c r="X6" i="136"/>
  <c r="V6" i="136"/>
  <c r="T6" i="136"/>
  <c r="R6" i="136"/>
  <c r="R12" i="136" s="1"/>
  <c r="P6" i="136"/>
  <c r="N6" i="136"/>
  <c r="N12" i="136" s="1"/>
  <c r="L6" i="136"/>
  <c r="J6" i="136"/>
  <c r="H6" i="136"/>
  <c r="F6" i="136"/>
  <c r="F12" i="136" s="1"/>
  <c r="D6" i="136"/>
  <c r="V25" i="135"/>
  <c r="F22" i="135"/>
  <c r="S19" i="135"/>
  <c r="S20" i="135" s="1"/>
  <c r="Q19" i="135"/>
  <c r="Q20" i="135" s="1"/>
  <c r="P19" i="135"/>
  <c r="P20" i="135" s="1"/>
  <c r="O19" i="135"/>
  <c r="O20" i="135" s="1"/>
  <c r="L19" i="135"/>
  <c r="L20" i="135" s="1"/>
  <c r="J19" i="135"/>
  <c r="J20" i="135" s="1"/>
  <c r="H19" i="135"/>
  <c r="H20" i="135" s="1"/>
  <c r="D19" i="135"/>
  <c r="D20" i="135" s="1"/>
  <c r="O18" i="135"/>
  <c r="M18" i="135"/>
  <c r="M19" i="135" s="1"/>
  <c r="M20" i="135" s="1"/>
  <c r="D18" i="135"/>
  <c r="X12" i="135"/>
  <c r="W12" i="135"/>
  <c r="K18" i="135" s="1"/>
  <c r="K19" i="135" s="1"/>
  <c r="K20" i="135" s="1"/>
  <c r="U12" i="135"/>
  <c r="I18" i="135" s="1"/>
  <c r="I19" i="135" s="1"/>
  <c r="I20" i="135" s="1"/>
  <c r="S12" i="135"/>
  <c r="Q12" i="135"/>
  <c r="P12" i="135"/>
  <c r="O12" i="135"/>
  <c r="N18" i="135" s="1"/>
  <c r="N19" i="135" s="1"/>
  <c r="N20" i="135" s="1"/>
  <c r="N12" i="135"/>
  <c r="M12" i="135"/>
  <c r="K12" i="135"/>
  <c r="G18" i="135" s="1"/>
  <c r="G19" i="135" s="1"/>
  <c r="G20" i="135" s="1"/>
  <c r="I12" i="135"/>
  <c r="F18" i="135" s="1"/>
  <c r="F19" i="135" s="1"/>
  <c r="F20" i="135" s="1"/>
  <c r="G12" i="135"/>
  <c r="E18" i="135" s="1"/>
  <c r="E19" i="135" s="1"/>
  <c r="E20" i="135" s="1"/>
  <c r="F12" i="135"/>
  <c r="E12" i="135"/>
  <c r="C12" i="135"/>
  <c r="B18" i="135" s="1"/>
  <c r="B19" i="135" s="1"/>
  <c r="B20" i="135" s="1"/>
  <c r="X11" i="135"/>
  <c r="V11" i="135"/>
  <c r="T11" i="135"/>
  <c r="R11" i="135"/>
  <c r="P11" i="135"/>
  <c r="N11" i="135"/>
  <c r="L11" i="135"/>
  <c r="J11" i="135"/>
  <c r="Y11" i="135" s="1"/>
  <c r="H11" i="135"/>
  <c r="F11" i="135"/>
  <c r="D11" i="135"/>
  <c r="X10" i="135"/>
  <c r="V10" i="135"/>
  <c r="T10" i="135"/>
  <c r="R10" i="135"/>
  <c r="P10" i="135"/>
  <c r="N10" i="135"/>
  <c r="L10" i="135"/>
  <c r="J10" i="135"/>
  <c r="Y10" i="135" s="1"/>
  <c r="H10" i="135"/>
  <c r="F10" i="135"/>
  <c r="D10" i="135"/>
  <c r="X9" i="135"/>
  <c r="V9" i="135"/>
  <c r="V12" i="135" s="1"/>
  <c r="T9" i="135"/>
  <c r="R9" i="135"/>
  <c r="P9" i="135"/>
  <c r="N9" i="135"/>
  <c r="L9" i="135"/>
  <c r="J9" i="135"/>
  <c r="H9" i="135"/>
  <c r="F9" i="135"/>
  <c r="D9" i="135"/>
  <c r="X8" i="135"/>
  <c r="V8" i="135"/>
  <c r="T8" i="135"/>
  <c r="R8" i="135"/>
  <c r="P8" i="135"/>
  <c r="N8" i="135"/>
  <c r="L8" i="135"/>
  <c r="J8" i="135"/>
  <c r="H8" i="135"/>
  <c r="F8" i="135"/>
  <c r="D8" i="135"/>
  <c r="X7" i="135"/>
  <c r="V7" i="135"/>
  <c r="T7" i="135"/>
  <c r="R7" i="135"/>
  <c r="P7" i="135"/>
  <c r="N7" i="135"/>
  <c r="L7" i="135"/>
  <c r="J7" i="135"/>
  <c r="H7" i="135"/>
  <c r="F7" i="135"/>
  <c r="D7" i="135"/>
  <c r="X6" i="135"/>
  <c r="V6" i="135"/>
  <c r="T6" i="135"/>
  <c r="T12" i="135" s="1"/>
  <c r="R6" i="135"/>
  <c r="R12" i="135" s="1"/>
  <c r="P6" i="135"/>
  <c r="N6" i="135"/>
  <c r="L6" i="135"/>
  <c r="L12" i="135" s="1"/>
  <c r="J6" i="135"/>
  <c r="H6" i="135"/>
  <c r="H12" i="135" s="1"/>
  <c r="F6" i="135"/>
  <c r="D6" i="135"/>
  <c r="V18" i="134"/>
  <c r="T12" i="137" l="1"/>
  <c r="Y7" i="137"/>
  <c r="J12" i="137"/>
  <c r="Y9" i="137"/>
  <c r="H12" i="137"/>
  <c r="Y8" i="137"/>
  <c r="D12" i="137"/>
  <c r="B21" i="137"/>
  <c r="Y6" i="137"/>
  <c r="J12" i="136"/>
  <c r="H12" i="136"/>
  <c r="D12" i="136"/>
  <c r="T12" i="136"/>
  <c r="V12" i="136"/>
  <c r="Y7" i="136"/>
  <c r="Y9" i="136"/>
  <c r="Y8" i="136"/>
  <c r="B21" i="136"/>
  <c r="Y6" i="136"/>
  <c r="Y9" i="135"/>
  <c r="Y7" i="135"/>
  <c r="J12" i="135"/>
  <c r="D12" i="135"/>
  <c r="Y8" i="135"/>
  <c r="B21" i="135"/>
  <c r="Y6" i="135"/>
  <c r="V25" i="134"/>
  <c r="F22" i="134"/>
  <c r="S19" i="134"/>
  <c r="S20" i="134" s="1"/>
  <c r="Q19" i="134"/>
  <c r="Q20" i="134" s="1"/>
  <c r="P19" i="134"/>
  <c r="P20" i="134" s="1"/>
  <c r="L19" i="134"/>
  <c r="L20" i="134" s="1"/>
  <c r="J19" i="134"/>
  <c r="J20" i="134" s="1"/>
  <c r="H19" i="134"/>
  <c r="H20" i="134" s="1"/>
  <c r="K18" i="134"/>
  <c r="K19" i="134" s="1"/>
  <c r="K20" i="134" s="1"/>
  <c r="W12" i="134"/>
  <c r="U12" i="134"/>
  <c r="I18" i="134" s="1"/>
  <c r="I19" i="134" s="1"/>
  <c r="I20" i="134" s="1"/>
  <c r="S12" i="134"/>
  <c r="Q12" i="134"/>
  <c r="O18" i="134" s="1"/>
  <c r="O19" i="134" s="1"/>
  <c r="O20" i="134" s="1"/>
  <c r="O12" i="134"/>
  <c r="N18" i="134" s="1"/>
  <c r="N19" i="134" s="1"/>
  <c r="N20" i="134" s="1"/>
  <c r="N12" i="134"/>
  <c r="M12" i="134"/>
  <c r="M18" i="134" s="1"/>
  <c r="M19" i="134" s="1"/>
  <c r="M20" i="134" s="1"/>
  <c r="K12" i="134"/>
  <c r="G18" i="134" s="1"/>
  <c r="G19" i="134" s="1"/>
  <c r="G20" i="134" s="1"/>
  <c r="I12" i="134"/>
  <c r="F18" i="134" s="1"/>
  <c r="F19" i="134" s="1"/>
  <c r="F20" i="134" s="1"/>
  <c r="G12" i="134"/>
  <c r="E18" i="134" s="1"/>
  <c r="E19" i="134" s="1"/>
  <c r="E20" i="134" s="1"/>
  <c r="F12" i="134"/>
  <c r="E12" i="134"/>
  <c r="D18" i="134" s="1"/>
  <c r="D19" i="134" s="1"/>
  <c r="D20" i="134" s="1"/>
  <c r="C12" i="134"/>
  <c r="B18" i="134" s="1"/>
  <c r="B19" i="134" s="1"/>
  <c r="B20" i="134" s="1"/>
  <c r="X11" i="134"/>
  <c r="V11" i="134"/>
  <c r="T11" i="134"/>
  <c r="R11" i="134"/>
  <c r="P11" i="134"/>
  <c r="N11" i="134"/>
  <c r="L11" i="134"/>
  <c r="J11" i="134"/>
  <c r="H11" i="134"/>
  <c r="F11" i="134"/>
  <c r="D11" i="134"/>
  <c r="X10" i="134"/>
  <c r="V10" i="134"/>
  <c r="T10" i="134"/>
  <c r="R10" i="134"/>
  <c r="P10" i="134"/>
  <c r="N10" i="134"/>
  <c r="L10" i="134"/>
  <c r="J10" i="134"/>
  <c r="H10" i="134"/>
  <c r="Y10" i="134" s="1"/>
  <c r="F10" i="134"/>
  <c r="D10" i="134"/>
  <c r="X9" i="134"/>
  <c r="V9" i="134"/>
  <c r="V12" i="134" s="1"/>
  <c r="T9" i="134"/>
  <c r="R9" i="134"/>
  <c r="P9" i="134"/>
  <c r="N9" i="134"/>
  <c r="L9" i="134"/>
  <c r="J9" i="134"/>
  <c r="H9" i="134"/>
  <c r="F9" i="134"/>
  <c r="D9" i="134"/>
  <c r="X8" i="134"/>
  <c r="V8" i="134"/>
  <c r="T8" i="134"/>
  <c r="R8" i="134"/>
  <c r="P8" i="134"/>
  <c r="N8" i="134"/>
  <c r="L8" i="134"/>
  <c r="J8" i="134"/>
  <c r="H8" i="134"/>
  <c r="F8" i="134"/>
  <c r="D8" i="134"/>
  <c r="X7" i="134"/>
  <c r="V7" i="134"/>
  <c r="T7" i="134"/>
  <c r="R7" i="134"/>
  <c r="P7" i="134"/>
  <c r="N7" i="134"/>
  <c r="L7" i="134"/>
  <c r="J7" i="134"/>
  <c r="H7" i="134"/>
  <c r="F7" i="134"/>
  <c r="D7" i="134"/>
  <c r="X6" i="134"/>
  <c r="X12" i="134" s="1"/>
  <c r="V6" i="134"/>
  <c r="T6" i="134"/>
  <c r="R6" i="134"/>
  <c r="R12" i="134" s="1"/>
  <c r="P6" i="134"/>
  <c r="P12" i="134" s="1"/>
  <c r="N6" i="134"/>
  <c r="L6" i="134"/>
  <c r="L12" i="134" s="1"/>
  <c r="J6" i="134"/>
  <c r="H6" i="134"/>
  <c r="F6" i="134"/>
  <c r="D6" i="134"/>
  <c r="Y12" i="137" l="1"/>
  <c r="V16" i="137" s="1"/>
  <c r="V24" i="137" s="1"/>
  <c r="Y12" i="136"/>
  <c r="V16" i="136" s="1"/>
  <c r="V24" i="136" s="1"/>
  <c r="Y12" i="135"/>
  <c r="V16" i="135" s="1"/>
  <c r="V24" i="135" s="1"/>
  <c r="T12" i="134"/>
  <c r="H12" i="134"/>
  <c r="Y9" i="134"/>
  <c r="J12" i="134"/>
  <c r="Y11" i="134"/>
  <c r="D12" i="134"/>
  <c r="Y8" i="134"/>
  <c r="Y7" i="134"/>
  <c r="B21" i="134"/>
  <c r="Y6" i="134"/>
  <c r="Y12" i="134" l="1"/>
  <c r="V16" i="134" s="1"/>
  <c r="V24" i="134" s="1"/>
  <c r="V18" i="133" l="1"/>
  <c r="V25" i="133"/>
  <c r="F22" i="133"/>
  <c r="S19" i="133"/>
  <c r="S20" i="133" s="1"/>
  <c r="Q19" i="133"/>
  <c r="Q20" i="133" s="1"/>
  <c r="P19" i="133"/>
  <c r="P20" i="133" s="1"/>
  <c r="L19" i="133"/>
  <c r="L20" i="133" s="1"/>
  <c r="J19" i="133"/>
  <c r="J20" i="133" s="1"/>
  <c r="H19" i="133"/>
  <c r="H20" i="133" s="1"/>
  <c r="O18" i="133"/>
  <c r="O19" i="133" s="1"/>
  <c r="O20" i="133" s="1"/>
  <c r="M18" i="133"/>
  <c r="M19" i="133" s="1"/>
  <c r="M20" i="133" s="1"/>
  <c r="K18" i="133"/>
  <c r="K19" i="133" s="1"/>
  <c r="K20" i="133" s="1"/>
  <c r="D18" i="133"/>
  <c r="D19" i="133" s="1"/>
  <c r="D20" i="133" s="1"/>
  <c r="X12" i="133"/>
  <c r="W12" i="133"/>
  <c r="U12" i="133"/>
  <c r="I18" i="133" s="1"/>
  <c r="I19" i="133" s="1"/>
  <c r="I20" i="133" s="1"/>
  <c r="T12" i="133"/>
  <c r="S12" i="133"/>
  <c r="Q12" i="133"/>
  <c r="P12" i="133"/>
  <c r="O12" i="133"/>
  <c r="N18" i="133" s="1"/>
  <c r="N19" i="133" s="1"/>
  <c r="N20" i="133" s="1"/>
  <c r="M12" i="133"/>
  <c r="L12" i="133"/>
  <c r="K12" i="133"/>
  <c r="G18" i="133" s="1"/>
  <c r="G19" i="133" s="1"/>
  <c r="G20" i="133" s="1"/>
  <c r="I12" i="133"/>
  <c r="F18" i="133" s="1"/>
  <c r="F19" i="133" s="1"/>
  <c r="F20" i="133" s="1"/>
  <c r="G12" i="133"/>
  <c r="E18" i="133" s="1"/>
  <c r="E19" i="133" s="1"/>
  <c r="E20" i="133" s="1"/>
  <c r="E12" i="133"/>
  <c r="C12" i="133"/>
  <c r="B18" i="133" s="1"/>
  <c r="B19" i="133" s="1"/>
  <c r="B20" i="133" s="1"/>
  <c r="X11" i="133"/>
  <c r="V11" i="133"/>
  <c r="T11" i="133"/>
  <c r="R11" i="133"/>
  <c r="P11" i="133"/>
  <c r="N11" i="133"/>
  <c r="L11" i="133"/>
  <c r="J11" i="133"/>
  <c r="H11" i="133"/>
  <c r="F11" i="133"/>
  <c r="Y11" i="133" s="1"/>
  <c r="D11" i="133"/>
  <c r="X10" i="133"/>
  <c r="V10" i="133"/>
  <c r="T10" i="133"/>
  <c r="R10" i="133"/>
  <c r="P10" i="133"/>
  <c r="N10" i="133"/>
  <c r="L10" i="133"/>
  <c r="J10" i="133"/>
  <c r="H10" i="133"/>
  <c r="F10" i="133"/>
  <c r="D10" i="133"/>
  <c r="X9" i="133"/>
  <c r="V9" i="133"/>
  <c r="V12" i="133" s="1"/>
  <c r="T9" i="133"/>
  <c r="R9" i="133"/>
  <c r="P9" i="133"/>
  <c r="N9" i="133"/>
  <c r="L9" i="133"/>
  <c r="J9" i="133"/>
  <c r="H9" i="133"/>
  <c r="F9" i="133"/>
  <c r="D9" i="133"/>
  <c r="X8" i="133"/>
  <c r="V8" i="133"/>
  <c r="T8" i="133"/>
  <c r="R8" i="133"/>
  <c r="P8" i="133"/>
  <c r="N8" i="133"/>
  <c r="L8" i="133"/>
  <c r="J8" i="133"/>
  <c r="H8" i="133"/>
  <c r="F8" i="133"/>
  <c r="D8" i="133"/>
  <c r="X7" i="133"/>
  <c r="V7" i="133"/>
  <c r="T7" i="133"/>
  <c r="R7" i="133"/>
  <c r="P7" i="133"/>
  <c r="N7" i="133"/>
  <c r="L7" i="133"/>
  <c r="J7" i="133"/>
  <c r="H7" i="133"/>
  <c r="F7" i="133"/>
  <c r="D7" i="133"/>
  <c r="X6" i="133"/>
  <c r="V6" i="133"/>
  <c r="T6" i="133"/>
  <c r="R6" i="133"/>
  <c r="R12" i="133" s="1"/>
  <c r="P6" i="133"/>
  <c r="N6" i="133"/>
  <c r="N12" i="133" s="1"/>
  <c r="L6" i="133"/>
  <c r="J6" i="133"/>
  <c r="H6" i="133"/>
  <c r="F6" i="133"/>
  <c r="F12" i="133" s="1"/>
  <c r="D6" i="133"/>
  <c r="V25" i="132"/>
  <c r="F22" i="132"/>
  <c r="S19" i="132"/>
  <c r="S20" i="132" s="1"/>
  <c r="Q19" i="132"/>
  <c r="Q20" i="132" s="1"/>
  <c r="P19" i="132"/>
  <c r="P20" i="132" s="1"/>
  <c r="L19" i="132"/>
  <c r="L20" i="132" s="1"/>
  <c r="J19" i="132"/>
  <c r="J20" i="132" s="1"/>
  <c r="H19" i="132"/>
  <c r="H20" i="132" s="1"/>
  <c r="M18" i="132"/>
  <c r="M19" i="132" s="1"/>
  <c r="M20" i="132" s="1"/>
  <c r="W12" i="132"/>
  <c r="K18" i="132" s="1"/>
  <c r="K19" i="132" s="1"/>
  <c r="K20" i="132" s="1"/>
  <c r="V12" i="132"/>
  <c r="U12" i="132"/>
  <c r="I18" i="132" s="1"/>
  <c r="I19" i="132" s="1"/>
  <c r="I20" i="132" s="1"/>
  <c r="S12" i="132"/>
  <c r="Q12" i="132"/>
  <c r="O18" i="132" s="1"/>
  <c r="O19" i="132" s="1"/>
  <c r="O20" i="132" s="1"/>
  <c r="O12" i="132"/>
  <c r="N18" i="132" s="1"/>
  <c r="N19" i="132" s="1"/>
  <c r="N20" i="132" s="1"/>
  <c r="N12" i="132"/>
  <c r="M12" i="132"/>
  <c r="K12" i="132"/>
  <c r="G18" i="132" s="1"/>
  <c r="G19" i="132" s="1"/>
  <c r="G20" i="132" s="1"/>
  <c r="I12" i="132"/>
  <c r="F18" i="132" s="1"/>
  <c r="F19" i="132" s="1"/>
  <c r="F20" i="132" s="1"/>
  <c r="G12" i="132"/>
  <c r="E18" i="132" s="1"/>
  <c r="E19" i="132" s="1"/>
  <c r="E20" i="132" s="1"/>
  <c r="F12" i="132"/>
  <c r="E12" i="132"/>
  <c r="D18" i="132" s="1"/>
  <c r="D19" i="132" s="1"/>
  <c r="D20" i="132" s="1"/>
  <c r="C12" i="132"/>
  <c r="B18" i="132" s="1"/>
  <c r="B19" i="132" s="1"/>
  <c r="B20" i="132" s="1"/>
  <c r="X11" i="132"/>
  <c r="V11" i="132"/>
  <c r="T11" i="132"/>
  <c r="R11" i="132"/>
  <c r="P11" i="132"/>
  <c r="N11" i="132"/>
  <c r="L11" i="132"/>
  <c r="J11" i="132"/>
  <c r="Y11" i="132" s="1"/>
  <c r="H11" i="132"/>
  <c r="F11" i="132"/>
  <c r="D11" i="132"/>
  <c r="X10" i="132"/>
  <c r="V10" i="132"/>
  <c r="T10" i="132"/>
  <c r="R10" i="132"/>
  <c r="P10" i="132"/>
  <c r="N10" i="132"/>
  <c r="L10" i="132"/>
  <c r="J10" i="132"/>
  <c r="H10" i="132"/>
  <c r="F10" i="132"/>
  <c r="D10" i="132"/>
  <c r="X9" i="132"/>
  <c r="V9" i="132"/>
  <c r="T9" i="132"/>
  <c r="R9" i="132"/>
  <c r="P9" i="132"/>
  <c r="N9" i="132"/>
  <c r="L9" i="132"/>
  <c r="J9" i="132"/>
  <c r="H9" i="132"/>
  <c r="F9" i="132"/>
  <c r="D9" i="132"/>
  <c r="X8" i="132"/>
  <c r="V8" i="132"/>
  <c r="T8" i="132"/>
  <c r="R8" i="132"/>
  <c r="P8" i="132"/>
  <c r="N8" i="132"/>
  <c r="L8" i="132"/>
  <c r="J8" i="132"/>
  <c r="H8" i="132"/>
  <c r="F8" i="132"/>
  <c r="D8" i="132"/>
  <c r="X7" i="132"/>
  <c r="V7" i="132"/>
  <c r="T7" i="132"/>
  <c r="R7" i="132"/>
  <c r="P7" i="132"/>
  <c r="N7" i="132"/>
  <c r="L7" i="132"/>
  <c r="J7" i="132"/>
  <c r="Y7" i="132" s="1"/>
  <c r="H7" i="132"/>
  <c r="F7" i="132"/>
  <c r="D7" i="132"/>
  <c r="X6" i="132"/>
  <c r="X12" i="132" s="1"/>
  <c r="V6" i="132"/>
  <c r="T6" i="132"/>
  <c r="R6" i="132"/>
  <c r="R12" i="132" s="1"/>
  <c r="P6" i="132"/>
  <c r="P12" i="132" s="1"/>
  <c r="N6" i="132"/>
  <c r="L6" i="132"/>
  <c r="L12" i="132" s="1"/>
  <c r="J6" i="132"/>
  <c r="H6" i="132"/>
  <c r="H12" i="132" s="1"/>
  <c r="F6" i="132"/>
  <c r="D6" i="132"/>
  <c r="H12" i="133" l="1"/>
  <c r="D12" i="133"/>
  <c r="J12" i="133"/>
  <c r="Y8" i="133"/>
  <c r="Y7" i="133"/>
  <c r="Y10" i="133"/>
  <c r="Y9" i="133"/>
  <c r="B21" i="133"/>
  <c r="Y6" i="133"/>
  <c r="Y10" i="132"/>
  <c r="Y9" i="132"/>
  <c r="T12" i="132"/>
  <c r="J12" i="132"/>
  <c r="D12" i="132"/>
  <c r="Y8" i="132"/>
  <c r="B21" i="132"/>
  <c r="Y6" i="132"/>
  <c r="Y12" i="133" l="1"/>
  <c r="V16" i="133" s="1"/>
  <c r="V24" i="133" s="1"/>
  <c r="Y12" i="132"/>
  <c r="V16" i="132" s="1"/>
  <c r="V24" i="132" s="1"/>
  <c r="V18" i="131" l="1"/>
  <c r="V25" i="131" l="1"/>
  <c r="F22" i="131"/>
  <c r="S19" i="131"/>
  <c r="S20" i="131" s="1"/>
  <c r="Q19" i="131"/>
  <c r="Q20" i="131" s="1"/>
  <c r="P19" i="131"/>
  <c r="P20" i="131" s="1"/>
  <c r="L19" i="131"/>
  <c r="L20" i="131" s="1"/>
  <c r="J19" i="131"/>
  <c r="J20" i="131" s="1"/>
  <c r="H19" i="131"/>
  <c r="H20" i="131" s="1"/>
  <c r="K18" i="131"/>
  <c r="K19" i="131" s="1"/>
  <c r="K20" i="131" s="1"/>
  <c r="W12" i="131"/>
  <c r="V12" i="131"/>
  <c r="U12" i="131"/>
  <c r="I18" i="131" s="1"/>
  <c r="I19" i="131" s="1"/>
  <c r="I20" i="131" s="1"/>
  <c r="S12" i="131"/>
  <c r="Q12" i="131"/>
  <c r="O18" i="131" s="1"/>
  <c r="O19" i="131" s="1"/>
  <c r="O20" i="131" s="1"/>
  <c r="O12" i="131"/>
  <c r="N18" i="131" s="1"/>
  <c r="N19" i="131" s="1"/>
  <c r="N20" i="131" s="1"/>
  <c r="N12" i="131"/>
  <c r="M12" i="131"/>
  <c r="M18" i="131" s="1"/>
  <c r="M19" i="131" s="1"/>
  <c r="M20" i="131" s="1"/>
  <c r="K12" i="131"/>
  <c r="G18" i="131" s="1"/>
  <c r="G19" i="131" s="1"/>
  <c r="G20" i="131" s="1"/>
  <c r="I12" i="131"/>
  <c r="F18" i="131" s="1"/>
  <c r="F19" i="131" s="1"/>
  <c r="F20" i="131" s="1"/>
  <c r="G12" i="131"/>
  <c r="E18" i="131" s="1"/>
  <c r="E19" i="131" s="1"/>
  <c r="E20" i="131" s="1"/>
  <c r="F12" i="131"/>
  <c r="E12" i="131"/>
  <c r="D18" i="131" s="1"/>
  <c r="D19" i="131" s="1"/>
  <c r="D20" i="131" s="1"/>
  <c r="C12" i="131"/>
  <c r="B18" i="131" s="1"/>
  <c r="B19" i="131" s="1"/>
  <c r="B20" i="131" s="1"/>
  <c r="X11" i="131"/>
  <c r="V11" i="131"/>
  <c r="T11" i="131"/>
  <c r="R11" i="131"/>
  <c r="P11" i="131"/>
  <c r="N11" i="131"/>
  <c r="L11" i="131"/>
  <c r="J11" i="131"/>
  <c r="H11" i="131"/>
  <c r="Y11" i="131" s="1"/>
  <c r="F11" i="131"/>
  <c r="D11" i="131"/>
  <c r="X10" i="131"/>
  <c r="V10" i="131"/>
  <c r="T10" i="131"/>
  <c r="R10" i="131"/>
  <c r="P10" i="131"/>
  <c r="N10" i="131"/>
  <c r="L10" i="131"/>
  <c r="J10" i="131"/>
  <c r="H10" i="131"/>
  <c r="F10" i="131"/>
  <c r="D10" i="131"/>
  <c r="X9" i="131"/>
  <c r="V9" i="131"/>
  <c r="T9" i="131"/>
  <c r="R9" i="131"/>
  <c r="P9" i="131"/>
  <c r="N9" i="131"/>
  <c r="L9" i="131"/>
  <c r="J9" i="131"/>
  <c r="H9" i="131"/>
  <c r="F9" i="131"/>
  <c r="D9" i="131"/>
  <c r="X8" i="131"/>
  <c r="V8" i="131"/>
  <c r="T8" i="131"/>
  <c r="R8" i="131"/>
  <c r="P8" i="131"/>
  <c r="N8" i="131"/>
  <c r="L8" i="131"/>
  <c r="J8" i="131"/>
  <c r="H8" i="131"/>
  <c r="F8" i="131"/>
  <c r="D8" i="131"/>
  <c r="X7" i="131"/>
  <c r="V7" i="131"/>
  <c r="T7" i="131"/>
  <c r="R7" i="131"/>
  <c r="P7" i="131"/>
  <c r="N7" i="131"/>
  <c r="L7" i="131"/>
  <c r="J7" i="131"/>
  <c r="H7" i="131"/>
  <c r="F7" i="131"/>
  <c r="D7" i="131"/>
  <c r="X6" i="131"/>
  <c r="X12" i="131" s="1"/>
  <c r="V6" i="131"/>
  <c r="T6" i="131"/>
  <c r="R6" i="131"/>
  <c r="R12" i="131" s="1"/>
  <c r="P6" i="131"/>
  <c r="P12" i="131" s="1"/>
  <c r="N6" i="131"/>
  <c r="L6" i="131"/>
  <c r="L12" i="131" s="1"/>
  <c r="J6" i="131"/>
  <c r="H6" i="131"/>
  <c r="F6" i="131"/>
  <c r="D6" i="131"/>
  <c r="V18" i="130"/>
  <c r="Y10" i="131" l="1"/>
  <c r="H12" i="131"/>
  <c r="Y9" i="131"/>
  <c r="T12" i="131"/>
  <c r="J12" i="131"/>
  <c r="D12" i="131"/>
  <c r="Y8" i="131"/>
  <c r="Y7" i="131"/>
  <c r="B21" i="131"/>
  <c r="Y6" i="131"/>
  <c r="Y12" i="131" l="1"/>
  <c r="V16" i="131" s="1"/>
  <c r="V24" i="131" s="1"/>
  <c r="V25" i="130" l="1"/>
  <c r="F22" i="130"/>
  <c r="S19" i="130"/>
  <c r="S20" i="130" s="1"/>
  <c r="Q19" i="130"/>
  <c r="Q20" i="130" s="1"/>
  <c r="P19" i="130"/>
  <c r="P20" i="130" s="1"/>
  <c r="L19" i="130"/>
  <c r="L20" i="130" s="1"/>
  <c r="J19" i="130"/>
  <c r="J20" i="130" s="1"/>
  <c r="H19" i="130"/>
  <c r="H20" i="130" s="1"/>
  <c r="K18" i="130"/>
  <c r="K19" i="130" s="1"/>
  <c r="K20" i="130" s="1"/>
  <c r="W12" i="130"/>
  <c r="V12" i="130"/>
  <c r="U12" i="130"/>
  <c r="I18" i="130" s="1"/>
  <c r="I19" i="130" s="1"/>
  <c r="I20" i="130" s="1"/>
  <c r="S12" i="130"/>
  <c r="Q12" i="130"/>
  <c r="O18" i="130" s="1"/>
  <c r="O19" i="130" s="1"/>
  <c r="O20" i="130" s="1"/>
  <c r="O12" i="130"/>
  <c r="N18" i="130" s="1"/>
  <c r="N19" i="130" s="1"/>
  <c r="N20" i="130" s="1"/>
  <c r="N12" i="130"/>
  <c r="M12" i="130"/>
  <c r="M18" i="130" s="1"/>
  <c r="M19" i="130" s="1"/>
  <c r="M20" i="130" s="1"/>
  <c r="K12" i="130"/>
  <c r="G18" i="130" s="1"/>
  <c r="G19" i="130" s="1"/>
  <c r="G20" i="130" s="1"/>
  <c r="I12" i="130"/>
  <c r="F18" i="130" s="1"/>
  <c r="F19" i="130" s="1"/>
  <c r="F20" i="130" s="1"/>
  <c r="G12" i="130"/>
  <c r="E18" i="130" s="1"/>
  <c r="E19" i="130" s="1"/>
  <c r="E20" i="130" s="1"/>
  <c r="F12" i="130"/>
  <c r="E12" i="130"/>
  <c r="D18" i="130" s="1"/>
  <c r="D19" i="130" s="1"/>
  <c r="D20" i="130" s="1"/>
  <c r="C12" i="130"/>
  <c r="B18" i="130" s="1"/>
  <c r="B19" i="130" s="1"/>
  <c r="B20" i="130" s="1"/>
  <c r="X11" i="130"/>
  <c r="V11" i="130"/>
  <c r="T11" i="130"/>
  <c r="R11" i="130"/>
  <c r="P11" i="130"/>
  <c r="N11" i="130"/>
  <c r="L11" i="130"/>
  <c r="J11" i="130"/>
  <c r="H11" i="130"/>
  <c r="Y11" i="130" s="1"/>
  <c r="F11" i="130"/>
  <c r="D11" i="130"/>
  <c r="X10" i="130"/>
  <c r="V10" i="130"/>
  <c r="T10" i="130"/>
  <c r="R10" i="130"/>
  <c r="P10" i="130"/>
  <c r="N10" i="130"/>
  <c r="L10" i="130"/>
  <c r="J10" i="130"/>
  <c r="H10" i="130"/>
  <c r="Y10" i="130" s="1"/>
  <c r="F10" i="130"/>
  <c r="D10" i="130"/>
  <c r="X9" i="130"/>
  <c r="V9" i="130"/>
  <c r="T9" i="130"/>
  <c r="R9" i="130"/>
  <c r="P9" i="130"/>
  <c r="N9" i="130"/>
  <c r="L9" i="130"/>
  <c r="J9" i="130"/>
  <c r="H9" i="130"/>
  <c r="Y9" i="130" s="1"/>
  <c r="F9" i="130"/>
  <c r="D9" i="130"/>
  <c r="X8" i="130"/>
  <c r="V8" i="130"/>
  <c r="T8" i="130"/>
  <c r="R8" i="130"/>
  <c r="P8" i="130"/>
  <c r="N8" i="130"/>
  <c r="L8" i="130"/>
  <c r="J8" i="130"/>
  <c r="H8" i="130"/>
  <c r="F8" i="130"/>
  <c r="D8" i="130"/>
  <c r="X7" i="130"/>
  <c r="V7" i="130"/>
  <c r="T7" i="130"/>
  <c r="R7" i="130"/>
  <c r="P7" i="130"/>
  <c r="N7" i="130"/>
  <c r="L7" i="130"/>
  <c r="J7" i="130"/>
  <c r="H7" i="130"/>
  <c r="F7" i="130"/>
  <c r="D7" i="130"/>
  <c r="X6" i="130"/>
  <c r="X12" i="130" s="1"/>
  <c r="V6" i="130"/>
  <c r="T6" i="130"/>
  <c r="T12" i="130" s="1"/>
  <c r="R6" i="130"/>
  <c r="R12" i="130" s="1"/>
  <c r="P6" i="130"/>
  <c r="P12" i="130" s="1"/>
  <c r="N6" i="130"/>
  <c r="L6" i="130"/>
  <c r="L12" i="130" s="1"/>
  <c r="J6" i="130"/>
  <c r="H6" i="130"/>
  <c r="H12" i="130" s="1"/>
  <c r="F6" i="130"/>
  <c r="D6" i="130"/>
  <c r="V25" i="129"/>
  <c r="F22" i="129"/>
  <c r="S19" i="129"/>
  <c r="S20" i="129" s="1"/>
  <c r="Q19" i="129"/>
  <c r="Q20" i="129" s="1"/>
  <c r="P19" i="129"/>
  <c r="P20" i="129" s="1"/>
  <c r="L19" i="129"/>
  <c r="L20" i="129" s="1"/>
  <c r="J19" i="129"/>
  <c r="J20" i="129" s="1"/>
  <c r="H19" i="129"/>
  <c r="H20" i="129" s="1"/>
  <c r="O18" i="129"/>
  <c r="O19" i="129" s="1"/>
  <c r="O20" i="129" s="1"/>
  <c r="K18" i="129"/>
  <c r="K19" i="129" s="1"/>
  <c r="K20" i="129" s="1"/>
  <c r="I18" i="129"/>
  <c r="I19" i="129" s="1"/>
  <c r="I20" i="129" s="1"/>
  <c r="D18" i="129"/>
  <c r="D19" i="129" s="1"/>
  <c r="D20" i="129" s="1"/>
  <c r="X12" i="129"/>
  <c r="W12" i="129"/>
  <c r="U12" i="129"/>
  <c r="S12" i="129"/>
  <c r="Q12" i="129"/>
  <c r="P12" i="129"/>
  <c r="O12" i="129"/>
  <c r="N18" i="129" s="1"/>
  <c r="N19" i="129" s="1"/>
  <c r="N20" i="129" s="1"/>
  <c r="M12" i="129"/>
  <c r="M18" i="129" s="1"/>
  <c r="M19" i="129" s="1"/>
  <c r="M20" i="129" s="1"/>
  <c r="L12" i="129"/>
  <c r="K12" i="129"/>
  <c r="G18" i="129" s="1"/>
  <c r="G19" i="129" s="1"/>
  <c r="G20" i="129" s="1"/>
  <c r="I12" i="129"/>
  <c r="F18" i="129" s="1"/>
  <c r="F19" i="129" s="1"/>
  <c r="F20" i="129" s="1"/>
  <c r="G12" i="129"/>
  <c r="E18" i="129" s="1"/>
  <c r="E19" i="129" s="1"/>
  <c r="E20" i="129" s="1"/>
  <c r="E12" i="129"/>
  <c r="C12" i="129"/>
  <c r="B18" i="129" s="1"/>
  <c r="B19" i="129" s="1"/>
  <c r="B20" i="129" s="1"/>
  <c r="X11" i="129"/>
  <c r="V11" i="129"/>
  <c r="T11" i="129"/>
  <c r="R11" i="129"/>
  <c r="P11" i="129"/>
  <c r="N11" i="129"/>
  <c r="L11" i="129"/>
  <c r="J11" i="129"/>
  <c r="H11" i="129"/>
  <c r="F11" i="129"/>
  <c r="D11" i="129"/>
  <c r="X10" i="129"/>
  <c r="V10" i="129"/>
  <c r="T10" i="129"/>
  <c r="R10" i="129"/>
  <c r="P10" i="129"/>
  <c r="N10" i="129"/>
  <c r="L10" i="129"/>
  <c r="J10" i="129"/>
  <c r="H10" i="129"/>
  <c r="F10" i="129"/>
  <c r="D10" i="129"/>
  <c r="X9" i="129"/>
  <c r="V9" i="129"/>
  <c r="T9" i="129"/>
  <c r="R9" i="129"/>
  <c r="P9" i="129"/>
  <c r="N9" i="129"/>
  <c r="L9" i="129"/>
  <c r="J9" i="129"/>
  <c r="H9" i="129"/>
  <c r="F9" i="129"/>
  <c r="D9" i="129"/>
  <c r="X8" i="129"/>
  <c r="V8" i="129"/>
  <c r="T8" i="129"/>
  <c r="R8" i="129"/>
  <c r="P8" i="129"/>
  <c r="N8" i="129"/>
  <c r="L8" i="129"/>
  <c r="J8" i="129"/>
  <c r="H8" i="129"/>
  <c r="F8" i="129"/>
  <c r="D8" i="129"/>
  <c r="X7" i="129"/>
  <c r="V7" i="129"/>
  <c r="T7" i="129"/>
  <c r="R7" i="129"/>
  <c r="P7" i="129"/>
  <c r="N7" i="129"/>
  <c r="L7" i="129"/>
  <c r="J7" i="129"/>
  <c r="H7" i="129"/>
  <c r="F7" i="129"/>
  <c r="D7" i="129"/>
  <c r="X6" i="129"/>
  <c r="V6" i="129"/>
  <c r="T6" i="129"/>
  <c r="T12" i="129" s="1"/>
  <c r="R6" i="129"/>
  <c r="R12" i="129" s="1"/>
  <c r="P6" i="129"/>
  <c r="N6" i="129"/>
  <c r="N12" i="129" s="1"/>
  <c r="L6" i="129"/>
  <c r="J6" i="129"/>
  <c r="J12" i="129" s="1"/>
  <c r="H6" i="129"/>
  <c r="F6" i="129"/>
  <c r="F12" i="129" s="1"/>
  <c r="D6" i="129"/>
  <c r="J12" i="130" l="1"/>
  <c r="D12" i="130"/>
  <c r="Y8" i="130"/>
  <c r="Y7" i="130"/>
  <c r="B21" i="130"/>
  <c r="Y6" i="130"/>
  <c r="H12" i="129"/>
  <c r="D12" i="129"/>
  <c r="V12" i="129"/>
  <c r="Y11" i="129"/>
  <c r="Y9" i="129"/>
  <c r="Y8" i="129"/>
  <c r="Y7" i="129"/>
  <c r="Y10" i="129"/>
  <c r="B21" i="129"/>
  <c r="Y6" i="129"/>
  <c r="V18" i="128"/>
  <c r="P19" i="128"/>
  <c r="P20" i="128" s="1"/>
  <c r="V25" i="128"/>
  <c r="F22" i="128"/>
  <c r="S19" i="128"/>
  <c r="S20" i="128" s="1"/>
  <c r="Q19" i="128"/>
  <c r="Q20" i="128" s="1"/>
  <c r="L19" i="128"/>
  <c r="L20" i="128" s="1"/>
  <c r="J19" i="128"/>
  <c r="J20" i="128" s="1"/>
  <c r="H19" i="128"/>
  <c r="H20" i="128" s="1"/>
  <c r="K18" i="128"/>
  <c r="K19" i="128" s="1"/>
  <c r="K20" i="128" s="1"/>
  <c r="W12" i="128"/>
  <c r="U12" i="128"/>
  <c r="I18" i="128" s="1"/>
  <c r="I19" i="128" s="1"/>
  <c r="I20" i="128" s="1"/>
  <c r="S12" i="128"/>
  <c r="Q12" i="128"/>
  <c r="O18" i="128" s="1"/>
  <c r="O19" i="128" s="1"/>
  <c r="O20" i="128" s="1"/>
  <c r="O12" i="128"/>
  <c r="N18" i="128" s="1"/>
  <c r="N19" i="128" s="1"/>
  <c r="N20" i="128" s="1"/>
  <c r="M12" i="128"/>
  <c r="M18" i="128" s="1"/>
  <c r="M19" i="128" s="1"/>
  <c r="M20" i="128" s="1"/>
  <c r="K12" i="128"/>
  <c r="G18" i="128" s="1"/>
  <c r="G19" i="128" s="1"/>
  <c r="G20" i="128" s="1"/>
  <c r="I12" i="128"/>
  <c r="F18" i="128" s="1"/>
  <c r="F19" i="128" s="1"/>
  <c r="F20" i="128" s="1"/>
  <c r="G12" i="128"/>
  <c r="E18" i="128" s="1"/>
  <c r="E19" i="128" s="1"/>
  <c r="E20" i="128" s="1"/>
  <c r="E12" i="128"/>
  <c r="D18" i="128" s="1"/>
  <c r="D19" i="128" s="1"/>
  <c r="D20" i="128" s="1"/>
  <c r="C12" i="128"/>
  <c r="B18" i="128" s="1"/>
  <c r="B19" i="128" s="1"/>
  <c r="B20" i="128" s="1"/>
  <c r="X11" i="128"/>
  <c r="V11" i="128"/>
  <c r="T11" i="128"/>
  <c r="R11" i="128"/>
  <c r="P11" i="128"/>
  <c r="N11" i="128"/>
  <c r="L11" i="128"/>
  <c r="J11" i="128"/>
  <c r="H11" i="128"/>
  <c r="F11" i="128"/>
  <c r="D11" i="128"/>
  <c r="X10" i="128"/>
  <c r="V10" i="128"/>
  <c r="T10" i="128"/>
  <c r="R10" i="128"/>
  <c r="P10" i="128"/>
  <c r="N10" i="128"/>
  <c r="L10" i="128"/>
  <c r="J10" i="128"/>
  <c r="H10" i="128"/>
  <c r="F10" i="128"/>
  <c r="D10" i="128"/>
  <c r="X9" i="128"/>
  <c r="V9" i="128"/>
  <c r="T9" i="128"/>
  <c r="R9" i="128"/>
  <c r="P9" i="128"/>
  <c r="N9" i="128"/>
  <c r="L9" i="128"/>
  <c r="J9" i="128"/>
  <c r="H9" i="128"/>
  <c r="F9" i="128"/>
  <c r="D9" i="128"/>
  <c r="X8" i="128"/>
  <c r="V8" i="128"/>
  <c r="T8" i="128"/>
  <c r="R8" i="128"/>
  <c r="P8" i="128"/>
  <c r="N8" i="128"/>
  <c r="L8" i="128"/>
  <c r="J8" i="128"/>
  <c r="H8" i="128"/>
  <c r="F8" i="128"/>
  <c r="D8" i="128"/>
  <c r="Y8" i="128" s="1"/>
  <c r="X7" i="128"/>
  <c r="V7" i="128"/>
  <c r="T7" i="128"/>
  <c r="R7" i="128"/>
  <c r="P7" i="128"/>
  <c r="N7" i="128"/>
  <c r="L7" i="128"/>
  <c r="J7" i="128"/>
  <c r="H7" i="128"/>
  <c r="F7" i="128"/>
  <c r="D7" i="128"/>
  <c r="X6" i="128"/>
  <c r="X12" i="128" s="1"/>
  <c r="V6" i="128"/>
  <c r="T6" i="128"/>
  <c r="R6" i="128"/>
  <c r="R12" i="128" s="1"/>
  <c r="P6" i="128"/>
  <c r="P12" i="128" s="1"/>
  <c r="N6" i="128"/>
  <c r="N12" i="128" s="1"/>
  <c r="L6" i="128"/>
  <c r="L12" i="128" s="1"/>
  <c r="J6" i="128"/>
  <c r="H6" i="128"/>
  <c r="H12" i="128" s="1"/>
  <c r="F6" i="128"/>
  <c r="F12" i="128" s="1"/>
  <c r="D6" i="128"/>
  <c r="Y12" i="130" l="1"/>
  <c r="V16" i="130" s="1"/>
  <c r="V24" i="130" s="1"/>
  <c r="Y12" i="129"/>
  <c r="V16" i="129" s="1"/>
  <c r="V24" i="129" s="1"/>
  <c r="Y11" i="128"/>
  <c r="V12" i="128"/>
  <c r="T12" i="128"/>
  <c r="J12" i="128"/>
  <c r="Y7" i="128"/>
  <c r="Y10" i="128"/>
  <c r="Y9" i="128"/>
  <c r="D12" i="128"/>
  <c r="B21" i="128"/>
  <c r="Y6" i="128"/>
  <c r="Y12" i="128" l="1"/>
  <c r="V16" i="128" s="1"/>
  <c r="V24" i="128" s="1"/>
  <c r="V25" i="127" l="1"/>
  <c r="F22" i="127"/>
  <c r="S19" i="127"/>
  <c r="S20" i="127" s="1"/>
  <c r="Q19" i="127"/>
  <c r="Q20" i="127" s="1"/>
  <c r="P19" i="127"/>
  <c r="P20" i="127" s="1"/>
  <c r="L19" i="127"/>
  <c r="L20" i="127" s="1"/>
  <c r="J19" i="127"/>
  <c r="J20" i="127" s="1"/>
  <c r="I19" i="127"/>
  <c r="I20" i="127" s="1"/>
  <c r="H19" i="127"/>
  <c r="H20" i="127" s="1"/>
  <c r="O18" i="127"/>
  <c r="O19" i="127" s="1"/>
  <c r="O20" i="127" s="1"/>
  <c r="I18" i="127"/>
  <c r="D18" i="127"/>
  <c r="D19" i="127" s="1"/>
  <c r="D20" i="127" s="1"/>
  <c r="W12" i="127"/>
  <c r="K18" i="127" s="1"/>
  <c r="K19" i="127" s="1"/>
  <c r="K20" i="127" s="1"/>
  <c r="U12" i="127"/>
  <c r="S12" i="127"/>
  <c r="Q12" i="127"/>
  <c r="O12" i="127"/>
  <c r="N18" i="127" s="1"/>
  <c r="N19" i="127" s="1"/>
  <c r="N20" i="127" s="1"/>
  <c r="M12" i="127"/>
  <c r="M18" i="127" s="1"/>
  <c r="M19" i="127" s="1"/>
  <c r="M20" i="127" s="1"/>
  <c r="K12" i="127"/>
  <c r="G18" i="127" s="1"/>
  <c r="G19" i="127" s="1"/>
  <c r="G20" i="127" s="1"/>
  <c r="I12" i="127"/>
  <c r="F18" i="127" s="1"/>
  <c r="F19" i="127" s="1"/>
  <c r="F20" i="127" s="1"/>
  <c r="G12" i="127"/>
  <c r="E18" i="127" s="1"/>
  <c r="E19" i="127" s="1"/>
  <c r="E20" i="127" s="1"/>
  <c r="E12" i="127"/>
  <c r="C12" i="127"/>
  <c r="B18" i="127" s="1"/>
  <c r="B19" i="127" s="1"/>
  <c r="B20" i="127" s="1"/>
  <c r="X11" i="127"/>
  <c r="V11" i="127"/>
  <c r="T11" i="127"/>
  <c r="R11" i="127"/>
  <c r="P11" i="127"/>
  <c r="N11" i="127"/>
  <c r="L11" i="127"/>
  <c r="J11" i="127"/>
  <c r="H11" i="127"/>
  <c r="F11" i="127"/>
  <c r="D11" i="127"/>
  <c r="Y11" i="127" s="1"/>
  <c r="X10" i="127"/>
  <c r="V10" i="127"/>
  <c r="T10" i="127"/>
  <c r="R10" i="127"/>
  <c r="P10" i="127"/>
  <c r="N10" i="127"/>
  <c r="L10" i="127"/>
  <c r="J10" i="127"/>
  <c r="H10" i="127"/>
  <c r="F10" i="127"/>
  <c r="D10" i="127"/>
  <c r="X9" i="127"/>
  <c r="V9" i="127"/>
  <c r="T9" i="127"/>
  <c r="R9" i="127"/>
  <c r="P9" i="127"/>
  <c r="N9" i="127"/>
  <c r="L9" i="127"/>
  <c r="J9" i="127"/>
  <c r="H9" i="127"/>
  <c r="F9" i="127"/>
  <c r="D9" i="127"/>
  <c r="X8" i="127"/>
  <c r="V8" i="127"/>
  <c r="T8" i="127"/>
  <c r="R8" i="127"/>
  <c r="P8" i="127"/>
  <c r="N8" i="127"/>
  <c r="L8" i="127"/>
  <c r="J8" i="127"/>
  <c r="H8" i="127"/>
  <c r="F8" i="127"/>
  <c r="D8" i="127"/>
  <c r="X7" i="127"/>
  <c r="V7" i="127"/>
  <c r="T7" i="127"/>
  <c r="R7" i="127"/>
  <c r="P7" i="127"/>
  <c r="N7" i="127"/>
  <c r="L7" i="127"/>
  <c r="J7" i="127"/>
  <c r="H7" i="127"/>
  <c r="F7" i="127"/>
  <c r="D7" i="127"/>
  <c r="X6" i="127"/>
  <c r="X12" i="127" s="1"/>
  <c r="V6" i="127"/>
  <c r="V12" i="127" s="1"/>
  <c r="T6" i="127"/>
  <c r="R6" i="127"/>
  <c r="R12" i="127" s="1"/>
  <c r="P6" i="127"/>
  <c r="P12" i="127" s="1"/>
  <c r="N6" i="127"/>
  <c r="N12" i="127" s="1"/>
  <c r="L6" i="127"/>
  <c r="L12" i="127" s="1"/>
  <c r="J6" i="127"/>
  <c r="H6" i="127"/>
  <c r="H12" i="127" s="1"/>
  <c r="F6" i="127"/>
  <c r="F12" i="127" s="1"/>
  <c r="D6" i="127"/>
  <c r="V25" i="126"/>
  <c r="F22" i="126"/>
  <c r="S19" i="126"/>
  <c r="S20" i="126" s="1"/>
  <c r="Q19" i="126"/>
  <c r="Q20" i="126" s="1"/>
  <c r="P19" i="126"/>
  <c r="P20" i="126" s="1"/>
  <c r="L19" i="126"/>
  <c r="L20" i="126" s="1"/>
  <c r="J19" i="126"/>
  <c r="J20" i="126" s="1"/>
  <c r="H19" i="126"/>
  <c r="H20" i="126" s="1"/>
  <c r="O18" i="126"/>
  <c r="O19" i="126" s="1"/>
  <c r="O20" i="126" s="1"/>
  <c r="I18" i="126"/>
  <c r="I19" i="126" s="1"/>
  <c r="I20" i="126" s="1"/>
  <c r="D18" i="126"/>
  <c r="D19" i="126" s="1"/>
  <c r="D20" i="126" s="1"/>
  <c r="X12" i="126"/>
  <c r="W12" i="126"/>
  <c r="K18" i="126" s="1"/>
  <c r="K19" i="126" s="1"/>
  <c r="K20" i="126" s="1"/>
  <c r="U12" i="126"/>
  <c r="S12" i="126"/>
  <c r="Q12" i="126"/>
  <c r="P12" i="126"/>
  <c r="O12" i="126"/>
  <c r="N18" i="126" s="1"/>
  <c r="N19" i="126" s="1"/>
  <c r="N20" i="126" s="1"/>
  <c r="M12" i="126"/>
  <c r="M18" i="126" s="1"/>
  <c r="M19" i="126" s="1"/>
  <c r="M20" i="126" s="1"/>
  <c r="K12" i="126"/>
  <c r="G18" i="126" s="1"/>
  <c r="G19" i="126" s="1"/>
  <c r="G20" i="126" s="1"/>
  <c r="I12" i="126"/>
  <c r="F18" i="126" s="1"/>
  <c r="F19" i="126" s="1"/>
  <c r="F20" i="126" s="1"/>
  <c r="G12" i="126"/>
  <c r="E18" i="126" s="1"/>
  <c r="E19" i="126" s="1"/>
  <c r="E20" i="126" s="1"/>
  <c r="E12" i="126"/>
  <c r="C12" i="126"/>
  <c r="B18" i="126" s="1"/>
  <c r="B19" i="126" s="1"/>
  <c r="B20" i="126" s="1"/>
  <c r="X11" i="126"/>
  <c r="V11" i="126"/>
  <c r="T11" i="126"/>
  <c r="R11" i="126"/>
  <c r="P11" i="126"/>
  <c r="N11" i="126"/>
  <c r="L11" i="126"/>
  <c r="J11" i="126"/>
  <c r="H11" i="126"/>
  <c r="F11" i="126"/>
  <c r="D11" i="126"/>
  <c r="Y11" i="126" s="1"/>
  <c r="X10" i="126"/>
  <c r="V10" i="126"/>
  <c r="T10" i="126"/>
  <c r="R10" i="126"/>
  <c r="P10" i="126"/>
  <c r="N10" i="126"/>
  <c r="L10" i="126"/>
  <c r="J10" i="126"/>
  <c r="H10" i="126"/>
  <c r="F10" i="126"/>
  <c r="D10" i="126"/>
  <c r="Y10" i="126" s="1"/>
  <c r="X9" i="126"/>
  <c r="V9" i="126"/>
  <c r="T9" i="126"/>
  <c r="R9" i="126"/>
  <c r="P9" i="126"/>
  <c r="N9" i="126"/>
  <c r="L9" i="126"/>
  <c r="J9" i="126"/>
  <c r="H9" i="126"/>
  <c r="F9" i="126"/>
  <c r="D9" i="126"/>
  <c r="Y9" i="126" s="1"/>
  <c r="X8" i="126"/>
  <c r="V8" i="126"/>
  <c r="T8" i="126"/>
  <c r="R8" i="126"/>
  <c r="P8" i="126"/>
  <c r="N8" i="126"/>
  <c r="L8" i="126"/>
  <c r="J8" i="126"/>
  <c r="H8" i="126"/>
  <c r="F8" i="126"/>
  <c r="D8" i="126"/>
  <c r="X7" i="126"/>
  <c r="V7" i="126"/>
  <c r="T7" i="126"/>
  <c r="R7" i="126"/>
  <c r="P7" i="126"/>
  <c r="N7" i="126"/>
  <c r="L7" i="126"/>
  <c r="J7" i="126"/>
  <c r="H7" i="126"/>
  <c r="H12" i="126" s="1"/>
  <c r="F7" i="126"/>
  <c r="D7" i="126"/>
  <c r="X6" i="126"/>
  <c r="V6" i="126"/>
  <c r="V12" i="126" s="1"/>
  <c r="T6" i="126"/>
  <c r="R6" i="126"/>
  <c r="R12" i="126" s="1"/>
  <c r="P6" i="126"/>
  <c r="N6" i="126"/>
  <c r="N12" i="126" s="1"/>
  <c r="L6" i="126"/>
  <c r="L12" i="126" s="1"/>
  <c r="J6" i="126"/>
  <c r="H6" i="126"/>
  <c r="F6" i="126"/>
  <c r="F12" i="126" s="1"/>
  <c r="D6" i="126"/>
  <c r="Y9" i="127" l="1"/>
  <c r="T12" i="127"/>
  <c r="Y10" i="127"/>
  <c r="Y8" i="127"/>
  <c r="J12" i="127"/>
  <c r="Y7" i="127"/>
  <c r="D12" i="127"/>
  <c r="B21" i="127"/>
  <c r="Y6" i="127"/>
  <c r="T12" i="126"/>
  <c r="J12" i="126"/>
  <c r="Y6" i="126"/>
  <c r="Y7" i="126"/>
  <c r="Y8" i="126"/>
  <c r="B21" i="126"/>
  <c r="D12" i="126"/>
  <c r="Y12" i="127" l="1"/>
  <c r="V16" i="127" s="1"/>
  <c r="V24" i="127" s="1"/>
  <c r="Y12" i="126"/>
  <c r="V16" i="126" s="1"/>
  <c r="V24" i="126" s="1"/>
  <c r="V25" i="125" l="1"/>
  <c r="F22" i="125"/>
  <c r="S19" i="125"/>
  <c r="S20" i="125" s="1"/>
  <c r="Q19" i="125"/>
  <c r="Q20" i="125" s="1"/>
  <c r="P19" i="125"/>
  <c r="P20" i="125" s="1"/>
  <c r="L19" i="125"/>
  <c r="L20" i="125" s="1"/>
  <c r="J19" i="125"/>
  <c r="J20" i="125" s="1"/>
  <c r="H19" i="125"/>
  <c r="H20" i="125" s="1"/>
  <c r="O18" i="125"/>
  <c r="O19" i="125" s="1"/>
  <c r="O20" i="125" s="1"/>
  <c r="M18" i="125"/>
  <c r="M19" i="125" s="1"/>
  <c r="M20" i="125" s="1"/>
  <c r="I18" i="125"/>
  <c r="I19" i="125" s="1"/>
  <c r="I20" i="125" s="1"/>
  <c r="D18" i="125"/>
  <c r="D19" i="125" s="1"/>
  <c r="D20" i="125" s="1"/>
  <c r="X12" i="125"/>
  <c r="W12" i="125"/>
  <c r="K18" i="125" s="1"/>
  <c r="K19" i="125" s="1"/>
  <c r="K20" i="125" s="1"/>
  <c r="U12" i="125"/>
  <c r="S12" i="125"/>
  <c r="Q12" i="125"/>
  <c r="P12" i="125"/>
  <c r="O12" i="125"/>
  <c r="N18" i="125" s="1"/>
  <c r="N19" i="125" s="1"/>
  <c r="N20" i="125" s="1"/>
  <c r="M12" i="125"/>
  <c r="K12" i="125"/>
  <c r="G18" i="125" s="1"/>
  <c r="G19" i="125" s="1"/>
  <c r="G20" i="125" s="1"/>
  <c r="I12" i="125"/>
  <c r="F18" i="125" s="1"/>
  <c r="F19" i="125" s="1"/>
  <c r="F20" i="125" s="1"/>
  <c r="G12" i="125"/>
  <c r="E18" i="125" s="1"/>
  <c r="E19" i="125" s="1"/>
  <c r="E20" i="125" s="1"/>
  <c r="E12" i="125"/>
  <c r="C12" i="125"/>
  <c r="B18" i="125" s="1"/>
  <c r="B19" i="125" s="1"/>
  <c r="B20" i="125" s="1"/>
  <c r="X11" i="125"/>
  <c r="V11" i="125"/>
  <c r="T11" i="125"/>
  <c r="R11" i="125"/>
  <c r="P11" i="125"/>
  <c r="N11" i="125"/>
  <c r="L11" i="125"/>
  <c r="J11" i="125"/>
  <c r="H11" i="125"/>
  <c r="F11" i="125"/>
  <c r="Y11" i="125" s="1"/>
  <c r="D11" i="125"/>
  <c r="X10" i="125"/>
  <c r="V10" i="125"/>
  <c r="T10" i="125"/>
  <c r="R10" i="125"/>
  <c r="P10" i="125"/>
  <c r="N10" i="125"/>
  <c r="L10" i="125"/>
  <c r="J10" i="125"/>
  <c r="H10" i="125"/>
  <c r="F10" i="125"/>
  <c r="Y10" i="125" s="1"/>
  <c r="D10" i="125"/>
  <c r="X9" i="125"/>
  <c r="V9" i="125"/>
  <c r="T9" i="125"/>
  <c r="R9" i="125"/>
  <c r="P9" i="125"/>
  <c r="N9" i="125"/>
  <c r="L9" i="125"/>
  <c r="J9" i="125"/>
  <c r="H9" i="125"/>
  <c r="F9" i="125"/>
  <c r="D9" i="125"/>
  <c r="X8" i="125"/>
  <c r="V8" i="125"/>
  <c r="T8" i="125"/>
  <c r="R8" i="125"/>
  <c r="P8" i="125"/>
  <c r="N8" i="125"/>
  <c r="L8" i="125"/>
  <c r="J8" i="125"/>
  <c r="H8" i="125"/>
  <c r="F8" i="125"/>
  <c r="D8" i="125"/>
  <c r="X7" i="125"/>
  <c r="V7" i="125"/>
  <c r="T7" i="125"/>
  <c r="R7" i="125"/>
  <c r="P7" i="125"/>
  <c r="N7" i="125"/>
  <c r="L7" i="125"/>
  <c r="J7" i="125"/>
  <c r="H7" i="125"/>
  <c r="F7" i="125"/>
  <c r="D7" i="125"/>
  <c r="X6" i="125"/>
  <c r="V6" i="125"/>
  <c r="V12" i="125" s="1"/>
  <c r="T6" i="125"/>
  <c r="R6" i="125"/>
  <c r="R12" i="125" s="1"/>
  <c r="P6" i="125"/>
  <c r="N6" i="125"/>
  <c r="N12" i="125" s="1"/>
  <c r="L6" i="125"/>
  <c r="L12" i="125" s="1"/>
  <c r="J6" i="125"/>
  <c r="H6" i="125"/>
  <c r="F6" i="125"/>
  <c r="F12" i="125" s="1"/>
  <c r="D6" i="125"/>
  <c r="V25" i="124"/>
  <c r="F22" i="124"/>
  <c r="S19" i="124"/>
  <c r="S20" i="124" s="1"/>
  <c r="Q19" i="124"/>
  <c r="Q20" i="124" s="1"/>
  <c r="P19" i="124"/>
  <c r="P20" i="124" s="1"/>
  <c r="L19" i="124"/>
  <c r="L20" i="124" s="1"/>
  <c r="J19" i="124"/>
  <c r="J20" i="124" s="1"/>
  <c r="H19" i="124"/>
  <c r="H20" i="124" s="1"/>
  <c r="K18" i="124"/>
  <c r="K19" i="124" s="1"/>
  <c r="K20" i="124" s="1"/>
  <c r="W12" i="124"/>
  <c r="U12" i="124"/>
  <c r="I18" i="124" s="1"/>
  <c r="I19" i="124" s="1"/>
  <c r="I20" i="124" s="1"/>
  <c r="S12" i="124"/>
  <c r="Q12" i="124"/>
  <c r="O18" i="124" s="1"/>
  <c r="O19" i="124" s="1"/>
  <c r="O20" i="124" s="1"/>
  <c r="O12" i="124"/>
  <c r="N18" i="124" s="1"/>
  <c r="N19" i="124" s="1"/>
  <c r="N20" i="124" s="1"/>
  <c r="M12" i="124"/>
  <c r="M18" i="124" s="1"/>
  <c r="M19" i="124" s="1"/>
  <c r="M20" i="124" s="1"/>
  <c r="K12" i="124"/>
  <c r="G18" i="124" s="1"/>
  <c r="G19" i="124" s="1"/>
  <c r="G20" i="124" s="1"/>
  <c r="I12" i="124"/>
  <c r="F18" i="124" s="1"/>
  <c r="F19" i="124" s="1"/>
  <c r="F20" i="124" s="1"/>
  <c r="G12" i="124"/>
  <c r="E18" i="124" s="1"/>
  <c r="E19" i="124" s="1"/>
  <c r="E20" i="124" s="1"/>
  <c r="E12" i="124"/>
  <c r="D18" i="124" s="1"/>
  <c r="D19" i="124" s="1"/>
  <c r="D20" i="124" s="1"/>
  <c r="C12" i="124"/>
  <c r="B18" i="124" s="1"/>
  <c r="B19" i="124" s="1"/>
  <c r="B20" i="124" s="1"/>
  <c r="X11" i="124"/>
  <c r="V11" i="124"/>
  <c r="T11" i="124"/>
  <c r="R11" i="124"/>
  <c r="P11" i="124"/>
  <c r="N11" i="124"/>
  <c r="L11" i="124"/>
  <c r="J11" i="124"/>
  <c r="H11" i="124"/>
  <c r="Y11" i="124" s="1"/>
  <c r="F11" i="124"/>
  <c r="D11" i="124"/>
  <c r="X10" i="124"/>
  <c r="V10" i="124"/>
  <c r="T10" i="124"/>
  <c r="R10" i="124"/>
  <c r="P10" i="124"/>
  <c r="N10" i="124"/>
  <c r="L10" i="124"/>
  <c r="J10" i="124"/>
  <c r="H10" i="124"/>
  <c r="Y10" i="124" s="1"/>
  <c r="F10" i="124"/>
  <c r="D10" i="124"/>
  <c r="X9" i="124"/>
  <c r="V9" i="124"/>
  <c r="T9" i="124"/>
  <c r="R9" i="124"/>
  <c r="P9" i="124"/>
  <c r="N9" i="124"/>
  <c r="L9" i="124"/>
  <c r="J9" i="124"/>
  <c r="H9" i="124"/>
  <c r="F9" i="124"/>
  <c r="D9" i="124"/>
  <c r="X8" i="124"/>
  <c r="V8" i="124"/>
  <c r="T8" i="124"/>
  <c r="R8" i="124"/>
  <c r="P8" i="124"/>
  <c r="N8" i="124"/>
  <c r="L8" i="124"/>
  <c r="J8" i="124"/>
  <c r="H8" i="124"/>
  <c r="F8" i="124"/>
  <c r="D8" i="124"/>
  <c r="X7" i="124"/>
  <c r="V7" i="124"/>
  <c r="T7" i="124"/>
  <c r="R7" i="124"/>
  <c r="P7" i="124"/>
  <c r="N7" i="124"/>
  <c r="L7" i="124"/>
  <c r="J7" i="124"/>
  <c r="H7" i="124"/>
  <c r="F7" i="124"/>
  <c r="D7" i="124"/>
  <c r="X6" i="124"/>
  <c r="X12" i="124" s="1"/>
  <c r="V6" i="124"/>
  <c r="T6" i="124"/>
  <c r="T12" i="124" s="1"/>
  <c r="R6" i="124"/>
  <c r="R12" i="124" s="1"/>
  <c r="P6" i="124"/>
  <c r="P12" i="124" s="1"/>
  <c r="N6" i="124"/>
  <c r="N12" i="124" s="1"/>
  <c r="L6" i="124"/>
  <c r="L12" i="124" s="1"/>
  <c r="J6" i="124"/>
  <c r="H6" i="124"/>
  <c r="F6" i="124"/>
  <c r="F12" i="124" s="1"/>
  <c r="D6" i="124"/>
  <c r="T12" i="125" l="1"/>
  <c r="H12" i="125"/>
  <c r="Y9" i="125"/>
  <c r="J12" i="125"/>
  <c r="Y6" i="125"/>
  <c r="Y8" i="125"/>
  <c r="Y7" i="125"/>
  <c r="B21" i="125"/>
  <c r="D12" i="125"/>
  <c r="Y8" i="124"/>
  <c r="Y9" i="124"/>
  <c r="V12" i="124"/>
  <c r="J12" i="124"/>
  <c r="H12" i="124"/>
  <c r="D12" i="124"/>
  <c r="Y7" i="124"/>
  <c r="B21" i="124"/>
  <c r="Y6" i="124"/>
  <c r="Y12" i="125" l="1"/>
  <c r="V16" i="125" s="1"/>
  <c r="V24" i="125" s="1"/>
  <c r="Y12" i="124"/>
  <c r="V16" i="124" s="1"/>
  <c r="V24" i="124" s="1"/>
  <c r="V25" i="123" l="1"/>
  <c r="F22" i="123"/>
  <c r="S19" i="123"/>
  <c r="S20" i="123" s="1"/>
  <c r="Q19" i="123"/>
  <c r="Q20" i="123" s="1"/>
  <c r="P19" i="123"/>
  <c r="P20" i="123" s="1"/>
  <c r="L19" i="123"/>
  <c r="L20" i="123" s="1"/>
  <c r="J19" i="123"/>
  <c r="J20" i="123" s="1"/>
  <c r="H19" i="123"/>
  <c r="H20" i="123" s="1"/>
  <c r="M18" i="123"/>
  <c r="M19" i="123" s="1"/>
  <c r="M20" i="123" s="1"/>
  <c r="W12" i="123"/>
  <c r="K18" i="123" s="1"/>
  <c r="K19" i="123" s="1"/>
  <c r="K20" i="123" s="1"/>
  <c r="U12" i="123"/>
  <c r="I18" i="123" s="1"/>
  <c r="I19" i="123" s="1"/>
  <c r="I20" i="123" s="1"/>
  <c r="S12" i="123"/>
  <c r="Q12" i="123"/>
  <c r="O18" i="123" s="1"/>
  <c r="O19" i="123" s="1"/>
  <c r="O20" i="123" s="1"/>
  <c r="O12" i="123"/>
  <c r="N18" i="123" s="1"/>
  <c r="N19" i="123" s="1"/>
  <c r="N20" i="123" s="1"/>
  <c r="N12" i="123"/>
  <c r="M12" i="123"/>
  <c r="K12" i="123"/>
  <c r="G18" i="123" s="1"/>
  <c r="G19" i="123" s="1"/>
  <c r="G20" i="123" s="1"/>
  <c r="I12" i="123"/>
  <c r="F18" i="123" s="1"/>
  <c r="F19" i="123" s="1"/>
  <c r="F20" i="123" s="1"/>
  <c r="G12" i="123"/>
  <c r="E18" i="123" s="1"/>
  <c r="E19" i="123" s="1"/>
  <c r="E20" i="123" s="1"/>
  <c r="F12" i="123"/>
  <c r="E12" i="123"/>
  <c r="D18" i="123" s="1"/>
  <c r="D19" i="123" s="1"/>
  <c r="D20" i="123" s="1"/>
  <c r="C12" i="123"/>
  <c r="B18" i="123" s="1"/>
  <c r="B19" i="123" s="1"/>
  <c r="B20" i="123" s="1"/>
  <c r="X11" i="123"/>
  <c r="V11" i="123"/>
  <c r="T11" i="123"/>
  <c r="R11" i="123"/>
  <c r="P11" i="123"/>
  <c r="N11" i="123"/>
  <c r="L11" i="123"/>
  <c r="J11" i="123"/>
  <c r="Y11" i="123" s="1"/>
  <c r="H11" i="123"/>
  <c r="F11" i="123"/>
  <c r="D11" i="123"/>
  <c r="X10" i="123"/>
  <c r="V10" i="123"/>
  <c r="T10" i="123"/>
  <c r="R10" i="123"/>
  <c r="P10" i="123"/>
  <c r="N10" i="123"/>
  <c r="L10" i="123"/>
  <c r="J10" i="123"/>
  <c r="Y10" i="123" s="1"/>
  <c r="H10" i="123"/>
  <c r="F10" i="123"/>
  <c r="D10" i="123"/>
  <c r="X9" i="123"/>
  <c r="V9" i="123"/>
  <c r="V12" i="123" s="1"/>
  <c r="T9" i="123"/>
  <c r="R9" i="123"/>
  <c r="P9" i="123"/>
  <c r="N9" i="123"/>
  <c r="L9" i="123"/>
  <c r="J9" i="123"/>
  <c r="H9" i="123"/>
  <c r="F9" i="123"/>
  <c r="D9" i="123"/>
  <c r="X8" i="123"/>
  <c r="V8" i="123"/>
  <c r="T8" i="123"/>
  <c r="R8" i="123"/>
  <c r="P8" i="123"/>
  <c r="N8" i="123"/>
  <c r="L8" i="123"/>
  <c r="J8" i="123"/>
  <c r="H8" i="123"/>
  <c r="F8" i="123"/>
  <c r="D8" i="123"/>
  <c r="X7" i="123"/>
  <c r="V7" i="123"/>
  <c r="T7" i="123"/>
  <c r="R7" i="123"/>
  <c r="P7" i="123"/>
  <c r="N7" i="123"/>
  <c r="L7" i="123"/>
  <c r="J7" i="123"/>
  <c r="H7" i="123"/>
  <c r="F7" i="123"/>
  <c r="D7" i="123"/>
  <c r="X6" i="123"/>
  <c r="X12" i="123" s="1"/>
  <c r="V6" i="123"/>
  <c r="T6" i="123"/>
  <c r="R6" i="123"/>
  <c r="R12" i="123" s="1"/>
  <c r="P6" i="123"/>
  <c r="P12" i="123" s="1"/>
  <c r="N6" i="123"/>
  <c r="L6" i="123"/>
  <c r="L12" i="123" s="1"/>
  <c r="J6" i="123"/>
  <c r="H6" i="123"/>
  <c r="F6" i="123"/>
  <c r="D6" i="123"/>
  <c r="V18" i="122"/>
  <c r="T12" i="123" l="1"/>
  <c r="J12" i="123"/>
  <c r="H12" i="123"/>
  <c r="Y7" i="123"/>
  <c r="Y9" i="123"/>
  <c r="D12" i="123"/>
  <c r="Y8" i="123"/>
  <c r="B21" i="123"/>
  <c r="Y6" i="123"/>
  <c r="V25" i="122"/>
  <c r="F22" i="122"/>
  <c r="S19" i="122"/>
  <c r="S20" i="122" s="1"/>
  <c r="Q19" i="122"/>
  <c r="Q20" i="122" s="1"/>
  <c r="P19" i="122"/>
  <c r="P20" i="122" s="1"/>
  <c r="L19" i="122"/>
  <c r="L20" i="122" s="1"/>
  <c r="J19" i="122"/>
  <c r="J20" i="122" s="1"/>
  <c r="H19" i="122"/>
  <c r="H20" i="122" s="1"/>
  <c r="O18" i="122"/>
  <c r="O19" i="122" s="1"/>
  <c r="O20" i="122" s="1"/>
  <c r="K18" i="122"/>
  <c r="K19" i="122" s="1"/>
  <c r="K20" i="122" s="1"/>
  <c r="D18" i="122"/>
  <c r="D19" i="122" s="1"/>
  <c r="D20" i="122" s="1"/>
  <c r="X12" i="122"/>
  <c r="W12" i="122"/>
  <c r="U12" i="122"/>
  <c r="I18" i="122" s="1"/>
  <c r="I19" i="122" s="1"/>
  <c r="I20" i="122" s="1"/>
  <c r="S12" i="122"/>
  <c r="Q12" i="122"/>
  <c r="P12" i="122"/>
  <c r="O12" i="122"/>
  <c r="N18" i="122" s="1"/>
  <c r="N19" i="122" s="1"/>
  <c r="N20" i="122" s="1"/>
  <c r="M12" i="122"/>
  <c r="M18" i="122" s="1"/>
  <c r="M19" i="122" s="1"/>
  <c r="M20" i="122" s="1"/>
  <c r="L12" i="122"/>
  <c r="K12" i="122"/>
  <c r="G18" i="122" s="1"/>
  <c r="G19" i="122" s="1"/>
  <c r="G20" i="122" s="1"/>
  <c r="I12" i="122"/>
  <c r="F18" i="122" s="1"/>
  <c r="F19" i="122" s="1"/>
  <c r="F20" i="122" s="1"/>
  <c r="G12" i="122"/>
  <c r="E18" i="122" s="1"/>
  <c r="E19" i="122" s="1"/>
  <c r="E20" i="122" s="1"/>
  <c r="E12" i="122"/>
  <c r="C12" i="122"/>
  <c r="B18" i="122" s="1"/>
  <c r="B19" i="122" s="1"/>
  <c r="B20" i="122" s="1"/>
  <c r="X11" i="122"/>
  <c r="V11" i="122"/>
  <c r="T11" i="122"/>
  <c r="R11" i="122"/>
  <c r="P11" i="122"/>
  <c r="N11" i="122"/>
  <c r="L11" i="122"/>
  <c r="J11" i="122"/>
  <c r="H11" i="122"/>
  <c r="F11" i="122"/>
  <c r="D11" i="122"/>
  <c r="X10" i="122"/>
  <c r="V10" i="122"/>
  <c r="T10" i="122"/>
  <c r="R10" i="122"/>
  <c r="P10" i="122"/>
  <c r="N10" i="122"/>
  <c r="L10" i="122"/>
  <c r="J10" i="122"/>
  <c r="H10" i="122"/>
  <c r="F10" i="122"/>
  <c r="Y10" i="122" s="1"/>
  <c r="D10" i="122"/>
  <c r="X9" i="122"/>
  <c r="V9" i="122"/>
  <c r="T9" i="122"/>
  <c r="R9" i="122"/>
  <c r="P9" i="122"/>
  <c r="N9" i="122"/>
  <c r="L9" i="122"/>
  <c r="J9" i="122"/>
  <c r="H9" i="122"/>
  <c r="F9" i="122"/>
  <c r="D9" i="122"/>
  <c r="X8" i="122"/>
  <c r="V8" i="122"/>
  <c r="T8" i="122"/>
  <c r="R8" i="122"/>
  <c r="P8" i="122"/>
  <c r="N8" i="122"/>
  <c r="L8" i="122"/>
  <c r="J8" i="122"/>
  <c r="H8" i="122"/>
  <c r="F8" i="122"/>
  <c r="D8" i="122"/>
  <c r="X7" i="122"/>
  <c r="V7" i="122"/>
  <c r="T7" i="122"/>
  <c r="R7" i="122"/>
  <c r="P7" i="122"/>
  <c r="N7" i="122"/>
  <c r="L7" i="122"/>
  <c r="J7" i="122"/>
  <c r="H7" i="122"/>
  <c r="F7" i="122"/>
  <c r="D7" i="122"/>
  <c r="X6" i="122"/>
  <c r="V6" i="122"/>
  <c r="T6" i="122"/>
  <c r="R6" i="122"/>
  <c r="R12" i="122" s="1"/>
  <c r="P6" i="122"/>
  <c r="N6" i="122"/>
  <c r="N12" i="122" s="1"/>
  <c r="L6" i="122"/>
  <c r="J6" i="122"/>
  <c r="H6" i="122"/>
  <c r="F6" i="122"/>
  <c r="F12" i="122" s="1"/>
  <c r="D6" i="122"/>
  <c r="V18" i="121"/>
  <c r="Y12" i="123" l="1"/>
  <c r="V16" i="123" s="1"/>
  <c r="V24" i="123" s="1"/>
  <c r="T12" i="122"/>
  <c r="Y11" i="122"/>
  <c r="V12" i="122"/>
  <c r="H12" i="122"/>
  <c r="D12" i="122"/>
  <c r="J12" i="122"/>
  <c r="Y9" i="122"/>
  <c r="Y8" i="122"/>
  <c r="Y7" i="122"/>
  <c r="B21" i="122"/>
  <c r="Y6" i="122"/>
  <c r="Y12" i="122" l="1"/>
  <c r="V16" i="122" s="1"/>
  <c r="V24" i="122" s="1"/>
  <c r="V25" i="121" l="1"/>
  <c r="F22" i="121"/>
  <c r="S19" i="121"/>
  <c r="S20" i="121" s="1"/>
  <c r="Q19" i="121"/>
  <c r="Q20" i="121" s="1"/>
  <c r="P19" i="121"/>
  <c r="P20" i="121" s="1"/>
  <c r="O19" i="121"/>
  <c r="O20" i="121" s="1"/>
  <c r="L19" i="121"/>
  <c r="L20" i="121" s="1"/>
  <c r="J19" i="121"/>
  <c r="J20" i="121" s="1"/>
  <c r="H19" i="121"/>
  <c r="H20" i="121" s="1"/>
  <c r="D19" i="121"/>
  <c r="D20" i="121" s="1"/>
  <c r="O18" i="121"/>
  <c r="M18" i="121"/>
  <c r="M19" i="121" s="1"/>
  <c r="M20" i="121" s="1"/>
  <c r="D18" i="121"/>
  <c r="X12" i="121"/>
  <c r="W12" i="121"/>
  <c r="K18" i="121" s="1"/>
  <c r="K19" i="121" s="1"/>
  <c r="K20" i="121" s="1"/>
  <c r="U12" i="121"/>
  <c r="I18" i="121" s="1"/>
  <c r="I19" i="121" s="1"/>
  <c r="I20" i="121" s="1"/>
  <c r="S12" i="121"/>
  <c r="Q12" i="121"/>
  <c r="P12" i="121"/>
  <c r="O12" i="121"/>
  <c r="N18" i="121" s="1"/>
  <c r="N19" i="121" s="1"/>
  <c r="N20" i="121" s="1"/>
  <c r="N12" i="121"/>
  <c r="M12" i="121"/>
  <c r="K12" i="121"/>
  <c r="G18" i="121" s="1"/>
  <c r="G19" i="121" s="1"/>
  <c r="G20" i="121" s="1"/>
  <c r="I12" i="121"/>
  <c r="F18" i="121" s="1"/>
  <c r="F19" i="121" s="1"/>
  <c r="F20" i="121" s="1"/>
  <c r="G12" i="121"/>
  <c r="E18" i="121" s="1"/>
  <c r="E19" i="121" s="1"/>
  <c r="E20" i="121" s="1"/>
  <c r="F12" i="121"/>
  <c r="E12" i="121"/>
  <c r="C12" i="121"/>
  <c r="B18" i="121" s="1"/>
  <c r="B19" i="121" s="1"/>
  <c r="B20" i="121" s="1"/>
  <c r="X11" i="121"/>
  <c r="V11" i="121"/>
  <c r="T11" i="121"/>
  <c r="R11" i="121"/>
  <c r="P11" i="121"/>
  <c r="N11" i="121"/>
  <c r="L11" i="121"/>
  <c r="J11" i="121"/>
  <c r="Y11" i="121" s="1"/>
  <c r="H11" i="121"/>
  <c r="F11" i="121"/>
  <c r="D11" i="121"/>
  <c r="X10" i="121"/>
  <c r="V10" i="121"/>
  <c r="T10" i="121"/>
  <c r="R10" i="121"/>
  <c r="P10" i="121"/>
  <c r="N10" i="121"/>
  <c r="L10" i="121"/>
  <c r="J10" i="121"/>
  <c r="Y10" i="121" s="1"/>
  <c r="H10" i="121"/>
  <c r="F10" i="121"/>
  <c r="D10" i="121"/>
  <c r="X9" i="121"/>
  <c r="V9" i="121"/>
  <c r="T9" i="121"/>
  <c r="R9" i="121"/>
  <c r="P9" i="121"/>
  <c r="N9" i="121"/>
  <c r="L9" i="121"/>
  <c r="J9" i="121"/>
  <c r="H9" i="121"/>
  <c r="F9" i="121"/>
  <c r="D9" i="121"/>
  <c r="X8" i="121"/>
  <c r="V8" i="121"/>
  <c r="T8" i="121"/>
  <c r="R8" i="121"/>
  <c r="P8" i="121"/>
  <c r="N8" i="121"/>
  <c r="L8" i="121"/>
  <c r="J8" i="121"/>
  <c r="H8" i="121"/>
  <c r="F8" i="121"/>
  <c r="D8" i="121"/>
  <c r="X7" i="121"/>
  <c r="V7" i="121"/>
  <c r="V12" i="121" s="1"/>
  <c r="T7" i="121"/>
  <c r="R7" i="121"/>
  <c r="P7" i="121"/>
  <c r="N7" i="121"/>
  <c r="L7" i="121"/>
  <c r="J7" i="121"/>
  <c r="H7" i="121"/>
  <c r="F7" i="121"/>
  <c r="D7" i="121"/>
  <c r="X6" i="121"/>
  <c r="V6" i="121"/>
  <c r="T6" i="121"/>
  <c r="R6" i="121"/>
  <c r="R12" i="121" s="1"/>
  <c r="P6" i="121"/>
  <c r="N6" i="121"/>
  <c r="L6" i="121"/>
  <c r="L12" i="121" s="1"/>
  <c r="J6" i="121"/>
  <c r="H6" i="121"/>
  <c r="H12" i="121" s="1"/>
  <c r="F6" i="121"/>
  <c r="D6" i="121"/>
  <c r="Y9" i="121" l="1"/>
  <c r="Y7" i="121"/>
  <c r="T12" i="121"/>
  <c r="J12" i="121"/>
  <c r="D12" i="121"/>
  <c r="Y8" i="121"/>
  <c r="B21" i="121"/>
  <c r="Y6" i="121"/>
  <c r="Y12" i="121" l="1"/>
  <c r="V16" i="121" s="1"/>
  <c r="V24" i="121" s="1"/>
  <c r="V18" i="120" l="1"/>
  <c r="H8" i="120"/>
  <c r="V25" i="120" l="1"/>
  <c r="F22" i="120"/>
  <c r="S19" i="120"/>
  <c r="S20" i="120" s="1"/>
  <c r="Q19" i="120"/>
  <c r="Q20" i="120" s="1"/>
  <c r="P19" i="120"/>
  <c r="P20" i="120" s="1"/>
  <c r="L19" i="120"/>
  <c r="L20" i="120" s="1"/>
  <c r="J19" i="120"/>
  <c r="J20" i="120" s="1"/>
  <c r="H19" i="120"/>
  <c r="H20" i="120" s="1"/>
  <c r="W12" i="120"/>
  <c r="K18" i="120" s="1"/>
  <c r="K19" i="120" s="1"/>
  <c r="K20" i="120" s="1"/>
  <c r="U12" i="120"/>
  <c r="I18" i="120" s="1"/>
  <c r="I19" i="120" s="1"/>
  <c r="I20" i="120" s="1"/>
  <c r="S12" i="120"/>
  <c r="Q12" i="120"/>
  <c r="O18" i="120" s="1"/>
  <c r="O19" i="120" s="1"/>
  <c r="O20" i="120" s="1"/>
  <c r="O12" i="120"/>
  <c r="N18" i="120" s="1"/>
  <c r="N19" i="120" s="1"/>
  <c r="N20" i="120" s="1"/>
  <c r="M12" i="120"/>
  <c r="M18" i="120" s="1"/>
  <c r="M19" i="120" s="1"/>
  <c r="M20" i="120" s="1"/>
  <c r="K12" i="120"/>
  <c r="G18" i="120" s="1"/>
  <c r="G19" i="120" s="1"/>
  <c r="G20" i="120" s="1"/>
  <c r="I12" i="120"/>
  <c r="F18" i="120" s="1"/>
  <c r="F19" i="120" s="1"/>
  <c r="F20" i="120" s="1"/>
  <c r="G12" i="120"/>
  <c r="E18" i="120" s="1"/>
  <c r="E19" i="120" s="1"/>
  <c r="E20" i="120" s="1"/>
  <c r="E12" i="120"/>
  <c r="D18" i="120" s="1"/>
  <c r="D19" i="120" s="1"/>
  <c r="D20" i="120" s="1"/>
  <c r="C12" i="120"/>
  <c r="B18" i="120" s="1"/>
  <c r="B19" i="120" s="1"/>
  <c r="B20" i="120" s="1"/>
  <c r="X11" i="120"/>
  <c r="V11" i="120"/>
  <c r="T11" i="120"/>
  <c r="R11" i="120"/>
  <c r="P11" i="120"/>
  <c r="N11" i="120"/>
  <c r="L11" i="120"/>
  <c r="J11" i="120"/>
  <c r="H11" i="120"/>
  <c r="F11" i="120"/>
  <c r="D11" i="120"/>
  <c r="X10" i="120"/>
  <c r="V10" i="120"/>
  <c r="T10" i="120"/>
  <c r="R10" i="120"/>
  <c r="P10" i="120"/>
  <c r="N10" i="120"/>
  <c r="L10" i="120"/>
  <c r="J10" i="120"/>
  <c r="H10" i="120"/>
  <c r="F10" i="120"/>
  <c r="D10" i="120"/>
  <c r="X9" i="120"/>
  <c r="V9" i="120"/>
  <c r="T9" i="120"/>
  <c r="R9" i="120"/>
  <c r="P9" i="120"/>
  <c r="N9" i="120"/>
  <c r="L9" i="120"/>
  <c r="J9" i="120"/>
  <c r="H9" i="120"/>
  <c r="F9" i="120"/>
  <c r="D9" i="120"/>
  <c r="Y9" i="120" s="1"/>
  <c r="X8" i="120"/>
  <c r="V8" i="120"/>
  <c r="T8" i="120"/>
  <c r="R8" i="120"/>
  <c r="P8" i="120"/>
  <c r="N8" i="120"/>
  <c r="L8" i="120"/>
  <c r="J8" i="120"/>
  <c r="F8" i="120"/>
  <c r="D8" i="120"/>
  <c r="X7" i="120"/>
  <c r="V7" i="120"/>
  <c r="T7" i="120"/>
  <c r="R7" i="120"/>
  <c r="P7" i="120"/>
  <c r="N7" i="120"/>
  <c r="L7" i="120"/>
  <c r="J7" i="120"/>
  <c r="H7" i="120"/>
  <c r="F7" i="120"/>
  <c r="D7" i="120"/>
  <c r="X6" i="120"/>
  <c r="V6" i="120"/>
  <c r="T6" i="120"/>
  <c r="R6" i="120"/>
  <c r="R12" i="120" s="1"/>
  <c r="P6" i="120"/>
  <c r="P12" i="120" s="1"/>
  <c r="N6" i="120"/>
  <c r="N12" i="120" s="1"/>
  <c r="L6" i="120"/>
  <c r="L12" i="120" s="1"/>
  <c r="J6" i="120"/>
  <c r="H6" i="120"/>
  <c r="F6" i="120"/>
  <c r="F12" i="120" s="1"/>
  <c r="D6" i="120"/>
  <c r="V18" i="119"/>
  <c r="V12" i="120" l="1"/>
  <c r="T12" i="120"/>
  <c r="X12" i="120"/>
  <c r="J12" i="120"/>
  <c r="Y10" i="120"/>
  <c r="Y8" i="120"/>
  <c r="H12" i="120"/>
  <c r="Y7" i="120"/>
  <c r="Y11" i="120"/>
  <c r="D12" i="120"/>
  <c r="B21" i="120"/>
  <c r="Y6" i="120"/>
  <c r="Y12" i="120" l="1"/>
  <c r="V16" i="120" s="1"/>
  <c r="V24" i="120" s="1"/>
  <c r="V25" i="119" l="1"/>
  <c r="F22" i="119"/>
  <c r="S19" i="119"/>
  <c r="S20" i="119" s="1"/>
  <c r="Q19" i="119"/>
  <c r="Q20" i="119" s="1"/>
  <c r="P19" i="119"/>
  <c r="P20" i="119" s="1"/>
  <c r="L19" i="119"/>
  <c r="L20" i="119" s="1"/>
  <c r="J19" i="119"/>
  <c r="J20" i="119" s="1"/>
  <c r="H19" i="119"/>
  <c r="H20" i="119" s="1"/>
  <c r="O18" i="119"/>
  <c r="O19" i="119" s="1"/>
  <c r="O20" i="119" s="1"/>
  <c r="K18" i="119"/>
  <c r="K19" i="119" s="1"/>
  <c r="K20" i="119" s="1"/>
  <c r="D18" i="119"/>
  <c r="D19" i="119" s="1"/>
  <c r="D20" i="119" s="1"/>
  <c r="X12" i="119"/>
  <c r="W12" i="119"/>
  <c r="U12" i="119"/>
  <c r="I18" i="119" s="1"/>
  <c r="I19" i="119" s="1"/>
  <c r="I20" i="119" s="1"/>
  <c r="S12" i="119"/>
  <c r="Q12" i="119"/>
  <c r="P12" i="119"/>
  <c r="O12" i="119"/>
  <c r="N18" i="119" s="1"/>
  <c r="N19" i="119" s="1"/>
  <c r="N20" i="119" s="1"/>
  <c r="M12" i="119"/>
  <c r="M18" i="119" s="1"/>
  <c r="M19" i="119" s="1"/>
  <c r="M20" i="119" s="1"/>
  <c r="L12" i="119"/>
  <c r="K12" i="119"/>
  <c r="G18" i="119" s="1"/>
  <c r="G19" i="119" s="1"/>
  <c r="G20" i="119" s="1"/>
  <c r="I12" i="119"/>
  <c r="F18" i="119" s="1"/>
  <c r="F19" i="119" s="1"/>
  <c r="F20" i="119" s="1"/>
  <c r="G12" i="119"/>
  <c r="E18" i="119" s="1"/>
  <c r="E19" i="119" s="1"/>
  <c r="E20" i="119" s="1"/>
  <c r="E12" i="119"/>
  <c r="C12" i="119"/>
  <c r="B18" i="119" s="1"/>
  <c r="B19" i="119" s="1"/>
  <c r="B20" i="119" s="1"/>
  <c r="X11" i="119"/>
  <c r="V11" i="119"/>
  <c r="T11" i="119"/>
  <c r="R11" i="119"/>
  <c r="P11" i="119"/>
  <c r="N11" i="119"/>
  <c r="L11" i="119"/>
  <c r="J11" i="119"/>
  <c r="H11" i="119"/>
  <c r="F11" i="119"/>
  <c r="D11" i="119"/>
  <c r="X10" i="119"/>
  <c r="V10" i="119"/>
  <c r="T10" i="119"/>
  <c r="R10" i="119"/>
  <c r="P10" i="119"/>
  <c r="N10" i="119"/>
  <c r="L10" i="119"/>
  <c r="J10" i="119"/>
  <c r="H10" i="119"/>
  <c r="F10" i="119"/>
  <c r="D10" i="119"/>
  <c r="X9" i="119"/>
  <c r="V9" i="119"/>
  <c r="T9" i="119"/>
  <c r="R9" i="119"/>
  <c r="P9" i="119"/>
  <c r="N9" i="119"/>
  <c r="L9" i="119"/>
  <c r="J9" i="119"/>
  <c r="H9" i="119"/>
  <c r="F9" i="119"/>
  <c r="D9" i="119"/>
  <c r="X8" i="119"/>
  <c r="V8" i="119"/>
  <c r="T8" i="119"/>
  <c r="R8" i="119"/>
  <c r="P8" i="119"/>
  <c r="N8" i="119"/>
  <c r="L8" i="119"/>
  <c r="J8" i="119"/>
  <c r="H8" i="119"/>
  <c r="F8" i="119"/>
  <c r="D8" i="119"/>
  <c r="X7" i="119"/>
  <c r="V7" i="119"/>
  <c r="T7" i="119"/>
  <c r="R7" i="119"/>
  <c r="P7" i="119"/>
  <c r="N7" i="119"/>
  <c r="L7" i="119"/>
  <c r="J7" i="119"/>
  <c r="H7" i="119"/>
  <c r="F7" i="119"/>
  <c r="D7" i="119"/>
  <c r="X6" i="119"/>
  <c r="V6" i="119"/>
  <c r="T6" i="119"/>
  <c r="R6" i="119"/>
  <c r="R12" i="119" s="1"/>
  <c r="P6" i="119"/>
  <c r="N6" i="119"/>
  <c r="N12" i="119" s="1"/>
  <c r="L6" i="119"/>
  <c r="J6" i="119"/>
  <c r="H6" i="119"/>
  <c r="F6" i="119"/>
  <c r="D6" i="119"/>
  <c r="V18" i="118"/>
  <c r="Y11" i="119" l="1"/>
  <c r="T12" i="119"/>
  <c r="H12" i="119"/>
  <c r="J12" i="119"/>
  <c r="D12" i="119"/>
  <c r="V12" i="119"/>
  <c r="Y10" i="119"/>
  <c r="Y9" i="119"/>
  <c r="Y7" i="119"/>
  <c r="Y8" i="119"/>
  <c r="Y6" i="119"/>
  <c r="B21" i="119"/>
  <c r="F12" i="119"/>
  <c r="V25" i="118"/>
  <c r="F22" i="118"/>
  <c r="S19" i="118"/>
  <c r="S20" i="118" s="1"/>
  <c r="Q19" i="118"/>
  <c r="Q20" i="118" s="1"/>
  <c r="P19" i="118"/>
  <c r="P20" i="118" s="1"/>
  <c r="L19" i="118"/>
  <c r="L20" i="118" s="1"/>
  <c r="J19" i="118"/>
  <c r="J20" i="118" s="1"/>
  <c r="H19" i="118"/>
  <c r="H20" i="118" s="1"/>
  <c r="O18" i="118"/>
  <c r="O19" i="118" s="1"/>
  <c r="O20" i="118" s="1"/>
  <c r="K18" i="118"/>
  <c r="K19" i="118" s="1"/>
  <c r="K20" i="118" s="1"/>
  <c r="D18" i="118"/>
  <c r="D19" i="118" s="1"/>
  <c r="D20" i="118" s="1"/>
  <c r="X12" i="118"/>
  <c r="W12" i="118"/>
  <c r="U12" i="118"/>
  <c r="I18" i="118" s="1"/>
  <c r="I19" i="118" s="1"/>
  <c r="I20" i="118" s="1"/>
  <c r="S12" i="118"/>
  <c r="Q12" i="118"/>
  <c r="P12" i="118"/>
  <c r="O12" i="118"/>
  <c r="N18" i="118" s="1"/>
  <c r="N19" i="118" s="1"/>
  <c r="N20" i="118" s="1"/>
  <c r="M12" i="118"/>
  <c r="M18" i="118" s="1"/>
  <c r="M19" i="118" s="1"/>
  <c r="M20" i="118" s="1"/>
  <c r="L12" i="118"/>
  <c r="K12" i="118"/>
  <c r="G18" i="118" s="1"/>
  <c r="G19" i="118" s="1"/>
  <c r="G20" i="118" s="1"/>
  <c r="I12" i="118"/>
  <c r="F18" i="118" s="1"/>
  <c r="F19" i="118" s="1"/>
  <c r="F20" i="118" s="1"/>
  <c r="G12" i="118"/>
  <c r="E18" i="118" s="1"/>
  <c r="E19" i="118" s="1"/>
  <c r="E20" i="118" s="1"/>
  <c r="E12" i="118"/>
  <c r="C12" i="118"/>
  <c r="B18" i="118" s="1"/>
  <c r="B19" i="118" s="1"/>
  <c r="B20" i="118" s="1"/>
  <c r="X11" i="118"/>
  <c r="V11" i="118"/>
  <c r="T11" i="118"/>
  <c r="R11" i="118"/>
  <c r="P11" i="118"/>
  <c r="N11" i="118"/>
  <c r="L11" i="118"/>
  <c r="J11" i="118"/>
  <c r="H11" i="118"/>
  <c r="F11" i="118"/>
  <c r="Y11" i="118" s="1"/>
  <c r="D11" i="118"/>
  <c r="X10" i="118"/>
  <c r="V10" i="118"/>
  <c r="T10" i="118"/>
  <c r="R10" i="118"/>
  <c r="P10" i="118"/>
  <c r="N10" i="118"/>
  <c r="L10" i="118"/>
  <c r="J10" i="118"/>
  <c r="H10" i="118"/>
  <c r="F10" i="118"/>
  <c r="D10" i="118"/>
  <c r="X9" i="118"/>
  <c r="V9" i="118"/>
  <c r="T9" i="118"/>
  <c r="R9" i="118"/>
  <c r="P9" i="118"/>
  <c r="N9" i="118"/>
  <c r="L9" i="118"/>
  <c r="J9" i="118"/>
  <c r="H9" i="118"/>
  <c r="F9" i="118"/>
  <c r="D9" i="118"/>
  <c r="X8" i="118"/>
  <c r="V8" i="118"/>
  <c r="T8" i="118"/>
  <c r="R8" i="118"/>
  <c r="P8" i="118"/>
  <c r="N8" i="118"/>
  <c r="L8" i="118"/>
  <c r="J8" i="118"/>
  <c r="H8" i="118"/>
  <c r="F8" i="118"/>
  <c r="D8" i="118"/>
  <c r="X7" i="118"/>
  <c r="V7" i="118"/>
  <c r="T7" i="118"/>
  <c r="R7" i="118"/>
  <c r="P7" i="118"/>
  <c r="N7" i="118"/>
  <c r="L7" i="118"/>
  <c r="J7" i="118"/>
  <c r="H7" i="118"/>
  <c r="F7" i="118"/>
  <c r="D7" i="118"/>
  <c r="X6" i="118"/>
  <c r="V6" i="118"/>
  <c r="T6" i="118"/>
  <c r="R6" i="118"/>
  <c r="R12" i="118" s="1"/>
  <c r="P6" i="118"/>
  <c r="N6" i="118"/>
  <c r="N12" i="118" s="1"/>
  <c r="L6" i="118"/>
  <c r="J6" i="118"/>
  <c r="H6" i="118"/>
  <c r="F6" i="118"/>
  <c r="F12" i="118" s="1"/>
  <c r="D6" i="118"/>
  <c r="Y12" i="119" l="1"/>
  <c r="V16" i="119" s="1"/>
  <c r="V24" i="119" s="1"/>
  <c r="V12" i="118"/>
  <c r="J12" i="118"/>
  <c r="H12" i="118"/>
  <c r="D12" i="118"/>
  <c r="T12" i="118"/>
  <c r="Y10" i="118"/>
  <c r="Y9" i="118"/>
  <c r="Y8" i="118"/>
  <c r="Y7" i="118"/>
  <c r="B21" i="118"/>
  <c r="Y6" i="118"/>
  <c r="Y12" i="118" l="1"/>
  <c r="V16" i="118" s="1"/>
  <c r="V24" i="118" s="1"/>
  <c r="V18" i="117" l="1"/>
  <c r="V25" i="117" l="1"/>
  <c r="F22" i="117"/>
  <c r="S19" i="117"/>
  <c r="S20" i="117" s="1"/>
  <c r="Q19" i="117"/>
  <c r="Q20" i="117" s="1"/>
  <c r="P19" i="117"/>
  <c r="P20" i="117" s="1"/>
  <c r="L19" i="117"/>
  <c r="L20" i="117" s="1"/>
  <c r="K19" i="117"/>
  <c r="K20" i="117" s="1"/>
  <c r="J19" i="117"/>
  <c r="J20" i="117" s="1"/>
  <c r="H19" i="117"/>
  <c r="H20" i="117" s="1"/>
  <c r="M18" i="117"/>
  <c r="M19" i="117" s="1"/>
  <c r="M20" i="117" s="1"/>
  <c r="K18" i="117"/>
  <c r="W12" i="117"/>
  <c r="V12" i="117"/>
  <c r="U12" i="117"/>
  <c r="I18" i="117" s="1"/>
  <c r="I19" i="117" s="1"/>
  <c r="I20" i="117" s="1"/>
  <c r="S12" i="117"/>
  <c r="Q12" i="117"/>
  <c r="O18" i="117" s="1"/>
  <c r="O19" i="117" s="1"/>
  <c r="O20" i="117" s="1"/>
  <c r="O12" i="117"/>
  <c r="N18" i="117" s="1"/>
  <c r="N19" i="117" s="1"/>
  <c r="N20" i="117" s="1"/>
  <c r="N12" i="117"/>
  <c r="M12" i="117"/>
  <c r="K12" i="117"/>
  <c r="G18" i="117" s="1"/>
  <c r="G19" i="117" s="1"/>
  <c r="G20" i="117" s="1"/>
  <c r="I12" i="117"/>
  <c r="F18" i="117" s="1"/>
  <c r="F19" i="117" s="1"/>
  <c r="F20" i="117" s="1"/>
  <c r="G12" i="117"/>
  <c r="E18" i="117" s="1"/>
  <c r="E19" i="117" s="1"/>
  <c r="E20" i="117" s="1"/>
  <c r="F12" i="117"/>
  <c r="E12" i="117"/>
  <c r="D18" i="117" s="1"/>
  <c r="D19" i="117" s="1"/>
  <c r="D20" i="117" s="1"/>
  <c r="C12" i="117"/>
  <c r="B18" i="117" s="1"/>
  <c r="B19" i="117" s="1"/>
  <c r="B20" i="117" s="1"/>
  <c r="X11" i="117"/>
  <c r="V11" i="117"/>
  <c r="T11" i="117"/>
  <c r="R11" i="117"/>
  <c r="P11" i="117"/>
  <c r="N11" i="117"/>
  <c r="L11" i="117"/>
  <c r="J11" i="117"/>
  <c r="Y11" i="117" s="1"/>
  <c r="H11" i="117"/>
  <c r="F11" i="117"/>
  <c r="D11" i="117"/>
  <c r="X10" i="117"/>
  <c r="V10" i="117"/>
  <c r="T10" i="117"/>
  <c r="R10" i="117"/>
  <c r="P10" i="117"/>
  <c r="N10" i="117"/>
  <c r="L10" i="117"/>
  <c r="J10" i="117"/>
  <c r="Y10" i="117" s="1"/>
  <c r="H10" i="117"/>
  <c r="F10" i="117"/>
  <c r="D10" i="117"/>
  <c r="X9" i="117"/>
  <c r="V9" i="117"/>
  <c r="T9" i="117"/>
  <c r="R9" i="117"/>
  <c r="P9" i="117"/>
  <c r="N9" i="117"/>
  <c r="L9" i="117"/>
  <c r="J9" i="117"/>
  <c r="H9" i="117"/>
  <c r="F9" i="117"/>
  <c r="D9" i="117"/>
  <c r="X8" i="117"/>
  <c r="V8" i="117"/>
  <c r="T8" i="117"/>
  <c r="R8" i="117"/>
  <c r="P8" i="117"/>
  <c r="N8" i="117"/>
  <c r="L8" i="117"/>
  <c r="J8" i="117"/>
  <c r="H8" i="117"/>
  <c r="F8" i="117"/>
  <c r="D8" i="117"/>
  <c r="X7" i="117"/>
  <c r="V7" i="117"/>
  <c r="T7" i="117"/>
  <c r="R7" i="117"/>
  <c r="P7" i="117"/>
  <c r="N7" i="117"/>
  <c r="L7" i="117"/>
  <c r="J7" i="117"/>
  <c r="H7" i="117"/>
  <c r="F7" i="117"/>
  <c r="D7" i="117"/>
  <c r="X6" i="117"/>
  <c r="X12" i="117" s="1"/>
  <c r="V6" i="117"/>
  <c r="T6" i="117"/>
  <c r="T12" i="117" s="1"/>
  <c r="R6" i="117"/>
  <c r="R12" i="117" s="1"/>
  <c r="P6" i="117"/>
  <c r="P12" i="117" s="1"/>
  <c r="N6" i="117"/>
  <c r="L6" i="117"/>
  <c r="L12" i="117" s="1"/>
  <c r="J6" i="117"/>
  <c r="J12" i="117" s="1"/>
  <c r="H6" i="117"/>
  <c r="F6" i="117"/>
  <c r="D6" i="117"/>
  <c r="V18" i="116"/>
  <c r="Y8" i="117" l="1"/>
  <c r="D12" i="117"/>
  <c r="Y9" i="117"/>
  <c r="Y7" i="117"/>
  <c r="H12" i="117"/>
  <c r="B21" i="117"/>
  <c r="Y6" i="117"/>
  <c r="Y12" i="117" l="1"/>
  <c r="V16" i="117" s="1"/>
  <c r="V24" i="117" s="1"/>
  <c r="V25" i="116" l="1"/>
  <c r="F22" i="116"/>
  <c r="S19" i="116"/>
  <c r="S20" i="116" s="1"/>
  <c r="Q19" i="116"/>
  <c r="Q20" i="116" s="1"/>
  <c r="P19" i="116"/>
  <c r="P20" i="116" s="1"/>
  <c r="L19" i="116"/>
  <c r="L20" i="116" s="1"/>
  <c r="J19" i="116"/>
  <c r="J20" i="116" s="1"/>
  <c r="H19" i="116"/>
  <c r="H20" i="116" s="1"/>
  <c r="D19" i="116"/>
  <c r="D20" i="116" s="1"/>
  <c r="O18" i="116"/>
  <c r="O19" i="116" s="1"/>
  <c r="O20" i="116" s="1"/>
  <c r="D18" i="116"/>
  <c r="X12" i="116"/>
  <c r="W12" i="116"/>
  <c r="K18" i="116" s="1"/>
  <c r="K19" i="116" s="1"/>
  <c r="K20" i="116" s="1"/>
  <c r="U12" i="116"/>
  <c r="I18" i="116" s="1"/>
  <c r="I19" i="116" s="1"/>
  <c r="I20" i="116" s="1"/>
  <c r="S12" i="116"/>
  <c r="Q12" i="116"/>
  <c r="P12" i="116"/>
  <c r="O12" i="116"/>
  <c r="N18" i="116" s="1"/>
  <c r="N19" i="116" s="1"/>
  <c r="N20" i="116" s="1"/>
  <c r="M12" i="116"/>
  <c r="M18" i="116" s="1"/>
  <c r="M19" i="116" s="1"/>
  <c r="M20" i="116" s="1"/>
  <c r="K12" i="116"/>
  <c r="G18" i="116" s="1"/>
  <c r="G19" i="116" s="1"/>
  <c r="G20" i="116" s="1"/>
  <c r="I12" i="116"/>
  <c r="F18" i="116" s="1"/>
  <c r="F19" i="116" s="1"/>
  <c r="F20" i="116" s="1"/>
  <c r="H12" i="116"/>
  <c r="G12" i="116"/>
  <c r="E18" i="116" s="1"/>
  <c r="E19" i="116" s="1"/>
  <c r="E20" i="116" s="1"/>
  <c r="E12" i="116"/>
  <c r="C12" i="116"/>
  <c r="B18" i="116" s="1"/>
  <c r="B19" i="116" s="1"/>
  <c r="B20" i="116" s="1"/>
  <c r="X11" i="116"/>
  <c r="V11" i="116"/>
  <c r="T11" i="116"/>
  <c r="R11" i="116"/>
  <c r="P11" i="116"/>
  <c r="N11" i="116"/>
  <c r="L11" i="116"/>
  <c r="J11" i="116"/>
  <c r="H11" i="116"/>
  <c r="F11" i="116"/>
  <c r="D11" i="116"/>
  <c r="Y11" i="116" s="1"/>
  <c r="X10" i="116"/>
  <c r="V10" i="116"/>
  <c r="T10" i="116"/>
  <c r="R10" i="116"/>
  <c r="P10" i="116"/>
  <c r="N10" i="116"/>
  <c r="L10" i="116"/>
  <c r="J10" i="116"/>
  <c r="H10" i="116"/>
  <c r="F10" i="116"/>
  <c r="D10" i="116"/>
  <c r="Y10" i="116" s="1"/>
  <c r="X9" i="116"/>
  <c r="V9" i="116"/>
  <c r="T9" i="116"/>
  <c r="R9" i="116"/>
  <c r="P9" i="116"/>
  <c r="N9" i="116"/>
  <c r="L9" i="116"/>
  <c r="J9" i="116"/>
  <c r="H9" i="116"/>
  <c r="F9" i="116"/>
  <c r="D9" i="116"/>
  <c r="X8" i="116"/>
  <c r="V8" i="116"/>
  <c r="T8" i="116"/>
  <c r="R8" i="116"/>
  <c r="P8" i="116"/>
  <c r="N8" i="116"/>
  <c r="L8" i="116"/>
  <c r="J8" i="116"/>
  <c r="H8" i="116"/>
  <c r="F8" i="116"/>
  <c r="D8" i="116"/>
  <c r="X7" i="116"/>
  <c r="V7" i="116"/>
  <c r="T7" i="116"/>
  <c r="R7" i="116"/>
  <c r="P7" i="116"/>
  <c r="N7" i="116"/>
  <c r="L7" i="116"/>
  <c r="J7" i="116"/>
  <c r="H7" i="116"/>
  <c r="F7" i="116"/>
  <c r="D7" i="116"/>
  <c r="X6" i="116"/>
  <c r="V6" i="116"/>
  <c r="V12" i="116" s="1"/>
  <c r="T6" i="116"/>
  <c r="T12" i="116" s="1"/>
  <c r="R6" i="116"/>
  <c r="R12" i="116" s="1"/>
  <c r="P6" i="116"/>
  <c r="N6" i="116"/>
  <c r="N12" i="116" s="1"/>
  <c r="L6" i="116"/>
  <c r="L12" i="116" s="1"/>
  <c r="J6" i="116"/>
  <c r="H6" i="116"/>
  <c r="F6" i="116"/>
  <c r="F12" i="116" s="1"/>
  <c r="D6" i="116"/>
  <c r="J12" i="116" l="1"/>
  <c r="Y6" i="116"/>
  <c r="Y9" i="116"/>
  <c r="Y8" i="116"/>
  <c r="Y7" i="116"/>
  <c r="B21" i="116"/>
  <c r="D12" i="116"/>
  <c r="Y12" i="116" l="1"/>
  <c r="V16" i="116" s="1"/>
  <c r="V24" i="116" s="1"/>
  <c r="V18" i="115" l="1"/>
  <c r="V25" i="115"/>
  <c r="F22" i="115"/>
  <c r="S19" i="115"/>
  <c r="S20" i="115" s="1"/>
  <c r="Q19" i="115"/>
  <c r="Q20" i="115" s="1"/>
  <c r="P19" i="115"/>
  <c r="P20" i="115" s="1"/>
  <c r="L19" i="115"/>
  <c r="L20" i="115" s="1"/>
  <c r="J19" i="115"/>
  <c r="J20" i="115" s="1"/>
  <c r="H19" i="115"/>
  <c r="H20" i="115" s="1"/>
  <c r="W12" i="115"/>
  <c r="K18" i="115" s="1"/>
  <c r="K19" i="115" s="1"/>
  <c r="K20" i="115" s="1"/>
  <c r="U12" i="115"/>
  <c r="I18" i="115" s="1"/>
  <c r="I19" i="115" s="1"/>
  <c r="I20" i="115" s="1"/>
  <c r="S12" i="115"/>
  <c r="Q12" i="115"/>
  <c r="O18" i="115" s="1"/>
  <c r="O19" i="115" s="1"/>
  <c r="O20" i="115" s="1"/>
  <c r="O12" i="115"/>
  <c r="N18" i="115" s="1"/>
  <c r="N19" i="115" s="1"/>
  <c r="N20" i="115" s="1"/>
  <c r="M12" i="115"/>
  <c r="M18" i="115" s="1"/>
  <c r="M19" i="115" s="1"/>
  <c r="M20" i="115" s="1"/>
  <c r="K12" i="115"/>
  <c r="G18" i="115" s="1"/>
  <c r="G19" i="115" s="1"/>
  <c r="G20" i="115" s="1"/>
  <c r="I12" i="115"/>
  <c r="F18" i="115" s="1"/>
  <c r="F19" i="115" s="1"/>
  <c r="F20" i="115" s="1"/>
  <c r="G12" i="115"/>
  <c r="E18" i="115" s="1"/>
  <c r="E19" i="115" s="1"/>
  <c r="E20" i="115" s="1"/>
  <c r="E12" i="115"/>
  <c r="D18" i="115" s="1"/>
  <c r="D19" i="115" s="1"/>
  <c r="D20" i="115" s="1"/>
  <c r="C12" i="115"/>
  <c r="B18" i="115" s="1"/>
  <c r="B19" i="115" s="1"/>
  <c r="B20" i="115" s="1"/>
  <c r="X11" i="115"/>
  <c r="V11" i="115"/>
  <c r="T11" i="115"/>
  <c r="R11" i="115"/>
  <c r="P11" i="115"/>
  <c r="N11" i="115"/>
  <c r="L11" i="115"/>
  <c r="J11" i="115"/>
  <c r="H11" i="115"/>
  <c r="F11" i="115"/>
  <c r="D11" i="115"/>
  <c r="Y11" i="115" s="1"/>
  <c r="X10" i="115"/>
  <c r="V10" i="115"/>
  <c r="T10" i="115"/>
  <c r="R10" i="115"/>
  <c r="P10" i="115"/>
  <c r="N10" i="115"/>
  <c r="L10" i="115"/>
  <c r="J10" i="115"/>
  <c r="H10" i="115"/>
  <c r="F10" i="115"/>
  <c r="D10" i="115"/>
  <c r="Y10" i="115" s="1"/>
  <c r="X9" i="115"/>
  <c r="V9" i="115"/>
  <c r="T9" i="115"/>
  <c r="R9" i="115"/>
  <c r="P9" i="115"/>
  <c r="N9" i="115"/>
  <c r="L9" i="115"/>
  <c r="J9" i="115"/>
  <c r="H9" i="115"/>
  <c r="F9" i="115"/>
  <c r="D9" i="115"/>
  <c r="X8" i="115"/>
  <c r="V8" i="115"/>
  <c r="T8" i="115"/>
  <c r="R8" i="115"/>
  <c r="P8" i="115"/>
  <c r="N8" i="115"/>
  <c r="L8" i="115"/>
  <c r="J8" i="115"/>
  <c r="H8" i="115"/>
  <c r="F8" i="115"/>
  <c r="D8" i="115"/>
  <c r="X7" i="115"/>
  <c r="V7" i="115"/>
  <c r="T7" i="115"/>
  <c r="R7" i="115"/>
  <c r="P7" i="115"/>
  <c r="N7" i="115"/>
  <c r="L7" i="115"/>
  <c r="J7" i="115"/>
  <c r="H7" i="115"/>
  <c r="F7" i="115"/>
  <c r="D7" i="115"/>
  <c r="X6" i="115"/>
  <c r="X12" i="115" s="1"/>
  <c r="V6" i="115"/>
  <c r="V12" i="115" s="1"/>
  <c r="T6" i="115"/>
  <c r="T12" i="115" s="1"/>
  <c r="R6" i="115"/>
  <c r="R12" i="115" s="1"/>
  <c r="P6" i="115"/>
  <c r="P12" i="115" s="1"/>
  <c r="N6" i="115"/>
  <c r="N12" i="115" s="1"/>
  <c r="L6" i="115"/>
  <c r="L12" i="115" s="1"/>
  <c r="J6" i="115"/>
  <c r="H6" i="115"/>
  <c r="H12" i="115" s="1"/>
  <c r="F6" i="115"/>
  <c r="F12" i="115" s="1"/>
  <c r="D6" i="115"/>
  <c r="Y9" i="115" l="1"/>
  <c r="J12" i="115"/>
  <c r="Y8" i="115"/>
  <c r="Y7" i="115"/>
  <c r="D12" i="115"/>
  <c r="B21" i="115"/>
  <c r="Y6" i="115"/>
  <c r="Y12" i="115" l="1"/>
  <c r="V16" i="115" s="1"/>
  <c r="V24" i="115" s="1"/>
  <c r="V18" i="114" l="1"/>
  <c r="V25" i="114" l="1"/>
  <c r="F22" i="114"/>
  <c r="S19" i="114"/>
  <c r="S20" i="114" s="1"/>
  <c r="Q19" i="114"/>
  <c r="Q20" i="114" s="1"/>
  <c r="P19" i="114"/>
  <c r="P20" i="114" s="1"/>
  <c r="L19" i="114"/>
  <c r="L20" i="114" s="1"/>
  <c r="J19" i="114"/>
  <c r="J20" i="114" s="1"/>
  <c r="I19" i="114"/>
  <c r="I20" i="114" s="1"/>
  <c r="H19" i="114"/>
  <c r="H20" i="114" s="1"/>
  <c r="O18" i="114"/>
  <c r="O19" i="114" s="1"/>
  <c r="O20" i="114" s="1"/>
  <c r="I18" i="114"/>
  <c r="D18" i="114"/>
  <c r="D19" i="114" s="1"/>
  <c r="D20" i="114" s="1"/>
  <c r="X12" i="114"/>
  <c r="W12" i="114"/>
  <c r="K18" i="114" s="1"/>
  <c r="K19" i="114" s="1"/>
  <c r="K20" i="114" s="1"/>
  <c r="U12" i="114"/>
  <c r="S12" i="114"/>
  <c r="Q12" i="114"/>
  <c r="P12" i="114"/>
  <c r="O12" i="114"/>
  <c r="N18" i="114" s="1"/>
  <c r="N19" i="114" s="1"/>
  <c r="N20" i="114" s="1"/>
  <c r="M12" i="114"/>
  <c r="M18" i="114" s="1"/>
  <c r="M19" i="114" s="1"/>
  <c r="M20" i="114" s="1"/>
  <c r="K12" i="114"/>
  <c r="G18" i="114" s="1"/>
  <c r="G19" i="114" s="1"/>
  <c r="G20" i="114" s="1"/>
  <c r="I12" i="114"/>
  <c r="F18" i="114" s="1"/>
  <c r="F19" i="114" s="1"/>
  <c r="F20" i="114" s="1"/>
  <c r="G12" i="114"/>
  <c r="E18" i="114" s="1"/>
  <c r="E19" i="114" s="1"/>
  <c r="E20" i="114" s="1"/>
  <c r="E12" i="114"/>
  <c r="C12" i="114"/>
  <c r="B18" i="114" s="1"/>
  <c r="B19" i="114" s="1"/>
  <c r="B20" i="114" s="1"/>
  <c r="X11" i="114"/>
  <c r="V11" i="114"/>
  <c r="T11" i="114"/>
  <c r="R11" i="114"/>
  <c r="P11" i="114"/>
  <c r="N11" i="114"/>
  <c r="L11" i="114"/>
  <c r="J11" i="114"/>
  <c r="H11" i="114"/>
  <c r="F11" i="114"/>
  <c r="D11" i="114"/>
  <c r="Y11" i="114" s="1"/>
  <c r="X10" i="114"/>
  <c r="V10" i="114"/>
  <c r="T10" i="114"/>
  <c r="R10" i="114"/>
  <c r="P10" i="114"/>
  <c r="N10" i="114"/>
  <c r="L10" i="114"/>
  <c r="J10" i="114"/>
  <c r="H10" i="114"/>
  <c r="F10" i="114"/>
  <c r="D10" i="114"/>
  <c r="Y10" i="114" s="1"/>
  <c r="X9" i="114"/>
  <c r="V9" i="114"/>
  <c r="T9" i="114"/>
  <c r="R9" i="114"/>
  <c r="P9" i="114"/>
  <c r="N9" i="114"/>
  <c r="L9" i="114"/>
  <c r="J9" i="114"/>
  <c r="H9" i="114"/>
  <c r="F9" i="114"/>
  <c r="D9" i="114"/>
  <c r="X8" i="114"/>
  <c r="V8" i="114"/>
  <c r="T8" i="114"/>
  <c r="R8" i="114"/>
  <c r="P8" i="114"/>
  <c r="N8" i="114"/>
  <c r="L8" i="114"/>
  <c r="J8" i="114"/>
  <c r="H8" i="114"/>
  <c r="F8" i="114"/>
  <c r="D8" i="114"/>
  <c r="Y8" i="114" s="1"/>
  <c r="X7" i="114"/>
  <c r="V7" i="114"/>
  <c r="T7" i="114"/>
  <c r="R7" i="114"/>
  <c r="P7" i="114"/>
  <c r="N7" i="114"/>
  <c r="L7" i="114"/>
  <c r="J7" i="114"/>
  <c r="H7" i="114"/>
  <c r="H12" i="114" s="1"/>
  <c r="F7" i="114"/>
  <c r="D7" i="114"/>
  <c r="X6" i="114"/>
  <c r="V6" i="114"/>
  <c r="V12" i="114" s="1"/>
  <c r="T6" i="114"/>
  <c r="T12" i="114" s="1"/>
  <c r="R6" i="114"/>
  <c r="R12" i="114" s="1"/>
  <c r="P6" i="114"/>
  <c r="N6" i="114"/>
  <c r="N12" i="114" s="1"/>
  <c r="L6" i="114"/>
  <c r="L12" i="114" s="1"/>
  <c r="J6" i="114"/>
  <c r="H6" i="114"/>
  <c r="F6" i="114"/>
  <c r="F12" i="114" s="1"/>
  <c r="D6" i="114"/>
  <c r="V25" i="113"/>
  <c r="F22" i="113"/>
  <c r="S19" i="113"/>
  <c r="S20" i="113" s="1"/>
  <c r="Q19" i="113"/>
  <c r="Q20" i="113" s="1"/>
  <c r="P19" i="113"/>
  <c r="P20" i="113" s="1"/>
  <c r="L19" i="113"/>
  <c r="L20" i="113" s="1"/>
  <c r="J19" i="113"/>
  <c r="J20" i="113" s="1"/>
  <c r="H19" i="113"/>
  <c r="H20" i="113" s="1"/>
  <c r="K18" i="113"/>
  <c r="K19" i="113" s="1"/>
  <c r="K20" i="113" s="1"/>
  <c r="E18" i="113"/>
  <c r="E19" i="113" s="1"/>
  <c r="E20" i="113" s="1"/>
  <c r="W12" i="113"/>
  <c r="V12" i="113"/>
  <c r="U12" i="113"/>
  <c r="I18" i="113" s="1"/>
  <c r="I19" i="113" s="1"/>
  <c r="I20" i="113" s="1"/>
  <c r="S12" i="113"/>
  <c r="Q12" i="113"/>
  <c r="O18" i="113" s="1"/>
  <c r="O19" i="113" s="1"/>
  <c r="O20" i="113" s="1"/>
  <c r="O12" i="113"/>
  <c r="N18" i="113" s="1"/>
  <c r="N19" i="113" s="1"/>
  <c r="N20" i="113" s="1"/>
  <c r="N12" i="113"/>
  <c r="M12" i="113"/>
  <c r="M18" i="113" s="1"/>
  <c r="M19" i="113" s="1"/>
  <c r="M20" i="113" s="1"/>
  <c r="K12" i="113"/>
  <c r="G18" i="113" s="1"/>
  <c r="G19" i="113" s="1"/>
  <c r="G20" i="113" s="1"/>
  <c r="I12" i="113"/>
  <c r="F18" i="113" s="1"/>
  <c r="F19" i="113" s="1"/>
  <c r="F20" i="113" s="1"/>
  <c r="G12" i="113"/>
  <c r="F12" i="113"/>
  <c r="E12" i="113"/>
  <c r="D18" i="113" s="1"/>
  <c r="D19" i="113" s="1"/>
  <c r="D20" i="113" s="1"/>
  <c r="C12" i="113"/>
  <c r="B18" i="113" s="1"/>
  <c r="B19" i="113" s="1"/>
  <c r="B20" i="113" s="1"/>
  <c r="X11" i="113"/>
  <c r="V11" i="113"/>
  <c r="T11" i="113"/>
  <c r="R11" i="113"/>
  <c r="P11" i="113"/>
  <c r="N11" i="113"/>
  <c r="L11" i="113"/>
  <c r="J11" i="113"/>
  <c r="H11" i="113"/>
  <c r="Y11" i="113" s="1"/>
  <c r="F11" i="113"/>
  <c r="D11" i="113"/>
  <c r="X10" i="113"/>
  <c r="V10" i="113"/>
  <c r="T10" i="113"/>
  <c r="R10" i="113"/>
  <c r="P10" i="113"/>
  <c r="N10" i="113"/>
  <c r="L10" i="113"/>
  <c r="J10" i="113"/>
  <c r="H10" i="113"/>
  <c r="Y10" i="113" s="1"/>
  <c r="F10" i="113"/>
  <c r="D10" i="113"/>
  <c r="X9" i="113"/>
  <c r="V9" i="113"/>
  <c r="T9" i="113"/>
  <c r="R9" i="113"/>
  <c r="P9" i="113"/>
  <c r="N9" i="113"/>
  <c r="L9" i="113"/>
  <c r="J9" i="113"/>
  <c r="H9" i="113"/>
  <c r="F9" i="113"/>
  <c r="D9" i="113"/>
  <c r="X8" i="113"/>
  <c r="V8" i="113"/>
  <c r="T8" i="113"/>
  <c r="R8" i="113"/>
  <c r="P8" i="113"/>
  <c r="N8" i="113"/>
  <c r="L8" i="113"/>
  <c r="J8" i="113"/>
  <c r="H8" i="113"/>
  <c r="F8" i="113"/>
  <c r="D8" i="113"/>
  <c r="X7" i="113"/>
  <c r="V7" i="113"/>
  <c r="T7" i="113"/>
  <c r="R7" i="113"/>
  <c r="P7" i="113"/>
  <c r="N7" i="113"/>
  <c r="L7" i="113"/>
  <c r="J7" i="113"/>
  <c r="H7" i="113"/>
  <c r="F7" i="113"/>
  <c r="D7" i="113"/>
  <c r="X6" i="113"/>
  <c r="X12" i="113" s="1"/>
  <c r="V6" i="113"/>
  <c r="T6" i="113"/>
  <c r="R6" i="113"/>
  <c r="R12" i="113" s="1"/>
  <c r="P6" i="113"/>
  <c r="P12" i="113" s="1"/>
  <c r="N6" i="113"/>
  <c r="L6" i="113"/>
  <c r="L12" i="113" s="1"/>
  <c r="J6" i="113"/>
  <c r="H6" i="113"/>
  <c r="F6" i="113"/>
  <c r="D6" i="113"/>
  <c r="Y9" i="114" l="1"/>
  <c r="Y6" i="114"/>
  <c r="J12" i="114"/>
  <c r="Y7" i="114"/>
  <c r="B21" i="114"/>
  <c r="D12" i="114"/>
  <c r="Y9" i="113"/>
  <c r="J12" i="113"/>
  <c r="H12" i="113"/>
  <c r="T12" i="113"/>
  <c r="Y8" i="113"/>
  <c r="D12" i="113"/>
  <c r="Y7" i="113"/>
  <c r="B21" i="113"/>
  <c r="Y6" i="113"/>
  <c r="Y12" i="114" l="1"/>
  <c r="V16" i="114" s="1"/>
  <c r="V24" i="114" s="1"/>
  <c r="Y12" i="113"/>
  <c r="V16" i="113" s="1"/>
  <c r="V24" i="113" s="1"/>
  <c r="V25" i="112" l="1"/>
  <c r="F22" i="112"/>
  <c r="S19" i="112"/>
  <c r="S20" i="112" s="1"/>
  <c r="Q19" i="112"/>
  <c r="Q20" i="112" s="1"/>
  <c r="P19" i="112"/>
  <c r="P20" i="112" s="1"/>
  <c r="L19" i="112"/>
  <c r="L20" i="112" s="1"/>
  <c r="J19" i="112"/>
  <c r="J20" i="112" s="1"/>
  <c r="H19" i="112"/>
  <c r="H20" i="112" s="1"/>
  <c r="M18" i="112"/>
  <c r="M19" i="112" s="1"/>
  <c r="M20" i="112" s="1"/>
  <c r="W12" i="112"/>
  <c r="K18" i="112" s="1"/>
  <c r="K19" i="112" s="1"/>
  <c r="K20" i="112" s="1"/>
  <c r="U12" i="112"/>
  <c r="I18" i="112" s="1"/>
  <c r="I19" i="112" s="1"/>
  <c r="I20" i="112" s="1"/>
  <c r="S12" i="112"/>
  <c r="Q12" i="112"/>
  <c r="O18" i="112" s="1"/>
  <c r="O19" i="112" s="1"/>
  <c r="O20" i="112" s="1"/>
  <c r="O12" i="112"/>
  <c r="N18" i="112" s="1"/>
  <c r="N19" i="112" s="1"/>
  <c r="N20" i="112" s="1"/>
  <c r="N12" i="112"/>
  <c r="M12" i="112"/>
  <c r="K12" i="112"/>
  <c r="G18" i="112" s="1"/>
  <c r="G19" i="112" s="1"/>
  <c r="G20" i="112" s="1"/>
  <c r="I12" i="112"/>
  <c r="F18" i="112" s="1"/>
  <c r="F19" i="112" s="1"/>
  <c r="F20" i="112" s="1"/>
  <c r="G12" i="112"/>
  <c r="E18" i="112" s="1"/>
  <c r="E19" i="112" s="1"/>
  <c r="E20" i="112" s="1"/>
  <c r="F12" i="112"/>
  <c r="E12" i="112"/>
  <c r="D18" i="112" s="1"/>
  <c r="D19" i="112" s="1"/>
  <c r="D20" i="112" s="1"/>
  <c r="C12" i="112"/>
  <c r="B18" i="112" s="1"/>
  <c r="B19" i="112" s="1"/>
  <c r="B20" i="112" s="1"/>
  <c r="X11" i="112"/>
  <c r="V11" i="112"/>
  <c r="T11" i="112"/>
  <c r="R11" i="112"/>
  <c r="P11" i="112"/>
  <c r="N11" i="112"/>
  <c r="L11" i="112"/>
  <c r="J11" i="112"/>
  <c r="Y11" i="112" s="1"/>
  <c r="H11" i="112"/>
  <c r="F11" i="112"/>
  <c r="D11" i="112"/>
  <c r="X10" i="112"/>
  <c r="V10" i="112"/>
  <c r="T10" i="112"/>
  <c r="R10" i="112"/>
  <c r="P10" i="112"/>
  <c r="N10" i="112"/>
  <c r="L10" i="112"/>
  <c r="J10" i="112"/>
  <c r="H10" i="112"/>
  <c r="F10" i="112"/>
  <c r="D10" i="112"/>
  <c r="X9" i="112"/>
  <c r="V9" i="112"/>
  <c r="T9" i="112"/>
  <c r="R9" i="112"/>
  <c r="P9" i="112"/>
  <c r="N9" i="112"/>
  <c r="L9" i="112"/>
  <c r="J9" i="112"/>
  <c r="H9" i="112"/>
  <c r="F9" i="112"/>
  <c r="D9" i="112"/>
  <c r="X8" i="112"/>
  <c r="V8" i="112"/>
  <c r="T8" i="112"/>
  <c r="R8" i="112"/>
  <c r="P8" i="112"/>
  <c r="N8" i="112"/>
  <c r="L8" i="112"/>
  <c r="J8" i="112"/>
  <c r="H8" i="112"/>
  <c r="F8" i="112"/>
  <c r="D8" i="112"/>
  <c r="X7" i="112"/>
  <c r="V7" i="112"/>
  <c r="T7" i="112"/>
  <c r="R7" i="112"/>
  <c r="P7" i="112"/>
  <c r="N7" i="112"/>
  <c r="L7" i="112"/>
  <c r="J7" i="112"/>
  <c r="H7" i="112"/>
  <c r="F7" i="112"/>
  <c r="D7" i="112"/>
  <c r="X6" i="112"/>
  <c r="X12" i="112" s="1"/>
  <c r="V6" i="112"/>
  <c r="T6" i="112"/>
  <c r="R6" i="112"/>
  <c r="R12" i="112" s="1"/>
  <c r="P6" i="112"/>
  <c r="P12" i="112" s="1"/>
  <c r="N6" i="112"/>
  <c r="L6" i="112"/>
  <c r="L12" i="112" s="1"/>
  <c r="J6" i="112"/>
  <c r="H6" i="112"/>
  <c r="F6" i="112"/>
  <c r="D6" i="112"/>
  <c r="V18" i="111"/>
  <c r="V12" i="112" l="1"/>
  <c r="T12" i="112"/>
  <c r="J12" i="112"/>
  <c r="H12" i="112"/>
  <c r="Y7" i="112"/>
  <c r="Y10" i="112"/>
  <c r="Y9" i="112"/>
  <c r="D12" i="112"/>
  <c r="Y8" i="112"/>
  <c r="B21" i="112"/>
  <c r="Y6" i="112"/>
  <c r="Y12" i="112" l="1"/>
  <c r="V16" i="112" s="1"/>
  <c r="V24" i="112" s="1"/>
  <c r="V25" i="111" l="1"/>
  <c r="F22" i="111"/>
  <c r="S19" i="111"/>
  <c r="S20" i="111" s="1"/>
  <c r="Q19" i="111"/>
  <c r="Q20" i="111" s="1"/>
  <c r="P19" i="111"/>
  <c r="P20" i="111" s="1"/>
  <c r="L19" i="111"/>
  <c r="L20" i="111" s="1"/>
  <c r="J19" i="111"/>
  <c r="J20" i="111" s="1"/>
  <c r="H19" i="111"/>
  <c r="H20" i="111" s="1"/>
  <c r="K18" i="111"/>
  <c r="K19" i="111" s="1"/>
  <c r="K20" i="111" s="1"/>
  <c r="E18" i="111"/>
  <c r="E19" i="111" s="1"/>
  <c r="E20" i="111" s="1"/>
  <c r="W12" i="111"/>
  <c r="U12" i="111"/>
  <c r="I18" i="111" s="1"/>
  <c r="I19" i="111" s="1"/>
  <c r="I20" i="111" s="1"/>
  <c r="S12" i="111"/>
  <c r="Q12" i="111"/>
  <c r="O18" i="111" s="1"/>
  <c r="O19" i="111" s="1"/>
  <c r="O20" i="111" s="1"/>
  <c r="O12" i="111"/>
  <c r="N18" i="111" s="1"/>
  <c r="N19" i="111" s="1"/>
  <c r="N20" i="111" s="1"/>
  <c r="N12" i="111"/>
  <c r="M12" i="111"/>
  <c r="M18" i="111" s="1"/>
  <c r="M19" i="111" s="1"/>
  <c r="M20" i="111" s="1"/>
  <c r="K12" i="111"/>
  <c r="G18" i="111" s="1"/>
  <c r="G19" i="111" s="1"/>
  <c r="G20" i="111" s="1"/>
  <c r="I12" i="111"/>
  <c r="F18" i="111" s="1"/>
  <c r="F19" i="111" s="1"/>
  <c r="F20" i="111" s="1"/>
  <c r="G12" i="111"/>
  <c r="F12" i="111"/>
  <c r="E12" i="111"/>
  <c r="D18" i="111" s="1"/>
  <c r="D19" i="111" s="1"/>
  <c r="D20" i="111" s="1"/>
  <c r="C12" i="111"/>
  <c r="B18" i="111" s="1"/>
  <c r="B19" i="111" s="1"/>
  <c r="B20" i="111" s="1"/>
  <c r="X11" i="111"/>
  <c r="V11" i="111"/>
  <c r="T11" i="111"/>
  <c r="R11" i="111"/>
  <c r="P11" i="111"/>
  <c r="N11" i="111"/>
  <c r="L11" i="111"/>
  <c r="J11" i="111"/>
  <c r="H11" i="111"/>
  <c r="Y11" i="111" s="1"/>
  <c r="F11" i="111"/>
  <c r="D11" i="111"/>
  <c r="X10" i="111"/>
  <c r="V10" i="111"/>
  <c r="T10" i="111"/>
  <c r="R10" i="111"/>
  <c r="P10" i="111"/>
  <c r="N10" i="111"/>
  <c r="L10" i="111"/>
  <c r="J10" i="111"/>
  <c r="H10" i="111"/>
  <c r="F10" i="111"/>
  <c r="D10" i="111"/>
  <c r="X9" i="111"/>
  <c r="V9" i="111"/>
  <c r="T9" i="111"/>
  <c r="R9" i="111"/>
  <c r="P9" i="111"/>
  <c r="N9" i="111"/>
  <c r="L9" i="111"/>
  <c r="J9" i="111"/>
  <c r="H9" i="111"/>
  <c r="F9" i="111"/>
  <c r="D9" i="111"/>
  <c r="X8" i="111"/>
  <c r="V8" i="111"/>
  <c r="T8" i="111"/>
  <c r="R8" i="111"/>
  <c r="P8" i="111"/>
  <c r="N8" i="111"/>
  <c r="L8" i="111"/>
  <c r="J8" i="111"/>
  <c r="H8" i="111"/>
  <c r="F8" i="111"/>
  <c r="D8" i="111"/>
  <c r="X7" i="111"/>
  <c r="V7" i="111"/>
  <c r="T7" i="111"/>
  <c r="R7" i="111"/>
  <c r="P7" i="111"/>
  <c r="N7" i="111"/>
  <c r="L7" i="111"/>
  <c r="J7" i="111"/>
  <c r="H7" i="111"/>
  <c r="F7" i="111"/>
  <c r="D7" i="111"/>
  <c r="X6" i="111"/>
  <c r="X12" i="111" s="1"/>
  <c r="V6" i="111"/>
  <c r="T6" i="111"/>
  <c r="T12" i="111" s="1"/>
  <c r="R6" i="111"/>
  <c r="R12" i="111" s="1"/>
  <c r="P6" i="111"/>
  <c r="P12" i="111" s="1"/>
  <c r="N6" i="111"/>
  <c r="L6" i="111"/>
  <c r="L12" i="111" s="1"/>
  <c r="J6" i="111"/>
  <c r="H6" i="111"/>
  <c r="F6" i="111"/>
  <c r="D6" i="111"/>
  <c r="Y10" i="111" l="1"/>
  <c r="V12" i="111"/>
  <c r="J12" i="111"/>
  <c r="H12" i="111"/>
  <c r="Y9" i="111"/>
  <c r="D12" i="111"/>
  <c r="Y8" i="111"/>
  <c r="Y7" i="111"/>
  <c r="B21" i="111"/>
  <c r="Y6" i="111"/>
  <c r="Y12" i="111" l="1"/>
  <c r="V16" i="111" s="1"/>
  <c r="V24" i="111" s="1"/>
  <c r="V18" i="110" l="1"/>
  <c r="V25" i="110" l="1"/>
  <c r="F22" i="110"/>
  <c r="S19" i="110"/>
  <c r="S20" i="110" s="1"/>
  <c r="Q19" i="110"/>
  <c r="Q20" i="110" s="1"/>
  <c r="P19" i="110"/>
  <c r="P20" i="110" s="1"/>
  <c r="L19" i="110"/>
  <c r="L20" i="110" s="1"/>
  <c r="J19" i="110"/>
  <c r="J20" i="110" s="1"/>
  <c r="H19" i="110"/>
  <c r="H20" i="110" s="1"/>
  <c r="M18" i="110"/>
  <c r="M19" i="110" s="1"/>
  <c r="M20" i="110" s="1"/>
  <c r="W12" i="110"/>
  <c r="K18" i="110" s="1"/>
  <c r="K19" i="110" s="1"/>
  <c r="K20" i="110" s="1"/>
  <c r="V12" i="110"/>
  <c r="U12" i="110"/>
  <c r="I18" i="110" s="1"/>
  <c r="I19" i="110" s="1"/>
  <c r="I20" i="110" s="1"/>
  <c r="S12" i="110"/>
  <c r="Q12" i="110"/>
  <c r="O18" i="110" s="1"/>
  <c r="O19" i="110" s="1"/>
  <c r="O20" i="110" s="1"/>
  <c r="O12" i="110"/>
  <c r="N18" i="110" s="1"/>
  <c r="N19" i="110" s="1"/>
  <c r="N20" i="110" s="1"/>
  <c r="N12" i="110"/>
  <c r="M12" i="110"/>
  <c r="K12" i="110"/>
  <c r="G18" i="110" s="1"/>
  <c r="G19" i="110" s="1"/>
  <c r="G20" i="110" s="1"/>
  <c r="I12" i="110"/>
  <c r="F18" i="110" s="1"/>
  <c r="F19" i="110" s="1"/>
  <c r="F20" i="110" s="1"/>
  <c r="G12" i="110"/>
  <c r="E18" i="110" s="1"/>
  <c r="E19" i="110" s="1"/>
  <c r="E20" i="110" s="1"/>
  <c r="F12" i="110"/>
  <c r="E12" i="110"/>
  <c r="D18" i="110" s="1"/>
  <c r="D19" i="110" s="1"/>
  <c r="D20" i="110" s="1"/>
  <c r="C12" i="110"/>
  <c r="B18" i="110" s="1"/>
  <c r="B19" i="110" s="1"/>
  <c r="B20" i="110" s="1"/>
  <c r="X11" i="110"/>
  <c r="V11" i="110"/>
  <c r="T11" i="110"/>
  <c r="R11" i="110"/>
  <c r="P11" i="110"/>
  <c r="N11" i="110"/>
  <c r="L11" i="110"/>
  <c r="J11" i="110"/>
  <c r="Y11" i="110" s="1"/>
  <c r="H11" i="110"/>
  <c r="F11" i="110"/>
  <c r="D11" i="110"/>
  <c r="X10" i="110"/>
  <c r="V10" i="110"/>
  <c r="T10" i="110"/>
  <c r="R10" i="110"/>
  <c r="P10" i="110"/>
  <c r="N10" i="110"/>
  <c r="L10" i="110"/>
  <c r="J10" i="110"/>
  <c r="Y10" i="110" s="1"/>
  <c r="H10" i="110"/>
  <c r="F10" i="110"/>
  <c r="D10" i="110"/>
  <c r="X9" i="110"/>
  <c r="V9" i="110"/>
  <c r="T9" i="110"/>
  <c r="R9" i="110"/>
  <c r="P9" i="110"/>
  <c r="N9" i="110"/>
  <c r="L9" i="110"/>
  <c r="J9" i="110"/>
  <c r="H9" i="110"/>
  <c r="F9" i="110"/>
  <c r="D9" i="110"/>
  <c r="X8" i="110"/>
  <c r="V8" i="110"/>
  <c r="T8" i="110"/>
  <c r="R8" i="110"/>
  <c r="P8" i="110"/>
  <c r="N8" i="110"/>
  <c r="L8" i="110"/>
  <c r="J8" i="110"/>
  <c r="H8" i="110"/>
  <c r="F8" i="110"/>
  <c r="D8" i="110"/>
  <c r="X7" i="110"/>
  <c r="V7" i="110"/>
  <c r="T7" i="110"/>
  <c r="R7" i="110"/>
  <c r="P7" i="110"/>
  <c r="N7" i="110"/>
  <c r="L7" i="110"/>
  <c r="J7" i="110"/>
  <c r="H7" i="110"/>
  <c r="F7" i="110"/>
  <c r="D7" i="110"/>
  <c r="X6" i="110"/>
  <c r="X12" i="110" s="1"/>
  <c r="V6" i="110"/>
  <c r="T6" i="110"/>
  <c r="T12" i="110" s="1"/>
  <c r="R6" i="110"/>
  <c r="R12" i="110" s="1"/>
  <c r="P6" i="110"/>
  <c r="P12" i="110" s="1"/>
  <c r="N6" i="110"/>
  <c r="L6" i="110"/>
  <c r="L12" i="110" s="1"/>
  <c r="J6" i="110"/>
  <c r="H6" i="110"/>
  <c r="H12" i="110" s="1"/>
  <c r="F6" i="110"/>
  <c r="D6" i="110"/>
  <c r="V18" i="109"/>
  <c r="J12" i="110" l="1"/>
  <c r="Y7" i="110"/>
  <c r="D12" i="110"/>
  <c r="Y9" i="110"/>
  <c r="Y8" i="110"/>
  <c r="B21" i="110"/>
  <c r="Y6" i="110"/>
  <c r="Y12" i="110" l="1"/>
  <c r="V16" i="110" s="1"/>
  <c r="V24" i="110" s="1"/>
  <c r="V25" i="109" l="1"/>
  <c r="F22" i="109"/>
  <c r="S19" i="109"/>
  <c r="S20" i="109" s="1"/>
  <c r="Q19" i="109"/>
  <c r="Q20" i="109" s="1"/>
  <c r="P19" i="109"/>
  <c r="P20" i="109" s="1"/>
  <c r="L19" i="109"/>
  <c r="L20" i="109" s="1"/>
  <c r="J19" i="109"/>
  <c r="J20" i="109" s="1"/>
  <c r="H19" i="109"/>
  <c r="H20" i="109" s="1"/>
  <c r="W12" i="109"/>
  <c r="K18" i="109" s="1"/>
  <c r="K19" i="109" s="1"/>
  <c r="K20" i="109" s="1"/>
  <c r="U12" i="109"/>
  <c r="I18" i="109" s="1"/>
  <c r="I19" i="109" s="1"/>
  <c r="I20" i="109" s="1"/>
  <c r="S12" i="109"/>
  <c r="Q12" i="109"/>
  <c r="O18" i="109" s="1"/>
  <c r="O19" i="109" s="1"/>
  <c r="O20" i="109" s="1"/>
  <c r="O12" i="109"/>
  <c r="N18" i="109" s="1"/>
  <c r="N19" i="109" s="1"/>
  <c r="N20" i="109" s="1"/>
  <c r="M12" i="109"/>
  <c r="M18" i="109" s="1"/>
  <c r="M19" i="109" s="1"/>
  <c r="M20" i="109" s="1"/>
  <c r="K12" i="109"/>
  <c r="G18" i="109" s="1"/>
  <c r="G19" i="109" s="1"/>
  <c r="G20" i="109" s="1"/>
  <c r="I12" i="109"/>
  <c r="F18" i="109" s="1"/>
  <c r="F19" i="109" s="1"/>
  <c r="F20" i="109" s="1"/>
  <c r="G12" i="109"/>
  <c r="E18" i="109" s="1"/>
  <c r="E19" i="109" s="1"/>
  <c r="E20" i="109" s="1"/>
  <c r="E12" i="109"/>
  <c r="D18" i="109" s="1"/>
  <c r="D19" i="109" s="1"/>
  <c r="D20" i="109" s="1"/>
  <c r="C12" i="109"/>
  <c r="B18" i="109" s="1"/>
  <c r="B19" i="109" s="1"/>
  <c r="B20" i="109" s="1"/>
  <c r="X11" i="109"/>
  <c r="V11" i="109"/>
  <c r="T11" i="109"/>
  <c r="R11" i="109"/>
  <c r="P11" i="109"/>
  <c r="N11" i="109"/>
  <c r="L11" i="109"/>
  <c r="J11" i="109"/>
  <c r="H11" i="109"/>
  <c r="F11" i="109"/>
  <c r="D11" i="109"/>
  <c r="X10" i="109"/>
  <c r="V10" i="109"/>
  <c r="T10" i="109"/>
  <c r="R10" i="109"/>
  <c r="P10" i="109"/>
  <c r="N10" i="109"/>
  <c r="L10" i="109"/>
  <c r="J10" i="109"/>
  <c r="H10" i="109"/>
  <c r="F10" i="109"/>
  <c r="D10" i="109"/>
  <c r="X9" i="109"/>
  <c r="V9" i="109"/>
  <c r="T9" i="109"/>
  <c r="R9" i="109"/>
  <c r="P9" i="109"/>
  <c r="N9" i="109"/>
  <c r="L9" i="109"/>
  <c r="J9" i="109"/>
  <c r="H9" i="109"/>
  <c r="F9" i="109"/>
  <c r="D9" i="109"/>
  <c r="X8" i="109"/>
  <c r="V8" i="109"/>
  <c r="T8" i="109"/>
  <c r="R8" i="109"/>
  <c r="P8" i="109"/>
  <c r="N8" i="109"/>
  <c r="L8" i="109"/>
  <c r="J8" i="109"/>
  <c r="H8" i="109"/>
  <c r="F8" i="109"/>
  <c r="D8" i="109"/>
  <c r="Y8" i="109" s="1"/>
  <c r="X7" i="109"/>
  <c r="V7" i="109"/>
  <c r="T7" i="109"/>
  <c r="R7" i="109"/>
  <c r="P7" i="109"/>
  <c r="N7" i="109"/>
  <c r="L7" i="109"/>
  <c r="J7" i="109"/>
  <c r="H7" i="109"/>
  <c r="F7" i="109"/>
  <c r="D7" i="109"/>
  <c r="X6" i="109"/>
  <c r="X12" i="109" s="1"/>
  <c r="V6" i="109"/>
  <c r="T6" i="109"/>
  <c r="R6" i="109"/>
  <c r="R12" i="109" s="1"/>
  <c r="P6" i="109"/>
  <c r="P12" i="109" s="1"/>
  <c r="N6" i="109"/>
  <c r="N12" i="109" s="1"/>
  <c r="L6" i="109"/>
  <c r="L12" i="109" s="1"/>
  <c r="J6" i="109"/>
  <c r="H6" i="109"/>
  <c r="F6" i="109"/>
  <c r="F12" i="109" s="1"/>
  <c r="D6" i="109"/>
  <c r="V12" i="109" l="1"/>
  <c r="Y11" i="109"/>
  <c r="T12" i="109"/>
  <c r="J12" i="109"/>
  <c r="Y7" i="109"/>
  <c r="Y10" i="109"/>
  <c r="Y9" i="109"/>
  <c r="H12" i="109"/>
  <c r="D12" i="109"/>
  <c r="B21" i="109"/>
  <c r="Y6" i="109"/>
  <c r="Y12" i="109" l="1"/>
  <c r="V16" i="109" s="1"/>
  <c r="V24" i="109" s="1"/>
  <c r="V25" i="108" l="1"/>
  <c r="F22" i="108"/>
  <c r="S19" i="108"/>
  <c r="S20" i="108" s="1"/>
  <c r="Q19" i="108"/>
  <c r="Q20" i="108" s="1"/>
  <c r="P19" i="108"/>
  <c r="P20" i="108" s="1"/>
  <c r="L19" i="108"/>
  <c r="L20" i="108" s="1"/>
  <c r="J19" i="108"/>
  <c r="J20" i="108" s="1"/>
  <c r="H19" i="108"/>
  <c r="H20" i="108" s="1"/>
  <c r="D19" i="108"/>
  <c r="D20" i="108" s="1"/>
  <c r="O18" i="108"/>
  <c r="O19" i="108" s="1"/>
  <c r="O20" i="108" s="1"/>
  <c r="D18" i="108"/>
  <c r="X12" i="108"/>
  <c r="W12" i="108"/>
  <c r="K18" i="108" s="1"/>
  <c r="K19" i="108" s="1"/>
  <c r="K20" i="108" s="1"/>
  <c r="U12" i="108"/>
  <c r="I18" i="108" s="1"/>
  <c r="I19" i="108" s="1"/>
  <c r="I20" i="108" s="1"/>
  <c r="S12" i="108"/>
  <c r="Q12" i="108"/>
  <c r="P12" i="108"/>
  <c r="O12" i="108"/>
  <c r="N18" i="108" s="1"/>
  <c r="N19" i="108" s="1"/>
  <c r="N20" i="108" s="1"/>
  <c r="M12" i="108"/>
  <c r="M18" i="108" s="1"/>
  <c r="M19" i="108" s="1"/>
  <c r="M20" i="108" s="1"/>
  <c r="L12" i="108"/>
  <c r="K12" i="108"/>
  <c r="G18" i="108" s="1"/>
  <c r="G19" i="108" s="1"/>
  <c r="G20" i="108" s="1"/>
  <c r="I12" i="108"/>
  <c r="F18" i="108" s="1"/>
  <c r="F19" i="108" s="1"/>
  <c r="F20" i="108" s="1"/>
  <c r="G12" i="108"/>
  <c r="E18" i="108" s="1"/>
  <c r="E19" i="108" s="1"/>
  <c r="E20" i="108" s="1"/>
  <c r="E12" i="108"/>
  <c r="C12" i="108"/>
  <c r="B18" i="108" s="1"/>
  <c r="B19" i="108" s="1"/>
  <c r="B20" i="108" s="1"/>
  <c r="X11" i="108"/>
  <c r="V11" i="108"/>
  <c r="T11" i="108"/>
  <c r="R11" i="108"/>
  <c r="P11" i="108"/>
  <c r="N11" i="108"/>
  <c r="L11" i="108"/>
  <c r="J11" i="108"/>
  <c r="H11" i="108"/>
  <c r="F11" i="108"/>
  <c r="D11" i="108"/>
  <c r="Y11" i="108" s="1"/>
  <c r="X10" i="108"/>
  <c r="V10" i="108"/>
  <c r="T10" i="108"/>
  <c r="R10" i="108"/>
  <c r="P10" i="108"/>
  <c r="N10" i="108"/>
  <c r="L10" i="108"/>
  <c r="J10" i="108"/>
  <c r="H10" i="108"/>
  <c r="F10" i="108"/>
  <c r="D10" i="108"/>
  <c r="Y10" i="108" s="1"/>
  <c r="X9" i="108"/>
  <c r="V9" i="108"/>
  <c r="T9" i="108"/>
  <c r="R9" i="108"/>
  <c r="P9" i="108"/>
  <c r="N9" i="108"/>
  <c r="L9" i="108"/>
  <c r="J9" i="108"/>
  <c r="H9" i="108"/>
  <c r="F9" i="108"/>
  <c r="D9" i="108"/>
  <c r="X8" i="108"/>
  <c r="V8" i="108"/>
  <c r="T8" i="108"/>
  <c r="R8" i="108"/>
  <c r="P8" i="108"/>
  <c r="N8" i="108"/>
  <c r="L8" i="108"/>
  <c r="J8" i="108"/>
  <c r="H8" i="108"/>
  <c r="F8" i="108"/>
  <c r="D8" i="108"/>
  <c r="X7" i="108"/>
  <c r="V7" i="108"/>
  <c r="T7" i="108"/>
  <c r="R7" i="108"/>
  <c r="P7" i="108"/>
  <c r="N7" i="108"/>
  <c r="L7" i="108"/>
  <c r="J7" i="108"/>
  <c r="H7" i="108"/>
  <c r="F7" i="108"/>
  <c r="D7" i="108"/>
  <c r="X6" i="108"/>
  <c r="V6" i="108"/>
  <c r="V12" i="108" s="1"/>
  <c r="T6" i="108"/>
  <c r="R6" i="108"/>
  <c r="R12" i="108" s="1"/>
  <c r="P6" i="108"/>
  <c r="N6" i="108"/>
  <c r="N12" i="108" s="1"/>
  <c r="L6" i="108"/>
  <c r="J6" i="108"/>
  <c r="H6" i="108"/>
  <c r="F6" i="108"/>
  <c r="F12" i="108" s="1"/>
  <c r="D6" i="108"/>
  <c r="V18" i="107"/>
  <c r="T12" i="108" l="1"/>
  <c r="H12" i="108"/>
  <c r="Y8" i="108"/>
  <c r="Y9" i="108"/>
  <c r="J12" i="108"/>
  <c r="Y7" i="108"/>
  <c r="Y6" i="108"/>
  <c r="D12" i="108"/>
  <c r="B21" i="108"/>
  <c r="Y12" i="108" l="1"/>
  <c r="V16" i="108" s="1"/>
  <c r="V24" i="108" s="1"/>
  <c r="V25" i="107" l="1"/>
  <c r="F22" i="107"/>
  <c r="S19" i="107"/>
  <c r="S20" i="107" s="1"/>
  <c r="Q19" i="107"/>
  <c r="Q20" i="107" s="1"/>
  <c r="P19" i="107"/>
  <c r="P20" i="107" s="1"/>
  <c r="O19" i="107"/>
  <c r="O20" i="107" s="1"/>
  <c r="L19" i="107"/>
  <c r="L20" i="107" s="1"/>
  <c r="J19" i="107"/>
  <c r="J20" i="107" s="1"/>
  <c r="H19" i="107"/>
  <c r="H20" i="107" s="1"/>
  <c r="D19" i="107"/>
  <c r="D20" i="107" s="1"/>
  <c r="O18" i="107"/>
  <c r="M18" i="107"/>
  <c r="M19" i="107" s="1"/>
  <c r="M20" i="107" s="1"/>
  <c r="D18" i="107"/>
  <c r="X12" i="107"/>
  <c r="W12" i="107"/>
  <c r="K18" i="107" s="1"/>
  <c r="K19" i="107" s="1"/>
  <c r="K20" i="107" s="1"/>
  <c r="U12" i="107"/>
  <c r="I18" i="107" s="1"/>
  <c r="I19" i="107" s="1"/>
  <c r="I20" i="107" s="1"/>
  <c r="S12" i="107"/>
  <c r="Q12" i="107"/>
  <c r="P12" i="107"/>
  <c r="O12" i="107"/>
  <c r="N18" i="107" s="1"/>
  <c r="N19" i="107" s="1"/>
  <c r="N20" i="107" s="1"/>
  <c r="N12" i="107"/>
  <c r="M12" i="107"/>
  <c r="K12" i="107"/>
  <c r="G18" i="107" s="1"/>
  <c r="G19" i="107" s="1"/>
  <c r="G20" i="107" s="1"/>
  <c r="I12" i="107"/>
  <c r="F18" i="107" s="1"/>
  <c r="F19" i="107" s="1"/>
  <c r="F20" i="107" s="1"/>
  <c r="G12" i="107"/>
  <c r="E18" i="107" s="1"/>
  <c r="E19" i="107" s="1"/>
  <c r="E20" i="107" s="1"/>
  <c r="F12" i="107"/>
  <c r="E12" i="107"/>
  <c r="C12" i="107"/>
  <c r="B18" i="107" s="1"/>
  <c r="B19" i="107" s="1"/>
  <c r="B20" i="107" s="1"/>
  <c r="X11" i="107"/>
  <c r="V11" i="107"/>
  <c r="T11" i="107"/>
  <c r="R11" i="107"/>
  <c r="P11" i="107"/>
  <c r="N11" i="107"/>
  <c r="L11" i="107"/>
  <c r="J11" i="107"/>
  <c r="Y11" i="107" s="1"/>
  <c r="H11" i="107"/>
  <c r="F11" i="107"/>
  <c r="D11" i="107"/>
  <c r="X10" i="107"/>
  <c r="V10" i="107"/>
  <c r="T10" i="107"/>
  <c r="R10" i="107"/>
  <c r="P10" i="107"/>
  <c r="N10" i="107"/>
  <c r="L10" i="107"/>
  <c r="J10" i="107"/>
  <c r="Y10" i="107" s="1"/>
  <c r="H10" i="107"/>
  <c r="F10" i="107"/>
  <c r="D10" i="107"/>
  <c r="X9" i="107"/>
  <c r="V9" i="107"/>
  <c r="T9" i="107"/>
  <c r="R9" i="107"/>
  <c r="P9" i="107"/>
  <c r="N9" i="107"/>
  <c r="L9" i="107"/>
  <c r="J9" i="107"/>
  <c r="H9" i="107"/>
  <c r="F9" i="107"/>
  <c r="D9" i="107"/>
  <c r="X8" i="107"/>
  <c r="V8" i="107"/>
  <c r="T8" i="107"/>
  <c r="R8" i="107"/>
  <c r="P8" i="107"/>
  <c r="N8" i="107"/>
  <c r="L8" i="107"/>
  <c r="J8" i="107"/>
  <c r="H8" i="107"/>
  <c r="F8" i="107"/>
  <c r="D8" i="107"/>
  <c r="X7" i="107"/>
  <c r="V7" i="107"/>
  <c r="V12" i="107" s="1"/>
  <c r="T7" i="107"/>
  <c r="R7" i="107"/>
  <c r="P7" i="107"/>
  <c r="N7" i="107"/>
  <c r="L7" i="107"/>
  <c r="J7" i="107"/>
  <c r="H7" i="107"/>
  <c r="F7" i="107"/>
  <c r="D7" i="107"/>
  <c r="X6" i="107"/>
  <c r="V6" i="107"/>
  <c r="T6" i="107"/>
  <c r="T12" i="107" s="1"/>
  <c r="R6" i="107"/>
  <c r="R12" i="107" s="1"/>
  <c r="P6" i="107"/>
  <c r="N6" i="107"/>
  <c r="L6" i="107"/>
  <c r="L12" i="107" s="1"/>
  <c r="J6" i="107"/>
  <c r="H6" i="107"/>
  <c r="F6" i="107"/>
  <c r="D6" i="107"/>
  <c r="H12" i="107" l="1"/>
  <c r="Y9" i="107"/>
  <c r="Y7" i="107"/>
  <c r="J12" i="107"/>
  <c r="D12" i="107"/>
  <c r="Y8" i="107"/>
  <c r="B21" i="107"/>
  <c r="Y6" i="107"/>
  <c r="Y12" i="107" l="1"/>
  <c r="V16" i="107" s="1"/>
  <c r="V24" i="107" s="1"/>
  <c r="V18" i="106" l="1"/>
  <c r="V25" i="106" l="1"/>
  <c r="F22" i="106"/>
  <c r="S19" i="106"/>
  <c r="S20" i="106" s="1"/>
  <c r="Q19" i="106"/>
  <c r="Q20" i="106" s="1"/>
  <c r="P19" i="106"/>
  <c r="P20" i="106" s="1"/>
  <c r="L19" i="106"/>
  <c r="L20" i="106" s="1"/>
  <c r="J19" i="106"/>
  <c r="J20" i="106" s="1"/>
  <c r="H19" i="106"/>
  <c r="H20" i="106" s="1"/>
  <c r="O18" i="106"/>
  <c r="O19" i="106" s="1"/>
  <c r="O20" i="106" s="1"/>
  <c r="K18" i="106"/>
  <c r="K19" i="106" s="1"/>
  <c r="K20" i="106" s="1"/>
  <c r="D18" i="106"/>
  <c r="D19" i="106" s="1"/>
  <c r="D20" i="106" s="1"/>
  <c r="X12" i="106"/>
  <c r="W12" i="106"/>
  <c r="U12" i="106"/>
  <c r="I18" i="106" s="1"/>
  <c r="I19" i="106" s="1"/>
  <c r="I20" i="106" s="1"/>
  <c r="S12" i="106"/>
  <c r="Q12" i="106"/>
  <c r="P12" i="106"/>
  <c r="O12" i="106"/>
  <c r="N18" i="106" s="1"/>
  <c r="N19" i="106" s="1"/>
  <c r="N20" i="106" s="1"/>
  <c r="M12" i="106"/>
  <c r="M18" i="106" s="1"/>
  <c r="M19" i="106" s="1"/>
  <c r="M20" i="106" s="1"/>
  <c r="L12" i="106"/>
  <c r="K12" i="106"/>
  <c r="G18" i="106" s="1"/>
  <c r="G19" i="106" s="1"/>
  <c r="G20" i="106" s="1"/>
  <c r="I12" i="106"/>
  <c r="F18" i="106" s="1"/>
  <c r="F19" i="106" s="1"/>
  <c r="F20" i="106" s="1"/>
  <c r="G12" i="106"/>
  <c r="E18" i="106" s="1"/>
  <c r="E19" i="106" s="1"/>
  <c r="E20" i="106" s="1"/>
  <c r="E12" i="106"/>
  <c r="C12" i="106"/>
  <c r="B18" i="106" s="1"/>
  <c r="B19" i="106" s="1"/>
  <c r="B20" i="106" s="1"/>
  <c r="X11" i="106"/>
  <c r="V11" i="106"/>
  <c r="T11" i="106"/>
  <c r="R11" i="106"/>
  <c r="P11" i="106"/>
  <c r="N11" i="106"/>
  <c r="L11" i="106"/>
  <c r="J11" i="106"/>
  <c r="H11" i="106"/>
  <c r="F11" i="106"/>
  <c r="Y11" i="106" s="1"/>
  <c r="D11" i="106"/>
  <c r="X10" i="106"/>
  <c r="V10" i="106"/>
  <c r="T10" i="106"/>
  <c r="R10" i="106"/>
  <c r="P10" i="106"/>
  <c r="N10" i="106"/>
  <c r="L10" i="106"/>
  <c r="J10" i="106"/>
  <c r="H10" i="106"/>
  <c r="F10" i="106"/>
  <c r="D10" i="106"/>
  <c r="X9" i="106"/>
  <c r="V9" i="106"/>
  <c r="T9" i="106"/>
  <c r="R9" i="106"/>
  <c r="P9" i="106"/>
  <c r="N9" i="106"/>
  <c r="L9" i="106"/>
  <c r="J9" i="106"/>
  <c r="H9" i="106"/>
  <c r="F9" i="106"/>
  <c r="D9" i="106"/>
  <c r="X8" i="106"/>
  <c r="V8" i="106"/>
  <c r="T8" i="106"/>
  <c r="R8" i="106"/>
  <c r="P8" i="106"/>
  <c r="N8" i="106"/>
  <c r="L8" i="106"/>
  <c r="J8" i="106"/>
  <c r="H8" i="106"/>
  <c r="F8" i="106"/>
  <c r="D8" i="106"/>
  <c r="X7" i="106"/>
  <c r="V7" i="106"/>
  <c r="T7" i="106"/>
  <c r="T12" i="106" s="1"/>
  <c r="R7" i="106"/>
  <c r="P7" i="106"/>
  <c r="N7" i="106"/>
  <c r="L7" i="106"/>
  <c r="J7" i="106"/>
  <c r="H7" i="106"/>
  <c r="F7" i="106"/>
  <c r="D7" i="106"/>
  <c r="X6" i="106"/>
  <c r="V6" i="106"/>
  <c r="V12" i="106" s="1"/>
  <c r="T6" i="106"/>
  <c r="R6" i="106"/>
  <c r="R12" i="106" s="1"/>
  <c r="P6" i="106"/>
  <c r="N6" i="106"/>
  <c r="N12" i="106" s="1"/>
  <c r="L6" i="106"/>
  <c r="J6" i="106"/>
  <c r="H6" i="106"/>
  <c r="F6" i="106"/>
  <c r="F12" i="106" s="1"/>
  <c r="D6" i="106"/>
  <c r="D12" i="106" l="1"/>
  <c r="H12" i="106"/>
  <c r="Y7" i="106"/>
  <c r="Y10" i="106"/>
  <c r="J12" i="106"/>
  <c r="Y9" i="106"/>
  <c r="Y8" i="106"/>
  <c r="B21" i="106"/>
  <c r="Y6" i="106"/>
  <c r="Y12" i="106" l="1"/>
  <c r="V16" i="106" s="1"/>
  <c r="V24" i="106" s="1"/>
  <c r="V25" i="105" l="1"/>
  <c r="F22" i="105"/>
  <c r="S19" i="105"/>
  <c r="S20" i="105" s="1"/>
  <c r="Q19" i="105"/>
  <c r="Q20" i="105" s="1"/>
  <c r="P19" i="105"/>
  <c r="P20" i="105" s="1"/>
  <c r="L19" i="105"/>
  <c r="L20" i="105" s="1"/>
  <c r="J19" i="105"/>
  <c r="J20" i="105" s="1"/>
  <c r="H19" i="105"/>
  <c r="H20" i="105" s="1"/>
  <c r="K18" i="105"/>
  <c r="K19" i="105" s="1"/>
  <c r="K20" i="105" s="1"/>
  <c r="W12" i="105"/>
  <c r="U12" i="105"/>
  <c r="I18" i="105" s="1"/>
  <c r="I19" i="105" s="1"/>
  <c r="I20" i="105" s="1"/>
  <c r="S12" i="105"/>
  <c r="Q12" i="105"/>
  <c r="O18" i="105" s="1"/>
  <c r="O19" i="105" s="1"/>
  <c r="O20" i="105" s="1"/>
  <c r="O12" i="105"/>
  <c r="N18" i="105" s="1"/>
  <c r="N19" i="105" s="1"/>
  <c r="N20" i="105" s="1"/>
  <c r="M12" i="105"/>
  <c r="M18" i="105" s="1"/>
  <c r="M19" i="105" s="1"/>
  <c r="M20" i="105" s="1"/>
  <c r="K12" i="105"/>
  <c r="G18" i="105" s="1"/>
  <c r="G19" i="105" s="1"/>
  <c r="G20" i="105" s="1"/>
  <c r="I12" i="105"/>
  <c r="F18" i="105" s="1"/>
  <c r="F19" i="105" s="1"/>
  <c r="F20" i="105" s="1"/>
  <c r="G12" i="105"/>
  <c r="E18" i="105" s="1"/>
  <c r="E19" i="105" s="1"/>
  <c r="E20" i="105" s="1"/>
  <c r="E12" i="105"/>
  <c r="D18" i="105" s="1"/>
  <c r="D19" i="105" s="1"/>
  <c r="D20" i="105" s="1"/>
  <c r="C12" i="105"/>
  <c r="B18" i="105" s="1"/>
  <c r="B19" i="105" s="1"/>
  <c r="B20" i="105" s="1"/>
  <c r="X11" i="105"/>
  <c r="V11" i="105"/>
  <c r="T11" i="105"/>
  <c r="R11" i="105"/>
  <c r="P11" i="105"/>
  <c r="N11" i="105"/>
  <c r="L11" i="105"/>
  <c r="J11" i="105"/>
  <c r="H11" i="105"/>
  <c r="Y11" i="105" s="1"/>
  <c r="F11" i="105"/>
  <c r="D11" i="105"/>
  <c r="X10" i="105"/>
  <c r="V10" i="105"/>
  <c r="T10" i="105"/>
  <c r="R10" i="105"/>
  <c r="P10" i="105"/>
  <c r="N10" i="105"/>
  <c r="L10" i="105"/>
  <c r="J10" i="105"/>
  <c r="H10" i="105"/>
  <c r="F10" i="105"/>
  <c r="D10" i="105"/>
  <c r="X9" i="105"/>
  <c r="V9" i="105"/>
  <c r="T9" i="105"/>
  <c r="R9" i="105"/>
  <c r="P9" i="105"/>
  <c r="N9" i="105"/>
  <c r="L9" i="105"/>
  <c r="J9" i="105"/>
  <c r="H9" i="105"/>
  <c r="F9" i="105"/>
  <c r="D9" i="105"/>
  <c r="X8" i="105"/>
  <c r="V8" i="105"/>
  <c r="T8" i="105"/>
  <c r="R8" i="105"/>
  <c r="P8" i="105"/>
  <c r="N8" i="105"/>
  <c r="L8" i="105"/>
  <c r="J8" i="105"/>
  <c r="H8" i="105"/>
  <c r="F8" i="105"/>
  <c r="D8" i="105"/>
  <c r="X7" i="105"/>
  <c r="V7" i="105"/>
  <c r="T7" i="105"/>
  <c r="R7" i="105"/>
  <c r="P7" i="105"/>
  <c r="N7" i="105"/>
  <c r="L7" i="105"/>
  <c r="J7" i="105"/>
  <c r="H7" i="105"/>
  <c r="F7" i="105"/>
  <c r="D7" i="105"/>
  <c r="X6" i="105"/>
  <c r="X12" i="105" s="1"/>
  <c r="V6" i="105"/>
  <c r="V12" i="105" s="1"/>
  <c r="T6" i="105"/>
  <c r="R6" i="105"/>
  <c r="R12" i="105" s="1"/>
  <c r="P6" i="105"/>
  <c r="P12" i="105" s="1"/>
  <c r="N6" i="105"/>
  <c r="N12" i="105" s="1"/>
  <c r="L6" i="105"/>
  <c r="L12" i="105" s="1"/>
  <c r="J6" i="105"/>
  <c r="H6" i="105"/>
  <c r="F6" i="105"/>
  <c r="F12" i="105" s="1"/>
  <c r="D6" i="105"/>
  <c r="Y10" i="105" l="1"/>
  <c r="Y8" i="105"/>
  <c r="D12" i="105"/>
  <c r="T12" i="105"/>
  <c r="J12" i="105"/>
  <c r="Y7" i="105"/>
  <c r="H12" i="105"/>
  <c r="Y9" i="105"/>
  <c r="B21" i="105"/>
  <c r="Y6" i="105"/>
  <c r="V18" i="104"/>
  <c r="Y12" i="105" l="1"/>
  <c r="V16" i="105" s="1"/>
  <c r="V24" i="105" s="1"/>
  <c r="V25" i="104" l="1"/>
  <c r="F22" i="104"/>
  <c r="S19" i="104"/>
  <c r="S20" i="104" s="1"/>
  <c r="Q19" i="104"/>
  <c r="Q20" i="104" s="1"/>
  <c r="P19" i="104"/>
  <c r="P20" i="104" s="1"/>
  <c r="L19" i="104"/>
  <c r="L20" i="104" s="1"/>
  <c r="J19" i="104"/>
  <c r="J20" i="104" s="1"/>
  <c r="H19" i="104"/>
  <c r="H20" i="104" s="1"/>
  <c r="K18" i="104"/>
  <c r="K19" i="104" s="1"/>
  <c r="K20" i="104" s="1"/>
  <c r="W12" i="104"/>
  <c r="U12" i="104"/>
  <c r="I18" i="104" s="1"/>
  <c r="I19" i="104" s="1"/>
  <c r="I20" i="104" s="1"/>
  <c r="S12" i="104"/>
  <c r="Q12" i="104"/>
  <c r="O18" i="104" s="1"/>
  <c r="O19" i="104" s="1"/>
  <c r="O20" i="104" s="1"/>
  <c r="O12" i="104"/>
  <c r="N18" i="104" s="1"/>
  <c r="N19" i="104" s="1"/>
  <c r="N20" i="104" s="1"/>
  <c r="M12" i="104"/>
  <c r="M18" i="104" s="1"/>
  <c r="M19" i="104" s="1"/>
  <c r="M20" i="104" s="1"/>
  <c r="L12" i="104"/>
  <c r="K12" i="104"/>
  <c r="G18" i="104" s="1"/>
  <c r="G19" i="104" s="1"/>
  <c r="G20" i="104" s="1"/>
  <c r="I12" i="104"/>
  <c r="F18" i="104" s="1"/>
  <c r="F19" i="104" s="1"/>
  <c r="F20" i="104" s="1"/>
  <c r="G12" i="104"/>
  <c r="E18" i="104" s="1"/>
  <c r="E19" i="104" s="1"/>
  <c r="E20" i="104" s="1"/>
  <c r="E12" i="104"/>
  <c r="D18" i="104" s="1"/>
  <c r="D19" i="104" s="1"/>
  <c r="D20" i="104" s="1"/>
  <c r="C12" i="104"/>
  <c r="B18" i="104" s="1"/>
  <c r="B19" i="104" s="1"/>
  <c r="B20" i="104" s="1"/>
  <c r="X11" i="104"/>
  <c r="V11" i="104"/>
  <c r="T11" i="104"/>
  <c r="R11" i="104"/>
  <c r="P11" i="104"/>
  <c r="N11" i="104"/>
  <c r="L11" i="104"/>
  <c r="J11" i="104"/>
  <c r="H11" i="104"/>
  <c r="F11" i="104"/>
  <c r="D11" i="104"/>
  <c r="Y11" i="104" s="1"/>
  <c r="X10" i="104"/>
  <c r="V10" i="104"/>
  <c r="T10" i="104"/>
  <c r="R10" i="104"/>
  <c r="P10" i="104"/>
  <c r="N10" i="104"/>
  <c r="L10" i="104"/>
  <c r="J10" i="104"/>
  <c r="H10" i="104"/>
  <c r="F10" i="104"/>
  <c r="D10" i="104"/>
  <c r="Y10" i="104" s="1"/>
  <c r="X9" i="104"/>
  <c r="V9" i="104"/>
  <c r="T9" i="104"/>
  <c r="R9" i="104"/>
  <c r="P9" i="104"/>
  <c r="N9" i="104"/>
  <c r="L9" i="104"/>
  <c r="J9" i="104"/>
  <c r="H9" i="104"/>
  <c r="F9" i="104"/>
  <c r="D9" i="104"/>
  <c r="X8" i="104"/>
  <c r="V8" i="104"/>
  <c r="T8" i="104"/>
  <c r="R8" i="104"/>
  <c r="P8" i="104"/>
  <c r="N8" i="104"/>
  <c r="L8" i="104"/>
  <c r="J8" i="104"/>
  <c r="H8" i="104"/>
  <c r="F8" i="104"/>
  <c r="D8" i="104"/>
  <c r="Y8" i="104" s="1"/>
  <c r="X7" i="104"/>
  <c r="V7" i="104"/>
  <c r="T7" i="104"/>
  <c r="R7" i="104"/>
  <c r="P7" i="104"/>
  <c r="N7" i="104"/>
  <c r="L7" i="104"/>
  <c r="J7" i="104"/>
  <c r="H7" i="104"/>
  <c r="F7" i="104"/>
  <c r="D7" i="104"/>
  <c r="X6" i="104"/>
  <c r="X12" i="104" s="1"/>
  <c r="V6" i="104"/>
  <c r="V12" i="104" s="1"/>
  <c r="T6" i="104"/>
  <c r="R6" i="104"/>
  <c r="R12" i="104" s="1"/>
  <c r="P6" i="104"/>
  <c r="P12" i="104" s="1"/>
  <c r="N6" i="104"/>
  <c r="N12" i="104" s="1"/>
  <c r="L6" i="104"/>
  <c r="J6" i="104"/>
  <c r="H6" i="104"/>
  <c r="F6" i="104"/>
  <c r="F12" i="104" s="1"/>
  <c r="D6" i="104"/>
  <c r="V25" i="103"/>
  <c r="F22" i="103"/>
  <c r="S19" i="103"/>
  <c r="S20" i="103" s="1"/>
  <c r="Q19" i="103"/>
  <c r="Q20" i="103" s="1"/>
  <c r="P19" i="103"/>
  <c r="P20" i="103" s="1"/>
  <c r="L19" i="103"/>
  <c r="L20" i="103" s="1"/>
  <c r="J19" i="103"/>
  <c r="J20" i="103" s="1"/>
  <c r="H19" i="103"/>
  <c r="H20" i="103" s="1"/>
  <c r="E18" i="103"/>
  <c r="E19" i="103" s="1"/>
  <c r="E20" i="103" s="1"/>
  <c r="W12" i="103"/>
  <c r="K18" i="103" s="1"/>
  <c r="K19" i="103" s="1"/>
  <c r="K20" i="103" s="1"/>
  <c r="U12" i="103"/>
  <c r="I18" i="103" s="1"/>
  <c r="I19" i="103" s="1"/>
  <c r="I20" i="103" s="1"/>
  <c r="S12" i="103"/>
  <c r="Q12" i="103"/>
  <c r="O18" i="103" s="1"/>
  <c r="O19" i="103" s="1"/>
  <c r="O20" i="103" s="1"/>
  <c r="O12" i="103"/>
  <c r="N18" i="103" s="1"/>
  <c r="N19" i="103" s="1"/>
  <c r="N20" i="103" s="1"/>
  <c r="N12" i="103"/>
  <c r="M12" i="103"/>
  <c r="M18" i="103" s="1"/>
  <c r="M19" i="103" s="1"/>
  <c r="M20" i="103" s="1"/>
  <c r="K12" i="103"/>
  <c r="G18" i="103" s="1"/>
  <c r="G19" i="103" s="1"/>
  <c r="G20" i="103" s="1"/>
  <c r="I12" i="103"/>
  <c r="F18" i="103" s="1"/>
  <c r="F19" i="103" s="1"/>
  <c r="F20" i="103" s="1"/>
  <c r="G12" i="103"/>
  <c r="F12" i="103"/>
  <c r="E12" i="103"/>
  <c r="D18" i="103" s="1"/>
  <c r="D19" i="103" s="1"/>
  <c r="D20" i="103" s="1"/>
  <c r="C12" i="103"/>
  <c r="B18" i="103" s="1"/>
  <c r="B19" i="103" s="1"/>
  <c r="B20" i="103" s="1"/>
  <c r="X11" i="103"/>
  <c r="V11" i="103"/>
  <c r="T11" i="103"/>
  <c r="R11" i="103"/>
  <c r="P11" i="103"/>
  <c r="N11" i="103"/>
  <c r="L11" i="103"/>
  <c r="J11" i="103"/>
  <c r="H11" i="103"/>
  <c r="Y11" i="103" s="1"/>
  <c r="F11" i="103"/>
  <c r="D11" i="103"/>
  <c r="X10" i="103"/>
  <c r="V10" i="103"/>
  <c r="T10" i="103"/>
  <c r="R10" i="103"/>
  <c r="P10" i="103"/>
  <c r="N10" i="103"/>
  <c r="L10" i="103"/>
  <c r="J10" i="103"/>
  <c r="H10" i="103"/>
  <c r="Y10" i="103" s="1"/>
  <c r="F10" i="103"/>
  <c r="D10" i="103"/>
  <c r="X9" i="103"/>
  <c r="V9" i="103"/>
  <c r="V12" i="103" s="1"/>
  <c r="T9" i="103"/>
  <c r="R9" i="103"/>
  <c r="P9" i="103"/>
  <c r="N9" i="103"/>
  <c r="L9" i="103"/>
  <c r="J9" i="103"/>
  <c r="H9" i="103"/>
  <c r="F9" i="103"/>
  <c r="D9" i="103"/>
  <c r="X8" i="103"/>
  <c r="V8" i="103"/>
  <c r="T8" i="103"/>
  <c r="R8" i="103"/>
  <c r="P8" i="103"/>
  <c r="N8" i="103"/>
  <c r="L8" i="103"/>
  <c r="J8" i="103"/>
  <c r="H8" i="103"/>
  <c r="F8" i="103"/>
  <c r="D8" i="103"/>
  <c r="X7" i="103"/>
  <c r="V7" i="103"/>
  <c r="T7" i="103"/>
  <c r="R7" i="103"/>
  <c r="P7" i="103"/>
  <c r="N7" i="103"/>
  <c r="L7" i="103"/>
  <c r="J7" i="103"/>
  <c r="H7" i="103"/>
  <c r="F7" i="103"/>
  <c r="D7" i="103"/>
  <c r="X6" i="103"/>
  <c r="X12" i="103" s="1"/>
  <c r="V6" i="103"/>
  <c r="T6" i="103"/>
  <c r="R6" i="103"/>
  <c r="R12" i="103" s="1"/>
  <c r="P6" i="103"/>
  <c r="P12" i="103" s="1"/>
  <c r="N6" i="103"/>
  <c r="L6" i="103"/>
  <c r="L12" i="103" s="1"/>
  <c r="J6" i="103"/>
  <c r="H6" i="103"/>
  <c r="H12" i="103" s="1"/>
  <c r="F6" i="103"/>
  <c r="D6" i="103"/>
  <c r="V18" i="102"/>
  <c r="T12" i="104" l="1"/>
  <c r="H12" i="104"/>
  <c r="Y7" i="104"/>
  <c r="Y6" i="104"/>
  <c r="Y9" i="104"/>
  <c r="J12" i="104"/>
  <c r="D12" i="104"/>
  <c r="B21" i="104"/>
  <c r="Y9" i="103"/>
  <c r="T12" i="103"/>
  <c r="J12" i="103"/>
  <c r="D12" i="103"/>
  <c r="Y8" i="103"/>
  <c r="Y7" i="103"/>
  <c r="B21" i="103"/>
  <c r="Y6" i="103"/>
  <c r="V25" i="102"/>
  <c r="F22" i="102"/>
  <c r="S19" i="102"/>
  <c r="S20" i="102" s="1"/>
  <c r="Q19" i="102"/>
  <c r="Q20" i="102" s="1"/>
  <c r="P19" i="102"/>
  <c r="P20" i="102" s="1"/>
  <c r="L19" i="102"/>
  <c r="L20" i="102" s="1"/>
  <c r="J19" i="102"/>
  <c r="J20" i="102" s="1"/>
  <c r="H19" i="102"/>
  <c r="H20" i="102" s="1"/>
  <c r="M18" i="102"/>
  <c r="M19" i="102" s="1"/>
  <c r="M20" i="102" s="1"/>
  <c r="W12" i="102"/>
  <c r="K18" i="102" s="1"/>
  <c r="K19" i="102" s="1"/>
  <c r="K20" i="102" s="1"/>
  <c r="U12" i="102"/>
  <c r="I18" i="102" s="1"/>
  <c r="I19" i="102" s="1"/>
  <c r="I20" i="102" s="1"/>
  <c r="S12" i="102"/>
  <c r="Q12" i="102"/>
  <c r="O18" i="102" s="1"/>
  <c r="O19" i="102" s="1"/>
  <c r="O20" i="102" s="1"/>
  <c r="O12" i="102"/>
  <c r="N18" i="102" s="1"/>
  <c r="N19" i="102" s="1"/>
  <c r="N20" i="102" s="1"/>
  <c r="N12" i="102"/>
  <c r="M12" i="102"/>
  <c r="K12" i="102"/>
  <c r="G18" i="102" s="1"/>
  <c r="G19" i="102" s="1"/>
  <c r="G20" i="102" s="1"/>
  <c r="I12" i="102"/>
  <c r="F18" i="102" s="1"/>
  <c r="F19" i="102" s="1"/>
  <c r="F20" i="102" s="1"/>
  <c r="G12" i="102"/>
  <c r="E18" i="102" s="1"/>
  <c r="E19" i="102" s="1"/>
  <c r="E20" i="102" s="1"/>
  <c r="F12" i="102"/>
  <c r="E12" i="102"/>
  <c r="D18" i="102" s="1"/>
  <c r="D19" i="102" s="1"/>
  <c r="D20" i="102" s="1"/>
  <c r="C12" i="102"/>
  <c r="B18" i="102" s="1"/>
  <c r="B19" i="102" s="1"/>
  <c r="B20" i="102" s="1"/>
  <c r="Y11" i="102"/>
  <c r="X11" i="102"/>
  <c r="V11" i="102"/>
  <c r="T11" i="102"/>
  <c r="R11" i="102"/>
  <c r="P11" i="102"/>
  <c r="N11" i="102"/>
  <c r="L11" i="102"/>
  <c r="J11" i="102"/>
  <c r="H11" i="102"/>
  <c r="F11" i="102"/>
  <c r="D11" i="102"/>
  <c r="X10" i="102"/>
  <c r="V10" i="102"/>
  <c r="T10" i="102"/>
  <c r="R10" i="102"/>
  <c r="P10" i="102"/>
  <c r="N10" i="102"/>
  <c r="L10" i="102"/>
  <c r="J10" i="102"/>
  <c r="H10" i="102"/>
  <c r="F10" i="102"/>
  <c r="D10" i="102"/>
  <c r="X9" i="102"/>
  <c r="V9" i="102"/>
  <c r="V12" i="102" s="1"/>
  <c r="T9" i="102"/>
  <c r="R9" i="102"/>
  <c r="P9" i="102"/>
  <c r="N9" i="102"/>
  <c r="L9" i="102"/>
  <c r="J9" i="102"/>
  <c r="H9" i="102"/>
  <c r="F9" i="102"/>
  <c r="D9" i="102"/>
  <c r="X8" i="102"/>
  <c r="V8" i="102"/>
  <c r="T8" i="102"/>
  <c r="R8" i="102"/>
  <c r="P8" i="102"/>
  <c r="N8" i="102"/>
  <c r="L8" i="102"/>
  <c r="J8" i="102"/>
  <c r="H8" i="102"/>
  <c r="F8" i="102"/>
  <c r="D8" i="102"/>
  <c r="X7" i="102"/>
  <c r="V7" i="102"/>
  <c r="T7" i="102"/>
  <c r="R7" i="102"/>
  <c r="P7" i="102"/>
  <c r="N7" i="102"/>
  <c r="L7" i="102"/>
  <c r="J7" i="102"/>
  <c r="H7" i="102"/>
  <c r="F7" i="102"/>
  <c r="D7" i="102"/>
  <c r="X6" i="102"/>
  <c r="V6" i="102"/>
  <c r="T6" i="102"/>
  <c r="R6" i="102"/>
  <c r="R12" i="102" s="1"/>
  <c r="P6" i="102"/>
  <c r="P12" i="102" s="1"/>
  <c r="N6" i="102"/>
  <c r="L6" i="102"/>
  <c r="L12" i="102" s="1"/>
  <c r="J6" i="102"/>
  <c r="H6" i="102"/>
  <c r="H12" i="102" s="1"/>
  <c r="F6" i="102"/>
  <c r="D6" i="102"/>
  <c r="Y12" i="104" l="1"/>
  <c r="V16" i="104" s="1"/>
  <c r="V24" i="104" s="1"/>
  <c r="Y12" i="103"/>
  <c r="V16" i="103" s="1"/>
  <c r="V24" i="103" s="1"/>
  <c r="X12" i="102"/>
  <c r="Y10" i="102"/>
  <c r="T12" i="102"/>
  <c r="Y9" i="102"/>
  <c r="Y6" i="102"/>
  <c r="Y8" i="102"/>
  <c r="D12" i="102"/>
  <c r="Y7" i="102"/>
  <c r="B21" i="102"/>
  <c r="J12" i="102"/>
  <c r="Y12" i="102" l="1"/>
  <c r="V16" i="102" s="1"/>
  <c r="V24" i="102" s="1"/>
  <c r="V18" i="101" l="1"/>
  <c r="V25" i="101"/>
  <c r="F22" i="101"/>
  <c r="S19" i="101"/>
  <c r="S20" i="101" s="1"/>
  <c r="Q19" i="101"/>
  <c r="Q20" i="101" s="1"/>
  <c r="P19" i="101"/>
  <c r="P20" i="101" s="1"/>
  <c r="O19" i="101"/>
  <c r="O20" i="101" s="1"/>
  <c r="L19" i="101"/>
  <c r="L20" i="101" s="1"/>
  <c r="J19" i="101"/>
  <c r="J20" i="101" s="1"/>
  <c r="H19" i="101"/>
  <c r="H20" i="101" s="1"/>
  <c r="D19" i="101"/>
  <c r="D20" i="101" s="1"/>
  <c r="O18" i="101"/>
  <c r="M18" i="101"/>
  <c r="M19" i="101" s="1"/>
  <c r="M20" i="101" s="1"/>
  <c r="I18" i="101"/>
  <c r="I19" i="101" s="1"/>
  <c r="I20" i="101" s="1"/>
  <c r="D18" i="101"/>
  <c r="W12" i="101"/>
  <c r="K18" i="101" s="1"/>
  <c r="K19" i="101" s="1"/>
  <c r="K20" i="101" s="1"/>
  <c r="V12" i="101"/>
  <c r="U12" i="101"/>
  <c r="S12" i="101"/>
  <c r="Q12" i="101"/>
  <c r="O12" i="101"/>
  <c r="N18" i="101" s="1"/>
  <c r="N19" i="101" s="1"/>
  <c r="N20" i="101" s="1"/>
  <c r="N12" i="101"/>
  <c r="M12" i="101"/>
  <c r="K12" i="101"/>
  <c r="G18" i="101" s="1"/>
  <c r="G19" i="101" s="1"/>
  <c r="G20" i="101" s="1"/>
  <c r="I12" i="101"/>
  <c r="F18" i="101" s="1"/>
  <c r="F19" i="101" s="1"/>
  <c r="F20" i="101" s="1"/>
  <c r="G12" i="101"/>
  <c r="E18" i="101" s="1"/>
  <c r="E19" i="101" s="1"/>
  <c r="E20" i="101" s="1"/>
  <c r="F12" i="101"/>
  <c r="E12" i="101"/>
  <c r="C12" i="101"/>
  <c r="B18" i="101" s="1"/>
  <c r="B19" i="101" s="1"/>
  <c r="B20" i="101" s="1"/>
  <c r="X11" i="101"/>
  <c r="V11" i="101"/>
  <c r="T11" i="101"/>
  <c r="R11" i="101"/>
  <c r="P11" i="101"/>
  <c r="N11" i="101"/>
  <c r="L11" i="101"/>
  <c r="J11" i="101"/>
  <c r="H11" i="101"/>
  <c r="F11" i="101"/>
  <c r="D11" i="101"/>
  <c r="X10" i="101"/>
  <c r="V10" i="101"/>
  <c r="T10" i="101"/>
  <c r="R10" i="101"/>
  <c r="P10" i="101"/>
  <c r="N10" i="101"/>
  <c r="L10" i="101"/>
  <c r="J10" i="101"/>
  <c r="Y10" i="101" s="1"/>
  <c r="H10" i="101"/>
  <c r="F10" i="101"/>
  <c r="D10" i="101"/>
  <c r="X9" i="101"/>
  <c r="V9" i="101"/>
  <c r="T9" i="101"/>
  <c r="R9" i="101"/>
  <c r="P9" i="101"/>
  <c r="N9" i="101"/>
  <c r="L9" i="101"/>
  <c r="J9" i="101"/>
  <c r="H9" i="101"/>
  <c r="F9" i="101"/>
  <c r="D9" i="101"/>
  <c r="X8" i="101"/>
  <c r="V8" i="101"/>
  <c r="T8" i="101"/>
  <c r="R8" i="101"/>
  <c r="P8" i="101"/>
  <c r="N8" i="101"/>
  <c r="L8" i="101"/>
  <c r="J8" i="101"/>
  <c r="H8" i="101"/>
  <c r="F8" i="101"/>
  <c r="D8" i="101"/>
  <c r="X7" i="101"/>
  <c r="V7" i="101"/>
  <c r="T7" i="101"/>
  <c r="R7" i="101"/>
  <c r="P7" i="101"/>
  <c r="N7" i="101"/>
  <c r="L7" i="101"/>
  <c r="J7" i="101"/>
  <c r="H7" i="101"/>
  <c r="F7" i="101"/>
  <c r="D7" i="101"/>
  <c r="X6" i="101"/>
  <c r="X12" i="101" s="1"/>
  <c r="V6" i="101"/>
  <c r="T6" i="101"/>
  <c r="R6" i="101"/>
  <c r="R12" i="101" s="1"/>
  <c r="P6" i="101"/>
  <c r="P12" i="101" s="1"/>
  <c r="N6" i="101"/>
  <c r="L6" i="101"/>
  <c r="L12" i="101" s="1"/>
  <c r="J6" i="101"/>
  <c r="H6" i="101"/>
  <c r="F6" i="101"/>
  <c r="D6" i="101"/>
  <c r="V18" i="100"/>
  <c r="Y11" i="101" l="1"/>
  <c r="Y9" i="101"/>
  <c r="J12" i="101"/>
  <c r="H12" i="101"/>
  <c r="D12" i="101"/>
  <c r="T12" i="101"/>
  <c r="Y8" i="101"/>
  <c r="Y7" i="101"/>
  <c r="B21" i="101"/>
  <c r="Y6" i="101"/>
  <c r="V25" i="100"/>
  <c r="F22" i="100"/>
  <c r="S19" i="100"/>
  <c r="S20" i="100" s="1"/>
  <c r="Q19" i="100"/>
  <c r="Q20" i="100" s="1"/>
  <c r="P19" i="100"/>
  <c r="P20" i="100" s="1"/>
  <c r="L19" i="100"/>
  <c r="L20" i="100" s="1"/>
  <c r="J19" i="100"/>
  <c r="J20" i="100" s="1"/>
  <c r="H19" i="100"/>
  <c r="H20" i="100" s="1"/>
  <c r="O18" i="100"/>
  <c r="O19" i="100" s="1"/>
  <c r="O20" i="100" s="1"/>
  <c r="M18" i="100"/>
  <c r="M19" i="100" s="1"/>
  <c r="M20" i="100" s="1"/>
  <c r="D18" i="100"/>
  <c r="D19" i="100" s="1"/>
  <c r="D20" i="100" s="1"/>
  <c r="X12" i="100"/>
  <c r="W12" i="100"/>
  <c r="K18" i="100" s="1"/>
  <c r="K19" i="100" s="1"/>
  <c r="K20" i="100" s="1"/>
  <c r="U12" i="100"/>
  <c r="I18" i="100" s="1"/>
  <c r="I19" i="100" s="1"/>
  <c r="I20" i="100" s="1"/>
  <c r="S12" i="100"/>
  <c r="Q12" i="100"/>
  <c r="P12" i="100"/>
  <c r="O12" i="100"/>
  <c r="N18" i="100" s="1"/>
  <c r="N19" i="100" s="1"/>
  <c r="N20" i="100" s="1"/>
  <c r="M12" i="100"/>
  <c r="L12" i="100"/>
  <c r="K12" i="100"/>
  <c r="G18" i="100" s="1"/>
  <c r="G19" i="100" s="1"/>
  <c r="G20" i="100" s="1"/>
  <c r="I12" i="100"/>
  <c r="F18" i="100" s="1"/>
  <c r="F19" i="100" s="1"/>
  <c r="F20" i="100" s="1"/>
  <c r="G12" i="100"/>
  <c r="E18" i="100" s="1"/>
  <c r="E19" i="100" s="1"/>
  <c r="E20" i="100" s="1"/>
  <c r="E12" i="100"/>
  <c r="C12" i="100"/>
  <c r="B18" i="100" s="1"/>
  <c r="B19" i="100" s="1"/>
  <c r="B20" i="100" s="1"/>
  <c r="X11" i="100"/>
  <c r="V11" i="100"/>
  <c r="T11" i="100"/>
  <c r="R11" i="100"/>
  <c r="P11" i="100"/>
  <c r="N11" i="100"/>
  <c r="L11" i="100"/>
  <c r="J11" i="100"/>
  <c r="H11" i="100"/>
  <c r="F11" i="100"/>
  <c r="Y11" i="100" s="1"/>
  <c r="D11" i="100"/>
  <c r="X10" i="100"/>
  <c r="V10" i="100"/>
  <c r="T10" i="100"/>
  <c r="R10" i="100"/>
  <c r="P10" i="100"/>
  <c r="N10" i="100"/>
  <c r="L10" i="100"/>
  <c r="J10" i="100"/>
  <c r="H10" i="100"/>
  <c r="F10" i="100"/>
  <c r="D10" i="100"/>
  <c r="X9" i="100"/>
  <c r="V9" i="100"/>
  <c r="T9" i="100"/>
  <c r="R9" i="100"/>
  <c r="P9" i="100"/>
  <c r="N9" i="100"/>
  <c r="L9" i="100"/>
  <c r="J9" i="100"/>
  <c r="H9" i="100"/>
  <c r="F9" i="100"/>
  <c r="D9" i="100"/>
  <c r="X8" i="100"/>
  <c r="V8" i="100"/>
  <c r="T8" i="100"/>
  <c r="R8" i="100"/>
  <c r="P8" i="100"/>
  <c r="N8" i="100"/>
  <c r="L8" i="100"/>
  <c r="J8" i="100"/>
  <c r="H8" i="100"/>
  <c r="F8" i="100"/>
  <c r="D8" i="100"/>
  <c r="X7" i="100"/>
  <c r="V7" i="100"/>
  <c r="T7" i="100"/>
  <c r="R7" i="100"/>
  <c r="P7" i="100"/>
  <c r="N7" i="100"/>
  <c r="L7" i="100"/>
  <c r="J7" i="100"/>
  <c r="H7" i="100"/>
  <c r="F7" i="100"/>
  <c r="D7" i="100"/>
  <c r="X6" i="100"/>
  <c r="V6" i="100"/>
  <c r="T6" i="100"/>
  <c r="R6" i="100"/>
  <c r="R12" i="100" s="1"/>
  <c r="P6" i="100"/>
  <c r="N6" i="100"/>
  <c r="N12" i="100" s="1"/>
  <c r="L6" i="100"/>
  <c r="J6" i="100"/>
  <c r="H6" i="100"/>
  <c r="F6" i="100"/>
  <c r="F12" i="100" s="1"/>
  <c r="D6" i="100"/>
  <c r="V18" i="99"/>
  <c r="Y12" i="101" l="1"/>
  <c r="V16" i="101" s="1"/>
  <c r="V24" i="101" s="1"/>
  <c r="T12" i="100"/>
  <c r="D12" i="100"/>
  <c r="H12" i="100"/>
  <c r="V12" i="100"/>
  <c r="J12" i="100"/>
  <c r="Y7" i="100"/>
  <c r="Y10" i="100"/>
  <c r="Y9" i="100"/>
  <c r="Y8" i="100"/>
  <c r="B21" i="100"/>
  <c r="Y6" i="100"/>
  <c r="Y12" i="100" l="1"/>
  <c r="V16" i="100" s="1"/>
  <c r="V24" i="100" s="1"/>
  <c r="V25" i="99"/>
  <c r="F22" i="99"/>
  <c r="S19" i="99"/>
  <c r="S20" i="99" s="1"/>
  <c r="Q19" i="99"/>
  <c r="Q20" i="99" s="1"/>
  <c r="P19" i="99"/>
  <c r="P20" i="99" s="1"/>
  <c r="L19" i="99"/>
  <c r="L20" i="99" s="1"/>
  <c r="J19" i="99"/>
  <c r="J20" i="99" s="1"/>
  <c r="H19" i="99"/>
  <c r="H20" i="99" s="1"/>
  <c r="K18" i="99"/>
  <c r="K19" i="99" s="1"/>
  <c r="K20" i="99" s="1"/>
  <c r="W12" i="99"/>
  <c r="U12" i="99"/>
  <c r="I18" i="99" s="1"/>
  <c r="I19" i="99" s="1"/>
  <c r="I20" i="99" s="1"/>
  <c r="S12" i="99"/>
  <c r="Q12" i="99"/>
  <c r="O18" i="99" s="1"/>
  <c r="O19" i="99" s="1"/>
  <c r="O20" i="99" s="1"/>
  <c r="O12" i="99"/>
  <c r="N18" i="99" s="1"/>
  <c r="N19" i="99" s="1"/>
  <c r="N20" i="99" s="1"/>
  <c r="N12" i="99"/>
  <c r="M12" i="99"/>
  <c r="M18" i="99" s="1"/>
  <c r="M19" i="99" s="1"/>
  <c r="M20" i="99" s="1"/>
  <c r="K12" i="99"/>
  <c r="G18" i="99" s="1"/>
  <c r="G19" i="99" s="1"/>
  <c r="G20" i="99" s="1"/>
  <c r="I12" i="99"/>
  <c r="F18" i="99" s="1"/>
  <c r="F19" i="99" s="1"/>
  <c r="F20" i="99" s="1"/>
  <c r="G12" i="99"/>
  <c r="E18" i="99" s="1"/>
  <c r="E19" i="99" s="1"/>
  <c r="E20" i="99" s="1"/>
  <c r="F12" i="99"/>
  <c r="E12" i="99"/>
  <c r="D18" i="99" s="1"/>
  <c r="D19" i="99" s="1"/>
  <c r="D20" i="99" s="1"/>
  <c r="C12" i="99"/>
  <c r="B18" i="99" s="1"/>
  <c r="B19" i="99" s="1"/>
  <c r="B20" i="99" s="1"/>
  <c r="X11" i="99"/>
  <c r="V11" i="99"/>
  <c r="T11" i="99"/>
  <c r="R11" i="99"/>
  <c r="P11" i="99"/>
  <c r="N11" i="99"/>
  <c r="L11" i="99"/>
  <c r="J11" i="99"/>
  <c r="H11" i="99"/>
  <c r="Y11" i="99" s="1"/>
  <c r="F11" i="99"/>
  <c r="D11" i="99"/>
  <c r="X10" i="99"/>
  <c r="V10" i="99"/>
  <c r="T10" i="99"/>
  <c r="R10" i="99"/>
  <c r="P10" i="99"/>
  <c r="N10" i="99"/>
  <c r="L10" i="99"/>
  <c r="J10" i="99"/>
  <c r="H10" i="99"/>
  <c r="Y10" i="99" s="1"/>
  <c r="F10" i="99"/>
  <c r="D10" i="99"/>
  <c r="X9" i="99"/>
  <c r="V9" i="99"/>
  <c r="V12" i="99" s="1"/>
  <c r="T9" i="99"/>
  <c r="R9" i="99"/>
  <c r="P9" i="99"/>
  <c r="N9" i="99"/>
  <c r="L9" i="99"/>
  <c r="J9" i="99"/>
  <c r="H9" i="99"/>
  <c r="F9" i="99"/>
  <c r="D9" i="99"/>
  <c r="X8" i="99"/>
  <c r="V8" i="99"/>
  <c r="T8" i="99"/>
  <c r="R8" i="99"/>
  <c r="P8" i="99"/>
  <c r="N8" i="99"/>
  <c r="L8" i="99"/>
  <c r="J8" i="99"/>
  <c r="H8" i="99"/>
  <c r="F8" i="99"/>
  <c r="D8" i="99"/>
  <c r="X7" i="99"/>
  <c r="V7" i="99"/>
  <c r="T7" i="99"/>
  <c r="R7" i="99"/>
  <c r="P7" i="99"/>
  <c r="N7" i="99"/>
  <c r="L7" i="99"/>
  <c r="J7" i="99"/>
  <c r="H7" i="99"/>
  <c r="F7" i="99"/>
  <c r="D7" i="99"/>
  <c r="X6" i="99"/>
  <c r="X12" i="99" s="1"/>
  <c r="V6" i="99"/>
  <c r="T6" i="99"/>
  <c r="R6" i="99"/>
  <c r="R12" i="99" s="1"/>
  <c r="P6" i="99"/>
  <c r="P12" i="99" s="1"/>
  <c r="N6" i="99"/>
  <c r="L6" i="99"/>
  <c r="L12" i="99" s="1"/>
  <c r="J6" i="99"/>
  <c r="H6" i="99"/>
  <c r="F6" i="99"/>
  <c r="D6" i="99"/>
  <c r="V18" i="98"/>
  <c r="V25" i="98"/>
  <c r="F22" i="98"/>
  <c r="S19" i="98"/>
  <c r="S20" i="98" s="1"/>
  <c r="Q19" i="98"/>
  <c r="Q20" i="98" s="1"/>
  <c r="P19" i="98"/>
  <c r="P20" i="98" s="1"/>
  <c r="O19" i="98"/>
  <c r="O20" i="98" s="1"/>
  <c r="L19" i="98"/>
  <c r="L20" i="98" s="1"/>
  <c r="J19" i="98"/>
  <c r="J20" i="98" s="1"/>
  <c r="H19" i="98"/>
  <c r="H20" i="98" s="1"/>
  <c r="D19" i="98"/>
  <c r="D20" i="98" s="1"/>
  <c r="O18" i="98"/>
  <c r="M18" i="98"/>
  <c r="M19" i="98" s="1"/>
  <c r="M20" i="98" s="1"/>
  <c r="D18" i="98"/>
  <c r="X12" i="98"/>
  <c r="W12" i="98"/>
  <c r="K18" i="98" s="1"/>
  <c r="K19" i="98" s="1"/>
  <c r="K20" i="98" s="1"/>
  <c r="U12" i="98"/>
  <c r="I18" i="98" s="1"/>
  <c r="I19" i="98" s="1"/>
  <c r="I20" i="98" s="1"/>
  <c r="S12" i="98"/>
  <c r="Q12" i="98"/>
  <c r="P12" i="98"/>
  <c r="O12" i="98"/>
  <c r="N18" i="98" s="1"/>
  <c r="N19" i="98" s="1"/>
  <c r="N20" i="98" s="1"/>
  <c r="N12" i="98"/>
  <c r="M12" i="98"/>
  <c r="K12" i="98"/>
  <c r="G18" i="98" s="1"/>
  <c r="G19" i="98" s="1"/>
  <c r="G20" i="98" s="1"/>
  <c r="I12" i="98"/>
  <c r="F18" i="98" s="1"/>
  <c r="F19" i="98" s="1"/>
  <c r="F20" i="98" s="1"/>
  <c r="G12" i="98"/>
  <c r="E18" i="98" s="1"/>
  <c r="E19" i="98" s="1"/>
  <c r="E20" i="98" s="1"/>
  <c r="F12" i="98"/>
  <c r="E12" i="98"/>
  <c r="C12" i="98"/>
  <c r="B18" i="98" s="1"/>
  <c r="B19" i="98" s="1"/>
  <c r="B20" i="98" s="1"/>
  <c r="X11" i="98"/>
  <c r="V11" i="98"/>
  <c r="T11" i="98"/>
  <c r="R11" i="98"/>
  <c r="P11" i="98"/>
  <c r="N11" i="98"/>
  <c r="L11" i="98"/>
  <c r="J11" i="98"/>
  <c r="H11" i="98"/>
  <c r="F11" i="98"/>
  <c r="D11" i="98"/>
  <c r="X10" i="98"/>
  <c r="V10" i="98"/>
  <c r="T10" i="98"/>
  <c r="R10" i="98"/>
  <c r="P10" i="98"/>
  <c r="N10" i="98"/>
  <c r="L10" i="98"/>
  <c r="J10" i="98"/>
  <c r="H10" i="98"/>
  <c r="F10" i="98"/>
  <c r="D10" i="98"/>
  <c r="X9" i="98"/>
  <c r="V9" i="98"/>
  <c r="T9" i="98"/>
  <c r="R9" i="98"/>
  <c r="P9" i="98"/>
  <c r="N9" i="98"/>
  <c r="L9" i="98"/>
  <c r="J9" i="98"/>
  <c r="H9" i="98"/>
  <c r="F9" i="98"/>
  <c r="D9" i="98"/>
  <c r="X8" i="98"/>
  <c r="V8" i="98"/>
  <c r="T8" i="98"/>
  <c r="R8" i="98"/>
  <c r="P8" i="98"/>
  <c r="N8" i="98"/>
  <c r="L8" i="98"/>
  <c r="J8" i="98"/>
  <c r="H8" i="98"/>
  <c r="F8" i="98"/>
  <c r="D8" i="98"/>
  <c r="X7" i="98"/>
  <c r="V7" i="98"/>
  <c r="T7" i="98"/>
  <c r="R7" i="98"/>
  <c r="P7" i="98"/>
  <c r="N7" i="98"/>
  <c r="L7" i="98"/>
  <c r="J7" i="98"/>
  <c r="H7" i="98"/>
  <c r="F7" i="98"/>
  <c r="D7" i="98"/>
  <c r="X6" i="98"/>
  <c r="V6" i="98"/>
  <c r="T6" i="98"/>
  <c r="R6" i="98"/>
  <c r="R12" i="98" s="1"/>
  <c r="P6" i="98"/>
  <c r="N6" i="98"/>
  <c r="L6" i="98"/>
  <c r="L12" i="98" s="1"/>
  <c r="J6" i="98"/>
  <c r="H6" i="98"/>
  <c r="F6" i="98"/>
  <c r="D6" i="98"/>
  <c r="V18" i="97"/>
  <c r="V18" i="95"/>
  <c r="V25" i="97"/>
  <c r="F22" i="97"/>
  <c r="S19" i="97"/>
  <c r="S20" i="97" s="1"/>
  <c r="Q19" i="97"/>
  <c r="Q20" i="97" s="1"/>
  <c r="P19" i="97"/>
  <c r="P20" i="97" s="1"/>
  <c r="L19" i="97"/>
  <c r="L20" i="97" s="1"/>
  <c r="J19" i="97"/>
  <c r="J20" i="97" s="1"/>
  <c r="H19" i="97"/>
  <c r="H20" i="97" s="1"/>
  <c r="M18" i="97"/>
  <c r="M19" i="97" s="1"/>
  <c r="M20" i="97" s="1"/>
  <c r="W12" i="97"/>
  <c r="K18" i="97" s="1"/>
  <c r="K19" i="97" s="1"/>
  <c r="K20" i="97" s="1"/>
  <c r="U12" i="97"/>
  <c r="I18" i="97" s="1"/>
  <c r="I19" i="97" s="1"/>
  <c r="I20" i="97" s="1"/>
  <c r="S12" i="97"/>
  <c r="Q12" i="97"/>
  <c r="O18" i="97" s="1"/>
  <c r="O19" i="97" s="1"/>
  <c r="O20" i="97" s="1"/>
  <c r="O12" i="97"/>
  <c r="N18" i="97" s="1"/>
  <c r="N19" i="97" s="1"/>
  <c r="N20" i="97" s="1"/>
  <c r="N12" i="97"/>
  <c r="M12" i="97"/>
  <c r="K12" i="97"/>
  <c r="G18" i="97" s="1"/>
  <c r="G19" i="97" s="1"/>
  <c r="G20" i="97" s="1"/>
  <c r="I12" i="97"/>
  <c r="F18" i="97" s="1"/>
  <c r="F19" i="97" s="1"/>
  <c r="F20" i="97" s="1"/>
  <c r="G12" i="97"/>
  <c r="E18" i="97" s="1"/>
  <c r="E19" i="97" s="1"/>
  <c r="E20" i="97" s="1"/>
  <c r="F12" i="97"/>
  <c r="E12" i="97"/>
  <c r="D18" i="97" s="1"/>
  <c r="D19" i="97" s="1"/>
  <c r="D20" i="97" s="1"/>
  <c r="C12" i="97"/>
  <c r="B18" i="97" s="1"/>
  <c r="B19" i="97" s="1"/>
  <c r="B20" i="97" s="1"/>
  <c r="X11" i="97"/>
  <c r="V11" i="97"/>
  <c r="T11" i="97"/>
  <c r="Y11" i="97" s="1"/>
  <c r="R11" i="97"/>
  <c r="P11" i="97"/>
  <c r="N11" i="97"/>
  <c r="L11" i="97"/>
  <c r="J11" i="97"/>
  <c r="H11" i="97"/>
  <c r="F11" i="97"/>
  <c r="D11" i="97"/>
  <c r="X10" i="97"/>
  <c r="V10" i="97"/>
  <c r="T10" i="97"/>
  <c r="R10" i="97"/>
  <c r="P10" i="97"/>
  <c r="N10" i="97"/>
  <c r="L10" i="97"/>
  <c r="J10" i="97"/>
  <c r="H10" i="97"/>
  <c r="F10" i="97"/>
  <c r="D10" i="97"/>
  <c r="X9" i="97"/>
  <c r="V9" i="97"/>
  <c r="T9" i="97"/>
  <c r="R9" i="97"/>
  <c r="P9" i="97"/>
  <c r="N9" i="97"/>
  <c r="L9" i="97"/>
  <c r="J9" i="97"/>
  <c r="H9" i="97"/>
  <c r="F9" i="97"/>
  <c r="D9" i="97"/>
  <c r="X8" i="97"/>
  <c r="V8" i="97"/>
  <c r="T8" i="97"/>
  <c r="R8" i="97"/>
  <c r="P8" i="97"/>
  <c r="N8" i="97"/>
  <c r="L8" i="97"/>
  <c r="J8" i="97"/>
  <c r="H8" i="97"/>
  <c r="F8" i="97"/>
  <c r="D8" i="97"/>
  <c r="X7" i="97"/>
  <c r="V7" i="97"/>
  <c r="T7" i="97"/>
  <c r="R7" i="97"/>
  <c r="P7" i="97"/>
  <c r="N7" i="97"/>
  <c r="L7" i="97"/>
  <c r="J7" i="97"/>
  <c r="H7" i="97"/>
  <c r="F7" i="97"/>
  <c r="D7" i="97"/>
  <c r="X6" i="97"/>
  <c r="X12" i="97" s="1"/>
  <c r="V6" i="97"/>
  <c r="T6" i="97"/>
  <c r="R6" i="97"/>
  <c r="R12" i="97" s="1"/>
  <c r="P6" i="97"/>
  <c r="P12" i="97" s="1"/>
  <c r="N6" i="97"/>
  <c r="L6" i="97"/>
  <c r="L12" i="97" s="1"/>
  <c r="J6" i="97"/>
  <c r="H6" i="97"/>
  <c r="F6" i="97"/>
  <c r="D6" i="97"/>
  <c r="H12" i="99" l="1"/>
  <c r="Y9" i="99"/>
  <c r="T12" i="99"/>
  <c r="J12" i="99"/>
  <c r="D12" i="99"/>
  <c r="Y8" i="99"/>
  <c r="Y7" i="99"/>
  <c r="B21" i="99"/>
  <c r="Y6" i="99"/>
  <c r="T12" i="98"/>
  <c r="H12" i="98"/>
  <c r="Y7" i="98"/>
  <c r="Y9" i="98"/>
  <c r="V12" i="98"/>
  <c r="Y11" i="98"/>
  <c r="Y10" i="98"/>
  <c r="J12" i="98"/>
  <c r="D12" i="98"/>
  <c r="Y8" i="98"/>
  <c r="B21" i="98"/>
  <c r="Y6" i="98"/>
  <c r="J12" i="97"/>
  <c r="V12" i="97"/>
  <c r="T12" i="97"/>
  <c r="D12" i="97"/>
  <c r="Y8" i="97"/>
  <c r="Y10" i="97"/>
  <c r="H12" i="97"/>
  <c r="Y7" i="97"/>
  <c r="Y9" i="97"/>
  <c r="B21" i="97"/>
  <c r="Y6" i="97"/>
  <c r="Y12" i="99" l="1"/>
  <c r="V16" i="99" s="1"/>
  <c r="V24" i="99" s="1"/>
  <c r="Y12" i="98"/>
  <c r="V16" i="98" s="1"/>
  <c r="V24" i="98" s="1"/>
  <c r="Y12" i="97"/>
  <c r="V16" i="97" s="1"/>
  <c r="V24" i="97" s="1"/>
  <c r="S12" i="96" l="1"/>
  <c r="V18" i="96"/>
  <c r="V25" i="96"/>
  <c r="F22" i="96"/>
  <c r="S19" i="96"/>
  <c r="S20" i="96" s="1"/>
  <c r="Q19" i="96"/>
  <c r="Q20" i="96" s="1"/>
  <c r="P19" i="96"/>
  <c r="P20" i="96" s="1"/>
  <c r="L19" i="96"/>
  <c r="L20" i="96" s="1"/>
  <c r="J19" i="96"/>
  <c r="J20" i="96" s="1"/>
  <c r="H19" i="96"/>
  <c r="H20" i="96" s="1"/>
  <c r="K18" i="96"/>
  <c r="K19" i="96" s="1"/>
  <c r="K20" i="96" s="1"/>
  <c r="W12" i="96"/>
  <c r="U12" i="96"/>
  <c r="I18" i="96" s="1"/>
  <c r="I19" i="96" s="1"/>
  <c r="I20" i="96" s="1"/>
  <c r="Q12" i="96"/>
  <c r="O18" i="96" s="1"/>
  <c r="O19" i="96" s="1"/>
  <c r="O20" i="96" s="1"/>
  <c r="O12" i="96"/>
  <c r="N18" i="96" s="1"/>
  <c r="N19" i="96" s="1"/>
  <c r="N20" i="96" s="1"/>
  <c r="N12" i="96"/>
  <c r="M12" i="96"/>
  <c r="M18" i="96" s="1"/>
  <c r="M19" i="96" s="1"/>
  <c r="M20" i="96" s="1"/>
  <c r="K12" i="96"/>
  <c r="G18" i="96" s="1"/>
  <c r="G19" i="96" s="1"/>
  <c r="G20" i="96" s="1"/>
  <c r="I12" i="96"/>
  <c r="F18" i="96" s="1"/>
  <c r="F19" i="96" s="1"/>
  <c r="F20" i="96" s="1"/>
  <c r="G12" i="96"/>
  <c r="E18" i="96" s="1"/>
  <c r="E19" i="96" s="1"/>
  <c r="E20" i="96" s="1"/>
  <c r="F12" i="96"/>
  <c r="E12" i="96"/>
  <c r="D18" i="96" s="1"/>
  <c r="D19" i="96" s="1"/>
  <c r="D20" i="96" s="1"/>
  <c r="C12" i="96"/>
  <c r="B18" i="96" s="1"/>
  <c r="B19" i="96" s="1"/>
  <c r="B20" i="96" s="1"/>
  <c r="X11" i="96"/>
  <c r="V11" i="96"/>
  <c r="T11" i="96"/>
  <c r="R11" i="96"/>
  <c r="P11" i="96"/>
  <c r="N11" i="96"/>
  <c r="L11" i="96"/>
  <c r="J11" i="96"/>
  <c r="H11" i="96"/>
  <c r="F11" i="96"/>
  <c r="D11" i="96"/>
  <c r="X10" i="96"/>
  <c r="V10" i="96"/>
  <c r="T10" i="96"/>
  <c r="R10" i="96"/>
  <c r="P10" i="96"/>
  <c r="N10" i="96"/>
  <c r="L10" i="96"/>
  <c r="J10" i="96"/>
  <c r="Y10" i="96" s="1"/>
  <c r="H10" i="96"/>
  <c r="F10" i="96"/>
  <c r="D10" i="96"/>
  <c r="X9" i="96"/>
  <c r="V9" i="96"/>
  <c r="T9" i="96"/>
  <c r="R9" i="96"/>
  <c r="P9" i="96"/>
  <c r="N9" i="96"/>
  <c r="L9" i="96"/>
  <c r="J9" i="96"/>
  <c r="H9" i="96"/>
  <c r="F9" i="96"/>
  <c r="D9" i="96"/>
  <c r="X8" i="96"/>
  <c r="V8" i="96"/>
  <c r="T8" i="96"/>
  <c r="R8" i="96"/>
  <c r="P8" i="96"/>
  <c r="N8" i="96"/>
  <c r="L8" i="96"/>
  <c r="J8" i="96"/>
  <c r="H8" i="96"/>
  <c r="F8" i="96"/>
  <c r="D8" i="96"/>
  <c r="X7" i="96"/>
  <c r="V7" i="96"/>
  <c r="T7" i="96"/>
  <c r="R7" i="96"/>
  <c r="P7" i="96"/>
  <c r="N7" i="96"/>
  <c r="L7" i="96"/>
  <c r="J7" i="96"/>
  <c r="H7" i="96"/>
  <c r="F7" i="96"/>
  <c r="D7" i="96"/>
  <c r="X6" i="96"/>
  <c r="X12" i="96" s="1"/>
  <c r="V6" i="96"/>
  <c r="T6" i="96"/>
  <c r="R6" i="96"/>
  <c r="R12" i="96" s="1"/>
  <c r="P6" i="96"/>
  <c r="P12" i="96" s="1"/>
  <c r="N6" i="96"/>
  <c r="L6" i="96"/>
  <c r="L12" i="96" s="1"/>
  <c r="J6" i="96"/>
  <c r="H6" i="96"/>
  <c r="F6" i="96"/>
  <c r="D6" i="96"/>
  <c r="Y9" i="96" l="1"/>
  <c r="V12" i="96"/>
  <c r="J12" i="96"/>
  <c r="H12" i="96"/>
  <c r="Y8" i="96"/>
  <c r="D12" i="96"/>
  <c r="T12" i="96"/>
  <c r="Y11" i="96"/>
  <c r="Y7" i="96"/>
  <c r="B21" i="96"/>
  <c r="Y6" i="96"/>
  <c r="Y12" i="96" l="1"/>
  <c r="V16" i="96" s="1"/>
  <c r="V24" i="96" s="1"/>
  <c r="V25" i="95" l="1"/>
  <c r="F22" i="95"/>
  <c r="S19" i="95"/>
  <c r="S20" i="95" s="1"/>
  <c r="Q19" i="95"/>
  <c r="Q20" i="95" s="1"/>
  <c r="P19" i="95"/>
  <c r="P20" i="95" s="1"/>
  <c r="O19" i="95"/>
  <c r="O20" i="95" s="1"/>
  <c r="L19" i="95"/>
  <c r="L20" i="95" s="1"/>
  <c r="J19" i="95"/>
  <c r="J20" i="95" s="1"/>
  <c r="H19" i="95"/>
  <c r="H20" i="95" s="1"/>
  <c r="D19" i="95"/>
  <c r="D20" i="95" s="1"/>
  <c r="O18" i="95"/>
  <c r="M18" i="95"/>
  <c r="M19" i="95" s="1"/>
  <c r="M20" i="95" s="1"/>
  <c r="I18" i="95"/>
  <c r="I19" i="95" s="1"/>
  <c r="I20" i="95" s="1"/>
  <c r="F18" i="95"/>
  <c r="F19" i="95" s="1"/>
  <c r="F20" i="95" s="1"/>
  <c r="D18" i="95"/>
  <c r="X12" i="95"/>
  <c r="W12" i="95"/>
  <c r="K18" i="95" s="1"/>
  <c r="K19" i="95" s="1"/>
  <c r="K20" i="95" s="1"/>
  <c r="V12" i="95"/>
  <c r="U12" i="95"/>
  <c r="S12" i="95"/>
  <c r="Q12" i="95"/>
  <c r="P12" i="95"/>
  <c r="O12" i="95"/>
  <c r="N18" i="95" s="1"/>
  <c r="N19" i="95" s="1"/>
  <c r="N20" i="95" s="1"/>
  <c r="N12" i="95"/>
  <c r="M12" i="95"/>
  <c r="K12" i="95"/>
  <c r="G18" i="95" s="1"/>
  <c r="G19" i="95" s="1"/>
  <c r="G20" i="95" s="1"/>
  <c r="I12" i="95"/>
  <c r="H12" i="95"/>
  <c r="G12" i="95"/>
  <c r="E18" i="95" s="1"/>
  <c r="E19" i="95" s="1"/>
  <c r="E20" i="95" s="1"/>
  <c r="F12" i="95"/>
  <c r="E12" i="95"/>
  <c r="C12" i="95"/>
  <c r="B18" i="95" s="1"/>
  <c r="B19" i="95" s="1"/>
  <c r="B20" i="95" s="1"/>
  <c r="X11" i="95"/>
  <c r="V11" i="95"/>
  <c r="T11" i="95"/>
  <c r="R11" i="95"/>
  <c r="P11" i="95"/>
  <c r="N11" i="95"/>
  <c r="L11" i="95"/>
  <c r="J11" i="95"/>
  <c r="H11" i="95"/>
  <c r="F11" i="95"/>
  <c r="D11" i="95"/>
  <c r="X10" i="95"/>
  <c r="V10" i="95"/>
  <c r="T10" i="95"/>
  <c r="R10" i="95"/>
  <c r="P10" i="95"/>
  <c r="N10" i="95"/>
  <c r="L10" i="95"/>
  <c r="J10" i="95"/>
  <c r="Y10" i="95" s="1"/>
  <c r="H10" i="95"/>
  <c r="F10" i="95"/>
  <c r="D10" i="95"/>
  <c r="X9" i="95"/>
  <c r="V9" i="95"/>
  <c r="T9" i="95"/>
  <c r="R9" i="95"/>
  <c r="P9" i="95"/>
  <c r="N9" i="95"/>
  <c r="L9" i="95"/>
  <c r="J9" i="95"/>
  <c r="H9" i="95"/>
  <c r="F9" i="95"/>
  <c r="D9" i="95"/>
  <c r="X8" i="95"/>
  <c r="V8" i="95"/>
  <c r="T8" i="95"/>
  <c r="R8" i="95"/>
  <c r="P8" i="95"/>
  <c r="N8" i="95"/>
  <c r="L8" i="95"/>
  <c r="J8" i="95"/>
  <c r="H8" i="95"/>
  <c r="F8" i="95"/>
  <c r="D8" i="95"/>
  <c r="X7" i="95"/>
  <c r="V7" i="95"/>
  <c r="T7" i="95"/>
  <c r="R7" i="95"/>
  <c r="P7" i="95"/>
  <c r="N7" i="95"/>
  <c r="L7" i="95"/>
  <c r="J7" i="95"/>
  <c r="Y7" i="95" s="1"/>
  <c r="H7" i="95"/>
  <c r="F7" i="95"/>
  <c r="D7" i="95"/>
  <c r="X6" i="95"/>
  <c r="V6" i="95"/>
  <c r="T6" i="95"/>
  <c r="R6" i="95"/>
  <c r="R12" i="95" s="1"/>
  <c r="P6" i="95"/>
  <c r="N6" i="95"/>
  <c r="L6" i="95"/>
  <c r="L12" i="95" s="1"/>
  <c r="J6" i="95"/>
  <c r="H6" i="95"/>
  <c r="F6" i="95"/>
  <c r="D6" i="95"/>
  <c r="Y11" i="95" l="1"/>
  <c r="T12" i="95"/>
  <c r="Y9" i="95"/>
  <c r="J12" i="95"/>
  <c r="D12" i="95"/>
  <c r="Y8" i="95"/>
  <c r="B21" i="95"/>
  <c r="Y6" i="95"/>
  <c r="V18" i="94"/>
  <c r="V25" i="94"/>
  <c r="F22" i="94"/>
  <c r="S19" i="94"/>
  <c r="S20" i="94" s="1"/>
  <c r="Q19" i="94"/>
  <c r="Q20" i="94" s="1"/>
  <c r="P19" i="94"/>
  <c r="P20" i="94" s="1"/>
  <c r="O19" i="94"/>
  <c r="O20" i="94" s="1"/>
  <c r="L19" i="94"/>
  <c r="L20" i="94" s="1"/>
  <c r="J19" i="94"/>
  <c r="J20" i="94" s="1"/>
  <c r="H19" i="94"/>
  <c r="H20" i="94" s="1"/>
  <c r="O18" i="94"/>
  <c r="M18" i="94"/>
  <c r="M19" i="94" s="1"/>
  <c r="M20" i="94" s="1"/>
  <c r="I18" i="94"/>
  <c r="I19" i="94" s="1"/>
  <c r="I20" i="94" s="1"/>
  <c r="D18" i="94"/>
  <c r="D19" i="94" s="1"/>
  <c r="D20" i="94" s="1"/>
  <c r="X12" i="94"/>
  <c r="W12" i="94"/>
  <c r="K18" i="94" s="1"/>
  <c r="K19" i="94" s="1"/>
  <c r="K20" i="94" s="1"/>
  <c r="V12" i="94"/>
  <c r="U12" i="94"/>
  <c r="T12" i="94"/>
  <c r="S12" i="94"/>
  <c r="Q12" i="94"/>
  <c r="P12" i="94"/>
  <c r="O12" i="94"/>
  <c r="N18" i="94" s="1"/>
  <c r="N19" i="94" s="1"/>
  <c r="N20" i="94" s="1"/>
  <c r="N12" i="94"/>
  <c r="M12" i="94"/>
  <c r="L12" i="94"/>
  <c r="K12" i="94"/>
  <c r="G18" i="94" s="1"/>
  <c r="G19" i="94" s="1"/>
  <c r="G20" i="94" s="1"/>
  <c r="I12" i="94"/>
  <c r="F18" i="94" s="1"/>
  <c r="F19" i="94" s="1"/>
  <c r="F20" i="94" s="1"/>
  <c r="G12" i="94"/>
  <c r="E18" i="94" s="1"/>
  <c r="E19" i="94" s="1"/>
  <c r="E20" i="94" s="1"/>
  <c r="F12" i="94"/>
  <c r="E12" i="94"/>
  <c r="C12" i="94"/>
  <c r="B18" i="94" s="1"/>
  <c r="B19" i="94" s="1"/>
  <c r="B20" i="94" s="1"/>
  <c r="X11" i="94"/>
  <c r="V11" i="94"/>
  <c r="T11" i="94"/>
  <c r="R11" i="94"/>
  <c r="P11" i="94"/>
  <c r="N11" i="94"/>
  <c r="L11" i="94"/>
  <c r="J11" i="94"/>
  <c r="Y11" i="94" s="1"/>
  <c r="H11" i="94"/>
  <c r="F11" i="94"/>
  <c r="D11" i="94"/>
  <c r="X10" i="94"/>
  <c r="V10" i="94"/>
  <c r="T10" i="94"/>
  <c r="R10" i="94"/>
  <c r="P10" i="94"/>
  <c r="N10" i="94"/>
  <c r="L10" i="94"/>
  <c r="J10" i="94"/>
  <c r="Y10" i="94" s="1"/>
  <c r="H10" i="94"/>
  <c r="F10" i="94"/>
  <c r="D10" i="94"/>
  <c r="X9" i="94"/>
  <c r="V9" i="94"/>
  <c r="T9" i="94"/>
  <c r="R9" i="94"/>
  <c r="P9" i="94"/>
  <c r="N9" i="94"/>
  <c r="L9" i="94"/>
  <c r="J9" i="94"/>
  <c r="Y9" i="94" s="1"/>
  <c r="H9" i="94"/>
  <c r="F9" i="94"/>
  <c r="D9" i="94"/>
  <c r="X8" i="94"/>
  <c r="V8" i="94"/>
  <c r="T8" i="94"/>
  <c r="R8" i="94"/>
  <c r="P8" i="94"/>
  <c r="N8" i="94"/>
  <c r="L8" i="94"/>
  <c r="J8" i="94"/>
  <c r="H8" i="94"/>
  <c r="F8" i="94"/>
  <c r="D8" i="94"/>
  <c r="X7" i="94"/>
  <c r="V7" i="94"/>
  <c r="T7" i="94"/>
  <c r="R7" i="94"/>
  <c r="P7" i="94"/>
  <c r="N7" i="94"/>
  <c r="L7" i="94"/>
  <c r="J7" i="94"/>
  <c r="H7" i="94"/>
  <c r="F7" i="94"/>
  <c r="D7" i="94"/>
  <c r="X6" i="94"/>
  <c r="V6" i="94"/>
  <c r="T6" i="94"/>
  <c r="R6" i="94"/>
  <c r="R12" i="94" s="1"/>
  <c r="P6" i="94"/>
  <c r="N6" i="94"/>
  <c r="L6" i="94"/>
  <c r="J6" i="94"/>
  <c r="H6" i="94"/>
  <c r="F6" i="94"/>
  <c r="D6" i="94"/>
  <c r="V18" i="93"/>
  <c r="V25" i="93"/>
  <c r="F22" i="93"/>
  <c r="S19" i="93"/>
  <c r="S20" i="93" s="1"/>
  <c r="Q19" i="93"/>
  <c r="Q20" i="93" s="1"/>
  <c r="P19" i="93"/>
  <c r="P20" i="93" s="1"/>
  <c r="L19" i="93"/>
  <c r="L20" i="93" s="1"/>
  <c r="K19" i="93"/>
  <c r="K20" i="93" s="1"/>
  <c r="J19" i="93"/>
  <c r="J20" i="93" s="1"/>
  <c r="H19" i="93"/>
  <c r="H20" i="93" s="1"/>
  <c r="M18" i="93"/>
  <c r="M19" i="93" s="1"/>
  <c r="M20" i="93" s="1"/>
  <c r="K18" i="93"/>
  <c r="W12" i="93"/>
  <c r="V12" i="93"/>
  <c r="U12" i="93"/>
  <c r="I18" i="93" s="1"/>
  <c r="I19" i="93" s="1"/>
  <c r="I20" i="93" s="1"/>
  <c r="S12" i="93"/>
  <c r="Q12" i="93"/>
  <c r="O18" i="93" s="1"/>
  <c r="O19" i="93" s="1"/>
  <c r="O20" i="93" s="1"/>
  <c r="O12" i="93"/>
  <c r="N18" i="93" s="1"/>
  <c r="N19" i="93" s="1"/>
  <c r="N20" i="93" s="1"/>
  <c r="N12" i="93"/>
  <c r="M12" i="93"/>
  <c r="K12" i="93"/>
  <c r="G18" i="93" s="1"/>
  <c r="G19" i="93" s="1"/>
  <c r="G20" i="93" s="1"/>
  <c r="I12" i="93"/>
  <c r="F18" i="93" s="1"/>
  <c r="F19" i="93" s="1"/>
  <c r="F20" i="93" s="1"/>
  <c r="G12" i="93"/>
  <c r="E18" i="93" s="1"/>
  <c r="E19" i="93" s="1"/>
  <c r="E20" i="93" s="1"/>
  <c r="F12" i="93"/>
  <c r="E12" i="93"/>
  <c r="D18" i="93" s="1"/>
  <c r="D19" i="93" s="1"/>
  <c r="D20" i="93" s="1"/>
  <c r="C12" i="93"/>
  <c r="B18" i="93" s="1"/>
  <c r="B19" i="93" s="1"/>
  <c r="B20" i="93" s="1"/>
  <c r="X11" i="93"/>
  <c r="V11" i="93"/>
  <c r="T11" i="93"/>
  <c r="R11" i="93"/>
  <c r="P11" i="93"/>
  <c r="N11" i="93"/>
  <c r="L11" i="93"/>
  <c r="J11" i="93"/>
  <c r="Y11" i="93" s="1"/>
  <c r="H11" i="93"/>
  <c r="F11" i="93"/>
  <c r="D11" i="93"/>
  <c r="X10" i="93"/>
  <c r="V10" i="93"/>
  <c r="T10" i="93"/>
  <c r="R10" i="93"/>
  <c r="P10" i="93"/>
  <c r="N10" i="93"/>
  <c r="L10" i="93"/>
  <c r="J10" i="93"/>
  <c r="Y10" i="93" s="1"/>
  <c r="H10" i="93"/>
  <c r="F10" i="93"/>
  <c r="D10" i="93"/>
  <c r="X9" i="93"/>
  <c r="V9" i="93"/>
  <c r="T9" i="93"/>
  <c r="R9" i="93"/>
  <c r="P9" i="93"/>
  <c r="N9" i="93"/>
  <c r="L9" i="93"/>
  <c r="J9" i="93"/>
  <c r="H9" i="93"/>
  <c r="F9" i="93"/>
  <c r="D9" i="93"/>
  <c r="X8" i="93"/>
  <c r="V8" i="93"/>
  <c r="T8" i="93"/>
  <c r="R8" i="93"/>
  <c r="P8" i="93"/>
  <c r="N8" i="93"/>
  <c r="L8" i="93"/>
  <c r="J8" i="93"/>
  <c r="H8" i="93"/>
  <c r="F8" i="93"/>
  <c r="D8" i="93"/>
  <c r="X7" i="93"/>
  <c r="V7" i="93"/>
  <c r="T7" i="93"/>
  <c r="R7" i="93"/>
  <c r="P7" i="93"/>
  <c r="N7" i="93"/>
  <c r="L7" i="93"/>
  <c r="J7" i="93"/>
  <c r="H7" i="93"/>
  <c r="F7" i="93"/>
  <c r="D7" i="93"/>
  <c r="X6" i="93"/>
  <c r="X12" i="93" s="1"/>
  <c r="V6" i="93"/>
  <c r="T6" i="93"/>
  <c r="R6" i="93"/>
  <c r="R12" i="93" s="1"/>
  <c r="P6" i="93"/>
  <c r="P12" i="93" s="1"/>
  <c r="N6" i="93"/>
  <c r="L6" i="93"/>
  <c r="L12" i="93" s="1"/>
  <c r="J6" i="93"/>
  <c r="H6" i="93"/>
  <c r="F6" i="93"/>
  <c r="D6" i="93"/>
  <c r="V18" i="92"/>
  <c r="V25" i="92"/>
  <c r="F22" i="92"/>
  <c r="S19" i="92"/>
  <c r="S20" i="92" s="1"/>
  <c r="Q19" i="92"/>
  <c r="Q20" i="92" s="1"/>
  <c r="P19" i="92"/>
  <c r="P20" i="92" s="1"/>
  <c r="L19" i="92"/>
  <c r="L20" i="92" s="1"/>
  <c r="J19" i="92"/>
  <c r="J20" i="92" s="1"/>
  <c r="H19" i="92"/>
  <c r="H20" i="92" s="1"/>
  <c r="M18" i="92"/>
  <c r="M19" i="92" s="1"/>
  <c r="M20" i="92" s="1"/>
  <c r="W12" i="92"/>
  <c r="K18" i="92" s="1"/>
  <c r="K19" i="92" s="1"/>
  <c r="K20" i="92" s="1"/>
  <c r="V12" i="92"/>
  <c r="U12" i="92"/>
  <c r="I18" i="92" s="1"/>
  <c r="I19" i="92" s="1"/>
  <c r="I20" i="92" s="1"/>
  <c r="S12" i="92"/>
  <c r="Q12" i="92"/>
  <c r="O18" i="92" s="1"/>
  <c r="O19" i="92" s="1"/>
  <c r="O20" i="92" s="1"/>
  <c r="O12" i="92"/>
  <c r="N18" i="92" s="1"/>
  <c r="N19" i="92" s="1"/>
  <c r="N20" i="92" s="1"/>
  <c r="N12" i="92"/>
  <c r="M12" i="92"/>
  <c r="K12" i="92"/>
  <c r="G18" i="92" s="1"/>
  <c r="G19" i="92" s="1"/>
  <c r="G20" i="92" s="1"/>
  <c r="I12" i="92"/>
  <c r="F18" i="92" s="1"/>
  <c r="F19" i="92" s="1"/>
  <c r="F20" i="92" s="1"/>
  <c r="G12" i="92"/>
  <c r="E18" i="92" s="1"/>
  <c r="E19" i="92" s="1"/>
  <c r="E20" i="92" s="1"/>
  <c r="F12" i="92"/>
  <c r="E12" i="92"/>
  <c r="D18" i="92" s="1"/>
  <c r="D19" i="92" s="1"/>
  <c r="D20" i="92" s="1"/>
  <c r="C12" i="92"/>
  <c r="B18" i="92" s="1"/>
  <c r="B19" i="92" s="1"/>
  <c r="B20" i="92" s="1"/>
  <c r="X11" i="92"/>
  <c r="V11" i="92"/>
  <c r="T11" i="92"/>
  <c r="R11" i="92"/>
  <c r="P11" i="92"/>
  <c r="N11" i="92"/>
  <c r="L11" i="92"/>
  <c r="J11" i="92"/>
  <c r="H11" i="92"/>
  <c r="F11" i="92"/>
  <c r="D11" i="92"/>
  <c r="X10" i="92"/>
  <c r="V10" i="92"/>
  <c r="T10" i="92"/>
  <c r="R10" i="92"/>
  <c r="P10" i="92"/>
  <c r="N10" i="92"/>
  <c r="L10" i="92"/>
  <c r="J10" i="92"/>
  <c r="Y10" i="92" s="1"/>
  <c r="H10" i="92"/>
  <c r="F10" i="92"/>
  <c r="D10" i="92"/>
  <c r="X9" i="92"/>
  <c r="V9" i="92"/>
  <c r="T9" i="92"/>
  <c r="R9" i="92"/>
  <c r="P9" i="92"/>
  <c r="N9" i="92"/>
  <c r="L9" i="92"/>
  <c r="J9" i="92"/>
  <c r="Y9" i="92" s="1"/>
  <c r="H9" i="92"/>
  <c r="F9" i="92"/>
  <c r="D9" i="92"/>
  <c r="X8" i="92"/>
  <c r="V8" i="92"/>
  <c r="T8" i="92"/>
  <c r="R8" i="92"/>
  <c r="P8" i="92"/>
  <c r="N8" i="92"/>
  <c r="L8" i="92"/>
  <c r="J8" i="92"/>
  <c r="H8" i="92"/>
  <c r="F8" i="92"/>
  <c r="D8" i="92"/>
  <c r="X7" i="92"/>
  <c r="V7" i="92"/>
  <c r="T7" i="92"/>
  <c r="R7" i="92"/>
  <c r="P7" i="92"/>
  <c r="N7" i="92"/>
  <c r="L7" i="92"/>
  <c r="J7" i="92"/>
  <c r="H7" i="92"/>
  <c r="F7" i="92"/>
  <c r="D7" i="92"/>
  <c r="X6" i="92"/>
  <c r="X12" i="92" s="1"/>
  <c r="V6" i="92"/>
  <c r="T6" i="92"/>
  <c r="R6" i="92"/>
  <c r="R12" i="92" s="1"/>
  <c r="P6" i="92"/>
  <c r="P12" i="92" s="1"/>
  <c r="N6" i="92"/>
  <c r="L6" i="92"/>
  <c r="L12" i="92" s="1"/>
  <c r="J6" i="92"/>
  <c r="H6" i="92"/>
  <c r="F6" i="92"/>
  <c r="D6" i="92"/>
  <c r="Y12" i="95" l="1"/>
  <c r="V16" i="95" s="1"/>
  <c r="V24" i="95" s="1"/>
  <c r="H12" i="94"/>
  <c r="D12" i="94"/>
  <c r="J12" i="94"/>
  <c r="Y8" i="94"/>
  <c r="Y7" i="94"/>
  <c r="B21" i="94"/>
  <c r="Y6" i="94"/>
  <c r="D12" i="93"/>
  <c r="Y8" i="93"/>
  <c r="T12" i="93"/>
  <c r="J12" i="93"/>
  <c r="H12" i="93"/>
  <c r="Y7" i="93"/>
  <c r="Y9" i="93"/>
  <c r="B21" i="93"/>
  <c r="Y6" i="93"/>
  <c r="J12" i="92"/>
  <c r="T12" i="92"/>
  <c r="Y11" i="92"/>
  <c r="D12" i="92"/>
  <c r="H12" i="92"/>
  <c r="Y8" i="92"/>
  <c r="Y7" i="92"/>
  <c r="B21" i="92"/>
  <c r="Y6" i="92"/>
  <c r="Y12" i="94" l="1"/>
  <c r="V16" i="94" s="1"/>
  <c r="V24" i="94" s="1"/>
  <c r="Y12" i="93"/>
  <c r="V16" i="93" s="1"/>
  <c r="V24" i="93" s="1"/>
  <c r="Y12" i="92"/>
  <c r="V16" i="92" s="1"/>
  <c r="V24" i="92" s="1"/>
  <c r="V18" i="91" l="1"/>
  <c r="V25" i="91"/>
  <c r="F22" i="91"/>
  <c r="S19" i="91"/>
  <c r="S20" i="91" s="1"/>
  <c r="Q19" i="91"/>
  <c r="Q20" i="91" s="1"/>
  <c r="P19" i="91"/>
  <c r="P20" i="91" s="1"/>
  <c r="L19" i="91"/>
  <c r="L20" i="91" s="1"/>
  <c r="J19" i="91"/>
  <c r="J20" i="91" s="1"/>
  <c r="H19" i="91"/>
  <c r="H20" i="91" s="1"/>
  <c r="K18" i="91"/>
  <c r="K19" i="91" s="1"/>
  <c r="K20" i="91" s="1"/>
  <c r="E18" i="91"/>
  <c r="E19" i="91" s="1"/>
  <c r="E20" i="91" s="1"/>
  <c r="W12" i="91"/>
  <c r="U12" i="91"/>
  <c r="I18" i="91" s="1"/>
  <c r="I19" i="91" s="1"/>
  <c r="I20" i="91" s="1"/>
  <c r="S12" i="91"/>
  <c r="Q12" i="91"/>
  <c r="O18" i="91" s="1"/>
  <c r="O19" i="91" s="1"/>
  <c r="O20" i="91" s="1"/>
  <c r="O12" i="91"/>
  <c r="N18" i="91" s="1"/>
  <c r="N19" i="91" s="1"/>
  <c r="N20" i="91" s="1"/>
  <c r="M12" i="91"/>
  <c r="M18" i="91" s="1"/>
  <c r="M19" i="91" s="1"/>
  <c r="M20" i="91" s="1"/>
  <c r="K12" i="91"/>
  <c r="G18" i="91" s="1"/>
  <c r="G19" i="91" s="1"/>
  <c r="G20" i="91" s="1"/>
  <c r="I12" i="91"/>
  <c r="F18" i="91" s="1"/>
  <c r="F19" i="91" s="1"/>
  <c r="F20" i="91" s="1"/>
  <c r="G12" i="91"/>
  <c r="E12" i="91"/>
  <c r="D18" i="91" s="1"/>
  <c r="D19" i="91" s="1"/>
  <c r="D20" i="91" s="1"/>
  <c r="C12" i="91"/>
  <c r="B18" i="91" s="1"/>
  <c r="B19" i="91" s="1"/>
  <c r="B20" i="91" s="1"/>
  <c r="X11" i="91"/>
  <c r="V11" i="91"/>
  <c r="T11" i="91"/>
  <c r="R11" i="91"/>
  <c r="P11" i="91"/>
  <c r="N11" i="91"/>
  <c r="L11" i="91"/>
  <c r="J11" i="91"/>
  <c r="H11" i="91"/>
  <c r="F11" i="91"/>
  <c r="D11" i="91"/>
  <c r="Y11" i="91" s="1"/>
  <c r="X10" i="91"/>
  <c r="V10" i="91"/>
  <c r="T10" i="91"/>
  <c r="R10" i="91"/>
  <c r="P10" i="91"/>
  <c r="N10" i="91"/>
  <c r="L10" i="91"/>
  <c r="J10" i="91"/>
  <c r="H10" i="91"/>
  <c r="F10" i="91"/>
  <c r="D10" i="91"/>
  <c r="Y10" i="91" s="1"/>
  <c r="X9" i="91"/>
  <c r="V9" i="91"/>
  <c r="T9" i="91"/>
  <c r="R9" i="91"/>
  <c r="P9" i="91"/>
  <c r="N9" i="91"/>
  <c r="L9" i="91"/>
  <c r="J9" i="91"/>
  <c r="H9" i="91"/>
  <c r="F9" i="91"/>
  <c r="D9" i="91"/>
  <c r="Y9" i="91" s="1"/>
  <c r="X8" i="91"/>
  <c r="V8" i="91"/>
  <c r="T8" i="91"/>
  <c r="R8" i="91"/>
  <c r="P8" i="91"/>
  <c r="N8" i="91"/>
  <c r="L8" i="91"/>
  <c r="J8" i="91"/>
  <c r="H8" i="91"/>
  <c r="F8" i="91"/>
  <c r="D8" i="91"/>
  <c r="Y8" i="91" s="1"/>
  <c r="X7" i="91"/>
  <c r="V7" i="91"/>
  <c r="T7" i="91"/>
  <c r="R7" i="91"/>
  <c r="P7" i="91"/>
  <c r="N7" i="91"/>
  <c r="L7" i="91"/>
  <c r="J7" i="91"/>
  <c r="H7" i="91"/>
  <c r="F7" i="91"/>
  <c r="D7" i="91"/>
  <c r="X6" i="91"/>
  <c r="X12" i="91" s="1"/>
  <c r="V6" i="91"/>
  <c r="V12" i="91" s="1"/>
  <c r="T6" i="91"/>
  <c r="T12" i="91" s="1"/>
  <c r="R6" i="91"/>
  <c r="R12" i="91" s="1"/>
  <c r="P6" i="91"/>
  <c r="P12" i="91" s="1"/>
  <c r="N6" i="91"/>
  <c r="N12" i="91" s="1"/>
  <c r="L6" i="91"/>
  <c r="L12" i="91" s="1"/>
  <c r="J6" i="91"/>
  <c r="J12" i="91" s="1"/>
  <c r="H6" i="91"/>
  <c r="F6" i="91"/>
  <c r="F12" i="91" s="1"/>
  <c r="D6" i="91"/>
  <c r="V25" i="90"/>
  <c r="F22" i="90"/>
  <c r="S19" i="90"/>
  <c r="S20" i="90" s="1"/>
  <c r="Q19" i="90"/>
  <c r="Q20" i="90" s="1"/>
  <c r="P19" i="90"/>
  <c r="P20" i="90" s="1"/>
  <c r="L19" i="90"/>
  <c r="L20" i="90" s="1"/>
  <c r="J19" i="90"/>
  <c r="J20" i="90" s="1"/>
  <c r="H19" i="90"/>
  <c r="H20" i="90" s="1"/>
  <c r="O18" i="90"/>
  <c r="O19" i="90" s="1"/>
  <c r="O20" i="90" s="1"/>
  <c r="K18" i="90"/>
  <c r="K19" i="90" s="1"/>
  <c r="K20" i="90" s="1"/>
  <c r="I18" i="90"/>
  <c r="I19" i="90" s="1"/>
  <c r="I20" i="90" s="1"/>
  <c r="D18" i="90"/>
  <c r="D19" i="90" s="1"/>
  <c r="D20" i="90" s="1"/>
  <c r="W12" i="90"/>
  <c r="U12" i="90"/>
  <c r="S12" i="90"/>
  <c r="Q12" i="90"/>
  <c r="P12" i="90"/>
  <c r="O12" i="90"/>
  <c r="N18" i="90" s="1"/>
  <c r="N19" i="90" s="1"/>
  <c r="N20" i="90" s="1"/>
  <c r="M12" i="90"/>
  <c r="M18" i="90" s="1"/>
  <c r="M19" i="90" s="1"/>
  <c r="M20" i="90" s="1"/>
  <c r="L12" i="90"/>
  <c r="K12" i="90"/>
  <c r="G18" i="90" s="1"/>
  <c r="G19" i="90" s="1"/>
  <c r="G20" i="90" s="1"/>
  <c r="I12" i="90"/>
  <c r="F18" i="90" s="1"/>
  <c r="F19" i="90" s="1"/>
  <c r="F20" i="90" s="1"/>
  <c r="H12" i="90"/>
  <c r="G12" i="90"/>
  <c r="E18" i="90" s="1"/>
  <c r="E19" i="90" s="1"/>
  <c r="E20" i="90" s="1"/>
  <c r="E12" i="90"/>
  <c r="C12" i="90"/>
  <c r="B18" i="90" s="1"/>
  <c r="B19" i="90" s="1"/>
  <c r="B20" i="90" s="1"/>
  <c r="X11" i="90"/>
  <c r="V11" i="90"/>
  <c r="T11" i="90"/>
  <c r="R11" i="90"/>
  <c r="P11" i="90"/>
  <c r="N11" i="90"/>
  <c r="L11" i="90"/>
  <c r="J11" i="90"/>
  <c r="H11" i="90"/>
  <c r="F11" i="90"/>
  <c r="D11" i="90"/>
  <c r="Y11" i="90" s="1"/>
  <c r="X10" i="90"/>
  <c r="V10" i="90"/>
  <c r="T10" i="90"/>
  <c r="R10" i="90"/>
  <c r="P10" i="90"/>
  <c r="N10" i="90"/>
  <c r="L10" i="90"/>
  <c r="J10" i="90"/>
  <c r="H10" i="90"/>
  <c r="F10" i="90"/>
  <c r="D10" i="90"/>
  <c r="Y10" i="90" s="1"/>
  <c r="X9" i="90"/>
  <c r="V9" i="90"/>
  <c r="T9" i="90"/>
  <c r="R9" i="90"/>
  <c r="P9" i="90"/>
  <c r="N9" i="90"/>
  <c r="L9" i="90"/>
  <c r="J9" i="90"/>
  <c r="H9" i="90"/>
  <c r="F9" i="90"/>
  <c r="D9" i="90"/>
  <c r="Y9" i="90" s="1"/>
  <c r="X8" i="90"/>
  <c r="V8" i="90"/>
  <c r="T8" i="90"/>
  <c r="R8" i="90"/>
  <c r="P8" i="90"/>
  <c r="N8" i="90"/>
  <c r="L8" i="90"/>
  <c r="J8" i="90"/>
  <c r="H8" i="90"/>
  <c r="F8" i="90"/>
  <c r="D8" i="90"/>
  <c r="Y8" i="90" s="1"/>
  <c r="X7" i="90"/>
  <c r="V7" i="90"/>
  <c r="T7" i="90"/>
  <c r="T12" i="90" s="1"/>
  <c r="R7" i="90"/>
  <c r="P7" i="90"/>
  <c r="N7" i="90"/>
  <c r="L7" i="90"/>
  <c r="J7" i="90"/>
  <c r="H7" i="90"/>
  <c r="F7" i="90"/>
  <c r="D7" i="90"/>
  <c r="Y7" i="90" s="1"/>
  <c r="X6" i="90"/>
  <c r="X12" i="90" s="1"/>
  <c r="V6" i="90"/>
  <c r="V12" i="90" s="1"/>
  <c r="T6" i="90"/>
  <c r="R6" i="90"/>
  <c r="R12" i="90" s="1"/>
  <c r="P6" i="90"/>
  <c r="N6" i="90"/>
  <c r="N12" i="90" s="1"/>
  <c r="L6" i="90"/>
  <c r="J6" i="90"/>
  <c r="J12" i="90" s="1"/>
  <c r="H6" i="90"/>
  <c r="F6" i="90"/>
  <c r="F12" i="90" s="1"/>
  <c r="D6" i="90"/>
  <c r="Y6" i="90" s="1"/>
  <c r="V18" i="89"/>
  <c r="V25" i="89"/>
  <c r="F22" i="89"/>
  <c r="S19" i="89"/>
  <c r="S20" i="89" s="1"/>
  <c r="Q19" i="89"/>
  <c r="Q20" i="89" s="1"/>
  <c r="P19" i="89"/>
  <c r="P20" i="89" s="1"/>
  <c r="L19" i="89"/>
  <c r="L20" i="89" s="1"/>
  <c r="J19" i="89"/>
  <c r="J20" i="89" s="1"/>
  <c r="H19" i="89"/>
  <c r="H20" i="89" s="1"/>
  <c r="O18" i="89"/>
  <c r="O19" i="89" s="1"/>
  <c r="O20" i="89" s="1"/>
  <c r="I18" i="89"/>
  <c r="I19" i="89" s="1"/>
  <c r="I20" i="89" s="1"/>
  <c r="D18" i="89"/>
  <c r="D19" i="89" s="1"/>
  <c r="D20" i="89" s="1"/>
  <c r="W12" i="89"/>
  <c r="K18" i="89" s="1"/>
  <c r="K19" i="89" s="1"/>
  <c r="K20" i="89" s="1"/>
  <c r="U12" i="89"/>
  <c r="T12" i="89"/>
  <c r="S12" i="89"/>
  <c r="Q12" i="89"/>
  <c r="P12" i="89"/>
  <c r="O12" i="89"/>
  <c r="N18" i="89" s="1"/>
  <c r="N19" i="89" s="1"/>
  <c r="N20" i="89" s="1"/>
  <c r="M12" i="89"/>
  <c r="M18" i="89" s="1"/>
  <c r="M19" i="89" s="1"/>
  <c r="M20" i="89" s="1"/>
  <c r="L12" i="89"/>
  <c r="K12" i="89"/>
  <c r="G18" i="89" s="1"/>
  <c r="G19" i="89" s="1"/>
  <c r="G20" i="89" s="1"/>
  <c r="I12" i="89"/>
  <c r="F18" i="89" s="1"/>
  <c r="F19" i="89" s="1"/>
  <c r="F20" i="89" s="1"/>
  <c r="G12" i="89"/>
  <c r="E18" i="89" s="1"/>
  <c r="E19" i="89" s="1"/>
  <c r="E20" i="89" s="1"/>
  <c r="E12" i="89"/>
  <c r="C12" i="89"/>
  <c r="B18" i="89" s="1"/>
  <c r="B19" i="89" s="1"/>
  <c r="B20" i="89" s="1"/>
  <c r="X11" i="89"/>
  <c r="V11" i="89"/>
  <c r="T11" i="89"/>
  <c r="R11" i="89"/>
  <c r="P11" i="89"/>
  <c r="N11" i="89"/>
  <c r="L11" i="89"/>
  <c r="J11" i="89"/>
  <c r="H11" i="89"/>
  <c r="F11" i="89"/>
  <c r="D11" i="89"/>
  <c r="Y11" i="89" s="1"/>
  <c r="X10" i="89"/>
  <c r="V10" i="89"/>
  <c r="T10" i="89"/>
  <c r="R10" i="89"/>
  <c r="P10" i="89"/>
  <c r="N10" i="89"/>
  <c r="L10" i="89"/>
  <c r="J10" i="89"/>
  <c r="H10" i="89"/>
  <c r="F10" i="89"/>
  <c r="D10" i="89"/>
  <c r="Y10" i="89" s="1"/>
  <c r="X9" i="89"/>
  <c r="V9" i="89"/>
  <c r="T9" i="89"/>
  <c r="R9" i="89"/>
  <c r="P9" i="89"/>
  <c r="N9" i="89"/>
  <c r="L9" i="89"/>
  <c r="J9" i="89"/>
  <c r="H9" i="89"/>
  <c r="F9" i="89"/>
  <c r="D9" i="89"/>
  <c r="X8" i="89"/>
  <c r="V8" i="89"/>
  <c r="T8" i="89"/>
  <c r="R8" i="89"/>
  <c r="P8" i="89"/>
  <c r="N8" i="89"/>
  <c r="L8" i="89"/>
  <c r="J8" i="89"/>
  <c r="H8" i="89"/>
  <c r="F8" i="89"/>
  <c r="D8" i="89"/>
  <c r="X7" i="89"/>
  <c r="X12" i="89" s="1"/>
  <c r="V7" i="89"/>
  <c r="T7" i="89"/>
  <c r="R7" i="89"/>
  <c r="P7" i="89"/>
  <c r="N7" i="89"/>
  <c r="L7" i="89"/>
  <c r="J7" i="89"/>
  <c r="H7" i="89"/>
  <c r="F7" i="89"/>
  <c r="D7" i="89"/>
  <c r="X6" i="89"/>
  <c r="V6" i="89"/>
  <c r="V12" i="89" s="1"/>
  <c r="T6" i="89"/>
  <c r="R6" i="89"/>
  <c r="R12" i="89" s="1"/>
  <c r="P6" i="89"/>
  <c r="N6" i="89"/>
  <c r="N12" i="89" s="1"/>
  <c r="L6" i="89"/>
  <c r="J6" i="89"/>
  <c r="H6" i="89"/>
  <c r="F6" i="89"/>
  <c r="F12" i="89" s="1"/>
  <c r="D6" i="89"/>
  <c r="V25" i="88"/>
  <c r="F22" i="88"/>
  <c r="S19" i="88"/>
  <c r="S20" i="88" s="1"/>
  <c r="Q19" i="88"/>
  <c r="Q20" i="88" s="1"/>
  <c r="P19" i="88"/>
  <c r="P20" i="88" s="1"/>
  <c r="L19" i="88"/>
  <c r="L20" i="88" s="1"/>
  <c r="J19" i="88"/>
  <c r="J20" i="88" s="1"/>
  <c r="H19" i="88"/>
  <c r="H20" i="88" s="1"/>
  <c r="M18" i="88"/>
  <c r="M19" i="88" s="1"/>
  <c r="M20" i="88" s="1"/>
  <c r="W12" i="88"/>
  <c r="K18" i="88" s="1"/>
  <c r="K19" i="88" s="1"/>
  <c r="K20" i="88" s="1"/>
  <c r="V12" i="88"/>
  <c r="U12" i="88"/>
  <c r="I18" i="88" s="1"/>
  <c r="I19" i="88" s="1"/>
  <c r="I20" i="88" s="1"/>
  <c r="S12" i="88"/>
  <c r="Q12" i="88"/>
  <c r="O18" i="88" s="1"/>
  <c r="O19" i="88" s="1"/>
  <c r="O20" i="88" s="1"/>
  <c r="O12" i="88"/>
  <c r="N18" i="88" s="1"/>
  <c r="N19" i="88" s="1"/>
  <c r="N20" i="88" s="1"/>
  <c r="N12" i="88"/>
  <c r="M12" i="88"/>
  <c r="K12" i="88"/>
  <c r="G18" i="88" s="1"/>
  <c r="G19" i="88" s="1"/>
  <c r="G20" i="88" s="1"/>
  <c r="I12" i="88"/>
  <c r="F18" i="88" s="1"/>
  <c r="F19" i="88" s="1"/>
  <c r="F20" i="88" s="1"/>
  <c r="G12" i="88"/>
  <c r="E18" i="88" s="1"/>
  <c r="E19" i="88" s="1"/>
  <c r="E20" i="88" s="1"/>
  <c r="F12" i="88"/>
  <c r="E12" i="88"/>
  <c r="D18" i="88" s="1"/>
  <c r="D19" i="88" s="1"/>
  <c r="D20" i="88" s="1"/>
  <c r="C12" i="88"/>
  <c r="B18" i="88" s="1"/>
  <c r="B19" i="88" s="1"/>
  <c r="B20" i="88" s="1"/>
  <c r="X11" i="88"/>
  <c r="V11" i="88"/>
  <c r="T11" i="88"/>
  <c r="R11" i="88"/>
  <c r="P11" i="88"/>
  <c r="N11" i="88"/>
  <c r="L11" i="88"/>
  <c r="J11" i="88"/>
  <c r="Y11" i="88" s="1"/>
  <c r="H11" i="88"/>
  <c r="F11" i="88"/>
  <c r="D11" i="88"/>
  <c r="X10" i="88"/>
  <c r="V10" i="88"/>
  <c r="T10" i="88"/>
  <c r="R10" i="88"/>
  <c r="P10" i="88"/>
  <c r="N10" i="88"/>
  <c r="L10" i="88"/>
  <c r="J10" i="88"/>
  <c r="Y10" i="88" s="1"/>
  <c r="H10" i="88"/>
  <c r="F10" i="88"/>
  <c r="D10" i="88"/>
  <c r="X9" i="88"/>
  <c r="V9" i="88"/>
  <c r="T9" i="88"/>
  <c r="R9" i="88"/>
  <c r="P9" i="88"/>
  <c r="N9" i="88"/>
  <c r="L9" i="88"/>
  <c r="J9" i="88"/>
  <c r="H9" i="88"/>
  <c r="F9" i="88"/>
  <c r="D9" i="88"/>
  <c r="X8" i="88"/>
  <c r="V8" i="88"/>
  <c r="T8" i="88"/>
  <c r="R8" i="88"/>
  <c r="P8" i="88"/>
  <c r="N8" i="88"/>
  <c r="L8" i="88"/>
  <c r="J8" i="88"/>
  <c r="H8" i="88"/>
  <c r="F8" i="88"/>
  <c r="D8" i="88"/>
  <c r="X7" i="88"/>
  <c r="V7" i="88"/>
  <c r="T7" i="88"/>
  <c r="R7" i="88"/>
  <c r="P7" i="88"/>
  <c r="N7" i="88"/>
  <c r="L7" i="88"/>
  <c r="J7" i="88"/>
  <c r="H7" i="88"/>
  <c r="F7" i="88"/>
  <c r="D7" i="88"/>
  <c r="X6" i="88"/>
  <c r="X12" i="88" s="1"/>
  <c r="V6" i="88"/>
  <c r="T6" i="88"/>
  <c r="T12" i="88" s="1"/>
  <c r="R6" i="88"/>
  <c r="R12" i="88" s="1"/>
  <c r="P6" i="88"/>
  <c r="P12" i="88" s="1"/>
  <c r="N6" i="88"/>
  <c r="L6" i="88"/>
  <c r="L12" i="88" s="1"/>
  <c r="J6" i="88"/>
  <c r="H6" i="88"/>
  <c r="F6" i="88"/>
  <c r="D6" i="88"/>
  <c r="V18" i="87"/>
  <c r="V25" i="87"/>
  <c r="F22" i="87"/>
  <c r="S19" i="87"/>
  <c r="S20" i="87" s="1"/>
  <c r="Q19" i="87"/>
  <c r="Q20" i="87" s="1"/>
  <c r="P19" i="87"/>
  <c r="P20" i="87" s="1"/>
  <c r="O19" i="87"/>
  <c r="O20" i="87" s="1"/>
  <c r="L19" i="87"/>
  <c r="L20" i="87" s="1"/>
  <c r="J19" i="87"/>
  <c r="J20" i="87" s="1"/>
  <c r="H19" i="87"/>
  <c r="H20" i="87" s="1"/>
  <c r="D19" i="87"/>
  <c r="D20" i="87" s="1"/>
  <c r="O18" i="87"/>
  <c r="M18" i="87"/>
  <c r="M19" i="87" s="1"/>
  <c r="M20" i="87" s="1"/>
  <c r="D18" i="87"/>
  <c r="X12" i="87"/>
  <c r="W12" i="87"/>
  <c r="K18" i="87" s="1"/>
  <c r="K19" i="87" s="1"/>
  <c r="K20" i="87" s="1"/>
  <c r="U12" i="87"/>
  <c r="I18" i="87" s="1"/>
  <c r="I19" i="87" s="1"/>
  <c r="I20" i="87" s="1"/>
  <c r="S12" i="87"/>
  <c r="Q12" i="87"/>
  <c r="P12" i="87"/>
  <c r="O12" i="87"/>
  <c r="N18" i="87" s="1"/>
  <c r="N19" i="87" s="1"/>
  <c r="N20" i="87" s="1"/>
  <c r="N12" i="87"/>
  <c r="M12" i="87"/>
  <c r="K12" i="87"/>
  <c r="G18" i="87" s="1"/>
  <c r="G19" i="87" s="1"/>
  <c r="G20" i="87" s="1"/>
  <c r="I12" i="87"/>
  <c r="F18" i="87" s="1"/>
  <c r="F19" i="87" s="1"/>
  <c r="F20" i="87" s="1"/>
  <c r="G12" i="87"/>
  <c r="E18" i="87" s="1"/>
  <c r="E19" i="87" s="1"/>
  <c r="E20" i="87" s="1"/>
  <c r="F12" i="87"/>
  <c r="E12" i="87"/>
  <c r="C12" i="87"/>
  <c r="B18" i="87" s="1"/>
  <c r="B19" i="87" s="1"/>
  <c r="B20" i="87" s="1"/>
  <c r="X11" i="87"/>
  <c r="V11" i="87"/>
  <c r="T11" i="87"/>
  <c r="R11" i="87"/>
  <c r="P11" i="87"/>
  <c r="N11" i="87"/>
  <c r="L11" i="87"/>
  <c r="J11" i="87"/>
  <c r="Y11" i="87" s="1"/>
  <c r="H11" i="87"/>
  <c r="F11" i="87"/>
  <c r="D11" i="87"/>
  <c r="X10" i="87"/>
  <c r="V10" i="87"/>
  <c r="T10" i="87"/>
  <c r="R10" i="87"/>
  <c r="P10" i="87"/>
  <c r="N10" i="87"/>
  <c r="L10" i="87"/>
  <c r="J10" i="87"/>
  <c r="Y10" i="87" s="1"/>
  <c r="H10" i="87"/>
  <c r="F10" i="87"/>
  <c r="D10" i="87"/>
  <c r="X9" i="87"/>
  <c r="V9" i="87"/>
  <c r="T9" i="87"/>
  <c r="R9" i="87"/>
  <c r="P9" i="87"/>
  <c r="N9" i="87"/>
  <c r="L9" i="87"/>
  <c r="J9" i="87"/>
  <c r="Y9" i="87" s="1"/>
  <c r="H9" i="87"/>
  <c r="F9" i="87"/>
  <c r="D9" i="87"/>
  <c r="X8" i="87"/>
  <c r="V8" i="87"/>
  <c r="T8" i="87"/>
  <c r="R8" i="87"/>
  <c r="P8" i="87"/>
  <c r="N8" i="87"/>
  <c r="L8" i="87"/>
  <c r="J8" i="87"/>
  <c r="H8" i="87"/>
  <c r="F8" i="87"/>
  <c r="D8" i="87"/>
  <c r="X7" i="87"/>
  <c r="V7" i="87"/>
  <c r="V12" i="87" s="1"/>
  <c r="T7" i="87"/>
  <c r="R7" i="87"/>
  <c r="P7" i="87"/>
  <c r="N7" i="87"/>
  <c r="L7" i="87"/>
  <c r="J7" i="87"/>
  <c r="H7" i="87"/>
  <c r="F7" i="87"/>
  <c r="D7" i="87"/>
  <c r="X6" i="87"/>
  <c r="V6" i="87"/>
  <c r="T6" i="87"/>
  <c r="R6" i="87"/>
  <c r="R12" i="87" s="1"/>
  <c r="P6" i="87"/>
  <c r="N6" i="87"/>
  <c r="L6" i="87"/>
  <c r="L12" i="87" s="1"/>
  <c r="J6" i="87"/>
  <c r="H6" i="87"/>
  <c r="F6" i="87"/>
  <c r="D6" i="87"/>
  <c r="H12" i="91" l="1"/>
  <c r="Y7" i="91"/>
  <c r="D12" i="91"/>
  <c r="B21" i="91"/>
  <c r="Y6" i="91"/>
  <c r="Y12" i="91" s="1"/>
  <c r="V16" i="91" s="1"/>
  <c r="V24" i="91" s="1"/>
  <c r="D12" i="90"/>
  <c r="B21" i="90"/>
  <c r="Y12" i="90"/>
  <c r="V16" i="90" s="1"/>
  <c r="V24" i="90" s="1"/>
  <c r="H12" i="89"/>
  <c r="Y9" i="89"/>
  <c r="Y8" i="89"/>
  <c r="J12" i="89"/>
  <c r="Y7" i="89"/>
  <c r="Y6" i="89"/>
  <c r="D12" i="89"/>
  <c r="B21" i="89"/>
  <c r="Y9" i="88"/>
  <c r="H12" i="88"/>
  <c r="Y7" i="88"/>
  <c r="Y6" i="88"/>
  <c r="D12" i="88"/>
  <c r="Y8" i="88"/>
  <c r="B21" i="88"/>
  <c r="J12" i="88"/>
  <c r="H12" i="87"/>
  <c r="T12" i="87"/>
  <c r="J12" i="87"/>
  <c r="Y7" i="87"/>
  <c r="D12" i="87"/>
  <c r="Y8" i="87"/>
  <c r="B21" i="87"/>
  <c r="Y6" i="87"/>
  <c r="V18" i="86"/>
  <c r="V25" i="86"/>
  <c r="F22" i="86"/>
  <c r="S19" i="86"/>
  <c r="S20" i="86" s="1"/>
  <c r="Q19" i="86"/>
  <c r="Q20" i="86" s="1"/>
  <c r="P19" i="86"/>
  <c r="P20" i="86" s="1"/>
  <c r="L19" i="86"/>
  <c r="L20" i="86" s="1"/>
  <c r="J19" i="86"/>
  <c r="J20" i="86" s="1"/>
  <c r="H19" i="86"/>
  <c r="H20" i="86" s="1"/>
  <c r="W12" i="86"/>
  <c r="K18" i="86" s="1"/>
  <c r="K19" i="86" s="1"/>
  <c r="K20" i="86" s="1"/>
  <c r="V12" i="86"/>
  <c r="U12" i="86"/>
  <c r="I18" i="86" s="1"/>
  <c r="I19" i="86" s="1"/>
  <c r="I20" i="86" s="1"/>
  <c r="S12" i="86"/>
  <c r="Q12" i="86"/>
  <c r="O18" i="86" s="1"/>
  <c r="O19" i="86" s="1"/>
  <c r="O20" i="86" s="1"/>
  <c r="O12" i="86"/>
  <c r="N18" i="86" s="1"/>
  <c r="N19" i="86" s="1"/>
  <c r="N20" i="86" s="1"/>
  <c r="N12" i="86"/>
  <c r="M12" i="86"/>
  <c r="M18" i="86" s="1"/>
  <c r="M19" i="86" s="1"/>
  <c r="M20" i="86" s="1"/>
  <c r="K12" i="86"/>
  <c r="G18" i="86" s="1"/>
  <c r="G19" i="86" s="1"/>
  <c r="G20" i="86" s="1"/>
  <c r="I12" i="86"/>
  <c r="F18" i="86" s="1"/>
  <c r="F19" i="86" s="1"/>
  <c r="F20" i="86" s="1"/>
  <c r="G12" i="86"/>
  <c r="E18" i="86" s="1"/>
  <c r="E19" i="86" s="1"/>
  <c r="E20" i="86" s="1"/>
  <c r="F12" i="86"/>
  <c r="E12" i="86"/>
  <c r="D18" i="86" s="1"/>
  <c r="D19" i="86" s="1"/>
  <c r="D20" i="86" s="1"/>
  <c r="C12" i="86"/>
  <c r="B18" i="86" s="1"/>
  <c r="B19" i="86" s="1"/>
  <c r="B20" i="86" s="1"/>
  <c r="X11" i="86"/>
  <c r="V11" i="86"/>
  <c r="T11" i="86"/>
  <c r="R11" i="86"/>
  <c r="P11" i="86"/>
  <c r="N11" i="86"/>
  <c r="L11" i="86"/>
  <c r="J11" i="86"/>
  <c r="H11" i="86"/>
  <c r="Y11" i="86" s="1"/>
  <c r="F11" i="86"/>
  <c r="D11" i="86"/>
  <c r="X10" i="86"/>
  <c r="V10" i="86"/>
  <c r="T10" i="86"/>
  <c r="R10" i="86"/>
  <c r="P10" i="86"/>
  <c r="N10" i="86"/>
  <c r="L10" i="86"/>
  <c r="J10" i="86"/>
  <c r="H10" i="86"/>
  <c r="Y10" i="86" s="1"/>
  <c r="F10" i="86"/>
  <c r="D10" i="86"/>
  <c r="X9" i="86"/>
  <c r="V9" i="86"/>
  <c r="T9" i="86"/>
  <c r="R9" i="86"/>
  <c r="P9" i="86"/>
  <c r="N9" i="86"/>
  <c r="L9" i="86"/>
  <c r="J9" i="86"/>
  <c r="H9" i="86"/>
  <c r="F9" i="86"/>
  <c r="D9" i="86"/>
  <c r="X8" i="86"/>
  <c r="V8" i="86"/>
  <c r="T8" i="86"/>
  <c r="R8" i="86"/>
  <c r="P8" i="86"/>
  <c r="N8" i="86"/>
  <c r="L8" i="86"/>
  <c r="J8" i="86"/>
  <c r="H8" i="86"/>
  <c r="F8" i="86"/>
  <c r="D8" i="86"/>
  <c r="X7" i="86"/>
  <c r="V7" i="86"/>
  <c r="T7" i="86"/>
  <c r="R7" i="86"/>
  <c r="P7" i="86"/>
  <c r="N7" i="86"/>
  <c r="L7" i="86"/>
  <c r="J7" i="86"/>
  <c r="H7" i="86"/>
  <c r="F7" i="86"/>
  <c r="D7" i="86"/>
  <c r="X6" i="86"/>
  <c r="X12" i="86" s="1"/>
  <c r="V6" i="86"/>
  <c r="T6" i="86"/>
  <c r="R6" i="86"/>
  <c r="R12" i="86" s="1"/>
  <c r="P6" i="86"/>
  <c r="P12" i="86" s="1"/>
  <c r="N6" i="86"/>
  <c r="L6" i="86"/>
  <c r="L12" i="86" s="1"/>
  <c r="J6" i="86"/>
  <c r="H6" i="86"/>
  <c r="F6" i="86"/>
  <c r="D6" i="86"/>
  <c r="Y12" i="89" l="1"/>
  <c r="V16" i="89" s="1"/>
  <c r="V24" i="89" s="1"/>
  <c r="Y12" i="88"/>
  <c r="V16" i="88" s="1"/>
  <c r="V24" i="88" s="1"/>
  <c r="Y12" i="87"/>
  <c r="V16" i="87" s="1"/>
  <c r="V24" i="87" s="1"/>
  <c r="T12" i="86"/>
  <c r="H12" i="86"/>
  <c r="J12" i="86"/>
  <c r="Y9" i="86"/>
  <c r="Y8" i="86"/>
  <c r="D12" i="86"/>
  <c r="Y7" i="86"/>
  <c r="B21" i="86"/>
  <c r="Y6" i="86"/>
  <c r="Y12" i="86" l="1"/>
  <c r="V16" i="86" s="1"/>
  <c r="V24" i="86" s="1"/>
  <c r="V25" i="85" l="1"/>
  <c r="F22" i="85"/>
  <c r="S19" i="85"/>
  <c r="S20" i="85" s="1"/>
  <c r="Q19" i="85"/>
  <c r="Q20" i="85" s="1"/>
  <c r="P19" i="85"/>
  <c r="P20" i="85" s="1"/>
  <c r="L19" i="85"/>
  <c r="L20" i="85" s="1"/>
  <c r="J19" i="85"/>
  <c r="J20" i="85" s="1"/>
  <c r="H19" i="85"/>
  <c r="H20" i="85" s="1"/>
  <c r="O18" i="85"/>
  <c r="O19" i="85" s="1"/>
  <c r="O20" i="85" s="1"/>
  <c r="I18" i="85"/>
  <c r="I19" i="85" s="1"/>
  <c r="I20" i="85" s="1"/>
  <c r="D18" i="85"/>
  <c r="D19" i="85" s="1"/>
  <c r="D20" i="85" s="1"/>
  <c r="W12" i="85"/>
  <c r="K18" i="85" s="1"/>
  <c r="K19" i="85" s="1"/>
  <c r="K20" i="85" s="1"/>
  <c r="U12" i="85"/>
  <c r="T12" i="85"/>
  <c r="S12" i="85"/>
  <c r="Q12" i="85"/>
  <c r="P12" i="85"/>
  <c r="O12" i="85"/>
  <c r="N18" i="85" s="1"/>
  <c r="N19" i="85" s="1"/>
  <c r="N20" i="85" s="1"/>
  <c r="M12" i="85"/>
  <c r="M18" i="85" s="1"/>
  <c r="M19" i="85" s="1"/>
  <c r="M20" i="85" s="1"/>
  <c r="L12" i="85"/>
  <c r="K12" i="85"/>
  <c r="G18" i="85" s="1"/>
  <c r="G19" i="85" s="1"/>
  <c r="G20" i="85" s="1"/>
  <c r="I12" i="85"/>
  <c r="F18" i="85" s="1"/>
  <c r="F19" i="85" s="1"/>
  <c r="F20" i="85" s="1"/>
  <c r="G12" i="85"/>
  <c r="E18" i="85" s="1"/>
  <c r="E19" i="85" s="1"/>
  <c r="E20" i="85" s="1"/>
  <c r="E12" i="85"/>
  <c r="C12" i="85"/>
  <c r="B18" i="85" s="1"/>
  <c r="B19" i="85" s="1"/>
  <c r="B20" i="85" s="1"/>
  <c r="X11" i="85"/>
  <c r="V11" i="85"/>
  <c r="T11" i="85"/>
  <c r="R11" i="85"/>
  <c r="P11" i="85"/>
  <c r="N11" i="85"/>
  <c r="L11" i="85"/>
  <c r="J11" i="85"/>
  <c r="H11" i="85"/>
  <c r="F11" i="85"/>
  <c r="Y11" i="85" s="1"/>
  <c r="D11" i="85"/>
  <c r="X10" i="85"/>
  <c r="V10" i="85"/>
  <c r="T10" i="85"/>
  <c r="R10" i="85"/>
  <c r="P10" i="85"/>
  <c r="N10" i="85"/>
  <c r="L10" i="85"/>
  <c r="J10" i="85"/>
  <c r="H10" i="85"/>
  <c r="F10" i="85"/>
  <c r="Y10" i="85" s="1"/>
  <c r="D10" i="85"/>
  <c r="X9" i="85"/>
  <c r="X12" i="85" s="1"/>
  <c r="V9" i="85"/>
  <c r="T9" i="85"/>
  <c r="R9" i="85"/>
  <c r="P9" i="85"/>
  <c r="N9" i="85"/>
  <c r="L9" i="85"/>
  <c r="J9" i="85"/>
  <c r="H9" i="85"/>
  <c r="F9" i="85"/>
  <c r="D9" i="85"/>
  <c r="X8" i="85"/>
  <c r="V8" i="85"/>
  <c r="T8" i="85"/>
  <c r="R8" i="85"/>
  <c r="P8" i="85"/>
  <c r="N8" i="85"/>
  <c r="L8" i="85"/>
  <c r="J8" i="85"/>
  <c r="H8" i="85"/>
  <c r="F8" i="85"/>
  <c r="D8" i="85"/>
  <c r="X7" i="85"/>
  <c r="V7" i="85"/>
  <c r="T7" i="85"/>
  <c r="R7" i="85"/>
  <c r="P7" i="85"/>
  <c r="N7" i="85"/>
  <c r="L7" i="85"/>
  <c r="J7" i="85"/>
  <c r="H7" i="85"/>
  <c r="F7" i="85"/>
  <c r="D7" i="85"/>
  <c r="X6" i="85"/>
  <c r="V6" i="85"/>
  <c r="V12" i="85" s="1"/>
  <c r="T6" i="85"/>
  <c r="R6" i="85"/>
  <c r="R12" i="85" s="1"/>
  <c r="P6" i="85"/>
  <c r="N6" i="85"/>
  <c r="N12" i="85" s="1"/>
  <c r="L6" i="85"/>
  <c r="J6" i="85"/>
  <c r="H6" i="85"/>
  <c r="F6" i="85"/>
  <c r="F12" i="85" s="1"/>
  <c r="D6" i="85"/>
  <c r="V18" i="84"/>
  <c r="V25" i="84"/>
  <c r="F22" i="84"/>
  <c r="S19" i="84"/>
  <c r="S20" i="84" s="1"/>
  <c r="Q19" i="84"/>
  <c r="Q20" i="84" s="1"/>
  <c r="P19" i="84"/>
  <c r="P20" i="84" s="1"/>
  <c r="L19" i="84"/>
  <c r="L20" i="84" s="1"/>
  <c r="J19" i="84"/>
  <c r="J20" i="84" s="1"/>
  <c r="H19" i="84"/>
  <c r="H20" i="84" s="1"/>
  <c r="M18" i="84"/>
  <c r="M19" i="84" s="1"/>
  <c r="M20" i="84" s="1"/>
  <c r="W12" i="84"/>
  <c r="K18" i="84" s="1"/>
  <c r="K19" i="84" s="1"/>
  <c r="K20" i="84" s="1"/>
  <c r="U12" i="84"/>
  <c r="I18" i="84" s="1"/>
  <c r="I19" i="84" s="1"/>
  <c r="I20" i="84" s="1"/>
  <c r="S12" i="84"/>
  <c r="Q12" i="84"/>
  <c r="O18" i="84" s="1"/>
  <c r="O19" i="84" s="1"/>
  <c r="O20" i="84" s="1"/>
  <c r="O12" i="84"/>
  <c r="N18" i="84" s="1"/>
  <c r="N19" i="84" s="1"/>
  <c r="N20" i="84" s="1"/>
  <c r="N12" i="84"/>
  <c r="M12" i="84"/>
  <c r="K12" i="84"/>
  <c r="G18" i="84" s="1"/>
  <c r="G19" i="84" s="1"/>
  <c r="G20" i="84" s="1"/>
  <c r="I12" i="84"/>
  <c r="F18" i="84" s="1"/>
  <c r="F19" i="84" s="1"/>
  <c r="F20" i="84" s="1"/>
  <c r="G12" i="84"/>
  <c r="E18" i="84" s="1"/>
  <c r="E19" i="84" s="1"/>
  <c r="E20" i="84" s="1"/>
  <c r="F12" i="84"/>
  <c r="E12" i="84"/>
  <c r="D18" i="84" s="1"/>
  <c r="D19" i="84" s="1"/>
  <c r="D20" i="84" s="1"/>
  <c r="C12" i="84"/>
  <c r="B18" i="84" s="1"/>
  <c r="B19" i="84" s="1"/>
  <c r="B20" i="84" s="1"/>
  <c r="Y11" i="84"/>
  <c r="X11" i="84"/>
  <c r="V11" i="84"/>
  <c r="T11" i="84"/>
  <c r="R11" i="84"/>
  <c r="P11" i="84"/>
  <c r="N11" i="84"/>
  <c r="L11" i="84"/>
  <c r="J11" i="84"/>
  <c r="H11" i="84"/>
  <c r="F11" i="84"/>
  <c r="D11" i="84"/>
  <c r="X10" i="84"/>
  <c r="V10" i="84"/>
  <c r="T10" i="84"/>
  <c r="R10" i="84"/>
  <c r="P10" i="84"/>
  <c r="N10" i="84"/>
  <c r="L10" i="84"/>
  <c r="J10" i="84"/>
  <c r="Y10" i="84" s="1"/>
  <c r="H10" i="84"/>
  <c r="F10" i="84"/>
  <c r="D10" i="84"/>
  <c r="X9" i="84"/>
  <c r="V9" i="84"/>
  <c r="V12" i="84" s="1"/>
  <c r="T9" i="84"/>
  <c r="R9" i="84"/>
  <c r="P9" i="84"/>
  <c r="N9" i="84"/>
  <c r="L9" i="84"/>
  <c r="J9" i="84"/>
  <c r="H9" i="84"/>
  <c r="F9" i="84"/>
  <c r="D9" i="84"/>
  <c r="X8" i="84"/>
  <c r="V8" i="84"/>
  <c r="T8" i="84"/>
  <c r="R8" i="84"/>
  <c r="P8" i="84"/>
  <c r="N8" i="84"/>
  <c r="L8" i="84"/>
  <c r="J8" i="84"/>
  <c r="H8" i="84"/>
  <c r="F8" i="84"/>
  <c r="D8" i="84"/>
  <c r="X7" i="84"/>
  <c r="V7" i="84"/>
  <c r="T7" i="84"/>
  <c r="R7" i="84"/>
  <c r="P7" i="84"/>
  <c r="N7" i="84"/>
  <c r="L7" i="84"/>
  <c r="J7" i="84"/>
  <c r="H7" i="84"/>
  <c r="F7" i="84"/>
  <c r="D7" i="84"/>
  <c r="X6" i="84"/>
  <c r="X12" i="84" s="1"/>
  <c r="V6" i="84"/>
  <c r="T6" i="84"/>
  <c r="T12" i="84" s="1"/>
  <c r="R6" i="84"/>
  <c r="R12" i="84" s="1"/>
  <c r="P6" i="84"/>
  <c r="P12" i="84" s="1"/>
  <c r="N6" i="84"/>
  <c r="L6" i="84"/>
  <c r="L12" i="84" s="1"/>
  <c r="J6" i="84"/>
  <c r="H6" i="84"/>
  <c r="H12" i="84" s="1"/>
  <c r="F6" i="84"/>
  <c r="D6" i="84"/>
  <c r="D12" i="85" l="1"/>
  <c r="H12" i="85"/>
  <c r="J12" i="85"/>
  <c r="Y9" i="85"/>
  <c r="Y8" i="85"/>
  <c r="Y7" i="85"/>
  <c r="B21" i="85"/>
  <c r="Y6" i="85"/>
  <c r="J12" i="84"/>
  <c r="Y9" i="84"/>
  <c r="Y8" i="84"/>
  <c r="D12" i="84"/>
  <c r="Y7" i="84"/>
  <c r="B21" i="84"/>
  <c r="Y6" i="84"/>
  <c r="Y12" i="85" l="1"/>
  <c r="V16" i="85" s="1"/>
  <c r="V24" i="85" s="1"/>
  <c r="Y12" i="84"/>
  <c r="V16" i="84" s="1"/>
  <c r="V24" i="84" s="1"/>
  <c r="V25" i="83" l="1"/>
  <c r="F22" i="83"/>
  <c r="S19" i="83"/>
  <c r="S20" i="83" s="1"/>
  <c r="Q19" i="83"/>
  <c r="Q20" i="83" s="1"/>
  <c r="P19" i="83"/>
  <c r="P20" i="83" s="1"/>
  <c r="O19" i="83"/>
  <c r="O20" i="83" s="1"/>
  <c r="L19" i="83"/>
  <c r="L20" i="83" s="1"/>
  <c r="J19" i="83"/>
  <c r="J20" i="83" s="1"/>
  <c r="H19" i="83"/>
  <c r="H20" i="83" s="1"/>
  <c r="O18" i="83"/>
  <c r="M18" i="83"/>
  <c r="M19" i="83" s="1"/>
  <c r="M20" i="83" s="1"/>
  <c r="D18" i="83"/>
  <c r="D19" i="83" s="1"/>
  <c r="D20" i="83" s="1"/>
  <c r="X12" i="83"/>
  <c r="W12" i="83"/>
  <c r="K18" i="83" s="1"/>
  <c r="K19" i="83" s="1"/>
  <c r="K20" i="83" s="1"/>
  <c r="U12" i="83"/>
  <c r="I18" i="83" s="1"/>
  <c r="I19" i="83" s="1"/>
  <c r="I20" i="83" s="1"/>
  <c r="S12" i="83"/>
  <c r="Q12" i="83"/>
  <c r="P12" i="83"/>
  <c r="O12" i="83"/>
  <c r="N18" i="83" s="1"/>
  <c r="N19" i="83" s="1"/>
  <c r="N20" i="83" s="1"/>
  <c r="N12" i="83"/>
  <c r="M12" i="83"/>
  <c r="L12" i="83"/>
  <c r="K12" i="83"/>
  <c r="G18" i="83" s="1"/>
  <c r="G19" i="83" s="1"/>
  <c r="G20" i="83" s="1"/>
  <c r="I12" i="83"/>
  <c r="F18" i="83" s="1"/>
  <c r="F19" i="83" s="1"/>
  <c r="F20" i="83" s="1"/>
  <c r="G12" i="83"/>
  <c r="E18" i="83" s="1"/>
  <c r="E19" i="83" s="1"/>
  <c r="E20" i="83" s="1"/>
  <c r="F12" i="83"/>
  <c r="E12" i="83"/>
  <c r="C12" i="83"/>
  <c r="B18" i="83" s="1"/>
  <c r="B19" i="83" s="1"/>
  <c r="B20" i="83" s="1"/>
  <c r="X11" i="83"/>
  <c r="V11" i="83"/>
  <c r="T11" i="83"/>
  <c r="T12" i="83" s="1"/>
  <c r="R11" i="83"/>
  <c r="P11" i="83"/>
  <c r="N11" i="83"/>
  <c r="L11" i="83"/>
  <c r="J11" i="83"/>
  <c r="Y11" i="83" s="1"/>
  <c r="H11" i="83"/>
  <c r="F11" i="83"/>
  <c r="D11" i="83"/>
  <c r="X10" i="83"/>
  <c r="V10" i="83"/>
  <c r="T10" i="83"/>
  <c r="R10" i="83"/>
  <c r="P10" i="83"/>
  <c r="N10" i="83"/>
  <c r="L10" i="83"/>
  <c r="J10" i="83"/>
  <c r="Y10" i="83" s="1"/>
  <c r="H10" i="83"/>
  <c r="F10" i="83"/>
  <c r="D10" i="83"/>
  <c r="X9" i="83"/>
  <c r="V9" i="83"/>
  <c r="V12" i="83" s="1"/>
  <c r="T9" i="83"/>
  <c r="R9" i="83"/>
  <c r="P9" i="83"/>
  <c r="N9" i="83"/>
  <c r="L9" i="83"/>
  <c r="J9" i="83"/>
  <c r="H9" i="83"/>
  <c r="F9" i="83"/>
  <c r="D9" i="83"/>
  <c r="X8" i="83"/>
  <c r="V8" i="83"/>
  <c r="T8" i="83"/>
  <c r="R8" i="83"/>
  <c r="P8" i="83"/>
  <c r="N8" i="83"/>
  <c r="L8" i="83"/>
  <c r="J8" i="83"/>
  <c r="H8" i="83"/>
  <c r="F8" i="83"/>
  <c r="D8" i="83"/>
  <c r="X7" i="83"/>
  <c r="V7" i="83"/>
  <c r="T7" i="83"/>
  <c r="R7" i="83"/>
  <c r="P7" i="83"/>
  <c r="N7" i="83"/>
  <c r="L7" i="83"/>
  <c r="J7" i="83"/>
  <c r="H7" i="83"/>
  <c r="F7" i="83"/>
  <c r="D7" i="83"/>
  <c r="X6" i="83"/>
  <c r="V6" i="83"/>
  <c r="T6" i="83"/>
  <c r="R6" i="83"/>
  <c r="R12" i="83" s="1"/>
  <c r="P6" i="83"/>
  <c r="N6" i="83"/>
  <c r="L6" i="83"/>
  <c r="J6" i="83"/>
  <c r="H6" i="83"/>
  <c r="F6" i="83"/>
  <c r="D6" i="83"/>
  <c r="Y9" i="83" l="1"/>
  <c r="J12" i="83"/>
  <c r="H12" i="83"/>
  <c r="D12" i="83"/>
  <c r="Y8" i="83"/>
  <c r="Y7" i="83"/>
  <c r="B21" i="83"/>
  <c r="Y6" i="83"/>
  <c r="Y12" i="83" l="1"/>
  <c r="V16" i="83" s="1"/>
  <c r="V24" i="83" s="1"/>
  <c r="V18" i="82" l="1"/>
  <c r="V25" i="82" l="1"/>
  <c r="F22" i="82"/>
  <c r="S19" i="82"/>
  <c r="S20" i="82" s="1"/>
  <c r="Q19" i="82"/>
  <c r="Q20" i="82" s="1"/>
  <c r="P19" i="82"/>
  <c r="P20" i="82" s="1"/>
  <c r="L19" i="82"/>
  <c r="L20" i="82" s="1"/>
  <c r="J19" i="82"/>
  <c r="J20" i="82" s="1"/>
  <c r="H19" i="82"/>
  <c r="H20" i="82" s="1"/>
  <c r="O18" i="82"/>
  <c r="O19" i="82" s="1"/>
  <c r="O20" i="82" s="1"/>
  <c r="K18" i="82"/>
  <c r="K19" i="82" s="1"/>
  <c r="K20" i="82" s="1"/>
  <c r="I18" i="82"/>
  <c r="I19" i="82" s="1"/>
  <c r="I20" i="82" s="1"/>
  <c r="D18" i="82"/>
  <c r="D19" i="82" s="1"/>
  <c r="D20" i="82" s="1"/>
  <c r="X12" i="82"/>
  <c r="W12" i="82"/>
  <c r="U12" i="82"/>
  <c r="S12" i="82"/>
  <c r="Q12" i="82"/>
  <c r="P12" i="82"/>
  <c r="O12" i="82"/>
  <c r="N18" i="82" s="1"/>
  <c r="N19" i="82" s="1"/>
  <c r="N20" i="82" s="1"/>
  <c r="M12" i="82"/>
  <c r="M18" i="82" s="1"/>
  <c r="M19" i="82" s="1"/>
  <c r="M20" i="82" s="1"/>
  <c r="L12" i="82"/>
  <c r="K12" i="82"/>
  <c r="G18" i="82" s="1"/>
  <c r="G19" i="82" s="1"/>
  <c r="G20" i="82" s="1"/>
  <c r="I12" i="82"/>
  <c r="F18" i="82" s="1"/>
  <c r="F19" i="82" s="1"/>
  <c r="F20" i="82" s="1"/>
  <c r="G12" i="82"/>
  <c r="E18" i="82" s="1"/>
  <c r="E19" i="82" s="1"/>
  <c r="E20" i="82" s="1"/>
  <c r="E12" i="82"/>
  <c r="C12" i="82"/>
  <c r="B18" i="82" s="1"/>
  <c r="B19" i="82" s="1"/>
  <c r="B20" i="82" s="1"/>
  <c r="X11" i="82"/>
  <c r="V11" i="82"/>
  <c r="T11" i="82"/>
  <c r="R11" i="82"/>
  <c r="P11" i="82"/>
  <c r="N11" i="82"/>
  <c r="L11" i="82"/>
  <c r="J11" i="82"/>
  <c r="H11" i="82"/>
  <c r="F11" i="82"/>
  <c r="D11" i="82"/>
  <c r="X10" i="82"/>
  <c r="V10" i="82"/>
  <c r="T10" i="82"/>
  <c r="R10" i="82"/>
  <c r="P10" i="82"/>
  <c r="N10" i="82"/>
  <c r="L10" i="82"/>
  <c r="J10" i="82"/>
  <c r="H10" i="82"/>
  <c r="F10" i="82"/>
  <c r="Y10" i="82" s="1"/>
  <c r="D10" i="82"/>
  <c r="X9" i="82"/>
  <c r="V9" i="82"/>
  <c r="T9" i="82"/>
  <c r="R9" i="82"/>
  <c r="P9" i="82"/>
  <c r="N9" i="82"/>
  <c r="L9" i="82"/>
  <c r="J9" i="82"/>
  <c r="H9" i="82"/>
  <c r="F9" i="82"/>
  <c r="D9" i="82"/>
  <c r="X8" i="82"/>
  <c r="V8" i="82"/>
  <c r="T8" i="82"/>
  <c r="R8" i="82"/>
  <c r="P8" i="82"/>
  <c r="N8" i="82"/>
  <c r="L8" i="82"/>
  <c r="J8" i="82"/>
  <c r="H8" i="82"/>
  <c r="H12" i="82" s="1"/>
  <c r="F8" i="82"/>
  <c r="D8" i="82"/>
  <c r="X7" i="82"/>
  <c r="V7" i="82"/>
  <c r="T7" i="82"/>
  <c r="T12" i="82" s="1"/>
  <c r="R7" i="82"/>
  <c r="P7" i="82"/>
  <c r="N7" i="82"/>
  <c r="L7" i="82"/>
  <c r="J7" i="82"/>
  <c r="H7" i="82"/>
  <c r="F7" i="82"/>
  <c r="D7" i="82"/>
  <c r="X6" i="82"/>
  <c r="V6" i="82"/>
  <c r="V12" i="82" s="1"/>
  <c r="T6" i="82"/>
  <c r="R6" i="82"/>
  <c r="R12" i="82" s="1"/>
  <c r="P6" i="82"/>
  <c r="N6" i="82"/>
  <c r="N12" i="82" s="1"/>
  <c r="L6" i="82"/>
  <c r="J6" i="82"/>
  <c r="H6" i="82"/>
  <c r="F6" i="82"/>
  <c r="F12" i="82" s="1"/>
  <c r="D6" i="82"/>
  <c r="Y11" i="82" l="1"/>
  <c r="D12" i="82"/>
  <c r="J12" i="82"/>
  <c r="Y7" i="82"/>
  <c r="Y9" i="82"/>
  <c r="Y8" i="82"/>
  <c r="B21" i="82"/>
  <c r="Y6" i="82"/>
  <c r="V25" i="81"/>
  <c r="F22" i="81"/>
  <c r="S19" i="81"/>
  <c r="S20" i="81" s="1"/>
  <c r="Q19" i="81"/>
  <c r="Q20" i="81" s="1"/>
  <c r="P19" i="81"/>
  <c r="P20" i="81" s="1"/>
  <c r="L19" i="81"/>
  <c r="L20" i="81" s="1"/>
  <c r="J19" i="81"/>
  <c r="J20" i="81" s="1"/>
  <c r="H19" i="81"/>
  <c r="H20" i="81" s="1"/>
  <c r="K18" i="81"/>
  <c r="K19" i="81" s="1"/>
  <c r="K20" i="81" s="1"/>
  <c r="W12" i="81"/>
  <c r="V12" i="81"/>
  <c r="U12" i="81"/>
  <c r="I18" i="81" s="1"/>
  <c r="I19" i="81" s="1"/>
  <c r="I20" i="81" s="1"/>
  <c r="S12" i="81"/>
  <c r="Q12" i="81"/>
  <c r="O18" i="81" s="1"/>
  <c r="O19" i="81" s="1"/>
  <c r="O20" i="81" s="1"/>
  <c r="O12" i="81"/>
  <c r="N18" i="81" s="1"/>
  <c r="N19" i="81" s="1"/>
  <c r="N20" i="81" s="1"/>
  <c r="N12" i="81"/>
  <c r="M12" i="81"/>
  <c r="M18" i="81" s="1"/>
  <c r="M19" i="81" s="1"/>
  <c r="M20" i="81" s="1"/>
  <c r="K12" i="81"/>
  <c r="G18" i="81" s="1"/>
  <c r="G19" i="81" s="1"/>
  <c r="G20" i="81" s="1"/>
  <c r="I12" i="81"/>
  <c r="F18" i="81" s="1"/>
  <c r="F19" i="81" s="1"/>
  <c r="F20" i="81" s="1"/>
  <c r="G12" i="81"/>
  <c r="E18" i="81" s="1"/>
  <c r="E19" i="81" s="1"/>
  <c r="E20" i="81" s="1"/>
  <c r="F12" i="81"/>
  <c r="E12" i="81"/>
  <c r="D18" i="81" s="1"/>
  <c r="D19" i="81" s="1"/>
  <c r="D20" i="81" s="1"/>
  <c r="C12" i="81"/>
  <c r="B18" i="81" s="1"/>
  <c r="B19" i="81" s="1"/>
  <c r="B20" i="81" s="1"/>
  <c r="X11" i="81"/>
  <c r="V11" i="81"/>
  <c r="T11" i="81"/>
  <c r="R11" i="81"/>
  <c r="P11" i="81"/>
  <c r="N11" i="81"/>
  <c r="L11" i="81"/>
  <c r="J11" i="81"/>
  <c r="H11" i="81"/>
  <c r="Y11" i="81" s="1"/>
  <c r="F11" i="81"/>
  <c r="D11" i="81"/>
  <c r="X10" i="81"/>
  <c r="V10" i="81"/>
  <c r="T10" i="81"/>
  <c r="R10" i="81"/>
  <c r="P10" i="81"/>
  <c r="N10" i="81"/>
  <c r="L10" i="81"/>
  <c r="J10" i="81"/>
  <c r="H10" i="81"/>
  <c r="Y10" i="81" s="1"/>
  <c r="F10" i="81"/>
  <c r="D10" i="81"/>
  <c r="X9" i="81"/>
  <c r="V9" i="81"/>
  <c r="T9" i="81"/>
  <c r="R9" i="81"/>
  <c r="P9" i="81"/>
  <c r="N9" i="81"/>
  <c r="L9" i="81"/>
  <c r="J9" i="81"/>
  <c r="H9" i="81"/>
  <c r="F9" i="81"/>
  <c r="D9" i="81"/>
  <c r="X8" i="81"/>
  <c r="V8" i="81"/>
  <c r="T8" i="81"/>
  <c r="R8" i="81"/>
  <c r="P8" i="81"/>
  <c r="N8" i="81"/>
  <c r="L8" i="81"/>
  <c r="J8" i="81"/>
  <c r="H8" i="81"/>
  <c r="F8" i="81"/>
  <c r="D8" i="81"/>
  <c r="X7" i="81"/>
  <c r="V7" i="81"/>
  <c r="T7" i="81"/>
  <c r="R7" i="81"/>
  <c r="P7" i="81"/>
  <c r="N7" i="81"/>
  <c r="L7" i="81"/>
  <c r="J7" i="81"/>
  <c r="H7" i="81"/>
  <c r="F7" i="81"/>
  <c r="D7" i="81"/>
  <c r="X6" i="81"/>
  <c r="X12" i="81" s="1"/>
  <c r="V6" i="81"/>
  <c r="T6" i="81"/>
  <c r="T12" i="81" s="1"/>
  <c r="R6" i="81"/>
  <c r="R12" i="81" s="1"/>
  <c r="P6" i="81"/>
  <c r="P12" i="81" s="1"/>
  <c r="N6" i="81"/>
  <c r="L6" i="81"/>
  <c r="L12" i="81" s="1"/>
  <c r="J6" i="81"/>
  <c r="H6" i="81"/>
  <c r="F6" i="81"/>
  <c r="D6" i="81"/>
  <c r="V25" i="80"/>
  <c r="F22" i="80"/>
  <c r="S19" i="80"/>
  <c r="S20" i="80" s="1"/>
  <c r="Q19" i="80"/>
  <c r="Q20" i="80" s="1"/>
  <c r="P19" i="80"/>
  <c r="P20" i="80" s="1"/>
  <c r="L19" i="80"/>
  <c r="L20" i="80" s="1"/>
  <c r="J19" i="80"/>
  <c r="J20" i="80" s="1"/>
  <c r="H19" i="80"/>
  <c r="H20" i="80" s="1"/>
  <c r="K18" i="80"/>
  <c r="K19" i="80" s="1"/>
  <c r="K20" i="80" s="1"/>
  <c r="E18" i="80"/>
  <c r="E19" i="80" s="1"/>
  <c r="E20" i="80" s="1"/>
  <c r="W12" i="80"/>
  <c r="U12" i="80"/>
  <c r="I18" i="80" s="1"/>
  <c r="I19" i="80" s="1"/>
  <c r="I20" i="80" s="1"/>
  <c r="S12" i="80"/>
  <c r="Q12" i="80"/>
  <c r="O18" i="80" s="1"/>
  <c r="O19" i="80" s="1"/>
  <c r="O20" i="80" s="1"/>
  <c r="O12" i="80"/>
  <c r="N18" i="80" s="1"/>
  <c r="N19" i="80" s="1"/>
  <c r="N20" i="80" s="1"/>
  <c r="M12" i="80"/>
  <c r="M18" i="80" s="1"/>
  <c r="M19" i="80" s="1"/>
  <c r="M20" i="80" s="1"/>
  <c r="L12" i="80"/>
  <c r="K12" i="80"/>
  <c r="G18" i="80" s="1"/>
  <c r="G19" i="80" s="1"/>
  <c r="G20" i="80" s="1"/>
  <c r="I12" i="80"/>
  <c r="F18" i="80" s="1"/>
  <c r="F19" i="80" s="1"/>
  <c r="F20" i="80" s="1"/>
  <c r="G12" i="80"/>
  <c r="E12" i="80"/>
  <c r="D18" i="80" s="1"/>
  <c r="D19" i="80" s="1"/>
  <c r="D20" i="80" s="1"/>
  <c r="C12" i="80"/>
  <c r="B18" i="80" s="1"/>
  <c r="B19" i="80" s="1"/>
  <c r="B20" i="80" s="1"/>
  <c r="X11" i="80"/>
  <c r="V11" i="80"/>
  <c r="T11" i="80"/>
  <c r="T12" i="80" s="1"/>
  <c r="R11" i="80"/>
  <c r="P11" i="80"/>
  <c r="N11" i="80"/>
  <c r="L11" i="80"/>
  <c r="J11" i="80"/>
  <c r="H11" i="80"/>
  <c r="F11" i="80"/>
  <c r="D11" i="80"/>
  <c r="X10" i="80"/>
  <c r="V10" i="80"/>
  <c r="T10" i="80"/>
  <c r="R10" i="80"/>
  <c r="P10" i="80"/>
  <c r="N10" i="80"/>
  <c r="L10" i="80"/>
  <c r="J10" i="80"/>
  <c r="H10" i="80"/>
  <c r="F10" i="80"/>
  <c r="Y10" i="80" s="1"/>
  <c r="D10" i="80"/>
  <c r="X9" i="80"/>
  <c r="V9" i="80"/>
  <c r="T9" i="80"/>
  <c r="R9" i="80"/>
  <c r="P9" i="80"/>
  <c r="N9" i="80"/>
  <c r="L9" i="80"/>
  <c r="J9" i="80"/>
  <c r="H9" i="80"/>
  <c r="F9" i="80"/>
  <c r="D9" i="80"/>
  <c r="X8" i="80"/>
  <c r="V8" i="80"/>
  <c r="T8" i="80"/>
  <c r="R8" i="80"/>
  <c r="P8" i="80"/>
  <c r="N8" i="80"/>
  <c r="L8" i="80"/>
  <c r="J8" i="80"/>
  <c r="H8" i="80"/>
  <c r="F8" i="80"/>
  <c r="D8" i="80"/>
  <c r="X7" i="80"/>
  <c r="V7" i="80"/>
  <c r="T7" i="80"/>
  <c r="R7" i="80"/>
  <c r="P7" i="80"/>
  <c r="N7" i="80"/>
  <c r="L7" i="80"/>
  <c r="J7" i="80"/>
  <c r="H7" i="80"/>
  <c r="F7" i="80"/>
  <c r="D7" i="80"/>
  <c r="X6" i="80"/>
  <c r="X12" i="80" s="1"/>
  <c r="V6" i="80"/>
  <c r="T6" i="80"/>
  <c r="R6" i="80"/>
  <c r="R12" i="80" s="1"/>
  <c r="P6" i="80"/>
  <c r="P12" i="80" s="1"/>
  <c r="N6" i="80"/>
  <c r="N12" i="80" s="1"/>
  <c r="L6" i="80"/>
  <c r="J6" i="80"/>
  <c r="J12" i="80" s="1"/>
  <c r="H6" i="80"/>
  <c r="H12" i="80" s="1"/>
  <c r="F6" i="80"/>
  <c r="F12" i="80" s="1"/>
  <c r="D6" i="80"/>
  <c r="Y12" i="82" l="1"/>
  <c r="V16" i="82" s="1"/>
  <c r="V24" i="82" s="1"/>
  <c r="J12" i="81"/>
  <c r="H12" i="81"/>
  <c r="Y9" i="81"/>
  <c r="D12" i="81"/>
  <c r="Y8" i="81"/>
  <c r="Y7" i="81"/>
  <c r="B21" i="81"/>
  <c r="Y6" i="81"/>
  <c r="V12" i="80"/>
  <c r="D12" i="80"/>
  <c r="Y11" i="80"/>
  <c r="Y9" i="80"/>
  <c r="Y8" i="80"/>
  <c r="Y7" i="80"/>
  <c r="B21" i="80"/>
  <c r="Y6" i="80"/>
  <c r="Y12" i="81" l="1"/>
  <c r="V16" i="81" s="1"/>
  <c r="V24" i="81" s="1"/>
  <c r="Y12" i="80"/>
  <c r="V16" i="80" s="1"/>
  <c r="V24" i="80" s="1"/>
  <c r="V18" i="79" l="1"/>
  <c r="V25" i="79" l="1"/>
  <c r="F22" i="79"/>
  <c r="S19" i="79"/>
  <c r="S20" i="79" s="1"/>
  <c r="Q19" i="79"/>
  <c r="Q20" i="79" s="1"/>
  <c r="P19" i="79"/>
  <c r="P20" i="79" s="1"/>
  <c r="L19" i="79"/>
  <c r="L20" i="79" s="1"/>
  <c r="J19" i="79"/>
  <c r="J20" i="79" s="1"/>
  <c r="H19" i="79"/>
  <c r="H20" i="79" s="1"/>
  <c r="X12" i="79"/>
  <c r="W12" i="79"/>
  <c r="K18" i="79" s="1"/>
  <c r="K19" i="79" s="1"/>
  <c r="K20" i="79" s="1"/>
  <c r="U12" i="79"/>
  <c r="I18" i="79" s="1"/>
  <c r="I19" i="79" s="1"/>
  <c r="I20" i="79" s="1"/>
  <c r="S12" i="79"/>
  <c r="Q12" i="79"/>
  <c r="O18" i="79" s="1"/>
  <c r="O19" i="79" s="1"/>
  <c r="O20" i="79" s="1"/>
  <c r="P12" i="79"/>
  <c r="O12" i="79"/>
  <c r="N18" i="79" s="1"/>
  <c r="N19" i="79" s="1"/>
  <c r="N20" i="79" s="1"/>
  <c r="M12" i="79"/>
  <c r="M18" i="79" s="1"/>
  <c r="M19" i="79" s="1"/>
  <c r="M20" i="79" s="1"/>
  <c r="K12" i="79"/>
  <c r="G18" i="79" s="1"/>
  <c r="G19" i="79" s="1"/>
  <c r="G20" i="79" s="1"/>
  <c r="I12" i="79"/>
  <c r="F18" i="79" s="1"/>
  <c r="F19" i="79" s="1"/>
  <c r="F20" i="79" s="1"/>
  <c r="H12" i="79"/>
  <c r="G12" i="79"/>
  <c r="E18" i="79" s="1"/>
  <c r="E19" i="79" s="1"/>
  <c r="E20" i="79" s="1"/>
  <c r="E12" i="79"/>
  <c r="D18" i="79" s="1"/>
  <c r="D19" i="79" s="1"/>
  <c r="D20" i="79" s="1"/>
  <c r="C12" i="79"/>
  <c r="B18" i="79" s="1"/>
  <c r="B19" i="79" s="1"/>
  <c r="B20" i="79" s="1"/>
  <c r="X11" i="79"/>
  <c r="V11" i="79"/>
  <c r="T11" i="79"/>
  <c r="R11" i="79"/>
  <c r="P11" i="79"/>
  <c r="N11" i="79"/>
  <c r="L11" i="79"/>
  <c r="J11" i="79"/>
  <c r="H11" i="79"/>
  <c r="F11" i="79"/>
  <c r="D11" i="79"/>
  <c r="Y11" i="79" s="1"/>
  <c r="X10" i="79"/>
  <c r="V10" i="79"/>
  <c r="T10" i="79"/>
  <c r="R10" i="79"/>
  <c r="P10" i="79"/>
  <c r="N10" i="79"/>
  <c r="L10" i="79"/>
  <c r="J10" i="79"/>
  <c r="H10" i="79"/>
  <c r="F10" i="79"/>
  <c r="D10" i="79"/>
  <c r="Y10" i="79" s="1"/>
  <c r="X9" i="79"/>
  <c r="V9" i="79"/>
  <c r="T9" i="79"/>
  <c r="R9" i="79"/>
  <c r="P9" i="79"/>
  <c r="N9" i="79"/>
  <c r="L9" i="79"/>
  <c r="J9" i="79"/>
  <c r="H9" i="79"/>
  <c r="F9" i="79"/>
  <c r="D9" i="79"/>
  <c r="Y9" i="79" s="1"/>
  <c r="X8" i="79"/>
  <c r="V8" i="79"/>
  <c r="T8" i="79"/>
  <c r="R8" i="79"/>
  <c r="P8" i="79"/>
  <c r="N8" i="79"/>
  <c r="L8" i="79"/>
  <c r="J8" i="79"/>
  <c r="H8" i="79"/>
  <c r="F8" i="79"/>
  <c r="D8" i="79"/>
  <c r="X7" i="79"/>
  <c r="V7" i="79"/>
  <c r="T7" i="79"/>
  <c r="R7" i="79"/>
  <c r="P7" i="79"/>
  <c r="N7" i="79"/>
  <c r="L7" i="79"/>
  <c r="J7" i="79"/>
  <c r="Y7" i="79" s="1"/>
  <c r="H7" i="79"/>
  <c r="F7" i="79"/>
  <c r="D7" i="79"/>
  <c r="X6" i="79"/>
  <c r="V6" i="79"/>
  <c r="V12" i="79" s="1"/>
  <c r="T6" i="79"/>
  <c r="R6" i="79"/>
  <c r="R12" i="79" s="1"/>
  <c r="P6" i="79"/>
  <c r="N6" i="79"/>
  <c r="N12" i="79" s="1"/>
  <c r="L6" i="79"/>
  <c r="L12" i="79" s="1"/>
  <c r="J6" i="79"/>
  <c r="H6" i="79"/>
  <c r="F6" i="79"/>
  <c r="F12" i="79" s="1"/>
  <c r="D6" i="79"/>
  <c r="V18" i="78"/>
  <c r="V25" i="78"/>
  <c r="F22" i="78"/>
  <c r="S19" i="78"/>
  <c r="S20" i="78" s="1"/>
  <c r="Q19" i="78"/>
  <c r="Q20" i="78" s="1"/>
  <c r="P19" i="78"/>
  <c r="P20" i="78" s="1"/>
  <c r="L19" i="78"/>
  <c r="L20" i="78" s="1"/>
  <c r="J19" i="78"/>
  <c r="J20" i="78" s="1"/>
  <c r="H19" i="78"/>
  <c r="H20" i="78" s="1"/>
  <c r="M18" i="78"/>
  <c r="M19" i="78" s="1"/>
  <c r="M20" i="78" s="1"/>
  <c r="W12" i="78"/>
  <c r="K18" i="78" s="1"/>
  <c r="K19" i="78" s="1"/>
  <c r="K20" i="78" s="1"/>
  <c r="U12" i="78"/>
  <c r="I18" i="78" s="1"/>
  <c r="I19" i="78" s="1"/>
  <c r="I20" i="78" s="1"/>
  <c r="S12" i="78"/>
  <c r="Q12" i="78"/>
  <c r="O18" i="78" s="1"/>
  <c r="O19" i="78" s="1"/>
  <c r="O20" i="78" s="1"/>
  <c r="O12" i="78"/>
  <c r="N18" i="78" s="1"/>
  <c r="N19" i="78" s="1"/>
  <c r="N20" i="78" s="1"/>
  <c r="N12" i="78"/>
  <c r="M12" i="78"/>
  <c r="K12" i="78"/>
  <c r="G18" i="78" s="1"/>
  <c r="G19" i="78" s="1"/>
  <c r="G20" i="78" s="1"/>
  <c r="I12" i="78"/>
  <c r="F18" i="78" s="1"/>
  <c r="F19" i="78" s="1"/>
  <c r="F20" i="78" s="1"/>
  <c r="G12" i="78"/>
  <c r="E18" i="78" s="1"/>
  <c r="E19" i="78" s="1"/>
  <c r="E20" i="78" s="1"/>
  <c r="F12" i="78"/>
  <c r="E12" i="78"/>
  <c r="D18" i="78" s="1"/>
  <c r="D19" i="78" s="1"/>
  <c r="D20" i="78" s="1"/>
  <c r="C12" i="78"/>
  <c r="B18" i="78" s="1"/>
  <c r="B19" i="78" s="1"/>
  <c r="B20" i="78" s="1"/>
  <c r="X11" i="78"/>
  <c r="V11" i="78"/>
  <c r="T11" i="78"/>
  <c r="R11" i="78"/>
  <c r="P11" i="78"/>
  <c r="N11" i="78"/>
  <c r="L11" i="78"/>
  <c r="J11" i="78"/>
  <c r="H11" i="78"/>
  <c r="F11" i="78"/>
  <c r="D11" i="78"/>
  <c r="X10" i="78"/>
  <c r="V10" i="78"/>
  <c r="T10" i="78"/>
  <c r="R10" i="78"/>
  <c r="P10" i="78"/>
  <c r="N10" i="78"/>
  <c r="L10" i="78"/>
  <c r="J10" i="78"/>
  <c r="Y10" i="78" s="1"/>
  <c r="H10" i="78"/>
  <c r="F10" i="78"/>
  <c r="D10" i="78"/>
  <c r="X9" i="78"/>
  <c r="V9" i="78"/>
  <c r="T9" i="78"/>
  <c r="R9" i="78"/>
  <c r="P9" i="78"/>
  <c r="N9" i="78"/>
  <c r="L9" i="78"/>
  <c r="J9" i="78"/>
  <c r="H9" i="78"/>
  <c r="F9" i="78"/>
  <c r="D9" i="78"/>
  <c r="X8" i="78"/>
  <c r="V8" i="78"/>
  <c r="T8" i="78"/>
  <c r="R8" i="78"/>
  <c r="P8" i="78"/>
  <c r="N8" i="78"/>
  <c r="L8" i="78"/>
  <c r="J8" i="78"/>
  <c r="H8" i="78"/>
  <c r="F8" i="78"/>
  <c r="D8" i="78"/>
  <c r="X7" i="78"/>
  <c r="V7" i="78"/>
  <c r="T7" i="78"/>
  <c r="R7" i="78"/>
  <c r="P7" i="78"/>
  <c r="N7" i="78"/>
  <c r="L7" i="78"/>
  <c r="J7" i="78"/>
  <c r="Y7" i="78" s="1"/>
  <c r="H7" i="78"/>
  <c r="F7" i="78"/>
  <c r="D7" i="78"/>
  <c r="X6" i="78"/>
  <c r="X12" i="78" s="1"/>
  <c r="V6" i="78"/>
  <c r="V12" i="78" s="1"/>
  <c r="T6" i="78"/>
  <c r="R6" i="78"/>
  <c r="R12" i="78" s="1"/>
  <c r="P6" i="78"/>
  <c r="P12" i="78" s="1"/>
  <c r="N6" i="78"/>
  <c r="L6" i="78"/>
  <c r="L12" i="78" s="1"/>
  <c r="J6" i="78"/>
  <c r="H6" i="78"/>
  <c r="H12" i="78" s="1"/>
  <c r="F6" i="78"/>
  <c r="D6" i="78"/>
  <c r="D12" i="79" l="1"/>
  <c r="T12" i="79"/>
  <c r="Y8" i="79"/>
  <c r="Y6" i="79"/>
  <c r="Y12" i="79" s="1"/>
  <c r="V16" i="79" s="1"/>
  <c r="V24" i="79" s="1"/>
  <c r="B21" i="79"/>
  <c r="J12" i="79"/>
  <c r="T12" i="78"/>
  <c r="Y11" i="78"/>
  <c r="D12" i="78"/>
  <c r="Y8" i="78"/>
  <c r="J12" i="78"/>
  <c r="Y9" i="78"/>
  <c r="B21" i="78"/>
  <c r="Y6" i="78"/>
  <c r="Y12" i="78" l="1"/>
  <c r="V16" i="78" s="1"/>
  <c r="V24" i="78" s="1"/>
  <c r="V18" i="77" l="1"/>
  <c r="V25" i="77"/>
  <c r="F22" i="77"/>
  <c r="S19" i="77"/>
  <c r="S20" i="77" s="1"/>
  <c r="Q19" i="77"/>
  <c r="Q20" i="77" s="1"/>
  <c r="P19" i="77"/>
  <c r="P20" i="77" s="1"/>
  <c r="L19" i="77"/>
  <c r="L20" i="77" s="1"/>
  <c r="J19" i="77"/>
  <c r="J20" i="77" s="1"/>
  <c r="H19" i="77"/>
  <c r="H20" i="77" s="1"/>
  <c r="K18" i="77"/>
  <c r="K19" i="77" s="1"/>
  <c r="K20" i="77" s="1"/>
  <c r="E18" i="77"/>
  <c r="E19" i="77" s="1"/>
  <c r="E20" i="77" s="1"/>
  <c r="W12" i="77"/>
  <c r="U12" i="77"/>
  <c r="I18" i="77" s="1"/>
  <c r="I19" i="77" s="1"/>
  <c r="I20" i="77" s="1"/>
  <c r="S12" i="77"/>
  <c r="Q12" i="77"/>
  <c r="O18" i="77" s="1"/>
  <c r="O19" i="77" s="1"/>
  <c r="O20" i="77" s="1"/>
  <c r="O12" i="77"/>
  <c r="N18" i="77" s="1"/>
  <c r="N19" i="77" s="1"/>
  <c r="N20" i="77" s="1"/>
  <c r="M12" i="77"/>
  <c r="M18" i="77" s="1"/>
  <c r="M19" i="77" s="1"/>
  <c r="M20" i="77" s="1"/>
  <c r="L12" i="77"/>
  <c r="K12" i="77"/>
  <c r="G18" i="77" s="1"/>
  <c r="G19" i="77" s="1"/>
  <c r="G20" i="77" s="1"/>
  <c r="I12" i="77"/>
  <c r="F18" i="77" s="1"/>
  <c r="F19" i="77" s="1"/>
  <c r="F20" i="77" s="1"/>
  <c r="G12" i="77"/>
  <c r="E12" i="77"/>
  <c r="D18" i="77" s="1"/>
  <c r="D19" i="77" s="1"/>
  <c r="D20" i="77" s="1"/>
  <c r="C12" i="77"/>
  <c r="B18" i="77" s="1"/>
  <c r="B19" i="77" s="1"/>
  <c r="B20" i="77" s="1"/>
  <c r="X11" i="77"/>
  <c r="V11" i="77"/>
  <c r="T11" i="77"/>
  <c r="T12" i="77" s="1"/>
  <c r="R11" i="77"/>
  <c r="P11" i="77"/>
  <c r="N11" i="77"/>
  <c r="L11" i="77"/>
  <c r="J11" i="77"/>
  <c r="H11" i="77"/>
  <c r="F11" i="77"/>
  <c r="D11" i="77"/>
  <c r="X10" i="77"/>
  <c r="V10" i="77"/>
  <c r="T10" i="77"/>
  <c r="R10" i="77"/>
  <c r="P10" i="77"/>
  <c r="N10" i="77"/>
  <c r="L10" i="77"/>
  <c r="J10" i="77"/>
  <c r="H10" i="77"/>
  <c r="F10" i="77"/>
  <c r="Y10" i="77" s="1"/>
  <c r="D10" i="77"/>
  <c r="X9" i="77"/>
  <c r="V9" i="77"/>
  <c r="T9" i="77"/>
  <c r="R9" i="77"/>
  <c r="P9" i="77"/>
  <c r="N9" i="77"/>
  <c r="L9" i="77"/>
  <c r="J9" i="77"/>
  <c r="H9" i="77"/>
  <c r="F9" i="77"/>
  <c r="D9" i="77"/>
  <c r="X8" i="77"/>
  <c r="V8" i="77"/>
  <c r="T8" i="77"/>
  <c r="R8" i="77"/>
  <c r="P8" i="77"/>
  <c r="N8" i="77"/>
  <c r="L8" i="77"/>
  <c r="J8" i="77"/>
  <c r="H8" i="77"/>
  <c r="F8" i="77"/>
  <c r="D8" i="77"/>
  <c r="X7" i="77"/>
  <c r="V7" i="77"/>
  <c r="T7" i="77"/>
  <c r="R7" i="77"/>
  <c r="P7" i="77"/>
  <c r="N7" i="77"/>
  <c r="L7" i="77"/>
  <c r="J7" i="77"/>
  <c r="H7" i="77"/>
  <c r="F7" i="77"/>
  <c r="D7" i="77"/>
  <c r="X6" i="77"/>
  <c r="X12" i="77" s="1"/>
  <c r="V6" i="77"/>
  <c r="V12" i="77" s="1"/>
  <c r="T6" i="77"/>
  <c r="R6" i="77"/>
  <c r="R12" i="77" s="1"/>
  <c r="P6" i="77"/>
  <c r="P12" i="77" s="1"/>
  <c r="N6" i="77"/>
  <c r="N12" i="77" s="1"/>
  <c r="L6" i="77"/>
  <c r="J6" i="77"/>
  <c r="H6" i="77"/>
  <c r="H12" i="77" s="1"/>
  <c r="F6" i="77"/>
  <c r="F12" i="77" s="1"/>
  <c r="D6" i="77"/>
  <c r="V18" i="76"/>
  <c r="Y9" i="77" l="1"/>
  <c r="D12" i="77"/>
  <c r="Y11" i="77"/>
  <c r="J12" i="77"/>
  <c r="Y8" i="77"/>
  <c r="Y7" i="77"/>
  <c r="B21" i="77"/>
  <c r="Y6" i="77"/>
  <c r="Y12" i="77" l="1"/>
  <c r="V16" i="77" s="1"/>
  <c r="V24" i="77" s="1"/>
  <c r="V25" i="76"/>
  <c r="F22" i="76"/>
  <c r="S19" i="76"/>
  <c r="S20" i="76" s="1"/>
  <c r="Q19" i="76"/>
  <c r="Q20" i="76" s="1"/>
  <c r="P19" i="76"/>
  <c r="P20" i="76" s="1"/>
  <c r="L19" i="76"/>
  <c r="L20" i="76" s="1"/>
  <c r="J19" i="76"/>
  <c r="J20" i="76" s="1"/>
  <c r="H19" i="76"/>
  <c r="H20" i="76" s="1"/>
  <c r="E18" i="76"/>
  <c r="E19" i="76" s="1"/>
  <c r="E20" i="76" s="1"/>
  <c r="W12" i="76"/>
  <c r="K18" i="76" s="1"/>
  <c r="K19" i="76" s="1"/>
  <c r="K20" i="76" s="1"/>
  <c r="U12" i="76"/>
  <c r="I18" i="76" s="1"/>
  <c r="I19" i="76" s="1"/>
  <c r="I20" i="76" s="1"/>
  <c r="S12" i="76"/>
  <c r="Q12" i="76"/>
  <c r="O18" i="76" s="1"/>
  <c r="O19" i="76" s="1"/>
  <c r="O20" i="76" s="1"/>
  <c r="O12" i="76"/>
  <c r="N18" i="76" s="1"/>
  <c r="N19" i="76" s="1"/>
  <c r="N20" i="76" s="1"/>
  <c r="M12" i="76"/>
  <c r="M18" i="76" s="1"/>
  <c r="M19" i="76" s="1"/>
  <c r="M20" i="76" s="1"/>
  <c r="K12" i="76"/>
  <c r="G18" i="76" s="1"/>
  <c r="G19" i="76" s="1"/>
  <c r="G20" i="76" s="1"/>
  <c r="I12" i="76"/>
  <c r="F18" i="76" s="1"/>
  <c r="F19" i="76" s="1"/>
  <c r="F20" i="76" s="1"/>
  <c r="G12" i="76"/>
  <c r="E12" i="76"/>
  <c r="D18" i="76" s="1"/>
  <c r="D19" i="76" s="1"/>
  <c r="D20" i="76" s="1"/>
  <c r="C12" i="76"/>
  <c r="B18" i="76" s="1"/>
  <c r="B19" i="76" s="1"/>
  <c r="B20" i="76" s="1"/>
  <c r="X11" i="76"/>
  <c r="V11" i="76"/>
  <c r="T11" i="76"/>
  <c r="R11" i="76"/>
  <c r="P11" i="76"/>
  <c r="N11" i="76"/>
  <c r="L11" i="76"/>
  <c r="J11" i="76"/>
  <c r="H11" i="76"/>
  <c r="F11" i="76"/>
  <c r="D11" i="76"/>
  <c r="X10" i="76"/>
  <c r="V10" i="76"/>
  <c r="T10" i="76"/>
  <c r="R10" i="76"/>
  <c r="P10" i="76"/>
  <c r="N10" i="76"/>
  <c r="L10" i="76"/>
  <c r="J10" i="76"/>
  <c r="H10" i="76"/>
  <c r="F10" i="76"/>
  <c r="D10" i="76"/>
  <c r="Y10" i="76" s="1"/>
  <c r="X9" i="76"/>
  <c r="V9" i="76"/>
  <c r="T9" i="76"/>
  <c r="R9" i="76"/>
  <c r="P9" i="76"/>
  <c r="N9" i="76"/>
  <c r="L9" i="76"/>
  <c r="J9" i="76"/>
  <c r="H9" i="76"/>
  <c r="F9" i="76"/>
  <c r="D9" i="76"/>
  <c r="X8" i="76"/>
  <c r="V8" i="76"/>
  <c r="T8" i="76"/>
  <c r="R8" i="76"/>
  <c r="P8" i="76"/>
  <c r="N8" i="76"/>
  <c r="L8" i="76"/>
  <c r="J8" i="76"/>
  <c r="H8" i="76"/>
  <c r="F8" i="76"/>
  <c r="D8" i="76"/>
  <c r="Y8" i="76" s="1"/>
  <c r="X7" i="76"/>
  <c r="V7" i="76"/>
  <c r="T7" i="76"/>
  <c r="R7" i="76"/>
  <c r="P7" i="76"/>
  <c r="N7" i="76"/>
  <c r="L7" i="76"/>
  <c r="J7" i="76"/>
  <c r="H7" i="76"/>
  <c r="F7" i="76"/>
  <c r="D7" i="76"/>
  <c r="X6" i="76"/>
  <c r="X12" i="76" s="1"/>
  <c r="V6" i="76"/>
  <c r="T6" i="76"/>
  <c r="R6" i="76"/>
  <c r="R12" i="76" s="1"/>
  <c r="P6" i="76"/>
  <c r="P12" i="76" s="1"/>
  <c r="N6" i="76"/>
  <c r="N12" i="76" s="1"/>
  <c r="L6" i="76"/>
  <c r="L12" i="76" s="1"/>
  <c r="J6" i="76"/>
  <c r="H6" i="76"/>
  <c r="H12" i="76" s="1"/>
  <c r="F6" i="76"/>
  <c r="F12" i="76" s="1"/>
  <c r="D6" i="76"/>
  <c r="V25" i="75"/>
  <c r="F22" i="75"/>
  <c r="S19" i="75"/>
  <c r="S20" i="75" s="1"/>
  <c r="Q19" i="75"/>
  <c r="Q20" i="75" s="1"/>
  <c r="P19" i="75"/>
  <c r="P20" i="75" s="1"/>
  <c r="M19" i="75"/>
  <c r="M20" i="75" s="1"/>
  <c r="L19" i="75"/>
  <c r="L20" i="75" s="1"/>
  <c r="J19" i="75"/>
  <c r="J20" i="75" s="1"/>
  <c r="H19" i="75"/>
  <c r="H20" i="75" s="1"/>
  <c r="O18" i="75"/>
  <c r="O19" i="75" s="1"/>
  <c r="O20" i="75" s="1"/>
  <c r="M18" i="75"/>
  <c r="D18" i="75"/>
  <c r="D19" i="75" s="1"/>
  <c r="D20" i="75" s="1"/>
  <c r="X12" i="75"/>
  <c r="W12" i="75"/>
  <c r="K18" i="75" s="1"/>
  <c r="K19" i="75" s="1"/>
  <c r="K20" i="75" s="1"/>
  <c r="U12" i="75"/>
  <c r="I18" i="75" s="1"/>
  <c r="I19" i="75" s="1"/>
  <c r="I20" i="75" s="1"/>
  <c r="S12" i="75"/>
  <c r="Q12" i="75"/>
  <c r="P12" i="75"/>
  <c r="O12" i="75"/>
  <c r="N18" i="75" s="1"/>
  <c r="N19" i="75" s="1"/>
  <c r="N20" i="75" s="1"/>
  <c r="M12" i="75"/>
  <c r="K12" i="75"/>
  <c r="G18" i="75" s="1"/>
  <c r="G19" i="75" s="1"/>
  <c r="G20" i="75" s="1"/>
  <c r="I12" i="75"/>
  <c r="F18" i="75" s="1"/>
  <c r="F19" i="75" s="1"/>
  <c r="F20" i="75" s="1"/>
  <c r="H12" i="75"/>
  <c r="G12" i="75"/>
  <c r="E18" i="75" s="1"/>
  <c r="E19" i="75" s="1"/>
  <c r="E20" i="75" s="1"/>
  <c r="E12" i="75"/>
  <c r="C12" i="75"/>
  <c r="B18" i="75" s="1"/>
  <c r="B19" i="75" s="1"/>
  <c r="B20" i="75" s="1"/>
  <c r="X11" i="75"/>
  <c r="V11" i="75"/>
  <c r="T11" i="75"/>
  <c r="R11" i="75"/>
  <c r="P11" i="75"/>
  <c r="N11" i="75"/>
  <c r="L11" i="75"/>
  <c r="J11" i="75"/>
  <c r="H11" i="75"/>
  <c r="F11" i="75"/>
  <c r="D11" i="75"/>
  <c r="Y11" i="75" s="1"/>
  <c r="X10" i="75"/>
  <c r="V10" i="75"/>
  <c r="T10" i="75"/>
  <c r="R10" i="75"/>
  <c r="P10" i="75"/>
  <c r="N10" i="75"/>
  <c r="L10" i="75"/>
  <c r="J10" i="75"/>
  <c r="H10" i="75"/>
  <c r="F10" i="75"/>
  <c r="D10" i="75"/>
  <c r="Y10" i="75" s="1"/>
  <c r="X9" i="75"/>
  <c r="V9" i="75"/>
  <c r="T9" i="75"/>
  <c r="R9" i="75"/>
  <c r="P9" i="75"/>
  <c r="N9" i="75"/>
  <c r="L9" i="75"/>
  <c r="J9" i="75"/>
  <c r="H9" i="75"/>
  <c r="F9" i="75"/>
  <c r="D9" i="75"/>
  <c r="X8" i="75"/>
  <c r="V8" i="75"/>
  <c r="T8" i="75"/>
  <c r="R8" i="75"/>
  <c r="P8" i="75"/>
  <c r="N8" i="75"/>
  <c r="L8" i="75"/>
  <c r="J8" i="75"/>
  <c r="H8" i="75"/>
  <c r="F8" i="75"/>
  <c r="D8" i="75"/>
  <c r="X7" i="75"/>
  <c r="V7" i="75"/>
  <c r="T7" i="75"/>
  <c r="R7" i="75"/>
  <c r="P7" i="75"/>
  <c r="N7" i="75"/>
  <c r="L7" i="75"/>
  <c r="J7" i="75"/>
  <c r="H7" i="75"/>
  <c r="F7" i="75"/>
  <c r="D7" i="75"/>
  <c r="X6" i="75"/>
  <c r="V6" i="75"/>
  <c r="T6" i="75"/>
  <c r="R6" i="75"/>
  <c r="R12" i="75" s="1"/>
  <c r="P6" i="75"/>
  <c r="N6" i="75"/>
  <c r="N12" i="75" s="1"/>
  <c r="L6" i="75"/>
  <c r="L12" i="75" s="1"/>
  <c r="J6" i="75"/>
  <c r="H6" i="75"/>
  <c r="F6" i="75"/>
  <c r="F12" i="75" s="1"/>
  <c r="D6" i="75"/>
  <c r="Y11" i="76" l="1"/>
  <c r="V12" i="76"/>
  <c r="T12" i="76"/>
  <c r="J12" i="76"/>
  <c r="Y7" i="76"/>
  <c r="Y9" i="76"/>
  <c r="D12" i="76"/>
  <c r="B21" i="76"/>
  <c r="Y6" i="76"/>
  <c r="Y6" i="75"/>
  <c r="V12" i="75"/>
  <c r="T12" i="75"/>
  <c r="Y9" i="75"/>
  <c r="Y8" i="75"/>
  <c r="J12" i="75"/>
  <c r="Y7" i="75"/>
  <c r="B21" i="75"/>
  <c r="D12" i="75"/>
  <c r="Y12" i="76" l="1"/>
  <c r="V16" i="76" s="1"/>
  <c r="V24" i="76" s="1"/>
  <c r="Y12" i="75"/>
  <c r="V16" i="75" s="1"/>
  <c r="V24" i="75" s="1"/>
  <c r="V25" i="74" l="1"/>
  <c r="F22" i="74"/>
  <c r="S19" i="74"/>
  <c r="S20" i="74" s="1"/>
  <c r="Q19" i="74"/>
  <c r="Q20" i="74" s="1"/>
  <c r="P19" i="74"/>
  <c r="P20" i="74" s="1"/>
  <c r="L19" i="74"/>
  <c r="L20" i="74" s="1"/>
  <c r="J19" i="74"/>
  <c r="J20" i="74" s="1"/>
  <c r="H19" i="74"/>
  <c r="H20" i="74" s="1"/>
  <c r="O18" i="74"/>
  <c r="O19" i="74" s="1"/>
  <c r="O20" i="74" s="1"/>
  <c r="K18" i="74"/>
  <c r="K19" i="74" s="1"/>
  <c r="K20" i="74" s="1"/>
  <c r="E18" i="74"/>
  <c r="E19" i="74" s="1"/>
  <c r="E20" i="74" s="1"/>
  <c r="D18" i="74"/>
  <c r="D19" i="74" s="1"/>
  <c r="D20" i="74" s="1"/>
  <c r="X12" i="74"/>
  <c r="W12" i="74"/>
  <c r="U12" i="74"/>
  <c r="I18" i="74" s="1"/>
  <c r="I19" i="74" s="1"/>
  <c r="I20" i="74" s="1"/>
  <c r="S12" i="74"/>
  <c r="Q12" i="74"/>
  <c r="P12" i="74"/>
  <c r="O12" i="74"/>
  <c r="N18" i="74" s="1"/>
  <c r="N19" i="74" s="1"/>
  <c r="N20" i="74" s="1"/>
  <c r="M12" i="74"/>
  <c r="M18" i="74" s="1"/>
  <c r="M19" i="74" s="1"/>
  <c r="M20" i="74" s="1"/>
  <c r="L12" i="74"/>
  <c r="K12" i="74"/>
  <c r="G18" i="74" s="1"/>
  <c r="G19" i="74" s="1"/>
  <c r="G20" i="74" s="1"/>
  <c r="I12" i="74"/>
  <c r="F18" i="74" s="1"/>
  <c r="F19" i="74" s="1"/>
  <c r="F20" i="74" s="1"/>
  <c r="H12" i="74"/>
  <c r="G12" i="74"/>
  <c r="E12" i="74"/>
  <c r="C12" i="74"/>
  <c r="B18" i="74" s="1"/>
  <c r="B19" i="74" s="1"/>
  <c r="B20" i="74" s="1"/>
  <c r="X11" i="74"/>
  <c r="V11" i="74"/>
  <c r="T11" i="74"/>
  <c r="R11" i="74"/>
  <c r="P11" i="74"/>
  <c r="N11" i="74"/>
  <c r="L11" i="74"/>
  <c r="J11" i="74"/>
  <c r="H11" i="74"/>
  <c r="F11" i="74"/>
  <c r="D11" i="74"/>
  <c r="Y11" i="74" s="1"/>
  <c r="X10" i="74"/>
  <c r="V10" i="74"/>
  <c r="T10" i="74"/>
  <c r="R10" i="74"/>
  <c r="P10" i="74"/>
  <c r="N10" i="74"/>
  <c r="L10" i="74"/>
  <c r="J10" i="74"/>
  <c r="H10" i="74"/>
  <c r="F10" i="74"/>
  <c r="D10" i="74"/>
  <c r="Y10" i="74" s="1"/>
  <c r="X9" i="74"/>
  <c r="V9" i="74"/>
  <c r="T9" i="74"/>
  <c r="R9" i="74"/>
  <c r="P9" i="74"/>
  <c r="N9" i="74"/>
  <c r="L9" i="74"/>
  <c r="J9" i="74"/>
  <c r="H9" i="74"/>
  <c r="F9" i="74"/>
  <c r="D9" i="74"/>
  <c r="X8" i="74"/>
  <c r="V8" i="74"/>
  <c r="T8" i="74"/>
  <c r="R8" i="74"/>
  <c r="P8" i="74"/>
  <c r="N8" i="74"/>
  <c r="L8" i="74"/>
  <c r="J8" i="74"/>
  <c r="H8" i="74"/>
  <c r="F8" i="74"/>
  <c r="D8" i="74"/>
  <c r="X7" i="74"/>
  <c r="V7" i="74"/>
  <c r="T7" i="74"/>
  <c r="T12" i="74" s="1"/>
  <c r="R7" i="74"/>
  <c r="P7" i="74"/>
  <c r="N7" i="74"/>
  <c r="L7" i="74"/>
  <c r="J7" i="74"/>
  <c r="H7" i="74"/>
  <c r="F7" i="74"/>
  <c r="D7" i="74"/>
  <c r="X6" i="74"/>
  <c r="V6" i="74"/>
  <c r="T6" i="74"/>
  <c r="R6" i="74"/>
  <c r="R12" i="74" s="1"/>
  <c r="P6" i="74"/>
  <c r="N6" i="74"/>
  <c r="N12" i="74" s="1"/>
  <c r="L6" i="74"/>
  <c r="J6" i="74"/>
  <c r="H6" i="74"/>
  <c r="F6" i="74"/>
  <c r="F12" i="74" s="1"/>
  <c r="D6" i="74"/>
  <c r="Y7" i="74" l="1"/>
  <c r="J12" i="74"/>
  <c r="V12" i="74"/>
  <c r="Y6" i="74"/>
  <c r="Y9" i="74"/>
  <c r="Y8" i="74"/>
  <c r="D12" i="74"/>
  <c r="B21" i="74"/>
  <c r="Y12" i="74" l="1"/>
  <c r="V16" i="74" s="1"/>
  <c r="V24" i="74" s="1"/>
  <c r="V25" i="73" l="1"/>
  <c r="F22" i="73"/>
  <c r="S19" i="73"/>
  <c r="S20" i="73" s="1"/>
  <c r="Q19" i="73"/>
  <c r="Q20" i="73" s="1"/>
  <c r="P19" i="73"/>
  <c r="P20" i="73" s="1"/>
  <c r="L19" i="73"/>
  <c r="L20" i="73" s="1"/>
  <c r="J19" i="73"/>
  <c r="J20" i="73" s="1"/>
  <c r="H19" i="73"/>
  <c r="H20" i="73" s="1"/>
  <c r="O18" i="73"/>
  <c r="O19" i="73" s="1"/>
  <c r="O20" i="73" s="1"/>
  <c r="K18" i="73"/>
  <c r="K19" i="73" s="1"/>
  <c r="K20" i="73" s="1"/>
  <c r="E18" i="73"/>
  <c r="E19" i="73" s="1"/>
  <c r="E20" i="73" s="1"/>
  <c r="D18" i="73"/>
  <c r="D19" i="73" s="1"/>
  <c r="D20" i="73" s="1"/>
  <c r="X12" i="73"/>
  <c r="W12" i="73"/>
  <c r="U12" i="73"/>
  <c r="I18" i="73" s="1"/>
  <c r="I19" i="73" s="1"/>
  <c r="I20" i="73" s="1"/>
  <c r="S12" i="73"/>
  <c r="Q12" i="73"/>
  <c r="P12" i="73"/>
  <c r="O12" i="73"/>
  <c r="N18" i="73" s="1"/>
  <c r="N19" i="73" s="1"/>
  <c r="N20" i="73" s="1"/>
  <c r="M12" i="73"/>
  <c r="M18" i="73" s="1"/>
  <c r="M19" i="73" s="1"/>
  <c r="M20" i="73" s="1"/>
  <c r="L12" i="73"/>
  <c r="K12" i="73"/>
  <c r="G18" i="73" s="1"/>
  <c r="G19" i="73" s="1"/>
  <c r="G20" i="73" s="1"/>
  <c r="I12" i="73"/>
  <c r="F18" i="73" s="1"/>
  <c r="F19" i="73" s="1"/>
  <c r="F20" i="73" s="1"/>
  <c r="G12" i="73"/>
  <c r="E12" i="73"/>
  <c r="C12" i="73"/>
  <c r="B18" i="73" s="1"/>
  <c r="B19" i="73" s="1"/>
  <c r="B20" i="73" s="1"/>
  <c r="X11" i="73"/>
  <c r="V11" i="73"/>
  <c r="T11" i="73"/>
  <c r="R11" i="73"/>
  <c r="P11" i="73"/>
  <c r="N11" i="73"/>
  <c r="L11" i="73"/>
  <c r="J11" i="73"/>
  <c r="H11" i="73"/>
  <c r="F11" i="73"/>
  <c r="D11" i="73"/>
  <c r="Y11" i="73" s="1"/>
  <c r="X10" i="73"/>
  <c r="V10" i="73"/>
  <c r="T10" i="73"/>
  <c r="R10" i="73"/>
  <c r="P10" i="73"/>
  <c r="N10" i="73"/>
  <c r="L10" i="73"/>
  <c r="J10" i="73"/>
  <c r="H10" i="73"/>
  <c r="F10" i="73"/>
  <c r="D10" i="73"/>
  <c r="Y10" i="73" s="1"/>
  <c r="X9" i="73"/>
  <c r="V9" i="73"/>
  <c r="T9" i="73"/>
  <c r="T12" i="73" s="1"/>
  <c r="R9" i="73"/>
  <c r="P9" i="73"/>
  <c r="N9" i="73"/>
  <c r="L9" i="73"/>
  <c r="J9" i="73"/>
  <c r="H9" i="73"/>
  <c r="F9" i="73"/>
  <c r="D9" i="73"/>
  <c r="X8" i="73"/>
  <c r="V8" i="73"/>
  <c r="T8" i="73"/>
  <c r="R8" i="73"/>
  <c r="P8" i="73"/>
  <c r="N8" i="73"/>
  <c r="L8" i="73"/>
  <c r="J8" i="73"/>
  <c r="H8" i="73"/>
  <c r="H12" i="73" s="1"/>
  <c r="F8" i="73"/>
  <c r="D8" i="73"/>
  <c r="X7" i="73"/>
  <c r="V7" i="73"/>
  <c r="T7" i="73"/>
  <c r="R7" i="73"/>
  <c r="P7" i="73"/>
  <c r="N7" i="73"/>
  <c r="L7" i="73"/>
  <c r="J7" i="73"/>
  <c r="H7" i="73"/>
  <c r="F7" i="73"/>
  <c r="D7" i="73"/>
  <c r="X6" i="73"/>
  <c r="V6" i="73"/>
  <c r="V12" i="73" s="1"/>
  <c r="T6" i="73"/>
  <c r="R6" i="73"/>
  <c r="R12" i="73" s="1"/>
  <c r="P6" i="73"/>
  <c r="N6" i="73"/>
  <c r="N12" i="73" s="1"/>
  <c r="L6" i="73"/>
  <c r="J6" i="73"/>
  <c r="H6" i="73"/>
  <c r="F6" i="73"/>
  <c r="F12" i="73" s="1"/>
  <c r="D6" i="73"/>
  <c r="Y9" i="73" l="1"/>
  <c r="Y6" i="73"/>
  <c r="J12" i="73"/>
  <c r="Y7" i="73"/>
  <c r="Y8" i="73"/>
  <c r="D12" i="73"/>
  <c r="B21" i="73"/>
  <c r="Y12" i="73" l="1"/>
  <c r="V16" i="73" s="1"/>
  <c r="V24" i="73" s="1"/>
  <c r="V25" i="72" l="1"/>
  <c r="F22" i="72"/>
  <c r="S19" i="72"/>
  <c r="S20" i="72" s="1"/>
  <c r="Q19" i="72"/>
  <c r="Q20" i="72" s="1"/>
  <c r="P19" i="72"/>
  <c r="P20" i="72" s="1"/>
  <c r="L19" i="72"/>
  <c r="L20" i="72" s="1"/>
  <c r="K19" i="72"/>
  <c r="K20" i="72" s="1"/>
  <c r="J19" i="72"/>
  <c r="J20" i="72" s="1"/>
  <c r="H19" i="72"/>
  <c r="H20" i="72" s="1"/>
  <c r="M18" i="72"/>
  <c r="M19" i="72" s="1"/>
  <c r="M20" i="72" s="1"/>
  <c r="K18" i="72"/>
  <c r="W12" i="72"/>
  <c r="U12" i="72"/>
  <c r="I18" i="72" s="1"/>
  <c r="I19" i="72" s="1"/>
  <c r="I20" i="72" s="1"/>
  <c r="S12" i="72"/>
  <c r="Q12" i="72"/>
  <c r="O18" i="72" s="1"/>
  <c r="O19" i="72" s="1"/>
  <c r="O20" i="72" s="1"/>
  <c r="O12" i="72"/>
  <c r="N18" i="72" s="1"/>
  <c r="N19" i="72" s="1"/>
  <c r="N20" i="72" s="1"/>
  <c r="N12" i="72"/>
  <c r="M12" i="72"/>
  <c r="K12" i="72"/>
  <c r="G18" i="72" s="1"/>
  <c r="G19" i="72" s="1"/>
  <c r="G20" i="72" s="1"/>
  <c r="I12" i="72"/>
  <c r="F18" i="72" s="1"/>
  <c r="F19" i="72" s="1"/>
  <c r="F20" i="72" s="1"/>
  <c r="G12" i="72"/>
  <c r="E18" i="72" s="1"/>
  <c r="E19" i="72" s="1"/>
  <c r="E20" i="72" s="1"/>
  <c r="F12" i="72"/>
  <c r="E12" i="72"/>
  <c r="D18" i="72" s="1"/>
  <c r="D19" i="72" s="1"/>
  <c r="D20" i="72" s="1"/>
  <c r="C12" i="72"/>
  <c r="B18" i="72" s="1"/>
  <c r="B19" i="72" s="1"/>
  <c r="B20" i="72" s="1"/>
  <c r="X11" i="72"/>
  <c r="V11" i="72"/>
  <c r="T11" i="72"/>
  <c r="R11" i="72"/>
  <c r="P11" i="72"/>
  <c r="N11" i="72"/>
  <c r="L11" i="72"/>
  <c r="J11" i="72"/>
  <c r="Y11" i="72" s="1"/>
  <c r="H11" i="72"/>
  <c r="F11" i="72"/>
  <c r="D11" i="72"/>
  <c r="X10" i="72"/>
  <c r="V10" i="72"/>
  <c r="T10" i="72"/>
  <c r="R10" i="72"/>
  <c r="P10" i="72"/>
  <c r="N10" i="72"/>
  <c r="L10" i="72"/>
  <c r="J10" i="72"/>
  <c r="Y10" i="72" s="1"/>
  <c r="H10" i="72"/>
  <c r="F10" i="72"/>
  <c r="D10" i="72"/>
  <c r="X9" i="72"/>
  <c r="V9" i="72"/>
  <c r="T9" i="72"/>
  <c r="R9" i="72"/>
  <c r="P9" i="72"/>
  <c r="N9" i="72"/>
  <c r="L9" i="72"/>
  <c r="J9" i="72"/>
  <c r="H9" i="72"/>
  <c r="F9" i="72"/>
  <c r="D9" i="72"/>
  <c r="X8" i="72"/>
  <c r="V8" i="72"/>
  <c r="T8" i="72"/>
  <c r="R8" i="72"/>
  <c r="P8" i="72"/>
  <c r="N8" i="72"/>
  <c r="L8" i="72"/>
  <c r="J8" i="72"/>
  <c r="H8" i="72"/>
  <c r="F8" i="72"/>
  <c r="D8" i="72"/>
  <c r="X7" i="72"/>
  <c r="V7" i="72"/>
  <c r="T7" i="72"/>
  <c r="R7" i="72"/>
  <c r="P7" i="72"/>
  <c r="N7" i="72"/>
  <c r="L7" i="72"/>
  <c r="J7" i="72"/>
  <c r="H7" i="72"/>
  <c r="F7" i="72"/>
  <c r="D7" i="72"/>
  <c r="X6" i="72"/>
  <c r="X12" i="72" s="1"/>
  <c r="V6" i="72"/>
  <c r="T6" i="72"/>
  <c r="T12" i="72" s="1"/>
  <c r="R6" i="72"/>
  <c r="R12" i="72" s="1"/>
  <c r="P6" i="72"/>
  <c r="P12" i="72" s="1"/>
  <c r="N6" i="72"/>
  <c r="L6" i="72"/>
  <c r="L12" i="72" s="1"/>
  <c r="J6" i="72"/>
  <c r="H6" i="72"/>
  <c r="F6" i="72"/>
  <c r="D6" i="72"/>
  <c r="V18" i="71"/>
  <c r="V12" i="72" l="1"/>
  <c r="Y8" i="72"/>
  <c r="D12" i="72"/>
  <c r="H12" i="72"/>
  <c r="Y7" i="72"/>
  <c r="Y6" i="72"/>
  <c r="Y9" i="72"/>
  <c r="B21" i="72"/>
  <c r="J12" i="72"/>
  <c r="V25" i="71"/>
  <c r="F22" i="71"/>
  <c r="S19" i="71"/>
  <c r="S20" i="71" s="1"/>
  <c r="Q19" i="71"/>
  <c r="Q20" i="71" s="1"/>
  <c r="P19" i="71"/>
  <c r="P20" i="71" s="1"/>
  <c r="L19" i="71"/>
  <c r="L20" i="71" s="1"/>
  <c r="J19" i="71"/>
  <c r="J20" i="71" s="1"/>
  <c r="H19" i="71"/>
  <c r="H20" i="71" s="1"/>
  <c r="O18" i="71"/>
  <c r="O19" i="71" s="1"/>
  <c r="O20" i="71" s="1"/>
  <c r="D18" i="71"/>
  <c r="D19" i="71" s="1"/>
  <c r="D20" i="71" s="1"/>
  <c r="X12" i="71"/>
  <c r="W12" i="71"/>
  <c r="K18" i="71" s="1"/>
  <c r="K19" i="71" s="1"/>
  <c r="K20" i="71" s="1"/>
  <c r="U12" i="71"/>
  <c r="I18" i="71" s="1"/>
  <c r="I19" i="71" s="1"/>
  <c r="I20" i="71" s="1"/>
  <c r="S12" i="71"/>
  <c r="Q12" i="71"/>
  <c r="P12" i="71"/>
  <c r="O12" i="71"/>
  <c r="N18" i="71" s="1"/>
  <c r="N19" i="71" s="1"/>
  <c r="N20" i="71" s="1"/>
  <c r="M12" i="71"/>
  <c r="M18" i="71" s="1"/>
  <c r="M19" i="71" s="1"/>
  <c r="M20" i="71" s="1"/>
  <c r="K12" i="71"/>
  <c r="G18" i="71" s="1"/>
  <c r="G19" i="71" s="1"/>
  <c r="G20" i="71" s="1"/>
  <c r="I12" i="71"/>
  <c r="F18" i="71" s="1"/>
  <c r="F19" i="71" s="1"/>
  <c r="F20" i="71" s="1"/>
  <c r="G12" i="71"/>
  <c r="E18" i="71" s="1"/>
  <c r="E19" i="71" s="1"/>
  <c r="E20" i="71" s="1"/>
  <c r="E12" i="71"/>
  <c r="C12" i="71"/>
  <c r="B18" i="71" s="1"/>
  <c r="B19" i="71" s="1"/>
  <c r="B20" i="71" s="1"/>
  <c r="X11" i="71"/>
  <c r="V11" i="71"/>
  <c r="T11" i="71"/>
  <c r="R11" i="71"/>
  <c r="P11" i="71"/>
  <c r="N11" i="71"/>
  <c r="L11" i="71"/>
  <c r="J11" i="71"/>
  <c r="H11" i="71"/>
  <c r="F11" i="71"/>
  <c r="D11" i="71"/>
  <c r="Y11" i="71" s="1"/>
  <c r="X10" i="71"/>
  <c r="V10" i="71"/>
  <c r="T10" i="71"/>
  <c r="R10" i="71"/>
  <c r="P10" i="71"/>
  <c r="N10" i="71"/>
  <c r="L10" i="71"/>
  <c r="J10" i="71"/>
  <c r="H10" i="71"/>
  <c r="F10" i="71"/>
  <c r="D10" i="71"/>
  <c r="Y10" i="71" s="1"/>
  <c r="X9" i="71"/>
  <c r="V9" i="71"/>
  <c r="T9" i="71"/>
  <c r="R9" i="71"/>
  <c r="P9" i="71"/>
  <c r="N9" i="71"/>
  <c r="L9" i="71"/>
  <c r="J9" i="71"/>
  <c r="H9" i="71"/>
  <c r="F9" i="71"/>
  <c r="D9" i="71"/>
  <c r="X8" i="71"/>
  <c r="V8" i="71"/>
  <c r="T8" i="71"/>
  <c r="R8" i="71"/>
  <c r="P8" i="71"/>
  <c r="N8" i="71"/>
  <c r="L8" i="71"/>
  <c r="J8" i="71"/>
  <c r="H8" i="71"/>
  <c r="F8" i="71"/>
  <c r="D8" i="71"/>
  <c r="X7" i="71"/>
  <c r="V7" i="71"/>
  <c r="T7" i="71"/>
  <c r="R7" i="71"/>
  <c r="P7" i="71"/>
  <c r="N7" i="71"/>
  <c r="L7" i="71"/>
  <c r="J7" i="71"/>
  <c r="H7" i="71"/>
  <c r="F7" i="71"/>
  <c r="D7" i="71"/>
  <c r="X6" i="71"/>
  <c r="V6" i="71"/>
  <c r="T6" i="71"/>
  <c r="T12" i="71" s="1"/>
  <c r="R6" i="71"/>
  <c r="R12" i="71" s="1"/>
  <c r="P6" i="71"/>
  <c r="N6" i="71"/>
  <c r="N12" i="71" s="1"/>
  <c r="L6" i="71"/>
  <c r="L12" i="71" s="1"/>
  <c r="J6" i="71"/>
  <c r="H6" i="71"/>
  <c r="F6" i="71"/>
  <c r="F12" i="71" s="1"/>
  <c r="D6" i="71"/>
  <c r="V25" i="70"/>
  <c r="F22" i="70"/>
  <c r="S19" i="70"/>
  <c r="S20" i="70" s="1"/>
  <c r="Q19" i="70"/>
  <c r="Q20" i="70" s="1"/>
  <c r="P19" i="70"/>
  <c r="P20" i="70" s="1"/>
  <c r="O19" i="70"/>
  <c r="O20" i="70" s="1"/>
  <c r="L19" i="70"/>
  <c r="L20" i="70" s="1"/>
  <c r="J19" i="70"/>
  <c r="J20" i="70" s="1"/>
  <c r="H19" i="70"/>
  <c r="H20" i="70" s="1"/>
  <c r="O18" i="70"/>
  <c r="M18" i="70"/>
  <c r="M19" i="70" s="1"/>
  <c r="M20" i="70" s="1"/>
  <c r="D18" i="70"/>
  <c r="D19" i="70" s="1"/>
  <c r="D20" i="70" s="1"/>
  <c r="X12" i="70"/>
  <c r="W12" i="70"/>
  <c r="K18" i="70" s="1"/>
  <c r="K19" i="70" s="1"/>
  <c r="K20" i="70" s="1"/>
  <c r="U12" i="70"/>
  <c r="I18" i="70" s="1"/>
  <c r="I19" i="70" s="1"/>
  <c r="I20" i="70" s="1"/>
  <c r="S12" i="70"/>
  <c r="Q12" i="70"/>
  <c r="P12" i="70"/>
  <c r="O12" i="70"/>
  <c r="N18" i="70" s="1"/>
  <c r="N19" i="70" s="1"/>
  <c r="N20" i="70" s="1"/>
  <c r="N12" i="70"/>
  <c r="M12" i="70"/>
  <c r="K12" i="70"/>
  <c r="G18" i="70" s="1"/>
  <c r="G19" i="70" s="1"/>
  <c r="G20" i="70" s="1"/>
  <c r="I12" i="70"/>
  <c r="F18" i="70" s="1"/>
  <c r="F19" i="70" s="1"/>
  <c r="F20" i="70" s="1"/>
  <c r="G12" i="70"/>
  <c r="E18" i="70" s="1"/>
  <c r="E19" i="70" s="1"/>
  <c r="E20" i="70" s="1"/>
  <c r="F12" i="70"/>
  <c r="E12" i="70"/>
  <c r="C12" i="70"/>
  <c r="B18" i="70" s="1"/>
  <c r="B19" i="70" s="1"/>
  <c r="B20" i="70" s="1"/>
  <c r="X11" i="70"/>
  <c r="V11" i="70"/>
  <c r="T11" i="70"/>
  <c r="R11" i="70"/>
  <c r="P11" i="70"/>
  <c r="N11" i="70"/>
  <c r="L11" i="70"/>
  <c r="J11" i="70"/>
  <c r="Y11" i="70" s="1"/>
  <c r="H11" i="70"/>
  <c r="F11" i="70"/>
  <c r="D11" i="70"/>
  <c r="X10" i="70"/>
  <c r="V10" i="70"/>
  <c r="T10" i="70"/>
  <c r="R10" i="70"/>
  <c r="P10" i="70"/>
  <c r="N10" i="70"/>
  <c r="L10" i="70"/>
  <c r="J10" i="70"/>
  <c r="Y10" i="70" s="1"/>
  <c r="H10" i="70"/>
  <c r="F10" i="70"/>
  <c r="D10" i="70"/>
  <c r="X9" i="70"/>
  <c r="V9" i="70"/>
  <c r="T9" i="70"/>
  <c r="R9" i="70"/>
  <c r="P9" i="70"/>
  <c r="N9" i="70"/>
  <c r="L9" i="70"/>
  <c r="J9" i="70"/>
  <c r="H9" i="70"/>
  <c r="F9" i="70"/>
  <c r="D9" i="70"/>
  <c r="X8" i="70"/>
  <c r="V8" i="70"/>
  <c r="T8" i="70"/>
  <c r="R8" i="70"/>
  <c r="P8" i="70"/>
  <c r="N8" i="70"/>
  <c r="L8" i="70"/>
  <c r="J8" i="70"/>
  <c r="H8" i="70"/>
  <c r="F8" i="70"/>
  <c r="D8" i="70"/>
  <c r="X7" i="70"/>
  <c r="V7" i="70"/>
  <c r="T7" i="70"/>
  <c r="R7" i="70"/>
  <c r="P7" i="70"/>
  <c r="N7" i="70"/>
  <c r="L7" i="70"/>
  <c r="J7" i="70"/>
  <c r="H7" i="70"/>
  <c r="F7" i="70"/>
  <c r="D7" i="70"/>
  <c r="X6" i="70"/>
  <c r="V6" i="70"/>
  <c r="T6" i="70"/>
  <c r="R6" i="70"/>
  <c r="R12" i="70" s="1"/>
  <c r="P6" i="70"/>
  <c r="N6" i="70"/>
  <c r="L6" i="70"/>
  <c r="L12" i="70" s="1"/>
  <c r="J6" i="70"/>
  <c r="H6" i="70"/>
  <c r="F6" i="70"/>
  <c r="D6" i="70"/>
  <c r="V18" i="69"/>
  <c r="Y12" i="72" l="1"/>
  <c r="V16" i="72" s="1"/>
  <c r="V24" i="72" s="1"/>
  <c r="H12" i="71"/>
  <c r="J12" i="71"/>
  <c r="V12" i="71"/>
  <c r="Y9" i="71"/>
  <c r="Y6" i="71"/>
  <c r="Y8" i="71"/>
  <c r="Y7" i="71"/>
  <c r="B21" i="71"/>
  <c r="D12" i="71"/>
  <c r="H12" i="70"/>
  <c r="Y7" i="70"/>
  <c r="V12" i="70"/>
  <c r="J12" i="70"/>
  <c r="Y9" i="70"/>
  <c r="T12" i="70"/>
  <c r="D12" i="70"/>
  <c r="Y8" i="70"/>
  <c r="B21" i="70"/>
  <c r="Y6" i="70"/>
  <c r="Y12" i="71" l="1"/>
  <c r="V16" i="71" s="1"/>
  <c r="V24" i="71" s="1"/>
  <c r="Y12" i="70"/>
  <c r="V16" i="70" s="1"/>
  <c r="V24" i="70" s="1"/>
  <c r="V25" i="69"/>
  <c r="F22" i="69"/>
  <c r="S19" i="69"/>
  <c r="S20" i="69" s="1"/>
  <c r="Q19" i="69"/>
  <c r="Q20" i="69" s="1"/>
  <c r="P19" i="69"/>
  <c r="P20" i="69" s="1"/>
  <c r="L19" i="69"/>
  <c r="L20" i="69" s="1"/>
  <c r="J19" i="69"/>
  <c r="J20" i="69" s="1"/>
  <c r="H19" i="69"/>
  <c r="H20" i="69" s="1"/>
  <c r="M18" i="69"/>
  <c r="M19" i="69" s="1"/>
  <c r="M20" i="69" s="1"/>
  <c r="W12" i="69"/>
  <c r="K18" i="69" s="1"/>
  <c r="K19" i="69" s="1"/>
  <c r="K20" i="69" s="1"/>
  <c r="U12" i="69"/>
  <c r="I18" i="69" s="1"/>
  <c r="I19" i="69" s="1"/>
  <c r="I20" i="69" s="1"/>
  <c r="S12" i="69"/>
  <c r="Q12" i="69"/>
  <c r="O18" i="69" s="1"/>
  <c r="O19" i="69" s="1"/>
  <c r="O20" i="69" s="1"/>
  <c r="O12" i="69"/>
  <c r="N18" i="69" s="1"/>
  <c r="N19" i="69" s="1"/>
  <c r="N20" i="69" s="1"/>
  <c r="N12" i="69"/>
  <c r="M12" i="69"/>
  <c r="K12" i="69"/>
  <c r="G18" i="69" s="1"/>
  <c r="G19" i="69" s="1"/>
  <c r="G20" i="69" s="1"/>
  <c r="I12" i="69"/>
  <c r="F18" i="69" s="1"/>
  <c r="F19" i="69" s="1"/>
  <c r="F20" i="69" s="1"/>
  <c r="G12" i="69"/>
  <c r="E18" i="69" s="1"/>
  <c r="E19" i="69" s="1"/>
  <c r="E20" i="69" s="1"/>
  <c r="F12" i="69"/>
  <c r="E12" i="69"/>
  <c r="D18" i="69" s="1"/>
  <c r="D19" i="69" s="1"/>
  <c r="D20" i="69" s="1"/>
  <c r="C12" i="69"/>
  <c r="B18" i="69" s="1"/>
  <c r="B19" i="69" s="1"/>
  <c r="B20" i="69" s="1"/>
  <c r="X11" i="69"/>
  <c r="V11" i="69"/>
  <c r="T11" i="69"/>
  <c r="R11" i="69"/>
  <c r="P11" i="69"/>
  <c r="N11" i="69"/>
  <c r="L11" i="69"/>
  <c r="J11" i="69"/>
  <c r="H11" i="69"/>
  <c r="F11" i="69"/>
  <c r="D11" i="69"/>
  <c r="X10" i="69"/>
  <c r="V10" i="69"/>
  <c r="T10" i="69"/>
  <c r="R10" i="69"/>
  <c r="P10" i="69"/>
  <c r="N10" i="69"/>
  <c r="L10" i="69"/>
  <c r="J10" i="69"/>
  <c r="Y10" i="69" s="1"/>
  <c r="H10" i="69"/>
  <c r="F10" i="69"/>
  <c r="D10" i="69"/>
  <c r="X9" i="69"/>
  <c r="V9" i="69"/>
  <c r="T9" i="69"/>
  <c r="R9" i="69"/>
  <c r="P9" i="69"/>
  <c r="N9" i="69"/>
  <c r="L9" i="69"/>
  <c r="J9" i="69"/>
  <c r="H9" i="69"/>
  <c r="F9" i="69"/>
  <c r="D9" i="69"/>
  <c r="X8" i="69"/>
  <c r="V8" i="69"/>
  <c r="T8" i="69"/>
  <c r="R8" i="69"/>
  <c r="P8" i="69"/>
  <c r="N8" i="69"/>
  <c r="L8" i="69"/>
  <c r="J8" i="69"/>
  <c r="H8" i="69"/>
  <c r="F8" i="69"/>
  <c r="D8" i="69"/>
  <c r="X7" i="69"/>
  <c r="V7" i="69"/>
  <c r="T7" i="69"/>
  <c r="R7" i="69"/>
  <c r="P7" i="69"/>
  <c r="N7" i="69"/>
  <c r="L7" i="69"/>
  <c r="J7" i="69"/>
  <c r="H7" i="69"/>
  <c r="F7" i="69"/>
  <c r="D7" i="69"/>
  <c r="X6" i="69"/>
  <c r="X12" i="69" s="1"/>
  <c r="V6" i="69"/>
  <c r="T6" i="69"/>
  <c r="R6" i="69"/>
  <c r="R12" i="69" s="1"/>
  <c r="P6" i="69"/>
  <c r="P12" i="69" s="1"/>
  <c r="N6" i="69"/>
  <c r="L6" i="69"/>
  <c r="L12" i="69" s="1"/>
  <c r="J6" i="69"/>
  <c r="Y6" i="69" s="1"/>
  <c r="H6" i="69"/>
  <c r="F6" i="69"/>
  <c r="D6" i="69"/>
  <c r="Y11" i="69" l="1"/>
  <c r="V12" i="69"/>
  <c r="H12" i="69"/>
  <c r="Y7" i="69"/>
  <c r="Y9" i="69"/>
  <c r="T12" i="69"/>
  <c r="D12" i="69"/>
  <c r="Y8" i="69"/>
  <c r="B21" i="69"/>
  <c r="J12" i="69"/>
  <c r="Y12" i="69" l="1"/>
  <c r="V16" i="69" s="1"/>
  <c r="V24" i="69" s="1"/>
  <c r="V18" i="68" l="1"/>
  <c r="V18" i="67" l="1"/>
  <c r="V25" i="68" l="1"/>
  <c r="F22" i="68"/>
  <c r="S19" i="68"/>
  <c r="S20" i="68" s="1"/>
  <c r="Q19" i="68"/>
  <c r="Q20" i="68" s="1"/>
  <c r="P19" i="68"/>
  <c r="P20" i="68" s="1"/>
  <c r="L19" i="68"/>
  <c r="L20" i="68" s="1"/>
  <c r="J19" i="68"/>
  <c r="J20" i="68" s="1"/>
  <c r="H19" i="68"/>
  <c r="H20" i="68" s="1"/>
  <c r="M18" i="68"/>
  <c r="M19" i="68" s="1"/>
  <c r="M20" i="68" s="1"/>
  <c r="W12" i="68"/>
  <c r="K18" i="68" s="1"/>
  <c r="K19" i="68" s="1"/>
  <c r="K20" i="68" s="1"/>
  <c r="V12" i="68"/>
  <c r="U12" i="68"/>
  <c r="I18" i="68" s="1"/>
  <c r="I19" i="68" s="1"/>
  <c r="I20" i="68" s="1"/>
  <c r="S12" i="68"/>
  <c r="Q12" i="68"/>
  <c r="O18" i="68" s="1"/>
  <c r="O19" i="68" s="1"/>
  <c r="O20" i="68" s="1"/>
  <c r="O12" i="68"/>
  <c r="N18" i="68" s="1"/>
  <c r="N19" i="68" s="1"/>
  <c r="N20" i="68" s="1"/>
  <c r="N12" i="68"/>
  <c r="M12" i="68"/>
  <c r="K12" i="68"/>
  <c r="G18" i="68" s="1"/>
  <c r="G19" i="68" s="1"/>
  <c r="G20" i="68" s="1"/>
  <c r="I12" i="68"/>
  <c r="F18" i="68" s="1"/>
  <c r="F19" i="68" s="1"/>
  <c r="F20" i="68" s="1"/>
  <c r="G12" i="68"/>
  <c r="E18" i="68" s="1"/>
  <c r="E19" i="68" s="1"/>
  <c r="E20" i="68" s="1"/>
  <c r="F12" i="68"/>
  <c r="E12" i="68"/>
  <c r="D18" i="68" s="1"/>
  <c r="D19" i="68" s="1"/>
  <c r="D20" i="68" s="1"/>
  <c r="C12" i="68"/>
  <c r="B18" i="68" s="1"/>
  <c r="B19" i="68" s="1"/>
  <c r="B20" i="68" s="1"/>
  <c r="X11" i="68"/>
  <c r="V11" i="68"/>
  <c r="T11" i="68"/>
  <c r="R11" i="68"/>
  <c r="P11" i="68"/>
  <c r="N11" i="68"/>
  <c r="L11" i="68"/>
  <c r="J11" i="68"/>
  <c r="H11" i="68"/>
  <c r="F11" i="68"/>
  <c r="D11" i="68"/>
  <c r="X10" i="68"/>
  <c r="V10" i="68"/>
  <c r="T10" i="68"/>
  <c r="R10" i="68"/>
  <c r="P10" i="68"/>
  <c r="N10" i="68"/>
  <c r="L10" i="68"/>
  <c r="J10" i="68"/>
  <c r="Y10" i="68" s="1"/>
  <c r="H10" i="68"/>
  <c r="F10" i="68"/>
  <c r="D10" i="68"/>
  <c r="X9" i="68"/>
  <c r="V9" i="68"/>
  <c r="T9" i="68"/>
  <c r="R9" i="68"/>
  <c r="P9" i="68"/>
  <c r="N9" i="68"/>
  <c r="L9" i="68"/>
  <c r="J9" i="68"/>
  <c r="Y9" i="68" s="1"/>
  <c r="H9" i="68"/>
  <c r="F9" i="68"/>
  <c r="D9" i="68"/>
  <c r="X8" i="68"/>
  <c r="V8" i="68"/>
  <c r="T8" i="68"/>
  <c r="R8" i="68"/>
  <c r="P8" i="68"/>
  <c r="N8" i="68"/>
  <c r="L8" i="68"/>
  <c r="J8" i="68"/>
  <c r="H8" i="68"/>
  <c r="F8" i="68"/>
  <c r="D8" i="68"/>
  <c r="X7" i="68"/>
  <c r="V7" i="68"/>
  <c r="T7" i="68"/>
  <c r="R7" i="68"/>
  <c r="P7" i="68"/>
  <c r="N7" i="68"/>
  <c r="L7" i="68"/>
  <c r="J7" i="68"/>
  <c r="H7" i="68"/>
  <c r="F7" i="68"/>
  <c r="D7" i="68"/>
  <c r="X6" i="68"/>
  <c r="X12" i="68" s="1"/>
  <c r="V6" i="68"/>
  <c r="T6" i="68"/>
  <c r="R6" i="68"/>
  <c r="R12" i="68" s="1"/>
  <c r="P6" i="68"/>
  <c r="P12" i="68" s="1"/>
  <c r="N6" i="68"/>
  <c r="L6" i="68"/>
  <c r="L12" i="68" s="1"/>
  <c r="J6" i="68"/>
  <c r="H6" i="68"/>
  <c r="H12" i="68" s="1"/>
  <c r="F6" i="68"/>
  <c r="D6" i="68"/>
  <c r="Y11" i="68" l="1"/>
  <c r="Y7" i="68"/>
  <c r="Y6" i="68"/>
  <c r="T12" i="68"/>
  <c r="D12" i="68"/>
  <c r="Y8" i="68"/>
  <c r="Y12" i="68" s="1"/>
  <c r="V16" i="68" s="1"/>
  <c r="V24" i="68" s="1"/>
  <c r="B21" i="68"/>
  <c r="J12" i="68"/>
  <c r="V25" i="67"/>
  <c r="F22" i="67"/>
  <c r="S19" i="67"/>
  <c r="S20" i="67" s="1"/>
  <c r="Q19" i="67"/>
  <c r="Q20" i="67" s="1"/>
  <c r="P19" i="67"/>
  <c r="P20" i="67" s="1"/>
  <c r="L19" i="67"/>
  <c r="L20" i="67" s="1"/>
  <c r="J19" i="67"/>
  <c r="J20" i="67" s="1"/>
  <c r="H19" i="67"/>
  <c r="H20" i="67" s="1"/>
  <c r="E18" i="67"/>
  <c r="E19" i="67" s="1"/>
  <c r="E20" i="67" s="1"/>
  <c r="W12" i="67"/>
  <c r="K18" i="67" s="1"/>
  <c r="K19" i="67" s="1"/>
  <c r="K20" i="67" s="1"/>
  <c r="V12" i="67"/>
  <c r="U12" i="67"/>
  <c r="I18" i="67" s="1"/>
  <c r="I19" i="67" s="1"/>
  <c r="I20" i="67" s="1"/>
  <c r="S12" i="67"/>
  <c r="Q12" i="67"/>
  <c r="O18" i="67" s="1"/>
  <c r="O19" i="67" s="1"/>
  <c r="O20" i="67" s="1"/>
  <c r="O12" i="67"/>
  <c r="N18" i="67" s="1"/>
  <c r="N19" i="67" s="1"/>
  <c r="N20" i="67" s="1"/>
  <c r="N12" i="67"/>
  <c r="M12" i="67"/>
  <c r="M18" i="67" s="1"/>
  <c r="M19" i="67" s="1"/>
  <c r="M20" i="67" s="1"/>
  <c r="K12" i="67"/>
  <c r="G18" i="67" s="1"/>
  <c r="G19" i="67" s="1"/>
  <c r="G20" i="67" s="1"/>
  <c r="I12" i="67"/>
  <c r="F18" i="67" s="1"/>
  <c r="F19" i="67" s="1"/>
  <c r="F20" i="67" s="1"/>
  <c r="G12" i="67"/>
  <c r="F12" i="67"/>
  <c r="E12" i="67"/>
  <c r="D18" i="67" s="1"/>
  <c r="D19" i="67" s="1"/>
  <c r="D20" i="67" s="1"/>
  <c r="C12" i="67"/>
  <c r="B18" i="67" s="1"/>
  <c r="B19" i="67" s="1"/>
  <c r="B20" i="67" s="1"/>
  <c r="X11" i="67"/>
  <c r="V11" i="67"/>
  <c r="T11" i="67"/>
  <c r="R11" i="67"/>
  <c r="P11" i="67"/>
  <c r="N11" i="67"/>
  <c r="L11" i="67"/>
  <c r="J11" i="67"/>
  <c r="H11" i="67"/>
  <c r="F11" i="67"/>
  <c r="D11" i="67"/>
  <c r="X10" i="67"/>
  <c r="V10" i="67"/>
  <c r="T10" i="67"/>
  <c r="R10" i="67"/>
  <c r="P10" i="67"/>
  <c r="N10" i="67"/>
  <c r="L10" i="67"/>
  <c r="J10" i="67"/>
  <c r="H10" i="67"/>
  <c r="Y10" i="67" s="1"/>
  <c r="F10" i="67"/>
  <c r="D10" i="67"/>
  <c r="X9" i="67"/>
  <c r="V9" i="67"/>
  <c r="T9" i="67"/>
  <c r="R9" i="67"/>
  <c r="P9" i="67"/>
  <c r="N9" i="67"/>
  <c r="L9" i="67"/>
  <c r="J9" i="67"/>
  <c r="H9" i="67"/>
  <c r="F9" i="67"/>
  <c r="D9" i="67"/>
  <c r="X8" i="67"/>
  <c r="V8" i="67"/>
  <c r="T8" i="67"/>
  <c r="R8" i="67"/>
  <c r="P8" i="67"/>
  <c r="N8" i="67"/>
  <c r="L8" i="67"/>
  <c r="J8" i="67"/>
  <c r="H8" i="67"/>
  <c r="Y8" i="67" s="1"/>
  <c r="F8" i="67"/>
  <c r="D8" i="67"/>
  <c r="X7" i="67"/>
  <c r="V7" i="67"/>
  <c r="T7" i="67"/>
  <c r="R7" i="67"/>
  <c r="P7" i="67"/>
  <c r="N7" i="67"/>
  <c r="L7" i="67"/>
  <c r="J7" i="67"/>
  <c r="H7" i="67"/>
  <c r="F7" i="67"/>
  <c r="D7" i="67"/>
  <c r="X6" i="67"/>
  <c r="X12" i="67" s="1"/>
  <c r="V6" i="67"/>
  <c r="T6" i="67"/>
  <c r="R6" i="67"/>
  <c r="R12" i="67" s="1"/>
  <c r="P6" i="67"/>
  <c r="P12" i="67" s="1"/>
  <c r="N6" i="67"/>
  <c r="L6" i="67"/>
  <c r="L12" i="67" s="1"/>
  <c r="J6" i="67"/>
  <c r="H6" i="67"/>
  <c r="H12" i="67" s="1"/>
  <c r="F6" i="67"/>
  <c r="D6" i="67"/>
  <c r="V18" i="66"/>
  <c r="V25" i="66"/>
  <c r="F22" i="66"/>
  <c r="S19" i="66"/>
  <c r="S20" i="66" s="1"/>
  <c r="Q19" i="66"/>
  <c r="Q20" i="66" s="1"/>
  <c r="P19" i="66"/>
  <c r="P20" i="66" s="1"/>
  <c r="L19" i="66"/>
  <c r="L20" i="66" s="1"/>
  <c r="J19" i="66"/>
  <c r="J20" i="66" s="1"/>
  <c r="H19" i="66"/>
  <c r="H20" i="66" s="1"/>
  <c r="M18" i="66"/>
  <c r="M19" i="66" s="1"/>
  <c r="M20" i="66" s="1"/>
  <c r="W12" i="66"/>
  <c r="K18" i="66" s="1"/>
  <c r="K19" i="66" s="1"/>
  <c r="K20" i="66" s="1"/>
  <c r="V12" i="66"/>
  <c r="U12" i="66"/>
  <c r="I18" i="66" s="1"/>
  <c r="I19" i="66" s="1"/>
  <c r="I20" i="66" s="1"/>
  <c r="S12" i="66"/>
  <c r="Q12" i="66"/>
  <c r="O18" i="66" s="1"/>
  <c r="O19" i="66" s="1"/>
  <c r="O20" i="66" s="1"/>
  <c r="O12" i="66"/>
  <c r="N18" i="66" s="1"/>
  <c r="N19" i="66" s="1"/>
  <c r="N20" i="66" s="1"/>
  <c r="N12" i="66"/>
  <c r="M12" i="66"/>
  <c r="K12" i="66"/>
  <c r="G18" i="66" s="1"/>
  <c r="G19" i="66" s="1"/>
  <c r="G20" i="66" s="1"/>
  <c r="I12" i="66"/>
  <c r="F18" i="66" s="1"/>
  <c r="F19" i="66" s="1"/>
  <c r="F20" i="66" s="1"/>
  <c r="G12" i="66"/>
  <c r="E18" i="66" s="1"/>
  <c r="E19" i="66" s="1"/>
  <c r="E20" i="66" s="1"/>
  <c r="F12" i="66"/>
  <c r="E12" i="66"/>
  <c r="D18" i="66" s="1"/>
  <c r="D19" i="66" s="1"/>
  <c r="D20" i="66" s="1"/>
  <c r="C12" i="66"/>
  <c r="B18" i="66" s="1"/>
  <c r="B19" i="66" s="1"/>
  <c r="B20" i="66" s="1"/>
  <c r="Y11" i="66"/>
  <c r="X11" i="66"/>
  <c r="V11" i="66"/>
  <c r="T11" i="66"/>
  <c r="R11" i="66"/>
  <c r="P11" i="66"/>
  <c r="N11" i="66"/>
  <c r="L11" i="66"/>
  <c r="J11" i="66"/>
  <c r="H11" i="66"/>
  <c r="F11" i="66"/>
  <c r="D11" i="66"/>
  <c r="X10" i="66"/>
  <c r="V10" i="66"/>
  <c r="T10" i="66"/>
  <c r="R10" i="66"/>
  <c r="P10" i="66"/>
  <c r="N10" i="66"/>
  <c r="L10" i="66"/>
  <c r="J10" i="66"/>
  <c r="Y10" i="66" s="1"/>
  <c r="H10" i="66"/>
  <c r="F10" i="66"/>
  <c r="D10" i="66"/>
  <c r="X9" i="66"/>
  <c r="V9" i="66"/>
  <c r="T9" i="66"/>
  <c r="R9" i="66"/>
  <c r="P9" i="66"/>
  <c r="N9" i="66"/>
  <c r="L9" i="66"/>
  <c r="J9" i="66"/>
  <c r="H9" i="66"/>
  <c r="F9" i="66"/>
  <c r="D9" i="66"/>
  <c r="X8" i="66"/>
  <c r="V8" i="66"/>
  <c r="T8" i="66"/>
  <c r="R8" i="66"/>
  <c r="P8" i="66"/>
  <c r="N8" i="66"/>
  <c r="L8" i="66"/>
  <c r="J8" i="66"/>
  <c r="Y8" i="66" s="1"/>
  <c r="H8" i="66"/>
  <c r="F8" i="66"/>
  <c r="D8" i="66"/>
  <c r="X7" i="66"/>
  <c r="V7" i="66"/>
  <c r="T7" i="66"/>
  <c r="R7" i="66"/>
  <c r="P7" i="66"/>
  <c r="N7" i="66"/>
  <c r="L7" i="66"/>
  <c r="J7" i="66"/>
  <c r="H7" i="66"/>
  <c r="F7" i="66"/>
  <c r="D7" i="66"/>
  <c r="X6" i="66"/>
  <c r="X12" i="66" s="1"/>
  <c r="V6" i="66"/>
  <c r="T6" i="66"/>
  <c r="R6" i="66"/>
  <c r="R12" i="66" s="1"/>
  <c r="P6" i="66"/>
  <c r="P12" i="66" s="1"/>
  <c r="N6" i="66"/>
  <c r="L6" i="66"/>
  <c r="L12" i="66" s="1"/>
  <c r="J6" i="66"/>
  <c r="H6" i="66"/>
  <c r="H12" i="66" s="1"/>
  <c r="F6" i="66"/>
  <c r="D6" i="66"/>
  <c r="V18" i="65"/>
  <c r="V25" i="65"/>
  <c r="F22" i="65"/>
  <c r="S19" i="65"/>
  <c r="S20" i="65" s="1"/>
  <c r="Q19" i="65"/>
  <c r="Q20" i="65" s="1"/>
  <c r="P19" i="65"/>
  <c r="P20" i="65" s="1"/>
  <c r="L19" i="65"/>
  <c r="L20" i="65" s="1"/>
  <c r="J19" i="65"/>
  <c r="J20" i="65" s="1"/>
  <c r="H19" i="65"/>
  <c r="H20" i="65" s="1"/>
  <c r="W12" i="65"/>
  <c r="K18" i="65" s="1"/>
  <c r="K19" i="65" s="1"/>
  <c r="K20" i="65" s="1"/>
  <c r="U12" i="65"/>
  <c r="I18" i="65" s="1"/>
  <c r="I19" i="65" s="1"/>
  <c r="I20" i="65" s="1"/>
  <c r="S12" i="65"/>
  <c r="Q12" i="65"/>
  <c r="O18" i="65" s="1"/>
  <c r="O19" i="65" s="1"/>
  <c r="O20" i="65" s="1"/>
  <c r="O12" i="65"/>
  <c r="N18" i="65" s="1"/>
  <c r="N19" i="65" s="1"/>
  <c r="N20" i="65" s="1"/>
  <c r="M12" i="65"/>
  <c r="M18" i="65" s="1"/>
  <c r="M19" i="65" s="1"/>
  <c r="M20" i="65" s="1"/>
  <c r="K12" i="65"/>
  <c r="G18" i="65" s="1"/>
  <c r="G19" i="65" s="1"/>
  <c r="G20" i="65" s="1"/>
  <c r="I12" i="65"/>
  <c r="F18" i="65" s="1"/>
  <c r="F19" i="65" s="1"/>
  <c r="F20" i="65" s="1"/>
  <c r="G12" i="65"/>
  <c r="E18" i="65" s="1"/>
  <c r="E19" i="65" s="1"/>
  <c r="E20" i="65" s="1"/>
  <c r="E12" i="65"/>
  <c r="D18" i="65" s="1"/>
  <c r="D19" i="65" s="1"/>
  <c r="D20" i="65" s="1"/>
  <c r="C12" i="65"/>
  <c r="B18" i="65" s="1"/>
  <c r="B19" i="65" s="1"/>
  <c r="B20" i="65" s="1"/>
  <c r="X11" i="65"/>
  <c r="V11" i="65"/>
  <c r="T11" i="65"/>
  <c r="R11" i="65"/>
  <c r="P11" i="65"/>
  <c r="N11" i="65"/>
  <c r="L11" i="65"/>
  <c r="J11" i="65"/>
  <c r="H11" i="65"/>
  <c r="F11" i="65"/>
  <c r="D11" i="65"/>
  <c r="X10" i="65"/>
  <c r="V10" i="65"/>
  <c r="T10" i="65"/>
  <c r="R10" i="65"/>
  <c r="P10" i="65"/>
  <c r="N10" i="65"/>
  <c r="L10" i="65"/>
  <c r="J10" i="65"/>
  <c r="H10" i="65"/>
  <c r="F10" i="65"/>
  <c r="D10" i="65"/>
  <c r="X9" i="65"/>
  <c r="V9" i="65"/>
  <c r="T9" i="65"/>
  <c r="R9" i="65"/>
  <c r="P9" i="65"/>
  <c r="N9" i="65"/>
  <c r="L9" i="65"/>
  <c r="J9" i="65"/>
  <c r="H9" i="65"/>
  <c r="F9" i="65"/>
  <c r="D9" i="65"/>
  <c r="X8" i="65"/>
  <c r="V8" i="65"/>
  <c r="T8" i="65"/>
  <c r="R8" i="65"/>
  <c r="P8" i="65"/>
  <c r="N8" i="65"/>
  <c r="L8" i="65"/>
  <c r="J8" i="65"/>
  <c r="H8" i="65"/>
  <c r="F8" i="65"/>
  <c r="D8" i="65"/>
  <c r="X7" i="65"/>
  <c r="V7" i="65"/>
  <c r="T7" i="65"/>
  <c r="R7" i="65"/>
  <c r="P7" i="65"/>
  <c r="N7" i="65"/>
  <c r="L7" i="65"/>
  <c r="J7" i="65"/>
  <c r="H7" i="65"/>
  <c r="F7" i="65"/>
  <c r="D7" i="65"/>
  <c r="X6" i="65"/>
  <c r="X12" i="65" s="1"/>
  <c r="V6" i="65"/>
  <c r="T6" i="65"/>
  <c r="R6" i="65"/>
  <c r="P6" i="65"/>
  <c r="P12" i="65" s="1"/>
  <c r="N6" i="65"/>
  <c r="L6" i="65"/>
  <c r="L12" i="65" s="1"/>
  <c r="J6" i="65"/>
  <c r="H6" i="65"/>
  <c r="H12" i="65" s="1"/>
  <c r="F6" i="65"/>
  <c r="D6" i="65"/>
  <c r="V18" i="64"/>
  <c r="T12" i="67" l="1"/>
  <c r="Y11" i="67"/>
  <c r="D12" i="67"/>
  <c r="J12" i="67"/>
  <c r="Y7" i="67"/>
  <c r="Y9" i="67"/>
  <c r="B21" i="67"/>
  <c r="Y6" i="67"/>
  <c r="T12" i="66"/>
  <c r="Y6" i="66"/>
  <c r="Y9" i="66"/>
  <c r="D12" i="66"/>
  <c r="Y7" i="66"/>
  <c r="B21" i="66"/>
  <c r="J12" i="66"/>
  <c r="R12" i="65"/>
  <c r="Y11" i="65"/>
  <c r="T12" i="65"/>
  <c r="F12" i="65"/>
  <c r="N12" i="65"/>
  <c r="V12" i="65"/>
  <c r="Y10" i="65"/>
  <c r="D12" i="65"/>
  <c r="J12" i="65"/>
  <c r="Y9" i="65"/>
  <c r="Y8" i="65"/>
  <c r="Y7" i="65"/>
  <c r="B21" i="65"/>
  <c r="Y6" i="65"/>
  <c r="Y12" i="67" l="1"/>
  <c r="V16" i="67" s="1"/>
  <c r="V24" i="67" s="1"/>
  <c r="Y12" i="66"/>
  <c r="V16" i="66" s="1"/>
  <c r="V24" i="66" s="1"/>
  <c r="Y12" i="65"/>
  <c r="V16" i="65" s="1"/>
  <c r="V24" i="65" s="1"/>
  <c r="V25" i="64" l="1"/>
  <c r="F22" i="64"/>
  <c r="S19" i="64"/>
  <c r="S20" i="64" s="1"/>
  <c r="Q19" i="64"/>
  <c r="Q20" i="64" s="1"/>
  <c r="P19" i="64"/>
  <c r="P20" i="64" s="1"/>
  <c r="L19" i="64"/>
  <c r="L20" i="64" s="1"/>
  <c r="J19" i="64"/>
  <c r="J20" i="64" s="1"/>
  <c r="H19" i="64"/>
  <c r="H20" i="64" s="1"/>
  <c r="W12" i="64"/>
  <c r="K18" i="64" s="1"/>
  <c r="K19" i="64" s="1"/>
  <c r="K20" i="64" s="1"/>
  <c r="U12" i="64"/>
  <c r="I18" i="64" s="1"/>
  <c r="I19" i="64" s="1"/>
  <c r="I20" i="64" s="1"/>
  <c r="S12" i="64"/>
  <c r="Q12" i="64"/>
  <c r="O18" i="64" s="1"/>
  <c r="O19" i="64" s="1"/>
  <c r="O20" i="64" s="1"/>
  <c r="O12" i="64"/>
  <c r="N18" i="64" s="1"/>
  <c r="N19" i="64" s="1"/>
  <c r="N20" i="64" s="1"/>
  <c r="M12" i="64"/>
  <c r="M18" i="64" s="1"/>
  <c r="M19" i="64" s="1"/>
  <c r="M20" i="64" s="1"/>
  <c r="K12" i="64"/>
  <c r="G18" i="64" s="1"/>
  <c r="G19" i="64" s="1"/>
  <c r="G20" i="64" s="1"/>
  <c r="I12" i="64"/>
  <c r="F18" i="64" s="1"/>
  <c r="F19" i="64" s="1"/>
  <c r="F20" i="64" s="1"/>
  <c r="G12" i="64"/>
  <c r="E18" i="64" s="1"/>
  <c r="E19" i="64" s="1"/>
  <c r="E20" i="64" s="1"/>
  <c r="E12" i="64"/>
  <c r="D18" i="64" s="1"/>
  <c r="D19" i="64" s="1"/>
  <c r="D20" i="64" s="1"/>
  <c r="C12" i="64"/>
  <c r="B18" i="64" s="1"/>
  <c r="B19" i="64" s="1"/>
  <c r="B20" i="64" s="1"/>
  <c r="X11" i="64"/>
  <c r="V11" i="64"/>
  <c r="T11" i="64"/>
  <c r="R11" i="64"/>
  <c r="P11" i="64"/>
  <c r="N11" i="64"/>
  <c r="L11" i="64"/>
  <c r="J11" i="64"/>
  <c r="H11" i="64"/>
  <c r="F11" i="64"/>
  <c r="D11" i="64"/>
  <c r="X10" i="64"/>
  <c r="V10" i="64"/>
  <c r="T10" i="64"/>
  <c r="R10" i="64"/>
  <c r="P10" i="64"/>
  <c r="N10" i="64"/>
  <c r="L10" i="64"/>
  <c r="J10" i="64"/>
  <c r="H10" i="64"/>
  <c r="Y10" i="64" s="1"/>
  <c r="F10" i="64"/>
  <c r="D10" i="64"/>
  <c r="X9" i="64"/>
  <c r="V9" i="64"/>
  <c r="V12" i="64" s="1"/>
  <c r="T9" i="64"/>
  <c r="R9" i="64"/>
  <c r="P9" i="64"/>
  <c r="N9" i="64"/>
  <c r="L9" i="64"/>
  <c r="J9" i="64"/>
  <c r="H9" i="64"/>
  <c r="F9" i="64"/>
  <c r="D9" i="64"/>
  <c r="X8" i="64"/>
  <c r="V8" i="64"/>
  <c r="T8" i="64"/>
  <c r="R8" i="64"/>
  <c r="P8" i="64"/>
  <c r="N8" i="64"/>
  <c r="L8" i="64"/>
  <c r="J8" i="64"/>
  <c r="H8" i="64"/>
  <c r="F8" i="64"/>
  <c r="D8" i="64"/>
  <c r="X7" i="64"/>
  <c r="V7" i="64"/>
  <c r="T7" i="64"/>
  <c r="R7" i="64"/>
  <c r="P7" i="64"/>
  <c r="N7" i="64"/>
  <c r="L7" i="64"/>
  <c r="J7" i="64"/>
  <c r="H7" i="64"/>
  <c r="F7" i="64"/>
  <c r="D7" i="64"/>
  <c r="X6" i="64"/>
  <c r="X12" i="64" s="1"/>
  <c r="V6" i="64"/>
  <c r="T6" i="64"/>
  <c r="R6" i="64"/>
  <c r="P6" i="64"/>
  <c r="P12" i="64" s="1"/>
  <c r="N6" i="64"/>
  <c r="N12" i="64" s="1"/>
  <c r="L6" i="64"/>
  <c r="J6" i="64"/>
  <c r="H6" i="64"/>
  <c r="H12" i="64" s="1"/>
  <c r="F6" i="64"/>
  <c r="F12" i="64" s="1"/>
  <c r="D6" i="64"/>
  <c r="R12" i="64" l="1"/>
  <c r="T12" i="64"/>
  <c r="L12" i="64"/>
  <c r="Y11" i="64"/>
  <c r="Y9" i="64"/>
  <c r="J12" i="64"/>
  <c r="D12" i="64"/>
  <c r="Y8" i="64"/>
  <c r="Y7" i="64"/>
  <c r="B21" i="64"/>
  <c r="Y6" i="64"/>
  <c r="Y12" i="64" l="1"/>
  <c r="V16" i="64" s="1"/>
  <c r="V24" i="64" s="1"/>
  <c r="V25" i="63" l="1"/>
  <c r="F22" i="63"/>
  <c r="S19" i="63"/>
  <c r="S20" i="63" s="1"/>
  <c r="Q19" i="63"/>
  <c r="Q20" i="63" s="1"/>
  <c r="P19" i="63"/>
  <c r="P20" i="63" s="1"/>
  <c r="L19" i="63"/>
  <c r="L20" i="63" s="1"/>
  <c r="J19" i="63"/>
  <c r="J20" i="63" s="1"/>
  <c r="H19" i="63"/>
  <c r="H20" i="63" s="1"/>
  <c r="M18" i="63"/>
  <c r="M19" i="63" s="1"/>
  <c r="M20" i="63" s="1"/>
  <c r="W12" i="63"/>
  <c r="K18" i="63" s="1"/>
  <c r="K19" i="63" s="1"/>
  <c r="K20" i="63" s="1"/>
  <c r="U12" i="63"/>
  <c r="I18" i="63" s="1"/>
  <c r="I19" i="63" s="1"/>
  <c r="I20" i="63" s="1"/>
  <c r="S12" i="63"/>
  <c r="Q12" i="63"/>
  <c r="O18" i="63" s="1"/>
  <c r="O19" i="63" s="1"/>
  <c r="O20" i="63" s="1"/>
  <c r="O12" i="63"/>
  <c r="N18" i="63" s="1"/>
  <c r="N19" i="63" s="1"/>
  <c r="N20" i="63" s="1"/>
  <c r="M12" i="63"/>
  <c r="K12" i="63"/>
  <c r="G18" i="63" s="1"/>
  <c r="G19" i="63" s="1"/>
  <c r="G20" i="63" s="1"/>
  <c r="I12" i="63"/>
  <c r="F18" i="63" s="1"/>
  <c r="F19" i="63" s="1"/>
  <c r="F20" i="63" s="1"/>
  <c r="G12" i="63"/>
  <c r="E18" i="63" s="1"/>
  <c r="E19" i="63" s="1"/>
  <c r="E20" i="63" s="1"/>
  <c r="E12" i="63"/>
  <c r="D18" i="63" s="1"/>
  <c r="D19" i="63" s="1"/>
  <c r="D20" i="63" s="1"/>
  <c r="C12" i="63"/>
  <c r="B18" i="63" s="1"/>
  <c r="B19" i="63" s="1"/>
  <c r="B20" i="63" s="1"/>
  <c r="X11" i="63"/>
  <c r="V11" i="63"/>
  <c r="T11" i="63"/>
  <c r="R11" i="63"/>
  <c r="P11" i="63"/>
  <c r="N11" i="63"/>
  <c r="L11" i="63"/>
  <c r="J11" i="63"/>
  <c r="Y11" i="63" s="1"/>
  <c r="H11" i="63"/>
  <c r="F11" i="63"/>
  <c r="D11" i="63"/>
  <c r="X10" i="63"/>
  <c r="V10" i="63"/>
  <c r="T10" i="63"/>
  <c r="R10" i="63"/>
  <c r="P10" i="63"/>
  <c r="N10" i="63"/>
  <c r="L10" i="63"/>
  <c r="J10" i="63"/>
  <c r="H10" i="63"/>
  <c r="F10" i="63"/>
  <c r="D10" i="63"/>
  <c r="X9" i="63"/>
  <c r="V9" i="63"/>
  <c r="V12" i="63" s="1"/>
  <c r="T9" i="63"/>
  <c r="R9" i="63"/>
  <c r="P9" i="63"/>
  <c r="N9" i="63"/>
  <c r="L9" i="63"/>
  <c r="J9" i="63"/>
  <c r="H9" i="63"/>
  <c r="F9" i="63"/>
  <c r="D9" i="63"/>
  <c r="X8" i="63"/>
  <c r="V8" i="63"/>
  <c r="T8" i="63"/>
  <c r="R8" i="63"/>
  <c r="P8" i="63"/>
  <c r="N8" i="63"/>
  <c r="L8" i="63"/>
  <c r="J8" i="63"/>
  <c r="H8" i="63"/>
  <c r="F8" i="63"/>
  <c r="D8" i="63"/>
  <c r="X7" i="63"/>
  <c r="V7" i="63"/>
  <c r="T7" i="63"/>
  <c r="R7" i="63"/>
  <c r="P7" i="63"/>
  <c r="N7" i="63"/>
  <c r="L7" i="63"/>
  <c r="J7" i="63"/>
  <c r="H7" i="63"/>
  <c r="F7" i="63"/>
  <c r="D7" i="63"/>
  <c r="X6" i="63"/>
  <c r="X12" i="63" s="1"/>
  <c r="V6" i="63"/>
  <c r="T6" i="63"/>
  <c r="R6" i="63"/>
  <c r="P6" i="63"/>
  <c r="P12" i="63" s="1"/>
  <c r="N6" i="63"/>
  <c r="N12" i="63" s="1"/>
  <c r="L6" i="63"/>
  <c r="J6" i="63"/>
  <c r="H6" i="63"/>
  <c r="F6" i="63"/>
  <c r="F12" i="63" s="1"/>
  <c r="D6" i="63"/>
  <c r="Y10" i="63" l="1"/>
  <c r="R12" i="63"/>
  <c r="L12" i="63"/>
  <c r="T12" i="63"/>
  <c r="Y8" i="63"/>
  <c r="H12" i="63"/>
  <c r="D12" i="63"/>
  <c r="Y9" i="63"/>
  <c r="J12" i="63"/>
  <c r="Y7" i="63"/>
  <c r="B21" i="63"/>
  <c r="Y6" i="63"/>
  <c r="V18" i="62"/>
  <c r="V25" i="62"/>
  <c r="F22" i="62"/>
  <c r="S19" i="62"/>
  <c r="S20" i="62" s="1"/>
  <c r="Q19" i="62"/>
  <c r="Q20" i="62" s="1"/>
  <c r="P19" i="62"/>
  <c r="P20" i="62" s="1"/>
  <c r="L19" i="62"/>
  <c r="L20" i="62" s="1"/>
  <c r="J19" i="62"/>
  <c r="J20" i="62" s="1"/>
  <c r="H19" i="62"/>
  <c r="H20" i="62" s="1"/>
  <c r="W12" i="62"/>
  <c r="K18" i="62" s="1"/>
  <c r="K19" i="62" s="1"/>
  <c r="K20" i="62" s="1"/>
  <c r="U12" i="62"/>
  <c r="I18" i="62" s="1"/>
  <c r="I19" i="62" s="1"/>
  <c r="I20" i="62" s="1"/>
  <c r="S12" i="62"/>
  <c r="Q12" i="62"/>
  <c r="O18" i="62" s="1"/>
  <c r="O19" i="62" s="1"/>
  <c r="O20" i="62" s="1"/>
  <c r="O12" i="62"/>
  <c r="N18" i="62" s="1"/>
  <c r="N19" i="62" s="1"/>
  <c r="N20" i="62" s="1"/>
  <c r="M12" i="62"/>
  <c r="M18" i="62" s="1"/>
  <c r="M19" i="62" s="1"/>
  <c r="M20" i="62" s="1"/>
  <c r="K12" i="62"/>
  <c r="G18" i="62" s="1"/>
  <c r="G19" i="62" s="1"/>
  <c r="G20" i="62" s="1"/>
  <c r="I12" i="62"/>
  <c r="F18" i="62" s="1"/>
  <c r="F19" i="62" s="1"/>
  <c r="F20" i="62" s="1"/>
  <c r="G12" i="62"/>
  <c r="E18" i="62" s="1"/>
  <c r="E19" i="62" s="1"/>
  <c r="E20" i="62" s="1"/>
  <c r="E12" i="62"/>
  <c r="D18" i="62" s="1"/>
  <c r="D19" i="62" s="1"/>
  <c r="D20" i="62" s="1"/>
  <c r="C12" i="62"/>
  <c r="B18" i="62" s="1"/>
  <c r="B19" i="62" s="1"/>
  <c r="B20" i="62" s="1"/>
  <c r="X11" i="62"/>
  <c r="V11" i="62"/>
  <c r="T11" i="62"/>
  <c r="R11" i="62"/>
  <c r="P11" i="62"/>
  <c r="N11" i="62"/>
  <c r="L11" i="62"/>
  <c r="J11" i="62"/>
  <c r="H11" i="62"/>
  <c r="F11" i="62"/>
  <c r="D11" i="62"/>
  <c r="X10" i="62"/>
  <c r="V10" i="62"/>
  <c r="T10" i="62"/>
  <c r="R10" i="62"/>
  <c r="P10" i="62"/>
  <c r="N10" i="62"/>
  <c r="L10" i="62"/>
  <c r="J10" i="62"/>
  <c r="H10" i="62"/>
  <c r="F10" i="62"/>
  <c r="D10" i="62"/>
  <c r="X9" i="62"/>
  <c r="V9" i="62"/>
  <c r="T9" i="62"/>
  <c r="R9" i="62"/>
  <c r="P9" i="62"/>
  <c r="N9" i="62"/>
  <c r="L9" i="62"/>
  <c r="J9" i="62"/>
  <c r="H9" i="62"/>
  <c r="F9" i="62"/>
  <c r="D9" i="62"/>
  <c r="X8" i="62"/>
  <c r="V8" i="62"/>
  <c r="T8" i="62"/>
  <c r="R8" i="62"/>
  <c r="P8" i="62"/>
  <c r="N8" i="62"/>
  <c r="L8" i="62"/>
  <c r="J8" i="62"/>
  <c r="H8" i="62"/>
  <c r="F8" i="62"/>
  <c r="D8" i="62"/>
  <c r="X7" i="62"/>
  <c r="V7" i="62"/>
  <c r="T7" i="62"/>
  <c r="R7" i="62"/>
  <c r="P7" i="62"/>
  <c r="N7" i="62"/>
  <c r="L7" i="62"/>
  <c r="J7" i="62"/>
  <c r="H7" i="62"/>
  <c r="F7" i="62"/>
  <c r="D7" i="62"/>
  <c r="X6" i="62"/>
  <c r="V6" i="62"/>
  <c r="T6" i="62"/>
  <c r="R6" i="62"/>
  <c r="P6" i="62"/>
  <c r="N6" i="62"/>
  <c r="L6" i="62"/>
  <c r="J6" i="62"/>
  <c r="H6" i="62"/>
  <c r="F6" i="62"/>
  <c r="D6" i="62"/>
  <c r="V25" i="61"/>
  <c r="F22" i="61"/>
  <c r="S19" i="61"/>
  <c r="S20" i="61" s="1"/>
  <c r="Q19" i="61"/>
  <c r="Q20" i="61" s="1"/>
  <c r="P19" i="61"/>
  <c r="P20" i="61" s="1"/>
  <c r="L19" i="61"/>
  <c r="L20" i="61" s="1"/>
  <c r="J19" i="61"/>
  <c r="J20" i="61" s="1"/>
  <c r="H19" i="61"/>
  <c r="H20" i="61" s="1"/>
  <c r="W12" i="61"/>
  <c r="K18" i="61" s="1"/>
  <c r="K19" i="61" s="1"/>
  <c r="K20" i="61" s="1"/>
  <c r="U12" i="61"/>
  <c r="I18" i="61" s="1"/>
  <c r="I19" i="61" s="1"/>
  <c r="I20" i="61" s="1"/>
  <c r="S12" i="61"/>
  <c r="Q12" i="61"/>
  <c r="O18" i="61" s="1"/>
  <c r="O19" i="61" s="1"/>
  <c r="O20" i="61" s="1"/>
  <c r="O12" i="61"/>
  <c r="N18" i="61" s="1"/>
  <c r="N19" i="61" s="1"/>
  <c r="N20" i="61" s="1"/>
  <c r="M12" i="61"/>
  <c r="M18" i="61" s="1"/>
  <c r="M19" i="61" s="1"/>
  <c r="M20" i="61" s="1"/>
  <c r="K12" i="61"/>
  <c r="G18" i="61" s="1"/>
  <c r="G19" i="61" s="1"/>
  <c r="G20" i="61" s="1"/>
  <c r="I12" i="61"/>
  <c r="F18" i="61" s="1"/>
  <c r="F19" i="61" s="1"/>
  <c r="F20" i="61" s="1"/>
  <c r="G12" i="61"/>
  <c r="E18" i="61" s="1"/>
  <c r="E19" i="61" s="1"/>
  <c r="E20" i="61" s="1"/>
  <c r="E12" i="61"/>
  <c r="D18" i="61" s="1"/>
  <c r="D19" i="61" s="1"/>
  <c r="D20" i="61" s="1"/>
  <c r="C12" i="61"/>
  <c r="B18" i="61" s="1"/>
  <c r="B19" i="61" s="1"/>
  <c r="B20" i="61" s="1"/>
  <c r="X11" i="61"/>
  <c r="V11" i="61"/>
  <c r="T11" i="61"/>
  <c r="R11" i="61"/>
  <c r="P11" i="61"/>
  <c r="N11" i="61"/>
  <c r="L11" i="61"/>
  <c r="J11" i="61"/>
  <c r="H11" i="61"/>
  <c r="F11" i="61"/>
  <c r="D11" i="61"/>
  <c r="X10" i="61"/>
  <c r="V10" i="61"/>
  <c r="T10" i="61"/>
  <c r="R10" i="61"/>
  <c r="P10" i="61"/>
  <c r="N10" i="61"/>
  <c r="L10" i="61"/>
  <c r="J10" i="61"/>
  <c r="H10" i="61"/>
  <c r="F10" i="61"/>
  <c r="D10" i="61"/>
  <c r="X9" i="61"/>
  <c r="V9" i="61"/>
  <c r="T9" i="61"/>
  <c r="R9" i="61"/>
  <c r="P9" i="61"/>
  <c r="N9" i="61"/>
  <c r="L9" i="61"/>
  <c r="J9" i="61"/>
  <c r="H9" i="61"/>
  <c r="F9" i="61"/>
  <c r="D9" i="61"/>
  <c r="X8" i="61"/>
  <c r="V8" i="61"/>
  <c r="T8" i="61"/>
  <c r="R8" i="61"/>
  <c r="P8" i="61"/>
  <c r="N8" i="61"/>
  <c r="L8" i="61"/>
  <c r="J8" i="61"/>
  <c r="H8" i="61"/>
  <c r="F8" i="61"/>
  <c r="D8" i="61"/>
  <c r="X7" i="61"/>
  <c r="V7" i="61"/>
  <c r="T7" i="61"/>
  <c r="R7" i="61"/>
  <c r="P7" i="61"/>
  <c r="N7" i="61"/>
  <c r="L7" i="61"/>
  <c r="J7" i="61"/>
  <c r="H7" i="61"/>
  <c r="F7" i="61"/>
  <c r="D7" i="61"/>
  <c r="X6" i="61"/>
  <c r="V6" i="61"/>
  <c r="T6" i="61"/>
  <c r="R6" i="61"/>
  <c r="P6" i="61"/>
  <c r="N6" i="61"/>
  <c r="L6" i="61"/>
  <c r="J6" i="61"/>
  <c r="H6" i="61"/>
  <c r="F6" i="61"/>
  <c r="D6" i="61"/>
  <c r="V25" i="60"/>
  <c r="F22" i="60"/>
  <c r="S19" i="60"/>
  <c r="S20" i="60" s="1"/>
  <c r="Q19" i="60"/>
  <c r="Q20" i="60" s="1"/>
  <c r="P19" i="60"/>
  <c r="P20" i="60" s="1"/>
  <c r="L19" i="60"/>
  <c r="L20" i="60" s="1"/>
  <c r="J19" i="60"/>
  <c r="J20" i="60" s="1"/>
  <c r="H19" i="60"/>
  <c r="H20" i="60" s="1"/>
  <c r="W12" i="60"/>
  <c r="K18" i="60" s="1"/>
  <c r="K19" i="60" s="1"/>
  <c r="K20" i="60" s="1"/>
  <c r="U12" i="60"/>
  <c r="I18" i="60" s="1"/>
  <c r="I19" i="60" s="1"/>
  <c r="I20" i="60" s="1"/>
  <c r="S12" i="60"/>
  <c r="Q12" i="60"/>
  <c r="O18" i="60" s="1"/>
  <c r="O19" i="60" s="1"/>
  <c r="O20" i="60" s="1"/>
  <c r="O12" i="60"/>
  <c r="N18" i="60" s="1"/>
  <c r="N19" i="60" s="1"/>
  <c r="N20" i="60" s="1"/>
  <c r="M12" i="60"/>
  <c r="M18" i="60" s="1"/>
  <c r="M19" i="60" s="1"/>
  <c r="M20" i="60" s="1"/>
  <c r="K12" i="60"/>
  <c r="G18" i="60" s="1"/>
  <c r="G19" i="60" s="1"/>
  <c r="G20" i="60" s="1"/>
  <c r="I12" i="60"/>
  <c r="F18" i="60" s="1"/>
  <c r="F19" i="60" s="1"/>
  <c r="F20" i="60" s="1"/>
  <c r="G12" i="60"/>
  <c r="E18" i="60" s="1"/>
  <c r="E19" i="60" s="1"/>
  <c r="E20" i="60" s="1"/>
  <c r="E12" i="60"/>
  <c r="D18" i="60" s="1"/>
  <c r="D19" i="60" s="1"/>
  <c r="D20" i="60" s="1"/>
  <c r="C12" i="60"/>
  <c r="B18" i="60" s="1"/>
  <c r="B19" i="60" s="1"/>
  <c r="B20" i="60" s="1"/>
  <c r="X11" i="60"/>
  <c r="V11" i="60"/>
  <c r="T11" i="60"/>
  <c r="R11" i="60"/>
  <c r="P11" i="60"/>
  <c r="N11" i="60"/>
  <c r="L11" i="60"/>
  <c r="J11" i="60"/>
  <c r="H11" i="60"/>
  <c r="F11" i="60"/>
  <c r="D11" i="60"/>
  <c r="X10" i="60"/>
  <c r="V10" i="60"/>
  <c r="T10" i="60"/>
  <c r="R10" i="60"/>
  <c r="P10" i="60"/>
  <c r="N10" i="60"/>
  <c r="L10" i="60"/>
  <c r="J10" i="60"/>
  <c r="H10" i="60"/>
  <c r="F10" i="60"/>
  <c r="D10" i="60"/>
  <c r="X9" i="60"/>
  <c r="V9" i="60"/>
  <c r="T9" i="60"/>
  <c r="R9" i="60"/>
  <c r="P9" i="60"/>
  <c r="N9" i="60"/>
  <c r="L9" i="60"/>
  <c r="J9" i="60"/>
  <c r="H9" i="60"/>
  <c r="F9" i="60"/>
  <c r="D9" i="60"/>
  <c r="X8" i="60"/>
  <c r="V8" i="60"/>
  <c r="T8" i="60"/>
  <c r="R8" i="60"/>
  <c r="P8" i="60"/>
  <c r="N8" i="60"/>
  <c r="L8" i="60"/>
  <c r="J8" i="60"/>
  <c r="H8" i="60"/>
  <c r="F8" i="60"/>
  <c r="D8" i="60"/>
  <c r="X7" i="60"/>
  <c r="V7" i="60"/>
  <c r="T7" i="60"/>
  <c r="R7" i="60"/>
  <c r="P7" i="60"/>
  <c r="N7" i="60"/>
  <c r="L7" i="60"/>
  <c r="J7" i="60"/>
  <c r="H7" i="60"/>
  <c r="F7" i="60"/>
  <c r="D7" i="60"/>
  <c r="X6" i="60"/>
  <c r="X12" i="60" s="1"/>
  <c r="V6" i="60"/>
  <c r="T6" i="60"/>
  <c r="R6" i="60"/>
  <c r="P6" i="60"/>
  <c r="N6" i="60"/>
  <c r="L6" i="60"/>
  <c r="J6" i="60"/>
  <c r="H6" i="60"/>
  <c r="F6" i="60"/>
  <c r="D6" i="60"/>
  <c r="P12" i="61" l="1"/>
  <c r="L12" i="62"/>
  <c r="Y10" i="62"/>
  <c r="J12" i="61"/>
  <c r="R12" i="61"/>
  <c r="X12" i="61"/>
  <c r="Y11" i="61"/>
  <c r="F12" i="60"/>
  <c r="N12" i="60"/>
  <c r="V12" i="60"/>
  <c r="P12" i="60"/>
  <c r="P12" i="62"/>
  <c r="X12" i="62"/>
  <c r="Y12" i="63"/>
  <c r="V16" i="63" s="1"/>
  <c r="V24" i="63" s="1"/>
  <c r="Y8" i="60"/>
  <c r="Y6" i="61"/>
  <c r="L12" i="61"/>
  <c r="Y10" i="61"/>
  <c r="F12" i="62"/>
  <c r="N12" i="62"/>
  <c r="V12" i="62"/>
  <c r="H12" i="62"/>
  <c r="J12" i="60"/>
  <c r="R12" i="60"/>
  <c r="Y7" i="60"/>
  <c r="Y11" i="60"/>
  <c r="F12" i="61"/>
  <c r="N12" i="61"/>
  <c r="V12" i="61"/>
  <c r="H12" i="61"/>
  <c r="Y9" i="61"/>
  <c r="T12" i="62"/>
  <c r="L12" i="60"/>
  <c r="T12" i="60"/>
  <c r="Y10" i="60"/>
  <c r="R12" i="62"/>
  <c r="Y11" i="62"/>
  <c r="Y7" i="62"/>
  <c r="Y6" i="62"/>
  <c r="Y9" i="62"/>
  <c r="Y8" i="62"/>
  <c r="J12" i="62"/>
  <c r="D12" i="62"/>
  <c r="B21" i="62"/>
  <c r="T12" i="61"/>
  <c r="Y7" i="61"/>
  <c r="Y8" i="61"/>
  <c r="B21" i="61"/>
  <c r="D12" i="61"/>
  <c r="H12" i="60"/>
  <c r="Y6" i="60"/>
  <c r="Y9" i="60"/>
  <c r="B21" i="60"/>
  <c r="D12" i="60"/>
  <c r="Y12" i="62" l="1"/>
  <c r="V16" i="62" s="1"/>
  <c r="V24" i="62" s="1"/>
  <c r="Y12" i="61"/>
  <c r="V16" i="61" s="1"/>
  <c r="V24" i="61" s="1"/>
  <c r="Y12" i="60"/>
  <c r="V16" i="60" s="1"/>
  <c r="V24" i="60" s="1"/>
  <c r="D8" i="57" l="1"/>
  <c r="D9" i="57"/>
  <c r="V18" i="59"/>
  <c r="V25" i="59"/>
  <c r="F22" i="59"/>
  <c r="S19" i="59"/>
  <c r="S20" i="59" s="1"/>
  <c r="Q19" i="59"/>
  <c r="Q20" i="59" s="1"/>
  <c r="P19" i="59"/>
  <c r="P20" i="59" s="1"/>
  <c r="L19" i="59"/>
  <c r="L20" i="59" s="1"/>
  <c r="J19" i="59"/>
  <c r="J20" i="59" s="1"/>
  <c r="H19" i="59"/>
  <c r="H20" i="59" s="1"/>
  <c r="W12" i="59"/>
  <c r="K18" i="59" s="1"/>
  <c r="K19" i="59" s="1"/>
  <c r="K20" i="59" s="1"/>
  <c r="U12" i="59"/>
  <c r="I18" i="59" s="1"/>
  <c r="I19" i="59" s="1"/>
  <c r="I20" i="59" s="1"/>
  <c r="S12" i="59"/>
  <c r="Q12" i="59"/>
  <c r="O18" i="59" s="1"/>
  <c r="O19" i="59" s="1"/>
  <c r="O20" i="59" s="1"/>
  <c r="O12" i="59"/>
  <c r="N18" i="59" s="1"/>
  <c r="N19" i="59" s="1"/>
  <c r="N20" i="59" s="1"/>
  <c r="M12" i="59"/>
  <c r="M18" i="59" s="1"/>
  <c r="M19" i="59" s="1"/>
  <c r="M20" i="59" s="1"/>
  <c r="K12" i="59"/>
  <c r="G18" i="59" s="1"/>
  <c r="G19" i="59" s="1"/>
  <c r="G20" i="59" s="1"/>
  <c r="I12" i="59"/>
  <c r="F18" i="59" s="1"/>
  <c r="F19" i="59" s="1"/>
  <c r="F20" i="59" s="1"/>
  <c r="G12" i="59"/>
  <c r="E18" i="59" s="1"/>
  <c r="E19" i="59" s="1"/>
  <c r="E20" i="59" s="1"/>
  <c r="E12" i="59"/>
  <c r="D18" i="59" s="1"/>
  <c r="D19" i="59" s="1"/>
  <c r="D20" i="59" s="1"/>
  <c r="C12" i="59"/>
  <c r="B18" i="59" s="1"/>
  <c r="B19" i="59" s="1"/>
  <c r="B20" i="59" s="1"/>
  <c r="X11" i="59"/>
  <c r="V11" i="59"/>
  <c r="T11" i="59"/>
  <c r="R11" i="59"/>
  <c r="P11" i="59"/>
  <c r="N11" i="59"/>
  <c r="L11" i="59"/>
  <c r="J11" i="59"/>
  <c r="H11" i="59"/>
  <c r="F11" i="59"/>
  <c r="D11" i="59"/>
  <c r="X10" i="59"/>
  <c r="V10" i="59"/>
  <c r="T10" i="59"/>
  <c r="R10" i="59"/>
  <c r="P10" i="59"/>
  <c r="N10" i="59"/>
  <c r="L10" i="59"/>
  <c r="J10" i="59"/>
  <c r="H10" i="59"/>
  <c r="F10" i="59"/>
  <c r="D10" i="59"/>
  <c r="X9" i="59"/>
  <c r="V9" i="59"/>
  <c r="T9" i="59"/>
  <c r="R9" i="59"/>
  <c r="P9" i="59"/>
  <c r="N9" i="59"/>
  <c r="L9" i="59"/>
  <c r="J9" i="59"/>
  <c r="H9" i="59"/>
  <c r="F9" i="59"/>
  <c r="D9" i="59"/>
  <c r="X8" i="59"/>
  <c r="X12" i="59" s="1"/>
  <c r="V8" i="59"/>
  <c r="T8" i="59"/>
  <c r="R8" i="59"/>
  <c r="P8" i="59"/>
  <c r="N8" i="59"/>
  <c r="L8" i="59"/>
  <c r="J8" i="59"/>
  <c r="H8" i="59"/>
  <c r="F8" i="59"/>
  <c r="D8" i="59"/>
  <c r="X7" i="59"/>
  <c r="V7" i="59"/>
  <c r="T7" i="59"/>
  <c r="R7" i="59"/>
  <c r="P7" i="59"/>
  <c r="N7" i="59"/>
  <c r="L7" i="59"/>
  <c r="J7" i="59"/>
  <c r="H7" i="59"/>
  <c r="F7" i="59"/>
  <c r="F12" i="59" s="1"/>
  <c r="D7" i="59"/>
  <c r="X6" i="59"/>
  <c r="V6" i="59"/>
  <c r="T6" i="59"/>
  <c r="R6" i="59"/>
  <c r="P6" i="59"/>
  <c r="N6" i="59"/>
  <c r="L6" i="59"/>
  <c r="L12" i="59" s="1"/>
  <c r="J6" i="59"/>
  <c r="H6" i="59"/>
  <c r="F6" i="59"/>
  <c r="D6" i="59"/>
  <c r="V25" i="58"/>
  <c r="F22" i="58"/>
  <c r="S19" i="58"/>
  <c r="S20" i="58" s="1"/>
  <c r="Q19" i="58"/>
  <c r="Q20" i="58" s="1"/>
  <c r="P19" i="58"/>
  <c r="P20" i="58" s="1"/>
  <c r="L19" i="58"/>
  <c r="L20" i="58" s="1"/>
  <c r="J19" i="58"/>
  <c r="J20" i="58" s="1"/>
  <c r="H19" i="58"/>
  <c r="H20" i="58" s="1"/>
  <c r="W12" i="58"/>
  <c r="K18" i="58" s="1"/>
  <c r="K19" i="58" s="1"/>
  <c r="K20" i="58" s="1"/>
  <c r="U12" i="58"/>
  <c r="I18" i="58" s="1"/>
  <c r="I19" i="58" s="1"/>
  <c r="I20" i="58" s="1"/>
  <c r="S12" i="58"/>
  <c r="Q12" i="58"/>
  <c r="O18" i="58" s="1"/>
  <c r="O19" i="58" s="1"/>
  <c r="O20" i="58" s="1"/>
  <c r="O12" i="58"/>
  <c r="N18" i="58" s="1"/>
  <c r="N19" i="58" s="1"/>
  <c r="N20" i="58" s="1"/>
  <c r="M12" i="58"/>
  <c r="M18" i="58" s="1"/>
  <c r="M19" i="58" s="1"/>
  <c r="M20" i="58" s="1"/>
  <c r="K12" i="58"/>
  <c r="G18" i="58" s="1"/>
  <c r="G19" i="58" s="1"/>
  <c r="G20" i="58" s="1"/>
  <c r="I12" i="58"/>
  <c r="F18" i="58" s="1"/>
  <c r="F19" i="58" s="1"/>
  <c r="F20" i="58" s="1"/>
  <c r="G12" i="58"/>
  <c r="E18" i="58" s="1"/>
  <c r="E19" i="58" s="1"/>
  <c r="E20" i="58" s="1"/>
  <c r="E12" i="58"/>
  <c r="D18" i="58" s="1"/>
  <c r="D19" i="58" s="1"/>
  <c r="D20" i="58" s="1"/>
  <c r="C12" i="58"/>
  <c r="B18" i="58" s="1"/>
  <c r="B19" i="58" s="1"/>
  <c r="B20" i="58" s="1"/>
  <c r="X11" i="58"/>
  <c r="V11" i="58"/>
  <c r="T11" i="58"/>
  <c r="R11" i="58"/>
  <c r="P11" i="58"/>
  <c r="N11" i="58"/>
  <c r="L11" i="58"/>
  <c r="J11" i="58"/>
  <c r="H11" i="58"/>
  <c r="F11" i="58"/>
  <c r="D11" i="58"/>
  <c r="X10" i="58"/>
  <c r="V10" i="58"/>
  <c r="T10" i="58"/>
  <c r="R10" i="58"/>
  <c r="P10" i="58"/>
  <c r="N10" i="58"/>
  <c r="L10" i="58"/>
  <c r="J10" i="58"/>
  <c r="H10" i="58"/>
  <c r="F10" i="58"/>
  <c r="Y10" i="58" s="1"/>
  <c r="D10" i="58"/>
  <c r="X9" i="58"/>
  <c r="V9" i="58"/>
  <c r="T9" i="58"/>
  <c r="R9" i="58"/>
  <c r="P9" i="58"/>
  <c r="N9" i="58"/>
  <c r="L9" i="58"/>
  <c r="J9" i="58"/>
  <c r="H9" i="58"/>
  <c r="F9" i="58"/>
  <c r="D9" i="58"/>
  <c r="X8" i="58"/>
  <c r="V8" i="58"/>
  <c r="T8" i="58"/>
  <c r="R8" i="58"/>
  <c r="P8" i="58"/>
  <c r="N8" i="58"/>
  <c r="L8" i="58"/>
  <c r="J8" i="58"/>
  <c r="H8" i="58"/>
  <c r="F8" i="58"/>
  <c r="D8" i="58"/>
  <c r="X7" i="58"/>
  <c r="V7" i="58"/>
  <c r="T7" i="58"/>
  <c r="R7" i="58"/>
  <c r="P7" i="58"/>
  <c r="N7" i="58"/>
  <c r="L7" i="58"/>
  <c r="J7" i="58"/>
  <c r="H7" i="58"/>
  <c r="F7" i="58"/>
  <c r="D7" i="58"/>
  <c r="X6" i="58"/>
  <c r="V6" i="58"/>
  <c r="T6" i="58"/>
  <c r="R6" i="58"/>
  <c r="P6" i="58"/>
  <c r="N6" i="58"/>
  <c r="N12" i="58" s="1"/>
  <c r="L6" i="58"/>
  <c r="J6" i="58"/>
  <c r="H6" i="58"/>
  <c r="F6" i="58"/>
  <c r="F12" i="58" s="1"/>
  <c r="D6" i="58"/>
  <c r="V18" i="57"/>
  <c r="N12" i="59" l="1"/>
  <c r="P12" i="59"/>
  <c r="P12" i="58"/>
  <c r="Y11" i="58"/>
  <c r="V12" i="59"/>
  <c r="Y11" i="59"/>
  <c r="R12" i="58"/>
  <c r="L12" i="58"/>
  <c r="R12" i="59"/>
  <c r="Y9" i="59"/>
  <c r="H12" i="59"/>
  <c r="D12" i="59"/>
  <c r="T12" i="59"/>
  <c r="Y8" i="59"/>
  <c r="Y7" i="59"/>
  <c r="Y10" i="59"/>
  <c r="Y6" i="59"/>
  <c r="B21" i="59"/>
  <c r="J12" i="59"/>
  <c r="T12" i="58"/>
  <c r="X12" i="58"/>
  <c r="V12" i="58"/>
  <c r="D12" i="58"/>
  <c r="Y9" i="58"/>
  <c r="J12" i="58"/>
  <c r="H12" i="58"/>
  <c r="Y8" i="58"/>
  <c r="Y7" i="58"/>
  <c r="B21" i="58"/>
  <c r="Y6" i="58"/>
  <c r="V25" i="57"/>
  <c r="F22" i="57"/>
  <c r="S19" i="57"/>
  <c r="S20" i="57" s="1"/>
  <c r="Q19" i="57"/>
  <c r="Q20" i="57" s="1"/>
  <c r="P19" i="57"/>
  <c r="P20" i="57" s="1"/>
  <c r="L19" i="57"/>
  <c r="L20" i="57" s="1"/>
  <c r="J19" i="57"/>
  <c r="J20" i="57" s="1"/>
  <c r="H19" i="57"/>
  <c r="H20" i="57" s="1"/>
  <c r="W12" i="57"/>
  <c r="K18" i="57" s="1"/>
  <c r="K19" i="57" s="1"/>
  <c r="K20" i="57" s="1"/>
  <c r="U12" i="57"/>
  <c r="S12" i="57"/>
  <c r="Q12" i="57"/>
  <c r="O18" i="57" s="1"/>
  <c r="O19" i="57" s="1"/>
  <c r="O20" i="57" s="1"/>
  <c r="O12" i="57"/>
  <c r="N18" i="57" s="1"/>
  <c r="N19" i="57" s="1"/>
  <c r="N20" i="57" s="1"/>
  <c r="M12" i="57"/>
  <c r="M18" i="57" s="1"/>
  <c r="M19" i="57" s="1"/>
  <c r="M20" i="57" s="1"/>
  <c r="K12" i="57"/>
  <c r="G18" i="57" s="1"/>
  <c r="G19" i="57" s="1"/>
  <c r="G20" i="57" s="1"/>
  <c r="I12" i="57"/>
  <c r="F18" i="57" s="1"/>
  <c r="F19" i="57" s="1"/>
  <c r="F20" i="57" s="1"/>
  <c r="G12" i="57"/>
  <c r="E18" i="57" s="1"/>
  <c r="E19" i="57" s="1"/>
  <c r="E20" i="57" s="1"/>
  <c r="E12" i="57"/>
  <c r="D18" i="57" s="1"/>
  <c r="D19" i="57" s="1"/>
  <c r="D20" i="57" s="1"/>
  <c r="C12" i="57"/>
  <c r="B18" i="57" s="1"/>
  <c r="B19" i="57" s="1"/>
  <c r="B20" i="57" s="1"/>
  <c r="X11" i="57"/>
  <c r="V11" i="57"/>
  <c r="T11" i="57"/>
  <c r="R11" i="57"/>
  <c r="P11" i="57"/>
  <c r="N11" i="57"/>
  <c r="L11" i="57"/>
  <c r="J11" i="57"/>
  <c r="H11" i="57"/>
  <c r="F11" i="57"/>
  <c r="D11" i="57"/>
  <c r="X10" i="57"/>
  <c r="V10" i="57"/>
  <c r="T10" i="57"/>
  <c r="R10" i="57"/>
  <c r="P10" i="57"/>
  <c r="N10" i="57"/>
  <c r="L10" i="57"/>
  <c r="J10" i="57"/>
  <c r="Y10" i="57" s="1"/>
  <c r="H10" i="57"/>
  <c r="F10" i="57"/>
  <c r="D10" i="57"/>
  <c r="X9" i="57"/>
  <c r="V9" i="57"/>
  <c r="T9" i="57"/>
  <c r="R9" i="57"/>
  <c r="P9" i="57"/>
  <c r="N9" i="57"/>
  <c r="L9" i="57"/>
  <c r="J9" i="57"/>
  <c r="H9" i="57"/>
  <c r="F9" i="57"/>
  <c r="X8" i="57"/>
  <c r="V8" i="57"/>
  <c r="T8" i="57"/>
  <c r="R8" i="57"/>
  <c r="P8" i="57"/>
  <c r="N8" i="57"/>
  <c r="L8" i="57"/>
  <c r="J8" i="57"/>
  <c r="H8" i="57"/>
  <c r="F8" i="57"/>
  <c r="X7" i="57"/>
  <c r="V7" i="57"/>
  <c r="T7" i="57"/>
  <c r="R7" i="57"/>
  <c r="P7" i="57"/>
  <c r="N7" i="57"/>
  <c r="L7" i="57"/>
  <c r="J7" i="57"/>
  <c r="H7" i="57"/>
  <c r="F7" i="57"/>
  <c r="D7" i="57"/>
  <c r="X6" i="57"/>
  <c r="V6" i="57"/>
  <c r="T6" i="57"/>
  <c r="R6" i="57"/>
  <c r="P6" i="57"/>
  <c r="N6" i="57"/>
  <c r="N12" i="57" s="1"/>
  <c r="L6" i="57"/>
  <c r="J6" i="57"/>
  <c r="H6" i="57"/>
  <c r="F6" i="57"/>
  <c r="F12" i="57" s="1"/>
  <c r="D6" i="57"/>
  <c r="V18" i="56"/>
  <c r="P12" i="57" l="1"/>
  <c r="X12" i="57"/>
  <c r="R12" i="57"/>
  <c r="I19" i="57"/>
  <c r="I20" i="57" s="1"/>
  <c r="B21" i="57" s="1"/>
  <c r="I18" i="57"/>
  <c r="L12" i="57"/>
  <c r="Y12" i="59"/>
  <c r="V16" i="59" s="1"/>
  <c r="V24" i="59" s="1"/>
  <c r="Y12" i="58"/>
  <c r="V16" i="58" s="1"/>
  <c r="V24" i="58" s="1"/>
  <c r="Y11" i="57"/>
  <c r="V12" i="57"/>
  <c r="T12" i="57"/>
  <c r="J12" i="57"/>
  <c r="Y8" i="57"/>
  <c r="H12" i="57"/>
  <c r="Y7" i="57"/>
  <c r="D12" i="57"/>
  <c r="Y9" i="57"/>
  <c r="Y6" i="57"/>
  <c r="Y12" i="57" l="1"/>
  <c r="V16" i="57" s="1"/>
  <c r="V24" i="57" s="1"/>
  <c r="V25" i="56" l="1"/>
  <c r="F22" i="56"/>
  <c r="S19" i="56"/>
  <c r="S20" i="56" s="1"/>
  <c r="Q19" i="56"/>
  <c r="Q20" i="56" s="1"/>
  <c r="P19" i="56"/>
  <c r="P20" i="56" s="1"/>
  <c r="N19" i="56"/>
  <c r="N20" i="56" s="1"/>
  <c r="L19" i="56"/>
  <c r="L20" i="56" s="1"/>
  <c r="J19" i="56"/>
  <c r="J20" i="56" s="1"/>
  <c r="H19" i="56"/>
  <c r="H20" i="56" s="1"/>
  <c r="W12" i="56"/>
  <c r="K18" i="56" s="1"/>
  <c r="K19" i="56" s="1"/>
  <c r="K20" i="56" s="1"/>
  <c r="U12" i="56"/>
  <c r="I18" i="56" s="1"/>
  <c r="I19" i="56" s="1"/>
  <c r="I20" i="56" s="1"/>
  <c r="S12" i="56"/>
  <c r="Q12" i="56"/>
  <c r="O18" i="56" s="1"/>
  <c r="O19" i="56" s="1"/>
  <c r="O20" i="56" s="1"/>
  <c r="O12" i="56"/>
  <c r="M12" i="56"/>
  <c r="M18" i="56" s="1"/>
  <c r="M19" i="56" s="1"/>
  <c r="M20" i="56" s="1"/>
  <c r="K12" i="56"/>
  <c r="G18" i="56" s="1"/>
  <c r="G19" i="56" s="1"/>
  <c r="G20" i="56" s="1"/>
  <c r="I12" i="56"/>
  <c r="F18" i="56" s="1"/>
  <c r="F19" i="56" s="1"/>
  <c r="F20" i="56" s="1"/>
  <c r="G12" i="56"/>
  <c r="E18" i="56" s="1"/>
  <c r="E19" i="56" s="1"/>
  <c r="E20" i="56" s="1"/>
  <c r="E12" i="56"/>
  <c r="D18" i="56" s="1"/>
  <c r="D19" i="56" s="1"/>
  <c r="D20" i="56" s="1"/>
  <c r="C12" i="56"/>
  <c r="B18" i="56" s="1"/>
  <c r="B19" i="56" s="1"/>
  <c r="B20" i="56" s="1"/>
  <c r="X11" i="56"/>
  <c r="V11" i="56"/>
  <c r="T11" i="56"/>
  <c r="R11" i="56"/>
  <c r="P11" i="56"/>
  <c r="N11" i="56"/>
  <c r="L11" i="56"/>
  <c r="J11" i="56"/>
  <c r="H11" i="56"/>
  <c r="F11" i="56"/>
  <c r="D11" i="56"/>
  <c r="X10" i="56"/>
  <c r="V10" i="56"/>
  <c r="T10" i="56"/>
  <c r="R10" i="56"/>
  <c r="P10" i="56"/>
  <c r="N10" i="56"/>
  <c r="L10" i="56"/>
  <c r="J10" i="56"/>
  <c r="H10" i="56"/>
  <c r="F10" i="56"/>
  <c r="D10" i="56"/>
  <c r="X9" i="56"/>
  <c r="V9" i="56"/>
  <c r="T9" i="56"/>
  <c r="R9" i="56"/>
  <c r="P9" i="56"/>
  <c r="N9" i="56"/>
  <c r="L9" i="56"/>
  <c r="J9" i="56"/>
  <c r="H9" i="56"/>
  <c r="F9" i="56"/>
  <c r="D9" i="56"/>
  <c r="X8" i="56"/>
  <c r="V8" i="56"/>
  <c r="T8" i="56"/>
  <c r="R8" i="56"/>
  <c r="P8" i="56"/>
  <c r="N8" i="56"/>
  <c r="L8" i="56"/>
  <c r="J8" i="56"/>
  <c r="H8" i="56"/>
  <c r="F8" i="56"/>
  <c r="D8" i="56"/>
  <c r="X7" i="56"/>
  <c r="V7" i="56"/>
  <c r="T7" i="56"/>
  <c r="R7" i="56"/>
  <c r="P7" i="56"/>
  <c r="N7" i="56"/>
  <c r="L7" i="56"/>
  <c r="J7" i="56"/>
  <c r="H7" i="56"/>
  <c r="F7" i="56"/>
  <c r="D7" i="56"/>
  <c r="X6" i="56"/>
  <c r="V6" i="56"/>
  <c r="T6" i="56"/>
  <c r="R6" i="56"/>
  <c r="P6" i="56"/>
  <c r="N6" i="56"/>
  <c r="L6" i="56"/>
  <c r="J6" i="56"/>
  <c r="H6" i="56"/>
  <c r="F6" i="56"/>
  <c r="D6" i="56"/>
  <c r="F12" i="56" l="1"/>
  <c r="N12" i="56"/>
  <c r="P12" i="56"/>
  <c r="Y11" i="56"/>
  <c r="X12" i="56"/>
  <c r="R12" i="56"/>
  <c r="Y10" i="56"/>
  <c r="L12" i="56"/>
  <c r="V12" i="56"/>
  <c r="J12" i="56"/>
  <c r="Y7" i="56"/>
  <c r="H12" i="56"/>
  <c r="D12" i="56"/>
  <c r="T12" i="56"/>
  <c r="Y8" i="56"/>
  <c r="Y9" i="56"/>
  <c r="Y6" i="56"/>
  <c r="V18" i="55"/>
  <c r="D6" i="55"/>
  <c r="Y12" i="56" l="1"/>
  <c r="V16" i="56" s="1"/>
  <c r="V24" i="56" s="1"/>
  <c r="V25" i="55" l="1"/>
  <c r="F22" i="55"/>
  <c r="S19" i="55"/>
  <c r="S20" i="55" s="1"/>
  <c r="Q19" i="55"/>
  <c r="Q20" i="55" s="1"/>
  <c r="P19" i="55"/>
  <c r="P20" i="55" s="1"/>
  <c r="N19" i="55"/>
  <c r="N20" i="55" s="1"/>
  <c r="L19" i="55"/>
  <c r="L20" i="55" s="1"/>
  <c r="J19" i="55"/>
  <c r="J20" i="55" s="1"/>
  <c r="H19" i="55"/>
  <c r="H20" i="55" s="1"/>
  <c r="W12" i="55"/>
  <c r="K18" i="55" s="1"/>
  <c r="K19" i="55" s="1"/>
  <c r="K20" i="55" s="1"/>
  <c r="U12" i="55"/>
  <c r="I18" i="55" s="1"/>
  <c r="I19" i="55" s="1"/>
  <c r="I20" i="55" s="1"/>
  <c r="S12" i="55"/>
  <c r="Q12" i="55"/>
  <c r="O18" i="55" s="1"/>
  <c r="O19" i="55" s="1"/>
  <c r="O20" i="55" s="1"/>
  <c r="O12" i="55"/>
  <c r="M12" i="55"/>
  <c r="M18" i="55" s="1"/>
  <c r="M19" i="55" s="1"/>
  <c r="M20" i="55" s="1"/>
  <c r="K12" i="55"/>
  <c r="G18" i="55" s="1"/>
  <c r="G19" i="55" s="1"/>
  <c r="G20" i="55" s="1"/>
  <c r="I12" i="55"/>
  <c r="F18" i="55" s="1"/>
  <c r="F19" i="55" s="1"/>
  <c r="F20" i="55" s="1"/>
  <c r="G12" i="55"/>
  <c r="E18" i="55" s="1"/>
  <c r="E19" i="55" s="1"/>
  <c r="E20" i="55" s="1"/>
  <c r="E12" i="55"/>
  <c r="D18" i="55" s="1"/>
  <c r="D19" i="55" s="1"/>
  <c r="D20" i="55" s="1"/>
  <c r="C12" i="55"/>
  <c r="X11" i="55"/>
  <c r="V11" i="55"/>
  <c r="T11" i="55"/>
  <c r="R11" i="55"/>
  <c r="P11" i="55"/>
  <c r="N11" i="55"/>
  <c r="L11" i="55"/>
  <c r="J11" i="55"/>
  <c r="H11" i="55"/>
  <c r="F11" i="55"/>
  <c r="D11" i="55"/>
  <c r="X10" i="55"/>
  <c r="V10" i="55"/>
  <c r="T10" i="55"/>
  <c r="R10" i="55"/>
  <c r="P10" i="55"/>
  <c r="N10" i="55"/>
  <c r="L10" i="55"/>
  <c r="J10" i="55"/>
  <c r="H10" i="55"/>
  <c r="F10" i="55"/>
  <c r="D10" i="55"/>
  <c r="X9" i="55"/>
  <c r="V9" i="55"/>
  <c r="T9" i="55"/>
  <c r="R9" i="55"/>
  <c r="P9" i="55"/>
  <c r="N9" i="55"/>
  <c r="L9" i="55"/>
  <c r="J9" i="55"/>
  <c r="H9" i="55"/>
  <c r="F9" i="55"/>
  <c r="D9" i="55"/>
  <c r="X8" i="55"/>
  <c r="V8" i="55"/>
  <c r="T8" i="55"/>
  <c r="R8" i="55"/>
  <c r="P8" i="55"/>
  <c r="N8" i="55"/>
  <c r="L8" i="55"/>
  <c r="J8" i="55"/>
  <c r="H8" i="55"/>
  <c r="F8" i="55"/>
  <c r="D8" i="55"/>
  <c r="X7" i="55"/>
  <c r="V7" i="55"/>
  <c r="T7" i="55"/>
  <c r="R7" i="55"/>
  <c r="P7" i="55"/>
  <c r="N7" i="55"/>
  <c r="L7" i="55"/>
  <c r="J7" i="55"/>
  <c r="H7" i="55"/>
  <c r="F7" i="55"/>
  <c r="D7" i="55"/>
  <c r="X6" i="55"/>
  <c r="V6" i="55"/>
  <c r="T6" i="55"/>
  <c r="R6" i="55"/>
  <c r="P6" i="55"/>
  <c r="N6" i="55"/>
  <c r="L6" i="55"/>
  <c r="J6" i="55"/>
  <c r="H6" i="55"/>
  <c r="F6" i="55"/>
  <c r="J12" i="55" l="1"/>
  <c r="R12" i="55"/>
  <c r="L12" i="55"/>
  <c r="F12" i="55"/>
  <c r="N12" i="55"/>
  <c r="V12" i="55"/>
  <c r="Y10" i="55"/>
  <c r="H12" i="55"/>
  <c r="P12" i="55"/>
  <c r="X12" i="55"/>
  <c r="B18" i="55"/>
  <c r="B19" i="55" s="1"/>
  <c r="B20" i="55" s="1"/>
  <c r="Y8" i="55"/>
  <c r="T12" i="55"/>
  <c r="Y11" i="55"/>
  <c r="D12" i="55"/>
  <c r="Y7" i="55"/>
  <c r="Y9" i="55"/>
  <c r="Y6" i="55"/>
  <c r="Y12" i="55" s="1"/>
  <c r="V16" i="55" s="1"/>
  <c r="V24" i="55" s="1"/>
  <c r="V25" i="54" l="1"/>
  <c r="F22" i="54"/>
  <c r="S19" i="54"/>
  <c r="S20" i="54" s="1"/>
  <c r="Q19" i="54"/>
  <c r="Q20" i="54" s="1"/>
  <c r="P19" i="54"/>
  <c r="P20" i="54" s="1"/>
  <c r="N19" i="54"/>
  <c r="N20" i="54" s="1"/>
  <c r="L19" i="54"/>
  <c r="L20" i="54" s="1"/>
  <c r="J19" i="54"/>
  <c r="J20" i="54" s="1"/>
  <c r="H19" i="54"/>
  <c r="H20" i="54" s="1"/>
  <c r="W12" i="54"/>
  <c r="K18" i="54" s="1"/>
  <c r="K19" i="54" s="1"/>
  <c r="K20" i="54" s="1"/>
  <c r="U12" i="54"/>
  <c r="I18" i="54" s="1"/>
  <c r="I19" i="54" s="1"/>
  <c r="I20" i="54" s="1"/>
  <c r="S12" i="54"/>
  <c r="Q12" i="54"/>
  <c r="O18" i="54" s="1"/>
  <c r="O19" i="54" s="1"/>
  <c r="O20" i="54" s="1"/>
  <c r="O12" i="54"/>
  <c r="M12" i="54"/>
  <c r="M18" i="54" s="1"/>
  <c r="M19" i="54" s="1"/>
  <c r="M20" i="54" s="1"/>
  <c r="K12" i="54"/>
  <c r="G18" i="54" s="1"/>
  <c r="G19" i="54" s="1"/>
  <c r="G20" i="54" s="1"/>
  <c r="I12" i="54"/>
  <c r="F18" i="54" s="1"/>
  <c r="F19" i="54" s="1"/>
  <c r="F20" i="54" s="1"/>
  <c r="G12" i="54"/>
  <c r="E18" i="54" s="1"/>
  <c r="E19" i="54" s="1"/>
  <c r="E20" i="54" s="1"/>
  <c r="E12" i="54"/>
  <c r="D18" i="54" s="1"/>
  <c r="D19" i="54" s="1"/>
  <c r="D20" i="54" s="1"/>
  <c r="C12" i="54"/>
  <c r="B18" i="54" s="1"/>
  <c r="B19" i="54" s="1"/>
  <c r="B20" i="54" s="1"/>
  <c r="X11" i="54"/>
  <c r="V11" i="54"/>
  <c r="T11" i="54"/>
  <c r="R11" i="54"/>
  <c r="P11" i="54"/>
  <c r="N11" i="54"/>
  <c r="L11" i="54"/>
  <c r="J11" i="54"/>
  <c r="H11" i="54"/>
  <c r="F11" i="54"/>
  <c r="D11" i="54"/>
  <c r="X10" i="54"/>
  <c r="V10" i="54"/>
  <c r="T10" i="54"/>
  <c r="R10" i="54"/>
  <c r="P10" i="54"/>
  <c r="N10" i="54"/>
  <c r="L10" i="54"/>
  <c r="J10" i="54"/>
  <c r="H10" i="54"/>
  <c r="F10" i="54"/>
  <c r="D10" i="54"/>
  <c r="X9" i="54"/>
  <c r="V9" i="54"/>
  <c r="T9" i="54"/>
  <c r="R9" i="54"/>
  <c r="P9" i="54"/>
  <c r="N9" i="54"/>
  <c r="L9" i="54"/>
  <c r="J9" i="54"/>
  <c r="H9" i="54"/>
  <c r="F9" i="54"/>
  <c r="D9" i="54"/>
  <c r="X8" i="54"/>
  <c r="V8" i="54"/>
  <c r="T8" i="54"/>
  <c r="R8" i="54"/>
  <c r="P8" i="54"/>
  <c r="N8" i="54"/>
  <c r="L8" i="54"/>
  <c r="J8" i="54"/>
  <c r="H8" i="54"/>
  <c r="F8" i="54"/>
  <c r="D8" i="54"/>
  <c r="X7" i="54"/>
  <c r="V7" i="54"/>
  <c r="T7" i="54"/>
  <c r="R7" i="54"/>
  <c r="P7" i="54"/>
  <c r="N7" i="54"/>
  <c r="L7" i="54"/>
  <c r="J7" i="54"/>
  <c r="H7" i="54"/>
  <c r="F7" i="54"/>
  <c r="D7" i="54"/>
  <c r="X6" i="54"/>
  <c r="V6" i="54"/>
  <c r="T6" i="54"/>
  <c r="R6" i="54"/>
  <c r="R12" i="54" s="1"/>
  <c r="P6" i="54"/>
  <c r="N6" i="54"/>
  <c r="L6" i="54"/>
  <c r="J6" i="54"/>
  <c r="H6" i="54"/>
  <c r="F6" i="54"/>
  <c r="D6" i="54"/>
  <c r="V12" i="54" l="1"/>
  <c r="F12" i="54"/>
  <c r="N12" i="54"/>
  <c r="H12" i="54"/>
  <c r="P12" i="54"/>
  <c r="Y11" i="54"/>
  <c r="L12" i="54"/>
  <c r="Y9" i="54"/>
  <c r="X12" i="54"/>
  <c r="T12" i="54"/>
  <c r="Y6" i="54"/>
  <c r="Y7" i="54"/>
  <c r="Y10" i="54"/>
  <c r="D12" i="54"/>
  <c r="Y8" i="54"/>
  <c r="J12" i="54"/>
  <c r="Y12" i="54" l="1"/>
  <c r="V16" i="54" s="1"/>
  <c r="V24" i="54" s="1"/>
  <c r="V18" i="53"/>
  <c r="S19" i="53"/>
  <c r="S20" i="53" s="1"/>
  <c r="V25" i="53"/>
  <c r="F22" i="53"/>
  <c r="Q19" i="53"/>
  <c r="Q20" i="53" s="1"/>
  <c r="P19" i="53"/>
  <c r="P20" i="53" s="1"/>
  <c r="N19" i="53"/>
  <c r="N20" i="53" s="1"/>
  <c r="L19" i="53"/>
  <c r="L20" i="53" s="1"/>
  <c r="J19" i="53"/>
  <c r="J20" i="53" s="1"/>
  <c r="H19" i="53"/>
  <c r="H20" i="53" s="1"/>
  <c r="K18" i="53"/>
  <c r="K19" i="53" s="1"/>
  <c r="K20" i="53" s="1"/>
  <c r="W12" i="53"/>
  <c r="U12" i="53"/>
  <c r="I18" i="53" s="1"/>
  <c r="I19" i="53" s="1"/>
  <c r="I20" i="53" s="1"/>
  <c r="S12" i="53"/>
  <c r="Q12" i="53"/>
  <c r="O18" i="53" s="1"/>
  <c r="O19" i="53" s="1"/>
  <c r="O20" i="53" s="1"/>
  <c r="O12" i="53"/>
  <c r="M12" i="53"/>
  <c r="M18" i="53" s="1"/>
  <c r="M19" i="53" s="1"/>
  <c r="M20" i="53" s="1"/>
  <c r="K12" i="53"/>
  <c r="G18" i="53" s="1"/>
  <c r="G19" i="53" s="1"/>
  <c r="G20" i="53" s="1"/>
  <c r="I12" i="53"/>
  <c r="F18" i="53" s="1"/>
  <c r="F19" i="53" s="1"/>
  <c r="F20" i="53" s="1"/>
  <c r="G12" i="53"/>
  <c r="E18" i="53" s="1"/>
  <c r="E19" i="53" s="1"/>
  <c r="E20" i="53" s="1"/>
  <c r="E12" i="53"/>
  <c r="D18" i="53" s="1"/>
  <c r="D19" i="53" s="1"/>
  <c r="D20" i="53" s="1"/>
  <c r="C12" i="53"/>
  <c r="B18" i="53" s="1"/>
  <c r="B19" i="53" s="1"/>
  <c r="B20" i="53" s="1"/>
  <c r="X11" i="53"/>
  <c r="V11" i="53"/>
  <c r="T11" i="53"/>
  <c r="R11" i="53"/>
  <c r="P11" i="53"/>
  <c r="N11" i="53"/>
  <c r="L11" i="53"/>
  <c r="J11" i="53"/>
  <c r="H11" i="53"/>
  <c r="F11" i="53"/>
  <c r="D11" i="53"/>
  <c r="X10" i="53"/>
  <c r="V10" i="53"/>
  <c r="T10" i="53"/>
  <c r="R10" i="53"/>
  <c r="P10" i="53"/>
  <c r="N10" i="53"/>
  <c r="L10" i="53"/>
  <c r="J10" i="53"/>
  <c r="H10" i="53"/>
  <c r="F10" i="53"/>
  <c r="D10" i="53"/>
  <c r="X9" i="53"/>
  <c r="V9" i="53"/>
  <c r="T9" i="53"/>
  <c r="R9" i="53"/>
  <c r="P9" i="53"/>
  <c r="N9" i="53"/>
  <c r="L9" i="53"/>
  <c r="J9" i="53"/>
  <c r="H9" i="53"/>
  <c r="F9" i="53"/>
  <c r="D9" i="53"/>
  <c r="X8" i="53"/>
  <c r="V8" i="53"/>
  <c r="T8" i="53"/>
  <c r="R8" i="53"/>
  <c r="P8" i="53"/>
  <c r="N8" i="53"/>
  <c r="L8" i="53"/>
  <c r="J8" i="53"/>
  <c r="H8" i="53"/>
  <c r="F8" i="53"/>
  <c r="D8" i="53"/>
  <c r="X7" i="53"/>
  <c r="V7" i="53"/>
  <c r="T7" i="53"/>
  <c r="R7" i="53"/>
  <c r="P7" i="53"/>
  <c r="N7" i="53"/>
  <c r="L7" i="53"/>
  <c r="J7" i="53"/>
  <c r="H7" i="53"/>
  <c r="F7" i="53"/>
  <c r="D7" i="53"/>
  <c r="X6" i="53"/>
  <c r="V6" i="53"/>
  <c r="T6" i="53"/>
  <c r="R6" i="53"/>
  <c r="P6" i="53"/>
  <c r="N6" i="53"/>
  <c r="L6" i="53"/>
  <c r="J6" i="53"/>
  <c r="H6" i="53"/>
  <c r="F6" i="53"/>
  <c r="D6" i="53"/>
  <c r="X12" i="53" l="1"/>
  <c r="H12" i="53"/>
  <c r="P12" i="53"/>
  <c r="Y6" i="53"/>
  <c r="L12" i="53"/>
  <c r="Y10" i="53"/>
  <c r="F12" i="53"/>
  <c r="N12" i="53"/>
  <c r="V12" i="53"/>
  <c r="T12" i="53"/>
  <c r="R12" i="53"/>
  <c r="Y8" i="53"/>
  <c r="Y11" i="53"/>
  <c r="Y9" i="53"/>
  <c r="J12" i="53"/>
  <c r="Y7" i="53"/>
  <c r="D12" i="53"/>
  <c r="Y12" i="53" l="1"/>
  <c r="V16" i="53" s="1"/>
  <c r="V24" i="53" s="1"/>
  <c r="V25" i="52" l="1"/>
  <c r="V18" i="52"/>
  <c r="F22" i="52" l="1"/>
  <c r="Q19" i="52"/>
  <c r="Q20" i="52" s="1"/>
  <c r="P19" i="52"/>
  <c r="P20" i="52" s="1"/>
  <c r="N19" i="52"/>
  <c r="N20" i="52" s="1"/>
  <c r="L19" i="52"/>
  <c r="L20" i="52" s="1"/>
  <c r="J19" i="52"/>
  <c r="J20" i="52" s="1"/>
  <c r="H19" i="52"/>
  <c r="H20" i="52" s="1"/>
  <c r="W12" i="52"/>
  <c r="K18" i="52" s="1"/>
  <c r="K19" i="52" s="1"/>
  <c r="K20" i="52" s="1"/>
  <c r="U12" i="52"/>
  <c r="I18" i="52" s="1"/>
  <c r="I19" i="52" s="1"/>
  <c r="I20" i="52" s="1"/>
  <c r="S12" i="52"/>
  <c r="Q12" i="52"/>
  <c r="O18" i="52" s="1"/>
  <c r="O19" i="52" s="1"/>
  <c r="O20" i="52" s="1"/>
  <c r="O12" i="52"/>
  <c r="M12" i="52"/>
  <c r="M18" i="52" s="1"/>
  <c r="M19" i="52" s="1"/>
  <c r="M20" i="52" s="1"/>
  <c r="K12" i="52"/>
  <c r="G18" i="52" s="1"/>
  <c r="G19" i="52" s="1"/>
  <c r="G20" i="52" s="1"/>
  <c r="I12" i="52"/>
  <c r="F18" i="52" s="1"/>
  <c r="F19" i="52" s="1"/>
  <c r="F20" i="52" s="1"/>
  <c r="G12" i="52"/>
  <c r="E18" i="52" s="1"/>
  <c r="E19" i="52" s="1"/>
  <c r="E20" i="52" s="1"/>
  <c r="E12" i="52"/>
  <c r="D18" i="52" s="1"/>
  <c r="D19" i="52" s="1"/>
  <c r="D20" i="52" s="1"/>
  <c r="C12" i="52"/>
  <c r="B18" i="52" s="1"/>
  <c r="B19" i="52" s="1"/>
  <c r="B20" i="52" s="1"/>
  <c r="X11" i="52"/>
  <c r="V11" i="52"/>
  <c r="T11" i="52"/>
  <c r="R11" i="52"/>
  <c r="P11" i="52"/>
  <c r="N11" i="52"/>
  <c r="L11" i="52"/>
  <c r="J11" i="52"/>
  <c r="H11" i="52"/>
  <c r="F11" i="52"/>
  <c r="D11" i="52"/>
  <c r="X10" i="52"/>
  <c r="V10" i="52"/>
  <c r="T10" i="52"/>
  <c r="R10" i="52"/>
  <c r="P10" i="52"/>
  <c r="N10" i="52"/>
  <c r="L10" i="52"/>
  <c r="J10" i="52"/>
  <c r="H10" i="52"/>
  <c r="F10" i="52"/>
  <c r="D10" i="52"/>
  <c r="X9" i="52"/>
  <c r="V9" i="52"/>
  <c r="T9" i="52"/>
  <c r="R9" i="52"/>
  <c r="P9" i="52"/>
  <c r="N9" i="52"/>
  <c r="L9" i="52"/>
  <c r="J9" i="52"/>
  <c r="H9" i="52"/>
  <c r="F9" i="52"/>
  <c r="D9" i="52"/>
  <c r="X8" i="52"/>
  <c r="V8" i="52"/>
  <c r="T8" i="52"/>
  <c r="R8" i="52"/>
  <c r="P8" i="52"/>
  <c r="N8" i="52"/>
  <c r="L8" i="52"/>
  <c r="J8" i="52"/>
  <c r="H8" i="52"/>
  <c r="F8" i="52"/>
  <c r="D8" i="52"/>
  <c r="X7" i="52"/>
  <c r="V7" i="52"/>
  <c r="T7" i="52"/>
  <c r="R7" i="52"/>
  <c r="P7" i="52"/>
  <c r="N7" i="52"/>
  <c r="L7" i="52"/>
  <c r="J7" i="52"/>
  <c r="H7" i="52"/>
  <c r="F7" i="52"/>
  <c r="D7" i="52"/>
  <c r="X6" i="52"/>
  <c r="V6" i="52"/>
  <c r="T6" i="52"/>
  <c r="R6" i="52"/>
  <c r="P6" i="52"/>
  <c r="N6" i="52"/>
  <c r="L6" i="52"/>
  <c r="L12" i="52" s="1"/>
  <c r="J6" i="52"/>
  <c r="H6" i="52"/>
  <c r="F6" i="52"/>
  <c r="D6" i="52"/>
  <c r="V18" i="51"/>
  <c r="F12" i="52" l="1"/>
  <c r="N12" i="52"/>
  <c r="V12" i="52"/>
  <c r="H12" i="52"/>
  <c r="P12" i="52"/>
  <c r="X12" i="52"/>
  <c r="Y10" i="52"/>
  <c r="R12" i="52"/>
  <c r="T12" i="52"/>
  <c r="Y11" i="52"/>
  <c r="Y9" i="52"/>
  <c r="D12" i="52"/>
  <c r="J12" i="52"/>
  <c r="Y7" i="52"/>
  <c r="Y8" i="52"/>
  <c r="Y6" i="52"/>
  <c r="V24" i="51"/>
  <c r="F22" i="51"/>
  <c r="Q19" i="51"/>
  <c r="P19" i="51"/>
  <c r="N19" i="51"/>
  <c r="L19" i="51"/>
  <c r="J19" i="51"/>
  <c r="H19" i="51"/>
  <c r="W12" i="51"/>
  <c r="K18" i="51" s="1"/>
  <c r="K19" i="51" s="1"/>
  <c r="U12" i="51"/>
  <c r="I18" i="51" s="1"/>
  <c r="I19" i="51" s="1"/>
  <c r="S12" i="51"/>
  <c r="Q12" i="51"/>
  <c r="O18" i="51" s="1"/>
  <c r="O19" i="51" s="1"/>
  <c r="O12" i="51"/>
  <c r="M12" i="51"/>
  <c r="M18" i="51" s="1"/>
  <c r="M19" i="51" s="1"/>
  <c r="K12" i="51"/>
  <c r="G18" i="51" s="1"/>
  <c r="G19" i="51" s="1"/>
  <c r="I12" i="51"/>
  <c r="F18" i="51" s="1"/>
  <c r="F19" i="51" s="1"/>
  <c r="G12" i="51"/>
  <c r="E18" i="51" s="1"/>
  <c r="E19" i="51" s="1"/>
  <c r="E12" i="51"/>
  <c r="D18" i="51" s="1"/>
  <c r="D19" i="51" s="1"/>
  <c r="C12" i="51"/>
  <c r="B18" i="51" s="1"/>
  <c r="B19" i="51" s="1"/>
  <c r="X11" i="51"/>
  <c r="V11" i="51"/>
  <c r="T11" i="51"/>
  <c r="R11" i="51"/>
  <c r="P11" i="51"/>
  <c r="N11" i="51"/>
  <c r="L11" i="51"/>
  <c r="J11" i="51"/>
  <c r="H11" i="51"/>
  <c r="F11" i="51"/>
  <c r="D11" i="51"/>
  <c r="X10" i="51"/>
  <c r="V10" i="51"/>
  <c r="T10" i="51"/>
  <c r="R10" i="51"/>
  <c r="P10" i="51"/>
  <c r="N10" i="51"/>
  <c r="L10" i="51"/>
  <c r="J10" i="51"/>
  <c r="H10" i="51"/>
  <c r="F10" i="51"/>
  <c r="D10" i="51"/>
  <c r="X9" i="51"/>
  <c r="V9" i="51"/>
  <c r="T9" i="51"/>
  <c r="R9" i="51"/>
  <c r="P9" i="51"/>
  <c r="N9" i="51"/>
  <c r="L9" i="51"/>
  <c r="J9" i="51"/>
  <c r="H9" i="51"/>
  <c r="F9" i="51"/>
  <c r="D9" i="51"/>
  <c r="X8" i="51"/>
  <c r="V8" i="51"/>
  <c r="T8" i="51"/>
  <c r="R8" i="51"/>
  <c r="P8" i="51"/>
  <c r="N8" i="51"/>
  <c r="L8" i="51"/>
  <c r="J8" i="51"/>
  <c r="H8" i="51"/>
  <c r="F8" i="51"/>
  <c r="D8" i="51"/>
  <c r="X7" i="51"/>
  <c r="V7" i="51"/>
  <c r="T7" i="51"/>
  <c r="R7" i="51"/>
  <c r="P7" i="51"/>
  <c r="N7" i="51"/>
  <c r="L7" i="51"/>
  <c r="J7" i="51"/>
  <c r="H7" i="51"/>
  <c r="F7" i="51"/>
  <c r="D7" i="51"/>
  <c r="X6" i="51"/>
  <c r="V6" i="51"/>
  <c r="T6" i="51"/>
  <c r="R6" i="51"/>
  <c r="P6" i="51"/>
  <c r="N6" i="51"/>
  <c r="L6" i="51"/>
  <c r="J6" i="51"/>
  <c r="H6" i="51"/>
  <c r="F6" i="51"/>
  <c r="D6" i="51"/>
  <c r="D10" i="49"/>
  <c r="R12" i="51" l="1"/>
  <c r="F12" i="51"/>
  <c r="N12" i="51"/>
  <c r="L12" i="51"/>
  <c r="T12" i="51"/>
  <c r="V12" i="51"/>
  <c r="Y11" i="51"/>
  <c r="H12" i="51"/>
  <c r="P12" i="51"/>
  <c r="X12" i="51"/>
  <c r="Y12" i="52"/>
  <c r="V16" i="52" s="1"/>
  <c r="V24" i="52" s="1"/>
  <c r="Y7" i="51"/>
  <c r="D12" i="51"/>
  <c r="Y8" i="51"/>
  <c r="J12" i="51"/>
  <c r="Y10" i="51"/>
  <c r="Y9" i="51"/>
  <c r="Y6" i="51"/>
  <c r="V18" i="50"/>
  <c r="Y12" i="51" l="1"/>
  <c r="V16" i="51" s="1"/>
  <c r="V23" i="51" s="1"/>
  <c r="V24" i="50"/>
  <c r="F22" i="50"/>
  <c r="Q19" i="50"/>
  <c r="P19" i="50"/>
  <c r="N19" i="50"/>
  <c r="L19" i="50"/>
  <c r="J19" i="50"/>
  <c r="H19" i="50"/>
  <c r="W12" i="50"/>
  <c r="K18" i="50" s="1"/>
  <c r="K19" i="50" s="1"/>
  <c r="U12" i="50"/>
  <c r="I18" i="50" s="1"/>
  <c r="I19" i="50" s="1"/>
  <c r="S12" i="50"/>
  <c r="Q12" i="50"/>
  <c r="O18" i="50" s="1"/>
  <c r="O19" i="50" s="1"/>
  <c r="O12" i="50"/>
  <c r="M12" i="50"/>
  <c r="M18" i="50" s="1"/>
  <c r="M19" i="50" s="1"/>
  <c r="K12" i="50"/>
  <c r="G18" i="50" s="1"/>
  <c r="G19" i="50" s="1"/>
  <c r="I12" i="50"/>
  <c r="F18" i="50" s="1"/>
  <c r="F19" i="50" s="1"/>
  <c r="G12" i="50"/>
  <c r="E18" i="50" s="1"/>
  <c r="E19" i="50" s="1"/>
  <c r="E12" i="50"/>
  <c r="D18" i="50" s="1"/>
  <c r="D19" i="50" s="1"/>
  <c r="C12" i="50"/>
  <c r="B18" i="50" s="1"/>
  <c r="B19" i="50" s="1"/>
  <c r="X11" i="50"/>
  <c r="V11" i="50"/>
  <c r="T11" i="50"/>
  <c r="R11" i="50"/>
  <c r="P11" i="50"/>
  <c r="N11" i="50"/>
  <c r="L11" i="50"/>
  <c r="J11" i="50"/>
  <c r="H11" i="50"/>
  <c r="F11" i="50"/>
  <c r="D11" i="50"/>
  <c r="X10" i="50"/>
  <c r="V10" i="50"/>
  <c r="T10" i="50"/>
  <c r="R10" i="50"/>
  <c r="P10" i="50"/>
  <c r="N10" i="50"/>
  <c r="L10" i="50"/>
  <c r="J10" i="50"/>
  <c r="H10" i="50"/>
  <c r="F10" i="50"/>
  <c r="D10" i="50"/>
  <c r="X9" i="50"/>
  <c r="V9" i="50"/>
  <c r="T9" i="50"/>
  <c r="R9" i="50"/>
  <c r="P9" i="50"/>
  <c r="N9" i="50"/>
  <c r="L9" i="50"/>
  <c r="J9" i="50"/>
  <c r="H9" i="50"/>
  <c r="F9" i="50"/>
  <c r="D9" i="50"/>
  <c r="X8" i="50"/>
  <c r="V8" i="50"/>
  <c r="T8" i="50"/>
  <c r="R8" i="50"/>
  <c r="P8" i="50"/>
  <c r="N8" i="50"/>
  <c r="L8" i="50"/>
  <c r="J8" i="50"/>
  <c r="H8" i="50"/>
  <c r="F8" i="50"/>
  <c r="D8" i="50"/>
  <c r="X7" i="50"/>
  <c r="V7" i="50"/>
  <c r="T7" i="50"/>
  <c r="R7" i="50"/>
  <c r="P7" i="50"/>
  <c r="N7" i="50"/>
  <c r="L7" i="50"/>
  <c r="J7" i="50"/>
  <c r="H7" i="50"/>
  <c r="F7" i="50"/>
  <c r="D7" i="50"/>
  <c r="X6" i="50"/>
  <c r="X12" i="50" s="1"/>
  <c r="V6" i="50"/>
  <c r="T6" i="50"/>
  <c r="R6" i="50"/>
  <c r="P6" i="50"/>
  <c r="P12" i="50" s="1"/>
  <c r="N6" i="50"/>
  <c r="L6" i="50"/>
  <c r="J6" i="50"/>
  <c r="H6" i="50"/>
  <c r="H12" i="50" s="1"/>
  <c r="F6" i="50"/>
  <c r="D6" i="50"/>
  <c r="R12" i="50" l="1"/>
  <c r="Y9" i="50"/>
  <c r="L12" i="50"/>
  <c r="F12" i="50"/>
  <c r="N12" i="50"/>
  <c r="T12" i="50"/>
  <c r="Y11" i="50"/>
  <c r="V12" i="50"/>
  <c r="J12" i="50"/>
  <c r="Y8" i="50"/>
  <c r="Y7" i="50"/>
  <c r="D12" i="50"/>
  <c r="Y10" i="50"/>
  <c r="Y6" i="50"/>
  <c r="V18" i="49"/>
  <c r="V24" i="49"/>
  <c r="F22" i="49"/>
  <c r="Q19" i="49"/>
  <c r="P19" i="49"/>
  <c r="N19" i="49"/>
  <c r="L19" i="49"/>
  <c r="J19" i="49"/>
  <c r="H19" i="49"/>
  <c r="W12" i="49"/>
  <c r="K18" i="49" s="1"/>
  <c r="K19" i="49" s="1"/>
  <c r="U12" i="49"/>
  <c r="I18" i="49" s="1"/>
  <c r="I19" i="49" s="1"/>
  <c r="S12" i="49"/>
  <c r="Q12" i="49"/>
  <c r="O18" i="49" s="1"/>
  <c r="O19" i="49" s="1"/>
  <c r="O12" i="49"/>
  <c r="M12" i="49"/>
  <c r="M18" i="49" s="1"/>
  <c r="M19" i="49" s="1"/>
  <c r="K12" i="49"/>
  <c r="G18" i="49" s="1"/>
  <c r="G19" i="49" s="1"/>
  <c r="I12" i="49"/>
  <c r="F18" i="49" s="1"/>
  <c r="F19" i="49" s="1"/>
  <c r="G12" i="49"/>
  <c r="E18" i="49" s="1"/>
  <c r="E19" i="49" s="1"/>
  <c r="E12" i="49"/>
  <c r="D18" i="49" s="1"/>
  <c r="D19" i="49" s="1"/>
  <c r="C12" i="49"/>
  <c r="B18" i="49" s="1"/>
  <c r="B19" i="49" s="1"/>
  <c r="X11" i="49"/>
  <c r="V11" i="49"/>
  <c r="T11" i="49"/>
  <c r="R11" i="49"/>
  <c r="P11" i="49"/>
  <c r="N11" i="49"/>
  <c r="L11" i="49"/>
  <c r="J11" i="49"/>
  <c r="H11" i="49"/>
  <c r="F11" i="49"/>
  <c r="D11" i="49"/>
  <c r="X10" i="49"/>
  <c r="V10" i="49"/>
  <c r="T10" i="49"/>
  <c r="R10" i="49"/>
  <c r="P10" i="49"/>
  <c r="N10" i="49"/>
  <c r="L10" i="49"/>
  <c r="J10" i="49"/>
  <c r="H10" i="49"/>
  <c r="F10" i="49"/>
  <c r="X9" i="49"/>
  <c r="V9" i="49"/>
  <c r="T9" i="49"/>
  <c r="R9" i="49"/>
  <c r="P9" i="49"/>
  <c r="N9" i="49"/>
  <c r="L9" i="49"/>
  <c r="J9" i="49"/>
  <c r="H9" i="49"/>
  <c r="F9" i="49"/>
  <c r="D9" i="49"/>
  <c r="X8" i="49"/>
  <c r="V8" i="49"/>
  <c r="T8" i="49"/>
  <c r="R8" i="49"/>
  <c r="P8" i="49"/>
  <c r="N8" i="49"/>
  <c r="L8" i="49"/>
  <c r="J8" i="49"/>
  <c r="H8" i="49"/>
  <c r="F8" i="49"/>
  <c r="D8" i="49"/>
  <c r="X7" i="49"/>
  <c r="V7" i="49"/>
  <c r="T7" i="49"/>
  <c r="R7" i="49"/>
  <c r="P7" i="49"/>
  <c r="N7" i="49"/>
  <c r="L7" i="49"/>
  <c r="J7" i="49"/>
  <c r="H7" i="49"/>
  <c r="F7" i="49"/>
  <c r="D7" i="49"/>
  <c r="X6" i="49"/>
  <c r="V6" i="49"/>
  <c r="T6" i="49"/>
  <c r="R6" i="49"/>
  <c r="R12" i="49" s="1"/>
  <c r="P6" i="49"/>
  <c r="N6" i="49"/>
  <c r="L6" i="49"/>
  <c r="J6" i="49"/>
  <c r="H6" i="49"/>
  <c r="H12" i="49" s="1"/>
  <c r="F6" i="49"/>
  <c r="D6" i="49"/>
  <c r="L12" i="49" l="1"/>
  <c r="T12" i="49"/>
  <c r="Y10" i="49"/>
  <c r="F12" i="49"/>
  <c r="N12" i="49"/>
  <c r="V12" i="49"/>
  <c r="P12" i="49"/>
  <c r="X12" i="49"/>
  <c r="Y11" i="49"/>
  <c r="Y12" i="50"/>
  <c r="V16" i="50" s="1"/>
  <c r="V23" i="50" s="1"/>
  <c r="Y8" i="49"/>
  <c r="Y9" i="49"/>
  <c r="J12" i="49"/>
  <c r="Y7" i="49"/>
  <c r="Y6" i="49"/>
  <c r="D12" i="49"/>
  <c r="V18" i="48"/>
  <c r="Y12" i="49" l="1"/>
  <c r="V16" i="49" s="1"/>
  <c r="V23" i="49" s="1"/>
  <c r="V24" i="48"/>
  <c r="F22" i="48"/>
  <c r="Q19" i="48"/>
  <c r="P19" i="48"/>
  <c r="N19" i="48"/>
  <c r="L19" i="48"/>
  <c r="J19" i="48"/>
  <c r="H19" i="48"/>
  <c r="W12" i="48"/>
  <c r="K18" i="48" s="1"/>
  <c r="K19" i="48" s="1"/>
  <c r="U12" i="48"/>
  <c r="I18" i="48" s="1"/>
  <c r="I19" i="48" s="1"/>
  <c r="S12" i="48"/>
  <c r="Q12" i="48"/>
  <c r="O18" i="48" s="1"/>
  <c r="O19" i="48" s="1"/>
  <c r="O12" i="48"/>
  <c r="M12" i="48"/>
  <c r="M18" i="48" s="1"/>
  <c r="M19" i="48" s="1"/>
  <c r="K12" i="48"/>
  <c r="G18" i="48" s="1"/>
  <c r="G19" i="48" s="1"/>
  <c r="I12" i="48"/>
  <c r="F18" i="48" s="1"/>
  <c r="F19" i="48" s="1"/>
  <c r="G12" i="48"/>
  <c r="E18" i="48" s="1"/>
  <c r="E19" i="48" s="1"/>
  <c r="E12" i="48"/>
  <c r="D18" i="48" s="1"/>
  <c r="D19" i="48" s="1"/>
  <c r="C12" i="48"/>
  <c r="B18" i="48" s="1"/>
  <c r="B19" i="48" s="1"/>
  <c r="X11" i="48"/>
  <c r="V11" i="48"/>
  <c r="T11" i="48"/>
  <c r="R11" i="48"/>
  <c r="P11" i="48"/>
  <c r="N11" i="48"/>
  <c r="L11" i="48"/>
  <c r="J11" i="48"/>
  <c r="H11" i="48"/>
  <c r="F11" i="48"/>
  <c r="D11" i="48"/>
  <c r="X10" i="48"/>
  <c r="V10" i="48"/>
  <c r="T10" i="48"/>
  <c r="R10" i="48"/>
  <c r="P10" i="48"/>
  <c r="N10" i="48"/>
  <c r="L10" i="48"/>
  <c r="J10" i="48"/>
  <c r="H10" i="48"/>
  <c r="F10" i="48"/>
  <c r="D10" i="48"/>
  <c r="X9" i="48"/>
  <c r="V9" i="48"/>
  <c r="T9" i="48"/>
  <c r="R9" i="48"/>
  <c r="P9" i="48"/>
  <c r="N9" i="48"/>
  <c r="L9" i="48"/>
  <c r="J9" i="48"/>
  <c r="H9" i="48"/>
  <c r="F9" i="48"/>
  <c r="D9" i="48"/>
  <c r="X8" i="48"/>
  <c r="V8" i="48"/>
  <c r="T8" i="48"/>
  <c r="R8" i="48"/>
  <c r="P8" i="48"/>
  <c r="N8" i="48"/>
  <c r="L8" i="48"/>
  <c r="J8" i="48"/>
  <c r="H8" i="48"/>
  <c r="F8" i="48"/>
  <c r="D8" i="48"/>
  <c r="X7" i="48"/>
  <c r="V7" i="48"/>
  <c r="T7" i="48"/>
  <c r="R7" i="48"/>
  <c r="P7" i="48"/>
  <c r="N7" i="48"/>
  <c r="L7" i="48"/>
  <c r="J7" i="48"/>
  <c r="H7" i="48"/>
  <c r="F7" i="48"/>
  <c r="D7" i="48"/>
  <c r="X6" i="48"/>
  <c r="X12" i="48" s="1"/>
  <c r="V6" i="48"/>
  <c r="T6" i="48"/>
  <c r="R6" i="48"/>
  <c r="P6" i="48"/>
  <c r="P12" i="48" s="1"/>
  <c r="N6" i="48"/>
  <c r="N12" i="48" s="1"/>
  <c r="L6" i="48"/>
  <c r="J6" i="48"/>
  <c r="H6" i="48"/>
  <c r="H12" i="48" s="1"/>
  <c r="F6" i="48"/>
  <c r="F12" i="48" s="1"/>
  <c r="D6" i="48"/>
  <c r="V12" i="48" l="1"/>
  <c r="Y7" i="48"/>
  <c r="Y11" i="48"/>
  <c r="R12" i="48"/>
  <c r="L12" i="48"/>
  <c r="T12" i="48"/>
  <c r="Y10" i="48"/>
  <c r="J12" i="48"/>
  <c r="Y9" i="48"/>
  <c r="D12" i="48"/>
  <c r="Y8" i="48"/>
  <c r="Y6" i="48"/>
  <c r="Y12" i="48" l="1"/>
  <c r="V16" i="48" s="1"/>
  <c r="V23" i="48" s="1"/>
  <c r="V18" i="47"/>
  <c r="V7" i="47"/>
  <c r="V8" i="47"/>
  <c r="V9" i="47"/>
  <c r="V10" i="47"/>
  <c r="V11" i="47"/>
  <c r="V24" i="47" l="1"/>
  <c r="F22" i="47"/>
  <c r="Q19" i="47"/>
  <c r="P19" i="47"/>
  <c r="N19" i="47"/>
  <c r="L19" i="47"/>
  <c r="J19" i="47"/>
  <c r="H19" i="47"/>
  <c r="W12" i="47"/>
  <c r="K18" i="47" s="1"/>
  <c r="K19" i="47" s="1"/>
  <c r="U12" i="47"/>
  <c r="I18" i="47" s="1"/>
  <c r="I19" i="47" s="1"/>
  <c r="S12" i="47"/>
  <c r="Q12" i="47"/>
  <c r="O18" i="47" s="1"/>
  <c r="O19" i="47" s="1"/>
  <c r="O12" i="47"/>
  <c r="M12" i="47"/>
  <c r="M18" i="47" s="1"/>
  <c r="M19" i="47" s="1"/>
  <c r="K12" i="47"/>
  <c r="G18" i="47" s="1"/>
  <c r="G19" i="47" s="1"/>
  <c r="I12" i="47"/>
  <c r="F18" i="47" s="1"/>
  <c r="F19" i="47" s="1"/>
  <c r="G12" i="47"/>
  <c r="E18" i="47" s="1"/>
  <c r="E19" i="47" s="1"/>
  <c r="E12" i="47"/>
  <c r="D18" i="47" s="1"/>
  <c r="D19" i="47" s="1"/>
  <c r="C12" i="47"/>
  <c r="B18" i="47" s="1"/>
  <c r="B19" i="47" s="1"/>
  <c r="X11" i="47"/>
  <c r="T11" i="47"/>
  <c r="R11" i="47"/>
  <c r="P11" i="47"/>
  <c r="N11" i="47"/>
  <c r="L11" i="47"/>
  <c r="J11" i="47"/>
  <c r="H11" i="47"/>
  <c r="F11" i="47"/>
  <c r="D11" i="47"/>
  <c r="X10" i="47"/>
  <c r="T10" i="47"/>
  <c r="R10" i="47"/>
  <c r="P10" i="47"/>
  <c r="N10" i="47"/>
  <c r="L10" i="47"/>
  <c r="J10" i="47"/>
  <c r="H10" i="47"/>
  <c r="F10" i="47"/>
  <c r="D10" i="47"/>
  <c r="X9" i="47"/>
  <c r="T9" i="47"/>
  <c r="R9" i="47"/>
  <c r="P9" i="47"/>
  <c r="N9" i="47"/>
  <c r="L9" i="47"/>
  <c r="J9" i="47"/>
  <c r="H9" i="47"/>
  <c r="F9" i="47"/>
  <c r="D9" i="47"/>
  <c r="X8" i="47"/>
  <c r="T8" i="47"/>
  <c r="R8" i="47"/>
  <c r="P8" i="47"/>
  <c r="N8" i="47"/>
  <c r="L8" i="47"/>
  <c r="J8" i="47"/>
  <c r="H8" i="47"/>
  <c r="F8" i="47"/>
  <c r="D8" i="47"/>
  <c r="X7" i="47"/>
  <c r="T7" i="47"/>
  <c r="R7" i="47"/>
  <c r="P7" i="47"/>
  <c r="N7" i="47"/>
  <c r="L7" i="47"/>
  <c r="J7" i="47"/>
  <c r="H7" i="47"/>
  <c r="F7" i="47"/>
  <c r="D7" i="47"/>
  <c r="X6" i="47"/>
  <c r="V6" i="47"/>
  <c r="T6" i="47"/>
  <c r="T12" i="47" s="1"/>
  <c r="R6" i="47"/>
  <c r="P6" i="47"/>
  <c r="N6" i="47"/>
  <c r="L6" i="47"/>
  <c r="L12" i="47" s="1"/>
  <c r="J6" i="47"/>
  <c r="H6" i="47"/>
  <c r="F6" i="47"/>
  <c r="D6" i="47"/>
  <c r="V18" i="46"/>
  <c r="V24" i="46"/>
  <c r="F22" i="46"/>
  <c r="Q19" i="46"/>
  <c r="P19" i="46"/>
  <c r="N19" i="46"/>
  <c r="L19" i="46"/>
  <c r="J19" i="46"/>
  <c r="H19" i="46"/>
  <c r="W12" i="46"/>
  <c r="K18" i="46" s="1"/>
  <c r="K19" i="46" s="1"/>
  <c r="U12" i="46"/>
  <c r="I18" i="46" s="1"/>
  <c r="I19" i="46" s="1"/>
  <c r="S12" i="46"/>
  <c r="Q12" i="46"/>
  <c r="O18" i="46" s="1"/>
  <c r="O19" i="46" s="1"/>
  <c r="O12" i="46"/>
  <c r="M12" i="46"/>
  <c r="M18" i="46" s="1"/>
  <c r="M19" i="46" s="1"/>
  <c r="K12" i="46"/>
  <c r="G18" i="46" s="1"/>
  <c r="G19" i="46" s="1"/>
  <c r="I12" i="46"/>
  <c r="F18" i="46" s="1"/>
  <c r="F19" i="46" s="1"/>
  <c r="G12" i="46"/>
  <c r="E18" i="46" s="1"/>
  <c r="E19" i="46" s="1"/>
  <c r="E12" i="46"/>
  <c r="D18" i="46" s="1"/>
  <c r="D19" i="46" s="1"/>
  <c r="C12" i="46"/>
  <c r="B18" i="46" s="1"/>
  <c r="B19" i="46" s="1"/>
  <c r="X11" i="46"/>
  <c r="V11" i="46"/>
  <c r="T11" i="46"/>
  <c r="R11" i="46"/>
  <c r="P11" i="46"/>
  <c r="N11" i="46"/>
  <c r="L11" i="46"/>
  <c r="J11" i="46"/>
  <c r="H11" i="46"/>
  <c r="F11" i="46"/>
  <c r="D11" i="46"/>
  <c r="X10" i="46"/>
  <c r="V10" i="46"/>
  <c r="T10" i="46"/>
  <c r="R10" i="46"/>
  <c r="P10" i="46"/>
  <c r="N10" i="46"/>
  <c r="L10" i="46"/>
  <c r="J10" i="46"/>
  <c r="H10" i="46"/>
  <c r="F10" i="46"/>
  <c r="D10" i="46"/>
  <c r="X9" i="46"/>
  <c r="V9" i="46"/>
  <c r="T9" i="46"/>
  <c r="R9" i="46"/>
  <c r="P9" i="46"/>
  <c r="N9" i="46"/>
  <c r="L9" i="46"/>
  <c r="J9" i="46"/>
  <c r="H9" i="46"/>
  <c r="F9" i="46"/>
  <c r="D9" i="46"/>
  <c r="X8" i="46"/>
  <c r="V8" i="46"/>
  <c r="T8" i="46"/>
  <c r="R8" i="46"/>
  <c r="P8" i="46"/>
  <c r="N8" i="46"/>
  <c r="L8" i="46"/>
  <c r="J8" i="46"/>
  <c r="H8" i="46"/>
  <c r="F8" i="46"/>
  <c r="D8" i="46"/>
  <c r="X7" i="46"/>
  <c r="V7" i="46"/>
  <c r="T7" i="46"/>
  <c r="R7" i="46"/>
  <c r="P7" i="46"/>
  <c r="N7" i="46"/>
  <c r="L7" i="46"/>
  <c r="J7" i="46"/>
  <c r="H7" i="46"/>
  <c r="F7" i="46"/>
  <c r="D7" i="46"/>
  <c r="X6" i="46"/>
  <c r="X12" i="46" s="1"/>
  <c r="V6" i="46"/>
  <c r="T6" i="46"/>
  <c r="R6" i="46"/>
  <c r="P6" i="46"/>
  <c r="P12" i="46" s="1"/>
  <c r="N6" i="46"/>
  <c r="L6" i="46"/>
  <c r="J6" i="46"/>
  <c r="H6" i="46"/>
  <c r="H12" i="46" s="1"/>
  <c r="F6" i="46"/>
  <c r="D6" i="46"/>
  <c r="H12" i="47" l="1"/>
  <c r="P12" i="47"/>
  <c r="R12" i="46"/>
  <c r="Y11" i="46"/>
  <c r="F12" i="47"/>
  <c r="N12" i="47"/>
  <c r="L12" i="46"/>
  <c r="X12" i="47"/>
  <c r="F12" i="46"/>
  <c r="N12" i="46"/>
  <c r="V12" i="46"/>
  <c r="R12" i="47"/>
  <c r="Y11" i="47"/>
  <c r="V12" i="47"/>
  <c r="Y6" i="47"/>
  <c r="Y10" i="47"/>
  <c r="Y8" i="47"/>
  <c r="Y9" i="47"/>
  <c r="J12" i="47"/>
  <c r="Y7" i="47"/>
  <c r="D12" i="47"/>
  <c r="Y7" i="46"/>
  <c r="T12" i="46"/>
  <c r="J12" i="46"/>
  <c r="Y6" i="46"/>
  <c r="Y10" i="46"/>
  <c r="Y8" i="46"/>
  <c r="Y9" i="46"/>
  <c r="D12" i="46"/>
  <c r="Y12" i="47" l="1"/>
  <c r="V16" i="47" s="1"/>
  <c r="V23" i="47" s="1"/>
  <c r="Y12" i="46"/>
  <c r="V16" i="46" s="1"/>
  <c r="V23" i="46" s="1"/>
  <c r="V24" i="45" l="1"/>
  <c r="F22" i="45"/>
  <c r="Q19" i="45"/>
  <c r="P19" i="45"/>
  <c r="N19" i="45"/>
  <c r="L19" i="45"/>
  <c r="J19" i="45"/>
  <c r="H19" i="45"/>
  <c r="W12" i="45"/>
  <c r="K18" i="45" s="1"/>
  <c r="K19" i="45" s="1"/>
  <c r="U12" i="45"/>
  <c r="I18" i="45" s="1"/>
  <c r="I19" i="45" s="1"/>
  <c r="S12" i="45"/>
  <c r="Q12" i="45"/>
  <c r="O18" i="45" s="1"/>
  <c r="O19" i="45" s="1"/>
  <c r="O12" i="45"/>
  <c r="M12" i="45"/>
  <c r="M18" i="45" s="1"/>
  <c r="M19" i="45" s="1"/>
  <c r="K12" i="45"/>
  <c r="G18" i="45" s="1"/>
  <c r="G19" i="45" s="1"/>
  <c r="I12" i="45"/>
  <c r="F18" i="45" s="1"/>
  <c r="F19" i="45" s="1"/>
  <c r="G12" i="45"/>
  <c r="E18" i="45" s="1"/>
  <c r="E19" i="45" s="1"/>
  <c r="E12" i="45"/>
  <c r="D18" i="45" s="1"/>
  <c r="D19" i="45" s="1"/>
  <c r="C12" i="45"/>
  <c r="B18" i="45" s="1"/>
  <c r="B19" i="45" s="1"/>
  <c r="X11" i="45"/>
  <c r="V11" i="45"/>
  <c r="T11" i="45"/>
  <c r="R11" i="45"/>
  <c r="P11" i="45"/>
  <c r="N11" i="45"/>
  <c r="L11" i="45"/>
  <c r="J11" i="45"/>
  <c r="H11" i="45"/>
  <c r="F11" i="45"/>
  <c r="D11" i="45"/>
  <c r="X10" i="45"/>
  <c r="V10" i="45"/>
  <c r="T10" i="45"/>
  <c r="R10" i="45"/>
  <c r="P10" i="45"/>
  <c r="N10" i="45"/>
  <c r="L10" i="45"/>
  <c r="J10" i="45"/>
  <c r="H10" i="45"/>
  <c r="F10" i="45"/>
  <c r="D10" i="45"/>
  <c r="X9" i="45"/>
  <c r="V9" i="45"/>
  <c r="T9" i="45"/>
  <c r="R9" i="45"/>
  <c r="P9" i="45"/>
  <c r="N9" i="45"/>
  <c r="L9" i="45"/>
  <c r="J9" i="45"/>
  <c r="H9" i="45"/>
  <c r="F9" i="45"/>
  <c r="D9" i="45"/>
  <c r="X8" i="45"/>
  <c r="V8" i="45"/>
  <c r="T8" i="45"/>
  <c r="R8" i="45"/>
  <c r="P8" i="45"/>
  <c r="N8" i="45"/>
  <c r="L8" i="45"/>
  <c r="J8" i="45"/>
  <c r="H8" i="45"/>
  <c r="F8" i="45"/>
  <c r="D8" i="45"/>
  <c r="X7" i="45"/>
  <c r="V7" i="45"/>
  <c r="T7" i="45"/>
  <c r="R7" i="45"/>
  <c r="P7" i="45"/>
  <c r="N7" i="45"/>
  <c r="L7" i="45"/>
  <c r="J7" i="45"/>
  <c r="H7" i="45"/>
  <c r="F7" i="45"/>
  <c r="D7" i="45"/>
  <c r="X6" i="45"/>
  <c r="V6" i="45"/>
  <c r="V12" i="45" s="1"/>
  <c r="T6" i="45"/>
  <c r="R6" i="45"/>
  <c r="P6" i="45"/>
  <c r="N6" i="45"/>
  <c r="N12" i="45" s="1"/>
  <c r="L6" i="45"/>
  <c r="J6" i="45"/>
  <c r="H6" i="45"/>
  <c r="F6" i="45"/>
  <c r="F12" i="45" s="1"/>
  <c r="D6" i="45"/>
  <c r="P12" i="45" l="1"/>
  <c r="X12" i="45"/>
  <c r="R12" i="45"/>
  <c r="L12" i="45"/>
  <c r="Y8" i="45"/>
  <c r="J12" i="45"/>
  <c r="H12" i="45"/>
  <c r="Y7" i="45"/>
  <c r="Y10" i="45"/>
  <c r="Y9" i="45"/>
  <c r="Y6" i="45"/>
  <c r="Y11" i="45"/>
  <c r="T12" i="45"/>
  <c r="D12" i="45"/>
  <c r="Y12" i="45" l="1"/>
  <c r="V16" i="45" s="1"/>
  <c r="V23" i="45" s="1"/>
  <c r="V18" i="44" l="1"/>
  <c r="Q19" i="44" l="1"/>
  <c r="V24" i="44"/>
  <c r="F22" i="44"/>
  <c r="P19" i="44"/>
  <c r="N19" i="44"/>
  <c r="L19" i="44"/>
  <c r="J19" i="44"/>
  <c r="H19" i="44"/>
  <c r="W12" i="44"/>
  <c r="K18" i="44" s="1"/>
  <c r="K19" i="44" s="1"/>
  <c r="U12" i="44"/>
  <c r="I18" i="44" s="1"/>
  <c r="I19" i="44" s="1"/>
  <c r="S12" i="44"/>
  <c r="Q12" i="44"/>
  <c r="O18" i="44" s="1"/>
  <c r="O19" i="44" s="1"/>
  <c r="O12" i="44"/>
  <c r="M12" i="44"/>
  <c r="M18" i="44" s="1"/>
  <c r="M19" i="44" s="1"/>
  <c r="K12" i="44"/>
  <c r="G18" i="44" s="1"/>
  <c r="G19" i="44" s="1"/>
  <c r="I12" i="44"/>
  <c r="F18" i="44" s="1"/>
  <c r="F19" i="44" s="1"/>
  <c r="G12" i="44"/>
  <c r="E18" i="44" s="1"/>
  <c r="E19" i="44" s="1"/>
  <c r="E12" i="44"/>
  <c r="D18" i="44" s="1"/>
  <c r="D19" i="44" s="1"/>
  <c r="C12" i="44"/>
  <c r="B18" i="44" s="1"/>
  <c r="B19" i="44" s="1"/>
  <c r="X11" i="44"/>
  <c r="V11" i="44"/>
  <c r="T11" i="44"/>
  <c r="R11" i="44"/>
  <c r="P11" i="44"/>
  <c r="N11" i="44"/>
  <c r="L11" i="44"/>
  <c r="J11" i="44"/>
  <c r="H11" i="44"/>
  <c r="F11" i="44"/>
  <c r="D11" i="44"/>
  <c r="X10" i="44"/>
  <c r="V10" i="44"/>
  <c r="T10" i="44"/>
  <c r="R10" i="44"/>
  <c r="P10" i="44"/>
  <c r="N10" i="44"/>
  <c r="L10" i="44"/>
  <c r="J10" i="44"/>
  <c r="H10" i="44"/>
  <c r="F10" i="44"/>
  <c r="D10" i="44"/>
  <c r="X9" i="44"/>
  <c r="V9" i="44"/>
  <c r="T9" i="44"/>
  <c r="R9" i="44"/>
  <c r="P9" i="44"/>
  <c r="N9" i="44"/>
  <c r="L9" i="44"/>
  <c r="J9" i="44"/>
  <c r="H9" i="44"/>
  <c r="F9" i="44"/>
  <c r="D9" i="44"/>
  <c r="X8" i="44"/>
  <c r="V8" i="44"/>
  <c r="T8" i="44"/>
  <c r="R8" i="44"/>
  <c r="P8" i="44"/>
  <c r="N8" i="44"/>
  <c r="L8" i="44"/>
  <c r="J8" i="44"/>
  <c r="H8" i="44"/>
  <c r="F8" i="44"/>
  <c r="D8" i="44"/>
  <c r="X7" i="44"/>
  <c r="V7" i="44"/>
  <c r="T7" i="44"/>
  <c r="R7" i="44"/>
  <c r="P7" i="44"/>
  <c r="N7" i="44"/>
  <c r="L7" i="44"/>
  <c r="J7" i="44"/>
  <c r="H7" i="44"/>
  <c r="F7" i="44"/>
  <c r="D7" i="44"/>
  <c r="X6" i="44"/>
  <c r="V6" i="44"/>
  <c r="T6" i="44"/>
  <c r="R6" i="44"/>
  <c r="P6" i="44"/>
  <c r="N6" i="44"/>
  <c r="L6" i="44"/>
  <c r="J6" i="44"/>
  <c r="H6" i="44"/>
  <c r="F6" i="44"/>
  <c r="D6" i="44"/>
  <c r="H12" i="44" l="1"/>
  <c r="X12" i="44"/>
  <c r="R12" i="44"/>
  <c r="P12" i="44"/>
  <c r="J12" i="44"/>
  <c r="L12" i="44"/>
  <c r="T12" i="44"/>
  <c r="F12" i="44"/>
  <c r="V12" i="44"/>
  <c r="N12" i="44"/>
  <c r="Y7" i="44"/>
  <c r="Y9" i="44"/>
  <c r="Y11" i="44"/>
  <c r="D12" i="44"/>
  <c r="Y8" i="44"/>
  <c r="Y10" i="44"/>
  <c r="Y6" i="44"/>
  <c r="Y12" i="44" l="1"/>
  <c r="V16" i="44" s="1"/>
  <c r="V23" i="44" s="1"/>
  <c r="V24" i="43" l="1"/>
  <c r="F22" i="43"/>
  <c r="P19" i="43"/>
  <c r="N19" i="43"/>
  <c r="L19" i="43"/>
  <c r="J19" i="43"/>
  <c r="H19" i="43"/>
  <c r="K18" i="43"/>
  <c r="K19" i="43" s="1"/>
  <c r="W12" i="43"/>
  <c r="U12" i="43"/>
  <c r="I18" i="43" s="1"/>
  <c r="I19" i="43" s="1"/>
  <c r="S12" i="43"/>
  <c r="Q12" i="43"/>
  <c r="O18" i="43" s="1"/>
  <c r="O19" i="43" s="1"/>
  <c r="O12" i="43"/>
  <c r="M12" i="43"/>
  <c r="M18" i="43" s="1"/>
  <c r="M19" i="43" s="1"/>
  <c r="K12" i="43"/>
  <c r="G18" i="43" s="1"/>
  <c r="G19" i="43" s="1"/>
  <c r="I12" i="43"/>
  <c r="F18" i="43" s="1"/>
  <c r="F19" i="43" s="1"/>
  <c r="G12" i="43"/>
  <c r="E18" i="43" s="1"/>
  <c r="E19" i="43" s="1"/>
  <c r="E12" i="43"/>
  <c r="D18" i="43" s="1"/>
  <c r="D19" i="43" s="1"/>
  <c r="C12" i="43"/>
  <c r="B18" i="43" s="1"/>
  <c r="B19" i="43" s="1"/>
  <c r="X11" i="43"/>
  <c r="V11" i="43"/>
  <c r="T11" i="43"/>
  <c r="R11" i="43"/>
  <c r="P11" i="43"/>
  <c r="N11" i="43"/>
  <c r="L11" i="43"/>
  <c r="J11" i="43"/>
  <c r="H11" i="43"/>
  <c r="F11" i="43"/>
  <c r="D11" i="43"/>
  <c r="X10" i="43"/>
  <c r="V10" i="43"/>
  <c r="T10" i="43"/>
  <c r="R10" i="43"/>
  <c r="P10" i="43"/>
  <c r="N10" i="43"/>
  <c r="L10" i="43"/>
  <c r="J10" i="43"/>
  <c r="H10" i="43"/>
  <c r="F10" i="43"/>
  <c r="D10" i="43"/>
  <c r="X9" i="43"/>
  <c r="V9" i="43"/>
  <c r="T9" i="43"/>
  <c r="R9" i="43"/>
  <c r="P9" i="43"/>
  <c r="N9" i="43"/>
  <c r="L9" i="43"/>
  <c r="J9" i="43"/>
  <c r="H9" i="43"/>
  <c r="F9" i="43"/>
  <c r="D9" i="43"/>
  <c r="X8" i="43"/>
  <c r="V8" i="43"/>
  <c r="T8" i="43"/>
  <c r="R8" i="43"/>
  <c r="P8" i="43"/>
  <c r="N8" i="43"/>
  <c r="L8" i="43"/>
  <c r="J8" i="43"/>
  <c r="H8" i="43"/>
  <c r="F8" i="43"/>
  <c r="D8" i="43"/>
  <c r="X7" i="43"/>
  <c r="V7" i="43"/>
  <c r="T7" i="43"/>
  <c r="R7" i="43"/>
  <c r="P7" i="43"/>
  <c r="N7" i="43"/>
  <c r="L7" i="43"/>
  <c r="J7" i="43"/>
  <c r="H7" i="43"/>
  <c r="F7" i="43"/>
  <c r="D7" i="43"/>
  <c r="X6" i="43"/>
  <c r="V6" i="43"/>
  <c r="V12" i="43" s="1"/>
  <c r="T6" i="43"/>
  <c r="R6" i="43"/>
  <c r="P6" i="43"/>
  <c r="N6" i="43"/>
  <c r="N12" i="43" s="1"/>
  <c r="L6" i="43"/>
  <c r="J6" i="43"/>
  <c r="H6" i="43"/>
  <c r="F6" i="43"/>
  <c r="D6" i="43"/>
  <c r="L12" i="43" l="1"/>
  <c r="T12" i="43"/>
  <c r="F12" i="43"/>
  <c r="Y7" i="43"/>
  <c r="Y11" i="43"/>
  <c r="X12" i="43"/>
  <c r="Y10" i="43"/>
  <c r="H12" i="43"/>
  <c r="P12" i="43"/>
  <c r="R12" i="43"/>
  <c r="J12" i="43"/>
  <c r="Y9" i="43"/>
  <c r="D12" i="43"/>
  <c r="Y8" i="43"/>
  <c r="Y6" i="43"/>
  <c r="Y12" i="43" l="1"/>
  <c r="V16" i="43" s="1"/>
  <c r="V23" i="43" s="1"/>
  <c r="V24" i="42" l="1"/>
  <c r="F22" i="42"/>
  <c r="P19" i="42"/>
  <c r="N19" i="42"/>
  <c r="L19" i="42"/>
  <c r="J19" i="42"/>
  <c r="H19" i="42"/>
  <c r="W12" i="42"/>
  <c r="K18" i="42" s="1"/>
  <c r="K19" i="42" s="1"/>
  <c r="U12" i="42"/>
  <c r="I18" i="42" s="1"/>
  <c r="I19" i="42" s="1"/>
  <c r="S12" i="42"/>
  <c r="Q12" i="42"/>
  <c r="O18" i="42" s="1"/>
  <c r="O19" i="42" s="1"/>
  <c r="O12" i="42"/>
  <c r="M12" i="42"/>
  <c r="M18" i="42" s="1"/>
  <c r="M19" i="42" s="1"/>
  <c r="K12" i="42"/>
  <c r="G18" i="42" s="1"/>
  <c r="G19" i="42" s="1"/>
  <c r="I12" i="42"/>
  <c r="F18" i="42" s="1"/>
  <c r="F19" i="42" s="1"/>
  <c r="G12" i="42"/>
  <c r="E18" i="42" s="1"/>
  <c r="E19" i="42" s="1"/>
  <c r="E12" i="42"/>
  <c r="D18" i="42" s="1"/>
  <c r="D19" i="42" s="1"/>
  <c r="C12" i="42"/>
  <c r="B18" i="42" s="1"/>
  <c r="B19" i="42" s="1"/>
  <c r="X11" i="42"/>
  <c r="V11" i="42"/>
  <c r="T11" i="42"/>
  <c r="R11" i="42"/>
  <c r="P11" i="42"/>
  <c r="N11" i="42"/>
  <c r="L11" i="42"/>
  <c r="J11" i="42"/>
  <c r="H11" i="42"/>
  <c r="F11" i="42"/>
  <c r="D11" i="42"/>
  <c r="X10" i="42"/>
  <c r="V10" i="42"/>
  <c r="T10" i="42"/>
  <c r="R10" i="42"/>
  <c r="P10" i="42"/>
  <c r="N10" i="42"/>
  <c r="L10" i="42"/>
  <c r="J10" i="42"/>
  <c r="H10" i="42"/>
  <c r="F10" i="42"/>
  <c r="D10" i="42"/>
  <c r="X9" i="42"/>
  <c r="V9" i="42"/>
  <c r="T9" i="42"/>
  <c r="R9" i="42"/>
  <c r="P9" i="42"/>
  <c r="N9" i="42"/>
  <c r="L9" i="42"/>
  <c r="J9" i="42"/>
  <c r="H9" i="42"/>
  <c r="F9" i="42"/>
  <c r="D9" i="42"/>
  <c r="X8" i="42"/>
  <c r="V8" i="42"/>
  <c r="T8" i="42"/>
  <c r="R8" i="42"/>
  <c r="P8" i="42"/>
  <c r="N8" i="42"/>
  <c r="L8" i="42"/>
  <c r="J8" i="42"/>
  <c r="H8" i="42"/>
  <c r="F8" i="42"/>
  <c r="D8" i="42"/>
  <c r="X7" i="42"/>
  <c r="V7" i="42"/>
  <c r="T7" i="42"/>
  <c r="R7" i="42"/>
  <c r="P7" i="42"/>
  <c r="N7" i="42"/>
  <c r="L7" i="42"/>
  <c r="J7" i="42"/>
  <c r="H7" i="42"/>
  <c r="F7" i="42"/>
  <c r="D7" i="42"/>
  <c r="X6" i="42"/>
  <c r="V6" i="42"/>
  <c r="T6" i="42"/>
  <c r="R6" i="42"/>
  <c r="P6" i="42"/>
  <c r="N6" i="42"/>
  <c r="L6" i="42"/>
  <c r="J6" i="42"/>
  <c r="H6" i="42"/>
  <c r="F6" i="42"/>
  <c r="D6" i="42"/>
  <c r="V18" i="41"/>
  <c r="V24" i="41"/>
  <c r="F22" i="41"/>
  <c r="P19" i="41"/>
  <c r="N19" i="41"/>
  <c r="L19" i="41"/>
  <c r="J19" i="41"/>
  <c r="H19" i="41"/>
  <c r="W12" i="41"/>
  <c r="K18" i="41" s="1"/>
  <c r="K19" i="41" s="1"/>
  <c r="U12" i="41"/>
  <c r="I18" i="41" s="1"/>
  <c r="I19" i="41" s="1"/>
  <c r="S12" i="41"/>
  <c r="Q12" i="41"/>
  <c r="O18" i="41" s="1"/>
  <c r="O19" i="41" s="1"/>
  <c r="O12" i="41"/>
  <c r="M12" i="41"/>
  <c r="M18" i="41" s="1"/>
  <c r="M19" i="41" s="1"/>
  <c r="K12" i="41"/>
  <c r="G18" i="41" s="1"/>
  <c r="G19" i="41" s="1"/>
  <c r="I12" i="41"/>
  <c r="F18" i="41" s="1"/>
  <c r="F19" i="41" s="1"/>
  <c r="G12" i="41"/>
  <c r="E18" i="41" s="1"/>
  <c r="E19" i="41" s="1"/>
  <c r="E12" i="41"/>
  <c r="D18" i="41" s="1"/>
  <c r="D19" i="41" s="1"/>
  <c r="C12" i="41"/>
  <c r="B18" i="41" s="1"/>
  <c r="B19" i="41" s="1"/>
  <c r="X11" i="41"/>
  <c r="V11" i="41"/>
  <c r="T11" i="41"/>
  <c r="R11" i="41"/>
  <c r="P11" i="41"/>
  <c r="N11" i="41"/>
  <c r="L11" i="41"/>
  <c r="J11" i="41"/>
  <c r="H11" i="41"/>
  <c r="F11" i="41"/>
  <c r="D11" i="41"/>
  <c r="X10" i="41"/>
  <c r="V10" i="41"/>
  <c r="T10" i="41"/>
  <c r="R10" i="41"/>
  <c r="P10" i="41"/>
  <c r="N10" i="41"/>
  <c r="L10" i="41"/>
  <c r="J10" i="41"/>
  <c r="H10" i="41"/>
  <c r="F10" i="41"/>
  <c r="D10" i="41"/>
  <c r="X9" i="41"/>
  <c r="V9" i="41"/>
  <c r="T9" i="41"/>
  <c r="R9" i="41"/>
  <c r="P9" i="41"/>
  <c r="N9" i="41"/>
  <c r="L9" i="41"/>
  <c r="J9" i="41"/>
  <c r="H9" i="41"/>
  <c r="F9" i="41"/>
  <c r="D9" i="41"/>
  <c r="X8" i="41"/>
  <c r="V8" i="41"/>
  <c r="T8" i="41"/>
  <c r="R8" i="41"/>
  <c r="P8" i="41"/>
  <c r="N8" i="41"/>
  <c r="L8" i="41"/>
  <c r="J8" i="41"/>
  <c r="H8" i="41"/>
  <c r="F8" i="41"/>
  <c r="D8" i="41"/>
  <c r="X7" i="41"/>
  <c r="V7" i="41"/>
  <c r="T7" i="41"/>
  <c r="R7" i="41"/>
  <c r="P7" i="41"/>
  <c r="N7" i="41"/>
  <c r="L7" i="41"/>
  <c r="J7" i="41"/>
  <c r="H7" i="41"/>
  <c r="F7" i="41"/>
  <c r="D7" i="41"/>
  <c r="X6" i="41"/>
  <c r="V6" i="41"/>
  <c r="T6" i="41"/>
  <c r="R6" i="41"/>
  <c r="R12" i="41" s="1"/>
  <c r="P6" i="41"/>
  <c r="N6" i="41"/>
  <c r="L6" i="41"/>
  <c r="J6" i="41"/>
  <c r="H6" i="41"/>
  <c r="F6" i="41"/>
  <c r="D6" i="41"/>
  <c r="V18" i="40"/>
  <c r="V24" i="40"/>
  <c r="F22" i="40"/>
  <c r="P19" i="40"/>
  <c r="N19" i="40"/>
  <c r="L19" i="40"/>
  <c r="J19" i="40"/>
  <c r="H19" i="40"/>
  <c r="W12" i="40"/>
  <c r="K18" i="40" s="1"/>
  <c r="K19" i="40" s="1"/>
  <c r="U12" i="40"/>
  <c r="I18" i="40" s="1"/>
  <c r="I19" i="40" s="1"/>
  <c r="S12" i="40"/>
  <c r="Q12" i="40"/>
  <c r="O18" i="40" s="1"/>
  <c r="O19" i="40" s="1"/>
  <c r="O12" i="40"/>
  <c r="M12" i="40"/>
  <c r="M18" i="40" s="1"/>
  <c r="M19" i="40" s="1"/>
  <c r="K12" i="40"/>
  <c r="G18" i="40" s="1"/>
  <c r="G19" i="40" s="1"/>
  <c r="I12" i="40"/>
  <c r="F18" i="40" s="1"/>
  <c r="F19" i="40" s="1"/>
  <c r="G12" i="40"/>
  <c r="E18" i="40" s="1"/>
  <c r="E19" i="40" s="1"/>
  <c r="E12" i="40"/>
  <c r="D18" i="40" s="1"/>
  <c r="D19" i="40" s="1"/>
  <c r="C12" i="40"/>
  <c r="B18" i="40" s="1"/>
  <c r="B19" i="40" s="1"/>
  <c r="X11" i="40"/>
  <c r="V11" i="40"/>
  <c r="T11" i="40"/>
  <c r="R11" i="40"/>
  <c r="P11" i="40"/>
  <c r="N11" i="40"/>
  <c r="L11" i="40"/>
  <c r="J11" i="40"/>
  <c r="H11" i="40"/>
  <c r="F11" i="40"/>
  <c r="D11" i="40"/>
  <c r="X10" i="40"/>
  <c r="V10" i="40"/>
  <c r="T10" i="40"/>
  <c r="R10" i="40"/>
  <c r="P10" i="40"/>
  <c r="N10" i="40"/>
  <c r="L10" i="40"/>
  <c r="J10" i="40"/>
  <c r="H10" i="40"/>
  <c r="F10" i="40"/>
  <c r="D10" i="40"/>
  <c r="X9" i="40"/>
  <c r="V9" i="40"/>
  <c r="T9" i="40"/>
  <c r="R9" i="40"/>
  <c r="P9" i="40"/>
  <c r="N9" i="40"/>
  <c r="L9" i="40"/>
  <c r="J9" i="40"/>
  <c r="H9" i="40"/>
  <c r="F9" i="40"/>
  <c r="D9" i="40"/>
  <c r="X8" i="40"/>
  <c r="V8" i="40"/>
  <c r="T8" i="40"/>
  <c r="R8" i="40"/>
  <c r="P8" i="40"/>
  <c r="N8" i="40"/>
  <c r="L8" i="40"/>
  <c r="J8" i="40"/>
  <c r="H8" i="40"/>
  <c r="F8" i="40"/>
  <c r="D8" i="40"/>
  <c r="X7" i="40"/>
  <c r="V7" i="40"/>
  <c r="T7" i="40"/>
  <c r="R7" i="40"/>
  <c r="P7" i="40"/>
  <c r="N7" i="40"/>
  <c r="L7" i="40"/>
  <c r="J7" i="40"/>
  <c r="H7" i="40"/>
  <c r="F7" i="40"/>
  <c r="D7" i="40"/>
  <c r="X6" i="40"/>
  <c r="X12" i="40" s="1"/>
  <c r="V6" i="40"/>
  <c r="T6" i="40"/>
  <c r="R6" i="40"/>
  <c r="R12" i="40" s="1"/>
  <c r="P6" i="40"/>
  <c r="N6" i="40"/>
  <c r="L6" i="40"/>
  <c r="J6" i="40"/>
  <c r="H6" i="40"/>
  <c r="F6" i="40"/>
  <c r="D6" i="40"/>
  <c r="H12" i="41" l="1"/>
  <c r="P12" i="41"/>
  <c r="F12" i="42"/>
  <c r="N12" i="42"/>
  <c r="V12" i="42"/>
  <c r="H12" i="42"/>
  <c r="Y9" i="42"/>
  <c r="F12" i="40"/>
  <c r="N12" i="40"/>
  <c r="X12" i="41"/>
  <c r="Y11" i="41"/>
  <c r="P12" i="42"/>
  <c r="X12" i="42"/>
  <c r="P12" i="40"/>
  <c r="L12" i="40"/>
  <c r="Y6" i="41"/>
  <c r="L12" i="41"/>
  <c r="Y8" i="42"/>
  <c r="H12" i="40"/>
  <c r="F12" i="41"/>
  <c r="N12" i="41"/>
  <c r="V12" i="41"/>
  <c r="Y9" i="41"/>
  <c r="J12" i="42"/>
  <c r="R12" i="42"/>
  <c r="Y7" i="42"/>
  <c r="V12" i="40"/>
  <c r="Y11" i="40"/>
  <c r="Y8" i="41"/>
  <c r="Y6" i="42"/>
  <c r="L12" i="42"/>
  <c r="Y10" i="42"/>
  <c r="Y11" i="42"/>
  <c r="T12" i="42"/>
  <c r="D12" i="42"/>
  <c r="T12" i="41"/>
  <c r="Y10" i="41"/>
  <c r="Y7" i="41"/>
  <c r="J12" i="41"/>
  <c r="D12" i="41"/>
  <c r="Y8" i="40"/>
  <c r="T12" i="40"/>
  <c r="Y10" i="40"/>
  <c r="Y6" i="40"/>
  <c r="D12" i="40"/>
  <c r="Y9" i="40"/>
  <c r="Y7" i="40"/>
  <c r="J12" i="40"/>
  <c r="Y12" i="42" l="1"/>
  <c r="V16" i="42" s="1"/>
  <c r="V23" i="42" s="1"/>
  <c r="Y12" i="41"/>
  <c r="V16" i="41" s="1"/>
  <c r="V23" i="41" s="1"/>
  <c r="Y12" i="40"/>
  <c r="V16" i="40" s="1"/>
  <c r="V23" i="40" s="1"/>
  <c r="V24" i="39" l="1"/>
  <c r="F22" i="39"/>
  <c r="P19" i="39"/>
  <c r="N19" i="39"/>
  <c r="L19" i="39"/>
  <c r="J19" i="39"/>
  <c r="H19" i="39"/>
  <c r="W12" i="39"/>
  <c r="K18" i="39" s="1"/>
  <c r="K19" i="39" s="1"/>
  <c r="U12" i="39"/>
  <c r="I18" i="39" s="1"/>
  <c r="I19" i="39" s="1"/>
  <c r="S12" i="39"/>
  <c r="Q12" i="39"/>
  <c r="O18" i="39" s="1"/>
  <c r="O19" i="39" s="1"/>
  <c r="O12" i="39"/>
  <c r="M12" i="39"/>
  <c r="M18" i="39" s="1"/>
  <c r="M19" i="39" s="1"/>
  <c r="K12" i="39"/>
  <c r="G18" i="39" s="1"/>
  <c r="G19" i="39" s="1"/>
  <c r="I12" i="39"/>
  <c r="F18" i="39" s="1"/>
  <c r="F19" i="39" s="1"/>
  <c r="G12" i="39"/>
  <c r="E18" i="39" s="1"/>
  <c r="E19" i="39" s="1"/>
  <c r="E12" i="39"/>
  <c r="D18" i="39" s="1"/>
  <c r="D19" i="39" s="1"/>
  <c r="C12" i="39"/>
  <c r="B18" i="39" s="1"/>
  <c r="B19" i="39" s="1"/>
  <c r="X11" i="39"/>
  <c r="V11" i="39"/>
  <c r="T11" i="39"/>
  <c r="R11" i="39"/>
  <c r="P11" i="39"/>
  <c r="N11" i="39"/>
  <c r="L11" i="39"/>
  <c r="J11" i="39"/>
  <c r="H11" i="39"/>
  <c r="F11" i="39"/>
  <c r="D11" i="39"/>
  <c r="X10" i="39"/>
  <c r="V10" i="39"/>
  <c r="T10" i="39"/>
  <c r="R10" i="39"/>
  <c r="P10" i="39"/>
  <c r="N10" i="39"/>
  <c r="L10" i="39"/>
  <c r="J10" i="39"/>
  <c r="H10" i="39"/>
  <c r="F10" i="39"/>
  <c r="D10" i="39"/>
  <c r="X9" i="39"/>
  <c r="V9" i="39"/>
  <c r="T9" i="39"/>
  <c r="R9" i="39"/>
  <c r="P9" i="39"/>
  <c r="N9" i="39"/>
  <c r="L9" i="39"/>
  <c r="J9" i="39"/>
  <c r="H9" i="39"/>
  <c r="F9" i="39"/>
  <c r="D9" i="39"/>
  <c r="X8" i="39"/>
  <c r="V8" i="39"/>
  <c r="T8" i="39"/>
  <c r="R8" i="39"/>
  <c r="P8" i="39"/>
  <c r="N8" i="39"/>
  <c r="L8" i="39"/>
  <c r="J8" i="39"/>
  <c r="H8" i="39"/>
  <c r="F8" i="39"/>
  <c r="D8" i="39"/>
  <c r="X7" i="39"/>
  <c r="V7" i="39"/>
  <c r="T7" i="39"/>
  <c r="R7" i="39"/>
  <c r="P7" i="39"/>
  <c r="N7" i="39"/>
  <c r="L7" i="39"/>
  <c r="J7" i="39"/>
  <c r="H7" i="39"/>
  <c r="F7" i="39"/>
  <c r="D7" i="39"/>
  <c r="X6" i="39"/>
  <c r="V6" i="39"/>
  <c r="T6" i="39"/>
  <c r="R6" i="39"/>
  <c r="P6" i="39"/>
  <c r="N6" i="39"/>
  <c r="L6" i="39"/>
  <c r="L12" i="39" s="1"/>
  <c r="J6" i="39"/>
  <c r="H6" i="39"/>
  <c r="F6" i="39"/>
  <c r="D6" i="39"/>
  <c r="F12" i="39" l="1"/>
  <c r="N12" i="39"/>
  <c r="V12" i="39"/>
  <c r="Y10" i="39"/>
  <c r="P12" i="39"/>
  <c r="X12" i="39"/>
  <c r="R12" i="39"/>
  <c r="Y11" i="39"/>
  <c r="D12" i="39"/>
  <c r="T12" i="39"/>
  <c r="J12" i="39"/>
  <c r="Y8" i="39"/>
  <c r="H12" i="39"/>
  <c r="Y7" i="39"/>
  <c r="Y9" i="39"/>
  <c r="Y6" i="39"/>
  <c r="Y12" i="39" l="1"/>
  <c r="V16" i="39" s="1"/>
  <c r="V23" i="39" s="1"/>
  <c r="V18" i="38" l="1"/>
  <c r="V24" i="38"/>
  <c r="F22" i="38"/>
  <c r="P19" i="38"/>
  <c r="N19" i="38"/>
  <c r="L19" i="38"/>
  <c r="J19" i="38"/>
  <c r="H19" i="38"/>
  <c r="W12" i="38"/>
  <c r="K18" i="38" s="1"/>
  <c r="K19" i="38" s="1"/>
  <c r="U12" i="38"/>
  <c r="I18" i="38" s="1"/>
  <c r="I19" i="38" s="1"/>
  <c r="S12" i="38"/>
  <c r="Q12" i="38"/>
  <c r="O18" i="38" s="1"/>
  <c r="O19" i="38" s="1"/>
  <c r="O12" i="38"/>
  <c r="M12" i="38"/>
  <c r="M18" i="38" s="1"/>
  <c r="M19" i="38" s="1"/>
  <c r="K12" i="38"/>
  <c r="G18" i="38" s="1"/>
  <c r="G19" i="38" s="1"/>
  <c r="I12" i="38"/>
  <c r="F18" i="38" s="1"/>
  <c r="F19" i="38" s="1"/>
  <c r="G12" i="38"/>
  <c r="E18" i="38" s="1"/>
  <c r="E19" i="38" s="1"/>
  <c r="E12" i="38"/>
  <c r="D18" i="38" s="1"/>
  <c r="D19" i="38" s="1"/>
  <c r="C12" i="38"/>
  <c r="B18" i="38" s="1"/>
  <c r="B19" i="38" s="1"/>
  <c r="X11" i="38"/>
  <c r="V11" i="38"/>
  <c r="T11" i="38"/>
  <c r="R11" i="38"/>
  <c r="P11" i="38"/>
  <c r="N11" i="38"/>
  <c r="L11" i="38"/>
  <c r="J11" i="38"/>
  <c r="H11" i="38"/>
  <c r="F11" i="38"/>
  <c r="D11" i="38"/>
  <c r="X10" i="38"/>
  <c r="V10" i="38"/>
  <c r="T10" i="38"/>
  <c r="R10" i="38"/>
  <c r="P10" i="38"/>
  <c r="N10" i="38"/>
  <c r="L10" i="38"/>
  <c r="J10" i="38"/>
  <c r="H10" i="38"/>
  <c r="F10" i="38"/>
  <c r="D10" i="38"/>
  <c r="X9" i="38"/>
  <c r="V9" i="38"/>
  <c r="T9" i="38"/>
  <c r="R9" i="38"/>
  <c r="P9" i="38"/>
  <c r="N9" i="38"/>
  <c r="L9" i="38"/>
  <c r="J9" i="38"/>
  <c r="H9" i="38"/>
  <c r="F9" i="38"/>
  <c r="D9" i="38"/>
  <c r="X8" i="38"/>
  <c r="V8" i="38"/>
  <c r="T8" i="38"/>
  <c r="R8" i="38"/>
  <c r="P8" i="38"/>
  <c r="N8" i="38"/>
  <c r="L8" i="38"/>
  <c r="J8" i="38"/>
  <c r="H8" i="38"/>
  <c r="F8" i="38"/>
  <c r="D8" i="38"/>
  <c r="X7" i="38"/>
  <c r="V7" i="38"/>
  <c r="T7" i="38"/>
  <c r="R7" i="38"/>
  <c r="P7" i="38"/>
  <c r="N7" i="38"/>
  <c r="L7" i="38"/>
  <c r="J7" i="38"/>
  <c r="H7" i="38"/>
  <c r="F7" i="38"/>
  <c r="D7" i="38"/>
  <c r="X6" i="38"/>
  <c r="V6" i="38"/>
  <c r="T6" i="38"/>
  <c r="R6" i="38"/>
  <c r="P6" i="38"/>
  <c r="N6" i="38"/>
  <c r="L6" i="38"/>
  <c r="J6" i="38"/>
  <c r="H6" i="38"/>
  <c r="F6" i="38"/>
  <c r="D6" i="38"/>
  <c r="X12" i="38" l="1"/>
  <c r="P12" i="38"/>
  <c r="Y11" i="38"/>
  <c r="R12" i="38"/>
  <c r="L12" i="38"/>
  <c r="F12" i="38"/>
  <c r="N12" i="38"/>
  <c r="Y10" i="38"/>
  <c r="D12" i="38"/>
  <c r="V12" i="38"/>
  <c r="T12" i="38"/>
  <c r="Y8" i="38"/>
  <c r="Y9" i="38"/>
  <c r="J12" i="38"/>
  <c r="Y7" i="38"/>
  <c r="H12" i="38"/>
  <c r="Y6" i="38"/>
  <c r="V18" i="37"/>
  <c r="V24" i="37"/>
  <c r="F22" i="37"/>
  <c r="P19" i="37"/>
  <c r="N19" i="37"/>
  <c r="L19" i="37"/>
  <c r="J19" i="37"/>
  <c r="H19" i="37"/>
  <c r="W12" i="37"/>
  <c r="K18" i="37" s="1"/>
  <c r="K19" i="37" s="1"/>
  <c r="U12" i="37"/>
  <c r="I18" i="37" s="1"/>
  <c r="I19" i="37" s="1"/>
  <c r="S12" i="37"/>
  <c r="Q12" i="37"/>
  <c r="O18" i="37" s="1"/>
  <c r="O19" i="37" s="1"/>
  <c r="O12" i="37"/>
  <c r="M12" i="37"/>
  <c r="M18" i="37" s="1"/>
  <c r="M19" i="37" s="1"/>
  <c r="K12" i="37"/>
  <c r="G18" i="37" s="1"/>
  <c r="G19" i="37" s="1"/>
  <c r="I12" i="37"/>
  <c r="F18" i="37" s="1"/>
  <c r="F19" i="37" s="1"/>
  <c r="G12" i="37"/>
  <c r="E18" i="37" s="1"/>
  <c r="E19" i="37" s="1"/>
  <c r="E12" i="37"/>
  <c r="D18" i="37" s="1"/>
  <c r="D19" i="37" s="1"/>
  <c r="C12" i="37"/>
  <c r="B18" i="37" s="1"/>
  <c r="B19" i="37" s="1"/>
  <c r="X11" i="37"/>
  <c r="V11" i="37"/>
  <c r="T11" i="37"/>
  <c r="R11" i="37"/>
  <c r="P11" i="37"/>
  <c r="N11" i="37"/>
  <c r="L11" i="37"/>
  <c r="J11" i="37"/>
  <c r="H11" i="37"/>
  <c r="F11" i="37"/>
  <c r="D11" i="37"/>
  <c r="X10" i="37"/>
  <c r="V10" i="37"/>
  <c r="T10" i="37"/>
  <c r="R10" i="37"/>
  <c r="P10" i="37"/>
  <c r="N10" i="37"/>
  <c r="L10" i="37"/>
  <c r="J10" i="37"/>
  <c r="H10" i="37"/>
  <c r="F10" i="37"/>
  <c r="D10" i="37"/>
  <c r="X9" i="37"/>
  <c r="V9" i="37"/>
  <c r="T9" i="37"/>
  <c r="R9" i="37"/>
  <c r="P9" i="37"/>
  <c r="N9" i="37"/>
  <c r="L9" i="37"/>
  <c r="J9" i="37"/>
  <c r="H9" i="37"/>
  <c r="F9" i="37"/>
  <c r="D9" i="37"/>
  <c r="X8" i="37"/>
  <c r="V8" i="37"/>
  <c r="T8" i="37"/>
  <c r="R8" i="37"/>
  <c r="P8" i="37"/>
  <c r="N8" i="37"/>
  <c r="L8" i="37"/>
  <c r="J8" i="37"/>
  <c r="H8" i="37"/>
  <c r="F8" i="37"/>
  <c r="D8" i="37"/>
  <c r="X7" i="37"/>
  <c r="V7" i="37"/>
  <c r="T7" i="37"/>
  <c r="R7" i="37"/>
  <c r="P7" i="37"/>
  <c r="N7" i="37"/>
  <c r="L7" i="37"/>
  <c r="J7" i="37"/>
  <c r="H7" i="37"/>
  <c r="F7" i="37"/>
  <c r="D7" i="37"/>
  <c r="X6" i="37"/>
  <c r="V6" i="37"/>
  <c r="T6" i="37"/>
  <c r="R6" i="37"/>
  <c r="P6" i="37"/>
  <c r="N6" i="37"/>
  <c r="L6" i="37"/>
  <c r="J6" i="37"/>
  <c r="H6" i="37"/>
  <c r="F6" i="37"/>
  <c r="D6" i="37"/>
  <c r="N12" i="37" l="1"/>
  <c r="X12" i="37"/>
  <c r="R12" i="37"/>
  <c r="L12" i="37"/>
  <c r="F12" i="37"/>
  <c r="P12" i="37"/>
  <c r="Y12" i="38"/>
  <c r="V16" i="38" s="1"/>
  <c r="V23" i="38" s="1"/>
  <c r="V12" i="37"/>
  <c r="T12" i="37"/>
  <c r="Y8" i="37"/>
  <c r="Y10" i="37"/>
  <c r="Y11" i="37"/>
  <c r="J12" i="37"/>
  <c r="H12" i="37"/>
  <c r="Y7" i="37"/>
  <c r="D12" i="37"/>
  <c r="Y9" i="37"/>
  <c r="Y6" i="37"/>
  <c r="V18" i="36"/>
  <c r="V24" i="36"/>
  <c r="F22" i="36"/>
  <c r="P19" i="36"/>
  <c r="N19" i="36"/>
  <c r="L19" i="36"/>
  <c r="J19" i="36"/>
  <c r="H19" i="36"/>
  <c r="W12" i="36"/>
  <c r="K18" i="36" s="1"/>
  <c r="K19" i="36" s="1"/>
  <c r="U12" i="36"/>
  <c r="I18" i="36" s="1"/>
  <c r="I19" i="36" s="1"/>
  <c r="S12" i="36"/>
  <c r="Q12" i="36"/>
  <c r="O18" i="36" s="1"/>
  <c r="O19" i="36" s="1"/>
  <c r="O12" i="36"/>
  <c r="M12" i="36"/>
  <c r="M18" i="36" s="1"/>
  <c r="M19" i="36" s="1"/>
  <c r="K12" i="36"/>
  <c r="G18" i="36" s="1"/>
  <c r="G19" i="36" s="1"/>
  <c r="I12" i="36"/>
  <c r="F18" i="36" s="1"/>
  <c r="F19" i="36" s="1"/>
  <c r="G12" i="36"/>
  <c r="E18" i="36" s="1"/>
  <c r="E19" i="36" s="1"/>
  <c r="E12" i="36"/>
  <c r="D18" i="36" s="1"/>
  <c r="D19" i="36" s="1"/>
  <c r="C12" i="36"/>
  <c r="B18" i="36" s="1"/>
  <c r="B19" i="36" s="1"/>
  <c r="X11" i="36"/>
  <c r="V11" i="36"/>
  <c r="T11" i="36"/>
  <c r="R11" i="36"/>
  <c r="P11" i="36"/>
  <c r="N11" i="36"/>
  <c r="L11" i="36"/>
  <c r="J11" i="36"/>
  <c r="H11" i="36"/>
  <c r="F11" i="36"/>
  <c r="D11" i="36"/>
  <c r="X10" i="36"/>
  <c r="V10" i="36"/>
  <c r="T10" i="36"/>
  <c r="R10" i="36"/>
  <c r="P10" i="36"/>
  <c r="N10" i="36"/>
  <c r="L10" i="36"/>
  <c r="J10" i="36"/>
  <c r="H10" i="36"/>
  <c r="F10" i="36"/>
  <c r="D10" i="36"/>
  <c r="X9" i="36"/>
  <c r="V9" i="36"/>
  <c r="T9" i="36"/>
  <c r="R9" i="36"/>
  <c r="P9" i="36"/>
  <c r="N9" i="36"/>
  <c r="L9" i="36"/>
  <c r="J9" i="36"/>
  <c r="H9" i="36"/>
  <c r="F9" i="36"/>
  <c r="D9" i="36"/>
  <c r="X8" i="36"/>
  <c r="V8" i="36"/>
  <c r="T8" i="36"/>
  <c r="R8" i="36"/>
  <c r="P8" i="36"/>
  <c r="N8" i="36"/>
  <c r="L8" i="36"/>
  <c r="J8" i="36"/>
  <c r="H8" i="36"/>
  <c r="F8" i="36"/>
  <c r="D8" i="36"/>
  <c r="X7" i="36"/>
  <c r="V7" i="36"/>
  <c r="T7" i="36"/>
  <c r="R7" i="36"/>
  <c r="P7" i="36"/>
  <c r="N7" i="36"/>
  <c r="L7" i="36"/>
  <c r="J7" i="36"/>
  <c r="H7" i="36"/>
  <c r="F7" i="36"/>
  <c r="D7" i="36"/>
  <c r="X6" i="36"/>
  <c r="V6" i="36"/>
  <c r="V12" i="36" s="1"/>
  <c r="T6" i="36"/>
  <c r="R6" i="36"/>
  <c r="P6" i="36"/>
  <c r="N6" i="36"/>
  <c r="N12" i="36" s="1"/>
  <c r="L6" i="36"/>
  <c r="J6" i="36"/>
  <c r="H6" i="36"/>
  <c r="F6" i="36"/>
  <c r="F12" i="36" s="1"/>
  <c r="D6" i="36"/>
  <c r="L12" i="36" l="1"/>
  <c r="T12" i="36"/>
  <c r="X12" i="36"/>
  <c r="R12" i="36"/>
  <c r="P12" i="36"/>
  <c r="Y11" i="36"/>
  <c r="Y12" i="37"/>
  <c r="V16" i="37" s="1"/>
  <c r="V23" i="37" s="1"/>
  <c r="H12" i="36"/>
  <c r="D12" i="36"/>
  <c r="J12" i="36"/>
  <c r="Y7" i="36"/>
  <c r="Y10" i="36"/>
  <c r="Y9" i="36"/>
  <c r="Y8" i="36"/>
  <c r="Y6" i="36"/>
  <c r="Y12" i="36" l="1"/>
  <c r="V16" i="36" s="1"/>
  <c r="V23" i="36" s="1"/>
  <c r="V18" i="35" l="1"/>
  <c r="V24" i="35" l="1"/>
  <c r="F22" i="35"/>
  <c r="P19" i="35"/>
  <c r="N19" i="35"/>
  <c r="L19" i="35"/>
  <c r="J19" i="35"/>
  <c r="H19" i="35"/>
  <c r="K18" i="35"/>
  <c r="K19" i="35" s="1"/>
  <c r="W12" i="35"/>
  <c r="U12" i="35"/>
  <c r="I18" i="35" s="1"/>
  <c r="I19" i="35" s="1"/>
  <c r="S12" i="35"/>
  <c r="Q12" i="35"/>
  <c r="O18" i="35" s="1"/>
  <c r="O19" i="35" s="1"/>
  <c r="O12" i="35"/>
  <c r="M12" i="35"/>
  <c r="M18" i="35" s="1"/>
  <c r="M19" i="35" s="1"/>
  <c r="K12" i="35"/>
  <c r="G18" i="35" s="1"/>
  <c r="G19" i="35" s="1"/>
  <c r="I12" i="35"/>
  <c r="F18" i="35" s="1"/>
  <c r="F19" i="35" s="1"/>
  <c r="G12" i="35"/>
  <c r="E18" i="35" s="1"/>
  <c r="E19" i="35" s="1"/>
  <c r="E12" i="35"/>
  <c r="D18" i="35" s="1"/>
  <c r="D19" i="35" s="1"/>
  <c r="C12" i="35"/>
  <c r="B18" i="35" s="1"/>
  <c r="B19" i="35" s="1"/>
  <c r="X11" i="35"/>
  <c r="V11" i="35"/>
  <c r="T11" i="35"/>
  <c r="R11" i="35"/>
  <c r="P11" i="35"/>
  <c r="N11" i="35"/>
  <c r="L11" i="35"/>
  <c r="J11" i="35"/>
  <c r="H11" i="35"/>
  <c r="F11" i="35"/>
  <c r="D11" i="35"/>
  <c r="X10" i="35"/>
  <c r="V10" i="35"/>
  <c r="T10" i="35"/>
  <c r="R10" i="35"/>
  <c r="P10" i="35"/>
  <c r="N10" i="35"/>
  <c r="L10" i="35"/>
  <c r="J10" i="35"/>
  <c r="H10" i="35"/>
  <c r="F10" i="35"/>
  <c r="D10" i="35"/>
  <c r="X9" i="35"/>
  <c r="V9" i="35"/>
  <c r="T9" i="35"/>
  <c r="R9" i="35"/>
  <c r="P9" i="35"/>
  <c r="N9" i="35"/>
  <c r="L9" i="35"/>
  <c r="J9" i="35"/>
  <c r="H9" i="35"/>
  <c r="F9" i="35"/>
  <c r="D9" i="35"/>
  <c r="X8" i="35"/>
  <c r="V8" i="35"/>
  <c r="T8" i="35"/>
  <c r="R8" i="35"/>
  <c r="P8" i="35"/>
  <c r="N8" i="35"/>
  <c r="L8" i="35"/>
  <c r="J8" i="35"/>
  <c r="H8" i="35"/>
  <c r="F8" i="35"/>
  <c r="D8" i="35"/>
  <c r="X7" i="35"/>
  <c r="V7" i="35"/>
  <c r="T7" i="35"/>
  <c r="R7" i="35"/>
  <c r="P7" i="35"/>
  <c r="N7" i="35"/>
  <c r="L7" i="35"/>
  <c r="J7" i="35"/>
  <c r="H7" i="35"/>
  <c r="F7" i="35"/>
  <c r="D7" i="35"/>
  <c r="X6" i="35"/>
  <c r="V6" i="35"/>
  <c r="T6" i="35"/>
  <c r="R6" i="35"/>
  <c r="P6" i="35"/>
  <c r="N6" i="35"/>
  <c r="L6" i="35"/>
  <c r="J6" i="35"/>
  <c r="H6" i="35"/>
  <c r="F6" i="35"/>
  <c r="D6" i="35"/>
  <c r="F12" i="35" l="1"/>
  <c r="N12" i="35"/>
  <c r="V12" i="35"/>
  <c r="Y9" i="35"/>
  <c r="H12" i="35"/>
  <c r="X12" i="35"/>
  <c r="P12" i="35"/>
  <c r="R12" i="35"/>
  <c r="Y11" i="35"/>
  <c r="L12" i="35"/>
  <c r="T12" i="35"/>
  <c r="Y8" i="35"/>
  <c r="J12" i="35"/>
  <c r="Y7" i="35"/>
  <c r="Y10" i="35"/>
  <c r="D12" i="35"/>
  <c r="Y6" i="35"/>
  <c r="V18" i="34"/>
  <c r="V24" i="34"/>
  <c r="F22" i="34"/>
  <c r="P19" i="34"/>
  <c r="N19" i="34"/>
  <c r="L19" i="34"/>
  <c r="J19" i="34"/>
  <c r="H19" i="34"/>
  <c r="K18" i="34"/>
  <c r="K19" i="34" s="1"/>
  <c r="W12" i="34"/>
  <c r="U12" i="34"/>
  <c r="I18" i="34" s="1"/>
  <c r="I19" i="34" s="1"/>
  <c r="S12" i="34"/>
  <c r="Q12" i="34"/>
  <c r="O18" i="34" s="1"/>
  <c r="O19" i="34" s="1"/>
  <c r="O12" i="34"/>
  <c r="M12" i="34"/>
  <c r="M18" i="34" s="1"/>
  <c r="M19" i="34" s="1"/>
  <c r="K12" i="34"/>
  <c r="G18" i="34" s="1"/>
  <c r="G19" i="34" s="1"/>
  <c r="I12" i="34"/>
  <c r="F18" i="34" s="1"/>
  <c r="F19" i="34" s="1"/>
  <c r="G12" i="34"/>
  <c r="E18" i="34" s="1"/>
  <c r="E19" i="34" s="1"/>
  <c r="E12" i="34"/>
  <c r="D18" i="34" s="1"/>
  <c r="D19" i="34" s="1"/>
  <c r="C12" i="34"/>
  <c r="B18" i="34" s="1"/>
  <c r="B19" i="34" s="1"/>
  <c r="X11" i="34"/>
  <c r="V11" i="34"/>
  <c r="T11" i="34"/>
  <c r="R11" i="34"/>
  <c r="P11" i="34"/>
  <c r="N11" i="34"/>
  <c r="L11" i="34"/>
  <c r="J11" i="34"/>
  <c r="H11" i="34"/>
  <c r="F11" i="34"/>
  <c r="D11" i="34"/>
  <c r="X10" i="34"/>
  <c r="V10" i="34"/>
  <c r="T10" i="34"/>
  <c r="R10" i="34"/>
  <c r="P10" i="34"/>
  <c r="N10" i="34"/>
  <c r="L10" i="34"/>
  <c r="J10" i="34"/>
  <c r="H10" i="34"/>
  <c r="F10" i="34"/>
  <c r="D10" i="34"/>
  <c r="X9" i="34"/>
  <c r="V9" i="34"/>
  <c r="T9" i="34"/>
  <c r="R9" i="34"/>
  <c r="P9" i="34"/>
  <c r="N9" i="34"/>
  <c r="L9" i="34"/>
  <c r="J9" i="34"/>
  <c r="H9" i="34"/>
  <c r="F9" i="34"/>
  <c r="D9" i="34"/>
  <c r="X8" i="34"/>
  <c r="V8" i="34"/>
  <c r="T8" i="34"/>
  <c r="R8" i="34"/>
  <c r="P8" i="34"/>
  <c r="N8" i="34"/>
  <c r="L8" i="34"/>
  <c r="J8" i="34"/>
  <c r="H8" i="34"/>
  <c r="F8" i="34"/>
  <c r="D8" i="34"/>
  <c r="X7" i="34"/>
  <c r="V7" i="34"/>
  <c r="T7" i="34"/>
  <c r="R7" i="34"/>
  <c r="P7" i="34"/>
  <c r="N7" i="34"/>
  <c r="L7" i="34"/>
  <c r="J7" i="34"/>
  <c r="H7" i="34"/>
  <c r="F7" i="34"/>
  <c r="D7" i="34"/>
  <c r="X6" i="34"/>
  <c r="V6" i="34"/>
  <c r="V12" i="34" s="1"/>
  <c r="T6" i="34"/>
  <c r="R6" i="34"/>
  <c r="P6" i="34"/>
  <c r="N6" i="34"/>
  <c r="N12" i="34" s="1"/>
  <c r="L6" i="34"/>
  <c r="J6" i="34"/>
  <c r="H6" i="34"/>
  <c r="F6" i="34"/>
  <c r="F12" i="34" s="1"/>
  <c r="D6" i="34"/>
  <c r="P12" i="34" l="1"/>
  <c r="X12" i="34"/>
  <c r="R12" i="34"/>
  <c r="L12" i="34"/>
  <c r="Y12" i="35"/>
  <c r="V16" i="35" s="1"/>
  <c r="V23" i="35" s="1"/>
  <c r="Y10" i="34"/>
  <c r="T12" i="34"/>
  <c r="Y9" i="34"/>
  <c r="Y8" i="34"/>
  <c r="J12" i="34"/>
  <c r="Y7" i="34"/>
  <c r="Y11" i="34"/>
  <c r="H12" i="34"/>
  <c r="D12" i="34"/>
  <c r="Y6" i="34"/>
  <c r="Y12" i="34" l="1"/>
  <c r="V16" i="34" s="1"/>
  <c r="V23" i="34" s="1"/>
  <c r="V18" i="33" l="1"/>
  <c r="V24" i="33" l="1"/>
  <c r="F22" i="33"/>
  <c r="P19" i="33"/>
  <c r="N19" i="33"/>
  <c r="L19" i="33"/>
  <c r="J19" i="33"/>
  <c r="H19" i="33"/>
  <c r="D18" i="33"/>
  <c r="D19" i="33" s="1"/>
  <c r="W12" i="33"/>
  <c r="K18" i="33" s="1"/>
  <c r="K19" i="33" s="1"/>
  <c r="U12" i="33"/>
  <c r="I18" i="33" s="1"/>
  <c r="I19" i="33" s="1"/>
  <c r="S12" i="33"/>
  <c r="Q12" i="33"/>
  <c r="O18" i="33" s="1"/>
  <c r="O19" i="33" s="1"/>
  <c r="O12" i="33"/>
  <c r="M12" i="33"/>
  <c r="M18" i="33" s="1"/>
  <c r="M19" i="33" s="1"/>
  <c r="K12" i="33"/>
  <c r="G18" i="33" s="1"/>
  <c r="G19" i="33" s="1"/>
  <c r="I12" i="33"/>
  <c r="F18" i="33" s="1"/>
  <c r="F19" i="33" s="1"/>
  <c r="G12" i="33"/>
  <c r="E18" i="33" s="1"/>
  <c r="E19" i="33" s="1"/>
  <c r="E12" i="33"/>
  <c r="C12" i="33"/>
  <c r="B18" i="33" s="1"/>
  <c r="B19" i="33" s="1"/>
  <c r="X11" i="33"/>
  <c r="V11" i="33"/>
  <c r="T11" i="33"/>
  <c r="R11" i="33"/>
  <c r="P11" i="33"/>
  <c r="N11" i="33"/>
  <c r="L11" i="33"/>
  <c r="J11" i="33"/>
  <c r="H11" i="33"/>
  <c r="F11" i="33"/>
  <c r="D11" i="33"/>
  <c r="X10" i="33"/>
  <c r="V10" i="33"/>
  <c r="T10" i="33"/>
  <c r="R10" i="33"/>
  <c r="P10" i="33"/>
  <c r="N10" i="33"/>
  <c r="L10" i="33"/>
  <c r="J10" i="33"/>
  <c r="H10" i="33"/>
  <c r="F10" i="33"/>
  <c r="D10" i="33"/>
  <c r="X9" i="33"/>
  <c r="V9" i="33"/>
  <c r="T9" i="33"/>
  <c r="R9" i="33"/>
  <c r="P9" i="33"/>
  <c r="N9" i="33"/>
  <c r="L9" i="33"/>
  <c r="J9" i="33"/>
  <c r="H9" i="33"/>
  <c r="F9" i="33"/>
  <c r="D9" i="33"/>
  <c r="X8" i="33"/>
  <c r="V8" i="33"/>
  <c r="T8" i="33"/>
  <c r="R8" i="33"/>
  <c r="P8" i="33"/>
  <c r="N8" i="33"/>
  <c r="L8" i="33"/>
  <c r="J8" i="33"/>
  <c r="H8" i="33"/>
  <c r="F8" i="33"/>
  <c r="D8" i="33"/>
  <c r="X7" i="33"/>
  <c r="V7" i="33"/>
  <c r="T7" i="33"/>
  <c r="R7" i="33"/>
  <c r="P7" i="33"/>
  <c r="N7" i="33"/>
  <c r="L7" i="33"/>
  <c r="J7" i="33"/>
  <c r="H7" i="33"/>
  <c r="F7" i="33"/>
  <c r="D7" i="33"/>
  <c r="X6" i="33"/>
  <c r="V6" i="33"/>
  <c r="T6" i="33"/>
  <c r="R6" i="33"/>
  <c r="P6" i="33"/>
  <c r="N6" i="33"/>
  <c r="L6" i="33"/>
  <c r="J6" i="33"/>
  <c r="H6" i="33"/>
  <c r="F6" i="33"/>
  <c r="D6" i="33"/>
  <c r="P12" i="33" l="1"/>
  <c r="X12" i="33"/>
  <c r="L12" i="33"/>
  <c r="F12" i="33"/>
  <c r="N12" i="33"/>
  <c r="V12" i="33"/>
  <c r="R12" i="33"/>
  <c r="H12" i="33"/>
  <c r="T12" i="33"/>
  <c r="Y11" i="33"/>
  <c r="D12" i="33"/>
  <c r="J12" i="33"/>
  <c r="Y10" i="33"/>
  <c r="Y9" i="33"/>
  <c r="Y8" i="33"/>
  <c r="Y7" i="33"/>
  <c r="Y6" i="33"/>
  <c r="V24" i="32"/>
  <c r="F22" i="32"/>
  <c r="P19" i="32"/>
  <c r="N19" i="32"/>
  <c r="L19" i="32"/>
  <c r="J19" i="32"/>
  <c r="H19" i="32"/>
  <c r="W12" i="32"/>
  <c r="K18" i="32" s="1"/>
  <c r="K19" i="32" s="1"/>
  <c r="U12" i="32"/>
  <c r="I18" i="32" s="1"/>
  <c r="I19" i="32" s="1"/>
  <c r="S12" i="32"/>
  <c r="Q12" i="32"/>
  <c r="O18" i="32" s="1"/>
  <c r="O19" i="32" s="1"/>
  <c r="O12" i="32"/>
  <c r="M12" i="32"/>
  <c r="M18" i="32" s="1"/>
  <c r="M19" i="32" s="1"/>
  <c r="K12" i="32"/>
  <c r="G18" i="32" s="1"/>
  <c r="G19" i="32" s="1"/>
  <c r="I12" i="32"/>
  <c r="F18" i="32" s="1"/>
  <c r="F19" i="32" s="1"/>
  <c r="G12" i="32"/>
  <c r="E18" i="32" s="1"/>
  <c r="E19" i="32" s="1"/>
  <c r="E12" i="32"/>
  <c r="D18" i="32" s="1"/>
  <c r="D19" i="32" s="1"/>
  <c r="C12" i="32"/>
  <c r="B18" i="32" s="1"/>
  <c r="B19" i="32" s="1"/>
  <c r="X11" i="32"/>
  <c r="V11" i="32"/>
  <c r="T11" i="32"/>
  <c r="R11" i="32"/>
  <c r="P11" i="32"/>
  <c r="N11" i="32"/>
  <c r="L11" i="32"/>
  <c r="J11" i="32"/>
  <c r="H11" i="32"/>
  <c r="F11" i="32"/>
  <c r="D11" i="32"/>
  <c r="X10" i="32"/>
  <c r="V10" i="32"/>
  <c r="T10" i="32"/>
  <c r="R10" i="32"/>
  <c r="P10" i="32"/>
  <c r="N10" i="32"/>
  <c r="L10" i="32"/>
  <c r="J10" i="32"/>
  <c r="H10" i="32"/>
  <c r="F10" i="32"/>
  <c r="D10" i="32"/>
  <c r="X9" i="32"/>
  <c r="V9" i="32"/>
  <c r="T9" i="32"/>
  <c r="R9" i="32"/>
  <c r="P9" i="32"/>
  <c r="N9" i="32"/>
  <c r="L9" i="32"/>
  <c r="J9" i="32"/>
  <c r="H9" i="32"/>
  <c r="F9" i="32"/>
  <c r="D9" i="32"/>
  <c r="X8" i="32"/>
  <c r="V8" i="32"/>
  <c r="T8" i="32"/>
  <c r="R8" i="32"/>
  <c r="P8" i="32"/>
  <c r="N8" i="32"/>
  <c r="L8" i="32"/>
  <c r="J8" i="32"/>
  <c r="H8" i="32"/>
  <c r="F8" i="32"/>
  <c r="D8" i="32"/>
  <c r="X7" i="32"/>
  <c r="V7" i="32"/>
  <c r="T7" i="32"/>
  <c r="R7" i="32"/>
  <c r="P7" i="32"/>
  <c r="N7" i="32"/>
  <c r="L7" i="32"/>
  <c r="J7" i="32"/>
  <c r="H7" i="32"/>
  <c r="F7" i="32"/>
  <c r="D7" i="32"/>
  <c r="X6" i="32"/>
  <c r="V6" i="32"/>
  <c r="V12" i="32" s="1"/>
  <c r="T6" i="32"/>
  <c r="R6" i="32"/>
  <c r="P6" i="32"/>
  <c r="N6" i="32"/>
  <c r="L6" i="32"/>
  <c r="J6" i="32"/>
  <c r="H6" i="32"/>
  <c r="F6" i="32"/>
  <c r="F12" i="32" s="1"/>
  <c r="D6" i="32"/>
  <c r="L12" i="32" l="1"/>
  <c r="T12" i="32"/>
  <c r="X12" i="32"/>
  <c r="R12" i="32"/>
  <c r="P12" i="32"/>
  <c r="Y11" i="32"/>
  <c r="Y12" i="33"/>
  <c r="V16" i="33" s="1"/>
  <c r="V23" i="33" s="1"/>
  <c r="H12" i="32"/>
  <c r="D12" i="32"/>
  <c r="J12" i="32"/>
  <c r="Y10" i="32"/>
  <c r="N12" i="32"/>
  <c r="Y9" i="32"/>
  <c r="Y8" i="32"/>
  <c r="Y7" i="32"/>
  <c r="Y6" i="32"/>
  <c r="V18" i="31"/>
  <c r="V24" i="31"/>
  <c r="F22" i="31"/>
  <c r="P19" i="31"/>
  <c r="N19" i="31"/>
  <c r="L19" i="31"/>
  <c r="J19" i="31"/>
  <c r="H19" i="31"/>
  <c r="W12" i="31"/>
  <c r="K18" i="31" s="1"/>
  <c r="K19" i="31" s="1"/>
  <c r="U12" i="31"/>
  <c r="I18" i="31" s="1"/>
  <c r="I19" i="31" s="1"/>
  <c r="S12" i="31"/>
  <c r="Q12" i="31"/>
  <c r="O18" i="31" s="1"/>
  <c r="O19" i="31" s="1"/>
  <c r="O12" i="31"/>
  <c r="M12" i="31"/>
  <c r="M18" i="31" s="1"/>
  <c r="M19" i="31" s="1"/>
  <c r="K12" i="31"/>
  <c r="G18" i="31" s="1"/>
  <c r="G19" i="31" s="1"/>
  <c r="I12" i="31"/>
  <c r="F18" i="31" s="1"/>
  <c r="F19" i="31" s="1"/>
  <c r="G12" i="31"/>
  <c r="E18" i="31" s="1"/>
  <c r="E19" i="31" s="1"/>
  <c r="E12" i="31"/>
  <c r="D18" i="31" s="1"/>
  <c r="D19" i="31" s="1"/>
  <c r="C12" i="31"/>
  <c r="B18" i="31" s="1"/>
  <c r="B19" i="31" s="1"/>
  <c r="X11" i="31"/>
  <c r="V11" i="31"/>
  <c r="T11" i="31"/>
  <c r="R11" i="31"/>
  <c r="P11" i="31"/>
  <c r="N11" i="31"/>
  <c r="L11" i="31"/>
  <c r="J11" i="31"/>
  <c r="H11" i="31"/>
  <c r="F11" i="31"/>
  <c r="D11" i="31"/>
  <c r="X10" i="31"/>
  <c r="V10" i="31"/>
  <c r="T10" i="31"/>
  <c r="R10" i="31"/>
  <c r="P10" i="31"/>
  <c r="N10" i="31"/>
  <c r="L10" i="31"/>
  <c r="J10" i="31"/>
  <c r="H10" i="31"/>
  <c r="F10" i="31"/>
  <c r="D10" i="31"/>
  <c r="X9" i="31"/>
  <c r="V9" i="31"/>
  <c r="T9" i="31"/>
  <c r="R9" i="31"/>
  <c r="P9" i="31"/>
  <c r="N9" i="31"/>
  <c r="L9" i="31"/>
  <c r="J9" i="31"/>
  <c r="H9" i="31"/>
  <c r="F9" i="31"/>
  <c r="D9" i="31"/>
  <c r="X8" i="31"/>
  <c r="V8" i="31"/>
  <c r="T8" i="31"/>
  <c r="R8" i="31"/>
  <c r="P8" i="31"/>
  <c r="N8" i="31"/>
  <c r="L8" i="31"/>
  <c r="J8" i="31"/>
  <c r="H8" i="31"/>
  <c r="F8" i="31"/>
  <c r="D8" i="31"/>
  <c r="X7" i="31"/>
  <c r="V7" i="31"/>
  <c r="T7" i="31"/>
  <c r="R7" i="31"/>
  <c r="P7" i="31"/>
  <c r="N7" i="31"/>
  <c r="L7" i="31"/>
  <c r="J7" i="31"/>
  <c r="H7" i="31"/>
  <c r="F7" i="31"/>
  <c r="D7" i="31"/>
  <c r="X6" i="31"/>
  <c r="V6" i="31"/>
  <c r="T6" i="31"/>
  <c r="R6" i="31"/>
  <c r="P6" i="31"/>
  <c r="N6" i="31"/>
  <c r="L6" i="31"/>
  <c r="L12" i="31" s="1"/>
  <c r="J6" i="31"/>
  <c r="H6" i="31"/>
  <c r="F6" i="31"/>
  <c r="D6" i="31"/>
  <c r="V24" i="30"/>
  <c r="F22" i="30"/>
  <c r="P19" i="30"/>
  <c r="N19" i="30"/>
  <c r="L19" i="30"/>
  <c r="J19" i="30"/>
  <c r="H19" i="30"/>
  <c r="W12" i="30"/>
  <c r="K18" i="30" s="1"/>
  <c r="K19" i="30" s="1"/>
  <c r="U12" i="30"/>
  <c r="I18" i="30" s="1"/>
  <c r="I19" i="30" s="1"/>
  <c r="S12" i="30"/>
  <c r="Q12" i="30"/>
  <c r="O18" i="30" s="1"/>
  <c r="O19" i="30" s="1"/>
  <c r="O12" i="30"/>
  <c r="M12" i="30"/>
  <c r="M18" i="30" s="1"/>
  <c r="M19" i="30" s="1"/>
  <c r="K12" i="30"/>
  <c r="G18" i="30" s="1"/>
  <c r="G19" i="30" s="1"/>
  <c r="I12" i="30"/>
  <c r="F18" i="30" s="1"/>
  <c r="F19" i="30" s="1"/>
  <c r="G12" i="30"/>
  <c r="E18" i="30" s="1"/>
  <c r="E19" i="30" s="1"/>
  <c r="E12" i="30"/>
  <c r="D18" i="30" s="1"/>
  <c r="D19" i="30" s="1"/>
  <c r="C12" i="30"/>
  <c r="B18" i="30" s="1"/>
  <c r="B19" i="30" s="1"/>
  <c r="X11" i="30"/>
  <c r="V11" i="30"/>
  <c r="T11" i="30"/>
  <c r="R11" i="30"/>
  <c r="P11" i="30"/>
  <c r="N11" i="30"/>
  <c r="L11" i="30"/>
  <c r="J11" i="30"/>
  <c r="H11" i="30"/>
  <c r="F11" i="30"/>
  <c r="D11" i="30"/>
  <c r="X10" i="30"/>
  <c r="V10" i="30"/>
  <c r="T10" i="30"/>
  <c r="R10" i="30"/>
  <c r="P10" i="30"/>
  <c r="N10" i="30"/>
  <c r="L10" i="30"/>
  <c r="J10" i="30"/>
  <c r="H10" i="30"/>
  <c r="F10" i="30"/>
  <c r="D10" i="30"/>
  <c r="X9" i="30"/>
  <c r="V9" i="30"/>
  <c r="T9" i="30"/>
  <c r="R9" i="30"/>
  <c r="P9" i="30"/>
  <c r="N9" i="30"/>
  <c r="L9" i="30"/>
  <c r="J9" i="30"/>
  <c r="H9" i="30"/>
  <c r="F9" i="30"/>
  <c r="D9" i="30"/>
  <c r="X8" i="30"/>
  <c r="V8" i="30"/>
  <c r="T8" i="30"/>
  <c r="R8" i="30"/>
  <c r="P8" i="30"/>
  <c r="N8" i="30"/>
  <c r="L8" i="30"/>
  <c r="J8" i="30"/>
  <c r="H8" i="30"/>
  <c r="F8" i="30"/>
  <c r="D8" i="30"/>
  <c r="X7" i="30"/>
  <c r="V7" i="30"/>
  <c r="T7" i="30"/>
  <c r="R7" i="30"/>
  <c r="P7" i="30"/>
  <c r="N7" i="30"/>
  <c r="L7" i="30"/>
  <c r="J7" i="30"/>
  <c r="H7" i="30"/>
  <c r="F7" i="30"/>
  <c r="D7" i="30"/>
  <c r="X6" i="30"/>
  <c r="X12" i="30" s="1"/>
  <c r="V6" i="30"/>
  <c r="T6" i="30"/>
  <c r="T12" i="30" s="1"/>
  <c r="R6" i="30"/>
  <c r="P6" i="30"/>
  <c r="N6" i="30"/>
  <c r="L6" i="30"/>
  <c r="L12" i="30" s="1"/>
  <c r="J6" i="30"/>
  <c r="H6" i="30"/>
  <c r="F6" i="30"/>
  <c r="D6" i="30"/>
  <c r="V18" i="29"/>
  <c r="P12" i="30" l="1"/>
  <c r="P12" i="31"/>
  <c r="N12" i="30"/>
  <c r="H12" i="31"/>
  <c r="X12" i="31"/>
  <c r="Y11" i="30"/>
  <c r="R12" i="31"/>
  <c r="Y11" i="31"/>
  <c r="V12" i="30"/>
  <c r="F12" i="31"/>
  <c r="Y12" i="32"/>
  <c r="V16" i="32" s="1"/>
  <c r="V23" i="32" s="1"/>
  <c r="N12" i="31"/>
  <c r="J12" i="31"/>
  <c r="V12" i="31"/>
  <c r="Y7" i="31"/>
  <c r="T12" i="31"/>
  <c r="Y10" i="31"/>
  <c r="Y9" i="31"/>
  <c r="Y8" i="31"/>
  <c r="D12" i="31"/>
  <c r="Y6" i="31"/>
  <c r="H12" i="30"/>
  <c r="F12" i="30"/>
  <c r="R12" i="30"/>
  <c r="Y9" i="30"/>
  <c r="Y8" i="30"/>
  <c r="J12" i="30"/>
  <c r="Y7" i="30"/>
  <c r="Y10" i="30"/>
  <c r="D12" i="30"/>
  <c r="Y6" i="30"/>
  <c r="Y12" i="31" l="1"/>
  <c r="V16" i="31" s="1"/>
  <c r="V23" i="31" s="1"/>
  <c r="Y12" i="30"/>
  <c r="V16" i="30" s="1"/>
  <c r="V23" i="30" s="1"/>
  <c r="V24" i="29" l="1"/>
  <c r="F22" i="29"/>
  <c r="P19" i="29"/>
  <c r="N19" i="29"/>
  <c r="L19" i="29"/>
  <c r="J19" i="29"/>
  <c r="H19" i="29"/>
  <c r="W12" i="29"/>
  <c r="K18" i="29" s="1"/>
  <c r="K19" i="29" s="1"/>
  <c r="U12" i="29"/>
  <c r="I18" i="29" s="1"/>
  <c r="I19" i="29" s="1"/>
  <c r="S12" i="29"/>
  <c r="Q12" i="29"/>
  <c r="O18" i="29" s="1"/>
  <c r="O19" i="29" s="1"/>
  <c r="O12" i="29"/>
  <c r="M12" i="29"/>
  <c r="M18" i="29" s="1"/>
  <c r="M19" i="29" s="1"/>
  <c r="K12" i="29"/>
  <c r="G18" i="29" s="1"/>
  <c r="G19" i="29" s="1"/>
  <c r="I12" i="29"/>
  <c r="F18" i="29" s="1"/>
  <c r="F19" i="29" s="1"/>
  <c r="G12" i="29"/>
  <c r="E18" i="29" s="1"/>
  <c r="E19" i="29" s="1"/>
  <c r="E12" i="29"/>
  <c r="D18" i="29" s="1"/>
  <c r="D19" i="29" s="1"/>
  <c r="C12" i="29"/>
  <c r="B18" i="29" s="1"/>
  <c r="B19" i="29" s="1"/>
  <c r="X11" i="29"/>
  <c r="V11" i="29"/>
  <c r="T11" i="29"/>
  <c r="R11" i="29"/>
  <c r="P11" i="29"/>
  <c r="N11" i="29"/>
  <c r="L11" i="29"/>
  <c r="J11" i="29"/>
  <c r="H11" i="29"/>
  <c r="F11" i="29"/>
  <c r="D11" i="29"/>
  <c r="X10" i="29"/>
  <c r="V10" i="29"/>
  <c r="T10" i="29"/>
  <c r="R10" i="29"/>
  <c r="P10" i="29"/>
  <c r="N10" i="29"/>
  <c r="L10" i="29"/>
  <c r="J10" i="29"/>
  <c r="H10" i="29"/>
  <c r="F10" i="29"/>
  <c r="D10" i="29"/>
  <c r="X9" i="29"/>
  <c r="V9" i="29"/>
  <c r="T9" i="29"/>
  <c r="R9" i="29"/>
  <c r="P9" i="29"/>
  <c r="N9" i="29"/>
  <c r="L9" i="29"/>
  <c r="J9" i="29"/>
  <c r="H9" i="29"/>
  <c r="F9" i="29"/>
  <c r="D9" i="29"/>
  <c r="X8" i="29"/>
  <c r="V8" i="29"/>
  <c r="T8" i="29"/>
  <c r="R8" i="29"/>
  <c r="P8" i="29"/>
  <c r="N8" i="29"/>
  <c r="L8" i="29"/>
  <c r="J8" i="29"/>
  <c r="H8" i="29"/>
  <c r="F8" i="29"/>
  <c r="D8" i="29"/>
  <c r="X7" i="29"/>
  <c r="V7" i="29"/>
  <c r="T7" i="29"/>
  <c r="R7" i="29"/>
  <c r="P7" i="29"/>
  <c r="N7" i="29"/>
  <c r="L7" i="29"/>
  <c r="J7" i="29"/>
  <c r="H7" i="29"/>
  <c r="F7" i="29"/>
  <c r="D7" i="29"/>
  <c r="X6" i="29"/>
  <c r="X12" i="29" s="1"/>
  <c r="V6" i="29"/>
  <c r="T6" i="29"/>
  <c r="T12" i="29" s="1"/>
  <c r="R6" i="29"/>
  <c r="P6" i="29"/>
  <c r="P12" i="29" s="1"/>
  <c r="N6" i="29"/>
  <c r="L6" i="29"/>
  <c r="J6" i="29"/>
  <c r="H6" i="29"/>
  <c r="F6" i="29"/>
  <c r="D6" i="29"/>
  <c r="L12" i="29" l="1"/>
  <c r="Y11" i="29"/>
  <c r="F12" i="29"/>
  <c r="N12" i="29"/>
  <c r="V12" i="29"/>
  <c r="D12" i="29"/>
  <c r="R12" i="29"/>
  <c r="H12" i="29"/>
  <c r="J12" i="29"/>
  <c r="Y9" i="29"/>
  <c r="Y8" i="29"/>
  <c r="Y7" i="29"/>
  <c r="Y10" i="29"/>
  <c r="Y6" i="29"/>
  <c r="V24" i="28"/>
  <c r="F22" i="28"/>
  <c r="P19" i="28"/>
  <c r="N19" i="28"/>
  <c r="L19" i="28"/>
  <c r="J19" i="28"/>
  <c r="H19" i="28"/>
  <c r="W12" i="28"/>
  <c r="K18" i="28" s="1"/>
  <c r="K19" i="28" s="1"/>
  <c r="U12" i="28"/>
  <c r="I18" i="28" s="1"/>
  <c r="I19" i="28" s="1"/>
  <c r="S12" i="28"/>
  <c r="Q12" i="28"/>
  <c r="O18" i="28" s="1"/>
  <c r="O19" i="28" s="1"/>
  <c r="O12" i="28"/>
  <c r="M12" i="28"/>
  <c r="M18" i="28" s="1"/>
  <c r="M19" i="28" s="1"/>
  <c r="K12" i="28"/>
  <c r="G18" i="28" s="1"/>
  <c r="G19" i="28" s="1"/>
  <c r="I12" i="28"/>
  <c r="F18" i="28" s="1"/>
  <c r="F19" i="28" s="1"/>
  <c r="G12" i="28"/>
  <c r="E18" i="28" s="1"/>
  <c r="E19" i="28" s="1"/>
  <c r="E12" i="28"/>
  <c r="D18" i="28" s="1"/>
  <c r="D19" i="28" s="1"/>
  <c r="C12" i="28"/>
  <c r="B18" i="28" s="1"/>
  <c r="B19" i="28" s="1"/>
  <c r="X11" i="28"/>
  <c r="V11" i="28"/>
  <c r="T11" i="28"/>
  <c r="R11" i="28"/>
  <c r="P11" i="28"/>
  <c r="N11" i="28"/>
  <c r="L11" i="28"/>
  <c r="J11" i="28"/>
  <c r="H11" i="28"/>
  <c r="F11" i="28"/>
  <c r="D11" i="28"/>
  <c r="X10" i="28"/>
  <c r="V10" i="28"/>
  <c r="T10" i="28"/>
  <c r="R10" i="28"/>
  <c r="P10" i="28"/>
  <c r="N10" i="28"/>
  <c r="L10" i="28"/>
  <c r="J10" i="28"/>
  <c r="H10" i="28"/>
  <c r="F10" i="28"/>
  <c r="D10" i="28"/>
  <c r="X9" i="28"/>
  <c r="V9" i="28"/>
  <c r="T9" i="28"/>
  <c r="R9" i="28"/>
  <c r="P9" i="28"/>
  <c r="N9" i="28"/>
  <c r="L9" i="28"/>
  <c r="J9" i="28"/>
  <c r="H9" i="28"/>
  <c r="F9" i="28"/>
  <c r="D9" i="28"/>
  <c r="X8" i="28"/>
  <c r="V8" i="28"/>
  <c r="T8" i="28"/>
  <c r="R8" i="28"/>
  <c r="P8" i="28"/>
  <c r="N8" i="28"/>
  <c r="L8" i="28"/>
  <c r="J8" i="28"/>
  <c r="H8" i="28"/>
  <c r="F8" i="28"/>
  <c r="D8" i="28"/>
  <c r="X7" i="28"/>
  <c r="V7" i="28"/>
  <c r="T7" i="28"/>
  <c r="R7" i="28"/>
  <c r="P7" i="28"/>
  <c r="N7" i="28"/>
  <c r="L7" i="28"/>
  <c r="J7" i="28"/>
  <c r="H7" i="28"/>
  <c r="F7" i="28"/>
  <c r="D7" i="28"/>
  <c r="Y7" i="28" s="1"/>
  <c r="X6" i="28"/>
  <c r="X12" i="28" s="1"/>
  <c r="V6" i="28"/>
  <c r="T6" i="28"/>
  <c r="T12" i="28" s="1"/>
  <c r="R6" i="28"/>
  <c r="R12" i="28" s="1"/>
  <c r="P6" i="28"/>
  <c r="N6" i="28"/>
  <c r="L6" i="28"/>
  <c r="L12" i="28" s="1"/>
  <c r="J6" i="28"/>
  <c r="J12" i="28" s="1"/>
  <c r="H6" i="28"/>
  <c r="H12" i="28" s="1"/>
  <c r="F6" i="28"/>
  <c r="D6" i="28"/>
  <c r="P12" i="28" l="1"/>
  <c r="Y11" i="28"/>
  <c r="Y6" i="28"/>
  <c r="N12" i="28"/>
  <c r="Y9" i="28"/>
  <c r="F12" i="28"/>
  <c r="V12" i="28"/>
  <c r="Y8" i="28"/>
  <c r="Y12" i="29"/>
  <c r="V16" i="29" s="1"/>
  <c r="V23" i="29" s="1"/>
  <c r="Y10" i="28"/>
  <c r="D12" i="28"/>
  <c r="Y12" i="28" l="1"/>
  <c r="V16" i="28" s="1"/>
  <c r="V23" i="28" s="1"/>
  <c r="V24" i="27"/>
  <c r="F22" i="27"/>
  <c r="P19" i="27"/>
  <c r="N19" i="27"/>
  <c r="L19" i="27"/>
  <c r="J19" i="27"/>
  <c r="H19" i="27"/>
  <c r="W12" i="27"/>
  <c r="K18" i="27" s="1"/>
  <c r="K19" i="27" s="1"/>
  <c r="U12" i="27"/>
  <c r="I18" i="27" s="1"/>
  <c r="I19" i="27" s="1"/>
  <c r="S12" i="27"/>
  <c r="Q12" i="27"/>
  <c r="O18" i="27" s="1"/>
  <c r="O19" i="27" s="1"/>
  <c r="O12" i="27"/>
  <c r="M12" i="27"/>
  <c r="M18" i="27" s="1"/>
  <c r="M19" i="27" s="1"/>
  <c r="K12" i="27"/>
  <c r="G18" i="27" s="1"/>
  <c r="G19" i="27" s="1"/>
  <c r="I12" i="27"/>
  <c r="F18" i="27" s="1"/>
  <c r="F19" i="27" s="1"/>
  <c r="G12" i="27"/>
  <c r="E18" i="27" s="1"/>
  <c r="E19" i="27" s="1"/>
  <c r="E12" i="27"/>
  <c r="D18" i="27" s="1"/>
  <c r="D19" i="27" s="1"/>
  <c r="C12" i="27"/>
  <c r="B18" i="27" s="1"/>
  <c r="B19" i="27" s="1"/>
  <c r="X11" i="27"/>
  <c r="V11" i="27"/>
  <c r="T11" i="27"/>
  <c r="R11" i="27"/>
  <c r="P11" i="27"/>
  <c r="N11" i="27"/>
  <c r="L11" i="27"/>
  <c r="J11" i="27"/>
  <c r="H11" i="27"/>
  <c r="F11" i="27"/>
  <c r="D11" i="27"/>
  <c r="X10" i="27"/>
  <c r="V10" i="27"/>
  <c r="T10" i="27"/>
  <c r="R10" i="27"/>
  <c r="P10" i="27"/>
  <c r="N10" i="27"/>
  <c r="L10" i="27"/>
  <c r="J10" i="27"/>
  <c r="H10" i="27"/>
  <c r="F10" i="27"/>
  <c r="D10" i="27"/>
  <c r="X9" i="27"/>
  <c r="V9" i="27"/>
  <c r="T9" i="27"/>
  <c r="R9" i="27"/>
  <c r="P9" i="27"/>
  <c r="N9" i="27"/>
  <c r="L9" i="27"/>
  <c r="J9" i="27"/>
  <c r="H9" i="27"/>
  <c r="F9" i="27"/>
  <c r="D9" i="27"/>
  <c r="X8" i="27"/>
  <c r="V8" i="27"/>
  <c r="T8" i="27"/>
  <c r="R8" i="27"/>
  <c r="P8" i="27"/>
  <c r="N8" i="27"/>
  <c r="L8" i="27"/>
  <c r="J8" i="27"/>
  <c r="H8" i="27"/>
  <c r="F8" i="27"/>
  <c r="D8" i="27"/>
  <c r="X7" i="27"/>
  <c r="V7" i="27"/>
  <c r="T7" i="27"/>
  <c r="R7" i="27"/>
  <c r="P7" i="27"/>
  <c r="N7" i="27"/>
  <c r="L7" i="27"/>
  <c r="J7" i="27"/>
  <c r="H7" i="27"/>
  <c r="F7" i="27"/>
  <c r="D7" i="27"/>
  <c r="X6" i="27"/>
  <c r="X12" i="27" s="1"/>
  <c r="V6" i="27"/>
  <c r="V12" i="27" s="1"/>
  <c r="T6" i="27"/>
  <c r="R6" i="27"/>
  <c r="P6" i="27"/>
  <c r="N6" i="27"/>
  <c r="N12" i="27" s="1"/>
  <c r="L6" i="27"/>
  <c r="J6" i="27"/>
  <c r="H6" i="27"/>
  <c r="F6" i="27"/>
  <c r="F12" i="27" s="1"/>
  <c r="D6" i="27"/>
  <c r="Q12" i="26"/>
  <c r="V24" i="26"/>
  <c r="F22" i="26"/>
  <c r="P19" i="26"/>
  <c r="N19" i="26"/>
  <c r="L19" i="26"/>
  <c r="J19" i="26"/>
  <c r="H19" i="26"/>
  <c r="W12" i="26"/>
  <c r="K18" i="26" s="1"/>
  <c r="K19" i="26" s="1"/>
  <c r="U12" i="26"/>
  <c r="I18" i="26" s="1"/>
  <c r="I19" i="26" s="1"/>
  <c r="S12" i="26"/>
  <c r="O12" i="26"/>
  <c r="M12" i="26"/>
  <c r="M18" i="26" s="1"/>
  <c r="M19" i="26" s="1"/>
  <c r="K12" i="26"/>
  <c r="G18" i="26" s="1"/>
  <c r="G19" i="26" s="1"/>
  <c r="I12" i="26"/>
  <c r="F18" i="26" s="1"/>
  <c r="F19" i="26" s="1"/>
  <c r="G12" i="26"/>
  <c r="E18" i="26" s="1"/>
  <c r="E19" i="26" s="1"/>
  <c r="E12" i="26"/>
  <c r="D18" i="26" s="1"/>
  <c r="D19" i="26" s="1"/>
  <c r="C12" i="26"/>
  <c r="B18" i="26" s="1"/>
  <c r="B19" i="26" s="1"/>
  <c r="X11" i="26"/>
  <c r="V11" i="26"/>
  <c r="T11" i="26"/>
  <c r="R11" i="26"/>
  <c r="P11" i="26"/>
  <c r="N11" i="26"/>
  <c r="L11" i="26"/>
  <c r="J11" i="26"/>
  <c r="H11" i="26"/>
  <c r="F11" i="26"/>
  <c r="D11" i="26"/>
  <c r="X10" i="26"/>
  <c r="V10" i="26"/>
  <c r="T10" i="26"/>
  <c r="R10" i="26"/>
  <c r="P10" i="26"/>
  <c r="N10" i="26"/>
  <c r="L10" i="26"/>
  <c r="J10" i="26"/>
  <c r="H10" i="26"/>
  <c r="F10" i="26"/>
  <c r="D10" i="26"/>
  <c r="X9" i="26"/>
  <c r="V9" i="26"/>
  <c r="T9" i="26"/>
  <c r="R9" i="26"/>
  <c r="P9" i="26"/>
  <c r="N9" i="26"/>
  <c r="L9" i="26"/>
  <c r="J9" i="26"/>
  <c r="H9" i="26"/>
  <c r="F9" i="26"/>
  <c r="D9" i="26"/>
  <c r="X8" i="26"/>
  <c r="V8" i="26"/>
  <c r="T8" i="26"/>
  <c r="R8" i="26"/>
  <c r="P8" i="26"/>
  <c r="N8" i="26"/>
  <c r="L8" i="26"/>
  <c r="J8" i="26"/>
  <c r="H8" i="26"/>
  <c r="F8" i="26"/>
  <c r="D8" i="26"/>
  <c r="X7" i="26"/>
  <c r="V7" i="26"/>
  <c r="T7" i="26"/>
  <c r="R7" i="26"/>
  <c r="P7" i="26"/>
  <c r="N7" i="26"/>
  <c r="L7" i="26"/>
  <c r="J7" i="26"/>
  <c r="H7" i="26"/>
  <c r="F7" i="26"/>
  <c r="D7" i="26"/>
  <c r="X6" i="26"/>
  <c r="X12" i="26" s="1"/>
  <c r="V6" i="26"/>
  <c r="T6" i="26"/>
  <c r="R6" i="26"/>
  <c r="P6" i="26"/>
  <c r="P12" i="26" s="1"/>
  <c r="N6" i="26"/>
  <c r="L6" i="26"/>
  <c r="J6" i="26"/>
  <c r="H6" i="26"/>
  <c r="F6" i="26"/>
  <c r="D6" i="26"/>
  <c r="V18" i="25"/>
  <c r="V24" i="25"/>
  <c r="F22" i="25"/>
  <c r="P19" i="25"/>
  <c r="N19" i="25"/>
  <c r="L19" i="25"/>
  <c r="J19" i="25"/>
  <c r="H19" i="25"/>
  <c r="W12" i="25"/>
  <c r="K18" i="25" s="1"/>
  <c r="K19" i="25" s="1"/>
  <c r="U12" i="25"/>
  <c r="I18" i="25" s="1"/>
  <c r="S12" i="25"/>
  <c r="Q12" i="25"/>
  <c r="O18" i="25" s="1"/>
  <c r="O19" i="25" s="1"/>
  <c r="O12" i="25"/>
  <c r="M12" i="25"/>
  <c r="M18" i="25" s="1"/>
  <c r="M19" i="25" s="1"/>
  <c r="K12" i="25"/>
  <c r="G18" i="25" s="1"/>
  <c r="G19" i="25" s="1"/>
  <c r="I12" i="25"/>
  <c r="F18" i="25" s="1"/>
  <c r="F19" i="25" s="1"/>
  <c r="G12" i="25"/>
  <c r="E18" i="25" s="1"/>
  <c r="E19" i="25" s="1"/>
  <c r="E12" i="25"/>
  <c r="D18" i="25" s="1"/>
  <c r="D19" i="25" s="1"/>
  <c r="C12" i="25"/>
  <c r="B18" i="25" s="1"/>
  <c r="B19" i="25" s="1"/>
  <c r="X11" i="25"/>
  <c r="V11" i="25"/>
  <c r="T11" i="25"/>
  <c r="R11" i="25"/>
  <c r="P11" i="25"/>
  <c r="N11" i="25"/>
  <c r="L11" i="25"/>
  <c r="J11" i="25"/>
  <c r="H11" i="25"/>
  <c r="F11" i="25"/>
  <c r="D11" i="25"/>
  <c r="X10" i="25"/>
  <c r="V10" i="25"/>
  <c r="T10" i="25"/>
  <c r="R10" i="25"/>
  <c r="P10" i="25"/>
  <c r="N10" i="25"/>
  <c r="L10" i="25"/>
  <c r="J10" i="25"/>
  <c r="H10" i="25"/>
  <c r="F10" i="25"/>
  <c r="D10" i="25"/>
  <c r="X9" i="25"/>
  <c r="V9" i="25"/>
  <c r="T9" i="25"/>
  <c r="R9" i="25"/>
  <c r="P9" i="25"/>
  <c r="N9" i="25"/>
  <c r="L9" i="25"/>
  <c r="J9" i="25"/>
  <c r="H9" i="25"/>
  <c r="F9" i="25"/>
  <c r="D9" i="25"/>
  <c r="X8" i="25"/>
  <c r="V8" i="25"/>
  <c r="T8" i="25"/>
  <c r="R8" i="25"/>
  <c r="P8" i="25"/>
  <c r="N8" i="25"/>
  <c r="L8" i="25"/>
  <c r="J8" i="25"/>
  <c r="H8" i="25"/>
  <c r="F8" i="25"/>
  <c r="D8" i="25"/>
  <c r="X7" i="25"/>
  <c r="V7" i="25"/>
  <c r="T7" i="25"/>
  <c r="R7" i="25"/>
  <c r="P7" i="25"/>
  <c r="N7" i="25"/>
  <c r="L7" i="25"/>
  <c r="J7" i="25"/>
  <c r="H7" i="25"/>
  <c r="F7" i="25"/>
  <c r="D7" i="25"/>
  <c r="X6" i="25"/>
  <c r="V6" i="25"/>
  <c r="T6" i="25"/>
  <c r="R6" i="25"/>
  <c r="P6" i="25"/>
  <c r="N6" i="25"/>
  <c r="N12" i="25" s="1"/>
  <c r="L6" i="25"/>
  <c r="J6" i="25"/>
  <c r="H6" i="25"/>
  <c r="F6" i="25"/>
  <c r="F12" i="25" s="1"/>
  <c r="D6" i="25"/>
  <c r="Q12" i="24"/>
  <c r="R7" i="24"/>
  <c r="R8" i="24"/>
  <c r="R9" i="24"/>
  <c r="R10" i="24"/>
  <c r="R11" i="24"/>
  <c r="R6" i="24"/>
  <c r="P19" i="24"/>
  <c r="H12" i="27" l="1"/>
  <c r="P12" i="27"/>
  <c r="P12" i="25"/>
  <c r="R12" i="26"/>
  <c r="Y11" i="26"/>
  <c r="I19" i="25"/>
  <c r="X12" i="25"/>
  <c r="R12" i="24"/>
  <c r="T12" i="26"/>
  <c r="J12" i="27"/>
  <c r="R12" i="27"/>
  <c r="Y11" i="27"/>
  <c r="L12" i="25"/>
  <c r="F12" i="26"/>
  <c r="N12" i="26"/>
  <c r="Y6" i="27"/>
  <c r="L12" i="27"/>
  <c r="Y10" i="27"/>
  <c r="T12" i="27"/>
  <c r="Y9" i="27"/>
  <c r="Y8" i="27"/>
  <c r="Y7" i="27"/>
  <c r="D12" i="27"/>
  <c r="L12" i="26"/>
  <c r="V12" i="26"/>
  <c r="Y9" i="26"/>
  <c r="O18" i="26"/>
  <c r="O19" i="26" s="1"/>
  <c r="Y8" i="26"/>
  <c r="J12" i="26"/>
  <c r="Y10" i="26"/>
  <c r="H12" i="26"/>
  <c r="Y7" i="26"/>
  <c r="D12" i="26"/>
  <c r="Y6" i="26"/>
  <c r="Y8" i="25"/>
  <c r="V12" i="25"/>
  <c r="Y10" i="25"/>
  <c r="T12" i="25"/>
  <c r="Y7" i="25"/>
  <c r="R12" i="25"/>
  <c r="Y11" i="25"/>
  <c r="J12" i="25"/>
  <c r="H12" i="25"/>
  <c r="D12" i="25"/>
  <c r="Y9" i="25"/>
  <c r="Y6" i="25"/>
  <c r="Y12" i="27" l="1"/>
  <c r="V16" i="27" s="1"/>
  <c r="V23" i="27" s="1"/>
  <c r="Y12" i="26"/>
  <c r="V16" i="26" s="1"/>
  <c r="V23" i="26" s="1"/>
  <c r="Y12" i="25"/>
  <c r="V16" i="25" s="1"/>
  <c r="V23" i="25" s="1"/>
  <c r="V18" i="24" l="1"/>
  <c r="T18" i="23" l="1"/>
  <c r="V24" i="24"/>
  <c r="F22" i="24"/>
  <c r="O19" i="24"/>
  <c r="N19" i="24"/>
  <c r="L19" i="24"/>
  <c r="J19" i="24"/>
  <c r="H19" i="24"/>
  <c r="W12" i="24"/>
  <c r="K18" i="24" s="1"/>
  <c r="K19" i="24" s="1"/>
  <c r="U12" i="24"/>
  <c r="I18" i="24" s="1"/>
  <c r="I19" i="24" s="1"/>
  <c r="S12" i="24"/>
  <c r="O12" i="24"/>
  <c r="M12" i="24"/>
  <c r="M18" i="24" s="1"/>
  <c r="M19" i="24" s="1"/>
  <c r="K12" i="24"/>
  <c r="G18" i="24" s="1"/>
  <c r="G19" i="24" s="1"/>
  <c r="I12" i="24"/>
  <c r="F18" i="24" s="1"/>
  <c r="F19" i="24" s="1"/>
  <c r="G12" i="24"/>
  <c r="E18" i="24" s="1"/>
  <c r="E19" i="24" s="1"/>
  <c r="E12" i="24"/>
  <c r="D18" i="24" s="1"/>
  <c r="D19" i="24" s="1"/>
  <c r="C12" i="24"/>
  <c r="B18" i="24" s="1"/>
  <c r="B19" i="24" s="1"/>
  <c r="X11" i="24"/>
  <c r="V11" i="24"/>
  <c r="T11" i="24"/>
  <c r="P11" i="24"/>
  <c r="N11" i="24"/>
  <c r="L11" i="24"/>
  <c r="J11" i="24"/>
  <c r="H11" i="24"/>
  <c r="F11" i="24"/>
  <c r="D11" i="24"/>
  <c r="X10" i="24"/>
  <c r="V10" i="24"/>
  <c r="T10" i="24"/>
  <c r="P10" i="24"/>
  <c r="N10" i="24"/>
  <c r="L10" i="24"/>
  <c r="J10" i="24"/>
  <c r="H10" i="24"/>
  <c r="F10" i="24"/>
  <c r="D10" i="24"/>
  <c r="X9" i="24"/>
  <c r="V9" i="24"/>
  <c r="T9" i="24"/>
  <c r="P9" i="24"/>
  <c r="N9" i="24"/>
  <c r="L9" i="24"/>
  <c r="J9" i="24"/>
  <c r="H9" i="24"/>
  <c r="F9" i="24"/>
  <c r="D9" i="24"/>
  <c r="X8" i="24"/>
  <c r="V8" i="24"/>
  <c r="T8" i="24"/>
  <c r="P8" i="24"/>
  <c r="N8" i="24"/>
  <c r="L8" i="24"/>
  <c r="J8" i="24"/>
  <c r="H8" i="24"/>
  <c r="F8" i="24"/>
  <c r="D8" i="24"/>
  <c r="X7" i="24"/>
  <c r="V7" i="24"/>
  <c r="T7" i="24"/>
  <c r="P7" i="24"/>
  <c r="N7" i="24"/>
  <c r="L7" i="24"/>
  <c r="J7" i="24"/>
  <c r="H7" i="24"/>
  <c r="F7" i="24"/>
  <c r="D7" i="24"/>
  <c r="X6" i="24"/>
  <c r="V6" i="24"/>
  <c r="T6" i="24"/>
  <c r="P6" i="24"/>
  <c r="N6" i="24"/>
  <c r="L6" i="24"/>
  <c r="J6" i="24"/>
  <c r="H6" i="24"/>
  <c r="F6" i="24"/>
  <c r="D6" i="24"/>
  <c r="Y8" i="24" l="1"/>
  <c r="Y6" i="24"/>
  <c r="Y10" i="24"/>
  <c r="Y7" i="24"/>
  <c r="Y9" i="24"/>
  <c r="Y11" i="24"/>
  <c r="F12" i="24"/>
  <c r="N12" i="24"/>
  <c r="X12" i="24"/>
  <c r="P12" i="24"/>
  <c r="L12" i="24"/>
  <c r="V12" i="24"/>
  <c r="T12" i="24"/>
  <c r="J12" i="24"/>
  <c r="H12" i="24"/>
  <c r="D12" i="24"/>
  <c r="Y12" i="24" l="1"/>
  <c r="V16" i="24" s="1"/>
  <c r="V23" i="24" s="1"/>
  <c r="T24" i="23" l="1"/>
  <c r="F22" i="23"/>
  <c r="O19" i="23"/>
  <c r="N19" i="23"/>
  <c r="L19" i="23"/>
  <c r="J19" i="23"/>
  <c r="H19" i="23"/>
  <c r="U12" i="23"/>
  <c r="K18" i="23" s="1"/>
  <c r="K19" i="23" s="1"/>
  <c r="S12" i="23"/>
  <c r="I18" i="23" s="1"/>
  <c r="I19" i="23" s="1"/>
  <c r="Q12" i="23"/>
  <c r="O12" i="23"/>
  <c r="M12" i="23"/>
  <c r="M18" i="23" s="1"/>
  <c r="M19" i="23" s="1"/>
  <c r="K12" i="23"/>
  <c r="G18" i="23" s="1"/>
  <c r="G19" i="23" s="1"/>
  <c r="I12" i="23"/>
  <c r="F18" i="23" s="1"/>
  <c r="F19" i="23" s="1"/>
  <c r="G12" i="23"/>
  <c r="E18" i="23" s="1"/>
  <c r="E19" i="23" s="1"/>
  <c r="E12" i="23"/>
  <c r="D18" i="23" s="1"/>
  <c r="D19" i="23" s="1"/>
  <c r="C12" i="23"/>
  <c r="B18" i="23" s="1"/>
  <c r="B19" i="23" s="1"/>
  <c r="V11" i="23"/>
  <c r="T11" i="23"/>
  <c r="R11" i="23"/>
  <c r="P11" i="23"/>
  <c r="N11" i="23"/>
  <c r="L11" i="23"/>
  <c r="J11" i="23"/>
  <c r="H11" i="23"/>
  <c r="F11" i="23"/>
  <c r="D11" i="23"/>
  <c r="V10" i="23"/>
  <c r="T10" i="23"/>
  <c r="R10" i="23"/>
  <c r="P10" i="23"/>
  <c r="N10" i="23"/>
  <c r="L10" i="23"/>
  <c r="J10" i="23"/>
  <c r="H10" i="23"/>
  <c r="F10" i="23"/>
  <c r="D10" i="23"/>
  <c r="V9" i="23"/>
  <c r="T9" i="23"/>
  <c r="R9" i="23"/>
  <c r="P9" i="23"/>
  <c r="N9" i="23"/>
  <c r="L9" i="23"/>
  <c r="J9" i="23"/>
  <c r="H9" i="23"/>
  <c r="F9" i="23"/>
  <c r="D9" i="23"/>
  <c r="V8" i="23"/>
  <c r="T8" i="23"/>
  <c r="R8" i="23"/>
  <c r="P8" i="23"/>
  <c r="N8" i="23"/>
  <c r="L8" i="23"/>
  <c r="J8" i="23"/>
  <c r="H8" i="23"/>
  <c r="F8" i="23"/>
  <c r="D8" i="23"/>
  <c r="V7" i="23"/>
  <c r="T7" i="23"/>
  <c r="R7" i="23"/>
  <c r="P7" i="23"/>
  <c r="N7" i="23"/>
  <c r="L7" i="23"/>
  <c r="J7" i="23"/>
  <c r="H7" i="23"/>
  <c r="F7" i="23"/>
  <c r="D7" i="23"/>
  <c r="V6" i="23"/>
  <c r="T6" i="23"/>
  <c r="T12" i="23" s="1"/>
  <c r="R6" i="23"/>
  <c r="P6" i="23"/>
  <c r="N6" i="23"/>
  <c r="L6" i="23"/>
  <c r="L12" i="23" s="1"/>
  <c r="J6" i="23"/>
  <c r="H6" i="23"/>
  <c r="F6" i="23"/>
  <c r="F12" i="23" s="1"/>
  <c r="D6" i="23"/>
  <c r="T18" i="22"/>
  <c r="W11" i="23" l="1"/>
  <c r="V12" i="23"/>
  <c r="P12" i="23"/>
  <c r="N12" i="23"/>
  <c r="R12" i="23"/>
  <c r="W8" i="23"/>
  <c r="W9" i="23"/>
  <c r="H12" i="23"/>
  <c r="W10" i="23"/>
  <c r="J12" i="23"/>
  <c r="W7" i="23"/>
  <c r="D12" i="23"/>
  <c r="W6" i="23"/>
  <c r="W12" i="23" l="1"/>
  <c r="T16" i="23" s="1"/>
  <c r="T23" i="23" s="1"/>
  <c r="T24" i="22"/>
  <c r="F22" i="22"/>
  <c r="O19" i="22"/>
  <c r="N19" i="22"/>
  <c r="L19" i="22"/>
  <c r="J19" i="22"/>
  <c r="H19" i="22"/>
  <c r="U12" i="22"/>
  <c r="K18" i="22" s="1"/>
  <c r="K19" i="22" s="1"/>
  <c r="S12" i="22"/>
  <c r="I18" i="22" s="1"/>
  <c r="I19" i="22" s="1"/>
  <c r="Q12" i="22"/>
  <c r="O12" i="22"/>
  <c r="M12" i="22"/>
  <c r="M18" i="22" s="1"/>
  <c r="M19" i="22" s="1"/>
  <c r="K12" i="22"/>
  <c r="G18" i="22" s="1"/>
  <c r="G19" i="22" s="1"/>
  <c r="I12" i="22"/>
  <c r="F18" i="22" s="1"/>
  <c r="F19" i="22" s="1"/>
  <c r="G12" i="22"/>
  <c r="E18" i="22" s="1"/>
  <c r="E19" i="22" s="1"/>
  <c r="E12" i="22"/>
  <c r="D18" i="22" s="1"/>
  <c r="D19" i="22" s="1"/>
  <c r="C12" i="22"/>
  <c r="B18" i="22" s="1"/>
  <c r="B19" i="22" s="1"/>
  <c r="V11" i="22"/>
  <c r="T11" i="22"/>
  <c r="R11" i="22"/>
  <c r="P11" i="22"/>
  <c r="N11" i="22"/>
  <c r="L11" i="22"/>
  <c r="J11" i="22"/>
  <c r="H11" i="22"/>
  <c r="F11" i="22"/>
  <c r="D11" i="22"/>
  <c r="V10" i="22"/>
  <c r="T10" i="22"/>
  <c r="R10" i="22"/>
  <c r="P10" i="22"/>
  <c r="N10" i="22"/>
  <c r="L10" i="22"/>
  <c r="J10" i="22"/>
  <c r="H10" i="22"/>
  <c r="F10" i="22"/>
  <c r="D10" i="22"/>
  <c r="V9" i="22"/>
  <c r="T9" i="22"/>
  <c r="R9" i="22"/>
  <c r="P9" i="22"/>
  <c r="N9" i="22"/>
  <c r="L9" i="22"/>
  <c r="J9" i="22"/>
  <c r="H9" i="22"/>
  <c r="F9" i="22"/>
  <c r="D9" i="22"/>
  <c r="V8" i="22"/>
  <c r="T8" i="22"/>
  <c r="R8" i="22"/>
  <c r="P8" i="22"/>
  <c r="N8" i="22"/>
  <c r="L8" i="22"/>
  <c r="J8" i="22"/>
  <c r="H8" i="22"/>
  <c r="F8" i="22"/>
  <c r="D8" i="22"/>
  <c r="V7" i="22"/>
  <c r="T7" i="22"/>
  <c r="R7" i="22"/>
  <c r="P7" i="22"/>
  <c r="N7" i="22"/>
  <c r="L7" i="22"/>
  <c r="J7" i="22"/>
  <c r="H7" i="22"/>
  <c r="F7" i="22"/>
  <c r="D7" i="22"/>
  <c r="V6" i="22"/>
  <c r="V12" i="22" s="1"/>
  <c r="T6" i="22"/>
  <c r="R6" i="22"/>
  <c r="P6" i="22"/>
  <c r="N6" i="22"/>
  <c r="N12" i="22" s="1"/>
  <c r="L6" i="22"/>
  <c r="L12" i="22" s="1"/>
  <c r="J6" i="22"/>
  <c r="H6" i="22"/>
  <c r="F6" i="22"/>
  <c r="F12" i="22" s="1"/>
  <c r="D6" i="22"/>
  <c r="T18" i="21"/>
  <c r="T24" i="21"/>
  <c r="F22" i="21"/>
  <c r="O19" i="21"/>
  <c r="L19" i="21"/>
  <c r="J19" i="21"/>
  <c r="H19" i="21"/>
  <c r="U12" i="21"/>
  <c r="K18" i="21" s="1"/>
  <c r="K19" i="21" s="1"/>
  <c r="S12" i="21"/>
  <c r="I18" i="21" s="1"/>
  <c r="I19" i="21" s="1"/>
  <c r="Q12" i="21"/>
  <c r="O12" i="21"/>
  <c r="N19" i="21" s="1"/>
  <c r="M12" i="21"/>
  <c r="M18" i="21" s="1"/>
  <c r="M19" i="21" s="1"/>
  <c r="K12" i="21"/>
  <c r="G18" i="21" s="1"/>
  <c r="G19" i="21" s="1"/>
  <c r="I12" i="21"/>
  <c r="F18" i="21" s="1"/>
  <c r="F19" i="21" s="1"/>
  <c r="G12" i="21"/>
  <c r="E18" i="21" s="1"/>
  <c r="E19" i="21" s="1"/>
  <c r="E12" i="21"/>
  <c r="D18" i="21" s="1"/>
  <c r="D19" i="21" s="1"/>
  <c r="C12" i="21"/>
  <c r="B18" i="21" s="1"/>
  <c r="B19" i="21" s="1"/>
  <c r="V11" i="21"/>
  <c r="T11" i="21"/>
  <c r="R11" i="21"/>
  <c r="P11" i="21"/>
  <c r="N11" i="21"/>
  <c r="L11" i="21"/>
  <c r="J11" i="21"/>
  <c r="H11" i="21"/>
  <c r="W11" i="21" s="1"/>
  <c r="F11" i="21"/>
  <c r="D11" i="21"/>
  <c r="V10" i="21"/>
  <c r="T10" i="21"/>
  <c r="R10" i="21"/>
  <c r="P10" i="21"/>
  <c r="N10" i="21"/>
  <c r="L10" i="21"/>
  <c r="J10" i="21"/>
  <c r="H10" i="21"/>
  <c r="F10" i="21"/>
  <c r="D10" i="21"/>
  <c r="V9" i="21"/>
  <c r="T9" i="21"/>
  <c r="R9" i="21"/>
  <c r="P9" i="21"/>
  <c r="N9" i="21"/>
  <c r="L9" i="21"/>
  <c r="J9" i="21"/>
  <c r="H9" i="21"/>
  <c r="F9" i="21"/>
  <c r="D9" i="21"/>
  <c r="V8" i="21"/>
  <c r="T8" i="21"/>
  <c r="R8" i="21"/>
  <c r="P8" i="21"/>
  <c r="N8" i="21"/>
  <c r="L8" i="21"/>
  <c r="J8" i="21"/>
  <c r="H8" i="21"/>
  <c r="F8" i="21"/>
  <c r="D8" i="21"/>
  <c r="V7" i="21"/>
  <c r="T7" i="21"/>
  <c r="R7" i="21"/>
  <c r="P7" i="21"/>
  <c r="N7" i="21"/>
  <c r="L7" i="21"/>
  <c r="J7" i="21"/>
  <c r="H7" i="21"/>
  <c r="F7" i="21"/>
  <c r="D7" i="21"/>
  <c r="V6" i="21"/>
  <c r="V12" i="21" s="1"/>
  <c r="T6" i="21"/>
  <c r="R6" i="21"/>
  <c r="P6" i="21"/>
  <c r="N6" i="21"/>
  <c r="N12" i="21" s="1"/>
  <c r="L6" i="21"/>
  <c r="J6" i="21"/>
  <c r="H6" i="21"/>
  <c r="F6" i="21"/>
  <c r="F12" i="21" s="1"/>
  <c r="D6" i="21"/>
  <c r="T18" i="20"/>
  <c r="H12" i="21" l="1"/>
  <c r="L12" i="21"/>
  <c r="J12" i="22"/>
  <c r="P12" i="21"/>
  <c r="W7" i="22"/>
  <c r="P12" i="22"/>
  <c r="H12" i="22"/>
  <c r="W10" i="22"/>
  <c r="D12" i="22"/>
  <c r="T12" i="22"/>
  <c r="R12" i="22"/>
  <c r="W11" i="22"/>
  <c r="W9" i="22"/>
  <c r="W8" i="22"/>
  <c r="W6" i="22"/>
  <c r="R12" i="21"/>
  <c r="W10" i="21"/>
  <c r="T12" i="21"/>
  <c r="W8" i="21"/>
  <c r="W9" i="21"/>
  <c r="J12" i="21"/>
  <c r="D12" i="21"/>
  <c r="W7" i="21"/>
  <c r="W6" i="21"/>
  <c r="T24" i="20"/>
  <c r="F22" i="20"/>
  <c r="O19" i="20"/>
  <c r="L19" i="20"/>
  <c r="J19" i="20"/>
  <c r="H19" i="20"/>
  <c r="G18" i="20"/>
  <c r="G19" i="20" s="1"/>
  <c r="U12" i="20"/>
  <c r="K18" i="20" s="1"/>
  <c r="K19" i="20" s="1"/>
  <c r="S12" i="20"/>
  <c r="I18" i="20" s="1"/>
  <c r="I19" i="20" s="1"/>
  <c r="Q12" i="20"/>
  <c r="O12" i="20"/>
  <c r="N18" i="20" s="1"/>
  <c r="N19" i="20" s="1"/>
  <c r="M12" i="20"/>
  <c r="M18" i="20" s="1"/>
  <c r="M19" i="20" s="1"/>
  <c r="K12" i="20"/>
  <c r="I12" i="20"/>
  <c r="F18" i="20" s="1"/>
  <c r="F19" i="20" s="1"/>
  <c r="G12" i="20"/>
  <c r="E18" i="20" s="1"/>
  <c r="E19" i="20" s="1"/>
  <c r="E12" i="20"/>
  <c r="D18" i="20" s="1"/>
  <c r="D19" i="20" s="1"/>
  <c r="C12" i="20"/>
  <c r="B18" i="20" s="1"/>
  <c r="B19" i="20" s="1"/>
  <c r="V11" i="20"/>
  <c r="T11" i="20"/>
  <c r="R11" i="20"/>
  <c r="P11" i="20"/>
  <c r="N11" i="20"/>
  <c r="L11" i="20"/>
  <c r="J11" i="20"/>
  <c r="H11" i="20"/>
  <c r="F11" i="20"/>
  <c r="D11" i="20"/>
  <c r="V10" i="20"/>
  <c r="T10" i="20"/>
  <c r="R10" i="20"/>
  <c r="P10" i="20"/>
  <c r="N10" i="20"/>
  <c r="L10" i="20"/>
  <c r="J10" i="20"/>
  <c r="H10" i="20"/>
  <c r="F10" i="20"/>
  <c r="D10" i="20"/>
  <c r="V9" i="20"/>
  <c r="T9" i="20"/>
  <c r="R9" i="20"/>
  <c r="P9" i="20"/>
  <c r="N9" i="20"/>
  <c r="L9" i="20"/>
  <c r="J9" i="20"/>
  <c r="H9" i="20"/>
  <c r="F9" i="20"/>
  <c r="D9" i="20"/>
  <c r="V8" i="20"/>
  <c r="T8" i="20"/>
  <c r="R8" i="20"/>
  <c r="P8" i="20"/>
  <c r="N8" i="20"/>
  <c r="L8" i="20"/>
  <c r="J8" i="20"/>
  <c r="H8" i="20"/>
  <c r="F8" i="20"/>
  <c r="D8" i="20"/>
  <c r="V7" i="20"/>
  <c r="T7" i="20"/>
  <c r="R7" i="20"/>
  <c r="P7" i="20"/>
  <c r="N7" i="20"/>
  <c r="L7" i="20"/>
  <c r="J7" i="20"/>
  <c r="H7" i="20"/>
  <c r="F7" i="20"/>
  <c r="D7" i="20"/>
  <c r="V6" i="20"/>
  <c r="T6" i="20"/>
  <c r="R6" i="20"/>
  <c r="P6" i="20"/>
  <c r="N6" i="20"/>
  <c r="L6" i="20"/>
  <c r="J6" i="20"/>
  <c r="H6" i="20"/>
  <c r="F6" i="20"/>
  <c r="F12" i="20" s="1"/>
  <c r="D6" i="20"/>
  <c r="L12" i="20" l="1"/>
  <c r="W11" i="20"/>
  <c r="P12" i="20"/>
  <c r="W10" i="20"/>
  <c r="N12" i="20"/>
  <c r="V12" i="20"/>
  <c r="W12" i="22"/>
  <c r="T16" i="22" s="1"/>
  <c r="T23" i="22" s="1"/>
  <c r="W12" i="21"/>
  <c r="T16" i="21" s="1"/>
  <c r="T23" i="21" s="1"/>
  <c r="J12" i="20"/>
  <c r="T12" i="20"/>
  <c r="W7" i="20"/>
  <c r="R12" i="20"/>
  <c r="W6" i="20"/>
  <c r="H12" i="20"/>
  <c r="W8" i="20"/>
  <c r="W9" i="20"/>
  <c r="D12" i="20"/>
  <c r="T18" i="19"/>
  <c r="O19" i="19"/>
  <c r="T24" i="19"/>
  <c r="F22" i="19"/>
  <c r="L19" i="19"/>
  <c r="J19" i="19"/>
  <c r="H19" i="19"/>
  <c r="U12" i="19"/>
  <c r="K18" i="19" s="1"/>
  <c r="K19" i="19" s="1"/>
  <c r="S12" i="19"/>
  <c r="I18" i="19" s="1"/>
  <c r="I19" i="19" s="1"/>
  <c r="Q12" i="19"/>
  <c r="O12" i="19"/>
  <c r="N18" i="19" s="1"/>
  <c r="N19" i="19" s="1"/>
  <c r="M12" i="19"/>
  <c r="M18" i="19" s="1"/>
  <c r="M19" i="19" s="1"/>
  <c r="K12" i="19"/>
  <c r="G18" i="19" s="1"/>
  <c r="G19" i="19" s="1"/>
  <c r="I12" i="19"/>
  <c r="F18" i="19" s="1"/>
  <c r="F19" i="19" s="1"/>
  <c r="G12" i="19"/>
  <c r="E18" i="19" s="1"/>
  <c r="E19" i="19" s="1"/>
  <c r="E12" i="19"/>
  <c r="D18" i="19" s="1"/>
  <c r="D19" i="19" s="1"/>
  <c r="C12" i="19"/>
  <c r="B18" i="19" s="1"/>
  <c r="B19" i="19" s="1"/>
  <c r="V11" i="19"/>
  <c r="T11" i="19"/>
  <c r="R11" i="19"/>
  <c r="P11" i="19"/>
  <c r="N11" i="19"/>
  <c r="L11" i="19"/>
  <c r="J11" i="19"/>
  <c r="H11" i="19"/>
  <c r="F11" i="19"/>
  <c r="D11" i="19"/>
  <c r="V10" i="19"/>
  <c r="T10" i="19"/>
  <c r="R10" i="19"/>
  <c r="P10" i="19"/>
  <c r="N10" i="19"/>
  <c r="L10" i="19"/>
  <c r="J10" i="19"/>
  <c r="H10" i="19"/>
  <c r="F10" i="19"/>
  <c r="D10" i="19"/>
  <c r="V9" i="19"/>
  <c r="T9" i="19"/>
  <c r="R9" i="19"/>
  <c r="P9" i="19"/>
  <c r="N9" i="19"/>
  <c r="L9" i="19"/>
  <c r="J9" i="19"/>
  <c r="H9" i="19"/>
  <c r="F9" i="19"/>
  <c r="D9" i="19"/>
  <c r="V8" i="19"/>
  <c r="T8" i="19"/>
  <c r="R8" i="19"/>
  <c r="P8" i="19"/>
  <c r="N8" i="19"/>
  <c r="L8" i="19"/>
  <c r="J8" i="19"/>
  <c r="H8" i="19"/>
  <c r="F8" i="19"/>
  <c r="D8" i="19"/>
  <c r="V7" i="19"/>
  <c r="T7" i="19"/>
  <c r="R7" i="19"/>
  <c r="P7" i="19"/>
  <c r="N7" i="19"/>
  <c r="L7" i="19"/>
  <c r="J7" i="19"/>
  <c r="H7" i="19"/>
  <c r="F7" i="19"/>
  <c r="D7" i="19"/>
  <c r="V6" i="19"/>
  <c r="V12" i="19" s="1"/>
  <c r="T6" i="19"/>
  <c r="R6" i="19"/>
  <c r="P6" i="19"/>
  <c r="N6" i="19"/>
  <c r="N12" i="19" s="1"/>
  <c r="L6" i="19"/>
  <c r="J6" i="19"/>
  <c r="H6" i="19"/>
  <c r="F6" i="19"/>
  <c r="F12" i="19" s="1"/>
  <c r="D6" i="19"/>
  <c r="L12" i="19" l="1"/>
  <c r="J12" i="19"/>
  <c r="P12" i="19"/>
  <c r="W10" i="19"/>
  <c r="W12" i="20"/>
  <c r="T16" i="20" s="1"/>
  <c r="T23" i="20" s="1"/>
  <c r="W9" i="19"/>
  <c r="T12" i="19"/>
  <c r="W6" i="19"/>
  <c r="W11" i="19"/>
  <c r="R12" i="19"/>
  <c r="W8" i="19"/>
  <c r="D12" i="19"/>
  <c r="H12" i="19"/>
  <c r="W7" i="19"/>
  <c r="W12" i="19" l="1"/>
  <c r="T16" i="19" s="1"/>
  <c r="T23" i="19" s="1"/>
  <c r="T18" i="18" l="1"/>
  <c r="T24" i="18" l="1"/>
  <c r="F22" i="18"/>
  <c r="L19" i="18"/>
  <c r="J19" i="18"/>
  <c r="H19" i="18"/>
  <c r="U12" i="18"/>
  <c r="K18" i="18" s="1"/>
  <c r="K19" i="18" s="1"/>
  <c r="S12" i="18"/>
  <c r="I18" i="18" s="1"/>
  <c r="I19" i="18" s="1"/>
  <c r="Q12" i="18"/>
  <c r="O12" i="18"/>
  <c r="N18" i="18" s="1"/>
  <c r="N19" i="18" s="1"/>
  <c r="M12" i="18"/>
  <c r="M18" i="18" s="1"/>
  <c r="M19" i="18" s="1"/>
  <c r="K12" i="18"/>
  <c r="G18" i="18" s="1"/>
  <c r="G19" i="18" s="1"/>
  <c r="I12" i="18"/>
  <c r="F18" i="18" s="1"/>
  <c r="F19" i="18" s="1"/>
  <c r="G12" i="18"/>
  <c r="E18" i="18" s="1"/>
  <c r="E19" i="18" s="1"/>
  <c r="E12" i="18"/>
  <c r="D18" i="18" s="1"/>
  <c r="D19" i="18" s="1"/>
  <c r="C12" i="18"/>
  <c r="B18" i="18" s="1"/>
  <c r="B19" i="18" s="1"/>
  <c r="V11" i="18"/>
  <c r="T11" i="18"/>
  <c r="R11" i="18"/>
  <c r="P11" i="18"/>
  <c r="N11" i="18"/>
  <c r="L11" i="18"/>
  <c r="J11" i="18"/>
  <c r="H11" i="18"/>
  <c r="F11" i="18"/>
  <c r="D11" i="18"/>
  <c r="V10" i="18"/>
  <c r="T10" i="18"/>
  <c r="R10" i="18"/>
  <c r="P10" i="18"/>
  <c r="N10" i="18"/>
  <c r="L10" i="18"/>
  <c r="J10" i="18"/>
  <c r="H10" i="18"/>
  <c r="F10" i="18"/>
  <c r="D10" i="18"/>
  <c r="V9" i="18"/>
  <c r="T9" i="18"/>
  <c r="R9" i="18"/>
  <c r="P9" i="18"/>
  <c r="N9" i="18"/>
  <c r="L9" i="18"/>
  <c r="J9" i="18"/>
  <c r="H9" i="18"/>
  <c r="F9" i="18"/>
  <c r="D9" i="18"/>
  <c r="V8" i="18"/>
  <c r="T8" i="18"/>
  <c r="R8" i="18"/>
  <c r="P8" i="18"/>
  <c r="N8" i="18"/>
  <c r="L8" i="18"/>
  <c r="J8" i="18"/>
  <c r="H8" i="18"/>
  <c r="F8" i="18"/>
  <c r="D8" i="18"/>
  <c r="V7" i="18"/>
  <c r="T7" i="18"/>
  <c r="R7" i="18"/>
  <c r="P7" i="18"/>
  <c r="N7" i="18"/>
  <c r="L7" i="18"/>
  <c r="J7" i="18"/>
  <c r="H7" i="18"/>
  <c r="F7" i="18"/>
  <c r="D7" i="18"/>
  <c r="V6" i="18"/>
  <c r="V12" i="18" s="1"/>
  <c r="T6" i="18"/>
  <c r="R6" i="18"/>
  <c r="R12" i="18" s="1"/>
  <c r="P6" i="18"/>
  <c r="N6" i="18"/>
  <c r="N12" i="18" s="1"/>
  <c r="L6" i="18"/>
  <c r="J6" i="18"/>
  <c r="H6" i="18"/>
  <c r="H12" i="18" s="1"/>
  <c r="F6" i="18"/>
  <c r="F12" i="18" s="1"/>
  <c r="D6" i="18"/>
  <c r="W6" i="18" l="1"/>
  <c r="W10" i="18"/>
  <c r="P12" i="18"/>
  <c r="L12" i="18"/>
  <c r="T12" i="18"/>
  <c r="W9" i="18"/>
  <c r="W11" i="18"/>
  <c r="W8" i="18"/>
  <c r="J12" i="18"/>
  <c r="D12" i="18"/>
  <c r="W7" i="18"/>
  <c r="T18" i="17"/>
  <c r="W12" i="18" l="1"/>
  <c r="T16" i="18" s="1"/>
  <c r="T23" i="18" s="1"/>
  <c r="T24" i="17"/>
  <c r="F22" i="17"/>
  <c r="L19" i="17"/>
  <c r="J19" i="17"/>
  <c r="H19" i="17"/>
  <c r="U12" i="17"/>
  <c r="K18" i="17" s="1"/>
  <c r="K19" i="17" s="1"/>
  <c r="S12" i="17"/>
  <c r="I18" i="17" s="1"/>
  <c r="I19" i="17" s="1"/>
  <c r="Q12" i="17"/>
  <c r="O12" i="17"/>
  <c r="N18" i="17" s="1"/>
  <c r="N19" i="17" s="1"/>
  <c r="M12" i="17"/>
  <c r="M18" i="17" s="1"/>
  <c r="M19" i="17" s="1"/>
  <c r="K12" i="17"/>
  <c r="G18" i="17" s="1"/>
  <c r="G19" i="17" s="1"/>
  <c r="I12" i="17"/>
  <c r="F18" i="17" s="1"/>
  <c r="F19" i="17" s="1"/>
  <c r="G12" i="17"/>
  <c r="E18" i="17" s="1"/>
  <c r="E19" i="17" s="1"/>
  <c r="E12" i="17"/>
  <c r="D18" i="17" s="1"/>
  <c r="D19" i="17" s="1"/>
  <c r="C12" i="17"/>
  <c r="B18" i="17" s="1"/>
  <c r="B19" i="17" s="1"/>
  <c r="V11" i="17"/>
  <c r="T11" i="17"/>
  <c r="R11" i="17"/>
  <c r="P11" i="17"/>
  <c r="N11" i="17"/>
  <c r="L11" i="17"/>
  <c r="J11" i="17"/>
  <c r="H11" i="17"/>
  <c r="F11" i="17"/>
  <c r="D11" i="17"/>
  <c r="V10" i="17"/>
  <c r="T10" i="17"/>
  <c r="R10" i="17"/>
  <c r="P10" i="17"/>
  <c r="N10" i="17"/>
  <c r="L10" i="17"/>
  <c r="J10" i="17"/>
  <c r="H10" i="17"/>
  <c r="F10" i="17"/>
  <c r="D10" i="17"/>
  <c r="V9" i="17"/>
  <c r="T9" i="17"/>
  <c r="R9" i="17"/>
  <c r="P9" i="17"/>
  <c r="N9" i="17"/>
  <c r="L9" i="17"/>
  <c r="J9" i="17"/>
  <c r="H9" i="17"/>
  <c r="F9" i="17"/>
  <c r="D9" i="17"/>
  <c r="V8" i="17"/>
  <c r="T8" i="17"/>
  <c r="R8" i="17"/>
  <c r="P8" i="17"/>
  <c r="N8" i="17"/>
  <c r="L8" i="17"/>
  <c r="J8" i="17"/>
  <c r="H8" i="17"/>
  <c r="F8" i="17"/>
  <c r="D8" i="17"/>
  <c r="V7" i="17"/>
  <c r="T7" i="17"/>
  <c r="R7" i="17"/>
  <c r="P7" i="17"/>
  <c r="N7" i="17"/>
  <c r="L7" i="17"/>
  <c r="J7" i="17"/>
  <c r="H7" i="17"/>
  <c r="F7" i="17"/>
  <c r="D7" i="17"/>
  <c r="V6" i="17"/>
  <c r="T6" i="17"/>
  <c r="T12" i="17" s="1"/>
  <c r="R6" i="17"/>
  <c r="R12" i="17" s="1"/>
  <c r="P6" i="17"/>
  <c r="P12" i="17" s="1"/>
  <c r="N6" i="17"/>
  <c r="L6" i="17"/>
  <c r="L12" i="17" s="1"/>
  <c r="J6" i="17"/>
  <c r="J12" i="17" s="1"/>
  <c r="H6" i="17"/>
  <c r="H12" i="17" s="1"/>
  <c r="F6" i="17"/>
  <c r="F12" i="17" s="1"/>
  <c r="D6" i="17"/>
  <c r="W8" i="17" l="1"/>
  <c r="W10" i="17"/>
  <c r="N12" i="17"/>
  <c r="V12" i="17"/>
  <c r="W7" i="17"/>
  <c r="W11" i="17"/>
  <c r="D12" i="17"/>
  <c r="W9" i="17"/>
  <c r="W6" i="17"/>
  <c r="T18" i="16"/>
  <c r="T24" i="16"/>
  <c r="F22" i="16"/>
  <c r="L19" i="16"/>
  <c r="J19" i="16"/>
  <c r="H19" i="16"/>
  <c r="U12" i="16"/>
  <c r="K18" i="16" s="1"/>
  <c r="K19" i="16" s="1"/>
  <c r="S12" i="16"/>
  <c r="I18" i="16" s="1"/>
  <c r="I19" i="16" s="1"/>
  <c r="Q12" i="16"/>
  <c r="O12" i="16"/>
  <c r="N18" i="16" s="1"/>
  <c r="N19" i="16" s="1"/>
  <c r="M12" i="16"/>
  <c r="M18" i="16" s="1"/>
  <c r="M19" i="16" s="1"/>
  <c r="K12" i="16"/>
  <c r="G18" i="16" s="1"/>
  <c r="G19" i="16" s="1"/>
  <c r="I12" i="16"/>
  <c r="F18" i="16" s="1"/>
  <c r="F19" i="16" s="1"/>
  <c r="G12" i="16"/>
  <c r="E18" i="16" s="1"/>
  <c r="E19" i="16" s="1"/>
  <c r="E12" i="16"/>
  <c r="D18" i="16" s="1"/>
  <c r="D19" i="16" s="1"/>
  <c r="C12" i="16"/>
  <c r="B18" i="16" s="1"/>
  <c r="B19" i="16" s="1"/>
  <c r="V11" i="16"/>
  <c r="T11" i="16"/>
  <c r="R11" i="16"/>
  <c r="P11" i="16"/>
  <c r="N11" i="16"/>
  <c r="L11" i="16"/>
  <c r="J11" i="16"/>
  <c r="H11" i="16"/>
  <c r="F11" i="16"/>
  <c r="D11" i="16"/>
  <c r="V10" i="16"/>
  <c r="T10" i="16"/>
  <c r="R10" i="16"/>
  <c r="P10" i="16"/>
  <c r="N10" i="16"/>
  <c r="L10" i="16"/>
  <c r="J10" i="16"/>
  <c r="H10" i="16"/>
  <c r="F10" i="16"/>
  <c r="D10" i="16"/>
  <c r="V9" i="16"/>
  <c r="T9" i="16"/>
  <c r="R9" i="16"/>
  <c r="P9" i="16"/>
  <c r="N9" i="16"/>
  <c r="L9" i="16"/>
  <c r="J9" i="16"/>
  <c r="H9" i="16"/>
  <c r="F9" i="16"/>
  <c r="D9" i="16"/>
  <c r="V8" i="16"/>
  <c r="T8" i="16"/>
  <c r="R8" i="16"/>
  <c r="P8" i="16"/>
  <c r="N8" i="16"/>
  <c r="L8" i="16"/>
  <c r="J8" i="16"/>
  <c r="H8" i="16"/>
  <c r="F8" i="16"/>
  <c r="D8" i="16"/>
  <c r="V7" i="16"/>
  <c r="T7" i="16"/>
  <c r="R7" i="16"/>
  <c r="P7" i="16"/>
  <c r="N7" i="16"/>
  <c r="L7" i="16"/>
  <c r="J7" i="16"/>
  <c r="H7" i="16"/>
  <c r="F7" i="16"/>
  <c r="D7" i="16"/>
  <c r="V6" i="16"/>
  <c r="V12" i="16" s="1"/>
  <c r="T6" i="16"/>
  <c r="T12" i="16" s="1"/>
  <c r="R6" i="16"/>
  <c r="P6" i="16"/>
  <c r="N6" i="16"/>
  <c r="N12" i="16" s="1"/>
  <c r="L6" i="16"/>
  <c r="L12" i="16" s="1"/>
  <c r="J6" i="16"/>
  <c r="H6" i="16"/>
  <c r="F6" i="16"/>
  <c r="F12" i="16" s="1"/>
  <c r="D6" i="16"/>
  <c r="P12" i="16" l="1"/>
  <c r="H12" i="16"/>
  <c r="W12" i="17"/>
  <c r="T16" i="17" s="1"/>
  <c r="T23" i="17" s="1"/>
  <c r="R12" i="16"/>
  <c r="W9" i="16"/>
  <c r="J12" i="16"/>
  <c r="W10" i="16"/>
  <c r="W8" i="16"/>
  <c r="W11" i="16"/>
  <c r="W7" i="16"/>
  <c r="D12" i="16"/>
  <c r="W6" i="16"/>
  <c r="T18" i="15"/>
  <c r="W12" i="16" l="1"/>
  <c r="T16" i="16" s="1"/>
  <c r="T23" i="16" s="1"/>
  <c r="T24" i="15"/>
  <c r="F22" i="15"/>
  <c r="L19" i="15"/>
  <c r="J19" i="15"/>
  <c r="H19" i="15"/>
  <c r="U12" i="15"/>
  <c r="K18" i="15" s="1"/>
  <c r="K19" i="15" s="1"/>
  <c r="S12" i="15"/>
  <c r="I18" i="15" s="1"/>
  <c r="I19" i="15" s="1"/>
  <c r="Q12" i="15"/>
  <c r="O12" i="15"/>
  <c r="N18" i="15" s="1"/>
  <c r="N19" i="15" s="1"/>
  <c r="M12" i="15"/>
  <c r="M18" i="15" s="1"/>
  <c r="M19" i="15" s="1"/>
  <c r="K12" i="15"/>
  <c r="G18" i="15" s="1"/>
  <c r="G19" i="15" s="1"/>
  <c r="I12" i="15"/>
  <c r="F18" i="15" s="1"/>
  <c r="F19" i="15" s="1"/>
  <c r="G12" i="15"/>
  <c r="E18" i="15" s="1"/>
  <c r="E19" i="15" s="1"/>
  <c r="E12" i="15"/>
  <c r="D18" i="15" s="1"/>
  <c r="D19" i="15" s="1"/>
  <c r="C12" i="15"/>
  <c r="B18" i="15" s="1"/>
  <c r="B19" i="15" s="1"/>
  <c r="V11" i="15"/>
  <c r="T11" i="15"/>
  <c r="R11" i="15"/>
  <c r="P11" i="15"/>
  <c r="N11" i="15"/>
  <c r="L11" i="15"/>
  <c r="J11" i="15"/>
  <c r="H11" i="15"/>
  <c r="F11" i="15"/>
  <c r="D11" i="15"/>
  <c r="V10" i="15"/>
  <c r="T10" i="15"/>
  <c r="R10" i="15"/>
  <c r="P10" i="15"/>
  <c r="N10" i="15"/>
  <c r="L10" i="15"/>
  <c r="J10" i="15"/>
  <c r="H10" i="15"/>
  <c r="F10" i="15"/>
  <c r="D10" i="15"/>
  <c r="V9" i="15"/>
  <c r="T9" i="15"/>
  <c r="R9" i="15"/>
  <c r="P9" i="15"/>
  <c r="N9" i="15"/>
  <c r="L9" i="15"/>
  <c r="J9" i="15"/>
  <c r="H9" i="15"/>
  <c r="F9" i="15"/>
  <c r="D9" i="15"/>
  <c r="V8" i="15"/>
  <c r="T8" i="15"/>
  <c r="R8" i="15"/>
  <c r="P8" i="15"/>
  <c r="N8" i="15"/>
  <c r="L8" i="15"/>
  <c r="J8" i="15"/>
  <c r="H8" i="15"/>
  <c r="F8" i="15"/>
  <c r="D8" i="15"/>
  <c r="V7" i="15"/>
  <c r="T7" i="15"/>
  <c r="R7" i="15"/>
  <c r="P7" i="15"/>
  <c r="N7" i="15"/>
  <c r="L7" i="15"/>
  <c r="J7" i="15"/>
  <c r="H7" i="15"/>
  <c r="F7" i="15"/>
  <c r="D7" i="15"/>
  <c r="V6" i="15"/>
  <c r="V12" i="15" s="1"/>
  <c r="T6" i="15"/>
  <c r="R6" i="15"/>
  <c r="P6" i="15"/>
  <c r="P12" i="15" s="1"/>
  <c r="N6" i="15"/>
  <c r="N12" i="15" s="1"/>
  <c r="L6" i="15"/>
  <c r="J6" i="15"/>
  <c r="H6" i="15"/>
  <c r="F6" i="15"/>
  <c r="F12" i="15" s="1"/>
  <c r="D6" i="15"/>
  <c r="L12" i="15" l="1"/>
  <c r="T12" i="15"/>
  <c r="R12" i="15"/>
  <c r="W11" i="15"/>
  <c r="J12" i="15"/>
  <c r="W7" i="15"/>
  <c r="H12" i="15"/>
  <c r="D12" i="15"/>
  <c r="W10" i="15"/>
  <c r="W8" i="15"/>
  <c r="W9" i="15"/>
  <c r="W6" i="15"/>
  <c r="W12" i="15" l="1"/>
  <c r="T16" i="15" s="1"/>
  <c r="T23" i="15" s="1"/>
  <c r="T18" i="14" l="1"/>
  <c r="T24" i="14"/>
  <c r="F22" i="14"/>
  <c r="L19" i="14"/>
  <c r="J19" i="14"/>
  <c r="H19" i="14"/>
  <c r="U12" i="14"/>
  <c r="K18" i="14" s="1"/>
  <c r="K19" i="14" s="1"/>
  <c r="S12" i="14"/>
  <c r="I18" i="14" s="1"/>
  <c r="I19" i="14" s="1"/>
  <c r="Q12" i="14"/>
  <c r="O12" i="14"/>
  <c r="N18" i="14" s="1"/>
  <c r="N19" i="14" s="1"/>
  <c r="M12" i="14"/>
  <c r="M18" i="14" s="1"/>
  <c r="M19" i="14" s="1"/>
  <c r="K12" i="14"/>
  <c r="G18" i="14" s="1"/>
  <c r="G19" i="14" s="1"/>
  <c r="I12" i="14"/>
  <c r="F18" i="14" s="1"/>
  <c r="F19" i="14" s="1"/>
  <c r="G12" i="14"/>
  <c r="E18" i="14" s="1"/>
  <c r="E19" i="14" s="1"/>
  <c r="E12" i="14"/>
  <c r="D18" i="14" s="1"/>
  <c r="D19" i="14" s="1"/>
  <c r="C12" i="14"/>
  <c r="B18" i="14" s="1"/>
  <c r="B19" i="14" s="1"/>
  <c r="V11" i="14"/>
  <c r="T11" i="14"/>
  <c r="R11" i="14"/>
  <c r="P11" i="14"/>
  <c r="N11" i="14"/>
  <c r="L11" i="14"/>
  <c r="J11" i="14"/>
  <c r="H11" i="14"/>
  <c r="F11" i="14"/>
  <c r="D11" i="14"/>
  <c r="V10" i="14"/>
  <c r="T10" i="14"/>
  <c r="R10" i="14"/>
  <c r="P10" i="14"/>
  <c r="N10" i="14"/>
  <c r="L10" i="14"/>
  <c r="J10" i="14"/>
  <c r="H10" i="14"/>
  <c r="F10" i="14"/>
  <c r="D10" i="14"/>
  <c r="V9" i="14"/>
  <c r="T9" i="14"/>
  <c r="R9" i="14"/>
  <c r="P9" i="14"/>
  <c r="N9" i="14"/>
  <c r="L9" i="14"/>
  <c r="J9" i="14"/>
  <c r="H9" i="14"/>
  <c r="F9" i="14"/>
  <c r="D9" i="14"/>
  <c r="V8" i="14"/>
  <c r="T8" i="14"/>
  <c r="R8" i="14"/>
  <c r="P8" i="14"/>
  <c r="N8" i="14"/>
  <c r="L8" i="14"/>
  <c r="J8" i="14"/>
  <c r="H8" i="14"/>
  <c r="F8" i="14"/>
  <c r="D8" i="14"/>
  <c r="V7" i="14"/>
  <c r="T7" i="14"/>
  <c r="R7" i="14"/>
  <c r="P7" i="14"/>
  <c r="N7" i="14"/>
  <c r="L7" i="14"/>
  <c r="J7" i="14"/>
  <c r="H7" i="14"/>
  <c r="F7" i="14"/>
  <c r="D7" i="14"/>
  <c r="V6" i="14"/>
  <c r="V12" i="14" s="1"/>
  <c r="T6" i="14"/>
  <c r="R6" i="14"/>
  <c r="P6" i="14"/>
  <c r="N6" i="14"/>
  <c r="N12" i="14" s="1"/>
  <c r="L6" i="14"/>
  <c r="J6" i="14"/>
  <c r="H6" i="14"/>
  <c r="F6" i="14"/>
  <c r="D6" i="14"/>
  <c r="T18" i="13"/>
  <c r="T21" i="13"/>
  <c r="T24" i="13"/>
  <c r="F22" i="13"/>
  <c r="L19" i="13"/>
  <c r="J19" i="13"/>
  <c r="H19" i="13"/>
  <c r="U12" i="13"/>
  <c r="K18" i="13" s="1"/>
  <c r="K19" i="13" s="1"/>
  <c r="S12" i="13"/>
  <c r="I18" i="13" s="1"/>
  <c r="I19" i="13" s="1"/>
  <c r="Q12" i="13"/>
  <c r="O12" i="13"/>
  <c r="N18" i="13" s="1"/>
  <c r="N19" i="13" s="1"/>
  <c r="M12" i="13"/>
  <c r="M18" i="13" s="1"/>
  <c r="M19" i="13" s="1"/>
  <c r="K12" i="13"/>
  <c r="G18" i="13" s="1"/>
  <c r="G19" i="13" s="1"/>
  <c r="I12" i="13"/>
  <c r="F18" i="13" s="1"/>
  <c r="F19" i="13" s="1"/>
  <c r="G12" i="13"/>
  <c r="E18" i="13" s="1"/>
  <c r="E19" i="13" s="1"/>
  <c r="E12" i="13"/>
  <c r="D18" i="13" s="1"/>
  <c r="D19" i="13" s="1"/>
  <c r="C12" i="13"/>
  <c r="B18" i="13" s="1"/>
  <c r="B19" i="13" s="1"/>
  <c r="V11" i="13"/>
  <c r="T11" i="13"/>
  <c r="R11" i="13"/>
  <c r="P11" i="13"/>
  <c r="N11" i="13"/>
  <c r="L11" i="13"/>
  <c r="J11" i="13"/>
  <c r="H11" i="13"/>
  <c r="F11" i="13"/>
  <c r="D11" i="13"/>
  <c r="V10" i="13"/>
  <c r="T10" i="13"/>
  <c r="R10" i="13"/>
  <c r="P10" i="13"/>
  <c r="N10" i="13"/>
  <c r="L10" i="13"/>
  <c r="J10" i="13"/>
  <c r="H10" i="13"/>
  <c r="F10" i="13"/>
  <c r="D10" i="13"/>
  <c r="V9" i="13"/>
  <c r="T9" i="13"/>
  <c r="R9" i="13"/>
  <c r="P9" i="13"/>
  <c r="N9" i="13"/>
  <c r="L9" i="13"/>
  <c r="J9" i="13"/>
  <c r="H9" i="13"/>
  <c r="F9" i="13"/>
  <c r="D9" i="13"/>
  <c r="V8" i="13"/>
  <c r="T8" i="13"/>
  <c r="R8" i="13"/>
  <c r="P8" i="13"/>
  <c r="N8" i="13"/>
  <c r="L8" i="13"/>
  <c r="J8" i="13"/>
  <c r="H8" i="13"/>
  <c r="F8" i="13"/>
  <c r="D8" i="13"/>
  <c r="V7" i="13"/>
  <c r="T7" i="13"/>
  <c r="R7" i="13"/>
  <c r="P7" i="13"/>
  <c r="N7" i="13"/>
  <c r="L7" i="13"/>
  <c r="J7" i="13"/>
  <c r="H7" i="13"/>
  <c r="F7" i="13"/>
  <c r="D7" i="13"/>
  <c r="V6" i="13"/>
  <c r="V12" i="13" s="1"/>
  <c r="T6" i="13"/>
  <c r="R6" i="13"/>
  <c r="P6" i="13"/>
  <c r="N6" i="13"/>
  <c r="N12" i="13" s="1"/>
  <c r="L6" i="13"/>
  <c r="J6" i="13"/>
  <c r="H6" i="13"/>
  <c r="F6" i="13"/>
  <c r="F12" i="13" s="1"/>
  <c r="D6" i="13"/>
  <c r="H12" i="14" l="1"/>
  <c r="P12" i="14"/>
  <c r="L12" i="13"/>
  <c r="H12" i="13"/>
  <c r="P12" i="13"/>
  <c r="J12" i="13"/>
  <c r="L12" i="14"/>
  <c r="T12" i="14"/>
  <c r="R12" i="14"/>
  <c r="W11" i="14"/>
  <c r="J12" i="14"/>
  <c r="W9" i="14"/>
  <c r="W7" i="14"/>
  <c r="W8" i="14"/>
  <c r="W6" i="14"/>
  <c r="W10" i="14"/>
  <c r="D12" i="14"/>
  <c r="F12" i="14"/>
  <c r="W11" i="13"/>
  <c r="R12" i="13"/>
  <c r="T12" i="13"/>
  <c r="W10" i="13"/>
  <c r="W7" i="13"/>
  <c r="W8" i="13"/>
  <c r="W9" i="13"/>
  <c r="D12" i="13"/>
  <c r="W6" i="13"/>
  <c r="W12" i="14" l="1"/>
  <c r="T16" i="14" s="1"/>
  <c r="T23" i="14" s="1"/>
  <c r="W12" i="13"/>
  <c r="T16" i="13" l="1"/>
  <c r="T23" i="13" s="1"/>
  <c r="L19" i="12" l="1"/>
  <c r="J19" i="12"/>
  <c r="F22" i="12"/>
  <c r="T24" i="12"/>
  <c r="H19" i="12"/>
  <c r="U12" i="12"/>
  <c r="K18" i="12" s="1"/>
  <c r="K19" i="12" s="1"/>
  <c r="S12" i="12"/>
  <c r="I18" i="12" s="1"/>
  <c r="I19" i="12" s="1"/>
  <c r="Q12" i="12"/>
  <c r="O12" i="12"/>
  <c r="N18" i="12" s="1"/>
  <c r="M12" i="12"/>
  <c r="M18" i="12" s="1"/>
  <c r="M19" i="12" s="1"/>
  <c r="K12" i="12"/>
  <c r="G18" i="12" s="1"/>
  <c r="G19" i="12" s="1"/>
  <c r="I12" i="12"/>
  <c r="F18" i="12" s="1"/>
  <c r="F19" i="12" s="1"/>
  <c r="G12" i="12"/>
  <c r="E18" i="12" s="1"/>
  <c r="E19" i="12" s="1"/>
  <c r="E12" i="12"/>
  <c r="D18" i="12" s="1"/>
  <c r="D19" i="12" s="1"/>
  <c r="C12" i="12"/>
  <c r="B18" i="12" s="1"/>
  <c r="B19" i="12" s="1"/>
  <c r="V11" i="12"/>
  <c r="T11" i="12"/>
  <c r="R11" i="12"/>
  <c r="P11" i="12"/>
  <c r="N11" i="12"/>
  <c r="L11" i="12"/>
  <c r="J11" i="12"/>
  <c r="H11" i="12"/>
  <c r="F11" i="12"/>
  <c r="D11" i="12"/>
  <c r="V10" i="12"/>
  <c r="T10" i="12"/>
  <c r="R10" i="12"/>
  <c r="P10" i="12"/>
  <c r="N10" i="12"/>
  <c r="L10" i="12"/>
  <c r="J10" i="12"/>
  <c r="H10" i="12"/>
  <c r="F10" i="12"/>
  <c r="D10" i="12"/>
  <c r="V9" i="12"/>
  <c r="T9" i="12"/>
  <c r="R9" i="12"/>
  <c r="P9" i="12"/>
  <c r="N9" i="12"/>
  <c r="L9" i="12"/>
  <c r="J9" i="12"/>
  <c r="H9" i="12"/>
  <c r="F9" i="12"/>
  <c r="D9" i="12"/>
  <c r="V8" i="12"/>
  <c r="T8" i="12"/>
  <c r="R8" i="12"/>
  <c r="P8" i="12"/>
  <c r="N8" i="12"/>
  <c r="L8" i="12"/>
  <c r="J8" i="12"/>
  <c r="H8" i="12"/>
  <c r="F8" i="12"/>
  <c r="D8" i="12"/>
  <c r="V7" i="12"/>
  <c r="T7" i="12"/>
  <c r="R7" i="12"/>
  <c r="P7" i="12"/>
  <c r="N7" i="12"/>
  <c r="L7" i="12"/>
  <c r="J7" i="12"/>
  <c r="H7" i="12"/>
  <c r="F7" i="12"/>
  <c r="D7" i="12"/>
  <c r="V6" i="12"/>
  <c r="V12" i="12" s="1"/>
  <c r="T6" i="12"/>
  <c r="R6" i="12"/>
  <c r="P6" i="12"/>
  <c r="N6" i="12"/>
  <c r="N12" i="12" s="1"/>
  <c r="L6" i="12"/>
  <c r="J6" i="12"/>
  <c r="H6" i="12"/>
  <c r="F6" i="12"/>
  <c r="F12" i="12" s="1"/>
  <c r="D6" i="12"/>
  <c r="L12" i="12" l="1"/>
  <c r="H12" i="12"/>
  <c r="W11" i="12"/>
  <c r="P12" i="12"/>
  <c r="J12" i="12"/>
  <c r="R12" i="12"/>
  <c r="T12" i="12"/>
  <c r="N19" i="12"/>
  <c r="W9" i="12"/>
  <c r="D12" i="12"/>
  <c r="W7" i="12"/>
  <c r="W8" i="12"/>
  <c r="W10" i="12"/>
  <c r="W6" i="12"/>
  <c r="T24" i="11"/>
  <c r="F22" i="11"/>
  <c r="L19" i="11"/>
  <c r="J19" i="11"/>
  <c r="H19" i="11"/>
  <c r="U12" i="11"/>
  <c r="K18" i="11" s="1"/>
  <c r="K19" i="11" s="1"/>
  <c r="S12" i="11"/>
  <c r="I18" i="11" s="1"/>
  <c r="I19" i="11" s="1"/>
  <c r="Q12" i="11"/>
  <c r="O12" i="11"/>
  <c r="N18" i="11" s="1"/>
  <c r="N19" i="11" s="1"/>
  <c r="M12" i="11"/>
  <c r="M18" i="11" s="1"/>
  <c r="M19" i="11" s="1"/>
  <c r="K12" i="11"/>
  <c r="G18" i="11" s="1"/>
  <c r="G19" i="11" s="1"/>
  <c r="I12" i="11"/>
  <c r="F18" i="11" s="1"/>
  <c r="F19" i="11" s="1"/>
  <c r="G12" i="11"/>
  <c r="E18" i="11" s="1"/>
  <c r="E19" i="11" s="1"/>
  <c r="E12" i="11"/>
  <c r="D18" i="11" s="1"/>
  <c r="D19" i="11" s="1"/>
  <c r="C12" i="11"/>
  <c r="B18" i="11" s="1"/>
  <c r="B19" i="11" s="1"/>
  <c r="V11" i="11"/>
  <c r="T11" i="11"/>
  <c r="R11" i="11"/>
  <c r="P11" i="11"/>
  <c r="N11" i="11"/>
  <c r="L11" i="11"/>
  <c r="J11" i="11"/>
  <c r="H11" i="11"/>
  <c r="F11" i="11"/>
  <c r="D11" i="11"/>
  <c r="V10" i="11"/>
  <c r="T10" i="11"/>
  <c r="R10" i="11"/>
  <c r="P10" i="11"/>
  <c r="N10" i="11"/>
  <c r="L10" i="11"/>
  <c r="J10" i="11"/>
  <c r="H10" i="11"/>
  <c r="F10" i="11"/>
  <c r="D10" i="11"/>
  <c r="V9" i="11"/>
  <c r="T9" i="11"/>
  <c r="R9" i="11"/>
  <c r="P9" i="11"/>
  <c r="N9" i="11"/>
  <c r="L9" i="11"/>
  <c r="J9" i="11"/>
  <c r="H9" i="11"/>
  <c r="F9" i="11"/>
  <c r="D9" i="11"/>
  <c r="V8" i="11"/>
  <c r="T8" i="11"/>
  <c r="R8" i="11"/>
  <c r="P8" i="11"/>
  <c r="N8" i="11"/>
  <c r="L8" i="11"/>
  <c r="J8" i="11"/>
  <c r="H8" i="11"/>
  <c r="F8" i="11"/>
  <c r="D8" i="11"/>
  <c r="V7" i="11"/>
  <c r="T7" i="11"/>
  <c r="R7" i="11"/>
  <c r="P7" i="11"/>
  <c r="N7" i="11"/>
  <c r="L7" i="11"/>
  <c r="J7" i="11"/>
  <c r="H7" i="11"/>
  <c r="F7" i="11"/>
  <c r="D7" i="11"/>
  <c r="V6" i="11"/>
  <c r="T6" i="11"/>
  <c r="T12" i="11" s="1"/>
  <c r="R6" i="11"/>
  <c r="P6" i="11"/>
  <c r="N6" i="11"/>
  <c r="L6" i="11"/>
  <c r="L12" i="11" s="1"/>
  <c r="J6" i="11"/>
  <c r="H6" i="11"/>
  <c r="F6" i="11"/>
  <c r="D6" i="11"/>
  <c r="F12" i="11" l="1"/>
  <c r="V12" i="11"/>
  <c r="N12" i="11"/>
  <c r="H12" i="11"/>
  <c r="R12" i="11"/>
  <c r="W12" i="12"/>
  <c r="T16" i="12" s="1"/>
  <c r="T23" i="12" s="1"/>
  <c r="P12" i="11"/>
  <c r="W11" i="11"/>
  <c r="W10" i="11"/>
  <c r="W7" i="11"/>
  <c r="J12" i="11"/>
  <c r="W8" i="11"/>
  <c r="W9" i="11"/>
  <c r="D12" i="11"/>
  <c r="W6" i="11"/>
  <c r="W12" i="11" l="1"/>
  <c r="T16" i="11" s="1"/>
  <c r="T23" i="11" s="1"/>
</calcChain>
</file>

<file path=xl/comments1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Mist</author>
  </authors>
  <commentList>
    <comment ref="V18" authorId="0" shapeId="0" xr:uid="{00000000-0006-0000-2E00-000001000000}">
      <text>
        <r>
          <rPr>
            <b/>
            <sz val="9"/>
            <color indexed="81"/>
            <rFont val="Tahoma"/>
            <family val="2"/>
          </rPr>
          <t xml:space="preserve">
</t>
        </r>
      </text>
    </comment>
  </commentList>
</comments>
</file>

<file path=xl/comments2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Mist</author>
  </authors>
  <commentList>
    <comment ref="V18" authorId="0" shapeId="0" xr:uid="{00000000-0006-0000-3100-000001000000}">
      <text>
        <r>
          <rPr>
            <b/>
            <sz val="9"/>
            <color indexed="81"/>
            <rFont val="Tahoma"/>
            <family val="2"/>
          </rPr>
          <t>Route Cost =450/
Office Expense =100/</t>
        </r>
      </text>
    </comment>
  </commentList>
</comments>
</file>

<file path=xl/comments3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Mist</author>
  </authors>
  <commentList>
    <comment ref="V18" authorId="0" shapeId="0" xr:uid="{00000000-0006-0000-3200-000001000000}">
      <text>
        <r>
          <rPr>
            <b/>
            <sz val="9"/>
            <color indexed="81"/>
            <rFont val="Tahoma"/>
            <family val="2"/>
          </rPr>
          <t xml:space="preserve">Route Cost =450/
</t>
        </r>
      </text>
    </comment>
  </commentList>
</comments>
</file>

<file path=xl/comments4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Mist</author>
  </authors>
  <commentList>
    <comment ref="V18" authorId="0" shapeId="0" xr:uid="{00000000-0006-0000-3300-000001000000}">
      <text>
        <r>
          <rPr>
            <b/>
            <sz val="9"/>
            <color indexed="81"/>
            <rFont val="Tahoma"/>
            <family val="2"/>
          </rPr>
          <t xml:space="preserve">Route Cost =450/
</t>
        </r>
      </text>
    </comment>
  </commentList>
</comments>
</file>

<file path=xl/comments5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Mist</author>
  </authors>
  <commentList>
    <comment ref="V18" authorId="0" shapeId="0" xr:uid="{00000000-0006-0000-3400-000001000000}">
      <text>
        <r>
          <rPr>
            <b/>
            <sz val="9"/>
            <color indexed="81"/>
            <rFont val="Tahoma"/>
            <family val="2"/>
          </rPr>
          <t>Route Cost =450/
Conveyance =120/   Conveyance =160/ Water bill =150/</t>
        </r>
      </text>
    </comment>
  </commentList>
</comments>
</file>

<file path=xl/comments6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Mist</author>
  </authors>
  <commentList>
    <comment ref="V18" authorId="0" shapeId="0" xr:uid="{00000000-0006-0000-3500-000001000000}">
      <text>
        <r>
          <rPr>
            <b/>
            <sz val="9"/>
            <color indexed="81"/>
            <rFont val="Tahoma"/>
            <family val="2"/>
          </rPr>
          <t xml:space="preserve">Route Cost =450/
</t>
        </r>
      </text>
    </comment>
  </commentList>
</comments>
</file>

<file path=xl/comments7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Mist</author>
  </authors>
  <commentList>
    <comment ref="V18" authorId="0" shapeId="0" xr:uid="{00000000-0006-0000-3600-000001000000}">
      <text>
        <r>
          <rPr>
            <b/>
            <sz val="9"/>
            <color indexed="81"/>
            <rFont val="Tahoma"/>
            <family val="2"/>
          </rPr>
          <t xml:space="preserve">Route Cost =450/
Electricity bill =260/
</t>
        </r>
      </text>
    </comment>
  </commentList>
</comments>
</file>

<file path=xl/comments8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Mist</author>
  </authors>
  <commentList>
    <comment ref="V18" authorId="0" shapeId="0" xr:uid="{00000000-0006-0000-3700-000001000000}">
      <text>
        <r>
          <rPr>
            <b/>
            <sz val="9"/>
            <color indexed="81"/>
            <rFont val="Tahoma"/>
            <family val="2"/>
          </rPr>
          <t>Route Cost =450/
bike replace 
(tube lik) =100/</t>
        </r>
      </text>
    </comment>
  </commentList>
</comments>
</file>

<file path=xl/comments9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Mist</author>
  </authors>
  <commentList>
    <comment ref="V18" authorId="0" shapeId="0" xr:uid="{D94E23A1-6730-4DA4-BA44-5F7BBB5F7060}">
      <text>
        <r>
          <rPr>
            <b/>
            <sz val="9"/>
            <color indexed="81"/>
            <rFont val="Tahoma"/>
            <family val="2"/>
          </rPr>
          <t>Route Cost =450/
House Cost 
(SC Market Development) =2000/</t>
        </r>
      </text>
    </comment>
  </commentList>
</comments>
</file>

<file path=xl/comments10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Mist</author>
  </authors>
  <commentList>
    <comment ref="V18" authorId="0" shapeId="0" xr:uid="{8BEB561A-655C-4A63-982F-169B12E279FD}">
      <text>
        <r>
          <rPr>
            <b/>
            <sz val="9"/>
            <color indexed="81"/>
            <rFont val="Tahoma"/>
            <family val="2"/>
          </rPr>
          <t>Route Cost =450/
Commission Adjust =28778/</t>
        </r>
      </text>
    </comment>
  </commentList>
</comments>
</file>

<file path=xl/comments11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Mist</author>
  </authors>
  <commentList>
    <comment ref="V18" authorId="0" shapeId="0" xr:uid="{B5098812-23E6-488C-8F16-6FBDC6B5C447}">
      <text>
        <r>
          <rPr>
            <b/>
            <sz val="9"/>
            <color indexed="81"/>
            <rFont val="Tahoma"/>
            <family val="2"/>
          </rPr>
          <t>Route Cost =450/
Office Expense =90/
Commission Adjust =1632/</t>
        </r>
      </text>
    </comment>
  </commentList>
</comments>
</file>

<file path=xl/comments12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Mist</author>
  </authors>
  <commentList>
    <comment ref="V18" authorId="0" shapeId="0" xr:uid="{56C2411E-9862-49D9-937D-3CE03813700D}">
      <text>
        <r>
          <rPr>
            <b/>
            <sz val="9"/>
            <color indexed="81"/>
            <rFont val="Tahoma"/>
            <family val="2"/>
          </rPr>
          <t xml:space="preserve">Route Cost =450/
</t>
        </r>
      </text>
    </comment>
  </commentList>
</comments>
</file>

<file path=xl/comments13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Mist</author>
  </authors>
  <commentList>
    <comment ref="V18" authorId="0" shapeId="0" xr:uid="{0543A29D-82B7-41D8-9B91-B49B934B03AF}">
      <text>
        <r>
          <rPr>
            <b/>
            <sz val="9"/>
            <color indexed="81"/>
            <rFont val="Tahoma"/>
            <family val="2"/>
          </rPr>
          <t xml:space="preserve">Route Cost =450/
</t>
        </r>
      </text>
    </comment>
  </commentList>
</comments>
</file>

<file path=xl/comments14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Mist</author>
  </authors>
  <commentList>
    <comment ref="V18" authorId="0" shapeId="0" xr:uid="{AC3490F4-85E0-4DE8-AA7D-A0D78285B835}">
      <text>
        <r>
          <rPr>
            <b/>
            <sz val="9"/>
            <color indexed="81"/>
            <rFont val="Tahoma"/>
            <family val="2"/>
          </rPr>
          <t xml:space="preserve">Route Cost =500/
Conveyance =180/
Salary Feb-24 =23500/
</t>
        </r>
      </text>
    </comment>
  </commentList>
</comments>
</file>

<file path=xl/comments15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Mist</author>
  </authors>
  <commentList>
    <comment ref="V18" authorId="0" shapeId="0" xr:uid="{F012BA8D-C0A9-43A1-898C-56DE126D653E}">
      <text>
        <r>
          <rPr>
            <b/>
            <sz val="9"/>
            <color indexed="81"/>
            <rFont val="Tahoma"/>
            <family val="2"/>
          </rPr>
          <t xml:space="preserve">Route Cost =450/
</t>
        </r>
      </text>
    </comment>
  </commentList>
</comments>
</file>

<file path=xl/comments16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Mist</author>
  </authors>
  <commentList>
    <comment ref="V18" authorId="0" shapeId="0" xr:uid="{5BE61A67-A369-4EA6-A7E2-61B136D6835F}">
      <text>
        <r>
          <rPr>
            <b/>
            <sz val="9"/>
            <color indexed="81"/>
            <rFont val="Tahoma"/>
            <family val="2"/>
          </rPr>
          <t xml:space="preserve">Route Cost =500/
</t>
        </r>
      </text>
    </comment>
  </commentList>
</comments>
</file>

<file path=xl/comments17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Mist</author>
  </authors>
  <commentList>
    <comment ref="V18" authorId="0" shapeId="0" xr:uid="{4CB527AF-8D5A-44DD-B7E5-F198A3FEE3F5}">
      <text>
        <r>
          <rPr>
            <b/>
            <sz val="9"/>
            <color indexed="81"/>
            <rFont val="Tahoma"/>
            <family val="2"/>
          </rPr>
          <t xml:space="preserve">Route Cost =450/
</t>
        </r>
      </text>
    </comment>
  </commentList>
</comments>
</file>

<file path=xl/comments18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Mist</author>
  </authors>
  <commentList>
    <comment ref="V18" authorId="0" shapeId="0" xr:uid="{D24137CE-9F89-4E8C-948A-8F066B46DA10}">
      <text>
        <r>
          <rPr>
            <b/>
            <sz val="9"/>
            <color indexed="81"/>
            <rFont val="Tahoma"/>
            <family val="2"/>
          </rPr>
          <t xml:space="preserve">Route Cost =500/
</t>
        </r>
      </text>
    </comment>
  </commentList>
</comments>
</file>

<file path=xl/comments19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Mist</author>
  </authors>
  <commentList>
    <comment ref="V18" authorId="0" shapeId="0" xr:uid="{E0D5C759-4A16-425E-9E6E-73000013E40F}">
      <text>
        <r>
          <rPr>
            <b/>
            <sz val="9"/>
            <color indexed="81"/>
            <rFont val="Tahoma"/>
            <family val="2"/>
          </rPr>
          <t xml:space="preserve">Route Cost =450/
Entertainment =130/
Commission Adjust =39322/
</t>
        </r>
      </text>
    </comment>
  </commentList>
</comments>
</file>

<file path=xl/comments20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Mist</author>
  </authors>
  <commentList>
    <comment ref="V18" authorId="0" shapeId="0" xr:uid="{62893721-FE97-4597-95AA-40E3F2C47AF3}">
      <text>
        <r>
          <rPr>
            <b/>
            <sz val="9"/>
            <color indexed="81"/>
            <rFont val="Tahoma"/>
            <family val="2"/>
          </rPr>
          <t xml:space="preserve">Route Cost =500/
Internet Bill =700/
Office Stationary (A4 Paper 70g 1r) =440/
</t>
        </r>
      </text>
    </comment>
  </commentList>
</comments>
</file>

<file path=xl/comments21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Mist</author>
  </authors>
  <commentList>
    <comment ref="V18" authorId="0" shapeId="0" xr:uid="{7EDFCEEC-32CE-449B-B9DE-4101AA9FEC18}">
      <text>
        <r>
          <rPr>
            <b/>
            <sz val="9"/>
            <color indexed="81"/>
            <rFont val="Tahoma"/>
            <family val="2"/>
          </rPr>
          <t xml:space="preserve">Route Cost =450/
Electricity Goods =1275/
</t>
        </r>
      </text>
    </comment>
  </commentList>
</comments>
</file>

<file path=xl/comments22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Mist</author>
  </authors>
  <commentList>
    <comment ref="V18" authorId="0" shapeId="0" xr:uid="{EE5A84F0-4E45-4BA0-95A6-E4709272C2C1}">
      <text>
        <r>
          <rPr>
            <b/>
            <sz val="9"/>
            <color indexed="81"/>
            <rFont val="Tahoma"/>
            <family val="2"/>
          </rPr>
          <t>Route Cost =500/
Mobil Change (3 pis)=1590/
Office Expense (stamp 3 pis) =390/</t>
        </r>
      </text>
    </comment>
  </commentList>
</comments>
</file>

<file path=xl/comments23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Mist</author>
  </authors>
  <commentList>
    <comment ref="V18" authorId="0" shapeId="0" xr:uid="{65E851D5-307B-4196-B9E4-A7B1525C229F}">
      <text>
        <r>
          <rPr>
            <b/>
            <sz val="9"/>
            <color indexed="81"/>
            <rFont val="Tahoma"/>
            <family val="2"/>
          </rPr>
          <t>Route Cost =450/</t>
        </r>
      </text>
    </comment>
  </commentList>
</comments>
</file>

<file path=xl/comments24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Mist</author>
  </authors>
  <commentList>
    <comment ref="V18" authorId="0" shapeId="0" xr:uid="{C88A0FEB-ED44-41DD-A76A-B2AABA460167}">
      <text>
        <r>
          <rPr>
            <b/>
            <sz val="9"/>
            <color indexed="81"/>
            <rFont val="Tahoma"/>
            <family val="2"/>
          </rPr>
          <t>Route Cost =500/</t>
        </r>
      </text>
    </comment>
  </commentList>
</comments>
</file>

<file path=xl/comments25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Mist</author>
  </authors>
  <commentList>
    <comment ref="V18" authorId="0" shapeId="0" xr:uid="{B8C220C0-A30F-4D3D-89BD-76C96512044F}">
      <text>
        <r>
          <rPr>
            <b/>
            <sz val="9"/>
            <color indexed="81"/>
            <rFont val="Tahoma"/>
            <family val="2"/>
          </rPr>
          <t xml:space="preserve">Route Cost =450/
Commission Adjust =131772/
</t>
        </r>
      </text>
    </comment>
  </commentList>
</comments>
</file>

<file path=xl/comments26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Mist</author>
  </authors>
  <commentList>
    <comment ref="V18" authorId="0" shapeId="0" xr:uid="{77B7C213-C309-45F1-8CCA-F1F6D469DBDA}">
      <text>
        <r>
          <rPr>
            <b/>
            <sz val="9"/>
            <color indexed="81"/>
            <rFont val="Tahoma"/>
            <family val="2"/>
          </rPr>
          <t xml:space="preserve">Route Cost =500/
</t>
        </r>
      </text>
    </comment>
  </commentList>
</comments>
</file>

<file path=xl/comments27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Mist</author>
  </authors>
  <commentList>
    <comment ref="V18" authorId="0" shapeId="0" xr:uid="{207A49CE-BF14-4DDB-A722-20EEE1F7933A}">
      <text>
        <r>
          <rPr>
            <b/>
            <sz val="9"/>
            <color indexed="81"/>
            <rFont val="Tahoma"/>
            <family val="2"/>
          </rPr>
          <t xml:space="preserve">Route Cost =450/
</t>
        </r>
      </text>
    </comment>
  </commentList>
</comments>
</file>

<file path=xl/comments28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Mist</author>
  </authors>
  <commentList>
    <comment ref="V18" authorId="0" shapeId="0" xr:uid="{CA378600-58B8-4716-8BC6-9FF3BFA909FB}">
      <text>
        <r>
          <rPr>
            <b/>
            <sz val="9"/>
            <color indexed="81"/>
            <rFont val="Tahoma"/>
            <family val="2"/>
          </rPr>
          <t xml:space="preserve">Route Cost =500/
</t>
        </r>
      </text>
    </comment>
  </commentList>
</comments>
</file>

<file path=xl/comments29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Mist</author>
  </authors>
  <commentList>
    <comment ref="V18" authorId="0" shapeId="0" xr:uid="{159FF3AA-227A-4247-95EB-1CF34FCB171B}">
      <text>
        <r>
          <rPr>
            <b/>
            <sz val="9"/>
            <color indexed="81"/>
            <rFont val="Tahoma"/>
            <family val="2"/>
          </rPr>
          <t xml:space="preserve">Route Cost =450/
Commission Adjust =49613/
</t>
        </r>
      </text>
    </comment>
  </commentList>
</comments>
</file>

<file path=xl/comments30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Mist</author>
  </authors>
  <commentList>
    <comment ref="V18" authorId="0" shapeId="0" xr:uid="{0CDCFA1F-9C80-4884-8872-1F7256674536}">
      <text>
        <r>
          <rPr>
            <b/>
            <sz val="9"/>
            <color indexed="81"/>
            <rFont val="Tahoma"/>
            <family val="2"/>
          </rPr>
          <t>Route Cost =500/
House Cost (C2C Campaing) =200/
Conveyance =190/
Office Expense =270/</t>
        </r>
      </text>
    </comment>
  </commentList>
</comments>
</file>

<file path=xl/comments31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Mist</author>
  </authors>
  <commentList>
    <comment ref="V18" authorId="0" shapeId="0" xr:uid="{92E95760-E952-4F92-9165-C30651DBA73C}">
      <text>
        <r>
          <rPr>
            <b/>
            <sz val="9"/>
            <color indexed="81"/>
            <rFont val="Tahoma"/>
            <family val="2"/>
          </rPr>
          <t>Route Cost =450/</t>
        </r>
      </text>
    </comment>
  </commentList>
</comments>
</file>

<file path=xl/comments32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Mist</author>
  </authors>
  <commentList>
    <comment ref="V18" authorId="0" shapeId="0" xr:uid="{FFA233D4-5A34-4D6C-8CF9-C51A910FDE33}">
      <text>
        <r>
          <rPr>
            <b/>
            <sz val="9"/>
            <color indexed="81"/>
            <rFont val="Tahoma"/>
            <family val="2"/>
          </rPr>
          <t>Route Cost =800/
Bike Survicing =210/</t>
        </r>
      </text>
    </comment>
  </commentList>
</comments>
</file>

<file path=xl/comments33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Mist</author>
  </authors>
  <commentList>
    <comment ref="V18" authorId="0" shapeId="0" xr:uid="{C9414492-5C7E-4742-B48C-46ADEEE39156}">
      <text>
        <r>
          <rPr>
            <b/>
            <sz val="9"/>
            <color indexed="81"/>
            <rFont val="Tahoma"/>
            <family val="2"/>
          </rPr>
          <t>Route Cost =150/</t>
        </r>
      </text>
    </comment>
  </commentList>
</comments>
</file>

<file path=xl/comments34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Mist</author>
    <author>Shakil Ahmad</author>
  </authors>
  <commentList>
    <comment ref="V18" authorId="0" shapeId="0" xr:uid="{45EEB33C-2852-4BFD-9CBC-F84A9947335D}">
      <text>
        <r>
          <rPr>
            <b/>
            <sz val="9"/>
            <color indexed="81"/>
            <rFont val="Tahoma"/>
            <family val="2"/>
          </rPr>
          <t xml:space="preserve">Route Cost =450/
Office Expense =4050/
Bike Cost =400/
</t>
        </r>
      </text>
    </comment>
    <comment ref="V19" authorId="1" shapeId="0" xr:uid="{39E100E6-A0F8-4D38-ADF1-1D3393A093B3}">
      <text>
        <r>
          <rPr>
            <b/>
            <sz val="9"/>
            <color indexed="81"/>
            <rFont val="Tahoma"/>
            <family val="2"/>
          </rPr>
          <t xml:space="preserve">bank =178000/
cash =124600/
</t>
        </r>
      </text>
    </comment>
  </commentList>
</comments>
</file>

<file path=xl/comments35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Mist</author>
    <author>Shakil Ahmad</author>
  </authors>
  <commentList>
    <comment ref="V18" authorId="0" shapeId="0" xr:uid="{9395A6EC-23A4-4913-8AB2-19B76BC9B6C3}">
      <text>
        <r>
          <rPr>
            <b/>
            <sz val="9"/>
            <color indexed="81"/>
            <rFont val="Tahoma"/>
            <family val="2"/>
          </rPr>
          <t>Route Cost =500/
Commission =57957/</t>
        </r>
      </text>
    </comment>
    <comment ref="V19" authorId="1" shapeId="0" xr:uid="{5A5FE4E3-A927-49EC-8BF1-DBD5B402281D}">
      <text>
        <r>
          <rPr>
            <b/>
            <sz val="9"/>
            <color indexed="81"/>
            <rFont val="Tahoma"/>
            <family val="2"/>
          </rPr>
          <t xml:space="preserve">bank =75000/
cash =25000/
</t>
        </r>
      </text>
    </comment>
  </commentList>
</comments>
</file>

<file path=xl/comments36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Mist</author>
  </authors>
  <commentList>
    <comment ref="V18" authorId="0" shapeId="0" xr:uid="{574AE38C-59BF-475C-A8C2-C796ECFE0E5E}">
      <text>
        <r>
          <rPr>
            <b/>
            <sz val="9"/>
            <color indexed="81"/>
            <rFont val="Tahoma"/>
            <family val="2"/>
          </rPr>
          <t xml:space="preserve">Route Cost =500/
</t>
        </r>
      </text>
    </comment>
  </commentList>
</comments>
</file>

<file path=xl/comments37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Mist</author>
  </authors>
  <commentList>
    <comment ref="V18" authorId="0" shapeId="0" xr:uid="{D8D4341A-D8A1-4EBA-937D-F57ECD484C72}">
      <text>
        <r>
          <rPr>
            <b/>
            <sz val="9"/>
            <color indexed="81"/>
            <rFont val="Tahoma"/>
            <family val="2"/>
          </rPr>
          <t>Route Cost =450/
House Cost =366/</t>
        </r>
      </text>
    </comment>
  </commentList>
</comments>
</file>

<file path=xl/comments38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Mist</author>
    <author>Shakil Ahmad</author>
  </authors>
  <commentList>
    <comment ref="V18" authorId="0" shapeId="0" xr:uid="{94168D0A-6A8D-4AE8-8C58-41E792052E48}">
      <text>
        <r>
          <rPr>
            <b/>
            <sz val="9"/>
            <color indexed="81"/>
            <rFont val="Tahoma"/>
            <family val="2"/>
          </rPr>
          <t>Route Cost =500/
House Cost =3742/
GA Adjust =16000/</t>
        </r>
      </text>
    </comment>
    <comment ref="V20" authorId="1" shapeId="0" xr:uid="{4EA1EE84-FB61-40A4-975A-A331C1FB3269}">
      <text>
        <r>
          <rPr>
            <b/>
            <sz val="9"/>
            <color indexed="81"/>
            <rFont val="Tahoma"/>
            <family val="2"/>
          </rPr>
          <t xml:space="preserve">35p sim purchase
</t>
        </r>
      </text>
    </comment>
  </commentList>
</comments>
</file>

<file path=xl/comments39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Mist</author>
    <author>Shakil Ahmad</author>
  </authors>
  <commentList>
    <comment ref="V18" authorId="0" shapeId="0" xr:uid="{884BF33C-E2AB-488D-991E-834ABC479219}">
      <text>
        <r>
          <rPr>
            <b/>
            <sz val="9"/>
            <color indexed="81"/>
            <rFont val="Tahoma"/>
            <family val="2"/>
          </rPr>
          <t xml:space="preserve">Route Cost =450/
Mobile Survicing (battary change) =250/
</t>
        </r>
      </text>
    </comment>
    <comment ref="V20" authorId="1" shapeId="0" xr:uid="{9F3FE14A-FF6E-483A-BE42-D87F53196C35}">
      <text>
        <r>
          <rPr>
            <b/>
            <sz val="9"/>
            <color indexed="81"/>
            <rFont val="Tahoma"/>
            <family val="2"/>
          </rPr>
          <t xml:space="preserve">35p sim purchase
</t>
        </r>
      </text>
    </comment>
    <comment ref="V21" authorId="1" shapeId="0" xr:uid="{75EFA945-2600-4DA6-8EDA-19E0620094DA}">
      <text>
        <r>
          <rPr>
            <b/>
            <sz val="9"/>
            <color indexed="81"/>
            <rFont val="Tahoma"/>
            <family val="2"/>
          </rPr>
          <t xml:space="preserve">bank =80000/
</t>
        </r>
      </text>
    </comment>
  </commentList>
</comments>
</file>

<file path=xl/comments40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Mist</author>
    <author>Shakil Ahmad</author>
  </authors>
  <commentList>
    <comment ref="V18" authorId="0" shapeId="0" xr:uid="{0FFE6A96-CE4F-48ED-856B-69CCC56F950C}">
      <text>
        <r>
          <rPr>
            <b/>
            <sz val="9"/>
            <color indexed="81"/>
            <rFont val="Tahoma"/>
            <family val="2"/>
          </rPr>
          <t xml:space="preserve">Route Cost =500/
Conveyance =60/
Commission =25467/
</t>
        </r>
      </text>
    </comment>
    <comment ref="V20" authorId="1" shapeId="0" xr:uid="{FDEDC0BE-53F4-42B9-88CA-62060C37A2D9}">
      <text>
        <r>
          <rPr>
            <b/>
            <sz val="9"/>
            <color indexed="81"/>
            <rFont val="Tahoma"/>
            <family val="2"/>
          </rPr>
          <t xml:space="preserve">35p sim purchase
</t>
        </r>
      </text>
    </comment>
  </commentList>
</comments>
</file>

<file path=xl/comments41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Mist</author>
    <author>Shakil Ahmad</author>
  </authors>
  <commentList>
    <comment ref="V18" authorId="0" shapeId="0" xr:uid="{0AA6CE4F-A42D-44BF-A4F5-514967F977FB}">
      <text>
        <r>
          <rPr>
            <b/>
            <sz val="9"/>
            <color indexed="81"/>
            <rFont val="Tahoma"/>
            <family val="2"/>
          </rPr>
          <t xml:space="preserve">Route Cost =450/
Conveyance =80/
BL Cost =1260/
</t>
        </r>
      </text>
    </comment>
    <comment ref="V20" authorId="1" shapeId="0" xr:uid="{367F58BC-EA37-4ACE-9AA0-48312843C925}">
      <text>
        <r>
          <rPr>
            <b/>
            <sz val="9"/>
            <color indexed="81"/>
            <rFont val="Tahoma"/>
            <family val="2"/>
          </rPr>
          <t xml:space="preserve">35p sim purchase
</t>
        </r>
      </text>
    </comment>
  </commentList>
</comments>
</file>

<file path=xl/comments42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Mist</author>
    <author>Shakil Ahmad</author>
  </authors>
  <commentList>
    <comment ref="V18" authorId="0" shapeId="0" xr:uid="{285EC4DA-18FC-4431-9654-3F709A325157}">
      <text>
        <r>
          <rPr>
            <b/>
            <sz val="9"/>
            <color indexed="81"/>
            <rFont val="Tahoma"/>
            <family val="2"/>
          </rPr>
          <t xml:space="preserve">Route Cost =520/
House Rent =4000/
Salary Mar-24 =50000/
BL Cost =1071/
</t>
        </r>
      </text>
    </comment>
    <comment ref="V20" authorId="1" shapeId="0" xr:uid="{C717E57B-3BD6-4395-8A95-A9AB68FCA56A}">
      <text>
        <r>
          <rPr>
            <b/>
            <sz val="9"/>
            <color indexed="81"/>
            <rFont val="Tahoma"/>
            <family val="2"/>
          </rPr>
          <t xml:space="preserve">35p sim purchase
</t>
        </r>
      </text>
    </comment>
  </commentList>
</comments>
</file>

<file path=xl/comments43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Shakil Ahmad</author>
    <author>Mist</author>
  </authors>
  <commentList>
    <comment ref="V17" authorId="0" shapeId="0" xr:uid="{2BBDC663-ACD6-4E12-8806-DB800CA284EB}">
      <text>
        <r>
          <rPr>
            <b/>
            <sz val="9"/>
            <color indexed="81"/>
            <rFont val="Tahoma"/>
            <family val="2"/>
          </rPr>
          <t xml:space="preserve">Ripon Mondal =5000/
Sukanto Sorkar =3000/
</t>
        </r>
      </text>
    </comment>
    <comment ref="V18" authorId="1" shapeId="0" xr:uid="{3C0E910D-5551-44DC-9975-65330B64545D}">
      <text>
        <r>
          <rPr>
            <b/>
            <sz val="9"/>
            <color indexed="81"/>
            <rFont val="Tahoma"/>
            <family val="2"/>
          </rPr>
          <t xml:space="preserve">Route Cost =470/
Bike Survicing =2270/
BL Cost =794/
Commission =27535/
</t>
        </r>
      </text>
    </comment>
    <comment ref="V20" authorId="0" shapeId="0" xr:uid="{AE1D02FC-472D-4C2C-B697-9ED96E4EF015}">
      <text>
        <r>
          <rPr>
            <b/>
            <sz val="9"/>
            <color indexed="81"/>
            <rFont val="Tahoma"/>
            <family val="2"/>
          </rPr>
          <t xml:space="preserve">35p sim purchase
</t>
        </r>
      </text>
    </comment>
  </commentList>
</comments>
</file>

<file path=xl/comments44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Mist</author>
    <author>Shakil Ahmad</author>
  </authors>
  <commentList>
    <comment ref="V18" authorId="0" shapeId="0" xr:uid="{642AFCB6-13BE-444D-A0A0-841989C937A6}">
      <text>
        <r>
          <rPr>
            <b/>
            <sz val="9"/>
            <color indexed="81"/>
            <rFont val="Tahoma"/>
            <family val="2"/>
          </rPr>
          <t>Route Cost =770/
House Cost =823/
BL Cost =5229/</t>
        </r>
      </text>
    </comment>
    <comment ref="V19" authorId="1" shapeId="0" xr:uid="{B2DBD33C-B6B2-41F4-8C3D-D4C064D2882F}">
      <text>
        <r>
          <rPr>
            <b/>
            <sz val="9"/>
            <color indexed="81"/>
            <rFont val="Tahoma"/>
            <family val="2"/>
          </rPr>
          <t xml:space="preserve">bank =1013000/
cash =131000/
</t>
        </r>
      </text>
    </comment>
    <comment ref="V20" authorId="1" shapeId="0" xr:uid="{F8972F4D-20C6-40F0-97F5-4E4B32C61E01}">
      <text>
        <r>
          <rPr>
            <b/>
            <sz val="9"/>
            <color indexed="81"/>
            <rFont val="Tahoma"/>
            <family val="2"/>
          </rPr>
          <t xml:space="preserve">35p sim purchase
</t>
        </r>
      </text>
    </comment>
  </commentList>
</comments>
</file>

<file path=xl/comments45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Mist</author>
    <author>Shakil Ahmad</author>
  </authors>
  <commentList>
    <comment ref="V18" authorId="0" shapeId="0" xr:uid="{7EF7D648-684E-42D4-BA74-B51797A2154C}">
      <text>
        <r>
          <rPr>
            <b/>
            <sz val="9"/>
            <color indexed="81"/>
            <rFont val="Tahoma"/>
            <family val="2"/>
          </rPr>
          <t>Route Cost =920/
BL Cost =6103/</t>
        </r>
      </text>
    </comment>
    <comment ref="V19" authorId="1" shapeId="0" xr:uid="{7B1925BE-94D8-4330-BB7D-64E37B9D1EBB}">
      <text>
        <r>
          <rPr>
            <b/>
            <sz val="9"/>
            <color indexed="81"/>
            <rFont val="Tahoma"/>
            <family val="2"/>
          </rPr>
          <t xml:space="preserve">bank =371000/
cash =192000/
</t>
        </r>
      </text>
    </comment>
    <comment ref="V20" authorId="1" shapeId="0" xr:uid="{F97A2E45-B400-4812-A006-CFAA82679F08}">
      <text>
        <r>
          <rPr>
            <b/>
            <sz val="9"/>
            <color indexed="81"/>
            <rFont val="Tahoma"/>
            <family val="2"/>
          </rPr>
          <t xml:space="preserve">35p sim purchase
</t>
        </r>
      </text>
    </comment>
  </commentList>
</comments>
</file>

<file path=xl/comments46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Mist</author>
    <author>Shakil Ahmad</author>
  </authors>
  <commentList>
    <comment ref="V18" authorId="0" shapeId="0" xr:uid="{8807E989-B923-455D-A1C7-26FE7200AEE6}">
      <text>
        <r>
          <rPr>
            <b/>
            <sz val="9"/>
            <color indexed="81"/>
            <rFont val="Tahoma"/>
            <family val="2"/>
          </rPr>
          <t xml:space="preserve">Route Cost =920/
</t>
        </r>
      </text>
    </comment>
    <comment ref="V19" authorId="1" shapeId="0" xr:uid="{818E5A0F-CAD0-40A8-9693-8511E2C858FD}">
      <text>
        <r>
          <rPr>
            <b/>
            <sz val="9"/>
            <color indexed="81"/>
            <rFont val="Tahoma"/>
            <family val="2"/>
          </rPr>
          <t xml:space="preserve">bank =737000/
</t>
        </r>
      </text>
    </comment>
    <comment ref="V20" authorId="1" shapeId="0" xr:uid="{43D19B70-794C-496B-BF25-1A6F40885730}">
      <text>
        <r>
          <rPr>
            <b/>
            <sz val="9"/>
            <color indexed="81"/>
            <rFont val="Tahoma"/>
            <family val="2"/>
          </rPr>
          <t xml:space="preserve">35p sim purchase
</t>
        </r>
      </text>
    </comment>
  </commentList>
</comments>
</file>

<file path=xl/comments47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Mist</author>
    <author>Shakil Ahmad</author>
  </authors>
  <commentList>
    <comment ref="V18" authorId="0" shapeId="0" xr:uid="{464BBDC7-C8C0-40BA-8753-CD74F3BA6F13}">
      <text>
        <r>
          <rPr>
            <b/>
            <sz val="9"/>
            <color indexed="81"/>
            <rFont val="Tahoma"/>
            <family val="2"/>
          </rPr>
          <t xml:space="preserve">Route Cost =920/
Water bill =90/
Conveyance =370/
Internet bill =700/
</t>
        </r>
      </text>
    </comment>
    <comment ref="V20" authorId="1" shapeId="0" xr:uid="{5828003D-EF57-444C-808D-9320ECCE609F}">
      <text>
        <r>
          <rPr>
            <b/>
            <sz val="9"/>
            <color indexed="81"/>
            <rFont val="Tahoma"/>
            <family val="2"/>
          </rPr>
          <t xml:space="preserve">35p sim purchase
</t>
        </r>
      </text>
    </comment>
  </commentList>
</comments>
</file>

<file path=xl/comments48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Mist</author>
  </authors>
  <commentList>
    <comment ref="V18" authorId="0" shapeId="0" xr:uid="{7462CD6D-DEE9-4FB1-ACD1-B696B924961C}">
      <text>
        <r>
          <rPr>
            <b/>
            <sz val="9"/>
            <color indexed="81"/>
            <rFont val="Tahoma"/>
            <family val="2"/>
          </rPr>
          <t xml:space="preserve">Route Cost =520/
</t>
        </r>
      </text>
    </comment>
  </commentList>
</comments>
</file>

<file path=xl/comments49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Mist</author>
  </authors>
  <commentList>
    <comment ref="V18" authorId="0" shapeId="0" xr:uid="{51DCE967-16FD-481D-89D6-BEB6BA301F7B}">
      <text>
        <r>
          <rPr>
            <b/>
            <sz val="9"/>
            <color indexed="81"/>
            <rFont val="Tahoma"/>
            <family val="2"/>
          </rPr>
          <t xml:space="preserve">Route Cost =520/
Mobil Change =1590/
Conveyance =100/
</t>
        </r>
      </text>
    </comment>
  </commentList>
</comments>
</file>

<file path=xl/comments50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Mist</author>
  </authors>
  <commentList>
    <comment ref="V18" authorId="0" shapeId="0" xr:uid="{FCCEAD84-B3A6-493E-A3F6-E656D3BA4CDC}">
      <text>
        <r>
          <rPr>
            <b/>
            <sz val="9"/>
            <color indexed="81"/>
            <rFont val="Tahoma"/>
            <family val="2"/>
          </rPr>
          <t>Route Cost =520/
Office Expense (printer toner) =700/
Entertainment =240/</t>
        </r>
      </text>
    </comment>
  </commentList>
</comments>
</file>

<file path=xl/comments51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Mist</author>
  </authors>
  <commentList>
    <comment ref="V18" authorId="0" shapeId="0" xr:uid="{DD528D43-B92E-405E-B5E3-8E2DBBD4D869}">
      <text>
        <r>
          <rPr>
            <b/>
            <sz val="9"/>
            <color indexed="81"/>
            <rFont val="Tahoma"/>
            <family val="2"/>
          </rPr>
          <t>Route Cost =470/</t>
        </r>
      </text>
    </comment>
  </commentList>
</comments>
</file>

<file path=xl/comments52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Mist</author>
    <author>Shakil Ahmad</author>
  </authors>
  <commentList>
    <comment ref="V18" authorId="0" shapeId="0" xr:uid="{5F539031-13AD-4AE4-9819-D6F447E2ACA1}">
      <text>
        <r>
          <rPr>
            <b/>
            <sz val="9"/>
            <color indexed="81"/>
            <rFont val="Tahoma"/>
            <family val="2"/>
          </rPr>
          <t xml:space="preserve">Route Cost =520/
Water Bill =60/
Bike Survicing =250/
</t>
        </r>
      </text>
    </comment>
    <comment ref="V21" authorId="1" shapeId="0" xr:uid="{7CD9DD2A-28B7-4D80-AA09-CA49CA19678C}">
      <text>
        <r>
          <rPr>
            <b/>
            <sz val="9"/>
            <color indexed="81"/>
            <rFont val="Tahoma"/>
            <family val="2"/>
          </rPr>
          <t xml:space="preserve">cash =80000/
</t>
        </r>
      </text>
    </comment>
  </commentList>
</comments>
</file>

<file path=xl/comments53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Mist</author>
    <author>Shakil Ahmad</author>
  </authors>
  <commentList>
    <comment ref="V18" authorId="0" shapeId="0" xr:uid="{6E57DF63-F8D2-4C33-A9C7-9864DB5AA19A}">
      <text>
        <r>
          <rPr>
            <b/>
            <sz val="9"/>
            <color indexed="81"/>
            <rFont val="Tahoma"/>
            <family val="2"/>
          </rPr>
          <t xml:space="preserve">Route Cost =470/
Bike Survicing =500/
</t>
        </r>
      </text>
    </comment>
    <comment ref="V21" authorId="1" shapeId="0" xr:uid="{D48E28AC-71DE-4BD3-B36E-7CBFC33F48A4}">
      <text>
        <r>
          <rPr>
            <b/>
            <sz val="9"/>
            <color indexed="81"/>
            <rFont val="Tahoma"/>
            <family val="2"/>
          </rPr>
          <t xml:space="preserve">cash =80000/
</t>
        </r>
      </text>
    </comment>
  </commentList>
</comments>
</file>

<file path=xl/comments54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Mist</author>
    <author>Shakil Ahmad</author>
  </authors>
  <commentList>
    <comment ref="V18" authorId="0" shapeId="0" xr:uid="{D49593F0-E7A7-4AE1-8726-335260845AE2}">
      <text>
        <r>
          <rPr>
            <b/>
            <sz val="9"/>
            <color indexed="81"/>
            <rFont val="Tahoma"/>
            <family val="2"/>
          </rPr>
          <t xml:space="preserve">Route Cost =470/
Bike Survicing =500/
</t>
        </r>
      </text>
    </comment>
    <comment ref="V21" authorId="1" shapeId="0" xr:uid="{314641D4-046D-44F2-B702-9FD674F01653}">
      <text>
        <r>
          <rPr>
            <b/>
            <sz val="9"/>
            <color indexed="81"/>
            <rFont val="Tahoma"/>
            <family val="2"/>
          </rPr>
          <t xml:space="preserve">cash =80000/
</t>
        </r>
      </text>
    </comment>
  </commentList>
</comments>
</file>

<file path=xl/comments55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Mist</author>
    <author>Shakil Ahmad</author>
  </authors>
  <commentList>
    <comment ref="V18" authorId="0" shapeId="0" xr:uid="{C555645D-A7A5-4B82-AC56-9A2B9BFFE0F8}">
      <text>
        <r>
          <rPr>
            <b/>
            <sz val="9"/>
            <color indexed="81"/>
            <rFont val="Tahoma"/>
            <family val="2"/>
          </rPr>
          <t xml:space="preserve">Route Cost =470/
</t>
        </r>
      </text>
    </comment>
    <comment ref="V21" authorId="1" shapeId="0" xr:uid="{10134A78-D88F-478F-B2CD-5F479F026AA7}">
      <text>
        <r>
          <rPr>
            <b/>
            <sz val="9"/>
            <color indexed="81"/>
            <rFont val="Tahoma"/>
            <family val="2"/>
          </rPr>
          <t xml:space="preserve">cash =80000/
</t>
        </r>
      </text>
    </comment>
  </commentList>
</comments>
</file>

<file path=xl/comments56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Mist</author>
  </authors>
  <commentList>
    <comment ref="V18" authorId="0" shapeId="0" xr:uid="{7934204E-C709-439B-B9C6-14FD7DD4ACC0}">
      <text>
        <r>
          <rPr>
            <b/>
            <sz val="9"/>
            <color indexed="81"/>
            <rFont val="Tahoma"/>
            <family val="2"/>
          </rPr>
          <t xml:space="preserve">Route Cost =520/
</t>
        </r>
      </text>
    </comment>
  </commentList>
</comments>
</file>

<file path=xl/comments57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Mist</author>
  </authors>
  <commentList>
    <comment ref="V18" authorId="0" shapeId="0" xr:uid="{FC778D7C-046A-4092-BAD7-442B35E0A522}">
      <text>
        <r>
          <rPr>
            <b/>
            <sz val="9"/>
            <color indexed="81"/>
            <rFont val="Tahoma"/>
            <family val="2"/>
          </rPr>
          <t xml:space="preserve">Route Cost =470/
Office Expense =150/
Commission =46417/
</t>
        </r>
      </text>
    </comment>
  </commentList>
</comments>
</file>

<file path=xl/comments58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Shakil Ahmad</author>
  </authors>
  <commentList>
    <comment ref="V18" authorId="0" shapeId="0" xr:uid="{2D30ACB2-0F76-47C0-8C52-F86815C7BDFB}">
      <text>
        <r>
          <rPr>
            <b/>
            <sz val="9"/>
            <color indexed="81"/>
            <rFont val="Tahoma"/>
            <family val="2"/>
          </rPr>
          <t>Route Cost =520/
Conveyance =260/</t>
        </r>
      </text>
    </comment>
  </commentList>
</comments>
</file>

<file path=xl/comments59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Shakil Ahmad</author>
  </authors>
  <commentList>
    <comment ref="V18" authorId="0" shapeId="0" xr:uid="{0FD38037-EA93-4FC5-8D74-DD906ED7A03A}">
      <text>
        <r>
          <rPr>
            <b/>
            <sz val="9"/>
            <color indexed="81"/>
            <rFont val="Tahoma"/>
            <family val="2"/>
          </rPr>
          <t xml:space="preserve">Route Cost =470/
Office Expense =2700/
House Cost =2033/
Electricity Bill =918/
</t>
        </r>
      </text>
    </comment>
  </commentList>
</comments>
</file>

<file path=xl/comments60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Shakil Ahmad</author>
  </authors>
  <commentList>
    <comment ref="V18" authorId="0" shapeId="0" xr:uid="{42A499AD-4E51-4445-821F-03D73FD57E7A}">
      <text>
        <r>
          <rPr>
            <b/>
            <sz val="9"/>
            <color indexed="81"/>
            <rFont val="Tahoma"/>
            <family val="2"/>
          </rPr>
          <t xml:space="preserve">Route Cost =470/
Office Expense =2700/
House Cost =2033/
Electricity Bill =918/
</t>
        </r>
      </text>
    </comment>
  </commentList>
</comments>
</file>

<file path=xl/comments61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Shakil Ahmad</author>
  </authors>
  <commentList>
    <comment ref="V18" authorId="0" shapeId="0" xr:uid="{AB315E13-8D76-402C-A9DF-9AB4E80584E2}">
      <text>
        <r>
          <rPr>
            <b/>
            <sz val="9"/>
            <color indexed="81"/>
            <rFont val="Tahoma"/>
            <family val="2"/>
          </rPr>
          <t xml:space="preserve">Route Cost =620/
Bike Survicing =450/
House Rent =7000/
Salary April =31000/
</t>
        </r>
      </text>
    </comment>
  </commentList>
</comments>
</file>

<file path=xl/comments62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Shakil Ahmad</author>
  </authors>
  <commentList>
    <comment ref="V18" authorId="0" shapeId="0" xr:uid="{A58F3511-D0C6-4357-BC12-D18A0FB648A8}">
      <text>
        <r>
          <rPr>
            <b/>
            <sz val="9"/>
            <color indexed="81"/>
            <rFont val="Tahoma"/>
            <family val="2"/>
          </rPr>
          <t xml:space="preserve">Route Cost =520/
House Cost =630/
Mobile Change =2600/
Conveyance =500/
</t>
        </r>
      </text>
    </comment>
  </commentList>
</comments>
</file>

<file path=xl/comments63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Shakil Ahmad</author>
  </authors>
  <commentList>
    <comment ref="V21" authorId="0" shapeId="0" xr:uid="{B0213203-A25A-4E39-9C41-C779B1E9C9B4}">
      <text>
        <r>
          <rPr>
            <b/>
            <sz val="9"/>
            <color indexed="81"/>
            <rFont val="Tahoma"/>
            <family val="2"/>
          </rPr>
          <t xml:space="preserve">E-Life =56100/
MIST =150000/
</t>
        </r>
      </text>
    </comment>
  </commentList>
</comments>
</file>

<file path=xl/comments64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Shakil Ahmad</author>
  </authors>
  <commentList>
    <comment ref="V21" authorId="0" shapeId="0" xr:uid="{CE905F65-1F39-4060-8ADF-564E64C1347A}">
      <text>
        <r>
          <rPr>
            <b/>
            <sz val="9"/>
            <color indexed="81"/>
            <rFont val="Tahoma"/>
            <family val="2"/>
          </rPr>
          <t xml:space="preserve">E-Life =56100/
MIST =150000/
</t>
        </r>
      </text>
    </comment>
  </commentList>
</comments>
</file>

<file path=xl/comments65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Shakil Ahmad</author>
  </authors>
  <commentList>
    <comment ref="V21" authorId="0" shapeId="0" xr:uid="{729D2039-E3B9-4AEE-B55F-DE8159978BFC}">
      <text>
        <r>
          <rPr>
            <b/>
            <sz val="9"/>
            <color indexed="81"/>
            <rFont val="Tahoma"/>
            <family val="2"/>
          </rPr>
          <t xml:space="preserve">E-Life =56100/
MIST =150000/
</t>
        </r>
      </text>
    </comment>
  </commentList>
</comments>
</file>

<file path=xl/comments66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Shakil Ahmad</author>
  </authors>
  <commentList>
    <comment ref="S11" authorId="0" shapeId="0" xr:uid="{1792CD17-BE98-48B3-BF16-2120C7EB3E81}">
      <text>
        <r>
          <rPr>
            <b/>
            <sz val="9"/>
            <color indexed="81"/>
            <rFont val="Tahoma"/>
            <family val="2"/>
          </rPr>
          <t xml:space="preserve">DRC New sim sale
</t>
        </r>
      </text>
    </comment>
  </commentList>
</comments>
</file>

<file path=xl/comments67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Shakil Ahmad</author>
  </authors>
  <commentList>
    <comment ref="V21" authorId="0" shapeId="0" xr:uid="{8A6694EC-1733-4B39-A1E2-FECFF80281A2}">
      <text>
        <r>
          <rPr>
            <b/>
            <sz val="9"/>
            <color indexed="81"/>
            <rFont val="Tahoma"/>
            <family val="2"/>
          </rPr>
          <t xml:space="preserve">E-Life loan back =120000/
Loan To MIST =20000/
</t>
        </r>
      </text>
    </comment>
  </commentList>
</comments>
</file>

<file path=xl/comments68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Shakil Ahmad</author>
  </authors>
  <commentList>
    <comment ref="B17" authorId="0" shapeId="0" xr:uid="{7B9C7800-4DA0-4980-8E27-400F599B2794}">
      <text>
        <r>
          <rPr>
            <b/>
            <sz val="9"/>
            <color indexed="81"/>
            <rFont val="Tahoma"/>
            <family val="2"/>
          </rPr>
          <t xml:space="preserve">28-01-25
</t>
        </r>
      </text>
    </comment>
  </commentList>
</comments>
</file>

<file path=xl/sharedStrings.xml><?xml version="1.0" encoding="utf-8"?>
<sst xmlns="http://schemas.openxmlformats.org/spreadsheetml/2006/main" count="30575" uniqueCount="607">
  <si>
    <t>Jazira, Shariatpur, 01923404770</t>
  </si>
  <si>
    <t xml:space="preserve">BASHAR ENTERPRISE </t>
  </si>
  <si>
    <t>Date:</t>
  </si>
  <si>
    <t>Products Name</t>
  </si>
  <si>
    <t xml:space="preserve">Issue </t>
  </si>
  <si>
    <t xml:space="preserve">Return </t>
  </si>
  <si>
    <t>Sales</t>
  </si>
  <si>
    <t xml:space="preserve">Discount Amount </t>
  </si>
  <si>
    <t xml:space="preserve">Net Amount </t>
  </si>
  <si>
    <t>iTop-Up</t>
  </si>
  <si>
    <t xml:space="preserve">SC-14 Minutes </t>
  </si>
  <si>
    <t>SC-14 MB</t>
  </si>
  <si>
    <t xml:space="preserve">SC-19tk Minutes </t>
  </si>
  <si>
    <t>SC-20tk</t>
  </si>
  <si>
    <t>SC-29tk</t>
  </si>
  <si>
    <t>MMST SIM</t>
  </si>
  <si>
    <t>DD-SIM</t>
  </si>
  <si>
    <t>Swap SIM</t>
  </si>
  <si>
    <t xml:space="preserve">Total Sales Amount </t>
  </si>
  <si>
    <t xml:space="preserve">Total Cash Received </t>
  </si>
  <si>
    <t xml:space="preserve">Total Due Amount </t>
  </si>
  <si>
    <t xml:space="preserve">Total Due Receive Amount </t>
  </si>
  <si>
    <t>RSO NAME:</t>
  </si>
  <si>
    <t>Manager Signature</t>
  </si>
  <si>
    <t>RSO Signature</t>
  </si>
  <si>
    <t>RSO NUMBER</t>
  </si>
  <si>
    <t>RSO NAME</t>
  </si>
  <si>
    <t>I-topUp</t>
  </si>
  <si>
    <t>SC-14 Minutes</t>
  </si>
  <si>
    <t>SC-19 Minutes</t>
  </si>
  <si>
    <t>Total Amount</t>
  </si>
  <si>
    <t>Total</t>
  </si>
  <si>
    <t>Products</t>
  </si>
  <si>
    <t>SC-14 Min</t>
  </si>
  <si>
    <t>SC-19 Min</t>
  </si>
  <si>
    <t>Prepaid SIM</t>
  </si>
  <si>
    <t>EV SIM</t>
  </si>
  <si>
    <t>RSO</t>
  </si>
  <si>
    <t>Opening Stock</t>
  </si>
  <si>
    <t>Lifting Stock</t>
  </si>
  <si>
    <t>Sales Quantity</t>
  </si>
  <si>
    <t>Closing Quantity</t>
  </si>
  <si>
    <t>Quantity</t>
  </si>
  <si>
    <t>Amount</t>
  </si>
  <si>
    <t>Commission Stock</t>
  </si>
  <si>
    <t>STD SIM</t>
  </si>
  <si>
    <t>OPENING</t>
  </si>
  <si>
    <t>CLOSING</t>
  </si>
  <si>
    <t>BL VENDOR (PAY)(-)</t>
  </si>
  <si>
    <t>BL VENDOR</t>
  </si>
  <si>
    <t>PAID</t>
  </si>
  <si>
    <t>CREDIT</t>
  </si>
  <si>
    <t>BALANCE</t>
  </si>
  <si>
    <t>(PICTURE)</t>
  </si>
  <si>
    <t>(1) CASH</t>
  </si>
  <si>
    <t>(2) INCOME (+)</t>
  </si>
  <si>
    <t>(3) LOAN (+)</t>
  </si>
  <si>
    <t>(4) EXPENSE (-)</t>
  </si>
  <si>
    <t>(5) CREDIT(-)</t>
  </si>
  <si>
    <t>(6) CASH(-)</t>
  </si>
  <si>
    <t>(7) BANK DEPOSIT (-)</t>
  </si>
  <si>
    <t>(8) BANK WITHDROW (+)</t>
  </si>
  <si>
    <t>CASH
 (1+2+3-4-5-6-7+8)</t>
  </si>
  <si>
    <t>BANK 
(9+7-8)</t>
  </si>
  <si>
    <t>(9)BANK</t>
  </si>
  <si>
    <t>SC-29 MB</t>
  </si>
  <si>
    <t>DRC SIM</t>
  </si>
  <si>
    <t>SC 10 tk</t>
  </si>
  <si>
    <t>SC 50 tk</t>
  </si>
  <si>
    <t>SC 10 TK</t>
  </si>
  <si>
    <t>SC 50 TK</t>
  </si>
  <si>
    <t>Asim</t>
  </si>
  <si>
    <t>Asikur</t>
  </si>
  <si>
    <t>Sukanto</t>
  </si>
  <si>
    <t>Arman</t>
  </si>
  <si>
    <t>Ripon</t>
  </si>
  <si>
    <t>NANGROVE COMMUNICATION</t>
  </si>
  <si>
    <t>TUNGIPARA,GOPALGONJ,MOBILE NO -</t>
  </si>
  <si>
    <t xml:space="preserve"> Date…24..12..2023..</t>
  </si>
  <si>
    <t xml:space="preserve"> Date…25..12..2023..</t>
  </si>
  <si>
    <t>bank</t>
  </si>
  <si>
    <t>Route Cost</t>
  </si>
  <si>
    <t xml:space="preserve"> Date…26..12..2023..</t>
  </si>
  <si>
    <t>Bank</t>
  </si>
  <si>
    <t>Route Cost, conveyance, bike repair, commission adjust</t>
  </si>
  <si>
    <t>(3) Regonal Budget Back (+)</t>
  </si>
  <si>
    <t xml:space="preserve"> Date…27..12..2023..</t>
  </si>
  <si>
    <t>(3) Loan From MIST (+)</t>
  </si>
  <si>
    <t>Route Cost, BG Renew babod</t>
  </si>
  <si>
    <t xml:space="preserve"> Date…28..12..2023..</t>
  </si>
  <si>
    <t>Route Cost, BL Cost, House Cost, Conveyance, BL C2C Cost</t>
  </si>
  <si>
    <t xml:space="preserve"> Date…30..12..2023..</t>
  </si>
  <si>
    <t xml:space="preserve">Route Cost, House Cost, Conveyance, </t>
  </si>
  <si>
    <t xml:space="preserve"> Date…31..12..2023..</t>
  </si>
  <si>
    <t xml:space="preserve">Route Cost, Software Charge </t>
  </si>
  <si>
    <t>(3) Regional budget back (+)</t>
  </si>
  <si>
    <t>Route Cost, loan refund, commission adjust</t>
  </si>
  <si>
    <t xml:space="preserve"> Date…01..01..2024..</t>
  </si>
  <si>
    <t xml:space="preserve"> Date…02..01..2024..</t>
  </si>
  <si>
    <t>SIM  LOCK Dec-23</t>
  </si>
  <si>
    <t>Route Cost,</t>
  </si>
  <si>
    <t>Route Cost, water bill, house rent</t>
  </si>
  <si>
    <t xml:space="preserve"> Date…03..01..2024..</t>
  </si>
  <si>
    <t xml:space="preserve">Route Cost, </t>
  </si>
  <si>
    <t>(3) Loan (+)</t>
  </si>
  <si>
    <t>Route Cost, Intertainment, office stationary</t>
  </si>
  <si>
    <t xml:space="preserve"> Date…04..01..2024..</t>
  </si>
  <si>
    <t>(3) Due Collection (+)</t>
  </si>
  <si>
    <t>Route Cost, office stationary, electricity bill, internet bill, mobile bill, salary Nov-23</t>
  </si>
  <si>
    <t xml:space="preserve"> Date…05..01..2024..</t>
  </si>
  <si>
    <t>Route Cost, BL Cost, House Cost, Commission adjust</t>
  </si>
  <si>
    <t xml:space="preserve"> Date…08..01..2024..</t>
  </si>
  <si>
    <t>Route Cost, Bike survicing</t>
  </si>
  <si>
    <t xml:space="preserve"> Date…09..01..2024..</t>
  </si>
  <si>
    <t>DD SIM</t>
  </si>
  <si>
    <t>Route Cost, House cost</t>
  </si>
  <si>
    <t xml:space="preserve"> Date…10..01..2024..</t>
  </si>
  <si>
    <t>Route Cost, Entertainment, Electricity good</t>
  </si>
  <si>
    <t xml:space="preserve"> Date…11..01..2024..</t>
  </si>
  <si>
    <t xml:space="preserve"> Date…13..01..2024..</t>
  </si>
  <si>
    <t xml:space="preserve"> Date…14..01..2024..</t>
  </si>
  <si>
    <t xml:space="preserve"> Date…15..01..2024..</t>
  </si>
  <si>
    <t>Route Cost, Bank Charge</t>
  </si>
  <si>
    <t xml:space="preserve"> Date…16..01..2024..</t>
  </si>
  <si>
    <t xml:space="preserve"> Date…17..01..2024..</t>
  </si>
  <si>
    <t>Route Cost, Commission adjust</t>
  </si>
  <si>
    <t xml:space="preserve"> Date…18..01..2024..</t>
  </si>
  <si>
    <t xml:space="preserve"> Date…20..01..2024..</t>
  </si>
  <si>
    <t>(3) Regional budget back &amp; Shera partner Dec-23 (+)</t>
  </si>
  <si>
    <t>Route Cost, Salary Dec-23, Commission adjust</t>
  </si>
  <si>
    <t xml:space="preserve"> Date…21..01..2024..</t>
  </si>
  <si>
    <t>Route Cost, Electricity Bill</t>
  </si>
  <si>
    <t xml:space="preserve"> Date…22..01..2024..</t>
  </si>
  <si>
    <t>Route Cost, Laptop servicing (IT)</t>
  </si>
  <si>
    <t xml:space="preserve"> Date…23..01..2024..</t>
  </si>
  <si>
    <t>Route Cost, Conveyance</t>
  </si>
  <si>
    <t xml:space="preserve"> Date…24..01..2024..</t>
  </si>
  <si>
    <t>Route Cost, Electricity Good</t>
  </si>
  <si>
    <t xml:space="preserve"> Date…25..01..2024..</t>
  </si>
  <si>
    <t xml:space="preserve"> </t>
  </si>
  <si>
    <t xml:space="preserve">            </t>
  </si>
  <si>
    <t xml:space="preserve"> Date…27..01..2024..</t>
  </si>
  <si>
    <t xml:space="preserve"> Date…28..01..2024..</t>
  </si>
  <si>
    <t>Route Cost, Water Bill</t>
  </si>
  <si>
    <t xml:space="preserve"> Date…29..01..2024..</t>
  </si>
  <si>
    <t xml:space="preserve"> Date…30..01..2024..</t>
  </si>
  <si>
    <t>Route Cost, Office Expense</t>
  </si>
  <si>
    <t xml:space="preserve"> Date…31..01..2024..</t>
  </si>
  <si>
    <t>MANGROVE COMMUNICATION</t>
  </si>
  <si>
    <t xml:space="preserve"> Date…01..02..2024..</t>
  </si>
  <si>
    <t>SIM  LOCK Jan-24</t>
  </si>
  <si>
    <t>Route Cost, Commission Adjustment</t>
  </si>
  <si>
    <t xml:space="preserve"> Date…03..02..2024..</t>
  </si>
  <si>
    <t xml:space="preserve"> Date…04..02..2024..</t>
  </si>
  <si>
    <t>(3) Product Back (+)</t>
  </si>
  <si>
    <t>Route Cost, EV KIT RSO Purchase babod 28p</t>
  </si>
  <si>
    <t xml:space="preserve"> Date…05..02..2024..</t>
  </si>
  <si>
    <t>Route Cost, Mobile bill</t>
  </si>
  <si>
    <t xml:space="preserve"> Date…06..02..2024..</t>
  </si>
  <si>
    <t>Route Cost, Commission Adjust</t>
  </si>
  <si>
    <t xml:space="preserve"> Date…07..02..2024..</t>
  </si>
  <si>
    <t>Route Cost, Entertainment,   Mobile Change</t>
  </si>
  <si>
    <t xml:space="preserve"> Date…08..02..2024..</t>
  </si>
  <si>
    <t xml:space="preserve"> Date…10..02..2024..</t>
  </si>
  <si>
    <t>Route Cost, Salary Dec-23, Jan-24</t>
  </si>
  <si>
    <t xml:space="preserve"> Date…11..02..2024..</t>
  </si>
  <si>
    <t>Route Cost, Internet bill</t>
  </si>
  <si>
    <t>Loan Back to MIST (-)</t>
  </si>
  <si>
    <t>PRODUCT VALU</t>
  </si>
  <si>
    <t xml:space="preserve"> Date…12..02..2024..</t>
  </si>
  <si>
    <t>Route Cost, Mobil Bill</t>
  </si>
  <si>
    <t>Lock RSO 11-02-24</t>
  </si>
  <si>
    <t xml:space="preserve"> Date…13..02..2024..</t>
  </si>
  <si>
    <t>STD SIM Hand</t>
  </si>
  <si>
    <t>DRC SIM Due</t>
  </si>
  <si>
    <t>RSO Due</t>
  </si>
  <si>
    <t>(1) CASH Hand</t>
  </si>
  <si>
    <t xml:space="preserve"> Date…14..02..2024..</t>
  </si>
  <si>
    <t>(3) DD ROI Jan-24 (+)</t>
  </si>
  <si>
    <t xml:space="preserve"> Date…15..02..2024..</t>
  </si>
  <si>
    <t xml:space="preserve"> Date…17..02..2024..</t>
  </si>
  <si>
    <t>(3) Shera Partner Jan-24 (+)</t>
  </si>
  <si>
    <t>Route Cost, Office Expense, Commission Adjust</t>
  </si>
  <si>
    <t xml:space="preserve"> Date…18..02..2024..</t>
  </si>
  <si>
    <t xml:space="preserve"> Date…19..02..2024..</t>
  </si>
  <si>
    <t>Route Cost,                 Office Expense</t>
  </si>
  <si>
    <t>TOTAL VALUE</t>
  </si>
  <si>
    <t>PRODUCT VALUE</t>
  </si>
  <si>
    <t xml:space="preserve"> Date…20..02..2024..</t>
  </si>
  <si>
    <t xml:space="preserve">Route Cost,                 </t>
  </si>
  <si>
    <t xml:space="preserve"> Date…21..02..2024..</t>
  </si>
  <si>
    <t xml:space="preserve"> Date…22..02..2024..</t>
  </si>
  <si>
    <t>Route Cost,                 Conveyance,     Conveyance,            Water bill</t>
  </si>
  <si>
    <t xml:space="preserve">Route Cost,       </t>
  </si>
  <si>
    <t xml:space="preserve"> Date…24..02..2024..</t>
  </si>
  <si>
    <t xml:space="preserve"> Date…25..02..2024..</t>
  </si>
  <si>
    <t xml:space="preserve">Route Cost,                                     Electricity bill </t>
  </si>
  <si>
    <t xml:space="preserve"> Date…26..02..2024..</t>
  </si>
  <si>
    <t>Route Cost,                                     Bike Survicing</t>
  </si>
  <si>
    <t xml:space="preserve"> Date…27..02..2024..</t>
  </si>
  <si>
    <t>Route Cost,                                     House Cost</t>
  </si>
  <si>
    <t xml:space="preserve"> Date…28..02..2024..</t>
  </si>
  <si>
    <t>(3) Shera partner Nov-23 (+)</t>
  </si>
  <si>
    <t>Route Cost,                                     Commission Adjust</t>
  </si>
  <si>
    <t xml:space="preserve"> Date…29..02..2024..</t>
  </si>
  <si>
    <t>(3)  (+)</t>
  </si>
  <si>
    <t>Route Cost,                                     Office Expense         Commission Adjust</t>
  </si>
  <si>
    <t xml:space="preserve"> Date…02..03..2024..</t>
  </si>
  <si>
    <t xml:space="preserve">Route Cost,                                    </t>
  </si>
  <si>
    <t>(3) Loan  MIST (+)</t>
  </si>
  <si>
    <t xml:space="preserve"> Date…03..03..2024..</t>
  </si>
  <si>
    <t>(3) Loan From  MIST (+)</t>
  </si>
  <si>
    <t>SIM  LOCK 12th to 29th-24</t>
  </si>
  <si>
    <t xml:space="preserve"> Date…04..03..2024..</t>
  </si>
  <si>
    <t xml:space="preserve">Route Cost,                             Conveyance                      Salary Feb-24       </t>
  </si>
  <si>
    <t>SIM  LOCK 12th to 29th Feb-24</t>
  </si>
  <si>
    <t xml:space="preserve"> Date…05..03..2024..</t>
  </si>
  <si>
    <t xml:space="preserve">Route Cost,                                  </t>
  </si>
  <si>
    <t xml:space="preserve"> Date…06..03..2024..</t>
  </si>
  <si>
    <t xml:space="preserve"> Date…07..03..2024..</t>
  </si>
  <si>
    <t xml:space="preserve"> Date…09..03..2024..</t>
  </si>
  <si>
    <t xml:space="preserve"> Date…10..03..2024..</t>
  </si>
  <si>
    <t>Route Cost,                                  Entertainment                                  Commission Adjust</t>
  </si>
  <si>
    <t xml:space="preserve"> Date…11..03..2024..</t>
  </si>
  <si>
    <t>Route Cost,                                 Internet Bill                                  Stationary</t>
  </si>
  <si>
    <t xml:space="preserve"> Date…12..03..2024..</t>
  </si>
  <si>
    <t>Route Cost,                           Electricity Goods</t>
  </si>
  <si>
    <t>Route Cost,                           Mobil Charge                                 Office Expense</t>
  </si>
  <si>
    <t>Lock RSO 1st to 11th Feb-24</t>
  </si>
  <si>
    <t xml:space="preserve"> Date…13..03..2024..</t>
  </si>
  <si>
    <t xml:space="preserve"> Date…14..03..2024..</t>
  </si>
  <si>
    <t xml:space="preserve">Route Cost,                       </t>
  </si>
  <si>
    <t xml:space="preserve"> Date…16..03..2024..</t>
  </si>
  <si>
    <t xml:space="preserve"> Date…17..03..2024..</t>
  </si>
  <si>
    <t xml:space="preserve"> Date…18..03..2024..</t>
  </si>
  <si>
    <t xml:space="preserve"> Date…19..03..2024..</t>
  </si>
  <si>
    <t xml:space="preserve"> Date…20..03..2024..</t>
  </si>
  <si>
    <t xml:space="preserve"> Date…21..03..2024..</t>
  </si>
  <si>
    <t xml:space="preserve">Route Cost,                 Commission Adjust      </t>
  </si>
  <si>
    <t xml:space="preserve"> Date…23..03..2024..</t>
  </si>
  <si>
    <t>Route Cost,                     House Cost                    Conveyance                       Office Expense</t>
  </si>
  <si>
    <t xml:space="preserve"> Date…24..03..2024..</t>
  </si>
  <si>
    <t xml:space="preserve">Route Cost,                   </t>
  </si>
  <si>
    <t xml:space="preserve"> Date…25..03..2024..</t>
  </si>
  <si>
    <t>Route Cost,                   Bike Survicing</t>
  </si>
  <si>
    <t xml:space="preserve"> Date…26..03..2024..</t>
  </si>
  <si>
    <t xml:space="preserve">Route Cost,                  </t>
  </si>
  <si>
    <t xml:space="preserve"> Date…27..03..2024..</t>
  </si>
  <si>
    <t>Route Cost,                  Office Expense                     Bike Cost</t>
  </si>
  <si>
    <t xml:space="preserve"> Date…28..03..2024..</t>
  </si>
  <si>
    <t>(3) ROY Support (+)</t>
  </si>
  <si>
    <t>Route Cost,                  Commission Adjust</t>
  </si>
  <si>
    <t xml:space="preserve"> Date…30..03..2024..</t>
  </si>
  <si>
    <t xml:space="preserve"> Date…31..03..2024..</t>
  </si>
  <si>
    <t>Route Cost,                  House Cost</t>
  </si>
  <si>
    <t xml:space="preserve"> Date…01..04..2024..</t>
  </si>
  <si>
    <t>SIM LOCK         Mar-34</t>
  </si>
  <si>
    <t>Route Cost,                  House Cost                       GA Adjustment</t>
  </si>
  <si>
    <t xml:space="preserve"> Date…02..04..2024..</t>
  </si>
  <si>
    <t>Route Cost,                     Mobile Survicing</t>
  </si>
  <si>
    <t xml:space="preserve"> Date…03..04..2024..</t>
  </si>
  <si>
    <t>Route Cost,               Conveyance               Commission Adjust</t>
  </si>
  <si>
    <t xml:space="preserve"> Date…04..04..2024..</t>
  </si>
  <si>
    <t>Route Cost,               Conveyance                   BL Cost</t>
  </si>
  <si>
    <t xml:space="preserve"> Date…06..04..2024..</t>
  </si>
  <si>
    <t xml:space="preserve">Route Cost,                            House Rent                              Salary                                     BL Cost  </t>
  </si>
  <si>
    <t xml:space="preserve"> Date…07..04..2024..</t>
  </si>
  <si>
    <t>(3) RSO Due Collection (+)</t>
  </si>
  <si>
    <t>Route Cost,                                   Bike Survicing                             BL Cost                                  Commission Adjust</t>
  </si>
  <si>
    <t>Route Cost,                                  House Cost                          BL Cost</t>
  </si>
  <si>
    <t xml:space="preserve"> Date…09..04..2024..</t>
  </si>
  <si>
    <t xml:space="preserve"> Date…08..04..2024..</t>
  </si>
  <si>
    <t>Route Cost,                                  BL Cost</t>
  </si>
  <si>
    <t xml:space="preserve"> Date…15..04..2024..</t>
  </si>
  <si>
    <t xml:space="preserve"> Date…16..04..2024..</t>
  </si>
  <si>
    <t>Route Cost,                                  Water Bill,                                Conveyance,                             Internet bill</t>
  </si>
  <si>
    <t xml:space="preserve"> Date…17..04..2024..</t>
  </si>
  <si>
    <t xml:space="preserve"> Date…18..04..2024..</t>
  </si>
  <si>
    <t>Route Cost,                                  Mobil Change                                Conveyance</t>
  </si>
  <si>
    <t xml:space="preserve"> Date…20..04..2024..</t>
  </si>
  <si>
    <t>Route Cost,                                 Office Expense                                Entertainment</t>
  </si>
  <si>
    <t xml:space="preserve"> Date…21..04..2024..</t>
  </si>
  <si>
    <t>shera patnar mar 24 adj</t>
  </si>
  <si>
    <t xml:space="preserve">Route Cost,                          </t>
  </si>
  <si>
    <t xml:space="preserve"> Date…22..04..2024..</t>
  </si>
  <si>
    <t>Route Cost,                          Water Bill                           Bike Survicing</t>
  </si>
  <si>
    <t xml:space="preserve"> Date…23..04..2024..</t>
  </si>
  <si>
    <t>Route Cost,                         Bike Survicing</t>
  </si>
  <si>
    <t xml:space="preserve"> Date…24..04..2024..</t>
  </si>
  <si>
    <t>Route Cost,                      House Cost                                 Conveyance</t>
  </si>
  <si>
    <t xml:space="preserve"> Date…25..04..2024..</t>
  </si>
  <si>
    <t xml:space="preserve">Route Cost,                      </t>
  </si>
  <si>
    <t xml:space="preserve"> Date…27..04..2024..</t>
  </si>
  <si>
    <t xml:space="preserve"> Date…28..04..2024..</t>
  </si>
  <si>
    <t xml:space="preserve">Route Cost,                      Office Expense                       Commission </t>
  </si>
  <si>
    <t xml:space="preserve"> Date…29..04..2024..</t>
  </si>
  <si>
    <t>Loan From MIST</t>
  </si>
  <si>
    <t>Route Cost,                      Conveyance</t>
  </si>
  <si>
    <t xml:space="preserve"> Date…30..04..2024..</t>
  </si>
  <si>
    <t>Route Cost,                       Office Expense                     House Cost                Electricity Bill</t>
  </si>
  <si>
    <t xml:space="preserve"> Date…02..05..2024..</t>
  </si>
  <si>
    <t>SIM LOCK April24</t>
  </si>
  <si>
    <t xml:space="preserve"> Date…04..05..2024..</t>
  </si>
  <si>
    <t>Route Cost,                       Bike Survicing                           House Rent                    Salary April-24                         Commission</t>
  </si>
  <si>
    <t xml:space="preserve"> Date…05..05..2024..</t>
  </si>
  <si>
    <t>Route Cost,                       House Cost                    Mobile Change                     Conveyance</t>
  </si>
  <si>
    <t xml:space="preserve"> Date…06..05..2024..</t>
  </si>
  <si>
    <t xml:space="preserve"> Date…07..05..2024..</t>
  </si>
  <si>
    <t xml:space="preserve"> Date…09..05..2024..</t>
  </si>
  <si>
    <t xml:space="preserve"> Date…11..05..2024..</t>
  </si>
  <si>
    <t xml:space="preserve"> Date…12..05..2024..</t>
  </si>
  <si>
    <t xml:space="preserve"> Date…13..05..2024..</t>
  </si>
  <si>
    <t xml:space="preserve"> Date…14..05..2024..</t>
  </si>
  <si>
    <t xml:space="preserve"> Date…15..05..2024..</t>
  </si>
  <si>
    <t xml:space="preserve"> Date…16..05..2024..</t>
  </si>
  <si>
    <t>ROI Suport Back April-24</t>
  </si>
  <si>
    <t xml:space="preserve"> Date…18..05..2024..</t>
  </si>
  <si>
    <t xml:space="preserve"> Date…19..05..2024..</t>
  </si>
  <si>
    <t xml:space="preserve"> Date…20..05..2024..</t>
  </si>
  <si>
    <t>Loan Form E-Life</t>
  </si>
  <si>
    <t xml:space="preserve"> Date…21..05..2024..</t>
  </si>
  <si>
    <t>Loan Form MIST</t>
  </si>
  <si>
    <t>Loan Back E-Life</t>
  </si>
  <si>
    <t xml:space="preserve"> Date…22..05..2024..</t>
  </si>
  <si>
    <t>RSO Due Collection</t>
  </si>
  <si>
    <t>RSO Due Back TO MIST</t>
  </si>
  <si>
    <t xml:space="preserve"> Date…23..05..2024..</t>
  </si>
  <si>
    <t>Loan Refund E-Life, MIST</t>
  </si>
  <si>
    <t xml:space="preserve"> Date…25..05..2024..</t>
  </si>
  <si>
    <t xml:space="preserve"> Date…26..05..2024..</t>
  </si>
  <si>
    <t>Loan form MIST</t>
  </si>
  <si>
    <t xml:space="preserve"> Date…28..05..2024..</t>
  </si>
  <si>
    <t xml:space="preserve"> Date…29..05..2024..</t>
  </si>
  <si>
    <t>SC-69 Data</t>
  </si>
  <si>
    <t xml:space="preserve"> Date…30..05..2024..</t>
  </si>
  <si>
    <t>SIM LOCK May4</t>
  </si>
  <si>
    <t xml:space="preserve"> Date…01..06..2024..</t>
  </si>
  <si>
    <t xml:space="preserve"> Date…03..06..2024..</t>
  </si>
  <si>
    <t xml:space="preserve"> Date…02..06..2024..</t>
  </si>
  <si>
    <t>SIM LOCK May24</t>
  </si>
  <si>
    <t>Loan Refund MIST</t>
  </si>
  <si>
    <t xml:space="preserve"> Date…04..06..2024..</t>
  </si>
  <si>
    <t>SC-69 MB</t>
  </si>
  <si>
    <t xml:space="preserve"> Date…05..06..2024..</t>
  </si>
  <si>
    <t xml:space="preserve"> Date…06..06..2024..</t>
  </si>
  <si>
    <t xml:space="preserve"> Date…08..06..2024..</t>
  </si>
  <si>
    <t xml:space="preserve"> Date…09..06..2024..</t>
  </si>
  <si>
    <t xml:space="preserve"> Date…10..06..2024..</t>
  </si>
  <si>
    <t xml:space="preserve"> Date…11..06..2024..</t>
  </si>
  <si>
    <t xml:space="preserve"> Date…12..06..2024..</t>
  </si>
  <si>
    <t xml:space="preserve"> Date…13..06..2024..</t>
  </si>
  <si>
    <t xml:space="preserve"> Date…15..06..2024..</t>
  </si>
  <si>
    <t>ROI Support Back May-24</t>
  </si>
  <si>
    <t xml:space="preserve"> Date…16..06..2024..</t>
  </si>
  <si>
    <t xml:space="preserve"> Date…22..06..2024..</t>
  </si>
  <si>
    <t xml:space="preserve"> Date…23..06..2024..</t>
  </si>
  <si>
    <t>Loan refund MIST</t>
  </si>
  <si>
    <t xml:space="preserve"> Date…24..06..2024..</t>
  </si>
  <si>
    <t xml:space="preserve"> Date…25..06..2024..</t>
  </si>
  <si>
    <t>RSO Due Collection Back</t>
  </si>
  <si>
    <t xml:space="preserve"> Date…26..06..2024..</t>
  </si>
  <si>
    <t>(-)</t>
  </si>
  <si>
    <t>Loan From MIST  (+)</t>
  </si>
  <si>
    <t xml:space="preserve"> Date…27..06..2024..</t>
  </si>
  <si>
    <t xml:space="preserve"> Date…29..06..2024..</t>
  </si>
  <si>
    <t xml:space="preserve"> Date…30..06..2024..</t>
  </si>
  <si>
    <t>Loan Refund MIST (-)</t>
  </si>
  <si>
    <t xml:space="preserve"> Date…01..07..2024..</t>
  </si>
  <si>
    <t>SIM LOCK June24</t>
  </si>
  <si>
    <t xml:space="preserve"> Date…02..07..2024..</t>
  </si>
  <si>
    <t xml:space="preserve"> Date…03..07..2024..</t>
  </si>
  <si>
    <t xml:space="preserve"> Date…04..07..2024..</t>
  </si>
  <si>
    <t xml:space="preserve"> Date…06..07..2024..</t>
  </si>
  <si>
    <t xml:space="preserve"> Date…07..07..2024..</t>
  </si>
  <si>
    <t xml:space="preserve"> Date…08..07..2024..</t>
  </si>
  <si>
    <t xml:space="preserve"> Date…09..07..2024..</t>
  </si>
  <si>
    <t xml:space="preserve"> Date…10..07..2024..</t>
  </si>
  <si>
    <t xml:space="preserve"> Date…11..07..2024..</t>
  </si>
  <si>
    <t>NEW STD HAND</t>
  </si>
  <si>
    <t xml:space="preserve"> Date…13..07..2024..</t>
  </si>
  <si>
    <t xml:space="preserve"> Date…14..07..2024..</t>
  </si>
  <si>
    <t xml:space="preserve"> Date…15..07..2024..</t>
  </si>
  <si>
    <t xml:space="preserve"> Date…16..07..2024..</t>
  </si>
  <si>
    <t>TUNGIPARA, GOPALGONJ, MOBILE NO -</t>
  </si>
  <si>
    <t>Loan Refund  MIST (-)</t>
  </si>
  <si>
    <t xml:space="preserve"> Date…17..07..2024..</t>
  </si>
  <si>
    <t>RSO DUE Collection Back (-)</t>
  </si>
  <si>
    <t>RSO DUE Collection  (+)</t>
  </si>
  <si>
    <t xml:space="preserve"> Date…18..07..2024..</t>
  </si>
  <si>
    <t xml:space="preserve"> Date…22..07..2024..</t>
  </si>
  <si>
    <t xml:space="preserve"> Date…23..07..2024..</t>
  </si>
  <si>
    <t xml:space="preserve"> Date…24..07..2024..</t>
  </si>
  <si>
    <t xml:space="preserve"> Date…25..07..2024..</t>
  </si>
  <si>
    <t>SC-9TK</t>
  </si>
  <si>
    <t xml:space="preserve"> Date…27..07..2024..</t>
  </si>
  <si>
    <t>SC 9 tk</t>
  </si>
  <si>
    <t xml:space="preserve"> Date…28..07..2024..</t>
  </si>
  <si>
    <t xml:space="preserve"> Date…30..07..2024..</t>
  </si>
  <si>
    <t xml:space="preserve"> Date…29..07..2024..</t>
  </si>
  <si>
    <t xml:space="preserve"> Date…31..07..2024..</t>
  </si>
  <si>
    <t xml:space="preserve"> Date…03..08..2024..</t>
  </si>
  <si>
    <t>NEW SIM DRC</t>
  </si>
  <si>
    <t>Lock sim July-24</t>
  </si>
  <si>
    <t>RSO DUE</t>
  </si>
  <si>
    <t xml:space="preserve"> Date…04..08..2024..</t>
  </si>
  <si>
    <t xml:space="preserve"> Date…07..08..2024..</t>
  </si>
  <si>
    <t xml:space="preserve"> Date…08..08..2024..</t>
  </si>
  <si>
    <t xml:space="preserve"> Date…10..08..2024..</t>
  </si>
  <si>
    <t xml:space="preserve"> Date…11..08..2024..</t>
  </si>
  <si>
    <t xml:space="preserve"> Date…12..08..2024..</t>
  </si>
  <si>
    <t xml:space="preserve"> Date…13..08..2024..</t>
  </si>
  <si>
    <t xml:space="preserve"> Date…14..08..2024..</t>
  </si>
  <si>
    <t xml:space="preserve"> Date…17..08..2024..</t>
  </si>
  <si>
    <t xml:space="preserve"> Date…18..08..2024..</t>
  </si>
  <si>
    <t xml:space="preserve"> Date…19..08..2024..</t>
  </si>
  <si>
    <t xml:space="preserve"> Date…20..08..2024..</t>
  </si>
  <si>
    <t xml:space="preserve"> Date…21..08..2024..</t>
  </si>
  <si>
    <t xml:space="preserve"> Date…22..08..2024..</t>
  </si>
  <si>
    <t xml:space="preserve"> Date…24..08..2024..</t>
  </si>
  <si>
    <t xml:space="preserve"> Date…25..08..2024..</t>
  </si>
  <si>
    <t xml:space="preserve"> Date…26..08..2024..</t>
  </si>
  <si>
    <t xml:space="preserve"> Date…27..08..2024..</t>
  </si>
  <si>
    <t xml:space="preserve"> Date…28..08..2024..</t>
  </si>
  <si>
    <t xml:space="preserve"> Date…29..08..2024..</t>
  </si>
  <si>
    <t xml:space="preserve"> Date…31..08..2024..</t>
  </si>
  <si>
    <t xml:space="preserve"> Date…01..09..2024..</t>
  </si>
  <si>
    <t xml:space="preserve"> Date…02..09..2024..</t>
  </si>
  <si>
    <t>Liton</t>
  </si>
  <si>
    <t xml:space="preserve"> Date…03..09..2024..</t>
  </si>
  <si>
    <t>SCD 49 TK</t>
  </si>
  <si>
    <t xml:space="preserve"> Date…04..09..2024..</t>
  </si>
  <si>
    <t xml:space="preserve"> Date…05..09..2024..</t>
  </si>
  <si>
    <t xml:space="preserve"> Date…07..09..2024..</t>
  </si>
  <si>
    <t xml:space="preserve"> Date…08..09..2024..</t>
  </si>
  <si>
    <t>RSO Due Collection  (+)</t>
  </si>
  <si>
    <t>RSO Due Back (-)</t>
  </si>
  <si>
    <t xml:space="preserve"> Date…09..09..2024..</t>
  </si>
  <si>
    <t>Roman Due Collection  (+)</t>
  </si>
  <si>
    <t>Roman Due Back (-)</t>
  </si>
  <si>
    <t>9TK VOICE</t>
  </si>
  <si>
    <t xml:space="preserve"> Date…10..09..2024..</t>
  </si>
  <si>
    <t>SCV 09 tk</t>
  </si>
  <si>
    <t>SCV 09 TK</t>
  </si>
  <si>
    <t xml:space="preserve"> Date…11..09..2024..</t>
  </si>
  <si>
    <t xml:space="preserve"> Date…12..09..2024..</t>
  </si>
  <si>
    <t xml:space="preserve"> Date…14..09..2024..</t>
  </si>
  <si>
    <t>Ripon Due Back (-)</t>
  </si>
  <si>
    <t>Ripon Due Collection  (+)</t>
  </si>
  <si>
    <t xml:space="preserve"> Date…16..09..2024..</t>
  </si>
  <si>
    <t xml:space="preserve"> Date…17..09..2024..</t>
  </si>
  <si>
    <t xml:space="preserve"> Due Collection  (+)</t>
  </si>
  <si>
    <t xml:space="preserve"> Due Back (-)</t>
  </si>
  <si>
    <t xml:space="preserve"> Date…18..09..2024..</t>
  </si>
  <si>
    <t xml:space="preserve"> Date…19..09..2024..</t>
  </si>
  <si>
    <t xml:space="preserve"> Date…21..09..2024..</t>
  </si>
  <si>
    <t xml:space="preserve"> Date…22..09..2024..</t>
  </si>
  <si>
    <t xml:space="preserve"> Date…23..09..2024..</t>
  </si>
  <si>
    <t xml:space="preserve"> Date…24..09..2024..</t>
  </si>
  <si>
    <t xml:space="preserve"> Date…25..09..2024..</t>
  </si>
  <si>
    <t xml:space="preserve"> Date…26..09..2024..</t>
  </si>
  <si>
    <t xml:space="preserve"> Date…28..09..2024..</t>
  </si>
  <si>
    <t xml:space="preserve"> Market Development Back  (+)</t>
  </si>
  <si>
    <t xml:space="preserve"> Date…29..09..2024..</t>
  </si>
  <si>
    <t xml:space="preserve">  (+)</t>
  </si>
  <si>
    <t xml:space="preserve">  (-)</t>
  </si>
  <si>
    <t xml:space="preserve"> Date…30..09..2024..</t>
  </si>
  <si>
    <t xml:space="preserve"> Date…01..10..2024..</t>
  </si>
  <si>
    <t xml:space="preserve"> Date…02..10..2024..</t>
  </si>
  <si>
    <t xml:space="preserve"> Date…03..10..2024..</t>
  </si>
  <si>
    <t xml:space="preserve"> Date…05..10..2024..</t>
  </si>
  <si>
    <t xml:space="preserve"> Date…06..10..2024..</t>
  </si>
  <si>
    <t xml:space="preserve"> Date…07..10..2024..</t>
  </si>
  <si>
    <t xml:space="preserve"> Date…08..10..2024..</t>
  </si>
  <si>
    <t xml:space="preserve"> Ripon Due Collection (+)</t>
  </si>
  <si>
    <t>Ripon Due Back  (-)</t>
  </si>
  <si>
    <t xml:space="preserve"> Date…09..10..2024..</t>
  </si>
  <si>
    <t xml:space="preserve"> Date…10..10..2024..</t>
  </si>
  <si>
    <t xml:space="preserve"> Date…12..10..2024..</t>
  </si>
  <si>
    <t xml:space="preserve"> Date…14..10..2024..</t>
  </si>
  <si>
    <t>NEW STD DRC (470)</t>
  </si>
  <si>
    <t xml:space="preserve"> Date…15..10..2024..</t>
  </si>
  <si>
    <t xml:space="preserve"> Date…16..10..2024..</t>
  </si>
  <si>
    <t xml:space="preserve"> Date…17..10..2024..</t>
  </si>
  <si>
    <t xml:space="preserve"> Date…19..10..2024..</t>
  </si>
  <si>
    <t xml:space="preserve"> Date…20..10..2024..</t>
  </si>
  <si>
    <t xml:space="preserve"> Date…21..10..2024..</t>
  </si>
  <si>
    <t xml:space="preserve"> Date…22..10..2024..</t>
  </si>
  <si>
    <t>Loan Refund Mist  (-)</t>
  </si>
  <si>
    <t xml:space="preserve"> Date…23..10..2024..</t>
  </si>
  <si>
    <t xml:space="preserve"> Date…24..10..2024..</t>
  </si>
  <si>
    <t xml:space="preserve"> Date…26..10..2024..</t>
  </si>
  <si>
    <t xml:space="preserve"> Date…27..10..2024..</t>
  </si>
  <si>
    <t xml:space="preserve"> Date…28..10..2024..</t>
  </si>
  <si>
    <t xml:space="preserve"> Date…29..10..2024..</t>
  </si>
  <si>
    <t xml:space="preserve"> Date…30..10..2024..</t>
  </si>
  <si>
    <t xml:space="preserve"> Date…31..10..2024..</t>
  </si>
  <si>
    <t xml:space="preserve"> Date…02..11..2024..</t>
  </si>
  <si>
    <t xml:space="preserve"> Date…03..11..2024..</t>
  </si>
  <si>
    <t xml:space="preserve"> Date…04..11..2024..</t>
  </si>
  <si>
    <t xml:space="preserve"> Date…05..11..2024..</t>
  </si>
  <si>
    <t xml:space="preserve"> Date…06..11..2024..</t>
  </si>
  <si>
    <t xml:space="preserve"> Date…07..11..2024..</t>
  </si>
  <si>
    <t xml:space="preserve"> Date…09..11..2024..</t>
  </si>
  <si>
    <t xml:space="preserve"> Date…10..11..2024..</t>
  </si>
  <si>
    <t xml:space="preserve"> Date…11..11..2024..</t>
  </si>
  <si>
    <t xml:space="preserve"> Date…12..11..2024..</t>
  </si>
  <si>
    <t xml:space="preserve"> Date…13..11..2024..</t>
  </si>
  <si>
    <t xml:space="preserve"> Date…14..11..2024..</t>
  </si>
  <si>
    <t xml:space="preserve"> Date…16..11..2024..</t>
  </si>
  <si>
    <t>Prince</t>
  </si>
  <si>
    <t xml:space="preserve"> Date…17..11..2024..</t>
  </si>
  <si>
    <t xml:space="preserve"> Date…18..11..2024..</t>
  </si>
  <si>
    <t xml:space="preserve"> Date…19..11..2024..</t>
  </si>
  <si>
    <t xml:space="preserve"> Date…20..11..2024..</t>
  </si>
  <si>
    <t xml:space="preserve"> Date…21..11..2024..</t>
  </si>
  <si>
    <t>Loan to E-life (-)</t>
  </si>
  <si>
    <t xml:space="preserve"> Date…23..11..2024..</t>
  </si>
  <si>
    <t xml:space="preserve"> Date…24..11..2024..</t>
  </si>
  <si>
    <t xml:space="preserve"> (-)</t>
  </si>
  <si>
    <t>Loan Back E-life  (+)</t>
  </si>
  <si>
    <t xml:space="preserve"> Date…25..11..2024..</t>
  </si>
  <si>
    <t xml:space="preserve"> (+)</t>
  </si>
  <si>
    <t xml:space="preserve"> Date…26..11..2024..</t>
  </si>
  <si>
    <t xml:space="preserve"> Date…27..11..2024..</t>
  </si>
  <si>
    <t xml:space="preserve"> Date…28..11..2024..</t>
  </si>
  <si>
    <t xml:space="preserve"> Date…30..11..2024..</t>
  </si>
  <si>
    <t xml:space="preserve"> Date…01..12..2024..</t>
  </si>
  <si>
    <t xml:space="preserve"> Date…02..12..2024..</t>
  </si>
  <si>
    <t xml:space="preserve"> Date…03..12..2024..</t>
  </si>
  <si>
    <t xml:space="preserve"> Date…04..12..2024..</t>
  </si>
  <si>
    <t xml:space="preserve"> Date…05..12..2024..</t>
  </si>
  <si>
    <t xml:space="preserve"> Date…07..12..2024..</t>
  </si>
  <si>
    <t xml:space="preserve"> Date…08..12..2024..</t>
  </si>
  <si>
    <t xml:space="preserve"> Date…09..12..2024..</t>
  </si>
  <si>
    <t xml:space="preserve"> Date…10..12..2024..</t>
  </si>
  <si>
    <t xml:space="preserve"> Date…11..12..2024..</t>
  </si>
  <si>
    <t xml:space="preserve"> Date…12..12..2024..</t>
  </si>
  <si>
    <t xml:space="preserve"> Date…14..12..2024..</t>
  </si>
  <si>
    <t xml:space="preserve"> Date…15..12..2024..</t>
  </si>
  <si>
    <t xml:space="preserve"> Date…16..12..2024..</t>
  </si>
  <si>
    <t xml:space="preserve"> Date…17..12..2024..</t>
  </si>
  <si>
    <t xml:space="preserve"> Date…18..12..2024..</t>
  </si>
  <si>
    <t xml:space="preserve"> Date…19..12..2024..</t>
  </si>
  <si>
    <t>SC-20 TK</t>
  </si>
  <si>
    <t>SC-20TK</t>
  </si>
  <si>
    <t xml:space="preserve"> Date…21..12..2024..</t>
  </si>
  <si>
    <t xml:space="preserve"> Date…22..12..2024..</t>
  </si>
  <si>
    <t xml:space="preserve"> Date…23..12..2024..</t>
  </si>
  <si>
    <t xml:space="preserve"> Date…24..12..2024..</t>
  </si>
  <si>
    <t>NEW MMST SIM</t>
  </si>
  <si>
    <t xml:space="preserve"> Date…25..12..2024..</t>
  </si>
  <si>
    <t xml:space="preserve"> Date…26..12..2024..</t>
  </si>
  <si>
    <t xml:space="preserve"> Date…28..12..2024..</t>
  </si>
  <si>
    <t xml:space="preserve"> Date…29..12..2024..</t>
  </si>
  <si>
    <t xml:space="preserve"> Date…30..12..2024..</t>
  </si>
  <si>
    <t xml:space="preserve"> Date…31..12..2024..</t>
  </si>
  <si>
    <t xml:space="preserve"> Date…01..01..2025..</t>
  </si>
  <si>
    <t xml:space="preserve"> Date…02..01..2025..</t>
  </si>
  <si>
    <t xml:space="preserve"> Date…04..01..2025..</t>
  </si>
  <si>
    <t xml:space="preserve"> Date…05..01..2025..</t>
  </si>
  <si>
    <t>Ripon Due Collection (+)</t>
  </si>
  <si>
    <t>Due Paid To MIST (-)</t>
  </si>
  <si>
    <t xml:space="preserve"> Date…06..01..2025..</t>
  </si>
  <si>
    <t xml:space="preserve"> Date…07..01..2025..</t>
  </si>
  <si>
    <t xml:space="preserve"> Date…08..01..2025..</t>
  </si>
  <si>
    <t xml:space="preserve"> Date…09..01..2025..</t>
  </si>
  <si>
    <t xml:space="preserve"> Date…11..01..2025..</t>
  </si>
  <si>
    <t xml:space="preserve"> Date…12..01..2025..</t>
  </si>
  <si>
    <t>Loan from E-Life (+)</t>
  </si>
  <si>
    <t>Loan Refund E-Life &amp; Loan to MIST (-)</t>
  </si>
  <si>
    <t xml:space="preserve"> Date…14..01..2025..</t>
  </si>
  <si>
    <t>Loan Back MIST (+)</t>
  </si>
  <si>
    <t xml:space="preserve"> Date…15..01..2025..</t>
  </si>
  <si>
    <t xml:space="preserve"> Date…16..01..2025..</t>
  </si>
  <si>
    <t xml:space="preserve"> Date…18..01..2025..</t>
  </si>
  <si>
    <t xml:space="preserve"> Date…19..01..2025..</t>
  </si>
  <si>
    <t xml:space="preserve"> Date…20..01..2025..</t>
  </si>
  <si>
    <t xml:space="preserve"> Date…21..01..2025..</t>
  </si>
  <si>
    <t xml:space="preserve"> Date…22..01..2025..</t>
  </si>
  <si>
    <t xml:space="preserve"> Date…23..01..2025..</t>
  </si>
  <si>
    <t xml:space="preserve"> Date…25..01..2025..</t>
  </si>
  <si>
    <t xml:space="preserve"> Date…26..01..2025..</t>
  </si>
  <si>
    <t xml:space="preserve"> Date…27..01..2025..</t>
  </si>
  <si>
    <t xml:space="preserve"> Date…28..01..2025..</t>
  </si>
  <si>
    <t xml:space="preserve"> Date…29..01..2025..</t>
  </si>
  <si>
    <t xml:space="preserve"> Date…30..01..2025..</t>
  </si>
  <si>
    <t>Loan to E-life  (-)</t>
  </si>
  <si>
    <t xml:space="preserve"> Date…01..02..2025..</t>
  </si>
  <si>
    <t xml:space="preserve"> Date…02..02..2025..</t>
  </si>
  <si>
    <t>Loan Back E-life (+)</t>
  </si>
  <si>
    <t xml:space="preserve"> Date…03..02..2025..</t>
  </si>
  <si>
    <t>(+)</t>
  </si>
  <si>
    <t xml:space="preserve"> Date…04..02..2025..</t>
  </si>
  <si>
    <t xml:space="preserve"> Date…05..02..2025..</t>
  </si>
  <si>
    <t>x`</t>
  </si>
  <si>
    <t xml:space="preserve"> Date…06..02..2025..</t>
  </si>
  <si>
    <t xml:space="preserve"> Date…08..02..2025..</t>
  </si>
  <si>
    <t xml:space="preserve"> Date…09..02..2025..</t>
  </si>
  <si>
    <t xml:space="preserve"> Date…10..02..2025..</t>
  </si>
  <si>
    <t xml:space="preserve"> Date…11..02..2025..</t>
  </si>
  <si>
    <t xml:space="preserve"> Date…12..02..2025..</t>
  </si>
  <si>
    <t xml:space="preserve"> Date…13..02..2025..</t>
  </si>
  <si>
    <t xml:space="preserve"> Date…15..02..2025..</t>
  </si>
  <si>
    <t xml:space="preserve"> Date…16..02..2025..</t>
  </si>
  <si>
    <t xml:space="preserve"> Date…17..02..2025..</t>
  </si>
  <si>
    <t xml:space="preserve"> Date…18..02..2025..</t>
  </si>
  <si>
    <t xml:space="preserve"> Date…19..02..2025..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</si>
</sst>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5">
    <numFmt numFmtId="44" formatCode="_(&quot;$&quot;* #,##0.00_);_(&quot;$&quot;* \(#,##0.00\);_(&quot;$&quot;* &quot;-&quot;??_);_(@_)"/>
    <numFmt numFmtId="43" formatCode="_(* #,##0.00_);_(* \(#,##0.00\);_(* &quot;-&quot;??_);_(@_)"/>
    <numFmt numFmtId="164" formatCode="_(* #,##0_);_(* \(#,##0\);_(* &quot;-&quot;??_);_(@_)"/>
    <numFmt numFmtId="165" formatCode="0.0"/>
    <numFmt numFmtId="166" formatCode="_ [$¥-804]* #,##0.00_ ;_ [$¥-804]* \-#,##0.00_ ;_ [$¥-804]* &quot;-&quot;??_ ;_ @_ "/>
  </numFmts>
  <fonts count="18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b/>
      <sz val="14"/>
      <color theme="1"/>
      <name val="Calibri"/>
      <family val="2"/>
      <scheme val="minor"/>
    </font>
    <font>
      <sz val="12"/>
      <color theme="1"/>
      <name val="Calibri"/>
      <family val="2"/>
      <scheme val="minor"/>
    </font>
    <font>
      <b/>
      <sz val="11"/>
      <color theme="1"/>
      <name val="Garamond"/>
      <family val="1"/>
    </font>
    <font>
      <sz val="11"/>
      <color theme="1"/>
      <name val="Garamond"/>
      <family val="1"/>
    </font>
    <font>
      <b/>
      <sz val="10"/>
      <color theme="1"/>
      <name val="Garamond"/>
      <family val="1"/>
    </font>
    <font>
      <b/>
      <sz val="9"/>
      <color theme="1"/>
      <name val="Garamond"/>
      <family val="1"/>
    </font>
    <font>
      <b/>
      <sz val="20"/>
      <color theme="1"/>
      <name val="Garamond"/>
      <family val="1"/>
    </font>
    <font>
      <b/>
      <sz val="10"/>
      <color theme="1"/>
      <name val="Bodoni MT Condensed"/>
      <family val="1"/>
    </font>
    <font>
      <sz val="11"/>
      <color theme="1"/>
      <name val="Calibri"/>
      <family val="2"/>
      <scheme val="minor"/>
    </font>
    <font>
      <b/>
      <sz val="12"/>
      <color theme="1"/>
      <name val="Garamond"/>
      <family val="1"/>
    </font>
    <font>
      <b/>
      <sz val="16"/>
      <color theme="1"/>
      <name val="Garamond"/>
      <family val="1"/>
    </font>
    <font>
      <b/>
      <sz val="14"/>
      <color theme="1"/>
      <name val="Garamond"/>
      <family val="1"/>
    </font>
    <font>
      <sz val="14"/>
      <color theme="1"/>
      <name val="Garamond"/>
      <family val="1"/>
    </font>
    <font>
      <b/>
      <sz val="18"/>
      <color theme="1"/>
      <name val="Garamond"/>
      <family val="1"/>
    </font>
    <font>
      <b/>
      <sz val="9"/>
      <color indexed="81"/>
      <name val="Tahoma"/>
      <family val="2"/>
    </font>
    <font>
      <b/>
      <sz val="9"/>
      <color theme="1"/>
      <name val="Bodoni MT Condensed"/>
      <family val="1"/>
    </font>
  </fonts>
  <fills count="8">
    <fill>
      <patternFill patternType="none"/>
    </fill>
    <fill>
      <patternFill patternType="gray125"/>
    </fill>
    <fill>
      <patternFill patternType="solid">
        <fgColor theme="0" tint="-4.9989318521683403E-2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 tint="0.79998168889431442"/>
        <bgColor indexed="64"/>
      </patternFill>
    </fill>
  </fills>
  <borders count="17">
    <border>
      <left/>
      <right/>
      <top/>
      <bottom/>
      <diagonal/>
    </border>
    <border>
      <left style="thin">
        <color rgb="FF505050"/>
      </left>
      <right style="thin">
        <color rgb="FF505050"/>
      </right>
      <top style="thin">
        <color rgb="FF505050"/>
      </top>
      <bottom style="thin">
        <color rgb="FF505050"/>
      </bottom>
      <diagonal/>
    </border>
    <border>
      <left style="thin">
        <color rgb="FF505050"/>
      </left>
      <right style="thin">
        <color rgb="FF505050"/>
      </right>
      <top style="thin">
        <color rgb="FF505050"/>
      </top>
      <bottom/>
      <diagonal/>
    </border>
    <border>
      <left style="thin">
        <color rgb="FF505050"/>
      </left>
      <right/>
      <top style="thin">
        <color rgb="FF505050"/>
      </top>
      <bottom style="thin">
        <color rgb="FF505050"/>
      </bottom>
      <diagonal/>
    </border>
    <border>
      <left/>
      <right/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/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/>
      <right/>
      <top style="thin">
        <color indexed="64"/>
      </top>
      <bottom/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/>
      <bottom/>
      <diagonal/>
    </border>
    <border>
      <left style="thin">
        <color indexed="64"/>
      </left>
      <right style="thin">
        <color indexed="64"/>
      </right>
      <top/>
      <bottom/>
      <diagonal/>
    </border>
  </borders>
  <cellStyleXfs count="3">
    <xf numFmtId="0" fontId="0" fillId="0" borderId="0"/>
    <xf numFmtId="43" fontId="10" fillId="0" borderId="0" applyFont="0" applyFill="0" applyBorder="0" applyAlignment="0" applyProtection="0"/>
    <xf numFmtId="44" fontId="10" fillId="0" borderId="0" applyFont="0" applyFill="0" applyBorder="0" applyAlignment="0" applyProtection="0"/>
  </cellStyleXfs>
  <cellXfs count="2303">
    <xf numFmtId="0" fontId="0" fillId="0" borderId="0" xfId="0"/>
    <xf numFmtId="0" fontId="0" fillId="0" borderId="1" xfId="0" applyBorder="1" applyAlignment="1">
      <alignment horizontal="center" vertical="center"/>
    </xf>
    <xf numFmtId="0" fontId="1" fillId="0" borderId="0" xfId="0" applyFont="1"/>
    <xf numFmtId="0" fontId="1" fillId="0" borderId="1" xfId="0" applyFont="1" applyBorder="1" applyAlignment="1">
      <alignment horizontal="center" vertical="center"/>
    </xf>
    <xf numFmtId="0" fontId="0" fillId="0" borderId="0" xfId="0" applyAlignment="1">
      <alignment horizontal="center" vertical="center"/>
    </xf>
    <xf numFmtId="0" fontId="0" fillId="0" borderId="2" xfId="0" applyBorder="1" applyAlignment="1">
      <alignment horizontal="center" vertical="center"/>
    </xf>
    <xf numFmtId="0" fontId="0" fillId="0" borderId="1" xfId="0" applyFont="1" applyBorder="1" applyAlignment="1">
      <alignment horizontal="center" vertical="center"/>
    </xf>
    <xf numFmtId="0" fontId="0" fillId="0" borderId="2" xfId="0" applyFont="1" applyBorder="1" applyAlignment="1">
      <alignment horizontal="center" vertical="center"/>
    </xf>
    <xf numFmtId="0" fontId="0" fillId="0" borderId="1" xfId="0" applyBorder="1" applyAlignment="1">
      <alignment horizontal="center" vertical="center"/>
    </xf>
    <xf numFmtId="0" fontId="0" fillId="0" borderId="4" xfId="0" applyBorder="1"/>
    <xf numFmtId="0" fontId="5" fillId="0" borderId="0" xfId="0" applyFont="1" applyBorder="1" applyAlignment="1">
      <alignment horizontal="center" vertical="center"/>
    </xf>
    <xf numFmtId="0" fontId="7" fillId="0" borderId="5" xfId="0" applyFont="1" applyBorder="1" applyAlignment="1">
      <alignment horizontal="center" vertical="center"/>
    </xf>
    <xf numFmtId="0" fontId="6" fillId="0" borderId="5" xfId="0" quotePrefix="1" applyFont="1" applyBorder="1" applyAlignment="1">
      <alignment horizontal="center" vertical="center"/>
    </xf>
    <xf numFmtId="0" fontId="0" fillId="0" borderId="0" xfId="0" applyBorder="1"/>
    <xf numFmtId="0" fontId="5" fillId="0" borderId="0" xfId="0" applyFont="1" applyAlignment="1">
      <alignment horizontal="center" vertical="center"/>
    </xf>
    <xf numFmtId="0" fontId="7" fillId="0" borderId="0" xfId="0" applyFont="1" applyBorder="1" applyAlignment="1">
      <alignment horizontal="center" vertical="center"/>
    </xf>
    <xf numFmtId="0" fontId="5" fillId="0" borderId="5" xfId="0" applyFont="1" applyBorder="1" applyAlignment="1">
      <alignment vertical="center"/>
    </xf>
    <xf numFmtId="0" fontId="5" fillId="0" borderId="5" xfId="0" applyFont="1" applyBorder="1" applyAlignment="1">
      <alignment horizontal="center" vertical="center" wrapText="1"/>
    </xf>
    <xf numFmtId="164" fontId="11" fillId="2" borderId="5" xfId="1" applyNumberFormat="1" applyFont="1" applyFill="1" applyBorder="1" applyAlignment="1">
      <alignment horizontal="center" vertical="center"/>
    </xf>
    <xf numFmtId="164" fontId="11" fillId="3" borderId="5" xfId="1" applyNumberFormat="1" applyFont="1" applyFill="1" applyBorder="1" applyAlignment="1">
      <alignment vertical="center"/>
    </xf>
    <xf numFmtId="164" fontId="11" fillId="2" borderId="5" xfId="1" applyNumberFormat="1" applyFont="1" applyFill="1" applyBorder="1" applyAlignment="1">
      <alignment vertical="center"/>
    </xf>
    <xf numFmtId="0" fontId="11" fillId="0" borderId="0" xfId="0" applyFont="1" applyBorder="1" applyAlignment="1">
      <alignment horizontal="center" vertical="center"/>
    </xf>
    <xf numFmtId="165" fontId="11" fillId="0" borderId="5" xfId="0" applyNumberFormat="1" applyFont="1" applyBorder="1" applyAlignment="1">
      <alignment horizontal="center" vertical="center"/>
    </xf>
    <xf numFmtId="1" fontId="11" fillId="2" borderId="5" xfId="1" applyNumberFormat="1" applyFont="1" applyFill="1" applyBorder="1" applyAlignment="1">
      <alignment horizontal="center" vertical="center"/>
    </xf>
    <xf numFmtId="0" fontId="5" fillId="0" borderId="5" xfId="0" applyFont="1" applyBorder="1" applyAlignment="1">
      <alignment horizontal="center" vertical="center"/>
    </xf>
    <xf numFmtId="0" fontId="4" fillId="0" borderId="0" xfId="0" applyFont="1" applyAlignment="1">
      <alignment horizontal="center" vertical="center"/>
    </xf>
    <xf numFmtId="0" fontId="4" fillId="0" borderId="5" xfId="0" applyFont="1" applyBorder="1" applyAlignment="1">
      <alignment horizontal="center" vertical="center"/>
    </xf>
    <xf numFmtId="1" fontId="11" fillId="0" borderId="5" xfId="0" applyNumberFormat="1" applyFont="1" applyBorder="1" applyAlignment="1">
      <alignment horizontal="center" vertical="center"/>
    </xf>
    <xf numFmtId="0" fontId="11" fillId="0" borderId="5" xfId="0" applyFont="1" applyBorder="1" applyAlignment="1">
      <alignment horizontal="center" vertical="center"/>
    </xf>
    <xf numFmtId="164" fontId="11" fillId="0" borderId="5" xfId="0" applyNumberFormat="1" applyFont="1" applyBorder="1" applyAlignment="1">
      <alignment horizontal="center" vertical="center"/>
    </xf>
    <xf numFmtId="0" fontId="7" fillId="4" borderId="5" xfId="0" applyFont="1" applyFill="1" applyBorder="1" applyAlignment="1">
      <alignment horizontal="center" vertical="center"/>
    </xf>
    <xf numFmtId="0" fontId="9" fillId="4" borderId="5" xfId="0" applyFont="1" applyFill="1" applyBorder="1" applyAlignment="1">
      <alignment horizontal="center" vertical="center"/>
    </xf>
    <xf numFmtId="0" fontId="6" fillId="4" borderId="5" xfId="0" applyFont="1" applyFill="1" applyBorder="1" applyAlignment="1">
      <alignment horizontal="center" vertical="center"/>
    </xf>
    <xf numFmtId="0" fontId="7" fillId="4" borderId="5" xfId="0" applyFont="1" applyFill="1" applyBorder="1" applyAlignment="1">
      <alignment horizontal="left" vertical="center"/>
    </xf>
    <xf numFmtId="0" fontId="4" fillId="0" borderId="0" xfId="0" applyFont="1" applyAlignment="1">
      <alignment horizontal="center" vertical="center"/>
    </xf>
    <xf numFmtId="0" fontId="4" fillId="0" borderId="5" xfId="0" applyFont="1" applyBorder="1" applyAlignment="1">
      <alignment horizontal="center" vertical="center"/>
    </xf>
    <xf numFmtId="0" fontId="6" fillId="4" borderId="5" xfId="0" applyFont="1" applyFill="1" applyBorder="1" applyAlignment="1">
      <alignment horizontal="center" vertical="center"/>
    </xf>
    <xf numFmtId="0" fontId="5" fillId="0" borderId="5" xfId="0" applyFont="1" applyBorder="1" applyAlignment="1">
      <alignment horizontal="center" vertical="center"/>
    </xf>
    <xf numFmtId="0" fontId="11" fillId="0" borderId="5" xfId="0" applyFont="1" applyBorder="1" applyAlignment="1">
      <alignment horizontal="center" vertical="center"/>
    </xf>
    <xf numFmtId="164" fontId="11" fillId="0" borderId="5" xfId="0" applyNumberFormat="1" applyFont="1" applyBorder="1" applyAlignment="1">
      <alignment horizontal="center" vertical="center"/>
    </xf>
    <xf numFmtId="1" fontId="11" fillId="0" borderId="5" xfId="0" applyNumberFormat="1" applyFont="1" applyBorder="1" applyAlignment="1">
      <alignment horizontal="center" vertical="center"/>
    </xf>
    <xf numFmtId="1" fontId="11" fillId="0" borderId="5" xfId="0" applyNumberFormat="1" applyFont="1" applyBorder="1" applyAlignment="1">
      <alignment horizontal="center" vertical="center"/>
    </xf>
    <xf numFmtId="0" fontId="11" fillId="0" borderId="5" xfId="0" applyFont="1" applyBorder="1" applyAlignment="1">
      <alignment horizontal="center" vertical="center"/>
    </xf>
    <xf numFmtId="0" fontId="5" fillId="0" borderId="5" xfId="0" applyFont="1" applyBorder="1" applyAlignment="1">
      <alignment horizontal="center" vertical="center"/>
    </xf>
    <xf numFmtId="164" fontId="11" fillId="0" borderId="5" xfId="0" applyNumberFormat="1" applyFont="1" applyBorder="1" applyAlignment="1">
      <alignment horizontal="center" vertical="center"/>
    </xf>
    <xf numFmtId="0" fontId="4" fillId="0" borderId="5" xfId="0" applyFont="1" applyBorder="1" applyAlignment="1">
      <alignment horizontal="center" vertical="center"/>
    </xf>
    <xf numFmtId="0" fontId="6" fillId="4" borderId="5" xfId="0" applyFont="1" applyFill="1" applyBorder="1" applyAlignment="1">
      <alignment horizontal="center" vertical="center"/>
    </xf>
    <xf numFmtId="0" fontId="4" fillId="0" borderId="0" xfId="0" applyFont="1" applyAlignment="1">
      <alignment horizontal="center" vertical="center"/>
    </xf>
    <xf numFmtId="0" fontId="5" fillId="0" borderId="6" xfId="0" applyFont="1" applyBorder="1" applyAlignment="1">
      <alignment vertical="center" wrapText="1"/>
    </xf>
    <xf numFmtId="0" fontId="4" fillId="0" borderId="5" xfId="0" applyFont="1" applyBorder="1" applyAlignment="1">
      <alignment vertical="center"/>
    </xf>
    <xf numFmtId="0" fontId="4" fillId="0" borderId="6" xfId="0" applyFont="1" applyBorder="1" applyAlignment="1">
      <alignment vertical="center" wrapText="1"/>
    </xf>
    <xf numFmtId="0" fontId="4" fillId="0" borderId="5" xfId="0" applyFont="1" applyBorder="1" applyAlignment="1">
      <alignment horizontal="center" vertical="center" wrapText="1"/>
    </xf>
    <xf numFmtId="0" fontId="4" fillId="0" borderId="0" xfId="0" applyFont="1" applyAlignment="1">
      <alignment horizontal="center" vertical="center"/>
    </xf>
    <xf numFmtId="0" fontId="4" fillId="0" borderId="5" xfId="0" applyFont="1" applyBorder="1" applyAlignment="1">
      <alignment horizontal="center" vertical="center"/>
    </xf>
    <xf numFmtId="0" fontId="6" fillId="4" borderId="5" xfId="0" applyFont="1" applyFill="1" applyBorder="1" applyAlignment="1">
      <alignment horizontal="center" vertical="center"/>
    </xf>
    <xf numFmtId="0" fontId="5" fillId="0" borderId="5" xfId="0" applyFont="1" applyBorder="1" applyAlignment="1">
      <alignment horizontal="center" vertical="center"/>
    </xf>
    <xf numFmtId="0" fontId="11" fillId="0" borderId="5" xfId="0" applyFont="1" applyBorder="1" applyAlignment="1">
      <alignment horizontal="center" vertical="center"/>
    </xf>
    <xf numFmtId="164" fontId="11" fillId="0" borderId="5" xfId="0" applyNumberFormat="1" applyFont="1" applyBorder="1" applyAlignment="1">
      <alignment horizontal="center" vertical="center"/>
    </xf>
    <xf numFmtId="1" fontId="11" fillId="0" borderId="5" xfId="0" applyNumberFormat="1" applyFont="1" applyBorder="1" applyAlignment="1">
      <alignment horizontal="center" vertical="center"/>
    </xf>
    <xf numFmtId="1" fontId="11" fillId="0" borderId="5" xfId="0" applyNumberFormat="1" applyFont="1" applyBorder="1" applyAlignment="1">
      <alignment horizontal="center" vertical="center"/>
    </xf>
    <xf numFmtId="0" fontId="11" fillId="0" borderId="5" xfId="0" applyFont="1" applyBorder="1" applyAlignment="1">
      <alignment horizontal="center" vertical="center"/>
    </xf>
    <xf numFmtId="0" fontId="5" fillId="0" borderId="5" xfId="0" applyFont="1" applyBorder="1" applyAlignment="1">
      <alignment horizontal="center" vertical="center"/>
    </xf>
    <xf numFmtId="164" fontId="11" fillId="0" borderId="5" xfId="0" applyNumberFormat="1" applyFont="1" applyBorder="1" applyAlignment="1">
      <alignment horizontal="center" vertical="center"/>
    </xf>
    <xf numFmtId="0" fontId="4" fillId="0" borderId="5" xfId="0" applyFont="1" applyBorder="1" applyAlignment="1">
      <alignment horizontal="center" vertical="center"/>
    </xf>
    <xf numFmtId="0" fontId="6" fillId="4" borderId="5" xfId="0" applyFont="1" applyFill="1" applyBorder="1" applyAlignment="1">
      <alignment horizontal="center" vertical="center"/>
    </xf>
    <xf numFmtId="0" fontId="4" fillId="0" borderId="0" xfId="0" applyFont="1" applyAlignment="1">
      <alignment horizontal="center" vertical="center"/>
    </xf>
    <xf numFmtId="0" fontId="4" fillId="0" borderId="0" xfId="0" applyFont="1" applyAlignment="1">
      <alignment horizontal="center" vertical="center"/>
    </xf>
    <xf numFmtId="0" fontId="4" fillId="0" borderId="5" xfId="0" applyFont="1" applyBorder="1" applyAlignment="1">
      <alignment horizontal="center" vertical="center"/>
    </xf>
    <xf numFmtId="0" fontId="6" fillId="4" borderId="5" xfId="0" applyFont="1" applyFill="1" applyBorder="1" applyAlignment="1">
      <alignment horizontal="center" vertical="center"/>
    </xf>
    <xf numFmtId="0" fontId="5" fillId="0" borderId="5" xfId="0" applyFont="1" applyBorder="1" applyAlignment="1">
      <alignment horizontal="center" vertical="center"/>
    </xf>
    <xf numFmtId="0" fontId="11" fillId="0" borderId="5" xfId="0" applyFont="1" applyBorder="1" applyAlignment="1">
      <alignment horizontal="center" vertical="center"/>
    </xf>
    <xf numFmtId="164" fontId="11" fillId="0" borderId="5" xfId="0" applyNumberFormat="1" applyFont="1" applyBorder="1" applyAlignment="1">
      <alignment horizontal="center" vertical="center"/>
    </xf>
    <xf numFmtId="1" fontId="11" fillId="0" borderId="5" xfId="0" applyNumberFormat="1" applyFont="1" applyBorder="1" applyAlignment="1">
      <alignment horizontal="center" vertical="center"/>
    </xf>
    <xf numFmtId="1" fontId="11" fillId="0" borderId="5" xfId="0" applyNumberFormat="1" applyFont="1" applyBorder="1" applyAlignment="1">
      <alignment horizontal="center" vertical="center"/>
    </xf>
    <xf numFmtId="0" fontId="11" fillId="0" borderId="5" xfId="0" applyFont="1" applyBorder="1" applyAlignment="1">
      <alignment horizontal="center" vertical="center"/>
    </xf>
    <xf numFmtId="0" fontId="5" fillId="0" borderId="5" xfId="0" applyFont="1" applyBorder="1" applyAlignment="1">
      <alignment horizontal="center" vertical="center"/>
    </xf>
    <xf numFmtId="0" fontId="4" fillId="0" borderId="5" xfId="0" applyFont="1" applyBorder="1" applyAlignment="1">
      <alignment horizontal="center" vertical="center"/>
    </xf>
    <xf numFmtId="0" fontId="6" fillId="4" borderId="5" xfId="0" applyFont="1" applyFill="1" applyBorder="1" applyAlignment="1">
      <alignment horizontal="center" vertical="center"/>
    </xf>
    <xf numFmtId="0" fontId="4" fillId="0" borderId="0" xfId="0" applyFont="1" applyAlignment="1">
      <alignment horizontal="center" vertical="center"/>
    </xf>
    <xf numFmtId="0" fontId="4" fillId="0" borderId="0" xfId="0" applyFont="1" applyAlignment="1">
      <alignment horizontal="center" vertical="center"/>
    </xf>
    <xf numFmtId="0" fontId="4" fillId="0" borderId="5" xfId="0" applyFont="1" applyBorder="1" applyAlignment="1">
      <alignment horizontal="center" vertical="center"/>
    </xf>
    <xf numFmtId="0" fontId="6" fillId="4" borderId="5" xfId="0" applyFont="1" applyFill="1" applyBorder="1" applyAlignment="1">
      <alignment horizontal="center" vertical="center"/>
    </xf>
    <xf numFmtId="0" fontId="5" fillId="0" borderId="5" xfId="0" applyFont="1" applyBorder="1" applyAlignment="1">
      <alignment horizontal="center" vertical="center"/>
    </xf>
    <xf numFmtId="0" fontId="11" fillId="0" borderId="5" xfId="0" applyFont="1" applyBorder="1" applyAlignment="1">
      <alignment horizontal="center" vertical="center"/>
    </xf>
    <xf numFmtId="1" fontId="11" fillId="0" borderId="5" xfId="0" applyNumberFormat="1" applyFont="1" applyBorder="1" applyAlignment="1">
      <alignment horizontal="center" vertical="center"/>
    </xf>
    <xf numFmtId="0" fontId="7" fillId="0" borderId="5" xfId="0" applyFont="1" applyBorder="1" applyAlignment="1">
      <alignment horizontal="center" vertical="center" wrapText="1"/>
    </xf>
    <xf numFmtId="0" fontId="7" fillId="4" borderId="5" xfId="0" applyFont="1" applyFill="1" applyBorder="1" applyAlignment="1">
      <alignment horizontal="center" vertical="center" wrapText="1"/>
    </xf>
    <xf numFmtId="0" fontId="12" fillId="0" borderId="5" xfId="0" applyFont="1" applyBorder="1" applyAlignment="1">
      <alignment horizontal="center" vertical="center"/>
    </xf>
    <xf numFmtId="164" fontId="12" fillId="0" borderId="5" xfId="0" applyNumberFormat="1" applyFont="1" applyBorder="1" applyAlignment="1">
      <alignment horizontal="center" vertical="center"/>
    </xf>
    <xf numFmtId="43" fontId="11" fillId="2" borderId="5" xfId="1" applyNumberFormat="1" applyFont="1" applyFill="1" applyBorder="1" applyAlignment="1">
      <alignment vertical="center"/>
    </xf>
    <xf numFmtId="1" fontId="12" fillId="0" borderId="5" xfId="0" applyNumberFormat="1" applyFont="1" applyBorder="1" applyAlignment="1">
      <alignment horizontal="center" vertical="center"/>
    </xf>
    <xf numFmtId="1" fontId="11" fillId="0" borderId="5" xfId="0" applyNumberFormat="1" applyFont="1" applyBorder="1" applyAlignment="1">
      <alignment horizontal="center" vertical="center"/>
    </xf>
    <xf numFmtId="0" fontId="11" fillId="0" borderId="5" xfId="0" applyFont="1" applyBorder="1" applyAlignment="1">
      <alignment horizontal="center" vertical="center"/>
    </xf>
    <xf numFmtId="0" fontId="5" fillId="0" borderId="5" xfId="0" applyFont="1" applyBorder="1" applyAlignment="1">
      <alignment horizontal="center" vertical="center"/>
    </xf>
    <xf numFmtId="0" fontId="4" fillId="0" borderId="5" xfId="0" applyFont="1" applyBorder="1" applyAlignment="1">
      <alignment horizontal="center" vertical="center"/>
    </xf>
    <xf numFmtId="0" fontId="6" fillId="4" borderId="5" xfId="0" applyFont="1" applyFill="1" applyBorder="1" applyAlignment="1">
      <alignment horizontal="center" vertical="center"/>
    </xf>
    <xf numFmtId="0" fontId="4" fillId="0" borderId="0" xfId="0" applyFont="1" applyAlignment="1">
      <alignment horizontal="center" vertical="center"/>
    </xf>
    <xf numFmtId="0" fontId="12" fillId="0" borderId="5" xfId="0" applyFont="1" applyBorder="1" applyAlignment="1">
      <alignment horizontal="center" vertical="center"/>
    </xf>
    <xf numFmtId="1" fontId="12" fillId="0" borderId="5" xfId="0" applyNumberFormat="1" applyFont="1" applyBorder="1" applyAlignment="1">
      <alignment horizontal="center" vertical="center"/>
    </xf>
    <xf numFmtId="164" fontId="12" fillId="0" borderId="5" xfId="0" applyNumberFormat="1" applyFont="1" applyBorder="1" applyAlignment="1">
      <alignment horizontal="center" vertical="center"/>
    </xf>
    <xf numFmtId="0" fontId="6" fillId="0" borderId="5" xfId="0" applyFont="1" applyBorder="1" applyAlignment="1">
      <alignment horizontal="center" vertical="center"/>
    </xf>
    <xf numFmtId="0" fontId="6" fillId="0" borderId="5" xfId="0" applyFont="1" applyBorder="1" applyAlignment="1">
      <alignment horizontal="center" vertical="center" wrapText="1"/>
    </xf>
    <xf numFmtId="0" fontId="4" fillId="0" borderId="0" xfId="0" applyFont="1" applyAlignment="1">
      <alignment horizontal="center" vertical="center"/>
    </xf>
    <xf numFmtId="0" fontId="4" fillId="0" borderId="5" xfId="0" applyFont="1" applyBorder="1" applyAlignment="1">
      <alignment horizontal="center" vertical="center"/>
    </xf>
    <xf numFmtId="0" fontId="6" fillId="4" borderId="5" xfId="0" applyFont="1" applyFill="1" applyBorder="1" applyAlignment="1">
      <alignment horizontal="center" vertical="center"/>
    </xf>
    <xf numFmtId="0" fontId="5" fillId="0" borderId="5" xfId="0" applyFont="1" applyBorder="1" applyAlignment="1">
      <alignment horizontal="center" vertical="center"/>
    </xf>
    <xf numFmtId="0" fontId="11" fillId="0" borderId="5" xfId="0" applyFont="1" applyBorder="1" applyAlignment="1">
      <alignment horizontal="center" vertical="center"/>
    </xf>
    <xf numFmtId="1" fontId="11" fillId="0" borderId="5" xfId="0" applyNumberFormat="1" applyFont="1" applyBorder="1" applyAlignment="1">
      <alignment horizontal="center" vertical="center"/>
    </xf>
    <xf numFmtId="0" fontId="12" fillId="0" borderId="5" xfId="0" applyFont="1" applyBorder="1" applyAlignment="1">
      <alignment horizontal="center" vertical="center"/>
    </xf>
    <xf numFmtId="164" fontId="12" fillId="0" borderId="5" xfId="0" applyNumberFormat="1" applyFont="1" applyBorder="1" applyAlignment="1">
      <alignment horizontal="center" vertical="center"/>
    </xf>
    <xf numFmtId="1" fontId="12" fillId="0" borderId="5" xfId="0" applyNumberFormat="1" applyFont="1" applyBorder="1" applyAlignment="1">
      <alignment horizontal="center" vertical="center"/>
    </xf>
    <xf numFmtId="1" fontId="11" fillId="0" borderId="5" xfId="0" applyNumberFormat="1" applyFont="1" applyBorder="1" applyAlignment="1">
      <alignment horizontal="center" vertical="center"/>
    </xf>
    <xf numFmtId="0" fontId="11" fillId="0" borderId="5" xfId="0" applyFont="1" applyBorder="1" applyAlignment="1">
      <alignment horizontal="center" vertical="center"/>
    </xf>
    <xf numFmtId="0" fontId="5" fillId="0" borderId="5" xfId="0" applyFont="1" applyBorder="1" applyAlignment="1">
      <alignment horizontal="center" vertical="center"/>
    </xf>
    <xf numFmtId="0" fontId="4" fillId="0" borderId="5" xfId="0" applyFont="1" applyBorder="1" applyAlignment="1">
      <alignment horizontal="center" vertical="center"/>
    </xf>
    <xf numFmtId="0" fontId="6" fillId="4" borderId="5" xfId="0" applyFont="1" applyFill="1" applyBorder="1" applyAlignment="1">
      <alignment horizontal="center" vertical="center"/>
    </xf>
    <xf numFmtId="0" fontId="4" fillId="0" borderId="0" xfId="0" applyFont="1" applyAlignment="1">
      <alignment horizontal="center" vertical="center"/>
    </xf>
    <xf numFmtId="0" fontId="12" fillId="0" borderId="5" xfId="0" applyFont="1" applyBorder="1" applyAlignment="1">
      <alignment horizontal="center" vertical="center"/>
    </xf>
    <xf numFmtId="1" fontId="12" fillId="0" borderId="5" xfId="0" applyNumberFormat="1" applyFont="1" applyBorder="1" applyAlignment="1">
      <alignment horizontal="center" vertical="center"/>
    </xf>
    <xf numFmtId="164" fontId="12" fillId="0" borderId="5" xfId="0" applyNumberFormat="1" applyFont="1" applyBorder="1" applyAlignment="1">
      <alignment horizontal="center" vertical="center"/>
    </xf>
    <xf numFmtId="0" fontId="4" fillId="0" borderId="0" xfId="0" applyFont="1" applyAlignment="1">
      <alignment horizontal="center" vertical="center"/>
    </xf>
    <xf numFmtId="0" fontId="4" fillId="0" borderId="5" xfId="0" applyFont="1" applyBorder="1" applyAlignment="1">
      <alignment horizontal="center" vertical="center"/>
    </xf>
    <xf numFmtId="0" fontId="6" fillId="4" borderId="5" xfId="0" applyFont="1" applyFill="1" applyBorder="1" applyAlignment="1">
      <alignment horizontal="center" vertical="center"/>
    </xf>
    <xf numFmtId="0" fontId="5" fillId="0" borderId="5" xfId="0" applyFont="1" applyBorder="1" applyAlignment="1">
      <alignment horizontal="center" vertical="center"/>
    </xf>
    <xf numFmtId="0" fontId="11" fillId="0" borderId="5" xfId="0" applyFont="1" applyBorder="1" applyAlignment="1">
      <alignment horizontal="center" vertical="center"/>
    </xf>
    <xf numFmtId="1" fontId="11" fillId="0" borderId="5" xfId="0" applyNumberFormat="1" applyFont="1" applyBorder="1" applyAlignment="1">
      <alignment horizontal="center" vertical="center"/>
    </xf>
    <xf numFmtId="0" fontId="12" fillId="0" borderId="5" xfId="0" applyFont="1" applyBorder="1" applyAlignment="1">
      <alignment horizontal="center" vertical="center"/>
    </xf>
    <xf numFmtId="164" fontId="12" fillId="0" borderId="5" xfId="0" applyNumberFormat="1" applyFont="1" applyBorder="1" applyAlignment="1">
      <alignment horizontal="center" vertical="center"/>
    </xf>
    <xf numFmtId="1" fontId="12" fillId="0" borderId="5" xfId="0" applyNumberFormat="1" applyFont="1" applyBorder="1" applyAlignment="1">
      <alignment horizontal="center" vertical="center"/>
    </xf>
    <xf numFmtId="0" fontId="7" fillId="4" borderId="5" xfId="0" applyFont="1" applyFill="1" applyBorder="1" applyAlignment="1">
      <alignment horizontal="center" vertical="center" wrapText="1"/>
    </xf>
    <xf numFmtId="0" fontId="5" fillId="0" borderId="0" xfId="0" applyFont="1" applyBorder="1" applyAlignment="1">
      <alignment horizontal="center" vertical="center"/>
    </xf>
    <xf numFmtId="1" fontId="11" fillId="0" borderId="5" xfId="0" applyNumberFormat="1" applyFont="1" applyBorder="1" applyAlignment="1">
      <alignment horizontal="center" vertical="center"/>
    </xf>
    <xf numFmtId="0" fontId="11" fillId="0" borderId="5" xfId="0" applyFont="1" applyBorder="1" applyAlignment="1">
      <alignment horizontal="center" vertical="center"/>
    </xf>
    <xf numFmtId="0" fontId="5" fillId="0" borderId="5" xfId="0" applyFont="1" applyBorder="1" applyAlignment="1">
      <alignment horizontal="center" vertical="center"/>
    </xf>
    <xf numFmtId="0" fontId="4" fillId="0" borderId="5" xfId="0" applyFont="1" applyBorder="1" applyAlignment="1">
      <alignment horizontal="center" vertical="center"/>
    </xf>
    <xf numFmtId="0" fontId="6" fillId="4" borderId="5" xfId="0" applyFont="1" applyFill="1" applyBorder="1" applyAlignment="1">
      <alignment horizontal="center" vertical="center"/>
    </xf>
    <xf numFmtId="0" fontId="4" fillId="0" borderId="0" xfId="0" applyFont="1" applyAlignment="1">
      <alignment horizontal="center" vertical="center"/>
    </xf>
    <xf numFmtId="0" fontId="12" fillId="0" borderId="5" xfId="0" applyFont="1" applyBorder="1" applyAlignment="1">
      <alignment horizontal="center" vertical="center"/>
    </xf>
    <xf numFmtId="1" fontId="12" fillId="0" borderId="5" xfId="0" applyNumberFormat="1" applyFont="1" applyBorder="1" applyAlignment="1">
      <alignment horizontal="center" vertical="center"/>
    </xf>
    <xf numFmtId="164" fontId="12" fillId="0" borderId="5" xfId="0" applyNumberFormat="1" applyFont="1" applyBorder="1" applyAlignment="1">
      <alignment horizontal="center" vertical="center"/>
    </xf>
    <xf numFmtId="0" fontId="7" fillId="4" borderId="5" xfId="0" applyFont="1" applyFill="1" applyBorder="1" applyAlignment="1">
      <alignment horizontal="center" vertical="center" wrapText="1"/>
    </xf>
    <xf numFmtId="0" fontId="5" fillId="0" borderId="0" xfId="0" applyFont="1" applyBorder="1" applyAlignment="1">
      <alignment horizontal="center" vertical="center"/>
    </xf>
    <xf numFmtId="0" fontId="9" fillId="4" borderId="5" xfId="0" applyFont="1" applyFill="1" applyBorder="1" applyAlignment="1">
      <alignment horizontal="center" vertical="center" wrapText="1"/>
    </xf>
    <xf numFmtId="0" fontId="11" fillId="5" borderId="5" xfId="0" applyFont="1" applyFill="1" applyBorder="1" applyAlignment="1">
      <alignment horizontal="center" vertical="center"/>
    </xf>
    <xf numFmtId="0" fontId="4" fillId="0" borderId="0" xfId="0" applyFont="1" applyAlignment="1">
      <alignment horizontal="center" vertical="center"/>
    </xf>
    <xf numFmtId="0" fontId="4" fillId="0" borderId="5" xfId="0" applyFont="1" applyBorder="1" applyAlignment="1">
      <alignment horizontal="center" vertical="center"/>
    </xf>
    <xf numFmtId="0" fontId="6" fillId="4" borderId="5" xfId="0" applyFont="1" applyFill="1" applyBorder="1" applyAlignment="1">
      <alignment horizontal="center" vertical="center"/>
    </xf>
    <xf numFmtId="0" fontId="5" fillId="0" borderId="5" xfId="0" applyFont="1" applyBorder="1" applyAlignment="1">
      <alignment horizontal="center" vertical="center"/>
    </xf>
    <xf numFmtId="0" fontId="11" fillId="0" borderId="5" xfId="0" applyFont="1" applyBorder="1" applyAlignment="1">
      <alignment horizontal="center" vertical="center"/>
    </xf>
    <xf numFmtId="1" fontId="11" fillId="0" borderId="5" xfId="0" applyNumberFormat="1" applyFont="1" applyBorder="1" applyAlignment="1">
      <alignment horizontal="center" vertical="center"/>
    </xf>
    <xf numFmtId="0" fontId="12" fillId="0" borderId="5" xfId="0" applyFont="1" applyBorder="1" applyAlignment="1">
      <alignment horizontal="center" vertical="center"/>
    </xf>
    <xf numFmtId="164" fontId="12" fillId="0" borderId="5" xfId="0" applyNumberFormat="1" applyFont="1" applyBorder="1" applyAlignment="1">
      <alignment horizontal="center" vertical="center"/>
    </xf>
    <xf numFmtId="1" fontId="12" fillId="0" borderId="5" xfId="0" applyNumberFormat="1" applyFont="1" applyBorder="1" applyAlignment="1">
      <alignment horizontal="center" vertical="center"/>
    </xf>
    <xf numFmtId="0" fontId="7" fillId="4" borderId="5" xfId="0" applyFont="1" applyFill="1" applyBorder="1" applyAlignment="1">
      <alignment horizontal="center" vertical="center" wrapText="1"/>
    </xf>
    <xf numFmtId="0" fontId="5" fillId="0" borderId="0" xfId="0" applyFont="1" applyBorder="1" applyAlignment="1">
      <alignment horizontal="center" vertical="center"/>
    </xf>
    <xf numFmtId="1" fontId="11" fillId="0" borderId="5" xfId="0" applyNumberFormat="1" applyFont="1" applyBorder="1" applyAlignment="1">
      <alignment horizontal="center" vertical="center"/>
    </xf>
    <xf numFmtId="0" fontId="11" fillId="0" borderId="5" xfId="0" applyFont="1" applyBorder="1" applyAlignment="1">
      <alignment horizontal="center" vertical="center"/>
    </xf>
    <xf numFmtId="0" fontId="5" fillId="0" borderId="5" xfId="0" applyFont="1" applyBorder="1" applyAlignment="1">
      <alignment horizontal="center" vertical="center"/>
    </xf>
    <xf numFmtId="0" fontId="4" fillId="0" borderId="5" xfId="0" applyFont="1" applyBorder="1" applyAlignment="1">
      <alignment horizontal="center" vertical="center"/>
    </xf>
    <xf numFmtId="0" fontId="6" fillId="4" borderId="5" xfId="0" applyFont="1" applyFill="1" applyBorder="1" applyAlignment="1">
      <alignment horizontal="center" vertical="center"/>
    </xf>
    <xf numFmtId="0" fontId="4" fillId="0" borderId="0" xfId="0" applyFont="1" applyAlignment="1">
      <alignment horizontal="center" vertical="center"/>
    </xf>
    <xf numFmtId="0" fontId="12" fillId="0" borderId="5" xfId="0" applyFont="1" applyBorder="1" applyAlignment="1">
      <alignment horizontal="center" vertical="center"/>
    </xf>
    <xf numFmtId="1" fontId="12" fillId="0" borderId="5" xfId="0" applyNumberFormat="1" applyFont="1" applyBorder="1" applyAlignment="1">
      <alignment horizontal="center" vertical="center"/>
    </xf>
    <xf numFmtId="164" fontId="12" fillId="0" borderId="5" xfId="0" applyNumberFormat="1" applyFont="1" applyBorder="1" applyAlignment="1">
      <alignment horizontal="center" vertical="center"/>
    </xf>
    <xf numFmtId="0" fontId="7" fillId="4" borderId="5" xfId="0" applyFont="1" applyFill="1" applyBorder="1" applyAlignment="1">
      <alignment horizontal="center" vertical="center" wrapText="1"/>
    </xf>
    <xf numFmtId="0" fontId="5" fillId="0" borderId="0" xfId="0" applyFont="1" applyBorder="1" applyAlignment="1">
      <alignment horizontal="center" vertical="center"/>
    </xf>
    <xf numFmtId="0" fontId="4" fillId="0" borderId="0" xfId="0" applyFont="1" applyAlignment="1">
      <alignment horizontal="center" vertical="center"/>
    </xf>
    <xf numFmtId="0" fontId="4" fillId="0" borderId="5" xfId="0" applyFont="1" applyBorder="1" applyAlignment="1">
      <alignment horizontal="center" vertical="center"/>
    </xf>
    <xf numFmtId="0" fontId="6" fillId="4" borderId="5" xfId="0" applyFont="1" applyFill="1" applyBorder="1" applyAlignment="1">
      <alignment horizontal="center" vertical="center"/>
    </xf>
    <xf numFmtId="0" fontId="5" fillId="0" borderId="5" xfId="0" applyFont="1" applyBorder="1" applyAlignment="1">
      <alignment horizontal="center" vertical="center"/>
    </xf>
    <xf numFmtId="0" fontId="11" fillId="0" borderId="5" xfId="0" applyFont="1" applyBorder="1" applyAlignment="1">
      <alignment horizontal="center" vertical="center"/>
    </xf>
    <xf numFmtId="1" fontId="11" fillId="0" borderId="5" xfId="0" applyNumberFormat="1" applyFont="1" applyBorder="1" applyAlignment="1">
      <alignment horizontal="center" vertical="center"/>
    </xf>
    <xf numFmtId="0" fontId="12" fillId="0" borderId="5" xfId="0" applyFont="1" applyBorder="1" applyAlignment="1">
      <alignment horizontal="center" vertical="center"/>
    </xf>
    <xf numFmtId="164" fontId="12" fillId="0" borderId="5" xfId="0" applyNumberFormat="1" applyFont="1" applyBorder="1" applyAlignment="1">
      <alignment horizontal="center" vertical="center"/>
    </xf>
    <xf numFmtId="1" fontId="12" fillId="0" borderId="5" xfId="0" applyNumberFormat="1" applyFont="1" applyBorder="1" applyAlignment="1">
      <alignment horizontal="center" vertical="center"/>
    </xf>
    <xf numFmtId="0" fontId="7" fillId="4" borderId="5" xfId="0" applyFont="1" applyFill="1" applyBorder="1" applyAlignment="1">
      <alignment horizontal="center" vertical="center" wrapText="1"/>
    </xf>
    <xf numFmtId="0" fontId="5" fillId="0" borderId="0" xfId="0" applyFont="1" applyBorder="1" applyAlignment="1">
      <alignment horizontal="center" vertical="center"/>
    </xf>
    <xf numFmtId="1" fontId="11" fillId="0" borderId="5" xfId="0" applyNumberFormat="1" applyFont="1" applyBorder="1" applyAlignment="1">
      <alignment horizontal="center" vertical="center"/>
    </xf>
    <xf numFmtId="0" fontId="11" fillId="0" borderId="5" xfId="0" applyFont="1" applyBorder="1" applyAlignment="1">
      <alignment horizontal="center" vertical="center"/>
    </xf>
    <xf numFmtId="0" fontId="5" fillId="0" borderId="5" xfId="0" applyFont="1" applyBorder="1" applyAlignment="1">
      <alignment horizontal="center" vertical="center"/>
    </xf>
    <xf numFmtId="0" fontId="4" fillId="0" borderId="5" xfId="0" applyFont="1" applyBorder="1" applyAlignment="1">
      <alignment horizontal="center" vertical="center"/>
    </xf>
    <xf numFmtId="0" fontId="6" fillId="4" borderId="5" xfId="0" applyFont="1" applyFill="1" applyBorder="1" applyAlignment="1">
      <alignment horizontal="center" vertical="center"/>
    </xf>
    <xf numFmtId="0" fontId="4" fillId="0" borderId="0" xfId="0" applyFont="1" applyAlignment="1">
      <alignment horizontal="center" vertical="center"/>
    </xf>
    <xf numFmtId="0" fontId="12" fillId="0" borderId="5" xfId="0" applyFont="1" applyBorder="1" applyAlignment="1">
      <alignment horizontal="center" vertical="center"/>
    </xf>
    <xf numFmtId="1" fontId="12" fillId="0" borderId="5" xfId="0" applyNumberFormat="1" applyFont="1" applyBorder="1" applyAlignment="1">
      <alignment horizontal="center" vertical="center"/>
    </xf>
    <xf numFmtId="164" fontId="12" fillId="0" borderId="5" xfId="0" applyNumberFormat="1" applyFont="1" applyBorder="1" applyAlignment="1">
      <alignment horizontal="center" vertical="center"/>
    </xf>
    <xf numFmtId="0" fontId="7" fillId="4" borderId="5" xfId="0" applyFont="1" applyFill="1" applyBorder="1" applyAlignment="1">
      <alignment horizontal="center" vertical="center" wrapText="1"/>
    </xf>
    <xf numFmtId="0" fontId="5" fillId="0" borderId="0" xfId="0" applyFont="1" applyBorder="1" applyAlignment="1">
      <alignment horizontal="center" vertical="center"/>
    </xf>
    <xf numFmtId="0" fontId="4" fillId="0" borderId="0" xfId="0" applyFont="1" applyAlignment="1">
      <alignment horizontal="center" vertical="center"/>
    </xf>
    <xf numFmtId="0" fontId="4" fillId="0" borderId="5" xfId="0" applyFont="1" applyBorder="1" applyAlignment="1">
      <alignment horizontal="center" vertical="center"/>
    </xf>
    <xf numFmtId="0" fontId="6" fillId="4" borderId="5" xfId="0" applyFont="1" applyFill="1" applyBorder="1" applyAlignment="1">
      <alignment horizontal="center" vertical="center"/>
    </xf>
    <xf numFmtId="0" fontId="5" fillId="0" borderId="5" xfId="0" applyFont="1" applyBorder="1" applyAlignment="1">
      <alignment horizontal="center" vertical="center"/>
    </xf>
    <xf numFmtId="0" fontId="11" fillId="0" borderId="5" xfId="0" applyFont="1" applyBorder="1" applyAlignment="1">
      <alignment horizontal="center" vertical="center"/>
    </xf>
    <xf numFmtId="1" fontId="11" fillId="0" borderId="5" xfId="0" applyNumberFormat="1" applyFont="1" applyBorder="1" applyAlignment="1">
      <alignment horizontal="center" vertical="center"/>
    </xf>
    <xf numFmtId="0" fontId="12" fillId="0" borderId="5" xfId="0" applyFont="1" applyBorder="1" applyAlignment="1">
      <alignment horizontal="center" vertical="center"/>
    </xf>
    <xf numFmtId="164" fontId="12" fillId="0" borderId="5" xfId="0" applyNumberFormat="1" applyFont="1" applyBorder="1" applyAlignment="1">
      <alignment horizontal="center" vertical="center"/>
    </xf>
    <xf numFmtId="1" fontId="12" fillId="0" borderId="5" xfId="0" applyNumberFormat="1" applyFont="1" applyBorder="1" applyAlignment="1">
      <alignment horizontal="center" vertical="center"/>
    </xf>
    <xf numFmtId="0" fontId="7" fillId="4" borderId="5" xfId="0" applyFont="1" applyFill="1" applyBorder="1" applyAlignment="1">
      <alignment horizontal="center" vertical="center" wrapText="1"/>
    </xf>
    <xf numFmtId="0" fontId="5" fillId="0" borderId="0" xfId="0" applyFont="1" applyBorder="1" applyAlignment="1">
      <alignment horizontal="center" vertical="center"/>
    </xf>
    <xf numFmtId="1" fontId="11" fillId="0" borderId="5" xfId="0" applyNumberFormat="1" applyFont="1" applyBorder="1" applyAlignment="1">
      <alignment horizontal="center" vertical="center"/>
    </xf>
    <xf numFmtId="0" fontId="11" fillId="0" borderId="5" xfId="0" applyFont="1" applyBorder="1" applyAlignment="1">
      <alignment horizontal="center" vertical="center"/>
    </xf>
    <xf numFmtId="0" fontId="5" fillId="0" borderId="5" xfId="0" applyFont="1" applyBorder="1" applyAlignment="1">
      <alignment horizontal="center" vertical="center"/>
    </xf>
    <xf numFmtId="0" fontId="4" fillId="0" borderId="5" xfId="0" applyFont="1" applyBorder="1" applyAlignment="1">
      <alignment horizontal="center" vertical="center"/>
    </xf>
    <xf numFmtId="0" fontId="6" fillId="4" borderId="5" xfId="0" applyFont="1" applyFill="1" applyBorder="1" applyAlignment="1">
      <alignment horizontal="center" vertical="center"/>
    </xf>
    <xf numFmtId="0" fontId="4" fillId="0" borderId="0" xfId="0" applyFont="1" applyAlignment="1">
      <alignment horizontal="center" vertical="center"/>
    </xf>
    <xf numFmtId="0" fontId="12" fillId="0" borderId="5" xfId="0" applyFont="1" applyBorder="1" applyAlignment="1">
      <alignment horizontal="center" vertical="center"/>
    </xf>
    <xf numFmtId="1" fontId="12" fillId="0" borderId="5" xfId="0" applyNumberFormat="1" applyFont="1" applyBorder="1" applyAlignment="1">
      <alignment horizontal="center" vertical="center"/>
    </xf>
    <xf numFmtId="164" fontId="12" fillId="0" borderId="5" xfId="0" applyNumberFormat="1" applyFont="1" applyBorder="1" applyAlignment="1">
      <alignment horizontal="center" vertical="center"/>
    </xf>
    <xf numFmtId="0" fontId="7" fillId="4" borderId="5" xfId="0" applyFont="1" applyFill="1" applyBorder="1" applyAlignment="1">
      <alignment horizontal="center" vertical="center" wrapText="1"/>
    </xf>
    <xf numFmtId="0" fontId="5" fillId="0" borderId="0" xfId="0" applyFont="1" applyBorder="1" applyAlignment="1">
      <alignment horizontal="center" vertical="center"/>
    </xf>
    <xf numFmtId="0" fontId="7" fillId="6" borderId="5" xfId="0" applyFont="1" applyFill="1" applyBorder="1" applyAlignment="1">
      <alignment horizontal="center" vertical="center"/>
    </xf>
    <xf numFmtId="0" fontId="4" fillId="6" borderId="5" xfId="0" applyFont="1" applyFill="1" applyBorder="1" applyAlignment="1">
      <alignment horizontal="center" vertical="center"/>
    </xf>
    <xf numFmtId="0" fontId="4" fillId="0" borderId="0" xfId="0" applyFont="1" applyAlignment="1">
      <alignment horizontal="center" vertical="center"/>
    </xf>
    <xf numFmtId="0" fontId="4" fillId="0" borderId="5" xfId="0" applyFont="1" applyBorder="1" applyAlignment="1">
      <alignment horizontal="center" vertical="center"/>
    </xf>
    <xf numFmtId="0" fontId="6" fillId="4" borderId="5" xfId="0" applyFont="1" applyFill="1" applyBorder="1" applyAlignment="1">
      <alignment horizontal="center" vertical="center"/>
    </xf>
    <xf numFmtId="0" fontId="5" fillId="0" borderId="5" xfId="0" applyFont="1" applyBorder="1" applyAlignment="1">
      <alignment horizontal="center" vertical="center"/>
    </xf>
    <xf numFmtId="0" fontId="11" fillId="0" borderId="5" xfId="0" applyFont="1" applyBorder="1" applyAlignment="1">
      <alignment horizontal="center" vertical="center"/>
    </xf>
    <xf numFmtId="1" fontId="11" fillId="0" borderId="5" xfId="0" applyNumberFormat="1" applyFont="1" applyBorder="1" applyAlignment="1">
      <alignment horizontal="center" vertical="center"/>
    </xf>
    <xf numFmtId="0" fontId="12" fillId="0" borderId="5" xfId="0" applyFont="1" applyBorder="1" applyAlignment="1">
      <alignment horizontal="center" vertical="center"/>
    </xf>
    <xf numFmtId="164" fontId="12" fillId="0" borderId="5" xfId="0" applyNumberFormat="1" applyFont="1" applyBorder="1" applyAlignment="1">
      <alignment horizontal="center" vertical="center"/>
    </xf>
    <xf numFmtId="1" fontId="12" fillId="0" borderId="5" xfId="0" applyNumberFormat="1" applyFont="1" applyBorder="1" applyAlignment="1">
      <alignment horizontal="center" vertical="center"/>
    </xf>
    <xf numFmtId="0" fontId="7" fillId="4" borderId="5" xfId="0" applyFont="1" applyFill="1" applyBorder="1" applyAlignment="1">
      <alignment horizontal="center" vertical="center" wrapText="1"/>
    </xf>
    <xf numFmtId="0" fontId="5" fillId="0" borderId="0" xfId="0" applyFont="1" applyBorder="1" applyAlignment="1">
      <alignment horizontal="center" vertical="center"/>
    </xf>
    <xf numFmtId="0" fontId="4" fillId="0" borderId="0" xfId="0" applyFont="1" applyAlignment="1">
      <alignment horizontal="center" vertical="center"/>
    </xf>
    <xf numFmtId="0" fontId="4" fillId="0" borderId="5" xfId="0" applyFont="1" applyBorder="1" applyAlignment="1">
      <alignment horizontal="center" vertical="center"/>
    </xf>
    <xf numFmtId="0" fontId="6" fillId="4" borderId="5" xfId="0" applyFont="1" applyFill="1" applyBorder="1" applyAlignment="1">
      <alignment horizontal="center" vertical="center"/>
    </xf>
    <xf numFmtId="0" fontId="5" fillId="0" borderId="5" xfId="0" applyFont="1" applyBorder="1" applyAlignment="1">
      <alignment horizontal="center" vertical="center"/>
    </xf>
    <xf numFmtId="0" fontId="11" fillId="0" borderId="5" xfId="0" applyFont="1" applyBorder="1" applyAlignment="1">
      <alignment horizontal="center" vertical="center"/>
    </xf>
    <xf numFmtId="1" fontId="11" fillId="0" borderId="5" xfId="0" applyNumberFormat="1" applyFont="1" applyBorder="1" applyAlignment="1">
      <alignment horizontal="center" vertical="center"/>
    </xf>
    <xf numFmtId="0" fontId="12" fillId="0" borderId="5" xfId="0" applyFont="1" applyBorder="1" applyAlignment="1">
      <alignment horizontal="center" vertical="center"/>
    </xf>
    <xf numFmtId="164" fontId="12" fillId="0" borderId="5" xfId="0" applyNumberFormat="1" applyFont="1" applyBorder="1" applyAlignment="1">
      <alignment horizontal="center" vertical="center"/>
    </xf>
    <xf numFmtId="1" fontId="12" fillId="0" borderId="5" xfId="0" applyNumberFormat="1" applyFont="1" applyBorder="1" applyAlignment="1">
      <alignment horizontal="center" vertical="center"/>
    </xf>
    <xf numFmtId="0" fontId="7" fillId="4" borderId="5" xfId="0" applyFont="1" applyFill="1" applyBorder="1" applyAlignment="1">
      <alignment horizontal="center" vertical="center" wrapText="1"/>
    </xf>
    <xf numFmtId="0" fontId="5" fillId="0" borderId="0" xfId="0" applyFont="1" applyBorder="1" applyAlignment="1">
      <alignment horizontal="center" vertical="center"/>
    </xf>
    <xf numFmtId="1" fontId="11" fillId="0" borderId="5" xfId="0" applyNumberFormat="1" applyFont="1" applyBorder="1" applyAlignment="1">
      <alignment horizontal="center" vertical="center"/>
    </xf>
    <xf numFmtId="0" fontId="11" fillId="0" borderId="5" xfId="0" applyFont="1" applyBorder="1" applyAlignment="1">
      <alignment horizontal="center" vertical="center"/>
    </xf>
    <xf numFmtId="0" fontId="5" fillId="0" borderId="5" xfId="0" applyFont="1" applyBorder="1" applyAlignment="1">
      <alignment horizontal="center" vertical="center"/>
    </xf>
    <xf numFmtId="0" fontId="4" fillId="0" borderId="5" xfId="0" applyFont="1" applyBorder="1" applyAlignment="1">
      <alignment horizontal="center" vertical="center"/>
    </xf>
    <xf numFmtId="0" fontId="6" fillId="4" borderId="5" xfId="0" applyFont="1" applyFill="1" applyBorder="1" applyAlignment="1">
      <alignment horizontal="center" vertical="center"/>
    </xf>
    <xf numFmtId="0" fontId="4" fillId="0" borderId="0" xfId="0" applyFont="1" applyAlignment="1">
      <alignment horizontal="center" vertical="center"/>
    </xf>
    <xf numFmtId="0" fontId="12" fillId="0" borderId="5" xfId="0" applyFont="1" applyBorder="1" applyAlignment="1">
      <alignment horizontal="center" vertical="center"/>
    </xf>
    <xf numFmtId="1" fontId="12" fillId="0" borderId="5" xfId="0" applyNumberFormat="1" applyFont="1" applyBorder="1" applyAlignment="1">
      <alignment horizontal="center" vertical="center"/>
    </xf>
    <xf numFmtId="164" fontId="12" fillId="0" borderId="5" xfId="0" applyNumberFormat="1" applyFont="1" applyBorder="1" applyAlignment="1">
      <alignment horizontal="center" vertical="center"/>
    </xf>
    <xf numFmtId="0" fontId="7" fillId="4" borderId="5" xfId="0" applyFont="1" applyFill="1" applyBorder="1" applyAlignment="1">
      <alignment horizontal="center" vertical="center" wrapText="1"/>
    </xf>
    <xf numFmtId="0" fontId="5" fillId="0" borderId="0" xfId="0" applyFont="1" applyBorder="1" applyAlignment="1">
      <alignment horizontal="center" vertical="center"/>
    </xf>
    <xf numFmtId="1" fontId="11" fillId="0" borderId="5" xfId="0" applyNumberFormat="1" applyFont="1" applyBorder="1" applyAlignment="1">
      <alignment horizontal="center" vertical="center"/>
    </xf>
    <xf numFmtId="0" fontId="11" fillId="0" borderId="5" xfId="0" applyFont="1" applyBorder="1" applyAlignment="1">
      <alignment horizontal="center" vertical="center"/>
    </xf>
    <xf numFmtId="0" fontId="5" fillId="0" borderId="5" xfId="0" applyFont="1" applyBorder="1" applyAlignment="1">
      <alignment horizontal="center" vertical="center"/>
    </xf>
    <xf numFmtId="0" fontId="4" fillId="0" borderId="5" xfId="0" applyFont="1" applyBorder="1" applyAlignment="1">
      <alignment horizontal="center" vertical="center"/>
    </xf>
    <xf numFmtId="0" fontId="6" fillId="4" borderId="5" xfId="0" applyFont="1" applyFill="1" applyBorder="1" applyAlignment="1">
      <alignment horizontal="center" vertical="center"/>
    </xf>
    <xf numFmtId="0" fontId="4" fillId="0" borderId="0" xfId="0" applyFont="1" applyAlignment="1">
      <alignment horizontal="center" vertical="center"/>
    </xf>
    <xf numFmtId="0" fontId="12" fillId="0" borderId="5" xfId="0" applyFont="1" applyBorder="1" applyAlignment="1">
      <alignment horizontal="center" vertical="center"/>
    </xf>
    <xf numFmtId="1" fontId="12" fillId="0" borderId="5" xfId="0" applyNumberFormat="1" applyFont="1" applyBorder="1" applyAlignment="1">
      <alignment horizontal="center" vertical="center"/>
    </xf>
    <xf numFmtId="164" fontId="12" fillId="0" borderId="5" xfId="0" applyNumberFormat="1" applyFont="1" applyBorder="1" applyAlignment="1">
      <alignment horizontal="center" vertical="center"/>
    </xf>
    <xf numFmtId="0" fontId="7" fillId="4" borderId="5" xfId="0" applyFont="1" applyFill="1" applyBorder="1" applyAlignment="1">
      <alignment horizontal="center" vertical="center" wrapText="1"/>
    </xf>
    <xf numFmtId="0" fontId="5" fillId="0" borderId="0" xfId="0" applyFont="1" applyBorder="1" applyAlignment="1">
      <alignment horizontal="center" vertical="center"/>
    </xf>
    <xf numFmtId="0" fontId="4" fillId="0" borderId="0" xfId="0" applyFont="1" applyAlignment="1">
      <alignment horizontal="center" vertical="center"/>
    </xf>
    <xf numFmtId="0" fontId="4" fillId="0" borderId="5" xfId="0" applyFont="1" applyBorder="1" applyAlignment="1">
      <alignment horizontal="center" vertical="center"/>
    </xf>
    <xf numFmtId="0" fontId="6" fillId="4" borderId="5" xfId="0" applyFont="1" applyFill="1" applyBorder="1" applyAlignment="1">
      <alignment horizontal="center" vertical="center"/>
    </xf>
    <xf numFmtId="0" fontId="5" fillId="0" borderId="5" xfId="0" applyFont="1" applyBorder="1" applyAlignment="1">
      <alignment horizontal="center" vertical="center"/>
    </xf>
    <xf numFmtId="0" fontId="11" fillId="0" borderId="5" xfId="0" applyFont="1" applyBorder="1" applyAlignment="1">
      <alignment horizontal="center" vertical="center"/>
    </xf>
    <xf numFmtId="1" fontId="11" fillId="0" borderId="5" xfId="0" applyNumberFormat="1" applyFont="1" applyBorder="1" applyAlignment="1">
      <alignment horizontal="center" vertical="center"/>
    </xf>
    <xf numFmtId="0" fontId="12" fillId="0" borderId="5" xfId="0" applyFont="1" applyBorder="1" applyAlignment="1">
      <alignment horizontal="center" vertical="center"/>
    </xf>
    <xf numFmtId="164" fontId="12" fillId="0" borderId="5" xfId="0" applyNumberFormat="1" applyFont="1" applyBorder="1" applyAlignment="1">
      <alignment horizontal="center" vertical="center"/>
    </xf>
    <xf numFmtId="1" fontId="12" fillId="0" borderId="5" xfId="0" applyNumberFormat="1" applyFont="1" applyBorder="1" applyAlignment="1">
      <alignment horizontal="center" vertical="center"/>
    </xf>
    <xf numFmtId="0" fontId="7" fillId="4" borderId="5" xfId="0" applyFont="1" applyFill="1" applyBorder="1" applyAlignment="1">
      <alignment horizontal="center" vertical="center" wrapText="1"/>
    </xf>
    <xf numFmtId="0" fontId="5" fillId="0" borderId="0" xfId="0" applyFont="1" applyBorder="1" applyAlignment="1">
      <alignment horizontal="center" vertical="center"/>
    </xf>
    <xf numFmtId="1" fontId="11" fillId="0" borderId="5" xfId="0" applyNumberFormat="1" applyFont="1" applyBorder="1" applyAlignment="1">
      <alignment horizontal="center" vertical="center"/>
    </xf>
    <xf numFmtId="0" fontId="11" fillId="0" borderId="5" xfId="0" applyFont="1" applyBorder="1" applyAlignment="1">
      <alignment horizontal="center" vertical="center"/>
    </xf>
    <xf numFmtId="0" fontId="5" fillId="0" borderId="5" xfId="0" applyFont="1" applyBorder="1" applyAlignment="1">
      <alignment horizontal="center" vertical="center"/>
    </xf>
    <xf numFmtId="0" fontId="4" fillId="0" borderId="5" xfId="0" applyFont="1" applyBorder="1" applyAlignment="1">
      <alignment horizontal="center" vertical="center"/>
    </xf>
    <xf numFmtId="0" fontId="6" fillId="4" borderId="5" xfId="0" applyFont="1" applyFill="1" applyBorder="1" applyAlignment="1">
      <alignment horizontal="center" vertical="center"/>
    </xf>
    <xf numFmtId="0" fontId="4" fillId="0" borderId="0" xfId="0" applyFont="1" applyAlignment="1">
      <alignment horizontal="center" vertical="center"/>
    </xf>
    <xf numFmtId="0" fontId="12" fillId="0" borderId="5" xfId="0" applyFont="1" applyBorder="1" applyAlignment="1">
      <alignment horizontal="center" vertical="center"/>
    </xf>
    <xf numFmtId="1" fontId="12" fillId="0" borderId="5" xfId="0" applyNumberFormat="1" applyFont="1" applyBorder="1" applyAlignment="1">
      <alignment horizontal="center" vertical="center"/>
    </xf>
    <xf numFmtId="164" fontId="12" fillId="0" borderId="5" xfId="0" applyNumberFormat="1" applyFont="1" applyBorder="1" applyAlignment="1">
      <alignment horizontal="center" vertical="center"/>
    </xf>
    <xf numFmtId="0" fontId="7" fillId="4" borderId="5" xfId="0" applyFont="1" applyFill="1" applyBorder="1" applyAlignment="1">
      <alignment horizontal="center" vertical="center" wrapText="1"/>
    </xf>
    <xf numFmtId="0" fontId="5" fillId="0" borderId="0" xfId="0" applyFont="1" applyBorder="1" applyAlignment="1">
      <alignment horizontal="center" vertical="center"/>
    </xf>
    <xf numFmtId="0" fontId="4" fillId="0" borderId="0" xfId="0" applyFont="1" applyAlignment="1">
      <alignment horizontal="center" vertical="center"/>
    </xf>
    <xf numFmtId="0" fontId="4" fillId="0" borderId="5" xfId="0" applyFont="1" applyBorder="1" applyAlignment="1">
      <alignment horizontal="center" vertical="center"/>
    </xf>
    <xf numFmtId="0" fontId="6" fillId="4" borderId="5" xfId="0" applyFont="1" applyFill="1" applyBorder="1" applyAlignment="1">
      <alignment horizontal="center" vertical="center"/>
    </xf>
    <xf numFmtId="0" fontId="5" fillId="0" borderId="5" xfId="0" applyFont="1" applyBorder="1" applyAlignment="1">
      <alignment horizontal="center" vertical="center"/>
    </xf>
    <xf numFmtId="0" fontId="11" fillId="0" borderId="5" xfId="0" applyFont="1" applyBorder="1" applyAlignment="1">
      <alignment horizontal="center" vertical="center"/>
    </xf>
    <xf numFmtId="1" fontId="11" fillId="0" borderId="5" xfId="0" applyNumberFormat="1" applyFont="1" applyBorder="1" applyAlignment="1">
      <alignment horizontal="center" vertical="center"/>
    </xf>
    <xf numFmtId="0" fontId="12" fillId="0" borderId="5" xfId="0" applyFont="1" applyBorder="1" applyAlignment="1">
      <alignment horizontal="center" vertical="center"/>
    </xf>
    <xf numFmtId="164" fontId="12" fillId="0" borderId="5" xfId="0" applyNumberFormat="1" applyFont="1" applyBorder="1" applyAlignment="1">
      <alignment horizontal="center" vertical="center"/>
    </xf>
    <xf numFmtId="1" fontId="12" fillId="0" borderId="5" xfId="0" applyNumberFormat="1" applyFont="1" applyBorder="1" applyAlignment="1">
      <alignment horizontal="center" vertical="center"/>
    </xf>
    <xf numFmtId="0" fontId="7" fillId="4" borderId="5" xfId="0" applyFont="1" applyFill="1" applyBorder="1" applyAlignment="1">
      <alignment horizontal="center" vertical="center" wrapText="1"/>
    </xf>
    <xf numFmtId="0" fontId="5" fillId="0" borderId="0" xfId="0" applyFont="1" applyBorder="1" applyAlignment="1">
      <alignment horizontal="center" vertical="center"/>
    </xf>
    <xf numFmtId="0" fontId="7" fillId="7" borderId="5" xfId="0" applyFont="1" applyFill="1" applyBorder="1" applyAlignment="1">
      <alignment horizontal="center" vertical="center"/>
    </xf>
    <xf numFmtId="0" fontId="4" fillId="7" borderId="5" xfId="0" applyFont="1" applyFill="1" applyBorder="1" applyAlignment="1">
      <alignment horizontal="center" vertical="center"/>
    </xf>
    <xf numFmtId="0" fontId="11" fillId="7" borderId="5" xfId="0" applyFont="1" applyFill="1" applyBorder="1" applyAlignment="1">
      <alignment horizontal="center" vertical="center"/>
    </xf>
    <xf numFmtId="1" fontId="11" fillId="0" borderId="5" xfId="0" applyNumberFormat="1" applyFont="1" applyBorder="1" applyAlignment="1">
      <alignment horizontal="center" vertical="center"/>
    </xf>
    <xf numFmtId="0" fontId="11" fillId="0" borderId="5" xfId="0" applyFont="1" applyBorder="1" applyAlignment="1">
      <alignment horizontal="center" vertical="center"/>
    </xf>
    <xf numFmtId="0" fontId="5" fillId="0" borderId="5" xfId="0" applyFont="1" applyBorder="1" applyAlignment="1">
      <alignment horizontal="center" vertical="center"/>
    </xf>
    <xf numFmtId="0" fontId="4" fillId="0" borderId="5" xfId="0" applyFont="1" applyBorder="1" applyAlignment="1">
      <alignment horizontal="center" vertical="center"/>
    </xf>
    <xf numFmtId="0" fontId="6" fillId="4" borderId="5" xfId="0" applyFont="1" applyFill="1" applyBorder="1" applyAlignment="1">
      <alignment horizontal="center" vertical="center"/>
    </xf>
    <xf numFmtId="0" fontId="4" fillId="0" borderId="0" xfId="0" applyFont="1" applyAlignment="1">
      <alignment horizontal="center" vertical="center"/>
    </xf>
    <xf numFmtId="0" fontId="12" fillId="0" borderId="5" xfId="0" applyFont="1" applyBorder="1" applyAlignment="1">
      <alignment horizontal="center" vertical="center"/>
    </xf>
    <xf numFmtId="1" fontId="12" fillId="0" borderId="5" xfId="0" applyNumberFormat="1" applyFont="1" applyBorder="1" applyAlignment="1">
      <alignment horizontal="center" vertical="center"/>
    </xf>
    <xf numFmtId="164" fontId="12" fillId="0" borderId="5" xfId="0" applyNumberFormat="1" applyFont="1" applyBorder="1" applyAlignment="1">
      <alignment horizontal="center" vertical="center"/>
    </xf>
    <xf numFmtId="0" fontId="7" fillId="4" borderId="5" xfId="0" applyFont="1" applyFill="1" applyBorder="1" applyAlignment="1">
      <alignment horizontal="center" vertical="center" wrapText="1"/>
    </xf>
    <xf numFmtId="0" fontId="5" fillId="0" borderId="0" xfId="0" applyFont="1" applyBorder="1" applyAlignment="1">
      <alignment horizontal="center" vertical="center"/>
    </xf>
    <xf numFmtId="0" fontId="4" fillId="0" borderId="0" xfId="0" applyFont="1" applyAlignment="1">
      <alignment horizontal="center" vertical="center"/>
    </xf>
    <xf numFmtId="0" fontId="4" fillId="0" borderId="5" xfId="0" applyFont="1" applyBorder="1" applyAlignment="1">
      <alignment horizontal="center" vertical="center"/>
    </xf>
    <xf numFmtId="0" fontId="6" fillId="4" borderId="5" xfId="0" applyFont="1" applyFill="1" applyBorder="1" applyAlignment="1">
      <alignment horizontal="center" vertical="center"/>
    </xf>
    <xf numFmtId="0" fontId="5" fillId="0" borderId="5" xfId="0" applyFont="1" applyBorder="1" applyAlignment="1">
      <alignment horizontal="center" vertical="center"/>
    </xf>
    <xf numFmtId="0" fontId="11" fillId="0" borderId="5" xfId="0" applyFont="1" applyBorder="1" applyAlignment="1">
      <alignment horizontal="center" vertical="center"/>
    </xf>
    <xf numFmtId="1" fontId="11" fillId="0" borderId="5" xfId="0" applyNumberFormat="1" applyFont="1" applyBorder="1" applyAlignment="1">
      <alignment horizontal="center" vertical="center"/>
    </xf>
    <xf numFmtId="0" fontId="12" fillId="0" borderId="5" xfId="0" applyFont="1" applyBorder="1" applyAlignment="1">
      <alignment horizontal="center" vertical="center"/>
    </xf>
    <xf numFmtId="164" fontId="12" fillId="0" borderId="5" xfId="0" applyNumberFormat="1" applyFont="1" applyBorder="1" applyAlignment="1">
      <alignment horizontal="center" vertical="center"/>
    </xf>
    <xf numFmtId="1" fontId="12" fillId="0" borderId="5" xfId="0" applyNumberFormat="1" applyFont="1" applyBorder="1" applyAlignment="1">
      <alignment horizontal="center" vertical="center"/>
    </xf>
    <xf numFmtId="0" fontId="7" fillId="4" borderId="5" xfId="0" applyFont="1" applyFill="1" applyBorder="1" applyAlignment="1">
      <alignment horizontal="center" vertical="center" wrapText="1"/>
    </xf>
    <xf numFmtId="0" fontId="5" fillId="0" borderId="0" xfId="0" applyFont="1" applyBorder="1" applyAlignment="1">
      <alignment horizontal="center" vertical="center"/>
    </xf>
    <xf numFmtId="166" fontId="5" fillId="0" borderId="0" xfId="2" applyNumberFormat="1" applyFont="1" applyAlignment="1">
      <alignment horizontal="center" vertical="center"/>
    </xf>
    <xf numFmtId="1" fontId="11" fillId="0" borderId="5" xfId="0" applyNumberFormat="1" applyFont="1" applyBorder="1" applyAlignment="1">
      <alignment horizontal="center" vertical="center"/>
    </xf>
    <xf numFmtId="0" fontId="11" fillId="0" borderId="5" xfId="0" applyFont="1" applyBorder="1" applyAlignment="1">
      <alignment horizontal="center" vertical="center"/>
    </xf>
    <xf numFmtId="0" fontId="5" fillId="0" borderId="5" xfId="0" applyFont="1" applyBorder="1" applyAlignment="1">
      <alignment horizontal="center" vertical="center"/>
    </xf>
    <xf numFmtId="0" fontId="4" fillId="0" borderId="5" xfId="0" applyFont="1" applyBorder="1" applyAlignment="1">
      <alignment horizontal="center" vertical="center"/>
    </xf>
    <xf numFmtId="0" fontId="6" fillId="4" borderId="5" xfId="0" applyFont="1" applyFill="1" applyBorder="1" applyAlignment="1">
      <alignment horizontal="center" vertical="center"/>
    </xf>
    <xf numFmtId="0" fontId="4" fillId="0" borderId="0" xfId="0" applyFont="1" applyAlignment="1">
      <alignment horizontal="center" vertical="center"/>
    </xf>
    <xf numFmtId="0" fontId="12" fillId="0" borderId="5" xfId="0" applyFont="1" applyBorder="1" applyAlignment="1">
      <alignment horizontal="center" vertical="center"/>
    </xf>
    <xf numFmtId="1" fontId="12" fillId="0" borderId="5" xfId="0" applyNumberFormat="1" applyFont="1" applyBorder="1" applyAlignment="1">
      <alignment horizontal="center" vertical="center"/>
    </xf>
    <xf numFmtId="164" fontId="12" fillId="0" borderId="5" xfId="0" applyNumberFormat="1" applyFont="1" applyBorder="1" applyAlignment="1">
      <alignment horizontal="center" vertical="center"/>
    </xf>
    <xf numFmtId="0" fontId="7" fillId="4" borderId="5" xfId="0" applyFont="1" applyFill="1" applyBorder="1" applyAlignment="1">
      <alignment horizontal="center" vertical="center" wrapText="1"/>
    </xf>
    <xf numFmtId="0" fontId="5" fillId="0" borderId="0" xfId="0" applyFont="1" applyBorder="1" applyAlignment="1">
      <alignment horizontal="center" vertical="center"/>
    </xf>
    <xf numFmtId="0" fontId="4" fillId="0" borderId="0" xfId="0" applyFont="1" applyAlignment="1">
      <alignment horizontal="center" vertical="center"/>
    </xf>
    <xf numFmtId="0" fontId="4" fillId="0" borderId="5" xfId="0" applyFont="1" applyBorder="1" applyAlignment="1">
      <alignment horizontal="center" vertical="center"/>
    </xf>
    <xf numFmtId="0" fontId="6" fillId="4" borderId="5" xfId="0" applyFont="1" applyFill="1" applyBorder="1" applyAlignment="1">
      <alignment horizontal="center" vertical="center"/>
    </xf>
    <xf numFmtId="0" fontId="5" fillId="0" borderId="5" xfId="0" applyFont="1" applyBorder="1" applyAlignment="1">
      <alignment horizontal="center" vertical="center"/>
    </xf>
    <xf numFmtId="0" fontId="11" fillId="0" borderId="5" xfId="0" applyFont="1" applyBorder="1" applyAlignment="1">
      <alignment horizontal="center" vertical="center"/>
    </xf>
    <xf numFmtId="1" fontId="11" fillId="0" borderId="5" xfId="0" applyNumberFormat="1" applyFont="1" applyBorder="1" applyAlignment="1">
      <alignment horizontal="center" vertical="center"/>
    </xf>
    <xf numFmtId="0" fontId="12" fillId="0" borderId="5" xfId="0" applyFont="1" applyBorder="1" applyAlignment="1">
      <alignment horizontal="center" vertical="center"/>
    </xf>
    <xf numFmtId="164" fontId="12" fillId="0" borderId="5" xfId="0" applyNumberFormat="1" applyFont="1" applyBorder="1" applyAlignment="1">
      <alignment horizontal="center" vertical="center"/>
    </xf>
    <xf numFmtId="1" fontId="12" fillId="0" borderId="5" xfId="0" applyNumberFormat="1" applyFont="1" applyBorder="1" applyAlignment="1">
      <alignment horizontal="center" vertical="center"/>
    </xf>
    <xf numFmtId="0" fontId="7" fillId="4" borderId="5" xfId="0" applyFont="1" applyFill="1" applyBorder="1" applyAlignment="1">
      <alignment horizontal="center" vertical="center" wrapText="1"/>
    </xf>
    <xf numFmtId="0" fontId="5" fillId="0" borderId="0" xfId="0" applyFont="1" applyBorder="1" applyAlignment="1">
      <alignment horizontal="center" vertical="center"/>
    </xf>
    <xf numFmtId="0" fontId="4" fillId="0" borderId="0" xfId="0" applyFont="1" applyAlignment="1">
      <alignment horizontal="center" vertical="center"/>
    </xf>
    <xf numFmtId="0" fontId="4" fillId="0" borderId="5" xfId="0" applyFont="1" applyBorder="1" applyAlignment="1">
      <alignment horizontal="center" vertical="center"/>
    </xf>
    <xf numFmtId="0" fontId="6" fillId="4" borderId="5" xfId="0" applyFont="1" applyFill="1" applyBorder="1" applyAlignment="1">
      <alignment horizontal="center" vertical="center"/>
    </xf>
    <xf numFmtId="0" fontId="5" fillId="0" borderId="5" xfId="0" applyFont="1" applyBorder="1" applyAlignment="1">
      <alignment horizontal="center" vertical="center"/>
    </xf>
    <xf numFmtId="0" fontId="11" fillId="0" borderId="5" xfId="0" applyFont="1" applyBorder="1" applyAlignment="1">
      <alignment horizontal="center" vertical="center"/>
    </xf>
    <xf numFmtId="1" fontId="11" fillId="0" borderId="5" xfId="0" applyNumberFormat="1" applyFont="1" applyBorder="1" applyAlignment="1">
      <alignment horizontal="center" vertical="center"/>
    </xf>
    <xf numFmtId="0" fontId="12" fillId="0" borderId="5" xfId="0" applyFont="1" applyBorder="1" applyAlignment="1">
      <alignment horizontal="center" vertical="center"/>
    </xf>
    <xf numFmtId="164" fontId="12" fillId="0" borderId="5" xfId="0" applyNumberFormat="1" applyFont="1" applyBorder="1" applyAlignment="1">
      <alignment horizontal="center" vertical="center"/>
    </xf>
    <xf numFmtId="1" fontId="12" fillId="0" borderId="5" xfId="0" applyNumberFormat="1" applyFont="1" applyBorder="1" applyAlignment="1">
      <alignment horizontal="center" vertical="center"/>
    </xf>
    <xf numFmtId="0" fontId="7" fillId="4" borderId="5" xfId="0" applyFont="1" applyFill="1" applyBorder="1" applyAlignment="1">
      <alignment horizontal="center" vertical="center" wrapText="1"/>
    </xf>
    <xf numFmtId="0" fontId="5" fillId="0" borderId="0" xfId="0" applyFont="1" applyBorder="1" applyAlignment="1">
      <alignment horizontal="center" vertical="center"/>
    </xf>
    <xf numFmtId="1" fontId="11" fillId="0" borderId="5" xfId="0" applyNumberFormat="1" applyFont="1" applyBorder="1" applyAlignment="1">
      <alignment horizontal="center" vertical="center"/>
    </xf>
    <xf numFmtId="0" fontId="11" fillId="0" borderId="5" xfId="0" applyFont="1" applyBorder="1" applyAlignment="1">
      <alignment horizontal="center" vertical="center"/>
    </xf>
    <xf numFmtId="0" fontId="5" fillId="0" borderId="5" xfId="0" applyFont="1" applyBorder="1" applyAlignment="1">
      <alignment horizontal="center" vertical="center"/>
    </xf>
    <xf numFmtId="0" fontId="4" fillId="0" borderId="5" xfId="0" applyFont="1" applyBorder="1" applyAlignment="1">
      <alignment horizontal="center" vertical="center"/>
    </xf>
    <xf numFmtId="0" fontId="6" fillId="4" borderId="5" xfId="0" applyFont="1" applyFill="1" applyBorder="1" applyAlignment="1">
      <alignment horizontal="center" vertical="center"/>
    </xf>
    <xf numFmtId="0" fontId="4" fillId="0" borderId="0" xfId="0" applyFont="1" applyAlignment="1">
      <alignment horizontal="center" vertical="center"/>
    </xf>
    <xf numFmtId="0" fontId="12" fillId="0" borderId="5" xfId="0" applyFont="1" applyBorder="1" applyAlignment="1">
      <alignment horizontal="center" vertical="center"/>
    </xf>
    <xf numFmtId="1" fontId="12" fillId="0" borderId="5" xfId="0" applyNumberFormat="1" applyFont="1" applyBorder="1" applyAlignment="1">
      <alignment horizontal="center" vertical="center"/>
    </xf>
    <xf numFmtId="164" fontId="12" fillId="0" borderId="5" xfId="0" applyNumberFormat="1" applyFont="1" applyBorder="1" applyAlignment="1">
      <alignment horizontal="center" vertical="center"/>
    </xf>
    <xf numFmtId="0" fontId="7" fillId="4" borderId="5" xfId="0" applyFont="1" applyFill="1" applyBorder="1" applyAlignment="1">
      <alignment horizontal="center" vertical="center" wrapText="1"/>
    </xf>
    <xf numFmtId="0" fontId="5" fillId="0" borderId="0" xfId="0" applyFont="1" applyBorder="1" applyAlignment="1">
      <alignment horizontal="center" vertical="center"/>
    </xf>
    <xf numFmtId="0" fontId="4" fillId="0" borderId="0" xfId="0" applyFont="1" applyAlignment="1">
      <alignment horizontal="center" vertical="center"/>
    </xf>
    <xf numFmtId="0" fontId="4" fillId="0" borderId="5" xfId="0" applyFont="1" applyBorder="1" applyAlignment="1">
      <alignment horizontal="center" vertical="center"/>
    </xf>
    <xf numFmtId="0" fontId="6" fillId="4" borderId="5" xfId="0" applyFont="1" applyFill="1" applyBorder="1" applyAlignment="1">
      <alignment horizontal="center" vertical="center"/>
    </xf>
    <xf numFmtId="0" fontId="5" fillId="0" borderId="5" xfId="0" applyFont="1" applyBorder="1" applyAlignment="1">
      <alignment horizontal="center" vertical="center"/>
    </xf>
    <xf numFmtId="0" fontId="11" fillId="0" borderId="5" xfId="0" applyFont="1" applyBorder="1" applyAlignment="1">
      <alignment horizontal="center" vertical="center"/>
    </xf>
    <xf numFmtId="1" fontId="11" fillId="0" borderId="5" xfId="0" applyNumberFormat="1" applyFont="1" applyBorder="1" applyAlignment="1">
      <alignment horizontal="center" vertical="center"/>
    </xf>
    <xf numFmtId="0" fontId="12" fillId="0" borderId="5" xfId="0" applyFont="1" applyBorder="1" applyAlignment="1">
      <alignment horizontal="center" vertical="center"/>
    </xf>
    <xf numFmtId="164" fontId="12" fillId="0" borderId="5" xfId="0" applyNumberFormat="1" applyFont="1" applyBorder="1" applyAlignment="1">
      <alignment horizontal="center" vertical="center"/>
    </xf>
    <xf numFmtId="1" fontId="12" fillId="0" borderId="5" xfId="0" applyNumberFormat="1" applyFont="1" applyBorder="1" applyAlignment="1">
      <alignment horizontal="center" vertical="center"/>
    </xf>
    <xf numFmtId="0" fontId="7" fillId="4" borderId="5" xfId="0" applyFont="1" applyFill="1" applyBorder="1" applyAlignment="1">
      <alignment horizontal="center" vertical="center" wrapText="1"/>
    </xf>
    <xf numFmtId="0" fontId="5" fillId="0" borderId="0" xfId="0" applyFont="1" applyBorder="1" applyAlignment="1">
      <alignment horizontal="center" vertical="center"/>
    </xf>
    <xf numFmtId="1" fontId="11" fillId="0" borderId="5" xfId="0" applyNumberFormat="1" applyFont="1" applyBorder="1" applyAlignment="1">
      <alignment horizontal="center" vertical="center"/>
    </xf>
    <xf numFmtId="0" fontId="11" fillId="0" borderId="5" xfId="0" applyFont="1" applyBorder="1" applyAlignment="1">
      <alignment horizontal="center" vertical="center"/>
    </xf>
    <xf numFmtId="0" fontId="5" fillId="0" borderId="5" xfId="0" applyFont="1" applyBorder="1" applyAlignment="1">
      <alignment horizontal="center" vertical="center"/>
    </xf>
    <xf numFmtId="0" fontId="4" fillId="0" borderId="5" xfId="0" applyFont="1" applyBorder="1" applyAlignment="1">
      <alignment horizontal="center" vertical="center"/>
    </xf>
    <xf numFmtId="0" fontId="6" fillId="4" borderId="5" xfId="0" applyFont="1" applyFill="1" applyBorder="1" applyAlignment="1">
      <alignment horizontal="center" vertical="center"/>
    </xf>
    <xf numFmtId="0" fontId="4" fillId="0" borderId="0" xfId="0" applyFont="1" applyAlignment="1">
      <alignment horizontal="center" vertical="center"/>
    </xf>
    <xf numFmtId="0" fontId="12" fillId="0" borderId="5" xfId="0" applyFont="1" applyBorder="1" applyAlignment="1">
      <alignment horizontal="center" vertical="center"/>
    </xf>
    <xf numFmtId="1" fontId="12" fillId="0" borderId="5" xfId="0" applyNumberFormat="1" applyFont="1" applyBorder="1" applyAlignment="1">
      <alignment horizontal="center" vertical="center"/>
    </xf>
    <xf numFmtId="164" fontId="12" fillId="0" borderId="5" xfId="0" applyNumberFormat="1" applyFont="1" applyBorder="1" applyAlignment="1">
      <alignment horizontal="center" vertical="center"/>
    </xf>
    <xf numFmtId="0" fontId="7" fillId="4" borderId="5" xfId="0" applyFont="1" applyFill="1" applyBorder="1" applyAlignment="1">
      <alignment horizontal="center" vertical="center" wrapText="1"/>
    </xf>
    <xf numFmtId="0" fontId="5" fillId="0" borderId="0" xfId="0" applyFont="1" applyBorder="1" applyAlignment="1">
      <alignment horizontal="center" vertical="center"/>
    </xf>
    <xf numFmtId="1" fontId="11" fillId="0" borderId="5" xfId="0" applyNumberFormat="1" applyFont="1" applyBorder="1" applyAlignment="1">
      <alignment horizontal="center" vertical="center"/>
    </xf>
    <xf numFmtId="0" fontId="11" fillId="0" borderId="5" xfId="0" applyFont="1" applyBorder="1" applyAlignment="1">
      <alignment horizontal="center" vertical="center"/>
    </xf>
    <xf numFmtId="0" fontId="5" fillId="0" borderId="5" xfId="0" applyFont="1" applyBorder="1" applyAlignment="1">
      <alignment horizontal="center" vertical="center"/>
    </xf>
    <xf numFmtId="0" fontId="4" fillId="0" borderId="5" xfId="0" applyFont="1" applyBorder="1" applyAlignment="1">
      <alignment horizontal="center" vertical="center"/>
    </xf>
    <xf numFmtId="0" fontId="6" fillId="4" borderId="5" xfId="0" applyFont="1" applyFill="1" applyBorder="1" applyAlignment="1">
      <alignment horizontal="center" vertical="center"/>
    </xf>
    <xf numFmtId="0" fontId="4" fillId="0" borderId="0" xfId="0" applyFont="1" applyAlignment="1">
      <alignment horizontal="center" vertical="center"/>
    </xf>
    <xf numFmtId="0" fontId="12" fillId="0" borderId="5" xfId="0" applyFont="1" applyBorder="1" applyAlignment="1">
      <alignment horizontal="center" vertical="center"/>
    </xf>
    <xf numFmtId="1" fontId="12" fillId="0" borderId="5" xfId="0" applyNumberFormat="1" applyFont="1" applyBorder="1" applyAlignment="1">
      <alignment horizontal="center" vertical="center"/>
    </xf>
    <xf numFmtId="164" fontId="12" fillId="0" borderId="5" xfId="0" applyNumberFormat="1" applyFont="1" applyBorder="1" applyAlignment="1">
      <alignment horizontal="center" vertical="center"/>
    </xf>
    <xf numFmtId="0" fontId="7" fillId="4" borderId="5" xfId="0" applyFont="1" applyFill="1" applyBorder="1" applyAlignment="1">
      <alignment horizontal="center" vertical="center" wrapText="1"/>
    </xf>
    <xf numFmtId="0" fontId="5" fillId="0" borderId="0" xfId="0" applyFont="1" applyBorder="1" applyAlignment="1">
      <alignment horizontal="center" vertical="center"/>
    </xf>
    <xf numFmtId="0" fontId="4" fillId="0" borderId="0" xfId="0" applyFont="1" applyAlignment="1">
      <alignment horizontal="center" vertical="center"/>
    </xf>
    <xf numFmtId="0" fontId="4" fillId="0" borderId="5" xfId="0" applyFont="1" applyBorder="1" applyAlignment="1">
      <alignment horizontal="center" vertical="center"/>
    </xf>
    <xf numFmtId="0" fontId="6" fillId="4" borderId="5" xfId="0" applyFont="1" applyFill="1" applyBorder="1" applyAlignment="1">
      <alignment horizontal="center" vertical="center"/>
    </xf>
    <xf numFmtId="0" fontId="5" fillId="0" borderId="5" xfId="0" applyFont="1" applyBorder="1" applyAlignment="1">
      <alignment horizontal="center" vertical="center"/>
    </xf>
    <xf numFmtId="0" fontId="11" fillId="0" borderId="5" xfId="0" applyFont="1" applyBorder="1" applyAlignment="1">
      <alignment horizontal="center" vertical="center"/>
    </xf>
    <xf numFmtId="1" fontId="11" fillId="0" borderId="5" xfId="0" applyNumberFormat="1" applyFont="1" applyBorder="1" applyAlignment="1">
      <alignment horizontal="center" vertical="center"/>
    </xf>
    <xf numFmtId="0" fontId="12" fillId="0" borderId="5" xfId="0" applyFont="1" applyBorder="1" applyAlignment="1">
      <alignment horizontal="center" vertical="center"/>
    </xf>
    <xf numFmtId="164" fontId="12" fillId="0" borderId="5" xfId="0" applyNumberFormat="1" applyFont="1" applyBorder="1" applyAlignment="1">
      <alignment horizontal="center" vertical="center"/>
    </xf>
    <xf numFmtId="1" fontId="12" fillId="0" borderId="5" xfId="0" applyNumberFormat="1" applyFont="1" applyBorder="1" applyAlignment="1">
      <alignment horizontal="center" vertical="center"/>
    </xf>
    <xf numFmtId="0" fontId="7" fillId="4" borderId="5" xfId="0" applyFont="1" applyFill="1" applyBorder="1" applyAlignment="1">
      <alignment horizontal="center" vertical="center" wrapText="1"/>
    </xf>
    <xf numFmtId="0" fontId="5" fillId="0" borderId="0" xfId="0" applyFont="1" applyBorder="1" applyAlignment="1">
      <alignment horizontal="center" vertical="center"/>
    </xf>
    <xf numFmtId="1" fontId="11" fillId="0" borderId="5" xfId="0" applyNumberFormat="1" applyFont="1" applyBorder="1" applyAlignment="1">
      <alignment horizontal="center" vertical="center"/>
    </xf>
    <xf numFmtId="0" fontId="11" fillId="0" borderId="5" xfId="0" applyFont="1" applyBorder="1" applyAlignment="1">
      <alignment horizontal="center" vertical="center"/>
    </xf>
    <xf numFmtId="0" fontId="5" fillId="0" borderId="5" xfId="0" applyFont="1" applyBorder="1" applyAlignment="1">
      <alignment horizontal="center" vertical="center"/>
    </xf>
    <xf numFmtId="0" fontId="4" fillId="0" borderId="5" xfId="0" applyFont="1" applyBorder="1" applyAlignment="1">
      <alignment horizontal="center" vertical="center"/>
    </xf>
    <xf numFmtId="0" fontId="6" fillId="4" borderId="5" xfId="0" applyFont="1" applyFill="1" applyBorder="1" applyAlignment="1">
      <alignment horizontal="center" vertical="center"/>
    </xf>
    <xf numFmtId="0" fontId="4" fillId="0" borderId="0" xfId="0" applyFont="1" applyAlignment="1">
      <alignment horizontal="center" vertical="center"/>
    </xf>
    <xf numFmtId="0" fontId="12" fillId="0" borderId="5" xfId="0" applyFont="1" applyBorder="1" applyAlignment="1">
      <alignment horizontal="center" vertical="center"/>
    </xf>
    <xf numFmtId="1" fontId="12" fillId="0" borderId="5" xfId="0" applyNumberFormat="1" applyFont="1" applyBorder="1" applyAlignment="1">
      <alignment horizontal="center" vertical="center"/>
    </xf>
    <xf numFmtId="164" fontId="12" fillId="0" borderId="5" xfId="0" applyNumberFormat="1" applyFont="1" applyBorder="1" applyAlignment="1">
      <alignment horizontal="center" vertical="center"/>
    </xf>
    <xf numFmtId="0" fontId="7" fillId="4" borderId="5" xfId="0" applyFont="1" applyFill="1" applyBorder="1" applyAlignment="1">
      <alignment horizontal="center" vertical="center" wrapText="1"/>
    </xf>
    <xf numFmtId="0" fontId="5" fillId="0" borderId="0" xfId="0" applyFont="1" applyBorder="1" applyAlignment="1">
      <alignment horizontal="center" vertical="center"/>
    </xf>
    <xf numFmtId="1" fontId="11" fillId="0" borderId="5" xfId="0" applyNumberFormat="1" applyFont="1" applyBorder="1" applyAlignment="1">
      <alignment horizontal="center" vertical="center"/>
    </xf>
    <xf numFmtId="0" fontId="11" fillId="0" borderId="5" xfId="0" applyFont="1" applyBorder="1" applyAlignment="1">
      <alignment horizontal="center" vertical="center"/>
    </xf>
    <xf numFmtId="0" fontId="5" fillId="0" borderId="5" xfId="0" applyFont="1" applyBorder="1" applyAlignment="1">
      <alignment horizontal="center" vertical="center"/>
    </xf>
    <xf numFmtId="0" fontId="4" fillId="0" borderId="5" xfId="0" applyFont="1" applyBorder="1" applyAlignment="1">
      <alignment horizontal="center" vertical="center"/>
    </xf>
    <xf numFmtId="0" fontId="6" fillId="4" borderId="5" xfId="0" applyFont="1" applyFill="1" applyBorder="1" applyAlignment="1">
      <alignment horizontal="center" vertical="center"/>
    </xf>
    <xf numFmtId="0" fontId="4" fillId="0" borderId="0" xfId="0" applyFont="1" applyAlignment="1">
      <alignment horizontal="center" vertical="center"/>
    </xf>
    <xf numFmtId="0" fontId="12" fillId="0" borderId="5" xfId="0" applyFont="1" applyBorder="1" applyAlignment="1">
      <alignment horizontal="center" vertical="center"/>
    </xf>
    <xf numFmtId="1" fontId="12" fillId="0" borderId="5" xfId="0" applyNumberFormat="1" applyFont="1" applyBorder="1" applyAlignment="1">
      <alignment horizontal="center" vertical="center"/>
    </xf>
    <xf numFmtId="164" fontId="12" fillId="0" borderId="5" xfId="0" applyNumberFormat="1" applyFont="1" applyBorder="1" applyAlignment="1">
      <alignment horizontal="center" vertical="center"/>
    </xf>
    <xf numFmtId="0" fontId="7" fillId="4" borderId="5" xfId="0" applyFont="1" applyFill="1" applyBorder="1" applyAlignment="1">
      <alignment horizontal="center" vertical="center" wrapText="1"/>
    </xf>
    <xf numFmtId="0" fontId="5" fillId="0" borderId="0" xfId="0" applyFont="1" applyBorder="1" applyAlignment="1">
      <alignment horizontal="center" vertical="center"/>
    </xf>
    <xf numFmtId="0" fontId="4" fillId="0" borderId="0" xfId="0" applyFont="1" applyAlignment="1">
      <alignment horizontal="center" vertical="center"/>
    </xf>
    <xf numFmtId="0" fontId="4" fillId="0" borderId="5" xfId="0" applyFont="1" applyBorder="1" applyAlignment="1">
      <alignment horizontal="center" vertical="center"/>
    </xf>
    <xf numFmtId="0" fontId="6" fillId="4" borderId="5" xfId="0" applyFont="1" applyFill="1" applyBorder="1" applyAlignment="1">
      <alignment horizontal="center" vertical="center"/>
    </xf>
    <xf numFmtId="0" fontId="5" fillId="0" borderId="5" xfId="0" applyFont="1" applyBorder="1" applyAlignment="1">
      <alignment horizontal="center" vertical="center"/>
    </xf>
    <xf numFmtId="0" fontId="11" fillId="0" borderId="5" xfId="0" applyFont="1" applyBorder="1" applyAlignment="1">
      <alignment horizontal="center" vertical="center"/>
    </xf>
    <xf numFmtId="1" fontId="11" fillId="0" borderId="5" xfId="0" applyNumberFormat="1" applyFont="1" applyBorder="1" applyAlignment="1">
      <alignment horizontal="center" vertical="center"/>
    </xf>
    <xf numFmtId="0" fontId="12" fillId="0" borderId="5" xfId="0" applyFont="1" applyBorder="1" applyAlignment="1">
      <alignment horizontal="center" vertical="center"/>
    </xf>
    <xf numFmtId="164" fontId="12" fillId="0" borderId="5" xfId="0" applyNumberFormat="1" applyFont="1" applyBorder="1" applyAlignment="1">
      <alignment horizontal="center" vertical="center"/>
    </xf>
    <xf numFmtId="1" fontId="12" fillId="0" borderId="5" xfId="0" applyNumberFormat="1" applyFont="1" applyBorder="1" applyAlignment="1">
      <alignment horizontal="center" vertical="center"/>
    </xf>
    <xf numFmtId="0" fontId="7" fillId="4" borderId="5" xfId="0" applyFont="1" applyFill="1" applyBorder="1" applyAlignment="1">
      <alignment horizontal="center" vertical="center" wrapText="1"/>
    </xf>
    <xf numFmtId="0" fontId="5" fillId="0" borderId="0" xfId="0" applyFont="1" applyBorder="1" applyAlignment="1">
      <alignment horizontal="center" vertical="center"/>
    </xf>
    <xf numFmtId="0" fontId="4" fillId="0" borderId="0" xfId="0" applyFont="1" applyAlignment="1">
      <alignment horizontal="center" vertical="center"/>
    </xf>
    <xf numFmtId="0" fontId="4" fillId="0" borderId="5" xfId="0" applyFont="1" applyBorder="1" applyAlignment="1">
      <alignment horizontal="center" vertical="center"/>
    </xf>
    <xf numFmtId="0" fontId="6" fillId="4" borderId="5" xfId="0" applyFont="1" applyFill="1" applyBorder="1" applyAlignment="1">
      <alignment horizontal="center" vertical="center"/>
    </xf>
    <xf numFmtId="0" fontId="5" fillId="0" borderId="5" xfId="0" applyFont="1" applyBorder="1" applyAlignment="1">
      <alignment horizontal="center" vertical="center"/>
    </xf>
    <xf numFmtId="0" fontId="11" fillId="0" borderId="5" xfId="0" applyFont="1" applyBorder="1" applyAlignment="1">
      <alignment horizontal="center" vertical="center"/>
    </xf>
    <xf numFmtId="1" fontId="11" fillId="0" borderId="5" xfId="0" applyNumberFormat="1" applyFont="1" applyBorder="1" applyAlignment="1">
      <alignment horizontal="center" vertical="center"/>
    </xf>
    <xf numFmtId="0" fontId="12" fillId="0" borderId="5" xfId="0" applyFont="1" applyBorder="1" applyAlignment="1">
      <alignment horizontal="center" vertical="center"/>
    </xf>
    <xf numFmtId="164" fontId="12" fillId="0" borderId="5" xfId="0" applyNumberFormat="1" applyFont="1" applyBorder="1" applyAlignment="1">
      <alignment horizontal="center" vertical="center"/>
    </xf>
    <xf numFmtId="1" fontId="12" fillId="0" borderId="5" xfId="0" applyNumberFormat="1" applyFont="1" applyBorder="1" applyAlignment="1">
      <alignment horizontal="center" vertical="center"/>
    </xf>
    <xf numFmtId="0" fontId="7" fillId="4" borderId="5" xfId="0" applyFont="1" applyFill="1" applyBorder="1" applyAlignment="1">
      <alignment horizontal="center" vertical="center" wrapText="1"/>
    </xf>
    <xf numFmtId="0" fontId="5" fillId="0" borderId="0" xfId="0" applyFont="1" applyBorder="1" applyAlignment="1">
      <alignment horizontal="center" vertical="center"/>
    </xf>
    <xf numFmtId="1" fontId="11" fillId="0" borderId="5" xfId="0" applyNumberFormat="1" applyFont="1" applyBorder="1" applyAlignment="1">
      <alignment horizontal="center" vertical="center"/>
    </xf>
    <xf numFmtId="0" fontId="11" fillId="0" borderId="5" xfId="0" applyFont="1" applyBorder="1" applyAlignment="1">
      <alignment horizontal="center" vertical="center"/>
    </xf>
    <xf numFmtId="0" fontId="5" fillId="0" borderId="5" xfId="0" applyFont="1" applyBorder="1" applyAlignment="1">
      <alignment horizontal="center" vertical="center"/>
    </xf>
    <xf numFmtId="0" fontId="4" fillId="0" borderId="5" xfId="0" applyFont="1" applyBorder="1" applyAlignment="1">
      <alignment horizontal="center" vertical="center"/>
    </xf>
    <xf numFmtId="0" fontId="6" fillId="4" borderId="5" xfId="0" applyFont="1" applyFill="1" applyBorder="1" applyAlignment="1">
      <alignment horizontal="center" vertical="center"/>
    </xf>
    <xf numFmtId="0" fontId="4" fillId="0" borderId="0" xfId="0" applyFont="1" applyAlignment="1">
      <alignment horizontal="center" vertical="center"/>
    </xf>
    <xf numFmtId="0" fontId="12" fillId="0" borderId="5" xfId="0" applyFont="1" applyBorder="1" applyAlignment="1">
      <alignment horizontal="center" vertical="center"/>
    </xf>
    <xf numFmtId="1" fontId="12" fillId="0" borderId="5" xfId="0" applyNumberFormat="1" applyFont="1" applyBorder="1" applyAlignment="1">
      <alignment horizontal="center" vertical="center"/>
    </xf>
    <xf numFmtId="164" fontId="12" fillId="0" borderId="5" xfId="0" applyNumberFormat="1" applyFont="1" applyBorder="1" applyAlignment="1">
      <alignment horizontal="center" vertical="center"/>
    </xf>
    <xf numFmtId="0" fontId="7" fillId="4" borderId="5" xfId="0" applyFont="1" applyFill="1" applyBorder="1" applyAlignment="1">
      <alignment horizontal="center" vertical="center" wrapText="1"/>
    </xf>
    <xf numFmtId="0" fontId="5" fillId="0" borderId="0" xfId="0" applyFont="1" applyBorder="1" applyAlignment="1">
      <alignment horizontal="center" vertical="center"/>
    </xf>
    <xf numFmtId="0" fontId="4" fillId="0" borderId="0" xfId="0" applyFont="1" applyAlignment="1">
      <alignment horizontal="center" vertical="center"/>
    </xf>
    <xf numFmtId="0" fontId="4" fillId="0" borderId="5" xfId="0" applyFont="1" applyBorder="1" applyAlignment="1">
      <alignment horizontal="center" vertical="center"/>
    </xf>
    <xf numFmtId="0" fontId="6" fillId="4" borderId="5" xfId="0" applyFont="1" applyFill="1" applyBorder="1" applyAlignment="1">
      <alignment horizontal="center" vertical="center"/>
    </xf>
    <xf numFmtId="0" fontId="5" fillId="0" borderId="5" xfId="0" applyFont="1" applyBorder="1" applyAlignment="1">
      <alignment horizontal="center" vertical="center"/>
    </xf>
    <xf numFmtId="0" fontId="11" fillId="0" borderId="5" xfId="0" applyFont="1" applyBorder="1" applyAlignment="1">
      <alignment horizontal="center" vertical="center"/>
    </xf>
    <xf numFmtId="1" fontId="11" fillId="0" borderId="5" xfId="0" applyNumberFormat="1" applyFont="1" applyBorder="1" applyAlignment="1">
      <alignment horizontal="center" vertical="center"/>
    </xf>
    <xf numFmtId="0" fontId="12" fillId="0" borderId="5" xfId="0" applyFont="1" applyBorder="1" applyAlignment="1">
      <alignment horizontal="center" vertical="center"/>
    </xf>
    <xf numFmtId="164" fontId="12" fillId="0" borderId="5" xfId="0" applyNumberFormat="1" applyFont="1" applyBorder="1" applyAlignment="1">
      <alignment horizontal="center" vertical="center"/>
    </xf>
    <xf numFmtId="1" fontId="12" fillId="0" borderId="5" xfId="0" applyNumberFormat="1" applyFont="1" applyBorder="1" applyAlignment="1">
      <alignment horizontal="center" vertical="center"/>
    </xf>
    <xf numFmtId="0" fontId="7" fillId="4" borderId="5" xfId="0" applyFont="1" applyFill="1" applyBorder="1" applyAlignment="1">
      <alignment horizontal="center" vertical="center" wrapText="1"/>
    </xf>
    <xf numFmtId="0" fontId="5" fillId="0" borderId="0" xfId="0" applyFont="1" applyBorder="1" applyAlignment="1">
      <alignment horizontal="center" vertical="center"/>
    </xf>
    <xf numFmtId="0" fontId="17" fillId="4" borderId="5" xfId="0" applyFont="1" applyFill="1" applyBorder="1" applyAlignment="1">
      <alignment horizontal="center" vertical="center" wrapText="1"/>
    </xf>
    <xf numFmtId="1" fontId="11" fillId="0" borderId="5" xfId="0" applyNumberFormat="1" applyFont="1" applyBorder="1" applyAlignment="1">
      <alignment horizontal="center" vertical="center"/>
    </xf>
    <xf numFmtId="0" fontId="11" fillId="0" borderId="5" xfId="0" applyFont="1" applyBorder="1" applyAlignment="1">
      <alignment horizontal="center" vertical="center"/>
    </xf>
    <xf numFmtId="0" fontId="5" fillId="0" borderId="5" xfId="0" applyFont="1" applyBorder="1" applyAlignment="1">
      <alignment horizontal="center" vertical="center"/>
    </xf>
    <xf numFmtId="0" fontId="4" fillId="0" borderId="5" xfId="0" applyFont="1" applyBorder="1" applyAlignment="1">
      <alignment horizontal="center" vertical="center"/>
    </xf>
    <xf numFmtId="0" fontId="6" fillId="4" borderId="5" xfId="0" applyFont="1" applyFill="1" applyBorder="1" applyAlignment="1">
      <alignment horizontal="center" vertical="center"/>
    </xf>
    <xf numFmtId="0" fontId="4" fillId="0" borderId="0" xfId="0" applyFont="1" applyAlignment="1">
      <alignment horizontal="center" vertical="center"/>
    </xf>
    <xf numFmtId="0" fontId="12" fillId="0" borderId="5" xfId="0" applyFont="1" applyBorder="1" applyAlignment="1">
      <alignment horizontal="center" vertical="center"/>
    </xf>
    <xf numFmtId="1" fontId="12" fillId="0" borderId="5" xfId="0" applyNumberFormat="1" applyFont="1" applyBorder="1" applyAlignment="1">
      <alignment horizontal="center" vertical="center"/>
    </xf>
    <xf numFmtId="164" fontId="12" fillId="0" borderId="5" xfId="0" applyNumberFormat="1" applyFont="1" applyBorder="1" applyAlignment="1">
      <alignment horizontal="center" vertical="center"/>
    </xf>
    <xf numFmtId="0" fontId="7" fillId="4" borderId="5" xfId="0" applyFont="1" applyFill="1" applyBorder="1" applyAlignment="1">
      <alignment horizontal="center" vertical="center" wrapText="1"/>
    </xf>
    <xf numFmtId="0" fontId="5" fillId="0" borderId="0" xfId="0" applyFont="1" applyBorder="1" applyAlignment="1">
      <alignment horizontal="center" vertical="center"/>
    </xf>
    <xf numFmtId="0" fontId="4" fillId="0" borderId="0" xfId="0" applyFont="1" applyAlignment="1">
      <alignment horizontal="center" vertical="center"/>
    </xf>
    <xf numFmtId="0" fontId="4" fillId="0" borderId="5" xfId="0" applyFont="1" applyBorder="1" applyAlignment="1">
      <alignment horizontal="center" vertical="center"/>
    </xf>
    <xf numFmtId="0" fontId="6" fillId="4" borderId="5" xfId="0" applyFont="1" applyFill="1" applyBorder="1" applyAlignment="1">
      <alignment horizontal="center" vertical="center"/>
    </xf>
    <xf numFmtId="0" fontId="5" fillId="0" borderId="5" xfId="0" applyFont="1" applyBorder="1" applyAlignment="1">
      <alignment horizontal="center" vertical="center"/>
    </xf>
    <xf numFmtId="0" fontId="11" fillId="0" borderId="5" xfId="0" applyFont="1" applyBorder="1" applyAlignment="1">
      <alignment horizontal="center" vertical="center"/>
    </xf>
    <xf numFmtId="1" fontId="11" fillId="0" borderId="5" xfId="0" applyNumberFormat="1" applyFont="1" applyBorder="1" applyAlignment="1">
      <alignment horizontal="center" vertical="center"/>
    </xf>
    <xf numFmtId="0" fontId="12" fillId="0" borderId="5" xfId="0" applyFont="1" applyBorder="1" applyAlignment="1">
      <alignment horizontal="center" vertical="center"/>
    </xf>
    <xf numFmtId="164" fontId="12" fillId="0" borderId="5" xfId="0" applyNumberFormat="1" applyFont="1" applyBorder="1" applyAlignment="1">
      <alignment horizontal="center" vertical="center"/>
    </xf>
    <xf numFmtId="1" fontId="12" fillId="0" borderId="5" xfId="0" applyNumberFormat="1" applyFont="1" applyBorder="1" applyAlignment="1">
      <alignment horizontal="center" vertical="center"/>
    </xf>
    <xf numFmtId="0" fontId="7" fillId="4" borderId="5" xfId="0" applyFont="1" applyFill="1" applyBorder="1" applyAlignment="1">
      <alignment horizontal="center" vertical="center" wrapText="1"/>
    </xf>
    <xf numFmtId="0" fontId="5" fillId="0" borderId="0" xfId="0" applyFont="1" applyBorder="1" applyAlignment="1">
      <alignment horizontal="center" vertical="center"/>
    </xf>
    <xf numFmtId="1" fontId="11" fillId="0" borderId="5" xfId="0" applyNumberFormat="1" applyFont="1" applyBorder="1" applyAlignment="1">
      <alignment horizontal="center" vertical="center"/>
    </xf>
    <xf numFmtId="0" fontId="11" fillId="0" borderId="5" xfId="0" applyFont="1" applyBorder="1" applyAlignment="1">
      <alignment horizontal="center" vertical="center"/>
    </xf>
    <xf numFmtId="0" fontId="5" fillId="0" borderId="5" xfId="0" applyFont="1" applyBorder="1" applyAlignment="1">
      <alignment horizontal="center" vertical="center"/>
    </xf>
    <xf numFmtId="0" fontId="4" fillId="0" borderId="5" xfId="0" applyFont="1" applyBorder="1" applyAlignment="1">
      <alignment horizontal="center" vertical="center"/>
    </xf>
    <xf numFmtId="0" fontId="6" fillId="4" borderId="5" xfId="0" applyFont="1" applyFill="1" applyBorder="1" applyAlignment="1">
      <alignment horizontal="center" vertical="center"/>
    </xf>
    <xf numFmtId="0" fontId="4" fillId="0" borderId="0" xfId="0" applyFont="1" applyAlignment="1">
      <alignment horizontal="center" vertical="center"/>
    </xf>
    <xf numFmtId="0" fontId="12" fillId="0" borderId="5" xfId="0" applyFont="1" applyBorder="1" applyAlignment="1">
      <alignment horizontal="center" vertical="center"/>
    </xf>
    <xf numFmtId="1" fontId="12" fillId="0" borderId="5" xfId="0" applyNumberFormat="1" applyFont="1" applyBorder="1" applyAlignment="1">
      <alignment horizontal="center" vertical="center"/>
    </xf>
    <xf numFmtId="164" fontId="12" fillId="0" borderId="5" xfId="0" applyNumberFormat="1" applyFont="1" applyBorder="1" applyAlignment="1">
      <alignment horizontal="center" vertical="center"/>
    </xf>
    <xf numFmtId="0" fontId="7" fillId="4" borderId="5" xfId="0" applyFont="1" applyFill="1" applyBorder="1" applyAlignment="1">
      <alignment horizontal="center" vertical="center" wrapText="1"/>
    </xf>
    <xf numFmtId="0" fontId="5" fillId="0" borderId="0" xfId="0" applyFont="1" applyBorder="1" applyAlignment="1">
      <alignment horizontal="center" vertical="center"/>
    </xf>
    <xf numFmtId="0" fontId="4" fillId="0" borderId="0" xfId="0" applyFont="1" applyAlignment="1">
      <alignment horizontal="center" vertical="center"/>
    </xf>
    <xf numFmtId="0" fontId="4" fillId="0" borderId="5" xfId="0" applyFont="1" applyBorder="1" applyAlignment="1">
      <alignment horizontal="center" vertical="center"/>
    </xf>
    <xf numFmtId="0" fontId="6" fillId="4" borderId="5" xfId="0" applyFont="1" applyFill="1" applyBorder="1" applyAlignment="1">
      <alignment horizontal="center" vertical="center"/>
    </xf>
    <xf numFmtId="0" fontId="5" fillId="0" borderId="5" xfId="0" applyFont="1" applyBorder="1" applyAlignment="1">
      <alignment horizontal="center" vertical="center"/>
    </xf>
    <xf numFmtId="0" fontId="11" fillId="0" borderId="5" xfId="0" applyFont="1" applyBorder="1" applyAlignment="1">
      <alignment horizontal="center" vertical="center"/>
    </xf>
    <xf numFmtId="1" fontId="11" fillId="0" borderId="5" xfId="0" applyNumberFormat="1" applyFont="1" applyBorder="1" applyAlignment="1">
      <alignment horizontal="center" vertical="center"/>
    </xf>
    <xf numFmtId="0" fontId="12" fillId="0" borderId="5" xfId="0" applyFont="1" applyBorder="1" applyAlignment="1">
      <alignment horizontal="center" vertical="center"/>
    </xf>
    <xf numFmtId="164" fontId="12" fillId="0" borderId="5" xfId="0" applyNumberFormat="1" applyFont="1" applyBorder="1" applyAlignment="1">
      <alignment horizontal="center" vertical="center"/>
    </xf>
    <xf numFmtId="1" fontId="12" fillId="0" borderId="5" xfId="0" applyNumberFormat="1" applyFont="1" applyBorder="1" applyAlignment="1">
      <alignment horizontal="center" vertical="center"/>
    </xf>
    <xf numFmtId="0" fontId="7" fillId="4" borderId="5" xfId="0" applyFont="1" applyFill="1" applyBorder="1" applyAlignment="1">
      <alignment horizontal="center" vertical="center" wrapText="1"/>
    </xf>
    <xf numFmtId="0" fontId="5" fillId="0" borderId="0" xfId="0" applyFont="1" applyBorder="1" applyAlignment="1">
      <alignment horizontal="center" vertical="center"/>
    </xf>
    <xf numFmtId="1" fontId="11" fillId="0" borderId="5" xfId="0" applyNumberFormat="1" applyFont="1" applyBorder="1" applyAlignment="1">
      <alignment horizontal="center" vertical="center"/>
    </xf>
    <xf numFmtId="0" fontId="11" fillId="0" borderId="5" xfId="0" applyFont="1" applyBorder="1" applyAlignment="1">
      <alignment horizontal="center" vertical="center"/>
    </xf>
    <xf numFmtId="0" fontId="5" fillId="0" borderId="5" xfId="0" applyFont="1" applyBorder="1" applyAlignment="1">
      <alignment horizontal="center" vertical="center"/>
    </xf>
    <xf numFmtId="0" fontId="4" fillId="0" borderId="5" xfId="0" applyFont="1" applyBorder="1" applyAlignment="1">
      <alignment horizontal="center" vertical="center"/>
    </xf>
    <xf numFmtId="0" fontId="6" fillId="4" borderId="5" xfId="0" applyFont="1" applyFill="1" applyBorder="1" applyAlignment="1">
      <alignment horizontal="center" vertical="center"/>
    </xf>
    <xf numFmtId="0" fontId="4" fillId="0" borderId="0" xfId="0" applyFont="1" applyAlignment="1">
      <alignment horizontal="center" vertical="center"/>
    </xf>
    <xf numFmtId="0" fontId="12" fillId="0" borderId="5" xfId="0" applyFont="1" applyBorder="1" applyAlignment="1">
      <alignment horizontal="center" vertical="center"/>
    </xf>
    <xf numFmtId="1" fontId="12" fillId="0" borderId="5" xfId="0" applyNumberFormat="1" applyFont="1" applyBorder="1" applyAlignment="1">
      <alignment horizontal="center" vertical="center"/>
    </xf>
    <xf numFmtId="164" fontId="12" fillId="0" borderId="5" xfId="0" applyNumberFormat="1" applyFont="1" applyBorder="1" applyAlignment="1">
      <alignment horizontal="center" vertical="center"/>
    </xf>
    <xf numFmtId="0" fontId="7" fillId="4" borderId="5" xfId="0" applyFont="1" applyFill="1" applyBorder="1" applyAlignment="1">
      <alignment horizontal="center" vertical="center" wrapText="1"/>
    </xf>
    <xf numFmtId="0" fontId="5" fillId="0" borderId="0" xfId="0" applyFont="1" applyBorder="1" applyAlignment="1">
      <alignment horizontal="center" vertical="center"/>
    </xf>
    <xf numFmtId="0" fontId="4" fillId="0" borderId="0" xfId="0" applyFont="1" applyAlignment="1">
      <alignment horizontal="center" vertical="center"/>
    </xf>
    <xf numFmtId="0" fontId="4" fillId="0" borderId="5" xfId="0" applyFont="1" applyBorder="1" applyAlignment="1">
      <alignment horizontal="center" vertical="center"/>
    </xf>
    <xf numFmtId="0" fontId="6" fillId="4" borderId="5" xfId="0" applyFont="1" applyFill="1" applyBorder="1" applyAlignment="1">
      <alignment horizontal="center" vertical="center"/>
    </xf>
    <xf numFmtId="0" fontId="5" fillId="0" borderId="5" xfId="0" applyFont="1" applyBorder="1" applyAlignment="1">
      <alignment horizontal="center" vertical="center"/>
    </xf>
    <xf numFmtId="0" fontId="11" fillId="0" borderId="5" xfId="0" applyFont="1" applyBorder="1" applyAlignment="1">
      <alignment horizontal="center" vertical="center"/>
    </xf>
    <xf numFmtId="1" fontId="11" fillId="0" borderId="5" xfId="0" applyNumberFormat="1" applyFont="1" applyBorder="1" applyAlignment="1">
      <alignment horizontal="center" vertical="center"/>
    </xf>
    <xf numFmtId="0" fontId="12" fillId="0" borderId="5" xfId="0" applyFont="1" applyBorder="1" applyAlignment="1">
      <alignment horizontal="center" vertical="center"/>
    </xf>
    <xf numFmtId="164" fontId="12" fillId="0" borderId="5" xfId="0" applyNumberFormat="1" applyFont="1" applyBorder="1" applyAlignment="1">
      <alignment horizontal="center" vertical="center"/>
    </xf>
    <xf numFmtId="1" fontId="12" fillId="0" borderId="5" xfId="0" applyNumberFormat="1" applyFont="1" applyBorder="1" applyAlignment="1">
      <alignment horizontal="center" vertical="center"/>
    </xf>
    <xf numFmtId="0" fontId="7" fillId="4" borderId="5" xfId="0" applyFont="1" applyFill="1" applyBorder="1" applyAlignment="1">
      <alignment horizontal="center" vertical="center" wrapText="1"/>
    </xf>
    <xf numFmtId="0" fontId="5" fillId="0" borderId="0" xfId="0" applyFont="1" applyBorder="1" applyAlignment="1">
      <alignment horizontal="center" vertical="center"/>
    </xf>
    <xf numFmtId="1" fontId="11" fillId="0" borderId="5" xfId="0" applyNumberFormat="1" applyFont="1" applyBorder="1" applyAlignment="1">
      <alignment horizontal="center" vertical="center"/>
    </xf>
    <xf numFmtId="0" fontId="11" fillId="0" borderId="5" xfId="0" applyFont="1" applyBorder="1" applyAlignment="1">
      <alignment horizontal="center" vertical="center"/>
    </xf>
    <xf numFmtId="0" fontId="5" fillId="0" borderId="5" xfId="0" applyFont="1" applyBorder="1" applyAlignment="1">
      <alignment horizontal="center" vertical="center"/>
    </xf>
    <xf numFmtId="0" fontId="4" fillId="0" borderId="5" xfId="0" applyFont="1" applyBorder="1" applyAlignment="1">
      <alignment horizontal="center" vertical="center"/>
    </xf>
    <xf numFmtId="0" fontId="6" fillId="4" borderId="5" xfId="0" applyFont="1" applyFill="1" applyBorder="1" applyAlignment="1">
      <alignment horizontal="center" vertical="center"/>
    </xf>
    <xf numFmtId="0" fontId="4" fillId="0" borderId="0" xfId="0" applyFont="1" applyAlignment="1">
      <alignment horizontal="center" vertical="center"/>
    </xf>
    <xf numFmtId="0" fontId="12" fillId="0" borderId="5" xfId="0" applyFont="1" applyBorder="1" applyAlignment="1">
      <alignment horizontal="center" vertical="center"/>
    </xf>
    <xf numFmtId="1" fontId="12" fillId="0" borderId="5" xfId="0" applyNumberFormat="1" applyFont="1" applyBorder="1" applyAlignment="1">
      <alignment horizontal="center" vertical="center"/>
    </xf>
    <xf numFmtId="164" fontId="12" fillId="0" borderId="5" xfId="0" applyNumberFormat="1" applyFont="1" applyBorder="1" applyAlignment="1">
      <alignment horizontal="center" vertical="center"/>
    </xf>
    <xf numFmtId="0" fontId="7" fillId="4" borderId="5" xfId="0" applyFont="1" applyFill="1" applyBorder="1" applyAlignment="1">
      <alignment horizontal="center" vertical="center" wrapText="1"/>
    </xf>
    <xf numFmtId="0" fontId="5" fillId="0" borderId="0" xfId="0" applyFont="1" applyBorder="1" applyAlignment="1">
      <alignment horizontal="center" vertical="center"/>
    </xf>
    <xf numFmtId="1" fontId="11" fillId="0" borderId="5" xfId="0" applyNumberFormat="1" applyFont="1" applyBorder="1" applyAlignment="1">
      <alignment horizontal="center" vertical="center"/>
    </xf>
    <xf numFmtId="0" fontId="11" fillId="0" borderId="5" xfId="0" applyFont="1" applyBorder="1" applyAlignment="1">
      <alignment horizontal="center" vertical="center"/>
    </xf>
    <xf numFmtId="0" fontId="5" fillId="0" borderId="5" xfId="0" applyFont="1" applyBorder="1" applyAlignment="1">
      <alignment horizontal="center" vertical="center"/>
    </xf>
    <xf numFmtId="0" fontId="4" fillId="0" borderId="5" xfId="0" applyFont="1" applyBorder="1" applyAlignment="1">
      <alignment horizontal="center" vertical="center"/>
    </xf>
    <xf numFmtId="0" fontId="6" fillId="4" borderId="5" xfId="0" applyFont="1" applyFill="1" applyBorder="1" applyAlignment="1">
      <alignment horizontal="center" vertical="center"/>
    </xf>
    <xf numFmtId="0" fontId="4" fillId="0" borderId="0" xfId="0" applyFont="1" applyAlignment="1">
      <alignment horizontal="center" vertical="center"/>
    </xf>
    <xf numFmtId="0" fontId="12" fillId="0" borderId="5" xfId="0" applyFont="1" applyBorder="1" applyAlignment="1">
      <alignment horizontal="center" vertical="center"/>
    </xf>
    <xf numFmtId="1" fontId="12" fillId="0" borderId="5" xfId="0" applyNumberFormat="1" applyFont="1" applyBorder="1" applyAlignment="1">
      <alignment horizontal="center" vertical="center"/>
    </xf>
    <xf numFmtId="164" fontId="12" fillId="0" borderId="5" xfId="0" applyNumberFormat="1" applyFont="1" applyBorder="1" applyAlignment="1">
      <alignment horizontal="center" vertical="center"/>
    </xf>
    <xf numFmtId="0" fontId="7" fillId="4" borderId="5" xfId="0" applyFont="1" applyFill="1" applyBorder="1" applyAlignment="1">
      <alignment horizontal="center" vertical="center" wrapText="1"/>
    </xf>
    <xf numFmtId="0" fontId="5" fillId="0" borderId="0" xfId="0" applyFont="1" applyBorder="1" applyAlignment="1">
      <alignment horizontal="center" vertical="center"/>
    </xf>
    <xf numFmtId="0" fontId="4" fillId="0" borderId="0" xfId="0" applyFont="1" applyAlignment="1">
      <alignment horizontal="center" vertical="center"/>
    </xf>
    <xf numFmtId="0" fontId="4" fillId="0" borderId="5" xfId="0" applyFont="1" applyBorder="1" applyAlignment="1">
      <alignment horizontal="center" vertical="center"/>
    </xf>
    <xf numFmtId="0" fontId="6" fillId="4" borderId="5" xfId="0" applyFont="1" applyFill="1" applyBorder="1" applyAlignment="1">
      <alignment horizontal="center" vertical="center"/>
    </xf>
    <xf numFmtId="0" fontId="5" fillId="0" borderId="5" xfId="0" applyFont="1" applyBorder="1" applyAlignment="1">
      <alignment horizontal="center" vertical="center"/>
    </xf>
    <xf numFmtId="0" fontId="11" fillId="0" borderId="5" xfId="0" applyFont="1" applyBorder="1" applyAlignment="1">
      <alignment horizontal="center" vertical="center"/>
    </xf>
    <xf numFmtId="1" fontId="11" fillId="0" borderId="5" xfId="0" applyNumberFormat="1" applyFont="1" applyBorder="1" applyAlignment="1">
      <alignment horizontal="center" vertical="center"/>
    </xf>
    <xf numFmtId="0" fontId="12" fillId="0" borderId="5" xfId="0" applyFont="1" applyBorder="1" applyAlignment="1">
      <alignment horizontal="center" vertical="center"/>
    </xf>
    <xf numFmtId="164" fontId="12" fillId="0" borderId="5" xfId="0" applyNumberFormat="1" applyFont="1" applyBorder="1" applyAlignment="1">
      <alignment horizontal="center" vertical="center"/>
    </xf>
    <xf numFmtId="1" fontId="12" fillId="0" borderId="5" xfId="0" applyNumberFormat="1" applyFont="1" applyBorder="1" applyAlignment="1">
      <alignment horizontal="center" vertical="center"/>
    </xf>
    <xf numFmtId="0" fontId="7" fillId="4" borderId="5" xfId="0" applyFont="1" applyFill="1" applyBorder="1" applyAlignment="1">
      <alignment horizontal="center" vertical="center" wrapText="1"/>
    </xf>
    <xf numFmtId="0" fontId="5" fillId="0" borderId="0" xfId="0" applyFont="1" applyBorder="1" applyAlignment="1">
      <alignment horizontal="center" vertical="center"/>
    </xf>
    <xf numFmtId="1" fontId="11" fillId="0" borderId="5" xfId="0" applyNumberFormat="1" applyFont="1" applyBorder="1" applyAlignment="1">
      <alignment horizontal="center" vertical="center"/>
    </xf>
    <xf numFmtId="0" fontId="11" fillId="0" borderId="5" xfId="0" applyFont="1" applyBorder="1" applyAlignment="1">
      <alignment horizontal="center" vertical="center"/>
    </xf>
    <xf numFmtId="0" fontId="5" fillId="0" borderId="5" xfId="0" applyFont="1" applyBorder="1" applyAlignment="1">
      <alignment horizontal="center" vertical="center"/>
    </xf>
    <xf numFmtId="0" fontId="4" fillId="0" borderId="5" xfId="0" applyFont="1" applyBorder="1" applyAlignment="1">
      <alignment horizontal="center" vertical="center"/>
    </xf>
    <xf numFmtId="0" fontId="6" fillId="4" borderId="5" xfId="0" applyFont="1" applyFill="1" applyBorder="1" applyAlignment="1">
      <alignment horizontal="center" vertical="center"/>
    </xf>
    <xf numFmtId="0" fontId="4" fillId="0" borderId="0" xfId="0" applyFont="1" applyAlignment="1">
      <alignment horizontal="center" vertical="center"/>
    </xf>
    <xf numFmtId="0" fontId="12" fillId="0" borderId="5" xfId="0" applyFont="1" applyBorder="1" applyAlignment="1">
      <alignment horizontal="center" vertical="center"/>
    </xf>
    <xf numFmtId="1" fontId="12" fillId="0" borderId="5" xfId="0" applyNumberFormat="1" applyFont="1" applyBorder="1" applyAlignment="1">
      <alignment horizontal="center" vertical="center"/>
    </xf>
    <xf numFmtId="164" fontId="12" fillId="0" borderId="5" xfId="0" applyNumberFormat="1" applyFont="1" applyBorder="1" applyAlignment="1">
      <alignment horizontal="center" vertical="center"/>
    </xf>
    <xf numFmtId="0" fontId="7" fillId="4" borderId="5" xfId="0" applyFont="1" applyFill="1" applyBorder="1" applyAlignment="1">
      <alignment horizontal="center" vertical="center" wrapText="1"/>
    </xf>
    <xf numFmtId="0" fontId="5" fillId="0" borderId="0" xfId="0" applyFont="1" applyBorder="1" applyAlignment="1">
      <alignment horizontal="center" vertical="center"/>
    </xf>
    <xf numFmtId="0" fontId="4" fillId="0" borderId="0" xfId="0" applyFont="1" applyAlignment="1">
      <alignment horizontal="center" vertical="center"/>
    </xf>
    <xf numFmtId="0" fontId="4" fillId="0" borderId="5" xfId="0" applyFont="1" applyBorder="1" applyAlignment="1">
      <alignment horizontal="center" vertical="center"/>
    </xf>
    <xf numFmtId="0" fontId="6" fillId="4" borderId="5" xfId="0" applyFont="1" applyFill="1" applyBorder="1" applyAlignment="1">
      <alignment horizontal="center" vertical="center"/>
    </xf>
    <xf numFmtId="0" fontId="5" fillId="0" borderId="5" xfId="0" applyFont="1" applyBorder="1" applyAlignment="1">
      <alignment horizontal="center" vertical="center"/>
    </xf>
    <xf numFmtId="0" fontId="11" fillId="0" borderId="5" xfId="0" applyFont="1" applyBorder="1" applyAlignment="1">
      <alignment horizontal="center" vertical="center"/>
    </xf>
    <xf numFmtId="1" fontId="11" fillId="0" borderId="5" xfId="0" applyNumberFormat="1" applyFont="1" applyBorder="1" applyAlignment="1">
      <alignment horizontal="center" vertical="center"/>
    </xf>
    <xf numFmtId="0" fontId="12" fillId="0" borderId="5" xfId="0" applyFont="1" applyBorder="1" applyAlignment="1">
      <alignment horizontal="center" vertical="center"/>
    </xf>
    <xf numFmtId="164" fontId="12" fillId="0" borderId="5" xfId="0" applyNumberFormat="1" applyFont="1" applyBorder="1" applyAlignment="1">
      <alignment horizontal="center" vertical="center"/>
    </xf>
    <xf numFmtId="1" fontId="12" fillId="0" borderId="5" xfId="0" applyNumberFormat="1" applyFont="1" applyBorder="1" applyAlignment="1">
      <alignment horizontal="center" vertical="center"/>
    </xf>
    <xf numFmtId="0" fontId="7" fillId="4" borderId="5" xfId="0" applyFont="1" applyFill="1" applyBorder="1" applyAlignment="1">
      <alignment horizontal="center" vertical="center" wrapText="1"/>
    </xf>
    <xf numFmtId="0" fontId="5" fillId="0" borderId="0" xfId="0" applyFont="1" applyBorder="1" applyAlignment="1">
      <alignment horizontal="center" vertical="center"/>
    </xf>
    <xf numFmtId="1" fontId="11" fillId="0" borderId="5" xfId="0" applyNumberFormat="1" applyFont="1" applyBorder="1" applyAlignment="1">
      <alignment horizontal="center" vertical="center"/>
    </xf>
    <xf numFmtId="0" fontId="11" fillId="0" borderId="5" xfId="0" applyFont="1" applyBorder="1" applyAlignment="1">
      <alignment horizontal="center" vertical="center"/>
    </xf>
    <xf numFmtId="0" fontId="5" fillId="0" borderId="5" xfId="0" applyFont="1" applyBorder="1" applyAlignment="1">
      <alignment horizontal="center" vertical="center"/>
    </xf>
    <xf numFmtId="0" fontId="4" fillId="0" borderId="5" xfId="0" applyFont="1" applyBorder="1" applyAlignment="1">
      <alignment horizontal="center" vertical="center"/>
    </xf>
    <xf numFmtId="0" fontId="6" fillId="4" borderId="5" xfId="0" applyFont="1" applyFill="1" applyBorder="1" applyAlignment="1">
      <alignment horizontal="center" vertical="center"/>
    </xf>
    <xf numFmtId="0" fontId="4" fillId="0" borderId="0" xfId="0" applyFont="1" applyAlignment="1">
      <alignment horizontal="center" vertical="center"/>
    </xf>
    <xf numFmtId="0" fontId="12" fillId="0" borderId="5" xfId="0" applyFont="1" applyBorder="1" applyAlignment="1">
      <alignment horizontal="center" vertical="center"/>
    </xf>
    <xf numFmtId="1" fontId="12" fillId="0" borderId="5" xfId="0" applyNumberFormat="1" applyFont="1" applyBorder="1" applyAlignment="1">
      <alignment horizontal="center" vertical="center"/>
    </xf>
    <xf numFmtId="164" fontId="12" fillId="0" borderId="5" xfId="0" applyNumberFormat="1" applyFont="1" applyBorder="1" applyAlignment="1">
      <alignment horizontal="center" vertical="center"/>
    </xf>
    <xf numFmtId="0" fontId="7" fillId="4" borderId="5" xfId="0" applyFont="1" applyFill="1" applyBorder="1" applyAlignment="1">
      <alignment horizontal="center" vertical="center" wrapText="1"/>
    </xf>
    <xf numFmtId="0" fontId="5" fillId="0" borderId="0" xfId="0" applyFont="1" applyBorder="1" applyAlignment="1">
      <alignment horizontal="center" vertical="center"/>
    </xf>
    <xf numFmtId="1" fontId="11" fillId="0" borderId="5" xfId="0" applyNumberFormat="1" applyFont="1" applyBorder="1" applyAlignment="1">
      <alignment horizontal="center" vertical="center"/>
    </xf>
    <xf numFmtId="0" fontId="11" fillId="0" borderId="5" xfId="0" applyFont="1" applyBorder="1" applyAlignment="1">
      <alignment horizontal="center" vertical="center"/>
    </xf>
    <xf numFmtId="0" fontId="5" fillId="0" borderId="5" xfId="0" applyFont="1" applyBorder="1" applyAlignment="1">
      <alignment horizontal="center" vertical="center"/>
    </xf>
    <xf numFmtId="0" fontId="4" fillId="0" borderId="5" xfId="0" applyFont="1" applyBorder="1" applyAlignment="1">
      <alignment horizontal="center" vertical="center"/>
    </xf>
    <xf numFmtId="0" fontId="6" fillId="4" borderId="5" xfId="0" applyFont="1" applyFill="1" applyBorder="1" applyAlignment="1">
      <alignment horizontal="center" vertical="center"/>
    </xf>
    <xf numFmtId="0" fontId="4" fillId="0" borderId="0" xfId="0" applyFont="1" applyAlignment="1">
      <alignment horizontal="center" vertical="center"/>
    </xf>
    <xf numFmtId="0" fontId="12" fillId="0" borderId="5" xfId="0" applyFont="1" applyBorder="1" applyAlignment="1">
      <alignment horizontal="center" vertical="center"/>
    </xf>
    <xf numFmtId="1" fontId="12" fillId="0" borderId="5" xfId="0" applyNumberFormat="1" applyFont="1" applyBorder="1" applyAlignment="1">
      <alignment horizontal="center" vertical="center"/>
    </xf>
    <xf numFmtId="164" fontId="12" fillId="0" borderId="5" xfId="0" applyNumberFormat="1" applyFont="1" applyBorder="1" applyAlignment="1">
      <alignment horizontal="center" vertical="center"/>
    </xf>
    <xf numFmtId="0" fontId="7" fillId="4" borderId="5" xfId="0" applyFont="1" applyFill="1" applyBorder="1" applyAlignment="1">
      <alignment horizontal="center" vertical="center" wrapText="1"/>
    </xf>
    <xf numFmtId="0" fontId="5" fillId="0" borderId="0" xfId="0" applyFont="1" applyBorder="1" applyAlignment="1">
      <alignment horizontal="center" vertical="center"/>
    </xf>
    <xf numFmtId="0" fontId="4" fillId="0" borderId="0" xfId="0" applyFont="1" applyAlignment="1">
      <alignment horizontal="center" vertical="center"/>
    </xf>
    <xf numFmtId="0" fontId="4" fillId="0" borderId="5" xfId="0" applyFont="1" applyBorder="1" applyAlignment="1">
      <alignment horizontal="center" vertical="center"/>
    </xf>
    <xf numFmtId="0" fontId="6" fillId="4" borderId="5" xfId="0" applyFont="1" applyFill="1" applyBorder="1" applyAlignment="1">
      <alignment horizontal="center" vertical="center"/>
    </xf>
    <xf numFmtId="0" fontId="5" fillId="0" borderId="5" xfId="0" applyFont="1" applyBorder="1" applyAlignment="1">
      <alignment horizontal="center" vertical="center"/>
    </xf>
    <xf numFmtId="0" fontId="11" fillId="0" borderId="5" xfId="0" applyFont="1" applyBorder="1" applyAlignment="1">
      <alignment horizontal="center" vertical="center"/>
    </xf>
    <xf numFmtId="1" fontId="11" fillId="0" borderId="5" xfId="0" applyNumberFormat="1" applyFont="1" applyBorder="1" applyAlignment="1">
      <alignment horizontal="center" vertical="center"/>
    </xf>
    <xf numFmtId="0" fontId="12" fillId="0" borderId="5" xfId="0" applyFont="1" applyBorder="1" applyAlignment="1">
      <alignment horizontal="center" vertical="center"/>
    </xf>
    <xf numFmtId="164" fontId="12" fillId="0" borderId="5" xfId="0" applyNumberFormat="1" applyFont="1" applyBorder="1" applyAlignment="1">
      <alignment horizontal="center" vertical="center"/>
    </xf>
    <xf numFmtId="1" fontId="12" fillId="0" borderId="5" xfId="0" applyNumberFormat="1" applyFont="1" applyBorder="1" applyAlignment="1">
      <alignment horizontal="center" vertical="center"/>
    </xf>
    <xf numFmtId="0" fontId="7" fillId="4" borderId="5" xfId="0" applyFont="1" applyFill="1" applyBorder="1" applyAlignment="1">
      <alignment horizontal="center" vertical="center" wrapText="1"/>
    </xf>
    <xf numFmtId="0" fontId="5" fillId="0" borderId="0" xfId="0" applyFont="1" applyBorder="1" applyAlignment="1">
      <alignment horizontal="center" vertical="center"/>
    </xf>
    <xf numFmtId="1" fontId="11" fillId="0" borderId="5" xfId="0" applyNumberFormat="1" applyFont="1" applyBorder="1" applyAlignment="1">
      <alignment horizontal="center" vertical="center"/>
    </xf>
    <xf numFmtId="0" fontId="11" fillId="0" borderId="5" xfId="0" applyFont="1" applyBorder="1" applyAlignment="1">
      <alignment horizontal="center" vertical="center"/>
    </xf>
    <xf numFmtId="0" fontId="5" fillId="0" borderId="5" xfId="0" applyFont="1" applyBorder="1" applyAlignment="1">
      <alignment horizontal="center" vertical="center"/>
    </xf>
    <xf numFmtId="0" fontId="4" fillId="0" borderId="5" xfId="0" applyFont="1" applyBorder="1" applyAlignment="1">
      <alignment horizontal="center" vertical="center"/>
    </xf>
    <xf numFmtId="0" fontId="6" fillId="4" borderId="5" xfId="0" applyFont="1" applyFill="1" applyBorder="1" applyAlignment="1">
      <alignment horizontal="center" vertical="center"/>
    </xf>
    <xf numFmtId="0" fontId="4" fillId="0" borderId="0" xfId="0" applyFont="1" applyAlignment="1">
      <alignment horizontal="center" vertical="center"/>
    </xf>
    <xf numFmtId="0" fontId="12" fillId="0" borderId="5" xfId="0" applyFont="1" applyBorder="1" applyAlignment="1">
      <alignment horizontal="center" vertical="center"/>
    </xf>
    <xf numFmtId="1" fontId="12" fillId="0" borderId="5" xfId="0" applyNumberFormat="1" applyFont="1" applyBorder="1" applyAlignment="1">
      <alignment horizontal="center" vertical="center"/>
    </xf>
    <xf numFmtId="164" fontId="12" fillId="0" borderId="5" xfId="0" applyNumberFormat="1" applyFont="1" applyBorder="1" applyAlignment="1">
      <alignment horizontal="center" vertical="center"/>
    </xf>
    <xf numFmtId="0" fontId="7" fillId="4" borderId="5" xfId="0" applyFont="1" applyFill="1" applyBorder="1" applyAlignment="1">
      <alignment horizontal="center" vertical="center" wrapText="1"/>
    </xf>
    <xf numFmtId="0" fontId="5" fillId="0" borderId="0" xfId="0" applyFont="1" applyBorder="1" applyAlignment="1">
      <alignment horizontal="center" vertical="center"/>
    </xf>
    <xf numFmtId="0" fontId="4" fillId="0" borderId="0" xfId="0" applyFont="1" applyAlignment="1">
      <alignment horizontal="center" vertical="center"/>
    </xf>
    <xf numFmtId="0" fontId="4" fillId="0" borderId="5" xfId="0" applyFont="1" applyBorder="1" applyAlignment="1">
      <alignment horizontal="center" vertical="center"/>
    </xf>
    <xf numFmtId="0" fontId="6" fillId="4" borderId="5" xfId="0" applyFont="1" applyFill="1" applyBorder="1" applyAlignment="1">
      <alignment horizontal="center" vertical="center"/>
    </xf>
    <xf numFmtId="0" fontId="5" fillId="0" borderId="5" xfId="0" applyFont="1" applyBorder="1" applyAlignment="1">
      <alignment horizontal="center" vertical="center"/>
    </xf>
    <xf numFmtId="0" fontId="11" fillId="0" borderId="5" xfId="0" applyFont="1" applyBorder="1" applyAlignment="1">
      <alignment horizontal="center" vertical="center"/>
    </xf>
    <xf numFmtId="1" fontId="11" fillId="0" borderId="5" xfId="0" applyNumberFormat="1" applyFont="1" applyBorder="1" applyAlignment="1">
      <alignment horizontal="center" vertical="center"/>
    </xf>
    <xf numFmtId="0" fontId="12" fillId="0" borderId="5" xfId="0" applyFont="1" applyBorder="1" applyAlignment="1">
      <alignment horizontal="center" vertical="center"/>
    </xf>
    <xf numFmtId="164" fontId="12" fillId="0" borderId="5" xfId="0" applyNumberFormat="1" applyFont="1" applyBorder="1" applyAlignment="1">
      <alignment horizontal="center" vertical="center"/>
    </xf>
    <xf numFmtId="1" fontId="12" fillId="0" borderId="5" xfId="0" applyNumberFormat="1" applyFont="1" applyBorder="1" applyAlignment="1">
      <alignment horizontal="center" vertical="center"/>
    </xf>
    <xf numFmtId="0" fontId="7" fillId="4" borderId="5" xfId="0" applyFont="1" applyFill="1" applyBorder="1" applyAlignment="1">
      <alignment horizontal="center" vertical="center" wrapText="1"/>
    </xf>
    <xf numFmtId="0" fontId="5" fillId="0" borderId="0" xfId="0" applyFont="1" applyBorder="1" applyAlignment="1">
      <alignment horizontal="center" vertical="center"/>
    </xf>
    <xf numFmtId="0" fontId="4" fillId="0" borderId="0" xfId="0" applyFont="1" applyAlignment="1">
      <alignment horizontal="center" vertical="center"/>
    </xf>
    <xf numFmtId="0" fontId="4" fillId="0" borderId="5" xfId="0" applyFont="1" applyBorder="1" applyAlignment="1">
      <alignment horizontal="center" vertical="center"/>
    </xf>
    <xf numFmtId="0" fontId="6" fillId="4" borderId="5" xfId="0" applyFont="1" applyFill="1" applyBorder="1" applyAlignment="1">
      <alignment horizontal="center" vertical="center"/>
    </xf>
    <xf numFmtId="0" fontId="5" fillId="0" borderId="5" xfId="0" applyFont="1" applyBorder="1" applyAlignment="1">
      <alignment horizontal="center" vertical="center"/>
    </xf>
    <xf numFmtId="0" fontId="11" fillId="0" borderId="5" xfId="0" applyFont="1" applyBorder="1" applyAlignment="1">
      <alignment horizontal="center" vertical="center"/>
    </xf>
    <xf numFmtId="1" fontId="11" fillId="0" borderId="5" xfId="0" applyNumberFormat="1" applyFont="1" applyBorder="1" applyAlignment="1">
      <alignment horizontal="center" vertical="center"/>
    </xf>
    <xf numFmtId="0" fontId="12" fillId="0" borderId="5" xfId="0" applyFont="1" applyBorder="1" applyAlignment="1">
      <alignment horizontal="center" vertical="center"/>
    </xf>
    <xf numFmtId="164" fontId="12" fillId="0" borderId="5" xfId="0" applyNumberFormat="1" applyFont="1" applyBorder="1" applyAlignment="1">
      <alignment horizontal="center" vertical="center"/>
    </xf>
    <xf numFmtId="1" fontId="12" fillId="0" borderId="5" xfId="0" applyNumberFormat="1" applyFont="1" applyBorder="1" applyAlignment="1">
      <alignment horizontal="center" vertical="center"/>
    </xf>
    <xf numFmtId="0" fontId="7" fillId="4" borderId="5" xfId="0" applyFont="1" applyFill="1" applyBorder="1" applyAlignment="1">
      <alignment horizontal="center" vertical="center" wrapText="1"/>
    </xf>
    <xf numFmtId="0" fontId="5" fillId="0" borderId="0" xfId="0" applyFont="1" applyBorder="1" applyAlignment="1">
      <alignment horizontal="center" vertical="center"/>
    </xf>
    <xf numFmtId="1" fontId="11" fillId="0" borderId="5" xfId="0" applyNumberFormat="1" applyFont="1" applyBorder="1" applyAlignment="1">
      <alignment horizontal="center" vertical="center"/>
    </xf>
    <xf numFmtId="0" fontId="11" fillId="0" borderId="5" xfId="0" applyFont="1" applyBorder="1" applyAlignment="1">
      <alignment horizontal="center" vertical="center"/>
    </xf>
    <xf numFmtId="0" fontId="5" fillId="0" borderId="5" xfId="0" applyFont="1" applyBorder="1" applyAlignment="1">
      <alignment horizontal="center" vertical="center"/>
    </xf>
    <xf numFmtId="0" fontId="4" fillId="0" borderId="5" xfId="0" applyFont="1" applyBorder="1" applyAlignment="1">
      <alignment horizontal="center" vertical="center"/>
    </xf>
    <xf numFmtId="0" fontId="6" fillId="4" borderId="5" xfId="0" applyFont="1" applyFill="1" applyBorder="1" applyAlignment="1">
      <alignment horizontal="center" vertical="center"/>
    </xf>
    <xf numFmtId="0" fontId="4" fillId="0" borderId="0" xfId="0" applyFont="1" applyAlignment="1">
      <alignment horizontal="center" vertical="center"/>
    </xf>
    <xf numFmtId="0" fontId="12" fillId="0" borderId="5" xfId="0" applyFont="1" applyBorder="1" applyAlignment="1">
      <alignment horizontal="center" vertical="center"/>
    </xf>
    <xf numFmtId="1" fontId="12" fillId="0" borderId="5" xfId="0" applyNumberFormat="1" applyFont="1" applyBorder="1" applyAlignment="1">
      <alignment horizontal="center" vertical="center"/>
    </xf>
    <xf numFmtId="164" fontId="12" fillId="0" borderId="5" xfId="0" applyNumberFormat="1" applyFont="1" applyBorder="1" applyAlignment="1">
      <alignment horizontal="center" vertical="center"/>
    </xf>
    <xf numFmtId="0" fontId="7" fillId="4" borderId="5" xfId="0" applyFont="1" applyFill="1" applyBorder="1" applyAlignment="1">
      <alignment horizontal="center" vertical="center" wrapText="1"/>
    </xf>
    <xf numFmtId="0" fontId="5" fillId="0" borderId="0" xfId="0" applyFont="1" applyBorder="1" applyAlignment="1">
      <alignment horizontal="center" vertical="center"/>
    </xf>
    <xf numFmtId="1" fontId="11" fillId="0" borderId="5" xfId="0" applyNumberFormat="1" applyFont="1" applyBorder="1" applyAlignment="1">
      <alignment horizontal="center" vertical="center"/>
    </xf>
    <xf numFmtId="0" fontId="11" fillId="0" borderId="5" xfId="0" applyFont="1" applyBorder="1" applyAlignment="1">
      <alignment horizontal="center" vertical="center"/>
    </xf>
    <xf numFmtId="0" fontId="5" fillId="0" borderId="5" xfId="0" applyFont="1" applyBorder="1" applyAlignment="1">
      <alignment horizontal="center" vertical="center"/>
    </xf>
    <xf numFmtId="0" fontId="4" fillId="0" borderId="5" xfId="0" applyFont="1" applyBorder="1" applyAlignment="1">
      <alignment horizontal="center" vertical="center"/>
    </xf>
    <xf numFmtId="0" fontId="6" fillId="4" borderId="5" xfId="0" applyFont="1" applyFill="1" applyBorder="1" applyAlignment="1">
      <alignment horizontal="center" vertical="center"/>
    </xf>
    <xf numFmtId="0" fontId="4" fillId="0" borderId="0" xfId="0" applyFont="1" applyAlignment="1">
      <alignment horizontal="center" vertical="center"/>
    </xf>
    <xf numFmtId="0" fontId="12" fillId="0" borderId="5" xfId="0" applyFont="1" applyBorder="1" applyAlignment="1">
      <alignment horizontal="center" vertical="center"/>
    </xf>
    <xf numFmtId="1" fontId="12" fillId="0" borderId="5" xfId="0" applyNumberFormat="1" applyFont="1" applyBorder="1" applyAlignment="1">
      <alignment horizontal="center" vertical="center"/>
    </xf>
    <xf numFmtId="164" fontId="12" fillId="0" borderId="5" xfId="0" applyNumberFormat="1" applyFont="1" applyBorder="1" applyAlignment="1">
      <alignment horizontal="center" vertical="center"/>
    </xf>
    <xf numFmtId="0" fontId="7" fillId="4" borderId="5" xfId="0" applyFont="1" applyFill="1" applyBorder="1" applyAlignment="1">
      <alignment horizontal="center" vertical="center" wrapText="1"/>
    </xf>
    <xf numFmtId="0" fontId="5" fillId="0" borderId="0" xfId="0" applyFont="1" applyBorder="1" applyAlignment="1">
      <alignment horizontal="center" vertical="center"/>
    </xf>
    <xf numFmtId="0" fontId="4" fillId="0" borderId="0" xfId="0" applyFont="1" applyAlignment="1">
      <alignment horizontal="center" vertical="center"/>
    </xf>
    <xf numFmtId="0" fontId="4" fillId="0" borderId="5" xfId="0" applyFont="1" applyBorder="1" applyAlignment="1">
      <alignment horizontal="center" vertical="center"/>
    </xf>
    <xf numFmtId="0" fontId="6" fillId="4" borderId="5" xfId="0" applyFont="1" applyFill="1" applyBorder="1" applyAlignment="1">
      <alignment horizontal="center" vertical="center"/>
    </xf>
    <xf numFmtId="0" fontId="5" fillId="0" borderId="5" xfId="0" applyFont="1" applyBorder="1" applyAlignment="1">
      <alignment horizontal="center" vertical="center"/>
    </xf>
    <xf numFmtId="0" fontId="11" fillId="0" borderId="5" xfId="0" applyFont="1" applyBorder="1" applyAlignment="1">
      <alignment horizontal="center" vertical="center"/>
    </xf>
    <xf numFmtId="1" fontId="11" fillId="0" borderId="5" xfId="0" applyNumberFormat="1" applyFont="1" applyBorder="1" applyAlignment="1">
      <alignment horizontal="center" vertical="center"/>
    </xf>
    <xf numFmtId="0" fontId="12" fillId="0" borderId="5" xfId="0" applyFont="1" applyBorder="1" applyAlignment="1">
      <alignment horizontal="center" vertical="center"/>
    </xf>
    <xf numFmtId="164" fontId="12" fillId="0" borderId="5" xfId="0" applyNumberFormat="1" applyFont="1" applyBorder="1" applyAlignment="1">
      <alignment horizontal="center" vertical="center"/>
    </xf>
    <xf numFmtId="1" fontId="12" fillId="0" borderId="5" xfId="0" applyNumberFormat="1" applyFont="1" applyBorder="1" applyAlignment="1">
      <alignment horizontal="center" vertical="center"/>
    </xf>
    <xf numFmtId="0" fontId="7" fillId="4" borderId="5" xfId="0" applyFont="1" applyFill="1" applyBorder="1" applyAlignment="1">
      <alignment horizontal="center" vertical="center" wrapText="1"/>
    </xf>
    <xf numFmtId="0" fontId="5" fillId="0" borderId="0" xfId="0" applyFont="1" applyBorder="1" applyAlignment="1">
      <alignment horizontal="center" vertical="center"/>
    </xf>
    <xf numFmtId="1" fontId="11" fillId="0" borderId="5" xfId="0" applyNumberFormat="1" applyFont="1" applyBorder="1" applyAlignment="1">
      <alignment horizontal="center" vertical="center"/>
    </xf>
    <xf numFmtId="0" fontId="11" fillId="0" borderId="5" xfId="0" applyFont="1" applyBorder="1" applyAlignment="1">
      <alignment horizontal="center" vertical="center"/>
    </xf>
    <xf numFmtId="0" fontId="5" fillId="0" borderId="5" xfId="0" applyFont="1" applyBorder="1" applyAlignment="1">
      <alignment horizontal="center" vertical="center"/>
    </xf>
    <xf numFmtId="0" fontId="4" fillId="0" borderId="5" xfId="0" applyFont="1" applyBorder="1" applyAlignment="1">
      <alignment horizontal="center" vertical="center"/>
    </xf>
    <xf numFmtId="0" fontId="6" fillId="4" borderId="5" xfId="0" applyFont="1" applyFill="1" applyBorder="1" applyAlignment="1">
      <alignment horizontal="center" vertical="center"/>
    </xf>
    <xf numFmtId="0" fontId="4" fillId="0" borderId="0" xfId="0" applyFont="1" applyAlignment="1">
      <alignment horizontal="center" vertical="center"/>
    </xf>
    <xf numFmtId="0" fontId="12" fillId="0" borderId="5" xfId="0" applyFont="1" applyBorder="1" applyAlignment="1">
      <alignment horizontal="center" vertical="center"/>
    </xf>
    <xf numFmtId="1" fontId="12" fillId="0" borderId="5" xfId="0" applyNumberFormat="1" applyFont="1" applyBorder="1" applyAlignment="1">
      <alignment horizontal="center" vertical="center"/>
    </xf>
    <xf numFmtId="164" fontId="12" fillId="0" borderId="5" xfId="0" applyNumberFormat="1" applyFont="1" applyBorder="1" applyAlignment="1">
      <alignment horizontal="center" vertical="center"/>
    </xf>
    <xf numFmtId="0" fontId="7" fillId="4" borderId="5" xfId="0" applyFont="1" applyFill="1" applyBorder="1" applyAlignment="1">
      <alignment horizontal="center" vertical="center" wrapText="1"/>
    </xf>
    <xf numFmtId="0" fontId="5" fillId="0" borderId="0" xfId="0" applyFont="1" applyBorder="1" applyAlignment="1">
      <alignment horizontal="center" vertical="center"/>
    </xf>
    <xf numFmtId="0" fontId="4" fillId="0" borderId="0" xfId="0" applyFont="1" applyAlignment="1">
      <alignment horizontal="center" vertical="center"/>
    </xf>
    <xf numFmtId="0" fontId="4" fillId="0" borderId="5" xfId="0" applyFont="1" applyBorder="1" applyAlignment="1">
      <alignment horizontal="center" vertical="center"/>
    </xf>
    <xf numFmtId="0" fontId="6" fillId="4" borderId="5" xfId="0" applyFont="1" applyFill="1" applyBorder="1" applyAlignment="1">
      <alignment horizontal="center" vertical="center"/>
    </xf>
    <xf numFmtId="0" fontId="5" fillId="0" borderId="5" xfId="0" applyFont="1" applyBorder="1" applyAlignment="1">
      <alignment horizontal="center" vertical="center"/>
    </xf>
    <xf numFmtId="0" fontId="11" fillId="0" borderId="5" xfId="0" applyFont="1" applyBorder="1" applyAlignment="1">
      <alignment horizontal="center" vertical="center"/>
    </xf>
    <xf numFmtId="1" fontId="11" fillId="0" borderId="5" xfId="0" applyNumberFormat="1" applyFont="1" applyBorder="1" applyAlignment="1">
      <alignment horizontal="center" vertical="center"/>
    </xf>
    <xf numFmtId="0" fontId="12" fillId="0" borderId="5" xfId="0" applyFont="1" applyBorder="1" applyAlignment="1">
      <alignment horizontal="center" vertical="center"/>
    </xf>
    <xf numFmtId="164" fontId="12" fillId="0" borderId="5" xfId="0" applyNumberFormat="1" applyFont="1" applyBorder="1" applyAlignment="1">
      <alignment horizontal="center" vertical="center"/>
    </xf>
    <xf numFmtId="1" fontId="12" fillId="0" borderId="5" xfId="0" applyNumberFormat="1" applyFont="1" applyBorder="1" applyAlignment="1">
      <alignment horizontal="center" vertical="center"/>
    </xf>
    <xf numFmtId="0" fontId="7" fillId="4" borderId="5" xfId="0" applyFont="1" applyFill="1" applyBorder="1" applyAlignment="1">
      <alignment horizontal="center" vertical="center" wrapText="1"/>
    </xf>
    <xf numFmtId="0" fontId="5" fillId="0" borderId="0" xfId="0" applyFont="1" applyBorder="1" applyAlignment="1">
      <alignment horizontal="center" vertical="center"/>
    </xf>
    <xf numFmtId="1" fontId="11" fillId="0" borderId="5" xfId="0" applyNumberFormat="1" applyFont="1" applyBorder="1" applyAlignment="1">
      <alignment horizontal="center" vertical="center"/>
    </xf>
    <xf numFmtId="0" fontId="11" fillId="0" borderId="5" xfId="0" applyFont="1" applyBorder="1" applyAlignment="1">
      <alignment horizontal="center" vertical="center"/>
    </xf>
    <xf numFmtId="0" fontId="5" fillId="0" borderId="5" xfId="0" applyFont="1" applyBorder="1" applyAlignment="1">
      <alignment horizontal="center" vertical="center"/>
    </xf>
    <xf numFmtId="0" fontId="4" fillId="0" borderId="5" xfId="0" applyFont="1" applyBorder="1" applyAlignment="1">
      <alignment horizontal="center" vertical="center"/>
    </xf>
    <xf numFmtId="0" fontId="6" fillId="4" borderId="5" xfId="0" applyFont="1" applyFill="1" applyBorder="1" applyAlignment="1">
      <alignment horizontal="center" vertical="center"/>
    </xf>
    <xf numFmtId="0" fontId="4" fillId="0" borderId="0" xfId="0" applyFont="1" applyAlignment="1">
      <alignment horizontal="center" vertical="center"/>
    </xf>
    <xf numFmtId="0" fontId="12" fillId="0" borderId="5" xfId="0" applyFont="1" applyBorder="1" applyAlignment="1">
      <alignment horizontal="center" vertical="center"/>
    </xf>
    <xf numFmtId="1" fontId="12" fillId="0" borderId="5" xfId="0" applyNumberFormat="1" applyFont="1" applyBorder="1" applyAlignment="1">
      <alignment horizontal="center" vertical="center"/>
    </xf>
    <xf numFmtId="164" fontId="12" fillId="0" borderId="5" xfId="0" applyNumberFormat="1" applyFont="1" applyBorder="1" applyAlignment="1">
      <alignment horizontal="center" vertical="center"/>
    </xf>
    <xf numFmtId="0" fontId="7" fillId="4" borderId="5" xfId="0" applyFont="1" applyFill="1" applyBorder="1" applyAlignment="1">
      <alignment horizontal="center" vertical="center" wrapText="1"/>
    </xf>
    <xf numFmtId="0" fontId="5" fillId="0" borderId="0" xfId="0" applyFont="1" applyBorder="1" applyAlignment="1">
      <alignment horizontal="center" vertical="center"/>
    </xf>
    <xf numFmtId="0" fontId="4" fillId="0" borderId="0" xfId="0" applyFont="1" applyAlignment="1">
      <alignment horizontal="center" vertical="center"/>
    </xf>
    <xf numFmtId="0" fontId="4" fillId="0" borderId="5" xfId="0" applyFont="1" applyBorder="1" applyAlignment="1">
      <alignment horizontal="center" vertical="center"/>
    </xf>
    <xf numFmtId="0" fontId="6" fillId="4" borderId="5" xfId="0" applyFont="1" applyFill="1" applyBorder="1" applyAlignment="1">
      <alignment horizontal="center" vertical="center"/>
    </xf>
    <xf numFmtId="0" fontId="5" fillId="0" borderId="5" xfId="0" applyFont="1" applyBorder="1" applyAlignment="1">
      <alignment horizontal="center" vertical="center"/>
    </xf>
    <xf numFmtId="0" fontId="11" fillId="0" borderId="5" xfId="0" applyFont="1" applyBorder="1" applyAlignment="1">
      <alignment horizontal="center" vertical="center"/>
    </xf>
    <xf numFmtId="1" fontId="11" fillId="0" borderId="5" xfId="0" applyNumberFormat="1" applyFont="1" applyBorder="1" applyAlignment="1">
      <alignment horizontal="center" vertical="center"/>
    </xf>
    <xf numFmtId="0" fontId="12" fillId="0" borderId="5" xfId="0" applyFont="1" applyBorder="1" applyAlignment="1">
      <alignment horizontal="center" vertical="center"/>
    </xf>
    <xf numFmtId="164" fontId="12" fillId="0" borderId="5" xfId="0" applyNumberFormat="1" applyFont="1" applyBorder="1" applyAlignment="1">
      <alignment horizontal="center" vertical="center"/>
    </xf>
    <xf numFmtId="1" fontId="12" fillId="0" borderId="5" xfId="0" applyNumberFormat="1" applyFont="1" applyBorder="1" applyAlignment="1">
      <alignment horizontal="center" vertical="center"/>
    </xf>
    <xf numFmtId="0" fontId="7" fillId="4" borderId="5" xfId="0" applyFont="1" applyFill="1" applyBorder="1" applyAlignment="1">
      <alignment horizontal="center" vertical="center" wrapText="1"/>
    </xf>
    <xf numFmtId="0" fontId="5" fillId="0" borderId="0" xfId="0" applyFont="1" applyBorder="1" applyAlignment="1">
      <alignment horizontal="center" vertical="center"/>
    </xf>
    <xf numFmtId="1" fontId="11" fillId="0" borderId="5" xfId="0" applyNumberFormat="1" applyFont="1" applyBorder="1" applyAlignment="1">
      <alignment horizontal="center" vertical="center"/>
    </xf>
    <xf numFmtId="0" fontId="11" fillId="0" borderId="5" xfId="0" applyFont="1" applyBorder="1" applyAlignment="1">
      <alignment horizontal="center" vertical="center"/>
    </xf>
    <xf numFmtId="0" fontId="5" fillId="0" borderId="5" xfId="0" applyFont="1" applyBorder="1" applyAlignment="1">
      <alignment horizontal="center" vertical="center"/>
    </xf>
    <xf numFmtId="0" fontId="4" fillId="0" borderId="5" xfId="0" applyFont="1" applyBorder="1" applyAlignment="1">
      <alignment horizontal="center" vertical="center"/>
    </xf>
    <xf numFmtId="0" fontId="6" fillId="4" borderId="5" xfId="0" applyFont="1" applyFill="1" applyBorder="1" applyAlignment="1">
      <alignment horizontal="center" vertical="center"/>
    </xf>
    <xf numFmtId="0" fontId="4" fillId="0" borderId="0" xfId="0" applyFont="1" applyAlignment="1">
      <alignment horizontal="center" vertical="center"/>
    </xf>
    <xf numFmtId="0" fontId="12" fillId="0" borderId="5" xfId="0" applyFont="1" applyBorder="1" applyAlignment="1">
      <alignment horizontal="center" vertical="center"/>
    </xf>
    <xf numFmtId="1" fontId="12" fillId="0" borderId="5" xfId="0" applyNumberFormat="1" applyFont="1" applyBorder="1" applyAlignment="1">
      <alignment horizontal="center" vertical="center"/>
    </xf>
    <xf numFmtId="164" fontId="12" fillId="0" borderId="5" xfId="0" applyNumberFormat="1" applyFont="1" applyBorder="1" applyAlignment="1">
      <alignment horizontal="center" vertical="center"/>
    </xf>
    <xf numFmtId="0" fontId="7" fillId="4" borderId="5" xfId="0" applyFont="1" applyFill="1" applyBorder="1" applyAlignment="1">
      <alignment horizontal="center" vertical="center" wrapText="1"/>
    </xf>
    <xf numFmtId="0" fontId="5" fillId="0" borderId="0" xfId="0" applyFont="1" applyBorder="1" applyAlignment="1">
      <alignment horizontal="center" vertical="center"/>
    </xf>
    <xf numFmtId="0" fontId="4" fillId="0" borderId="0" xfId="0" applyFont="1" applyAlignment="1">
      <alignment horizontal="center" vertical="center"/>
    </xf>
    <xf numFmtId="0" fontId="4" fillId="0" borderId="5" xfId="0" applyFont="1" applyBorder="1" applyAlignment="1">
      <alignment horizontal="center" vertical="center"/>
    </xf>
    <xf numFmtId="0" fontId="6" fillId="4" borderId="5" xfId="0" applyFont="1" applyFill="1" applyBorder="1" applyAlignment="1">
      <alignment horizontal="center" vertical="center"/>
    </xf>
    <xf numFmtId="0" fontId="5" fillId="0" borderId="5" xfId="0" applyFont="1" applyBorder="1" applyAlignment="1">
      <alignment horizontal="center" vertical="center"/>
    </xf>
    <xf numFmtId="0" fontId="11" fillId="0" borderId="5" xfId="0" applyFont="1" applyBorder="1" applyAlignment="1">
      <alignment horizontal="center" vertical="center"/>
    </xf>
    <xf numFmtId="1" fontId="11" fillId="0" borderId="5" xfId="0" applyNumberFormat="1" applyFont="1" applyBorder="1" applyAlignment="1">
      <alignment horizontal="center" vertical="center"/>
    </xf>
    <xf numFmtId="0" fontId="12" fillId="0" borderId="5" xfId="0" applyFont="1" applyBorder="1" applyAlignment="1">
      <alignment horizontal="center" vertical="center"/>
    </xf>
    <xf numFmtId="164" fontId="12" fillId="0" borderId="5" xfId="0" applyNumberFormat="1" applyFont="1" applyBorder="1" applyAlignment="1">
      <alignment horizontal="center" vertical="center"/>
    </xf>
    <xf numFmtId="1" fontId="12" fillId="0" borderId="5" xfId="0" applyNumberFormat="1" applyFont="1" applyBorder="1" applyAlignment="1">
      <alignment horizontal="center" vertical="center"/>
    </xf>
    <xf numFmtId="0" fontId="7" fillId="4" borderId="5" xfId="0" applyFont="1" applyFill="1" applyBorder="1" applyAlignment="1">
      <alignment horizontal="center" vertical="center" wrapText="1"/>
    </xf>
    <xf numFmtId="0" fontId="5" fillId="0" borderId="0" xfId="0" applyFont="1" applyBorder="1" applyAlignment="1">
      <alignment horizontal="center" vertical="center"/>
    </xf>
    <xf numFmtId="0" fontId="4" fillId="0" borderId="0" xfId="0" applyFont="1" applyAlignment="1">
      <alignment horizontal="center" vertical="center"/>
    </xf>
    <xf numFmtId="0" fontId="4" fillId="0" borderId="5" xfId="0" applyFont="1" applyBorder="1" applyAlignment="1">
      <alignment horizontal="center" vertical="center"/>
    </xf>
    <xf numFmtId="0" fontId="6" fillId="4" borderId="5" xfId="0" applyFont="1" applyFill="1" applyBorder="1" applyAlignment="1">
      <alignment horizontal="center" vertical="center"/>
    </xf>
    <xf numFmtId="0" fontId="5" fillId="0" borderId="5" xfId="0" applyFont="1" applyBorder="1" applyAlignment="1">
      <alignment horizontal="center" vertical="center"/>
    </xf>
    <xf numFmtId="0" fontId="11" fillId="0" borderId="5" xfId="0" applyFont="1" applyBorder="1" applyAlignment="1">
      <alignment horizontal="center" vertical="center"/>
    </xf>
    <xf numFmtId="1" fontId="11" fillId="0" borderId="5" xfId="0" applyNumberFormat="1" applyFont="1" applyBorder="1" applyAlignment="1">
      <alignment horizontal="center" vertical="center"/>
    </xf>
    <xf numFmtId="0" fontId="12" fillId="0" borderId="5" xfId="0" applyFont="1" applyBorder="1" applyAlignment="1">
      <alignment horizontal="center" vertical="center"/>
    </xf>
    <xf numFmtId="164" fontId="12" fillId="0" borderId="5" xfId="0" applyNumberFormat="1" applyFont="1" applyBorder="1" applyAlignment="1">
      <alignment horizontal="center" vertical="center"/>
    </xf>
    <xf numFmtId="1" fontId="12" fillId="0" borderId="5" xfId="0" applyNumberFormat="1" applyFont="1" applyBorder="1" applyAlignment="1">
      <alignment horizontal="center" vertical="center"/>
    </xf>
    <xf numFmtId="0" fontId="7" fillId="4" borderId="5" xfId="0" applyFont="1" applyFill="1" applyBorder="1" applyAlignment="1">
      <alignment horizontal="center" vertical="center" wrapText="1"/>
    </xf>
    <xf numFmtId="0" fontId="5" fillId="0" borderId="0" xfId="0" applyFont="1" applyBorder="1" applyAlignment="1">
      <alignment horizontal="center" vertical="center"/>
    </xf>
    <xf numFmtId="1" fontId="11" fillId="0" borderId="5" xfId="0" applyNumberFormat="1" applyFont="1" applyBorder="1" applyAlignment="1">
      <alignment horizontal="center" vertical="center"/>
    </xf>
    <xf numFmtId="0" fontId="11" fillId="0" borderId="5" xfId="0" applyFont="1" applyBorder="1" applyAlignment="1">
      <alignment horizontal="center" vertical="center"/>
    </xf>
    <xf numFmtId="0" fontId="5" fillId="0" borderId="5" xfId="0" applyFont="1" applyBorder="1" applyAlignment="1">
      <alignment horizontal="center" vertical="center"/>
    </xf>
    <xf numFmtId="0" fontId="4" fillId="0" borderId="5" xfId="0" applyFont="1" applyBorder="1" applyAlignment="1">
      <alignment horizontal="center" vertical="center"/>
    </xf>
    <xf numFmtId="0" fontId="6" fillId="4" borderId="5" xfId="0" applyFont="1" applyFill="1" applyBorder="1" applyAlignment="1">
      <alignment horizontal="center" vertical="center"/>
    </xf>
    <xf numFmtId="0" fontId="4" fillId="0" borderId="0" xfId="0" applyFont="1" applyAlignment="1">
      <alignment horizontal="center" vertical="center"/>
    </xf>
    <xf numFmtId="0" fontId="12" fillId="0" borderId="5" xfId="0" applyFont="1" applyBorder="1" applyAlignment="1">
      <alignment horizontal="center" vertical="center"/>
    </xf>
    <xf numFmtId="1" fontId="12" fillId="0" borderId="5" xfId="0" applyNumberFormat="1" applyFont="1" applyBorder="1" applyAlignment="1">
      <alignment horizontal="center" vertical="center"/>
    </xf>
    <xf numFmtId="164" fontId="12" fillId="0" borderId="5" xfId="0" applyNumberFormat="1" applyFont="1" applyBorder="1" applyAlignment="1">
      <alignment horizontal="center" vertical="center"/>
    </xf>
    <xf numFmtId="0" fontId="7" fillId="4" borderId="5" xfId="0" applyFont="1" applyFill="1" applyBorder="1" applyAlignment="1">
      <alignment horizontal="center" vertical="center" wrapText="1"/>
    </xf>
    <xf numFmtId="0" fontId="5" fillId="0" borderId="0" xfId="0" applyFont="1" applyBorder="1" applyAlignment="1">
      <alignment horizontal="center" vertical="center"/>
    </xf>
    <xf numFmtId="0" fontId="4" fillId="0" borderId="0" xfId="0" applyFont="1" applyAlignment="1">
      <alignment horizontal="center" vertical="center"/>
    </xf>
    <xf numFmtId="0" fontId="4" fillId="0" borderId="5" xfId="0" applyFont="1" applyBorder="1" applyAlignment="1">
      <alignment horizontal="center" vertical="center"/>
    </xf>
    <xf numFmtId="0" fontId="6" fillId="4" borderId="5" xfId="0" applyFont="1" applyFill="1" applyBorder="1" applyAlignment="1">
      <alignment horizontal="center" vertical="center"/>
    </xf>
    <xf numFmtId="0" fontId="5" fillId="0" borderId="5" xfId="0" applyFont="1" applyBorder="1" applyAlignment="1">
      <alignment horizontal="center" vertical="center"/>
    </xf>
    <xf numFmtId="0" fontId="11" fillId="0" borderId="5" xfId="0" applyFont="1" applyBorder="1" applyAlignment="1">
      <alignment horizontal="center" vertical="center"/>
    </xf>
    <xf numFmtId="1" fontId="11" fillId="0" borderId="5" xfId="0" applyNumberFormat="1" applyFont="1" applyBorder="1" applyAlignment="1">
      <alignment horizontal="center" vertical="center"/>
    </xf>
    <xf numFmtId="0" fontId="12" fillId="0" borderId="5" xfId="0" applyFont="1" applyBorder="1" applyAlignment="1">
      <alignment horizontal="center" vertical="center"/>
    </xf>
    <xf numFmtId="164" fontId="12" fillId="0" borderId="5" xfId="0" applyNumberFormat="1" applyFont="1" applyBorder="1" applyAlignment="1">
      <alignment horizontal="center" vertical="center"/>
    </xf>
    <xf numFmtId="1" fontId="12" fillId="0" borderId="5" xfId="0" applyNumberFormat="1" applyFont="1" applyBorder="1" applyAlignment="1">
      <alignment horizontal="center" vertical="center"/>
    </xf>
    <xf numFmtId="0" fontId="7" fillId="4" borderId="5" xfId="0" applyFont="1" applyFill="1" applyBorder="1" applyAlignment="1">
      <alignment horizontal="center" vertical="center" wrapText="1"/>
    </xf>
    <xf numFmtId="0" fontId="5" fillId="0" borderId="0" xfId="0" applyFont="1" applyBorder="1" applyAlignment="1">
      <alignment horizontal="center" vertical="center"/>
    </xf>
    <xf numFmtId="1" fontId="11" fillId="0" borderId="5" xfId="0" applyNumberFormat="1" applyFont="1" applyBorder="1" applyAlignment="1">
      <alignment horizontal="center" vertical="center"/>
    </xf>
    <xf numFmtId="0" fontId="11" fillId="0" borderId="5" xfId="0" applyFont="1" applyBorder="1" applyAlignment="1">
      <alignment horizontal="center" vertical="center"/>
    </xf>
    <xf numFmtId="0" fontId="5" fillId="0" borderId="5" xfId="0" applyFont="1" applyBorder="1" applyAlignment="1">
      <alignment horizontal="center" vertical="center"/>
    </xf>
    <xf numFmtId="0" fontId="4" fillId="0" borderId="5" xfId="0" applyFont="1" applyBorder="1" applyAlignment="1">
      <alignment horizontal="center" vertical="center"/>
    </xf>
    <xf numFmtId="0" fontId="6" fillId="4" borderId="5" xfId="0" applyFont="1" applyFill="1" applyBorder="1" applyAlignment="1">
      <alignment horizontal="center" vertical="center"/>
    </xf>
    <xf numFmtId="0" fontId="4" fillId="0" borderId="0" xfId="0" applyFont="1" applyAlignment="1">
      <alignment horizontal="center" vertical="center"/>
    </xf>
    <xf numFmtId="0" fontId="12" fillId="0" borderId="5" xfId="0" applyFont="1" applyBorder="1" applyAlignment="1">
      <alignment horizontal="center" vertical="center"/>
    </xf>
    <xf numFmtId="1" fontId="12" fillId="0" borderId="5" xfId="0" applyNumberFormat="1" applyFont="1" applyBorder="1" applyAlignment="1">
      <alignment horizontal="center" vertical="center"/>
    </xf>
    <xf numFmtId="164" fontId="12" fillId="0" borderId="5" xfId="0" applyNumberFormat="1" applyFont="1" applyBorder="1" applyAlignment="1">
      <alignment horizontal="center" vertical="center"/>
    </xf>
    <xf numFmtId="0" fontId="7" fillId="4" borderId="5" xfId="0" applyFont="1" applyFill="1" applyBorder="1" applyAlignment="1">
      <alignment horizontal="center" vertical="center" wrapText="1"/>
    </xf>
    <xf numFmtId="0" fontId="5" fillId="0" borderId="0" xfId="0" applyFont="1" applyBorder="1" applyAlignment="1">
      <alignment horizontal="center" vertical="center"/>
    </xf>
    <xf numFmtId="1" fontId="11" fillId="0" borderId="5" xfId="0" applyNumberFormat="1" applyFont="1" applyBorder="1" applyAlignment="1">
      <alignment horizontal="center" vertical="center"/>
    </xf>
    <xf numFmtId="0" fontId="11" fillId="0" borderId="5" xfId="0" applyFont="1" applyBorder="1" applyAlignment="1">
      <alignment horizontal="center" vertical="center"/>
    </xf>
    <xf numFmtId="0" fontId="5" fillId="0" borderId="5" xfId="0" applyFont="1" applyBorder="1" applyAlignment="1">
      <alignment horizontal="center" vertical="center"/>
    </xf>
    <xf numFmtId="0" fontId="4" fillId="0" borderId="5" xfId="0" applyFont="1" applyBorder="1" applyAlignment="1">
      <alignment horizontal="center" vertical="center"/>
    </xf>
    <xf numFmtId="0" fontId="6" fillId="4" borderId="5" xfId="0" applyFont="1" applyFill="1" applyBorder="1" applyAlignment="1">
      <alignment horizontal="center" vertical="center"/>
    </xf>
    <xf numFmtId="0" fontId="4" fillId="0" borderId="0" xfId="0" applyFont="1" applyAlignment="1">
      <alignment horizontal="center" vertical="center"/>
    </xf>
    <xf numFmtId="0" fontId="12" fillId="0" borderId="5" xfId="0" applyFont="1" applyBorder="1" applyAlignment="1">
      <alignment horizontal="center" vertical="center"/>
    </xf>
    <xf numFmtId="1" fontId="12" fillId="0" borderId="5" xfId="0" applyNumberFormat="1" applyFont="1" applyBorder="1" applyAlignment="1">
      <alignment horizontal="center" vertical="center"/>
    </xf>
    <xf numFmtId="164" fontId="12" fillId="0" borderId="5" xfId="0" applyNumberFormat="1" applyFont="1" applyBorder="1" applyAlignment="1">
      <alignment horizontal="center" vertical="center"/>
    </xf>
    <xf numFmtId="0" fontId="7" fillId="4" borderId="5" xfId="0" applyFont="1" applyFill="1" applyBorder="1" applyAlignment="1">
      <alignment horizontal="center" vertical="center" wrapText="1"/>
    </xf>
    <xf numFmtId="0" fontId="5" fillId="0" borderId="0" xfId="0" applyFont="1" applyBorder="1" applyAlignment="1">
      <alignment horizontal="center" vertical="center"/>
    </xf>
    <xf numFmtId="0" fontId="4" fillId="0" borderId="0" xfId="0" applyFont="1" applyAlignment="1">
      <alignment horizontal="center" vertical="center"/>
    </xf>
    <xf numFmtId="0" fontId="4" fillId="0" borderId="5" xfId="0" applyFont="1" applyBorder="1" applyAlignment="1">
      <alignment horizontal="center" vertical="center"/>
    </xf>
    <xf numFmtId="0" fontId="6" fillId="4" borderId="5" xfId="0" applyFont="1" applyFill="1" applyBorder="1" applyAlignment="1">
      <alignment horizontal="center" vertical="center"/>
    </xf>
    <xf numFmtId="0" fontId="5" fillId="0" borderId="5" xfId="0" applyFont="1" applyBorder="1" applyAlignment="1">
      <alignment horizontal="center" vertical="center"/>
    </xf>
    <xf numFmtId="0" fontId="11" fillId="0" borderId="5" xfId="0" applyFont="1" applyBorder="1" applyAlignment="1">
      <alignment horizontal="center" vertical="center"/>
    </xf>
    <xf numFmtId="1" fontId="11" fillId="0" borderId="5" xfId="0" applyNumberFormat="1" applyFont="1" applyBorder="1" applyAlignment="1">
      <alignment horizontal="center" vertical="center"/>
    </xf>
    <xf numFmtId="0" fontId="12" fillId="0" borderId="5" xfId="0" applyFont="1" applyBorder="1" applyAlignment="1">
      <alignment horizontal="center" vertical="center"/>
    </xf>
    <xf numFmtId="164" fontId="12" fillId="0" borderId="5" xfId="0" applyNumberFormat="1" applyFont="1" applyBorder="1" applyAlignment="1">
      <alignment horizontal="center" vertical="center"/>
    </xf>
    <xf numFmtId="1" fontId="12" fillId="0" borderId="5" xfId="0" applyNumberFormat="1" applyFont="1" applyBorder="1" applyAlignment="1">
      <alignment horizontal="center" vertical="center"/>
    </xf>
    <xf numFmtId="0" fontId="7" fillId="4" borderId="5" xfId="0" applyFont="1" applyFill="1" applyBorder="1" applyAlignment="1">
      <alignment horizontal="center" vertical="center" wrapText="1"/>
    </xf>
    <xf numFmtId="0" fontId="5" fillId="0" borderId="0" xfId="0" applyFont="1" applyBorder="1" applyAlignment="1">
      <alignment horizontal="center" vertical="center"/>
    </xf>
    <xf numFmtId="1" fontId="11" fillId="0" borderId="5" xfId="0" applyNumberFormat="1" applyFont="1" applyBorder="1" applyAlignment="1">
      <alignment horizontal="center" vertical="center"/>
    </xf>
    <xf numFmtId="0" fontId="11" fillId="0" borderId="5" xfId="0" applyFont="1" applyBorder="1" applyAlignment="1">
      <alignment horizontal="center" vertical="center"/>
    </xf>
    <xf numFmtId="0" fontId="5" fillId="0" borderId="5" xfId="0" applyFont="1" applyBorder="1" applyAlignment="1">
      <alignment horizontal="center" vertical="center"/>
    </xf>
    <xf numFmtId="0" fontId="4" fillId="0" borderId="5" xfId="0" applyFont="1" applyBorder="1" applyAlignment="1">
      <alignment horizontal="center" vertical="center"/>
    </xf>
    <xf numFmtId="0" fontId="6" fillId="4" borderId="5" xfId="0" applyFont="1" applyFill="1" applyBorder="1" applyAlignment="1">
      <alignment horizontal="center" vertical="center"/>
    </xf>
    <xf numFmtId="0" fontId="4" fillId="0" borderId="0" xfId="0" applyFont="1" applyAlignment="1">
      <alignment horizontal="center" vertical="center"/>
    </xf>
    <xf numFmtId="0" fontId="12" fillId="0" borderId="5" xfId="0" applyFont="1" applyBorder="1" applyAlignment="1">
      <alignment horizontal="center" vertical="center"/>
    </xf>
    <xf numFmtId="1" fontId="12" fillId="0" borderId="5" xfId="0" applyNumberFormat="1" applyFont="1" applyBorder="1" applyAlignment="1">
      <alignment horizontal="center" vertical="center"/>
    </xf>
    <xf numFmtId="164" fontId="12" fillId="0" borderId="5" xfId="0" applyNumberFormat="1" applyFont="1" applyBorder="1" applyAlignment="1">
      <alignment horizontal="center" vertical="center"/>
    </xf>
    <xf numFmtId="0" fontId="7" fillId="4" borderId="5" xfId="0" applyFont="1" applyFill="1" applyBorder="1" applyAlignment="1">
      <alignment horizontal="center" vertical="center" wrapText="1"/>
    </xf>
    <xf numFmtId="0" fontId="5" fillId="0" borderId="0" xfId="0" applyFont="1" applyBorder="1" applyAlignment="1">
      <alignment horizontal="center" vertical="center"/>
    </xf>
    <xf numFmtId="0" fontId="4" fillId="0" borderId="0" xfId="0" applyFont="1" applyAlignment="1">
      <alignment horizontal="center" vertical="center"/>
    </xf>
    <xf numFmtId="0" fontId="4" fillId="0" borderId="5" xfId="0" applyFont="1" applyBorder="1" applyAlignment="1">
      <alignment horizontal="center" vertical="center"/>
    </xf>
    <xf numFmtId="0" fontId="6" fillId="4" borderId="5" xfId="0" applyFont="1" applyFill="1" applyBorder="1" applyAlignment="1">
      <alignment horizontal="center" vertical="center"/>
    </xf>
    <xf numFmtId="0" fontId="5" fillId="0" borderId="5" xfId="0" applyFont="1" applyBorder="1" applyAlignment="1">
      <alignment horizontal="center" vertical="center"/>
    </xf>
    <xf numFmtId="0" fontId="11" fillId="0" borderId="5" xfId="0" applyFont="1" applyBorder="1" applyAlignment="1">
      <alignment horizontal="center" vertical="center"/>
    </xf>
    <xf numFmtId="1" fontId="11" fillId="0" borderId="5" xfId="0" applyNumberFormat="1" applyFont="1" applyBorder="1" applyAlignment="1">
      <alignment horizontal="center" vertical="center"/>
    </xf>
    <xf numFmtId="0" fontId="12" fillId="0" borderId="5" xfId="0" applyFont="1" applyBorder="1" applyAlignment="1">
      <alignment horizontal="center" vertical="center"/>
    </xf>
    <xf numFmtId="164" fontId="12" fillId="0" borderId="5" xfId="0" applyNumberFormat="1" applyFont="1" applyBorder="1" applyAlignment="1">
      <alignment horizontal="center" vertical="center"/>
    </xf>
    <xf numFmtId="1" fontId="12" fillId="0" borderId="5" xfId="0" applyNumberFormat="1" applyFont="1" applyBorder="1" applyAlignment="1">
      <alignment horizontal="center" vertical="center"/>
    </xf>
    <xf numFmtId="0" fontId="7" fillId="4" borderId="5" xfId="0" applyFont="1" applyFill="1" applyBorder="1" applyAlignment="1">
      <alignment horizontal="center" vertical="center" wrapText="1"/>
    </xf>
    <xf numFmtId="0" fontId="5" fillId="0" borderId="0" xfId="0" applyFont="1" applyBorder="1" applyAlignment="1">
      <alignment horizontal="center" vertical="center"/>
    </xf>
    <xf numFmtId="1" fontId="11" fillId="0" borderId="5" xfId="0" applyNumberFormat="1" applyFont="1" applyBorder="1" applyAlignment="1">
      <alignment horizontal="center" vertical="center"/>
    </xf>
    <xf numFmtId="0" fontId="11" fillId="0" borderId="5" xfId="0" applyFont="1" applyBorder="1" applyAlignment="1">
      <alignment horizontal="center" vertical="center"/>
    </xf>
    <xf numFmtId="0" fontId="5" fillId="0" borderId="5" xfId="0" applyFont="1" applyBorder="1" applyAlignment="1">
      <alignment horizontal="center" vertical="center"/>
    </xf>
    <xf numFmtId="0" fontId="4" fillId="0" borderId="5" xfId="0" applyFont="1" applyBorder="1" applyAlignment="1">
      <alignment horizontal="center" vertical="center"/>
    </xf>
    <xf numFmtId="0" fontId="6" fillId="4" borderId="5" xfId="0" applyFont="1" applyFill="1" applyBorder="1" applyAlignment="1">
      <alignment horizontal="center" vertical="center"/>
    </xf>
    <xf numFmtId="0" fontId="4" fillId="0" borderId="0" xfId="0" applyFont="1" applyAlignment="1">
      <alignment horizontal="center" vertical="center"/>
    </xf>
    <xf numFmtId="0" fontId="12" fillId="0" borderId="5" xfId="0" applyFont="1" applyBorder="1" applyAlignment="1">
      <alignment horizontal="center" vertical="center"/>
    </xf>
    <xf numFmtId="1" fontId="12" fillId="0" borderId="5" xfId="0" applyNumberFormat="1" applyFont="1" applyBorder="1" applyAlignment="1">
      <alignment horizontal="center" vertical="center"/>
    </xf>
    <xf numFmtId="164" fontId="12" fillId="0" borderId="5" xfId="0" applyNumberFormat="1" applyFont="1" applyBorder="1" applyAlignment="1">
      <alignment horizontal="center" vertical="center"/>
    </xf>
    <xf numFmtId="0" fontId="7" fillId="4" borderId="5" xfId="0" applyFont="1" applyFill="1" applyBorder="1" applyAlignment="1">
      <alignment horizontal="center" vertical="center" wrapText="1"/>
    </xf>
    <xf numFmtId="0" fontId="5" fillId="0" borderId="0" xfId="0" applyFont="1" applyBorder="1" applyAlignment="1">
      <alignment horizontal="center" vertical="center"/>
    </xf>
    <xf numFmtId="1" fontId="11" fillId="0" borderId="5" xfId="0" applyNumberFormat="1" applyFont="1" applyBorder="1" applyAlignment="1">
      <alignment horizontal="center" vertical="center"/>
    </xf>
    <xf numFmtId="0" fontId="11" fillId="0" borderId="5" xfId="0" applyFont="1" applyBorder="1" applyAlignment="1">
      <alignment horizontal="center" vertical="center"/>
    </xf>
    <xf numFmtId="0" fontId="5" fillId="0" borderId="5" xfId="0" applyFont="1" applyBorder="1" applyAlignment="1">
      <alignment horizontal="center" vertical="center"/>
    </xf>
    <xf numFmtId="0" fontId="4" fillId="0" borderId="5" xfId="0" applyFont="1" applyBorder="1" applyAlignment="1">
      <alignment horizontal="center" vertical="center"/>
    </xf>
    <xf numFmtId="0" fontId="6" fillId="4" borderId="5" xfId="0" applyFont="1" applyFill="1" applyBorder="1" applyAlignment="1">
      <alignment horizontal="center" vertical="center"/>
    </xf>
    <xf numFmtId="0" fontId="4" fillId="0" borderId="0" xfId="0" applyFont="1" applyAlignment="1">
      <alignment horizontal="center" vertical="center"/>
    </xf>
    <xf numFmtId="0" fontId="12" fillId="0" borderId="5" xfId="0" applyFont="1" applyBorder="1" applyAlignment="1">
      <alignment horizontal="center" vertical="center"/>
    </xf>
    <xf numFmtId="1" fontId="12" fillId="0" borderId="5" xfId="0" applyNumberFormat="1" applyFont="1" applyBorder="1" applyAlignment="1">
      <alignment horizontal="center" vertical="center"/>
    </xf>
    <xf numFmtId="164" fontId="12" fillId="0" borderId="5" xfId="0" applyNumberFormat="1" applyFont="1" applyBorder="1" applyAlignment="1">
      <alignment horizontal="center" vertical="center"/>
    </xf>
    <xf numFmtId="0" fontId="7" fillId="4" borderId="5" xfId="0" applyFont="1" applyFill="1" applyBorder="1" applyAlignment="1">
      <alignment horizontal="center" vertical="center" wrapText="1"/>
    </xf>
    <xf numFmtId="0" fontId="5" fillId="0" borderId="0" xfId="0" applyFont="1" applyBorder="1" applyAlignment="1">
      <alignment horizontal="center" vertical="center"/>
    </xf>
    <xf numFmtId="1" fontId="11" fillId="0" borderId="5" xfId="0" applyNumberFormat="1" applyFont="1" applyBorder="1" applyAlignment="1">
      <alignment horizontal="center" vertical="center"/>
    </xf>
    <xf numFmtId="0" fontId="11" fillId="0" borderId="5" xfId="0" applyFont="1" applyBorder="1" applyAlignment="1">
      <alignment horizontal="center" vertical="center"/>
    </xf>
    <xf numFmtId="0" fontId="5" fillId="0" borderId="5" xfId="0" applyFont="1" applyBorder="1" applyAlignment="1">
      <alignment horizontal="center" vertical="center"/>
    </xf>
    <xf numFmtId="0" fontId="4" fillId="0" borderId="5" xfId="0" applyFont="1" applyBorder="1" applyAlignment="1">
      <alignment horizontal="center" vertical="center"/>
    </xf>
    <xf numFmtId="0" fontId="6" fillId="4" borderId="5" xfId="0" applyFont="1" applyFill="1" applyBorder="1" applyAlignment="1">
      <alignment horizontal="center" vertical="center"/>
    </xf>
    <xf numFmtId="0" fontId="4" fillId="0" borderId="0" xfId="0" applyFont="1" applyAlignment="1">
      <alignment horizontal="center" vertical="center"/>
    </xf>
    <xf numFmtId="0" fontId="12" fillId="0" borderId="5" xfId="0" applyFont="1" applyBorder="1" applyAlignment="1">
      <alignment horizontal="center" vertical="center"/>
    </xf>
    <xf numFmtId="1" fontId="12" fillId="0" borderId="5" xfId="0" applyNumberFormat="1" applyFont="1" applyBorder="1" applyAlignment="1">
      <alignment horizontal="center" vertical="center"/>
    </xf>
    <xf numFmtId="164" fontId="12" fillId="0" borderId="5" xfId="0" applyNumberFormat="1" applyFont="1" applyBorder="1" applyAlignment="1">
      <alignment horizontal="center" vertical="center"/>
    </xf>
    <xf numFmtId="0" fontId="7" fillId="4" borderId="5" xfId="0" applyFont="1" applyFill="1" applyBorder="1" applyAlignment="1">
      <alignment horizontal="center" vertical="center" wrapText="1"/>
    </xf>
    <xf numFmtId="0" fontId="5" fillId="0" borderId="0" xfId="0" applyFont="1" applyBorder="1" applyAlignment="1">
      <alignment horizontal="center" vertical="center"/>
    </xf>
    <xf numFmtId="1" fontId="11" fillId="0" borderId="5" xfId="0" applyNumberFormat="1" applyFont="1" applyBorder="1" applyAlignment="1">
      <alignment horizontal="center" vertical="center"/>
    </xf>
    <xf numFmtId="0" fontId="11" fillId="0" borderId="5" xfId="0" applyFont="1" applyBorder="1" applyAlignment="1">
      <alignment horizontal="center" vertical="center"/>
    </xf>
    <xf numFmtId="0" fontId="5" fillId="0" borderId="5" xfId="0" applyFont="1" applyBorder="1" applyAlignment="1">
      <alignment horizontal="center" vertical="center"/>
    </xf>
    <xf numFmtId="0" fontId="4" fillId="0" borderId="5" xfId="0" applyFont="1" applyBorder="1" applyAlignment="1">
      <alignment horizontal="center" vertical="center"/>
    </xf>
    <xf numFmtId="0" fontId="6" fillId="4" borderId="5" xfId="0" applyFont="1" applyFill="1" applyBorder="1" applyAlignment="1">
      <alignment horizontal="center" vertical="center"/>
    </xf>
    <xf numFmtId="0" fontId="4" fillId="0" borderId="0" xfId="0" applyFont="1" applyAlignment="1">
      <alignment horizontal="center" vertical="center"/>
    </xf>
    <xf numFmtId="0" fontId="12" fillId="0" borderId="5" xfId="0" applyFont="1" applyBorder="1" applyAlignment="1">
      <alignment horizontal="center" vertical="center"/>
    </xf>
    <xf numFmtId="1" fontId="12" fillId="0" borderId="5" xfId="0" applyNumberFormat="1" applyFont="1" applyBorder="1" applyAlignment="1">
      <alignment horizontal="center" vertical="center"/>
    </xf>
    <xf numFmtId="164" fontId="12" fillId="0" borderId="5" xfId="0" applyNumberFormat="1" applyFont="1" applyBorder="1" applyAlignment="1">
      <alignment horizontal="center" vertical="center"/>
    </xf>
    <xf numFmtId="0" fontId="7" fillId="4" borderId="5" xfId="0" applyFont="1" applyFill="1" applyBorder="1" applyAlignment="1">
      <alignment horizontal="center" vertical="center" wrapText="1"/>
    </xf>
    <xf numFmtId="0" fontId="5" fillId="0" borderId="0" xfId="0" applyFont="1" applyBorder="1" applyAlignment="1">
      <alignment horizontal="center" vertical="center"/>
    </xf>
    <xf numFmtId="0" fontId="4" fillId="0" borderId="0" xfId="0" applyFont="1" applyAlignment="1">
      <alignment horizontal="center" vertical="center"/>
    </xf>
    <xf numFmtId="0" fontId="4" fillId="0" borderId="5" xfId="0" applyFont="1" applyBorder="1" applyAlignment="1">
      <alignment horizontal="center" vertical="center"/>
    </xf>
    <xf numFmtId="0" fontId="6" fillId="4" borderId="5" xfId="0" applyFont="1" applyFill="1" applyBorder="1" applyAlignment="1">
      <alignment horizontal="center" vertical="center"/>
    </xf>
    <xf numFmtId="0" fontId="5" fillId="0" borderId="5" xfId="0" applyFont="1" applyBorder="1" applyAlignment="1">
      <alignment horizontal="center" vertical="center"/>
    </xf>
    <xf numFmtId="0" fontId="11" fillId="0" borderId="5" xfId="0" applyFont="1" applyBorder="1" applyAlignment="1">
      <alignment horizontal="center" vertical="center"/>
    </xf>
    <xf numFmtId="1" fontId="11" fillId="0" borderId="5" xfId="0" applyNumberFormat="1" applyFont="1" applyBorder="1" applyAlignment="1">
      <alignment horizontal="center" vertical="center"/>
    </xf>
    <xf numFmtId="0" fontId="12" fillId="0" borderId="5" xfId="0" applyFont="1" applyBorder="1" applyAlignment="1">
      <alignment horizontal="center" vertical="center"/>
    </xf>
    <xf numFmtId="164" fontId="12" fillId="0" borderId="5" xfId="0" applyNumberFormat="1" applyFont="1" applyBorder="1" applyAlignment="1">
      <alignment horizontal="center" vertical="center"/>
    </xf>
    <xf numFmtId="1" fontId="12" fillId="0" borderId="5" xfId="0" applyNumberFormat="1" applyFont="1" applyBorder="1" applyAlignment="1">
      <alignment horizontal="center" vertical="center"/>
    </xf>
    <xf numFmtId="0" fontId="7" fillId="4" borderId="5" xfId="0" applyFont="1" applyFill="1" applyBorder="1" applyAlignment="1">
      <alignment horizontal="center" vertical="center" wrapText="1"/>
    </xf>
    <xf numFmtId="0" fontId="5" fillId="0" borderId="0" xfId="0" applyFont="1" applyBorder="1" applyAlignment="1">
      <alignment horizontal="center" vertical="center"/>
    </xf>
    <xf numFmtId="1" fontId="11" fillId="0" borderId="5" xfId="0" applyNumberFormat="1" applyFont="1" applyBorder="1" applyAlignment="1">
      <alignment horizontal="center" vertical="center"/>
    </xf>
    <xf numFmtId="0" fontId="11" fillId="0" borderId="5" xfId="0" applyFont="1" applyBorder="1" applyAlignment="1">
      <alignment horizontal="center" vertical="center"/>
    </xf>
    <xf numFmtId="0" fontId="5" fillId="0" borderId="5" xfId="0" applyFont="1" applyBorder="1" applyAlignment="1">
      <alignment horizontal="center" vertical="center"/>
    </xf>
    <xf numFmtId="0" fontId="4" fillId="0" borderId="5" xfId="0" applyFont="1" applyBorder="1" applyAlignment="1">
      <alignment horizontal="center" vertical="center"/>
    </xf>
    <xf numFmtId="0" fontId="6" fillId="4" borderId="5" xfId="0" applyFont="1" applyFill="1" applyBorder="1" applyAlignment="1">
      <alignment horizontal="center" vertical="center"/>
    </xf>
    <xf numFmtId="0" fontId="4" fillId="0" borderId="0" xfId="0" applyFont="1" applyAlignment="1">
      <alignment horizontal="center" vertical="center"/>
    </xf>
    <xf numFmtId="0" fontId="12" fillId="0" borderId="5" xfId="0" applyFont="1" applyBorder="1" applyAlignment="1">
      <alignment horizontal="center" vertical="center"/>
    </xf>
    <xf numFmtId="1" fontId="12" fillId="0" borderId="5" xfId="0" applyNumberFormat="1" applyFont="1" applyBorder="1" applyAlignment="1">
      <alignment horizontal="center" vertical="center"/>
    </xf>
    <xf numFmtId="164" fontId="12" fillId="0" borderId="5" xfId="0" applyNumberFormat="1" applyFont="1" applyBorder="1" applyAlignment="1">
      <alignment horizontal="center" vertical="center"/>
    </xf>
    <xf numFmtId="0" fontId="7" fillId="4" borderId="5" xfId="0" applyFont="1" applyFill="1" applyBorder="1" applyAlignment="1">
      <alignment horizontal="center" vertical="center" wrapText="1"/>
    </xf>
    <xf numFmtId="0" fontId="5" fillId="0" borderId="0" xfId="0" applyFont="1" applyBorder="1" applyAlignment="1">
      <alignment horizontal="center" vertical="center"/>
    </xf>
    <xf numFmtId="0" fontId="4" fillId="0" borderId="0" xfId="0" applyFont="1" applyAlignment="1">
      <alignment horizontal="center" vertical="center"/>
    </xf>
    <xf numFmtId="0" fontId="4" fillId="0" borderId="5" xfId="0" applyFont="1" applyBorder="1" applyAlignment="1">
      <alignment horizontal="center" vertical="center"/>
    </xf>
    <xf numFmtId="0" fontId="6" fillId="4" borderId="5" xfId="0" applyFont="1" applyFill="1" applyBorder="1" applyAlignment="1">
      <alignment horizontal="center" vertical="center"/>
    </xf>
    <xf numFmtId="0" fontId="5" fillId="0" borderId="5" xfId="0" applyFont="1" applyBorder="1" applyAlignment="1">
      <alignment horizontal="center" vertical="center"/>
    </xf>
    <xf numFmtId="0" fontId="11" fillId="0" borderId="5" xfId="0" applyFont="1" applyBorder="1" applyAlignment="1">
      <alignment horizontal="center" vertical="center"/>
    </xf>
    <xf numFmtId="1" fontId="11" fillId="0" borderId="5" xfId="0" applyNumberFormat="1" applyFont="1" applyBorder="1" applyAlignment="1">
      <alignment horizontal="center" vertical="center"/>
    </xf>
    <xf numFmtId="0" fontId="12" fillId="0" borderId="5" xfId="0" applyFont="1" applyBorder="1" applyAlignment="1">
      <alignment horizontal="center" vertical="center"/>
    </xf>
    <xf numFmtId="164" fontId="12" fillId="0" borderId="5" xfId="0" applyNumberFormat="1" applyFont="1" applyBorder="1" applyAlignment="1">
      <alignment horizontal="center" vertical="center"/>
    </xf>
    <xf numFmtId="1" fontId="12" fillId="0" borderId="5" xfId="0" applyNumberFormat="1" applyFont="1" applyBorder="1" applyAlignment="1">
      <alignment horizontal="center" vertical="center"/>
    </xf>
    <xf numFmtId="0" fontId="7" fillId="4" borderId="5" xfId="0" applyFont="1" applyFill="1" applyBorder="1" applyAlignment="1">
      <alignment horizontal="center" vertical="center" wrapText="1"/>
    </xf>
    <xf numFmtId="0" fontId="5" fillId="0" borderId="0" xfId="0" applyFont="1" applyBorder="1" applyAlignment="1">
      <alignment horizontal="center" vertical="center"/>
    </xf>
    <xf numFmtId="1" fontId="11" fillId="0" borderId="5" xfId="0" applyNumberFormat="1" applyFont="1" applyBorder="1" applyAlignment="1">
      <alignment horizontal="center" vertical="center"/>
    </xf>
    <xf numFmtId="0" fontId="11" fillId="0" borderId="5" xfId="0" applyFont="1" applyBorder="1" applyAlignment="1">
      <alignment horizontal="center" vertical="center"/>
    </xf>
    <xf numFmtId="0" fontId="5" fillId="0" borderId="5" xfId="0" applyFont="1" applyBorder="1" applyAlignment="1">
      <alignment horizontal="center" vertical="center"/>
    </xf>
    <xf numFmtId="0" fontId="4" fillId="0" borderId="5" xfId="0" applyFont="1" applyBorder="1" applyAlignment="1">
      <alignment horizontal="center" vertical="center"/>
    </xf>
    <xf numFmtId="0" fontId="6" fillId="4" borderId="5" xfId="0" applyFont="1" applyFill="1" applyBorder="1" applyAlignment="1">
      <alignment horizontal="center" vertical="center"/>
    </xf>
    <xf numFmtId="0" fontId="4" fillId="0" borderId="0" xfId="0" applyFont="1" applyAlignment="1">
      <alignment horizontal="center" vertical="center"/>
    </xf>
    <xf numFmtId="0" fontId="12" fillId="0" borderId="5" xfId="0" applyFont="1" applyBorder="1" applyAlignment="1">
      <alignment horizontal="center" vertical="center"/>
    </xf>
    <xf numFmtId="1" fontId="12" fillId="0" borderId="5" xfId="0" applyNumberFormat="1" applyFont="1" applyBorder="1" applyAlignment="1">
      <alignment horizontal="center" vertical="center"/>
    </xf>
    <xf numFmtId="164" fontId="12" fillId="0" borderId="5" xfId="0" applyNumberFormat="1" applyFont="1" applyBorder="1" applyAlignment="1">
      <alignment horizontal="center" vertical="center"/>
    </xf>
    <xf numFmtId="0" fontId="7" fillId="4" borderId="5" xfId="0" applyFont="1" applyFill="1" applyBorder="1" applyAlignment="1">
      <alignment horizontal="center" vertical="center" wrapText="1"/>
    </xf>
    <xf numFmtId="0" fontId="5" fillId="0" borderId="0" xfId="0" applyFont="1" applyBorder="1" applyAlignment="1">
      <alignment horizontal="center" vertical="center"/>
    </xf>
    <xf numFmtId="1" fontId="11" fillId="0" borderId="5" xfId="0" applyNumberFormat="1" applyFont="1" applyBorder="1" applyAlignment="1">
      <alignment horizontal="center" vertical="center"/>
    </xf>
    <xf numFmtId="0" fontId="11" fillId="0" borderId="5" xfId="0" applyFont="1" applyBorder="1" applyAlignment="1">
      <alignment horizontal="center" vertical="center"/>
    </xf>
    <xf numFmtId="0" fontId="5" fillId="0" borderId="5" xfId="0" applyFont="1" applyBorder="1" applyAlignment="1">
      <alignment horizontal="center" vertical="center"/>
    </xf>
    <xf numFmtId="0" fontId="4" fillId="0" borderId="5" xfId="0" applyFont="1" applyBorder="1" applyAlignment="1">
      <alignment horizontal="center" vertical="center"/>
    </xf>
    <xf numFmtId="0" fontId="6" fillId="4" borderId="5" xfId="0" applyFont="1" applyFill="1" applyBorder="1" applyAlignment="1">
      <alignment horizontal="center" vertical="center"/>
    </xf>
    <xf numFmtId="0" fontId="4" fillId="0" borderId="0" xfId="0" applyFont="1" applyAlignment="1">
      <alignment horizontal="center" vertical="center"/>
    </xf>
    <xf numFmtId="0" fontId="12" fillId="0" borderId="5" xfId="0" applyFont="1" applyBorder="1" applyAlignment="1">
      <alignment horizontal="center" vertical="center"/>
    </xf>
    <xf numFmtId="1" fontId="12" fillId="0" borderId="5" xfId="0" applyNumberFormat="1" applyFont="1" applyBorder="1" applyAlignment="1">
      <alignment horizontal="center" vertical="center"/>
    </xf>
    <xf numFmtId="164" fontId="12" fillId="0" borderId="5" xfId="0" applyNumberFormat="1" applyFont="1" applyBorder="1" applyAlignment="1">
      <alignment horizontal="center" vertical="center"/>
    </xf>
    <xf numFmtId="0" fontId="7" fillId="4" borderId="5" xfId="0" applyFont="1" applyFill="1" applyBorder="1" applyAlignment="1">
      <alignment horizontal="center" vertical="center" wrapText="1"/>
    </xf>
    <xf numFmtId="0" fontId="5" fillId="0" borderId="0" xfId="0" applyFont="1" applyBorder="1" applyAlignment="1">
      <alignment horizontal="center" vertical="center"/>
    </xf>
    <xf numFmtId="0" fontId="4" fillId="0" borderId="0" xfId="0" applyFont="1" applyAlignment="1">
      <alignment horizontal="center" vertical="center"/>
    </xf>
    <xf numFmtId="0" fontId="4" fillId="0" borderId="5" xfId="0" applyFont="1" applyBorder="1" applyAlignment="1">
      <alignment horizontal="center" vertical="center"/>
    </xf>
    <xf numFmtId="0" fontId="6" fillId="4" borderId="5" xfId="0" applyFont="1" applyFill="1" applyBorder="1" applyAlignment="1">
      <alignment horizontal="center" vertical="center"/>
    </xf>
    <xf numFmtId="0" fontId="5" fillId="0" borderId="5" xfId="0" applyFont="1" applyBorder="1" applyAlignment="1">
      <alignment horizontal="center" vertical="center"/>
    </xf>
    <xf numFmtId="0" fontId="11" fillId="0" borderId="5" xfId="0" applyFont="1" applyBorder="1" applyAlignment="1">
      <alignment horizontal="center" vertical="center"/>
    </xf>
    <xf numFmtId="1" fontId="11" fillId="0" borderId="5" xfId="0" applyNumberFormat="1" applyFont="1" applyBorder="1" applyAlignment="1">
      <alignment horizontal="center" vertical="center"/>
    </xf>
    <xf numFmtId="0" fontId="12" fillId="0" borderId="5" xfId="0" applyFont="1" applyBorder="1" applyAlignment="1">
      <alignment horizontal="center" vertical="center"/>
    </xf>
    <xf numFmtId="164" fontId="12" fillId="0" borderId="5" xfId="0" applyNumberFormat="1" applyFont="1" applyBorder="1" applyAlignment="1">
      <alignment horizontal="center" vertical="center"/>
    </xf>
    <xf numFmtId="1" fontId="12" fillId="0" borderId="5" xfId="0" applyNumberFormat="1" applyFont="1" applyBorder="1" applyAlignment="1">
      <alignment horizontal="center" vertical="center"/>
    </xf>
    <xf numFmtId="0" fontId="7" fillId="4" borderId="5" xfId="0" applyFont="1" applyFill="1" applyBorder="1" applyAlignment="1">
      <alignment horizontal="center" vertical="center" wrapText="1"/>
    </xf>
    <xf numFmtId="0" fontId="5" fillId="0" borderId="0" xfId="0" applyFont="1" applyBorder="1" applyAlignment="1">
      <alignment horizontal="center" vertical="center"/>
    </xf>
    <xf numFmtId="1" fontId="11" fillId="0" borderId="5" xfId="0" applyNumberFormat="1" applyFont="1" applyBorder="1" applyAlignment="1">
      <alignment horizontal="center" vertical="center"/>
    </xf>
    <xf numFmtId="0" fontId="11" fillId="0" borderId="5" xfId="0" applyFont="1" applyBorder="1" applyAlignment="1">
      <alignment horizontal="center" vertical="center"/>
    </xf>
    <xf numFmtId="0" fontId="5" fillId="0" borderId="5" xfId="0" applyFont="1" applyBorder="1" applyAlignment="1">
      <alignment horizontal="center" vertical="center"/>
    </xf>
    <xf numFmtId="0" fontId="4" fillId="0" borderId="5" xfId="0" applyFont="1" applyBorder="1" applyAlignment="1">
      <alignment horizontal="center" vertical="center"/>
    </xf>
    <xf numFmtId="0" fontId="6" fillId="4" borderId="5" xfId="0" applyFont="1" applyFill="1" applyBorder="1" applyAlignment="1">
      <alignment horizontal="center" vertical="center"/>
    </xf>
    <xf numFmtId="0" fontId="4" fillId="0" borderId="0" xfId="0" applyFont="1" applyAlignment="1">
      <alignment horizontal="center" vertical="center"/>
    </xf>
    <xf numFmtId="0" fontId="12" fillId="0" borderId="5" xfId="0" applyFont="1" applyBorder="1" applyAlignment="1">
      <alignment horizontal="center" vertical="center"/>
    </xf>
    <xf numFmtId="1" fontId="12" fillId="0" borderId="5" xfId="0" applyNumberFormat="1" applyFont="1" applyBorder="1" applyAlignment="1">
      <alignment horizontal="center" vertical="center"/>
    </xf>
    <xf numFmtId="164" fontId="12" fillId="0" borderId="5" xfId="0" applyNumberFormat="1" applyFont="1" applyBorder="1" applyAlignment="1">
      <alignment horizontal="center" vertical="center"/>
    </xf>
    <xf numFmtId="0" fontId="7" fillId="4" borderId="5" xfId="0" applyFont="1" applyFill="1" applyBorder="1" applyAlignment="1">
      <alignment horizontal="center" vertical="center" wrapText="1"/>
    </xf>
    <xf numFmtId="0" fontId="5" fillId="0" borderId="0" xfId="0" applyFont="1" applyBorder="1" applyAlignment="1">
      <alignment horizontal="center" vertical="center"/>
    </xf>
    <xf numFmtId="0" fontId="4" fillId="0" borderId="0" xfId="0" applyFont="1" applyAlignment="1">
      <alignment horizontal="center" vertical="center"/>
    </xf>
    <xf numFmtId="0" fontId="4" fillId="0" borderId="5" xfId="0" applyFont="1" applyBorder="1" applyAlignment="1">
      <alignment horizontal="center" vertical="center"/>
    </xf>
    <xf numFmtId="0" fontId="6" fillId="4" borderId="5" xfId="0" applyFont="1" applyFill="1" applyBorder="1" applyAlignment="1">
      <alignment horizontal="center" vertical="center"/>
    </xf>
    <xf numFmtId="0" fontId="5" fillId="0" borderId="5" xfId="0" applyFont="1" applyBorder="1" applyAlignment="1">
      <alignment horizontal="center" vertical="center"/>
    </xf>
    <xf numFmtId="0" fontId="11" fillId="0" borderId="5" xfId="0" applyFont="1" applyBorder="1" applyAlignment="1">
      <alignment horizontal="center" vertical="center"/>
    </xf>
    <xf numFmtId="1" fontId="11" fillId="0" borderId="5" xfId="0" applyNumberFormat="1" applyFont="1" applyBorder="1" applyAlignment="1">
      <alignment horizontal="center" vertical="center"/>
    </xf>
    <xf numFmtId="0" fontId="12" fillId="0" borderId="5" xfId="0" applyFont="1" applyBorder="1" applyAlignment="1">
      <alignment horizontal="center" vertical="center"/>
    </xf>
    <xf numFmtId="164" fontId="12" fillId="0" borderId="5" xfId="0" applyNumberFormat="1" applyFont="1" applyBorder="1" applyAlignment="1">
      <alignment horizontal="center" vertical="center"/>
    </xf>
    <xf numFmtId="1" fontId="12" fillId="0" borderId="5" xfId="0" applyNumberFormat="1" applyFont="1" applyBorder="1" applyAlignment="1">
      <alignment horizontal="center" vertical="center"/>
    </xf>
    <xf numFmtId="0" fontId="7" fillId="4" borderId="5" xfId="0" applyFont="1" applyFill="1" applyBorder="1" applyAlignment="1">
      <alignment horizontal="center" vertical="center" wrapText="1"/>
    </xf>
    <xf numFmtId="0" fontId="5" fillId="0" borderId="0" xfId="0" applyFont="1" applyBorder="1" applyAlignment="1">
      <alignment horizontal="center" vertical="center"/>
    </xf>
    <xf numFmtId="1" fontId="11" fillId="0" borderId="5" xfId="0" applyNumberFormat="1" applyFont="1" applyBorder="1" applyAlignment="1">
      <alignment horizontal="center" vertical="center"/>
    </xf>
    <xf numFmtId="0" fontId="11" fillId="0" borderId="5" xfId="0" applyFont="1" applyBorder="1" applyAlignment="1">
      <alignment horizontal="center" vertical="center"/>
    </xf>
    <xf numFmtId="0" fontId="5" fillId="0" borderId="5" xfId="0" applyFont="1" applyBorder="1" applyAlignment="1">
      <alignment horizontal="center" vertical="center"/>
    </xf>
    <xf numFmtId="0" fontId="4" fillId="0" borderId="5" xfId="0" applyFont="1" applyBorder="1" applyAlignment="1">
      <alignment horizontal="center" vertical="center"/>
    </xf>
    <xf numFmtId="0" fontId="6" fillId="4" borderId="5" xfId="0" applyFont="1" applyFill="1" applyBorder="1" applyAlignment="1">
      <alignment horizontal="center" vertical="center"/>
    </xf>
    <xf numFmtId="0" fontId="4" fillId="0" borderId="0" xfId="0" applyFont="1" applyAlignment="1">
      <alignment horizontal="center" vertical="center"/>
    </xf>
    <xf numFmtId="0" fontId="12" fillId="0" borderId="5" xfId="0" applyFont="1" applyBorder="1" applyAlignment="1">
      <alignment horizontal="center" vertical="center"/>
    </xf>
    <xf numFmtId="1" fontId="12" fillId="0" borderId="5" xfId="0" applyNumberFormat="1" applyFont="1" applyBorder="1" applyAlignment="1">
      <alignment horizontal="center" vertical="center"/>
    </xf>
    <xf numFmtId="164" fontId="12" fillId="0" borderId="5" xfId="0" applyNumberFormat="1" applyFont="1" applyBorder="1" applyAlignment="1">
      <alignment horizontal="center" vertical="center"/>
    </xf>
    <xf numFmtId="0" fontId="7" fillId="4" borderId="5" xfId="0" applyFont="1" applyFill="1" applyBorder="1" applyAlignment="1">
      <alignment horizontal="center" vertical="center" wrapText="1"/>
    </xf>
    <xf numFmtId="0" fontId="5" fillId="0" borderId="0" xfId="0" applyFont="1" applyBorder="1" applyAlignment="1">
      <alignment horizontal="center" vertical="center"/>
    </xf>
    <xf numFmtId="0" fontId="4" fillId="0" borderId="0" xfId="0" applyFont="1" applyAlignment="1">
      <alignment horizontal="center" vertical="center"/>
    </xf>
    <xf numFmtId="0" fontId="4" fillId="0" borderId="5" xfId="0" applyFont="1" applyBorder="1" applyAlignment="1">
      <alignment horizontal="center" vertical="center"/>
    </xf>
    <xf numFmtId="0" fontId="6" fillId="4" borderId="5" xfId="0" applyFont="1" applyFill="1" applyBorder="1" applyAlignment="1">
      <alignment horizontal="center" vertical="center"/>
    </xf>
    <xf numFmtId="0" fontId="5" fillId="0" borderId="5" xfId="0" applyFont="1" applyBorder="1" applyAlignment="1">
      <alignment horizontal="center" vertical="center"/>
    </xf>
    <xf numFmtId="0" fontId="11" fillId="0" borderId="5" xfId="0" applyFont="1" applyBorder="1" applyAlignment="1">
      <alignment horizontal="center" vertical="center"/>
    </xf>
    <xf numFmtId="1" fontId="11" fillId="0" borderId="5" xfId="0" applyNumberFormat="1" applyFont="1" applyBorder="1" applyAlignment="1">
      <alignment horizontal="center" vertical="center"/>
    </xf>
    <xf numFmtId="0" fontId="12" fillId="0" borderId="5" xfId="0" applyFont="1" applyBorder="1" applyAlignment="1">
      <alignment horizontal="center" vertical="center"/>
    </xf>
    <xf numFmtId="164" fontId="12" fillId="0" borderId="5" xfId="0" applyNumberFormat="1" applyFont="1" applyBorder="1" applyAlignment="1">
      <alignment horizontal="center" vertical="center"/>
    </xf>
    <xf numFmtId="1" fontId="12" fillId="0" borderId="5" xfId="0" applyNumberFormat="1" applyFont="1" applyBorder="1" applyAlignment="1">
      <alignment horizontal="center" vertical="center"/>
    </xf>
    <xf numFmtId="0" fontId="7" fillId="4" borderId="5" xfId="0" applyFont="1" applyFill="1" applyBorder="1" applyAlignment="1">
      <alignment horizontal="center" vertical="center" wrapText="1"/>
    </xf>
    <xf numFmtId="0" fontId="5" fillId="0" borderId="0" xfId="0" applyFont="1" applyBorder="1" applyAlignment="1">
      <alignment horizontal="center" vertical="center"/>
    </xf>
    <xf numFmtId="1" fontId="11" fillId="0" borderId="5" xfId="0" applyNumberFormat="1" applyFont="1" applyBorder="1" applyAlignment="1">
      <alignment horizontal="center" vertical="center"/>
    </xf>
    <xf numFmtId="0" fontId="11" fillId="0" borderId="5" xfId="0" applyFont="1" applyBorder="1" applyAlignment="1">
      <alignment horizontal="center" vertical="center"/>
    </xf>
    <xf numFmtId="0" fontId="5" fillId="0" borderId="5" xfId="0" applyFont="1" applyBorder="1" applyAlignment="1">
      <alignment horizontal="center" vertical="center"/>
    </xf>
    <xf numFmtId="0" fontId="4" fillId="0" borderId="5" xfId="0" applyFont="1" applyBorder="1" applyAlignment="1">
      <alignment horizontal="center" vertical="center"/>
    </xf>
    <xf numFmtId="0" fontId="6" fillId="4" borderId="5" xfId="0" applyFont="1" applyFill="1" applyBorder="1" applyAlignment="1">
      <alignment horizontal="center" vertical="center"/>
    </xf>
    <xf numFmtId="0" fontId="4" fillId="0" borderId="0" xfId="0" applyFont="1" applyAlignment="1">
      <alignment horizontal="center" vertical="center"/>
    </xf>
    <xf numFmtId="0" fontId="12" fillId="0" borderId="5" xfId="0" applyFont="1" applyBorder="1" applyAlignment="1">
      <alignment horizontal="center" vertical="center"/>
    </xf>
    <xf numFmtId="1" fontId="12" fillId="0" borderId="5" xfId="0" applyNumberFormat="1" applyFont="1" applyBorder="1" applyAlignment="1">
      <alignment horizontal="center" vertical="center"/>
    </xf>
    <xf numFmtId="164" fontId="12" fillId="0" borderId="5" xfId="0" applyNumberFormat="1" applyFont="1" applyBorder="1" applyAlignment="1">
      <alignment horizontal="center" vertical="center"/>
    </xf>
    <xf numFmtId="0" fontId="7" fillId="4" borderId="5" xfId="0" applyFont="1" applyFill="1" applyBorder="1" applyAlignment="1">
      <alignment horizontal="center" vertical="center" wrapText="1"/>
    </xf>
    <xf numFmtId="0" fontId="5" fillId="0" borderId="0" xfId="0" applyFont="1" applyBorder="1" applyAlignment="1">
      <alignment horizontal="center" vertical="center"/>
    </xf>
    <xf numFmtId="0" fontId="4" fillId="0" borderId="0" xfId="0" applyFont="1" applyAlignment="1">
      <alignment horizontal="center" vertical="center"/>
    </xf>
    <xf numFmtId="0" fontId="4" fillId="0" borderId="5" xfId="0" applyFont="1" applyBorder="1" applyAlignment="1">
      <alignment horizontal="center" vertical="center"/>
    </xf>
    <xf numFmtId="0" fontId="6" fillId="4" borderId="5" xfId="0" applyFont="1" applyFill="1" applyBorder="1" applyAlignment="1">
      <alignment horizontal="center" vertical="center"/>
    </xf>
    <xf numFmtId="0" fontId="5" fillId="0" borderId="5" xfId="0" applyFont="1" applyBorder="1" applyAlignment="1">
      <alignment horizontal="center" vertical="center"/>
    </xf>
    <xf numFmtId="0" fontId="11" fillId="0" borderId="5" xfId="0" applyFont="1" applyBorder="1" applyAlignment="1">
      <alignment horizontal="center" vertical="center"/>
    </xf>
    <xf numFmtId="1" fontId="11" fillId="0" borderId="5" xfId="0" applyNumberFormat="1" applyFont="1" applyBorder="1" applyAlignment="1">
      <alignment horizontal="center" vertical="center"/>
    </xf>
    <xf numFmtId="0" fontId="12" fillId="0" borderId="5" xfId="0" applyFont="1" applyBorder="1" applyAlignment="1">
      <alignment horizontal="center" vertical="center"/>
    </xf>
    <xf numFmtId="164" fontId="12" fillId="0" borderId="5" xfId="0" applyNumberFormat="1" applyFont="1" applyBorder="1" applyAlignment="1">
      <alignment horizontal="center" vertical="center"/>
    </xf>
    <xf numFmtId="1" fontId="12" fillId="0" borderId="5" xfId="0" applyNumberFormat="1" applyFont="1" applyBorder="1" applyAlignment="1">
      <alignment horizontal="center" vertical="center"/>
    </xf>
    <xf numFmtId="0" fontId="7" fillId="4" borderId="5" xfId="0" applyFont="1" applyFill="1" applyBorder="1" applyAlignment="1">
      <alignment horizontal="center" vertical="center" wrapText="1"/>
    </xf>
    <xf numFmtId="0" fontId="5" fillId="0" borderId="0" xfId="0" applyFont="1" applyBorder="1" applyAlignment="1">
      <alignment horizontal="center" vertical="center"/>
    </xf>
    <xf numFmtId="1" fontId="11" fillId="0" borderId="5" xfId="0" applyNumberFormat="1" applyFont="1" applyBorder="1" applyAlignment="1">
      <alignment horizontal="center" vertical="center"/>
    </xf>
    <xf numFmtId="0" fontId="11" fillId="0" borderId="5" xfId="0" applyFont="1" applyBorder="1" applyAlignment="1">
      <alignment horizontal="center" vertical="center"/>
    </xf>
    <xf numFmtId="0" fontId="5" fillId="0" borderId="5" xfId="0" applyFont="1" applyBorder="1" applyAlignment="1">
      <alignment horizontal="center" vertical="center"/>
    </xf>
    <xf numFmtId="0" fontId="4" fillId="0" borderId="5" xfId="0" applyFont="1" applyBorder="1" applyAlignment="1">
      <alignment horizontal="center" vertical="center"/>
    </xf>
    <xf numFmtId="0" fontId="6" fillId="4" borderId="5" xfId="0" applyFont="1" applyFill="1" applyBorder="1" applyAlignment="1">
      <alignment horizontal="center" vertical="center"/>
    </xf>
    <xf numFmtId="0" fontId="4" fillId="0" borderId="0" xfId="0" applyFont="1" applyAlignment="1">
      <alignment horizontal="center" vertical="center"/>
    </xf>
    <xf numFmtId="0" fontId="12" fillId="0" borderId="5" xfId="0" applyFont="1" applyBorder="1" applyAlignment="1">
      <alignment horizontal="center" vertical="center"/>
    </xf>
    <xf numFmtId="1" fontId="12" fillId="0" borderId="5" xfId="0" applyNumberFormat="1" applyFont="1" applyBorder="1" applyAlignment="1">
      <alignment horizontal="center" vertical="center"/>
    </xf>
    <xf numFmtId="164" fontId="12" fillId="0" borderId="5" xfId="0" applyNumberFormat="1" applyFont="1" applyBorder="1" applyAlignment="1">
      <alignment horizontal="center" vertical="center"/>
    </xf>
    <xf numFmtId="0" fontId="7" fillId="4" borderId="5" xfId="0" applyFont="1" applyFill="1" applyBorder="1" applyAlignment="1">
      <alignment horizontal="center" vertical="center" wrapText="1"/>
    </xf>
    <xf numFmtId="0" fontId="5" fillId="0" borderId="0" xfId="0" applyFont="1" applyBorder="1" applyAlignment="1">
      <alignment horizontal="center" vertical="center"/>
    </xf>
    <xf numFmtId="0" fontId="4" fillId="0" borderId="0" xfId="0" applyFont="1" applyAlignment="1">
      <alignment horizontal="center" vertical="center"/>
    </xf>
    <xf numFmtId="0" fontId="4" fillId="0" borderId="5" xfId="0" applyFont="1" applyBorder="1" applyAlignment="1">
      <alignment horizontal="center" vertical="center"/>
    </xf>
    <xf numFmtId="0" fontId="6" fillId="4" borderId="5" xfId="0" applyFont="1" applyFill="1" applyBorder="1" applyAlignment="1">
      <alignment horizontal="center" vertical="center"/>
    </xf>
    <xf numFmtId="0" fontId="5" fillId="0" borderId="5" xfId="0" applyFont="1" applyBorder="1" applyAlignment="1">
      <alignment horizontal="center" vertical="center"/>
    </xf>
    <xf numFmtId="0" fontId="11" fillId="0" borderId="5" xfId="0" applyFont="1" applyBorder="1" applyAlignment="1">
      <alignment horizontal="center" vertical="center"/>
    </xf>
    <xf numFmtId="1" fontId="11" fillId="0" borderId="5" xfId="0" applyNumberFormat="1" applyFont="1" applyBorder="1" applyAlignment="1">
      <alignment horizontal="center" vertical="center"/>
    </xf>
    <xf numFmtId="0" fontId="12" fillId="0" borderId="5" xfId="0" applyFont="1" applyBorder="1" applyAlignment="1">
      <alignment horizontal="center" vertical="center"/>
    </xf>
    <xf numFmtId="164" fontId="12" fillId="0" borderId="5" xfId="0" applyNumberFormat="1" applyFont="1" applyBorder="1" applyAlignment="1">
      <alignment horizontal="center" vertical="center"/>
    </xf>
    <xf numFmtId="1" fontId="12" fillId="0" borderId="5" xfId="0" applyNumberFormat="1" applyFont="1" applyBorder="1" applyAlignment="1">
      <alignment horizontal="center" vertical="center"/>
    </xf>
    <xf numFmtId="0" fontId="7" fillId="4" borderId="5" xfId="0" applyFont="1" applyFill="1" applyBorder="1" applyAlignment="1">
      <alignment horizontal="center" vertical="center" wrapText="1"/>
    </xf>
    <xf numFmtId="0" fontId="5" fillId="0" borderId="0" xfId="0" applyFont="1" applyBorder="1" applyAlignment="1">
      <alignment horizontal="center" vertical="center"/>
    </xf>
    <xf numFmtId="1" fontId="11" fillId="0" borderId="5" xfId="0" applyNumberFormat="1" applyFont="1" applyBorder="1" applyAlignment="1">
      <alignment horizontal="center" vertical="center"/>
    </xf>
    <xf numFmtId="0" fontId="11" fillId="0" borderId="5" xfId="0" applyFont="1" applyBorder="1" applyAlignment="1">
      <alignment horizontal="center" vertical="center"/>
    </xf>
    <xf numFmtId="0" fontId="5" fillId="0" borderId="5" xfId="0" applyFont="1" applyBorder="1" applyAlignment="1">
      <alignment horizontal="center" vertical="center"/>
    </xf>
    <xf numFmtId="0" fontId="4" fillId="0" borderId="5" xfId="0" applyFont="1" applyBorder="1" applyAlignment="1">
      <alignment horizontal="center" vertical="center"/>
    </xf>
    <xf numFmtId="0" fontId="6" fillId="4" borderId="5" xfId="0" applyFont="1" applyFill="1" applyBorder="1" applyAlignment="1">
      <alignment horizontal="center" vertical="center"/>
    </xf>
    <xf numFmtId="0" fontId="4" fillId="0" borderId="0" xfId="0" applyFont="1" applyAlignment="1">
      <alignment horizontal="center" vertical="center"/>
    </xf>
    <xf numFmtId="0" fontId="12" fillId="0" borderId="5" xfId="0" applyFont="1" applyBorder="1" applyAlignment="1">
      <alignment horizontal="center" vertical="center"/>
    </xf>
    <xf numFmtId="1" fontId="12" fillId="0" borderId="5" xfId="0" applyNumberFormat="1" applyFont="1" applyBorder="1" applyAlignment="1">
      <alignment horizontal="center" vertical="center"/>
    </xf>
    <xf numFmtId="164" fontId="12" fillId="0" borderId="5" xfId="0" applyNumberFormat="1" applyFont="1" applyBorder="1" applyAlignment="1">
      <alignment horizontal="center" vertical="center"/>
    </xf>
    <xf numFmtId="0" fontId="7" fillId="4" borderId="5" xfId="0" applyFont="1" applyFill="1" applyBorder="1" applyAlignment="1">
      <alignment horizontal="center" vertical="center" wrapText="1"/>
    </xf>
    <xf numFmtId="0" fontId="5" fillId="0" borderId="0" xfId="0" applyFont="1" applyBorder="1" applyAlignment="1">
      <alignment horizontal="center" vertical="center"/>
    </xf>
    <xf numFmtId="0" fontId="4" fillId="0" borderId="0" xfId="0" applyFont="1" applyAlignment="1">
      <alignment horizontal="center" vertical="center"/>
    </xf>
    <xf numFmtId="0" fontId="4" fillId="0" borderId="5" xfId="0" applyFont="1" applyBorder="1" applyAlignment="1">
      <alignment horizontal="center" vertical="center"/>
    </xf>
    <xf numFmtId="0" fontId="6" fillId="4" borderId="5" xfId="0" applyFont="1" applyFill="1" applyBorder="1" applyAlignment="1">
      <alignment horizontal="center" vertical="center"/>
    </xf>
    <xf numFmtId="0" fontId="5" fillId="0" borderId="5" xfId="0" applyFont="1" applyBorder="1" applyAlignment="1">
      <alignment horizontal="center" vertical="center"/>
    </xf>
    <xf numFmtId="0" fontId="11" fillId="0" borderId="5" xfId="0" applyFont="1" applyBorder="1" applyAlignment="1">
      <alignment horizontal="center" vertical="center"/>
    </xf>
    <xf numFmtId="1" fontId="11" fillId="0" borderId="5" xfId="0" applyNumberFormat="1" applyFont="1" applyBorder="1" applyAlignment="1">
      <alignment horizontal="center" vertical="center"/>
    </xf>
    <xf numFmtId="0" fontId="12" fillId="0" borderId="5" xfId="0" applyFont="1" applyBorder="1" applyAlignment="1">
      <alignment horizontal="center" vertical="center"/>
    </xf>
    <xf numFmtId="164" fontId="12" fillId="0" borderId="5" xfId="0" applyNumberFormat="1" applyFont="1" applyBorder="1" applyAlignment="1">
      <alignment horizontal="center" vertical="center"/>
    </xf>
    <xf numFmtId="1" fontId="12" fillId="0" borderId="5" xfId="0" applyNumberFormat="1" applyFont="1" applyBorder="1" applyAlignment="1">
      <alignment horizontal="center" vertical="center"/>
    </xf>
    <xf numFmtId="0" fontId="7" fillId="4" borderId="5" xfId="0" applyFont="1" applyFill="1" applyBorder="1" applyAlignment="1">
      <alignment horizontal="center" vertical="center" wrapText="1"/>
    </xf>
    <xf numFmtId="0" fontId="5" fillId="0" borderId="0" xfId="0" applyFont="1" applyBorder="1" applyAlignment="1">
      <alignment horizontal="center" vertical="center"/>
    </xf>
    <xf numFmtId="1" fontId="11" fillId="0" borderId="5" xfId="0" applyNumberFormat="1" applyFont="1" applyBorder="1" applyAlignment="1">
      <alignment horizontal="center" vertical="center"/>
    </xf>
    <xf numFmtId="0" fontId="11" fillId="0" borderId="5" xfId="0" applyFont="1" applyBorder="1" applyAlignment="1">
      <alignment horizontal="center" vertical="center"/>
    </xf>
    <xf numFmtId="0" fontId="5" fillId="0" borderId="5" xfId="0" applyFont="1" applyBorder="1" applyAlignment="1">
      <alignment horizontal="center" vertical="center"/>
    </xf>
    <xf numFmtId="0" fontId="4" fillId="0" borderId="5" xfId="0" applyFont="1" applyBorder="1" applyAlignment="1">
      <alignment horizontal="center" vertical="center"/>
    </xf>
    <xf numFmtId="0" fontId="6" fillId="4" borderId="5" xfId="0" applyFont="1" applyFill="1" applyBorder="1" applyAlignment="1">
      <alignment horizontal="center" vertical="center"/>
    </xf>
    <xf numFmtId="0" fontId="4" fillId="0" borderId="0" xfId="0" applyFont="1" applyAlignment="1">
      <alignment horizontal="center" vertical="center"/>
    </xf>
    <xf numFmtId="0" fontId="12" fillId="0" borderId="5" xfId="0" applyFont="1" applyBorder="1" applyAlignment="1">
      <alignment horizontal="center" vertical="center"/>
    </xf>
    <xf numFmtId="1" fontId="12" fillId="0" borderId="5" xfId="0" applyNumberFormat="1" applyFont="1" applyBorder="1" applyAlignment="1">
      <alignment horizontal="center" vertical="center"/>
    </xf>
    <xf numFmtId="164" fontId="12" fillId="0" borderId="5" xfId="0" applyNumberFormat="1" applyFont="1" applyBorder="1" applyAlignment="1">
      <alignment horizontal="center" vertical="center"/>
    </xf>
    <xf numFmtId="0" fontId="7" fillId="4" borderId="5" xfId="0" applyFont="1" applyFill="1" applyBorder="1" applyAlignment="1">
      <alignment horizontal="center" vertical="center" wrapText="1"/>
    </xf>
    <xf numFmtId="0" fontId="5" fillId="0" borderId="0" xfId="0" applyFont="1" applyBorder="1" applyAlignment="1">
      <alignment horizontal="center" vertical="center"/>
    </xf>
    <xf numFmtId="1" fontId="11" fillId="0" borderId="5" xfId="0" applyNumberFormat="1" applyFont="1" applyBorder="1" applyAlignment="1">
      <alignment horizontal="center" vertical="center"/>
    </xf>
    <xf numFmtId="0" fontId="11" fillId="0" borderId="5" xfId="0" applyFont="1" applyBorder="1" applyAlignment="1">
      <alignment horizontal="center" vertical="center"/>
    </xf>
    <xf numFmtId="0" fontId="5" fillId="0" borderId="5" xfId="0" applyFont="1" applyBorder="1" applyAlignment="1">
      <alignment horizontal="center" vertical="center"/>
    </xf>
    <xf numFmtId="0" fontId="4" fillId="0" borderId="5" xfId="0" applyFont="1" applyBorder="1" applyAlignment="1">
      <alignment horizontal="center" vertical="center"/>
    </xf>
    <xf numFmtId="0" fontId="6" fillId="4" borderId="5" xfId="0" applyFont="1" applyFill="1" applyBorder="1" applyAlignment="1">
      <alignment horizontal="center" vertical="center"/>
    </xf>
    <xf numFmtId="0" fontId="4" fillId="0" borderId="0" xfId="0" applyFont="1" applyAlignment="1">
      <alignment horizontal="center" vertical="center"/>
    </xf>
    <xf numFmtId="0" fontId="12" fillId="0" borderId="5" xfId="0" applyFont="1" applyBorder="1" applyAlignment="1">
      <alignment horizontal="center" vertical="center"/>
    </xf>
    <xf numFmtId="1" fontId="12" fillId="0" borderId="5" xfId="0" applyNumberFormat="1" applyFont="1" applyBorder="1" applyAlignment="1">
      <alignment horizontal="center" vertical="center"/>
    </xf>
    <xf numFmtId="164" fontId="12" fillId="0" borderId="5" xfId="0" applyNumberFormat="1" applyFont="1" applyBorder="1" applyAlignment="1">
      <alignment horizontal="center" vertical="center"/>
    </xf>
    <xf numFmtId="0" fontId="7" fillId="4" borderId="5" xfId="0" applyFont="1" applyFill="1" applyBorder="1" applyAlignment="1">
      <alignment horizontal="center" vertical="center" wrapText="1"/>
    </xf>
    <xf numFmtId="0" fontId="5" fillId="0" borderId="0" xfId="0" applyFont="1" applyBorder="1" applyAlignment="1">
      <alignment horizontal="center" vertical="center"/>
    </xf>
    <xf numFmtId="0" fontId="4" fillId="0" borderId="0" xfId="0" applyFont="1" applyAlignment="1">
      <alignment horizontal="center" vertical="center"/>
    </xf>
    <xf numFmtId="0" fontId="4" fillId="0" borderId="5" xfId="0" applyFont="1" applyBorder="1" applyAlignment="1">
      <alignment horizontal="center" vertical="center"/>
    </xf>
    <xf numFmtId="0" fontId="6" fillId="4" borderId="5" xfId="0" applyFont="1" applyFill="1" applyBorder="1" applyAlignment="1">
      <alignment horizontal="center" vertical="center"/>
    </xf>
    <xf numFmtId="0" fontId="5" fillId="0" borderId="5" xfId="0" applyFont="1" applyBorder="1" applyAlignment="1">
      <alignment horizontal="center" vertical="center"/>
    </xf>
    <xf numFmtId="0" fontId="11" fillId="0" borderId="5" xfId="0" applyFont="1" applyBorder="1" applyAlignment="1">
      <alignment horizontal="center" vertical="center"/>
    </xf>
    <xf numFmtId="1" fontId="11" fillId="0" borderId="5" xfId="0" applyNumberFormat="1" applyFont="1" applyBorder="1" applyAlignment="1">
      <alignment horizontal="center" vertical="center"/>
    </xf>
    <xf numFmtId="0" fontId="12" fillId="0" borderId="5" xfId="0" applyFont="1" applyBorder="1" applyAlignment="1">
      <alignment horizontal="center" vertical="center"/>
    </xf>
    <xf numFmtId="164" fontId="12" fillId="0" borderId="5" xfId="0" applyNumberFormat="1" applyFont="1" applyBorder="1" applyAlignment="1">
      <alignment horizontal="center" vertical="center"/>
    </xf>
    <xf numFmtId="1" fontId="12" fillId="0" borderId="5" xfId="0" applyNumberFormat="1" applyFont="1" applyBorder="1" applyAlignment="1">
      <alignment horizontal="center" vertical="center"/>
    </xf>
    <xf numFmtId="0" fontId="7" fillId="4" borderId="5" xfId="0" applyFont="1" applyFill="1" applyBorder="1" applyAlignment="1">
      <alignment horizontal="center" vertical="center" wrapText="1"/>
    </xf>
    <xf numFmtId="0" fontId="5" fillId="0" borderId="0" xfId="0" applyFont="1" applyBorder="1" applyAlignment="1">
      <alignment horizontal="center" vertical="center"/>
    </xf>
    <xf numFmtId="1" fontId="11" fillId="0" borderId="5" xfId="0" applyNumberFormat="1" applyFont="1" applyBorder="1" applyAlignment="1">
      <alignment horizontal="center" vertical="center"/>
    </xf>
    <xf numFmtId="0" fontId="11" fillId="0" borderId="5" xfId="0" applyFont="1" applyBorder="1" applyAlignment="1">
      <alignment horizontal="center" vertical="center"/>
    </xf>
    <xf numFmtId="0" fontId="5" fillId="0" borderId="5" xfId="0" applyFont="1" applyBorder="1" applyAlignment="1">
      <alignment horizontal="center" vertical="center"/>
    </xf>
    <xf numFmtId="0" fontId="4" fillId="0" borderId="5" xfId="0" applyFont="1" applyBorder="1" applyAlignment="1">
      <alignment horizontal="center" vertical="center"/>
    </xf>
    <xf numFmtId="0" fontId="6" fillId="4" borderId="5" xfId="0" applyFont="1" applyFill="1" applyBorder="1" applyAlignment="1">
      <alignment horizontal="center" vertical="center"/>
    </xf>
    <xf numFmtId="0" fontId="4" fillId="0" borderId="0" xfId="0" applyFont="1" applyAlignment="1">
      <alignment horizontal="center" vertical="center"/>
    </xf>
    <xf numFmtId="0" fontId="12" fillId="0" borderId="5" xfId="0" applyFont="1" applyBorder="1" applyAlignment="1">
      <alignment horizontal="center" vertical="center"/>
    </xf>
    <xf numFmtId="1" fontId="12" fillId="0" borderId="5" xfId="0" applyNumberFormat="1" applyFont="1" applyBorder="1" applyAlignment="1">
      <alignment horizontal="center" vertical="center"/>
    </xf>
    <xf numFmtId="164" fontId="12" fillId="0" borderId="5" xfId="0" applyNumberFormat="1" applyFont="1" applyBorder="1" applyAlignment="1">
      <alignment horizontal="center" vertical="center"/>
    </xf>
    <xf numFmtId="0" fontId="7" fillId="4" borderId="5" xfId="0" applyFont="1" applyFill="1" applyBorder="1" applyAlignment="1">
      <alignment horizontal="center" vertical="center" wrapText="1"/>
    </xf>
    <xf numFmtId="0" fontId="5" fillId="0" borderId="0" xfId="0" applyFont="1" applyBorder="1" applyAlignment="1">
      <alignment horizontal="center" vertical="center"/>
    </xf>
    <xf numFmtId="0" fontId="4" fillId="0" borderId="0" xfId="0" applyFont="1" applyAlignment="1">
      <alignment horizontal="center" vertical="center"/>
    </xf>
    <xf numFmtId="0" fontId="4" fillId="0" borderId="5" xfId="0" applyFont="1" applyBorder="1" applyAlignment="1">
      <alignment horizontal="center" vertical="center"/>
    </xf>
    <xf numFmtId="0" fontId="6" fillId="4" borderId="5" xfId="0" applyFont="1" applyFill="1" applyBorder="1" applyAlignment="1">
      <alignment horizontal="center" vertical="center"/>
    </xf>
    <xf numFmtId="0" fontId="5" fillId="0" borderId="5" xfId="0" applyFont="1" applyBorder="1" applyAlignment="1">
      <alignment horizontal="center" vertical="center"/>
    </xf>
    <xf numFmtId="0" fontId="11" fillId="0" borderId="5" xfId="0" applyFont="1" applyBorder="1" applyAlignment="1">
      <alignment horizontal="center" vertical="center"/>
    </xf>
    <xf numFmtId="1" fontId="11" fillId="0" borderId="5" xfId="0" applyNumberFormat="1" applyFont="1" applyBorder="1" applyAlignment="1">
      <alignment horizontal="center" vertical="center"/>
    </xf>
    <xf numFmtId="0" fontId="12" fillId="0" borderId="5" xfId="0" applyFont="1" applyBorder="1" applyAlignment="1">
      <alignment horizontal="center" vertical="center"/>
    </xf>
    <xf numFmtId="164" fontId="12" fillId="0" borderId="5" xfId="0" applyNumberFormat="1" applyFont="1" applyBorder="1" applyAlignment="1">
      <alignment horizontal="center" vertical="center"/>
    </xf>
    <xf numFmtId="1" fontId="12" fillId="0" borderId="5" xfId="0" applyNumberFormat="1" applyFont="1" applyBorder="1" applyAlignment="1">
      <alignment horizontal="center" vertical="center"/>
    </xf>
    <xf numFmtId="0" fontId="7" fillId="4" borderId="5" xfId="0" applyFont="1" applyFill="1" applyBorder="1" applyAlignment="1">
      <alignment horizontal="center" vertical="center" wrapText="1"/>
    </xf>
    <xf numFmtId="0" fontId="5" fillId="0" borderId="0" xfId="0" applyFont="1" applyBorder="1" applyAlignment="1">
      <alignment horizontal="center" vertical="center"/>
    </xf>
    <xf numFmtId="1" fontId="11" fillId="0" borderId="5" xfId="0" applyNumberFormat="1" applyFont="1" applyBorder="1" applyAlignment="1">
      <alignment horizontal="center" vertical="center"/>
    </xf>
    <xf numFmtId="0" fontId="11" fillId="0" borderId="5" xfId="0" applyFont="1" applyBorder="1" applyAlignment="1">
      <alignment horizontal="center" vertical="center"/>
    </xf>
    <xf numFmtId="0" fontId="5" fillId="0" borderId="5" xfId="0" applyFont="1" applyBorder="1" applyAlignment="1">
      <alignment horizontal="center" vertical="center"/>
    </xf>
    <xf numFmtId="0" fontId="4" fillId="0" borderId="5" xfId="0" applyFont="1" applyBorder="1" applyAlignment="1">
      <alignment horizontal="center" vertical="center"/>
    </xf>
    <xf numFmtId="0" fontId="6" fillId="4" borderId="5" xfId="0" applyFont="1" applyFill="1" applyBorder="1" applyAlignment="1">
      <alignment horizontal="center" vertical="center"/>
    </xf>
    <xf numFmtId="0" fontId="4" fillId="0" borderId="0" xfId="0" applyFont="1" applyAlignment="1">
      <alignment horizontal="center" vertical="center"/>
    </xf>
    <xf numFmtId="0" fontId="12" fillId="0" borderId="5" xfId="0" applyFont="1" applyBorder="1" applyAlignment="1">
      <alignment horizontal="center" vertical="center"/>
    </xf>
    <xf numFmtId="1" fontId="12" fillId="0" borderId="5" xfId="0" applyNumberFormat="1" applyFont="1" applyBorder="1" applyAlignment="1">
      <alignment horizontal="center" vertical="center"/>
    </xf>
    <xf numFmtId="164" fontId="12" fillId="0" borderId="5" xfId="0" applyNumberFormat="1" applyFont="1" applyBorder="1" applyAlignment="1">
      <alignment horizontal="center" vertical="center"/>
    </xf>
    <xf numFmtId="0" fontId="7" fillId="4" borderId="5" xfId="0" applyFont="1" applyFill="1" applyBorder="1" applyAlignment="1">
      <alignment horizontal="center" vertical="center" wrapText="1"/>
    </xf>
    <xf numFmtId="0" fontId="5" fillId="0" borderId="0" xfId="0" applyFont="1" applyBorder="1" applyAlignment="1">
      <alignment horizontal="center" vertical="center"/>
    </xf>
    <xf numFmtId="0" fontId="4" fillId="0" borderId="0" xfId="0" applyFont="1" applyAlignment="1">
      <alignment horizontal="center" vertical="center"/>
    </xf>
    <xf numFmtId="0" fontId="4" fillId="0" borderId="5" xfId="0" applyFont="1" applyBorder="1" applyAlignment="1">
      <alignment horizontal="center" vertical="center"/>
    </xf>
    <xf numFmtId="0" fontId="6" fillId="4" borderId="5" xfId="0" applyFont="1" applyFill="1" applyBorder="1" applyAlignment="1">
      <alignment horizontal="center" vertical="center"/>
    </xf>
    <xf numFmtId="0" fontId="5" fillId="0" borderId="5" xfId="0" applyFont="1" applyBorder="1" applyAlignment="1">
      <alignment horizontal="center" vertical="center"/>
    </xf>
    <xf numFmtId="0" fontId="11" fillId="0" borderId="5" xfId="0" applyFont="1" applyBorder="1" applyAlignment="1">
      <alignment horizontal="center" vertical="center"/>
    </xf>
    <xf numFmtId="1" fontId="11" fillId="0" borderId="5" xfId="0" applyNumberFormat="1" applyFont="1" applyBorder="1" applyAlignment="1">
      <alignment horizontal="center" vertical="center"/>
    </xf>
    <xf numFmtId="0" fontId="12" fillId="0" borderId="5" xfId="0" applyFont="1" applyBorder="1" applyAlignment="1">
      <alignment horizontal="center" vertical="center"/>
    </xf>
    <xf numFmtId="164" fontId="12" fillId="0" borderId="5" xfId="0" applyNumberFormat="1" applyFont="1" applyBorder="1" applyAlignment="1">
      <alignment horizontal="center" vertical="center"/>
    </xf>
    <xf numFmtId="1" fontId="12" fillId="0" borderId="5" xfId="0" applyNumberFormat="1" applyFont="1" applyBorder="1" applyAlignment="1">
      <alignment horizontal="center" vertical="center"/>
    </xf>
    <xf numFmtId="0" fontId="7" fillId="4" borderId="5" xfId="0" applyFont="1" applyFill="1" applyBorder="1" applyAlignment="1">
      <alignment horizontal="center" vertical="center" wrapText="1"/>
    </xf>
    <xf numFmtId="0" fontId="5" fillId="0" borderId="0" xfId="0" applyFont="1" applyBorder="1" applyAlignment="1">
      <alignment horizontal="center" vertical="center"/>
    </xf>
    <xf numFmtId="1" fontId="11" fillId="0" borderId="5" xfId="0" applyNumberFormat="1" applyFont="1" applyBorder="1" applyAlignment="1">
      <alignment horizontal="center" vertical="center"/>
    </xf>
    <xf numFmtId="0" fontId="11" fillId="0" borderId="5" xfId="0" applyFont="1" applyBorder="1" applyAlignment="1">
      <alignment horizontal="center" vertical="center"/>
    </xf>
    <xf numFmtId="0" fontId="5" fillId="0" borderId="5" xfId="0" applyFont="1" applyBorder="1" applyAlignment="1">
      <alignment horizontal="center" vertical="center"/>
    </xf>
    <xf numFmtId="0" fontId="4" fillId="0" borderId="5" xfId="0" applyFont="1" applyBorder="1" applyAlignment="1">
      <alignment horizontal="center" vertical="center"/>
    </xf>
    <xf numFmtId="0" fontId="6" fillId="4" borderId="5" xfId="0" applyFont="1" applyFill="1" applyBorder="1" applyAlignment="1">
      <alignment horizontal="center" vertical="center"/>
    </xf>
    <xf numFmtId="0" fontId="4" fillId="0" borderId="0" xfId="0" applyFont="1" applyAlignment="1">
      <alignment horizontal="center" vertical="center"/>
    </xf>
    <xf numFmtId="0" fontId="12" fillId="0" borderId="5" xfId="0" applyFont="1" applyBorder="1" applyAlignment="1">
      <alignment horizontal="center" vertical="center"/>
    </xf>
    <xf numFmtId="1" fontId="12" fillId="0" borderId="5" xfId="0" applyNumberFormat="1" applyFont="1" applyBorder="1" applyAlignment="1">
      <alignment horizontal="center" vertical="center"/>
    </xf>
    <xf numFmtId="164" fontId="12" fillId="0" borderId="5" xfId="0" applyNumberFormat="1" applyFont="1" applyBorder="1" applyAlignment="1">
      <alignment horizontal="center" vertical="center"/>
    </xf>
    <xf numFmtId="0" fontId="7" fillId="4" borderId="5" xfId="0" applyFont="1" applyFill="1" applyBorder="1" applyAlignment="1">
      <alignment horizontal="center" vertical="center" wrapText="1"/>
    </xf>
    <xf numFmtId="0" fontId="5" fillId="0" borderId="0" xfId="0" applyFont="1" applyBorder="1" applyAlignment="1">
      <alignment horizontal="center" vertical="center"/>
    </xf>
    <xf numFmtId="0" fontId="4" fillId="0" borderId="0" xfId="0" applyFont="1" applyAlignment="1">
      <alignment horizontal="center" vertical="center"/>
    </xf>
    <xf numFmtId="0" fontId="4" fillId="0" borderId="5" xfId="0" applyFont="1" applyBorder="1" applyAlignment="1">
      <alignment horizontal="center" vertical="center"/>
    </xf>
    <xf numFmtId="0" fontId="6" fillId="4" borderId="5" xfId="0" applyFont="1" applyFill="1" applyBorder="1" applyAlignment="1">
      <alignment horizontal="center" vertical="center"/>
    </xf>
    <xf numFmtId="0" fontId="5" fillId="0" borderId="5" xfId="0" applyFont="1" applyBorder="1" applyAlignment="1">
      <alignment horizontal="center" vertical="center"/>
    </xf>
    <xf numFmtId="0" fontId="11" fillId="0" borderId="5" xfId="0" applyFont="1" applyBorder="1" applyAlignment="1">
      <alignment horizontal="center" vertical="center"/>
    </xf>
    <xf numFmtId="1" fontId="11" fillId="0" borderId="5" xfId="0" applyNumberFormat="1" applyFont="1" applyBorder="1" applyAlignment="1">
      <alignment horizontal="center" vertical="center"/>
    </xf>
    <xf numFmtId="0" fontId="12" fillId="0" borderId="5" xfId="0" applyFont="1" applyBorder="1" applyAlignment="1">
      <alignment horizontal="center" vertical="center"/>
    </xf>
    <xf numFmtId="164" fontId="12" fillId="0" borderId="5" xfId="0" applyNumberFormat="1" applyFont="1" applyBorder="1" applyAlignment="1">
      <alignment horizontal="center" vertical="center"/>
    </xf>
    <xf numFmtId="1" fontId="12" fillId="0" borderId="5" xfId="0" applyNumberFormat="1" applyFont="1" applyBorder="1" applyAlignment="1">
      <alignment horizontal="center" vertical="center"/>
    </xf>
    <xf numFmtId="0" fontId="7" fillId="4" borderId="5" xfId="0" applyFont="1" applyFill="1" applyBorder="1" applyAlignment="1">
      <alignment horizontal="center" vertical="center" wrapText="1"/>
    </xf>
    <xf numFmtId="0" fontId="5" fillId="0" borderId="0" xfId="0" applyFont="1" applyBorder="1" applyAlignment="1">
      <alignment horizontal="center" vertical="center"/>
    </xf>
    <xf numFmtId="1" fontId="11" fillId="0" borderId="5" xfId="0" applyNumberFormat="1" applyFont="1" applyBorder="1" applyAlignment="1">
      <alignment horizontal="center" vertical="center"/>
    </xf>
    <xf numFmtId="0" fontId="11" fillId="0" borderId="5" xfId="0" applyFont="1" applyBorder="1" applyAlignment="1">
      <alignment horizontal="center" vertical="center"/>
    </xf>
    <xf numFmtId="0" fontId="5" fillId="0" borderId="5" xfId="0" applyFont="1" applyBorder="1" applyAlignment="1">
      <alignment horizontal="center" vertical="center"/>
    </xf>
    <xf numFmtId="0" fontId="4" fillId="0" borderId="5" xfId="0" applyFont="1" applyBorder="1" applyAlignment="1">
      <alignment horizontal="center" vertical="center"/>
    </xf>
    <xf numFmtId="0" fontId="6" fillId="4" borderId="5" xfId="0" applyFont="1" applyFill="1" applyBorder="1" applyAlignment="1">
      <alignment horizontal="center" vertical="center"/>
    </xf>
    <xf numFmtId="0" fontId="4" fillId="0" borderId="0" xfId="0" applyFont="1" applyAlignment="1">
      <alignment horizontal="center" vertical="center"/>
    </xf>
    <xf numFmtId="0" fontId="12" fillId="0" borderId="5" xfId="0" applyFont="1" applyBorder="1" applyAlignment="1">
      <alignment horizontal="center" vertical="center"/>
    </xf>
    <xf numFmtId="1" fontId="12" fillId="0" borderId="5" xfId="0" applyNumberFormat="1" applyFont="1" applyBorder="1" applyAlignment="1">
      <alignment horizontal="center" vertical="center"/>
    </xf>
    <xf numFmtId="164" fontId="12" fillId="0" borderId="5" xfId="0" applyNumberFormat="1" applyFont="1" applyBorder="1" applyAlignment="1">
      <alignment horizontal="center" vertical="center"/>
    </xf>
    <xf numFmtId="0" fontId="7" fillId="4" borderId="5" xfId="0" applyFont="1" applyFill="1" applyBorder="1" applyAlignment="1">
      <alignment horizontal="center" vertical="center" wrapText="1"/>
    </xf>
    <xf numFmtId="0" fontId="5" fillId="0" borderId="0" xfId="0" applyFont="1" applyBorder="1" applyAlignment="1">
      <alignment horizontal="center" vertical="center"/>
    </xf>
    <xf numFmtId="1" fontId="11" fillId="0" borderId="5" xfId="0" applyNumberFormat="1" applyFont="1" applyBorder="1" applyAlignment="1">
      <alignment horizontal="center" vertical="center"/>
    </xf>
    <xf numFmtId="0" fontId="11" fillId="0" borderId="5" xfId="0" applyFont="1" applyBorder="1" applyAlignment="1">
      <alignment horizontal="center" vertical="center"/>
    </xf>
    <xf numFmtId="0" fontId="5" fillId="0" borderId="5" xfId="0" applyFont="1" applyBorder="1" applyAlignment="1">
      <alignment horizontal="center" vertical="center"/>
    </xf>
    <xf numFmtId="0" fontId="4" fillId="0" borderId="5" xfId="0" applyFont="1" applyBorder="1" applyAlignment="1">
      <alignment horizontal="center" vertical="center"/>
    </xf>
    <xf numFmtId="0" fontId="6" fillId="4" borderId="5" xfId="0" applyFont="1" applyFill="1" applyBorder="1" applyAlignment="1">
      <alignment horizontal="center" vertical="center"/>
    </xf>
    <xf numFmtId="0" fontId="4" fillId="0" borderId="0" xfId="0" applyFont="1" applyAlignment="1">
      <alignment horizontal="center" vertical="center"/>
    </xf>
    <xf numFmtId="0" fontId="12" fillId="0" borderId="5" xfId="0" applyFont="1" applyBorder="1" applyAlignment="1">
      <alignment horizontal="center" vertical="center"/>
    </xf>
    <xf numFmtId="1" fontId="12" fillId="0" borderId="5" xfId="0" applyNumberFormat="1" applyFont="1" applyBorder="1" applyAlignment="1">
      <alignment horizontal="center" vertical="center"/>
    </xf>
    <xf numFmtId="164" fontId="12" fillId="0" borderId="5" xfId="0" applyNumberFormat="1" applyFont="1" applyBorder="1" applyAlignment="1">
      <alignment horizontal="center" vertical="center"/>
    </xf>
    <xf numFmtId="0" fontId="7" fillId="4" borderId="5" xfId="0" applyFont="1" applyFill="1" applyBorder="1" applyAlignment="1">
      <alignment horizontal="center" vertical="center" wrapText="1"/>
    </xf>
    <xf numFmtId="0" fontId="5" fillId="0" borderId="0" xfId="0" applyFont="1" applyBorder="1" applyAlignment="1">
      <alignment horizontal="center" vertical="center"/>
    </xf>
    <xf numFmtId="0" fontId="4" fillId="0" borderId="0" xfId="0" applyFont="1" applyAlignment="1">
      <alignment horizontal="center" vertical="center"/>
    </xf>
    <xf numFmtId="0" fontId="4" fillId="0" borderId="5" xfId="0" applyFont="1" applyBorder="1" applyAlignment="1">
      <alignment horizontal="center" vertical="center"/>
    </xf>
    <xf numFmtId="0" fontId="6" fillId="4" borderId="5" xfId="0" applyFont="1" applyFill="1" applyBorder="1" applyAlignment="1">
      <alignment horizontal="center" vertical="center"/>
    </xf>
    <xf numFmtId="0" fontId="5" fillId="0" borderId="5" xfId="0" applyFont="1" applyBorder="1" applyAlignment="1">
      <alignment horizontal="center" vertical="center"/>
    </xf>
    <xf numFmtId="0" fontId="11" fillId="0" borderId="5" xfId="0" applyFont="1" applyBorder="1" applyAlignment="1">
      <alignment horizontal="center" vertical="center"/>
    </xf>
    <xf numFmtId="1" fontId="11" fillId="0" borderId="5" xfId="0" applyNumberFormat="1" applyFont="1" applyBorder="1" applyAlignment="1">
      <alignment horizontal="center" vertical="center"/>
    </xf>
    <xf numFmtId="0" fontId="12" fillId="0" borderId="5" xfId="0" applyFont="1" applyBorder="1" applyAlignment="1">
      <alignment horizontal="center" vertical="center"/>
    </xf>
    <xf numFmtId="164" fontId="12" fillId="0" borderId="5" xfId="0" applyNumberFormat="1" applyFont="1" applyBorder="1" applyAlignment="1">
      <alignment horizontal="center" vertical="center"/>
    </xf>
    <xf numFmtId="1" fontId="12" fillId="0" borderId="5" xfId="0" applyNumberFormat="1" applyFont="1" applyBorder="1" applyAlignment="1">
      <alignment horizontal="center" vertical="center"/>
    </xf>
    <xf numFmtId="0" fontId="7" fillId="4" borderId="5" xfId="0" applyFont="1" applyFill="1" applyBorder="1" applyAlignment="1">
      <alignment horizontal="center" vertical="center" wrapText="1"/>
    </xf>
    <xf numFmtId="0" fontId="5" fillId="0" borderId="0" xfId="0" applyFont="1" applyBorder="1" applyAlignment="1">
      <alignment horizontal="center" vertical="center"/>
    </xf>
    <xf numFmtId="0" fontId="4" fillId="0" borderId="0" xfId="0" applyFont="1" applyAlignment="1">
      <alignment horizontal="center" vertical="center"/>
    </xf>
    <xf numFmtId="0" fontId="4" fillId="0" borderId="5" xfId="0" applyFont="1" applyBorder="1" applyAlignment="1">
      <alignment horizontal="center" vertical="center"/>
    </xf>
    <xf numFmtId="0" fontId="6" fillId="4" borderId="5" xfId="0" applyFont="1" applyFill="1" applyBorder="1" applyAlignment="1">
      <alignment horizontal="center" vertical="center"/>
    </xf>
    <xf numFmtId="0" fontId="5" fillId="0" borderId="5" xfId="0" applyFont="1" applyBorder="1" applyAlignment="1">
      <alignment horizontal="center" vertical="center"/>
    </xf>
    <xf numFmtId="0" fontId="11" fillId="0" borderId="5" xfId="0" applyFont="1" applyBorder="1" applyAlignment="1">
      <alignment horizontal="center" vertical="center"/>
    </xf>
    <xf numFmtId="1" fontId="11" fillId="0" borderId="5" xfId="0" applyNumberFormat="1" applyFont="1" applyBorder="1" applyAlignment="1">
      <alignment horizontal="center" vertical="center"/>
    </xf>
    <xf numFmtId="0" fontId="12" fillId="0" borderId="5" xfId="0" applyFont="1" applyBorder="1" applyAlignment="1">
      <alignment horizontal="center" vertical="center"/>
    </xf>
    <xf numFmtId="164" fontId="12" fillId="0" borderId="5" xfId="0" applyNumberFormat="1" applyFont="1" applyBorder="1" applyAlignment="1">
      <alignment horizontal="center" vertical="center"/>
    </xf>
    <xf numFmtId="1" fontId="12" fillId="0" borderId="5" xfId="0" applyNumberFormat="1" applyFont="1" applyBorder="1" applyAlignment="1">
      <alignment horizontal="center" vertical="center"/>
    </xf>
    <xf numFmtId="0" fontId="7" fillId="4" borderId="5" xfId="0" applyFont="1" applyFill="1" applyBorder="1" applyAlignment="1">
      <alignment horizontal="center" vertical="center" wrapText="1"/>
    </xf>
    <xf numFmtId="0" fontId="5" fillId="0" borderId="0" xfId="0" applyFont="1" applyBorder="1" applyAlignment="1">
      <alignment horizontal="center" vertical="center"/>
    </xf>
    <xf numFmtId="0" fontId="4" fillId="0" borderId="0" xfId="0" applyFont="1" applyAlignment="1">
      <alignment horizontal="center" vertical="center"/>
    </xf>
    <xf numFmtId="0" fontId="4" fillId="0" borderId="5" xfId="0" applyFont="1" applyBorder="1" applyAlignment="1">
      <alignment horizontal="center" vertical="center"/>
    </xf>
    <xf numFmtId="0" fontId="6" fillId="4" borderId="5" xfId="0" applyFont="1" applyFill="1" applyBorder="1" applyAlignment="1">
      <alignment horizontal="center" vertical="center"/>
    </xf>
    <xf numFmtId="0" fontId="5" fillId="0" borderId="5" xfId="0" applyFont="1" applyBorder="1" applyAlignment="1">
      <alignment horizontal="center" vertical="center"/>
    </xf>
    <xf numFmtId="0" fontId="11" fillId="0" borderId="5" xfId="0" applyFont="1" applyBorder="1" applyAlignment="1">
      <alignment horizontal="center" vertical="center"/>
    </xf>
    <xf numFmtId="1" fontId="11" fillId="0" borderId="5" xfId="0" applyNumberFormat="1" applyFont="1" applyBorder="1" applyAlignment="1">
      <alignment horizontal="center" vertical="center"/>
    </xf>
    <xf numFmtId="0" fontId="12" fillId="0" borderId="5" xfId="0" applyFont="1" applyBorder="1" applyAlignment="1">
      <alignment horizontal="center" vertical="center"/>
    </xf>
    <xf numFmtId="164" fontId="12" fillId="0" borderId="5" xfId="0" applyNumberFormat="1" applyFont="1" applyBorder="1" applyAlignment="1">
      <alignment horizontal="center" vertical="center"/>
    </xf>
    <xf numFmtId="1" fontId="12" fillId="0" borderId="5" xfId="0" applyNumberFormat="1" applyFont="1" applyBorder="1" applyAlignment="1">
      <alignment horizontal="center" vertical="center"/>
    </xf>
    <xf numFmtId="0" fontId="7" fillId="4" borderId="5" xfId="0" applyFont="1" applyFill="1" applyBorder="1" applyAlignment="1">
      <alignment horizontal="center" vertical="center" wrapText="1"/>
    </xf>
    <xf numFmtId="0" fontId="5" fillId="0" borderId="0" xfId="0" applyFont="1" applyBorder="1" applyAlignment="1">
      <alignment horizontal="center" vertical="center"/>
    </xf>
    <xf numFmtId="1" fontId="11" fillId="0" borderId="5" xfId="0" applyNumberFormat="1" applyFont="1" applyBorder="1" applyAlignment="1">
      <alignment horizontal="center" vertical="center"/>
    </xf>
    <xf numFmtId="0" fontId="11" fillId="0" borderId="5" xfId="0" applyFont="1" applyBorder="1" applyAlignment="1">
      <alignment horizontal="center" vertical="center"/>
    </xf>
    <xf numFmtId="0" fontId="5" fillId="0" borderId="5" xfId="0" applyFont="1" applyBorder="1" applyAlignment="1">
      <alignment horizontal="center" vertical="center"/>
    </xf>
    <xf numFmtId="0" fontId="4" fillId="0" borderId="5" xfId="0" applyFont="1" applyBorder="1" applyAlignment="1">
      <alignment horizontal="center" vertical="center"/>
    </xf>
    <xf numFmtId="0" fontId="6" fillId="4" borderId="5" xfId="0" applyFont="1" applyFill="1" applyBorder="1" applyAlignment="1">
      <alignment horizontal="center" vertical="center"/>
    </xf>
    <xf numFmtId="0" fontId="4" fillId="0" borderId="0" xfId="0" applyFont="1" applyAlignment="1">
      <alignment horizontal="center" vertical="center"/>
    </xf>
    <xf numFmtId="0" fontId="12" fillId="0" borderId="5" xfId="0" applyFont="1" applyBorder="1" applyAlignment="1">
      <alignment horizontal="center" vertical="center"/>
    </xf>
    <xf numFmtId="1" fontId="12" fillId="0" borderId="5" xfId="0" applyNumberFormat="1" applyFont="1" applyBorder="1" applyAlignment="1">
      <alignment horizontal="center" vertical="center"/>
    </xf>
    <xf numFmtId="164" fontId="12" fillId="0" borderId="5" xfId="0" applyNumberFormat="1" applyFont="1" applyBorder="1" applyAlignment="1">
      <alignment horizontal="center" vertical="center"/>
    </xf>
    <xf numFmtId="0" fontId="7" fillId="4" borderId="5" xfId="0" applyFont="1" applyFill="1" applyBorder="1" applyAlignment="1">
      <alignment horizontal="center" vertical="center" wrapText="1"/>
    </xf>
    <xf numFmtId="0" fontId="5" fillId="0" borderId="0" xfId="0" applyFont="1" applyBorder="1" applyAlignment="1">
      <alignment horizontal="center" vertical="center"/>
    </xf>
    <xf numFmtId="0" fontId="4" fillId="0" borderId="0" xfId="0" applyFont="1" applyAlignment="1">
      <alignment horizontal="center" vertical="center"/>
    </xf>
    <xf numFmtId="0" fontId="4" fillId="0" borderId="5" xfId="0" applyFont="1" applyBorder="1" applyAlignment="1">
      <alignment horizontal="center" vertical="center"/>
    </xf>
    <xf numFmtId="0" fontId="6" fillId="4" borderId="5" xfId="0" applyFont="1" applyFill="1" applyBorder="1" applyAlignment="1">
      <alignment horizontal="center" vertical="center"/>
    </xf>
    <xf numFmtId="0" fontId="5" fillId="0" borderId="5" xfId="0" applyFont="1" applyBorder="1" applyAlignment="1">
      <alignment horizontal="center" vertical="center"/>
    </xf>
    <xf numFmtId="0" fontId="11" fillId="0" borderId="5" xfId="0" applyFont="1" applyBorder="1" applyAlignment="1">
      <alignment horizontal="center" vertical="center"/>
    </xf>
    <xf numFmtId="1" fontId="11" fillId="0" borderId="5" xfId="0" applyNumberFormat="1" applyFont="1" applyBorder="1" applyAlignment="1">
      <alignment horizontal="center" vertical="center"/>
    </xf>
    <xf numFmtId="0" fontId="12" fillId="0" borderId="5" xfId="0" applyFont="1" applyBorder="1" applyAlignment="1">
      <alignment horizontal="center" vertical="center"/>
    </xf>
    <xf numFmtId="164" fontId="12" fillId="0" borderId="5" xfId="0" applyNumberFormat="1" applyFont="1" applyBorder="1" applyAlignment="1">
      <alignment horizontal="center" vertical="center"/>
    </xf>
    <xf numFmtId="1" fontId="12" fillId="0" borderId="5" xfId="0" applyNumberFormat="1" applyFont="1" applyBorder="1" applyAlignment="1">
      <alignment horizontal="center" vertical="center"/>
    </xf>
    <xf numFmtId="0" fontId="7" fillId="4" borderId="5" xfId="0" applyFont="1" applyFill="1" applyBorder="1" applyAlignment="1">
      <alignment horizontal="center" vertical="center" wrapText="1"/>
    </xf>
    <xf numFmtId="0" fontId="5" fillId="0" borderId="0" xfId="0" applyFont="1" applyBorder="1" applyAlignment="1">
      <alignment horizontal="center" vertical="center"/>
    </xf>
    <xf numFmtId="1" fontId="11" fillId="0" borderId="5" xfId="0" applyNumberFormat="1" applyFont="1" applyBorder="1" applyAlignment="1">
      <alignment horizontal="center" vertical="center"/>
    </xf>
    <xf numFmtId="0" fontId="11" fillId="0" borderId="5" xfId="0" applyFont="1" applyBorder="1" applyAlignment="1">
      <alignment horizontal="center" vertical="center"/>
    </xf>
    <xf numFmtId="0" fontId="5" fillId="0" borderId="5" xfId="0" applyFont="1" applyBorder="1" applyAlignment="1">
      <alignment horizontal="center" vertical="center"/>
    </xf>
    <xf numFmtId="0" fontId="4" fillId="0" borderId="5" xfId="0" applyFont="1" applyBorder="1" applyAlignment="1">
      <alignment horizontal="center" vertical="center"/>
    </xf>
    <xf numFmtId="0" fontId="6" fillId="4" borderId="5" xfId="0" applyFont="1" applyFill="1" applyBorder="1" applyAlignment="1">
      <alignment horizontal="center" vertical="center"/>
    </xf>
    <xf numFmtId="0" fontId="4" fillId="0" borderId="0" xfId="0" applyFont="1" applyAlignment="1">
      <alignment horizontal="center" vertical="center"/>
    </xf>
    <xf numFmtId="0" fontId="12" fillId="0" borderId="5" xfId="0" applyFont="1" applyBorder="1" applyAlignment="1">
      <alignment horizontal="center" vertical="center"/>
    </xf>
    <xf numFmtId="1" fontId="12" fillId="0" borderId="5" xfId="0" applyNumberFormat="1" applyFont="1" applyBorder="1" applyAlignment="1">
      <alignment horizontal="center" vertical="center"/>
    </xf>
    <xf numFmtId="164" fontId="12" fillId="0" borderId="5" xfId="0" applyNumberFormat="1" applyFont="1" applyBorder="1" applyAlignment="1">
      <alignment horizontal="center" vertical="center"/>
    </xf>
    <xf numFmtId="0" fontId="7" fillId="4" borderId="5" xfId="0" applyFont="1" applyFill="1" applyBorder="1" applyAlignment="1">
      <alignment horizontal="center" vertical="center" wrapText="1"/>
    </xf>
    <xf numFmtId="0" fontId="5" fillId="0" borderId="0" xfId="0" applyFont="1" applyBorder="1" applyAlignment="1">
      <alignment horizontal="center" vertical="center"/>
    </xf>
    <xf numFmtId="0" fontId="4" fillId="0" borderId="0" xfId="0" applyFont="1" applyAlignment="1">
      <alignment horizontal="center" vertical="center"/>
    </xf>
    <xf numFmtId="0" fontId="4" fillId="0" borderId="5" xfId="0" applyFont="1" applyBorder="1" applyAlignment="1">
      <alignment horizontal="center" vertical="center"/>
    </xf>
    <xf numFmtId="0" fontId="6" fillId="4" borderId="5" xfId="0" applyFont="1" applyFill="1" applyBorder="1" applyAlignment="1">
      <alignment horizontal="center" vertical="center"/>
    </xf>
    <xf numFmtId="0" fontId="5" fillId="0" borderId="5" xfId="0" applyFont="1" applyBorder="1" applyAlignment="1">
      <alignment horizontal="center" vertical="center"/>
    </xf>
    <xf numFmtId="0" fontId="11" fillId="0" borderId="5" xfId="0" applyFont="1" applyBorder="1" applyAlignment="1">
      <alignment horizontal="center" vertical="center"/>
    </xf>
    <xf numFmtId="1" fontId="11" fillId="0" borderId="5" xfId="0" applyNumberFormat="1" applyFont="1" applyBorder="1" applyAlignment="1">
      <alignment horizontal="center" vertical="center"/>
    </xf>
    <xf numFmtId="0" fontId="12" fillId="0" borderId="5" xfId="0" applyFont="1" applyBorder="1" applyAlignment="1">
      <alignment horizontal="center" vertical="center"/>
    </xf>
    <xf numFmtId="164" fontId="12" fillId="0" borderId="5" xfId="0" applyNumberFormat="1" applyFont="1" applyBorder="1" applyAlignment="1">
      <alignment horizontal="center" vertical="center"/>
    </xf>
    <xf numFmtId="1" fontId="12" fillId="0" borderId="5" xfId="0" applyNumberFormat="1" applyFont="1" applyBorder="1" applyAlignment="1">
      <alignment horizontal="center" vertical="center"/>
    </xf>
    <xf numFmtId="0" fontId="7" fillId="4" borderId="5" xfId="0" applyFont="1" applyFill="1" applyBorder="1" applyAlignment="1">
      <alignment horizontal="center" vertical="center" wrapText="1"/>
    </xf>
    <xf numFmtId="0" fontId="5" fillId="0" borderId="0" xfId="0" applyFont="1" applyBorder="1" applyAlignment="1">
      <alignment horizontal="center" vertical="center"/>
    </xf>
    <xf numFmtId="1" fontId="11" fillId="0" borderId="5" xfId="0" applyNumberFormat="1" applyFont="1" applyBorder="1" applyAlignment="1">
      <alignment horizontal="center" vertical="center"/>
    </xf>
    <xf numFmtId="0" fontId="11" fillId="0" borderId="5" xfId="0" applyFont="1" applyBorder="1" applyAlignment="1">
      <alignment horizontal="center" vertical="center"/>
    </xf>
    <xf numFmtId="0" fontId="5" fillId="0" borderId="5" xfId="0" applyFont="1" applyBorder="1" applyAlignment="1">
      <alignment horizontal="center" vertical="center"/>
    </xf>
    <xf numFmtId="0" fontId="4" fillId="0" borderId="5" xfId="0" applyFont="1" applyBorder="1" applyAlignment="1">
      <alignment horizontal="center" vertical="center"/>
    </xf>
    <xf numFmtId="0" fontId="6" fillId="4" borderId="5" xfId="0" applyFont="1" applyFill="1" applyBorder="1" applyAlignment="1">
      <alignment horizontal="center" vertical="center"/>
    </xf>
    <xf numFmtId="0" fontId="4" fillId="0" borderId="0" xfId="0" applyFont="1" applyAlignment="1">
      <alignment horizontal="center" vertical="center"/>
    </xf>
    <xf numFmtId="0" fontId="12" fillId="0" borderId="5" xfId="0" applyFont="1" applyBorder="1" applyAlignment="1">
      <alignment horizontal="center" vertical="center"/>
    </xf>
    <xf numFmtId="1" fontId="12" fillId="0" borderId="5" xfId="0" applyNumberFormat="1" applyFont="1" applyBorder="1" applyAlignment="1">
      <alignment horizontal="center" vertical="center"/>
    </xf>
    <xf numFmtId="164" fontId="12" fillId="0" borderId="5" xfId="0" applyNumberFormat="1" applyFont="1" applyBorder="1" applyAlignment="1">
      <alignment horizontal="center" vertical="center"/>
    </xf>
    <xf numFmtId="0" fontId="7" fillId="4" borderId="5" xfId="0" applyFont="1" applyFill="1" applyBorder="1" applyAlignment="1">
      <alignment horizontal="center" vertical="center" wrapText="1"/>
    </xf>
    <xf numFmtId="0" fontId="5" fillId="0" borderId="0" xfId="0" applyFont="1" applyBorder="1" applyAlignment="1">
      <alignment horizontal="center" vertical="center"/>
    </xf>
    <xf numFmtId="0" fontId="4" fillId="0" borderId="0" xfId="0" applyFont="1" applyAlignment="1">
      <alignment horizontal="center" vertical="center"/>
    </xf>
    <xf numFmtId="0" fontId="4" fillId="0" borderId="5" xfId="0" applyFont="1" applyBorder="1" applyAlignment="1">
      <alignment horizontal="center" vertical="center"/>
    </xf>
    <xf numFmtId="0" fontId="6" fillId="4" borderId="5" xfId="0" applyFont="1" applyFill="1" applyBorder="1" applyAlignment="1">
      <alignment horizontal="center" vertical="center"/>
    </xf>
    <xf numFmtId="0" fontId="5" fillId="0" borderId="5" xfId="0" applyFont="1" applyBorder="1" applyAlignment="1">
      <alignment horizontal="center" vertical="center"/>
    </xf>
    <xf numFmtId="0" fontId="11" fillId="0" borderId="5" xfId="0" applyFont="1" applyBorder="1" applyAlignment="1">
      <alignment horizontal="center" vertical="center"/>
    </xf>
    <xf numFmtId="1" fontId="11" fillId="0" borderId="5" xfId="0" applyNumberFormat="1" applyFont="1" applyBorder="1" applyAlignment="1">
      <alignment horizontal="center" vertical="center"/>
    </xf>
    <xf numFmtId="0" fontId="12" fillId="0" borderId="5" xfId="0" applyFont="1" applyBorder="1" applyAlignment="1">
      <alignment horizontal="center" vertical="center"/>
    </xf>
    <xf numFmtId="164" fontId="12" fillId="0" borderId="5" xfId="0" applyNumberFormat="1" applyFont="1" applyBorder="1" applyAlignment="1">
      <alignment horizontal="center" vertical="center"/>
    </xf>
    <xf numFmtId="1" fontId="12" fillId="0" borderId="5" xfId="0" applyNumberFormat="1" applyFont="1" applyBorder="1" applyAlignment="1">
      <alignment horizontal="center" vertical="center"/>
    </xf>
    <xf numFmtId="0" fontId="7" fillId="4" borderId="5" xfId="0" applyFont="1" applyFill="1" applyBorder="1" applyAlignment="1">
      <alignment horizontal="center" vertical="center" wrapText="1"/>
    </xf>
    <xf numFmtId="0" fontId="5" fillId="0" borderId="0" xfId="0" applyFont="1" applyBorder="1" applyAlignment="1">
      <alignment horizontal="center" vertical="center"/>
    </xf>
    <xf numFmtId="1" fontId="11" fillId="0" borderId="5" xfId="0" applyNumberFormat="1" applyFont="1" applyBorder="1" applyAlignment="1">
      <alignment horizontal="center" vertical="center"/>
    </xf>
    <xf numFmtId="0" fontId="11" fillId="0" borderId="5" xfId="0" applyFont="1" applyBorder="1" applyAlignment="1">
      <alignment horizontal="center" vertical="center"/>
    </xf>
    <xf numFmtId="0" fontId="5" fillId="0" borderId="5" xfId="0" applyFont="1" applyBorder="1" applyAlignment="1">
      <alignment horizontal="center" vertical="center"/>
    </xf>
    <xf numFmtId="0" fontId="4" fillId="0" borderId="5" xfId="0" applyFont="1" applyBorder="1" applyAlignment="1">
      <alignment horizontal="center" vertical="center"/>
    </xf>
    <xf numFmtId="0" fontId="6" fillId="4" borderId="5" xfId="0" applyFont="1" applyFill="1" applyBorder="1" applyAlignment="1">
      <alignment horizontal="center" vertical="center"/>
    </xf>
    <xf numFmtId="0" fontId="4" fillId="0" borderId="0" xfId="0" applyFont="1" applyAlignment="1">
      <alignment horizontal="center" vertical="center"/>
    </xf>
    <xf numFmtId="0" fontId="12" fillId="0" borderId="5" xfId="0" applyFont="1" applyBorder="1" applyAlignment="1">
      <alignment horizontal="center" vertical="center"/>
    </xf>
    <xf numFmtId="1" fontId="12" fillId="0" borderId="5" xfId="0" applyNumberFormat="1" applyFont="1" applyBorder="1" applyAlignment="1">
      <alignment horizontal="center" vertical="center"/>
    </xf>
    <xf numFmtId="164" fontId="12" fillId="0" borderId="5" xfId="0" applyNumberFormat="1" applyFont="1" applyBorder="1" applyAlignment="1">
      <alignment horizontal="center" vertical="center"/>
    </xf>
    <xf numFmtId="0" fontId="7" fillId="4" borderId="5" xfId="0" applyFont="1" applyFill="1" applyBorder="1" applyAlignment="1">
      <alignment horizontal="center" vertical="center" wrapText="1"/>
    </xf>
    <xf numFmtId="0" fontId="5" fillId="0" borderId="0" xfId="0" applyFont="1" applyBorder="1" applyAlignment="1">
      <alignment horizontal="center" vertical="center"/>
    </xf>
    <xf numFmtId="0" fontId="4" fillId="0" borderId="0" xfId="0" applyFont="1" applyAlignment="1">
      <alignment horizontal="center" vertical="center"/>
    </xf>
    <xf numFmtId="0" fontId="4" fillId="0" borderId="5" xfId="0" applyFont="1" applyBorder="1" applyAlignment="1">
      <alignment horizontal="center" vertical="center"/>
    </xf>
    <xf numFmtId="0" fontId="6" fillId="4" borderId="5" xfId="0" applyFont="1" applyFill="1" applyBorder="1" applyAlignment="1">
      <alignment horizontal="center" vertical="center"/>
    </xf>
    <xf numFmtId="0" fontId="5" fillId="0" borderId="5" xfId="0" applyFont="1" applyBorder="1" applyAlignment="1">
      <alignment horizontal="center" vertical="center"/>
    </xf>
    <xf numFmtId="0" fontId="11" fillId="0" borderId="5" xfId="0" applyFont="1" applyBorder="1" applyAlignment="1">
      <alignment horizontal="center" vertical="center"/>
    </xf>
    <xf numFmtId="1" fontId="11" fillId="0" borderId="5" xfId="0" applyNumberFormat="1" applyFont="1" applyBorder="1" applyAlignment="1">
      <alignment horizontal="center" vertical="center"/>
    </xf>
    <xf numFmtId="0" fontId="12" fillId="0" borderId="5" xfId="0" applyFont="1" applyBorder="1" applyAlignment="1">
      <alignment horizontal="center" vertical="center"/>
    </xf>
    <xf numFmtId="164" fontId="12" fillId="0" borderId="5" xfId="0" applyNumberFormat="1" applyFont="1" applyBorder="1" applyAlignment="1">
      <alignment horizontal="center" vertical="center"/>
    </xf>
    <xf numFmtId="1" fontId="12" fillId="0" borderId="5" xfId="0" applyNumberFormat="1" applyFont="1" applyBorder="1" applyAlignment="1">
      <alignment horizontal="center" vertical="center"/>
    </xf>
    <xf numFmtId="0" fontId="7" fillId="4" borderId="5" xfId="0" applyFont="1" applyFill="1" applyBorder="1" applyAlignment="1">
      <alignment horizontal="center" vertical="center" wrapText="1"/>
    </xf>
    <xf numFmtId="0" fontId="5" fillId="0" borderId="0" xfId="0" applyFont="1" applyBorder="1" applyAlignment="1">
      <alignment horizontal="center" vertical="center"/>
    </xf>
    <xf numFmtId="1" fontId="11" fillId="0" borderId="5" xfId="0" applyNumberFormat="1" applyFont="1" applyBorder="1" applyAlignment="1">
      <alignment horizontal="center" vertical="center"/>
    </xf>
    <xf numFmtId="0" fontId="11" fillId="0" borderId="5" xfId="0" applyFont="1" applyBorder="1" applyAlignment="1">
      <alignment horizontal="center" vertical="center"/>
    </xf>
    <xf numFmtId="0" fontId="5" fillId="0" borderId="5" xfId="0" applyFont="1" applyBorder="1" applyAlignment="1">
      <alignment horizontal="center" vertical="center"/>
    </xf>
    <xf numFmtId="0" fontId="4" fillId="0" borderId="5" xfId="0" applyFont="1" applyBorder="1" applyAlignment="1">
      <alignment horizontal="center" vertical="center"/>
    </xf>
    <xf numFmtId="0" fontId="6" fillId="4" borderId="5" xfId="0" applyFont="1" applyFill="1" applyBorder="1" applyAlignment="1">
      <alignment horizontal="center" vertical="center"/>
    </xf>
    <xf numFmtId="0" fontId="4" fillId="0" borderId="0" xfId="0" applyFont="1" applyAlignment="1">
      <alignment horizontal="center" vertical="center"/>
    </xf>
    <xf numFmtId="0" fontId="12" fillId="0" borderId="5" xfId="0" applyFont="1" applyBorder="1" applyAlignment="1">
      <alignment horizontal="center" vertical="center"/>
    </xf>
    <xf numFmtId="1" fontId="12" fillId="0" borderId="5" xfId="0" applyNumberFormat="1" applyFont="1" applyBorder="1" applyAlignment="1">
      <alignment horizontal="center" vertical="center"/>
    </xf>
    <xf numFmtId="164" fontId="12" fillId="0" borderId="5" xfId="0" applyNumberFormat="1" applyFont="1" applyBorder="1" applyAlignment="1">
      <alignment horizontal="center" vertical="center"/>
    </xf>
    <xf numFmtId="0" fontId="7" fillId="4" borderId="5" xfId="0" applyFont="1" applyFill="1" applyBorder="1" applyAlignment="1">
      <alignment horizontal="center" vertical="center" wrapText="1"/>
    </xf>
    <xf numFmtId="0" fontId="5" fillId="0" borderId="0" xfId="0" applyFont="1" applyBorder="1" applyAlignment="1">
      <alignment horizontal="center" vertical="center"/>
    </xf>
    <xf numFmtId="0" fontId="4" fillId="0" borderId="0" xfId="0" applyFont="1" applyAlignment="1">
      <alignment horizontal="center" vertical="center"/>
    </xf>
    <xf numFmtId="0" fontId="4" fillId="0" borderId="5" xfId="0" applyFont="1" applyBorder="1" applyAlignment="1">
      <alignment horizontal="center" vertical="center"/>
    </xf>
    <xf numFmtId="0" fontId="6" fillId="4" borderId="5" xfId="0" applyFont="1" applyFill="1" applyBorder="1" applyAlignment="1">
      <alignment horizontal="center" vertical="center"/>
    </xf>
    <xf numFmtId="0" fontId="5" fillId="0" borderId="5" xfId="0" applyFont="1" applyBorder="1" applyAlignment="1">
      <alignment horizontal="center" vertical="center"/>
    </xf>
    <xf numFmtId="0" fontId="11" fillId="0" borderId="5" xfId="0" applyFont="1" applyBorder="1" applyAlignment="1">
      <alignment horizontal="center" vertical="center"/>
    </xf>
    <xf numFmtId="1" fontId="11" fillId="0" borderId="5" xfId="0" applyNumberFormat="1" applyFont="1" applyBorder="1" applyAlignment="1">
      <alignment horizontal="center" vertical="center"/>
    </xf>
    <xf numFmtId="0" fontId="12" fillId="0" borderId="5" xfId="0" applyFont="1" applyBorder="1" applyAlignment="1">
      <alignment horizontal="center" vertical="center"/>
    </xf>
    <xf numFmtId="164" fontId="12" fillId="0" borderId="5" xfId="0" applyNumberFormat="1" applyFont="1" applyBorder="1" applyAlignment="1">
      <alignment horizontal="center" vertical="center"/>
    </xf>
    <xf numFmtId="1" fontId="12" fillId="0" borderId="5" xfId="0" applyNumberFormat="1" applyFont="1" applyBorder="1" applyAlignment="1">
      <alignment horizontal="center" vertical="center"/>
    </xf>
    <xf numFmtId="0" fontId="7" fillId="4" borderId="5" xfId="0" applyFont="1" applyFill="1" applyBorder="1" applyAlignment="1">
      <alignment horizontal="center" vertical="center" wrapText="1"/>
    </xf>
    <xf numFmtId="0" fontId="5" fillId="0" borderId="0" xfId="0" applyFont="1" applyBorder="1" applyAlignment="1">
      <alignment horizontal="center" vertical="center"/>
    </xf>
    <xf numFmtId="0" fontId="4" fillId="0" borderId="0" xfId="0" applyFont="1" applyAlignment="1">
      <alignment horizontal="center" vertical="center"/>
    </xf>
    <xf numFmtId="0" fontId="4" fillId="0" borderId="5" xfId="0" applyFont="1" applyBorder="1" applyAlignment="1">
      <alignment horizontal="center" vertical="center"/>
    </xf>
    <xf numFmtId="0" fontId="6" fillId="4" borderId="5" xfId="0" applyFont="1" applyFill="1" applyBorder="1" applyAlignment="1">
      <alignment horizontal="center" vertical="center"/>
    </xf>
    <xf numFmtId="0" fontId="5" fillId="0" borderId="5" xfId="0" applyFont="1" applyBorder="1" applyAlignment="1">
      <alignment horizontal="center" vertical="center"/>
    </xf>
    <xf numFmtId="0" fontId="11" fillId="0" borderId="5" xfId="0" applyFont="1" applyBorder="1" applyAlignment="1">
      <alignment horizontal="center" vertical="center"/>
    </xf>
    <xf numFmtId="1" fontId="11" fillId="0" borderId="5" xfId="0" applyNumberFormat="1" applyFont="1" applyBorder="1" applyAlignment="1">
      <alignment horizontal="center" vertical="center"/>
    </xf>
    <xf numFmtId="0" fontId="12" fillId="0" borderId="5" xfId="0" applyFont="1" applyBorder="1" applyAlignment="1">
      <alignment horizontal="center" vertical="center"/>
    </xf>
    <xf numFmtId="164" fontId="12" fillId="0" borderId="5" xfId="0" applyNumberFormat="1" applyFont="1" applyBorder="1" applyAlignment="1">
      <alignment horizontal="center" vertical="center"/>
    </xf>
    <xf numFmtId="1" fontId="12" fillId="0" borderId="5" xfId="0" applyNumberFormat="1" applyFont="1" applyBorder="1" applyAlignment="1">
      <alignment horizontal="center" vertical="center"/>
    </xf>
    <xf numFmtId="0" fontId="7" fillId="4" borderId="5" xfId="0" applyFont="1" applyFill="1" applyBorder="1" applyAlignment="1">
      <alignment horizontal="center" vertical="center" wrapText="1"/>
    </xf>
    <xf numFmtId="0" fontId="5" fillId="0" borderId="0" xfId="0" applyFont="1" applyBorder="1" applyAlignment="1">
      <alignment horizontal="center" vertical="center"/>
    </xf>
    <xf numFmtId="1" fontId="11" fillId="0" borderId="5" xfId="0" applyNumberFormat="1" applyFont="1" applyBorder="1" applyAlignment="1">
      <alignment horizontal="center" vertical="center"/>
    </xf>
    <xf numFmtId="0" fontId="11" fillId="0" borderId="5" xfId="0" applyFont="1" applyBorder="1" applyAlignment="1">
      <alignment horizontal="center" vertical="center"/>
    </xf>
    <xf numFmtId="0" fontId="5" fillId="0" borderId="5" xfId="0" applyFont="1" applyBorder="1" applyAlignment="1">
      <alignment horizontal="center" vertical="center"/>
    </xf>
    <xf numFmtId="0" fontId="4" fillId="0" borderId="5" xfId="0" applyFont="1" applyBorder="1" applyAlignment="1">
      <alignment horizontal="center" vertical="center"/>
    </xf>
    <xf numFmtId="0" fontId="6" fillId="4" borderId="5" xfId="0" applyFont="1" applyFill="1" applyBorder="1" applyAlignment="1">
      <alignment horizontal="center" vertical="center"/>
    </xf>
    <xf numFmtId="0" fontId="4" fillId="0" borderId="0" xfId="0" applyFont="1" applyAlignment="1">
      <alignment horizontal="center" vertical="center"/>
    </xf>
    <xf numFmtId="0" fontId="12" fillId="0" borderId="5" xfId="0" applyFont="1" applyBorder="1" applyAlignment="1">
      <alignment horizontal="center" vertical="center"/>
    </xf>
    <xf numFmtId="1" fontId="12" fillId="0" borderId="5" xfId="0" applyNumberFormat="1" applyFont="1" applyBorder="1" applyAlignment="1">
      <alignment horizontal="center" vertical="center"/>
    </xf>
    <xf numFmtId="164" fontId="12" fillId="0" borderId="5" xfId="0" applyNumberFormat="1" applyFont="1" applyBorder="1" applyAlignment="1">
      <alignment horizontal="center" vertical="center"/>
    </xf>
    <xf numFmtId="0" fontId="7" fillId="4" borderId="5" xfId="0" applyFont="1" applyFill="1" applyBorder="1" applyAlignment="1">
      <alignment horizontal="center" vertical="center" wrapText="1"/>
    </xf>
    <xf numFmtId="0" fontId="5" fillId="0" borderId="0" xfId="0" applyFont="1" applyBorder="1" applyAlignment="1">
      <alignment horizontal="center" vertical="center"/>
    </xf>
    <xf numFmtId="1" fontId="11" fillId="0" borderId="5" xfId="0" applyNumberFormat="1" applyFont="1" applyBorder="1" applyAlignment="1">
      <alignment horizontal="center" vertical="center"/>
    </xf>
    <xf numFmtId="0" fontId="11" fillId="0" borderId="5" xfId="0" applyFont="1" applyBorder="1" applyAlignment="1">
      <alignment horizontal="center" vertical="center"/>
    </xf>
    <xf numFmtId="0" fontId="5" fillId="0" borderId="5" xfId="0" applyFont="1" applyBorder="1" applyAlignment="1">
      <alignment horizontal="center" vertical="center"/>
    </xf>
    <xf numFmtId="0" fontId="4" fillId="0" borderId="5" xfId="0" applyFont="1" applyBorder="1" applyAlignment="1">
      <alignment horizontal="center" vertical="center"/>
    </xf>
    <xf numFmtId="0" fontId="6" fillId="4" borderId="5" xfId="0" applyFont="1" applyFill="1" applyBorder="1" applyAlignment="1">
      <alignment horizontal="center" vertical="center"/>
    </xf>
    <xf numFmtId="0" fontId="4" fillId="0" borderId="0" xfId="0" applyFont="1" applyAlignment="1">
      <alignment horizontal="center" vertical="center"/>
    </xf>
    <xf numFmtId="0" fontId="12" fillId="0" borderId="5" xfId="0" applyFont="1" applyBorder="1" applyAlignment="1">
      <alignment horizontal="center" vertical="center"/>
    </xf>
    <xf numFmtId="1" fontId="12" fillId="0" borderId="5" xfId="0" applyNumberFormat="1" applyFont="1" applyBorder="1" applyAlignment="1">
      <alignment horizontal="center" vertical="center"/>
    </xf>
    <xf numFmtId="164" fontId="12" fillId="0" borderId="5" xfId="0" applyNumberFormat="1" applyFont="1" applyBorder="1" applyAlignment="1">
      <alignment horizontal="center" vertical="center"/>
    </xf>
    <xf numFmtId="0" fontId="7" fillId="4" borderId="5" xfId="0" applyFont="1" applyFill="1" applyBorder="1" applyAlignment="1">
      <alignment horizontal="center" vertical="center" wrapText="1"/>
    </xf>
    <xf numFmtId="0" fontId="5" fillId="0" borderId="0" xfId="0" applyFont="1" applyBorder="1" applyAlignment="1">
      <alignment horizontal="center" vertical="center"/>
    </xf>
    <xf numFmtId="0" fontId="4" fillId="0" borderId="0" xfId="0" applyFont="1" applyAlignment="1">
      <alignment horizontal="center" vertical="center"/>
    </xf>
    <xf numFmtId="0" fontId="4" fillId="0" borderId="5" xfId="0" applyFont="1" applyBorder="1" applyAlignment="1">
      <alignment horizontal="center" vertical="center"/>
    </xf>
    <xf numFmtId="0" fontId="6" fillId="4" borderId="5" xfId="0" applyFont="1" applyFill="1" applyBorder="1" applyAlignment="1">
      <alignment horizontal="center" vertical="center"/>
    </xf>
    <xf numFmtId="0" fontId="5" fillId="0" borderId="5" xfId="0" applyFont="1" applyBorder="1" applyAlignment="1">
      <alignment horizontal="center" vertical="center"/>
    </xf>
    <xf numFmtId="0" fontId="11" fillId="0" borderId="5" xfId="0" applyFont="1" applyBorder="1" applyAlignment="1">
      <alignment horizontal="center" vertical="center"/>
    </xf>
    <xf numFmtId="1" fontId="11" fillId="0" borderId="5" xfId="0" applyNumberFormat="1" applyFont="1" applyBorder="1" applyAlignment="1">
      <alignment horizontal="center" vertical="center"/>
    </xf>
    <xf numFmtId="0" fontId="12" fillId="0" borderId="5" xfId="0" applyFont="1" applyBorder="1" applyAlignment="1">
      <alignment horizontal="center" vertical="center"/>
    </xf>
    <xf numFmtId="164" fontId="12" fillId="0" borderId="5" xfId="0" applyNumberFormat="1" applyFont="1" applyBorder="1" applyAlignment="1">
      <alignment horizontal="center" vertical="center"/>
    </xf>
    <xf numFmtId="1" fontId="12" fillId="0" borderId="5" xfId="0" applyNumberFormat="1" applyFont="1" applyBorder="1" applyAlignment="1">
      <alignment horizontal="center" vertical="center"/>
    </xf>
    <xf numFmtId="0" fontId="7" fillId="4" borderId="5" xfId="0" applyFont="1" applyFill="1" applyBorder="1" applyAlignment="1">
      <alignment horizontal="center" vertical="center" wrapText="1"/>
    </xf>
    <xf numFmtId="0" fontId="5" fillId="0" borderId="0" xfId="0" applyFont="1" applyBorder="1" applyAlignment="1">
      <alignment horizontal="center" vertical="center"/>
    </xf>
    <xf numFmtId="1" fontId="11" fillId="0" borderId="5" xfId="0" applyNumberFormat="1" applyFont="1" applyBorder="1" applyAlignment="1">
      <alignment horizontal="center" vertical="center"/>
    </xf>
    <xf numFmtId="0" fontId="11" fillId="0" borderId="5" xfId="0" applyFont="1" applyBorder="1" applyAlignment="1">
      <alignment horizontal="center" vertical="center"/>
    </xf>
    <xf numFmtId="0" fontId="5" fillId="0" borderId="5" xfId="0" applyFont="1" applyBorder="1" applyAlignment="1">
      <alignment horizontal="center" vertical="center"/>
    </xf>
    <xf numFmtId="0" fontId="4" fillId="0" borderId="5" xfId="0" applyFont="1" applyBorder="1" applyAlignment="1">
      <alignment horizontal="center" vertical="center"/>
    </xf>
    <xf numFmtId="0" fontId="6" fillId="4" borderId="5" xfId="0" applyFont="1" applyFill="1" applyBorder="1" applyAlignment="1">
      <alignment horizontal="center" vertical="center"/>
    </xf>
    <xf numFmtId="0" fontId="4" fillId="0" borderId="0" xfId="0" applyFont="1" applyAlignment="1">
      <alignment horizontal="center" vertical="center"/>
    </xf>
    <xf numFmtId="0" fontId="12" fillId="0" borderId="5" xfId="0" applyFont="1" applyBorder="1" applyAlignment="1">
      <alignment horizontal="center" vertical="center"/>
    </xf>
    <xf numFmtId="1" fontId="12" fillId="0" borderId="5" xfId="0" applyNumberFormat="1" applyFont="1" applyBorder="1" applyAlignment="1">
      <alignment horizontal="center" vertical="center"/>
    </xf>
    <xf numFmtId="164" fontId="12" fillId="0" borderId="5" xfId="0" applyNumberFormat="1" applyFont="1" applyBorder="1" applyAlignment="1">
      <alignment horizontal="center" vertical="center"/>
    </xf>
    <xf numFmtId="0" fontId="7" fillId="4" borderId="5" xfId="0" applyFont="1" applyFill="1" applyBorder="1" applyAlignment="1">
      <alignment horizontal="center" vertical="center" wrapText="1"/>
    </xf>
    <xf numFmtId="0" fontId="5" fillId="0" borderId="0" xfId="0" applyFont="1" applyBorder="1" applyAlignment="1">
      <alignment horizontal="center" vertical="center"/>
    </xf>
    <xf numFmtId="1" fontId="11" fillId="0" borderId="5" xfId="0" applyNumberFormat="1" applyFont="1" applyBorder="1" applyAlignment="1">
      <alignment horizontal="center" vertical="center"/>
    </xf>
    <xf numFmtId="0" fontId="11" fillId="0" borderId="5" xfId="0" applyFont="1" applyBorder="1" applyAlignment="1">
      <alignment horizontal="center" vertical="center"/>
    </xf>
    <xf numFmtId="0" fontId="5" fillId="0" borderId="5" xfId="0" applyFont="1" applyBorder="1" applyAlignment="1">
      <alignment horizontal="center" vertical="center"/>
    </xf>
    <xf numFmtId="0" fontId="4" fillId="0" borderId="5" xfId="0" applyFont="1" applyBorder="1" applyAlignment="1">
      <alignment horizontal="center" vertical="center"/>
    </xf>
    <xf numFmtId="0" fontId="6" fillId="4" borderId="5" xfId="0" applyFont="1" applyFill="1" applyBorder="1" applyAlignment="1">
      <alignment horizontal="center" vertical="center"/>
    </xf>
    <xf numFmtId="0" fontId="4" fillId="0" borderId="0" xfId="0" applyFont="1" applyAlignment="1">
      <alignment horizontal="center" vertical="center"/>
    </xf>
    <xf numFmtId="0" fontId="12" fillId="0" borderId="5" xfId="0" applyFont="1" applyBorder="1" applyAlignment="1">
      <alignment horizontal="center" vertical="center"/>
    </xf>
    <xf numFmtId="1" fontId="12" fillId="0" borderId="5" xfId="0" applyNumberFormat="1" applyFont="1" applyBorder="1" applyAlignment="1">
      <alignment horizontal="center" vertical="center"/>
    </xf>
    <xf numFmtId="164" fontId="12" fillId="0" borderId="5" xfId="0" applyNumberFormat="1" applyFont="1" applyBorder="1" applyAlignment="1">
      <alignment horizontal="center" vertical="center"/>
    </xf>
    <xf numFmtId="0" fontId="7" fillId="4" borderId="5" xfId="0" applyFont="1" applyFill="1" applyBorder="1" applyAlignment="1">
      <alignment horizontal="center" vertical="center" wrapText="1"/>
    </xf>
    <xf numFmtId="0" fontId="5" fillId="0" borderId="0" xfId="0" applyFont="1" applyBorder="1" applyAlignment="1">
      <alignment horizontal="center" vertical="center"/>
    </xf>
    <xf numFmtId="1" fontId="11" fillId="0" borderId="5" xfId="0" applyNumberFormat="1" applyFont="1" applyBorder="1" applyAlignment="1">
      <alignment horizontal="center" vertical="center"/>
    </xf>
    <xf numFmtId="0" fontId="11" fillId="0" borderId="5" xfId="0" applyFont="1" applyBorder="1" applyAlignment="1">
      <alignment horizontal="center" vertical="center"/>
    </xf>
    <xf numFmtId="0" fontId="5" fillId="0" borderId="5" xfId="0" applyFont="1" applyBorder="1" applyAlignment="1">
      <alignment horizontal="center" vertical="center"/>
    </xf>
    <xf numFmtId="0" fontId="4" fillId="0" borderId="5" xfId="0" applyFont="1" applyBorder="1" applyAlignment="1">
      <alignment horizontal="center" vertical="center"/>
    </xf>
    <xf numFmtId="0" fontId="6" fillId="4" borderId="5" xfId="0" applyFont="1" applyFill="1" applyBorder="1" applyAlignment="1">
      <alignment horizontal="center" vertical="center"/>
    </xf>
    <xf numFmtId="0" fontId="4" fillId="0" borderId="0" xfId="0" applyFont="1" applyAlignment="1">
      <alignment horizontal="center" vertical="center"/>
    </xf>
    <xf numFmtId="0" fontId="12" fillId="0" borderId="5" xfId="0" applyFont="1" applyBorder="1" applyAlignment="1">
      <alignment horizontal="center" vertical="center"/>
    </xf>
    <xf numFmtId="1" fontId="12" fillId="0" borderId="5" xfId="0" applyNumberFormat="1" applyFont="1" applyBorder="1" applyAlignment="1">
      <alignment horizontal="center" vertical="center"/>
    </xf>
    <xf numFmtId="164" fontId="12" fillId="0" borderId="5" xfId="0" applyNumberFormat="1" applyFont="1" applyBorder="1" applyAlignment="1">
      <alignment horizontal="center" vertical="center"/>
    </xf>
    <xf numFmtId="0" fontId="7" fillId="4" borderId="5" xfId="0" applyFont="1" applyFill="1" applyBorder="1" applyAlignment="1">
      <alignment horizontal="center" vertical="center" wrapText="1"/>
    </xf>
    <xf numFmtId="0" fontId="5" fillId="0" borderId="0" xfId="0" applyFont="1" applyBorder="1" applyAlignment="1">
      <alignment horizontal="center" vertical="center"/>
    </xf>
    <xf numFmtId="0" fontId="4" fillId="0" borderId="0" xfId="0" applyFont="1" applyAlignment="1">
      <alignment horizontal="center" vertical="center"/>
    </xf>
    <xf numFmtId="0" fontId="4" fillId="0" borderId="5" xfId="0" applyFont="1" applyBorder="1" applyAlignment="1">
      <alignment horizontal="center" vertical="center"/>
    </xf>
    <xf numFmtId="0" fontId="6" fillId="4" borderId="5" xfId="0" applyFont="1" applyFill="1" applyBorder="1" applyAlignment="1">
      <alignment horizontal="center" vertical="center"/>
    </xf>
    <xf numFmtId="0" fontId="5" fillId="0" borderId="5" xfId="0" applyFont="1" applyBorder="1" applyAlignment="1">
      <alignment horizontal="center" vertical="center"/>
    </xf>
    <xf numFmtId="0" fontId="11" fillId="0" borderId="5" xfId="0" applyFont="1" applyBorder="1" applyAlignment="1">
      <alignment horizontal="center" vertical="center"/>
    </xf>
    <xf numFmtId="1" fontId="11" fillId="0" borderId="5" xfId="0" applyNumberFormat="1" applyFont="1" applyBorder="1" applyAlignment="1">
      <alignment horizontal="center" vertical="center"/>
    </xf>
    <xf numFmtId="0" fontId="12" fillId="0" borderId="5" xfId="0" applyFont="1" applyBorder="1" applyAlignment="1">
      <alignment horizontal="center" vertical="center"/>
    </xf>
    <xf numFmtId="164" fontId="12" fillId="0" borderId="5" xfId="0" applyNumberFormat="1" applyFont="1" applyBorder="1" applyAlignment="1">
      <alignment horizontal="center" vertical="center"/>
    </xf>
    <xf numFmtId="1" fontId="12" fillId="0" borderId="5" xfId="0" applyNumberFormat="1" applyFont="1" applyBorder="1" applyAlignment="1">
      <alignment horizontal="center" vertical="center"/>
    </xf>
    <xf numFmtId="0" fontId="7" fillId="4" borderId="5" xfId="0" applyFont="1" applyFill="1" applyBorder="1" applyAlignment="1">
      <alignment horizontal="center" vertical="center" wrapText="1"/>
    </xf>
    <xf numFmtId="0" fontId="5" fillId="0" borderId="0" xfId="0" applyFont="1" applyBorder="1" applyAlignment="1">
      <alignment horizontal="center" vertical="center"/>
    </xf>
    <xf numFmtId="1" fontId="11" fillId="0" borderId="5" xfId="0" applyNumberFormat="1" applyFont="1" applyBorder="1" applyAlignment="1">
      <alignment horizontal="center" vertical="center"/>
    </xf>
    <xf numFmtId="0" fontId="11" fillId="0" borderId="5" xfId="0" applyFont="1" applyBorder="1" applyAlignment="1">
      <alignment horizontal="center" vertical="center"/>
    </xf>
    <xf numFmtId="0" fontId="5" fillId="0" borderId="5" xfId="0" applyFont="1" applyBorder="1" applyAlignment="1">
      <alignment horizontal="center" vertical="center"/>
    </xf>
    <xf numFmtId="0" fontId="4" fillId="0" borderId="5" xfId="0" applyFont="1" applyBorder="1" applyAlignment="1">
      <alignment horizontal="center" vertical="center"/>
    </xf>
    <xf numFmtId="0" fontId="6" fillId="4" borderId="5" xfId="0" applyFont="1" applyFill="1" applyBorder="1" applyAlignment="1">
      <alignment horizontal="center" vertical="center"/>
    </xf>
    <xf numFmtId="0" fontId="4" fillId="0" borderId="0" xfId="0" applyFont="1" applyAlignment="1">
      <alignment horizontal="center" vertical="center"/>
    </xf>
    <xf numFmtId="0" fontId="12" fillId="0" borderId="5" xfId="0" applyFont="1" applyBorder="1" applyAlignment="1">
      <alignment horizontal="center" vertical="center"/>
    </xf>
    <xf numFmtId="1" fontId="12" fillId="0" borderId="5" xfId="0" applyNumberFormat="1" applyFont="1" applyBorder="1" applyAlignment="1">
      <alignment horizontal="center" vertical="center"/>
    </xf>
    <xf numFmtId="164" fontId="12" fillId="0" borderId="5" xfId="0" applyNumberFormat="1" applyFont="1" applyBorder="1" applyAlignment="1">
      <alignment horizontal="center" vertical="center"/>
    </xf>
    <xf numFmtId="0" fontId="7" fillId="4" borderId="5" xfId="0" applyFont="1" applyFill="1" applyBorder="1" applyAlignment="1">
      <alignment horizontal="center" vertical="center" wrapText="1"/>
    </xf>
    <xf numFmtId="0" fontId="5" fillId="0" borderId="0" xfId="0" applyFont="1" applyBorder="1" applyAlignment="1">
      <alignment horizontal="center" vertical="center"/>
    </xf>
    <xf numFmtId="0" fontId="4" fillId="0" borderId="0" xfId="0" applyFont="1" applyAlignment="1">
      <alignment horizontal="center" vertical="center"/>
    </xf>
    <xf numFmtId="0" fontId="4" fillId="0" borderId="5" xfId="0" applyFont="1" applyBorder="1" applyAlignment="1">
      <alignment horizontal="center" vertical="center"/>
    </xf>
    <xf numFmtId="0" fontId="6" fillId="4" borderId="5" xfId="0" applyFont="1" applyFill="1" applyBorder="1" applyAlignment="1">
      <alignment horizontal="center" vertical="center"/>
    </xf>
    <xf numFmtId="0" fontId="5" fillId="0" borderId="5" xfId="0" applyFont="1" applyBorder="1" applyAlignment="1">
      <alignment horizontal="center" vertical="center"/>
    </xf>
    <xf numFmtId="0" fontId="11" fillId="0" borderId="5" xfId="0" applyFont="1" applyBorder="1" applyAlignment="1">
      <alignment horizontal="center" vertical="center"/>
    </xf>
    <xf numFmtId="1" fontId="11" fillId="0" borderId="5" xfId="0" applyNumberFormat="1" applyFont="1" applyBorder="1" applyAlignment="1">
      <alignment horizontal="center" vertical="center"/>
    </xf>
    <xf numFmtId="0" fontId="12" fillId="0" borderId="5" xfId="0" applyFont="1" applyBorder="1" applyAlignment="1">
      <alignment horizontal="center" vertical="center"/>
    </xf>
    <xf numFmtId="164" fontId="12" fillId="0" borderId="5" xfId="0" applyNumberFormat="1" applyFont="1" applyBorder="1" applyAlignment="1">
      <alignment horizontal="center" vertical="center"/>
    </xf>
    <xf numFmtId="1" fontId="12" fillId="0" borderId="5" xfId="0" applyNumberFormat="1" applyFont="1" applyBorder="1" applyAlignment="1">
      <alignment horizontal="center" vertical="center"/>
    </xf>
    <xf numFmtId="0" fontId="7" fillId="4" borderId="5" xfId="0" applyFont="1" applyFill="1" applyBorder="1" applyAlignment="1">
      <alignment horizontal="center" vertical="center" wrapText="1"/>
    </xf>
    <xf numFmtId="0" fontId="5" fillId="0" borderId="0" xfId="0" applyFont="1" applyBorder="1" applyAlignment="1">
      <alignment horizontal="center" vertical="center"/>
    </xf>
    <xf numFmtId="1" fontId="11" fillId="0" borderId="5" xfId="0" applyNumberFormat="1" applyFont="1" applyBorder="1" applyAlignment="1">
      <alignment horizontal="center" vertical="center"/>
    </xf>
    <xf numFmtId="0" fontId="11" fillId="0" borderId="5" xfId="0" applyFont="1" applyBorder="1" applyAlignment="1">
      <alignment horizontal="center" vertical="center"/>
    </xf>
    <xf numFmtId="0" fontId="5" fillId="0" borderId="5" xfId="0" applyFont="1" applyBorder="1" applyAlignment="1">
      <alignment horizontal="center" vertical="center"/>
    </xf>
    <xf numFmtId="0" fontId="4" fillId="0" borderId="5" xfId="0" applyFont="1" applyBorder="1" applyAlignment="1">
      <alignment horizontal="center" vertical="center"/>
    </xf>
    <xf numFmtId="0" fontId="6" fillId="4" borderId="5" xfId="0" applyFont="1" applyFill="1" applyBorder="1" applyAlignment="1">
      <alignment horizontal="center" vertical="center"/>
    </xf>
    <xf numFmtId="0" fontId="4" fillId="0" borderId="0" xfId="0" applyFont="1" applyAlignment="1">
      <alignment horizontal="center" vertical="center"/>
    </xf>
    <xf numFmtId="0" fontId="12" fillId="0" borderId="5" xfId="0" applyFont="1" applyBorder="1" applyAlignment="1">
      <alignment horizontal="center" vertical="center"/>
    </xf>
    <xf numFmtId="1" fontId="12" fillId="0" borderId="5" xfId="0" applyNumberFormat="1" applyFont="1" applyBorder="1" applyAlignment="1">
      <alignment horizontal="center" vertical="center"/>
    </xf>
    <xf numFmtId="164" fontId="12" fillId="0" borderId="5" xfId="0" applyNumberFormat="1" applyFont="1" applyBorder="1" applyAlignment="1">
      <alignment horizontal="center" vertical="center"/>
    </xf>
    <xf numFmtId="0" fontId="7" fillId="4" borderId="5" xfId="0" applyFont="1" applyFill="1" applyBorder="1" applyAlignment="1">
      <alignment horizontal="center" vertical="center" wrapText="1"/>
    </xf>
    <xf numFmtId="0" fontId="5" fillId="0" borderId="0" xfId="0" applyFont="1" applyBorder="1" applyAlignment="1">
      <alignment horizontal="center" vertical="center"/>
    </xf>
    <xf numFmtId="0" fontId="4" fillId="0" borderId="0" xfId="0" applyFont="1" applyAlignment="1">
      <alignment horizontal="center" vertical="center"/>
    </xf>
    <xf numFmtId="0" fontId="4" fillId="0" borderId="5" xfId="0" applyFont="1" applyBorder="1" applyAlignment="1">
      <alignment horizontal="center" vertical="center"/>
    </xf>
    <xf numFmtId="0" fontId="6" fillId="4" borderId="5" xfId="0" applyFont="1" applyFill="1" applyBorder="1" applyAlignment="1">
      <alignment horizontal="center" vertical="center"/>
    </xf>
    <xf numFmtId="0" fontId="5" fillId="0" borderId="5" xfId="0" applyFont="1" applyBorder="1" applyAlignment="1">
      <alignment horizontal="center" vertical="center"/>
    </xf>
    <xf numFmtId="0" fontId="11" fillId="0" borderId="5" xfId="0" applyFont="1" applyBorder="1" applyAlignment="1">
      <alignment horizontal="center" vertical="center"/>
    </xf>
    <xf numFmtId="1" fontId="11" fillId="0" borderId="5" xfId="0" applyNumberFormat="1" applyFont="1" applyBorder="1" applyAlignment="1">
      <alignment horizontal="center" vertical="center"/>
    </xf>
    <xf numFmtId="0" fontId="12" fillId="0" borderId="5" xfId="0" applyFont="1" applyBorder="1" applyAlignment="1">
      <alignment horizontal="center" vertical="center"/>
    </xf>
    <xf numFmtId="164" fontId="12" fillId="0" borderId="5" xfId="0" applyNumberFormat="1" applyFont="1" applyBorder="1" applyAlignment="1">
      <alignment horizontal="center" vertical="center"/>
    </xf>
    <xf numFmtId="1" fontId="12" fillId="0" borderId="5" xfId="0" applyNumberFormat="1" applyFont="1" applyBorder="1" applyAlignment="1">
      <alignment horizontal="center" vertical="center"/>
    </xf>
    <xf numFmtId="0" fontId="7" fillId="4" borderId="5" xfId="0" applyFont="1" applyFill="1" applyBorder="1" applyAlignment="1">
      <alignment horizontal="center" vertical="center" wrapText="1"/>
    </xf>
    <xf numFmtId="0" fontId="5" fillId="0" borderId="0" xfId="0" applyFont="1" applyBorder="1" applyAlignment="1">
      <alignment horizontal="center" vertical="center"/>
    </xf>
    <xf numFmtId="0" fontId="4" fillId="0" borderId="0" xfId="0" applyFont="1" applyAlignment="1">
      <alignment horizontal="center" vertical="center"/>
    </xf>
    <xf numFmtId="0" fontId="4" fillId="0" borderId="5" xfId="0" applyFont="1" applyBorder="1" applyAlignment="1">
      <alignment horizontal="center" vertical="center"/>
    </xf>
    <xf numFmtId="0" fontId="6" fillId="4" borderId="5" xfId="0" applyFont="1" applyFill="1" applyBorder="1" applyAlignment="1">
      <alignment horizontal="center" vertical="center"/>
    </xf>
    <xf numFmtId="0" fontId="5" fillId="0" borderId="5" xfId="0" applyFont="1" applyBorder="1" applyAlignment="1">
      <alignment horizontal="center" vertical="center"/>
    </xf>
    <xf numFmtId="0" fontId="11" fillId="0" borderId="5" xfId="0" applyFont="1" applyBorder="1" applyAlignment="1">
      <alignment horizontal="center" vertical="center"/>
    </xf>
    <xf numFmtId="1" fontId="11" fillId="0" borderId="5" xfId="0" applyNumberFormat="1" applyFont="1" applyBorder="1" applyAlignment="1">
      <alignment horizontal="center" vertical="center"/>
    </xf>
    <xf numFmtId="0" fontId="12" fillId="0" borderId="5" xfId="0" applyFont="1" applyBorder="1" applyAlignment="1">
      <alignment horizontal="center" vertical="center"/>
    </xf>
    <xf numFmtId="164" fontId="12" fillId="0" borderId="5" xfId="0" applyNumberFormat="1" applyFont="1" applyBorder="1" applyAlignment="1">
      <alignment horizontal="center" vertical="center"/>
    </xf>
    <xf numFmtId="1" fontId="12" fillId="0" borderId="5" xfId="0" applyNumberFormat="1" applyFont="1" applyBorder="1" applyAlignment="1">
      <alignment horizontal="center" vertical="center"/>
    </xf>
    <xf numFmtId="0" fontId="7" fillId="4" borderId="5" xfId="0" applyFont="1" applyFill="1" applyBorder="1" applyAlignment="1">
      <alignment horizontal="center" vertical="center" wrapText="1"/>
    </xf>
    <xf numFmtId="0" fontId="5" fillId="0" borderId="0" xfId="0" applyFont="1" applyBorder="1" applyAlignment="1">
      <alignment horizontal="center" vertical="center"/>
    </xf>
    <xf numFmtId="1" fontId="11" fillId="0" borderId="5" xfId="0" applyNumberFormat="1" applyFont="1" applyBorder="1" applyAlignment="1">
      <alignment horizontal="center" vertical="center"/>
    </xf>
    <xf numFmtId="0" fontId="11" fillId="0" borderId="5" xfId="0" applyFont="1" applyBorder="1" applyAlignment="1">
      <alignment horizontal="center" vertical="center"/>
    </xf>
    <xf numFmtId="0" fontId="5" fillId="0" borderId="5" xfId="0" applyFont="1" applyBorder="1" applyAlignment="1">
      <alignment horizontal="center" vertical="center"/>
    </xf>
    <xf numFmtId="0" fontId="4" fillId="0" borderId="5" xfId="0" applyFont="1" applyBorder="1" applyAlignment="1">
      <alignment horizontal="center" vertical="center"/>
    </xf>
    <xf numFmtId="0" fontId="6" fillId="4" borderId="5" xfId="0" applyFont="1" applyFill="1" applyBorder="1" applyAlignment="1">
      <alignment horizontal="center" vertical="center"/>
    </xf>
    <xf numFmtId="0" fontId="4" fillId="0" borderId="0" xfId="0" applyFont="1" applyAlignment="1">
      <alignment horizontal="center" vertical="center"/>
    </xf>
    <xf numFmtId="0" fontId="12" fillId="0" borderId="5" xfId="0" applyFont="1" applyBorder="1" applyAlignment="1">
      <alignment horizontal="center" vertical="center"/>
    </xf>
    <xf numFmtId="1" fontId="12" fillId="0" borderId="5" xfId="0" applyNumberFormat="1" applyFont="1" applyBorder="1" applyAlignment="1">
      <alignment horizontal="center" vertical="center"/>
    </xf>
    <xf numFmtId="164" fontId="12" fillId="0" borderId="5" xfId="0" applyNumberFormat="1" applyFont="1" applyBorder="1" applyAlignment="1">
      <alignment horizontal="center" vertical="center"/>
    </xf>
    <xf numFmtId="0" fontId="7" fillId="4" borderId="5" xfId="0" applyFont="1" applyFill="1" applyBorder="1" applyAlignment="1">
      <alignment horizontal="center" vertical="center" wrapText="1"/>
    </xf>
    <xf numFmtId="0" fontId="5" fillId="0" borderId="0" xfId="0" applyFont="1" applyBorder="1" applyAlignment="1">
      <alignment horizontal="center" vertical="center"/>
    </xf>
    <xf numFmtId="0" fontId="4" fillId="0" borderId="0" xfId="0" applyFont="1" applyAlignment="1">
      <alignment horizontal="center" vertical="center"/>
    </xf>
    <xf numFmtId="0" fontId="4" fillId="0" borderId="5" xfId="0" applyFont="1" applyBorder="1" applyAlignment="1">
      <alignment horizontal="center" vertical="center"/>
    </xf>
    <xf numFmtId="0" fontId="6" fillId="4" borderId="5" xfId="0" applyFont="1" applyFill="1" applyBorder="1" applyAlignment="1">
      <alignment horizontal="center" vertical="center"/>
    </xf>
    <xf numFmtId="0" fontId="5" fillId="0" borderId="5" xfId="0" applyFont="1" applyBorder="1" applyAlignment="1">
      <alignment horizontal="center" vertical="center"/>
    </xf>
    <xf numFmtId="0" fontId="11" fillId="0" borderId="5" xfId="0" applyFont="1" applyBorder="1" applyAlignment="1">
      <alignment horizontal="center" vertical="center"/>
    </xf>
    <xf numFmtId="1" fontId="11" fillId="0" borderId="5" xfId="0" applyNumberFormat="1" applyFont="1" applyBorder="1" applyAlignment="1">
      <alignment horizontal="center" vertical="center"/>
    </xf>
    <xf numFmtId="0" fontId="12" fillId="0" borderId="5" xfId="0" applyFont="1" applyBorder="1" applyAlignment="1">
      <alignment horizontal="center" vertical="center"/>
    </xf>
    <xf numFmtId="164" fontId="12" fillId="0" borderId="5" xfId="0" applyNumberFormat="1" applyFont="1" applyBorder="1" applyAlignment="1">
      <alignment horizontal="center" vertical="center"/>
    </xf>
    <xf numFmtId="1" fontId="12" fillId="0" borderId="5" xfId="0" applyNumberFormat="1" applyFont="1" applyBorder="1" applyAlignment="1">
      <alignment horizontal="center" vertical="center"/>
    </xf>
    <xf numFmtId="0" fontId="7" fillId="4" borderId="5" xfId="0" applyFont="1" applyFill="1" applyBorder="1" applyAlignment="1">
      <alignment horizontal="center" vertical="center" wrapText="1"/>
    </xf>
    <xf numFmtId="0" fontId="5" fillId="0" borderId="0" xfId="0" applyFont="1" applyBorder="1" applyAlignment="1">
      <alignment horizontal="center" vertical="center"/>
    </xf>
    <xf numFmtId="0" fontId="4" fillId="0" borderId="0" xfId="0" applyFont="1" applyAlignment="1">
      <alignment horizontal="center" vertical="center"/>
    </xf>
    <xf numFmtId="0" fontId="4" fillId="0" borderId="5" xfId="0" applyFont="1" applyBorder="1" applyAlignment="1">
      <alignment horizontal="center" vertical="center"/>
    </xf>
    <xf numFmtId="0" fontId="6" fillId="4" borderId="5" xfId="0" applyFont="1" applyFill="1" applyBorder="1" applyAlignment="1">
      <alignment horizontal="center" vertical="center"/>
    </xf>
    <xf numFmtId="0" fontId="5" fillId="0" borderId="5" xfId="0" applyFont="1" applyBorder="1" applyAlignment="1">
      <alignment horizontal="center" vertical="center"/>
    </xf>
    <xf numFmtId="0" fontId="11" fillId="0" borderId="5" xfId="0" applyFont="1" applyBorder="1" applyAlignment="1">
      <alignment horizontal="center" vertical="center"/>
    </xf>
    <xf numFmtId="1" fontId="11" fillId="0" borderId="5" xfId="0" applyNumberFormat="1" applyFont="1" applyBorder="1" applyAlignment="1">
      <alignment horizontal="center" vertical="center"/>
    </xf>
    <xf numFmtId="0" fontId="12" fillId="0" borderId="5" xfId="0" applyFont="1" applyBorder="1" applyAlignment="1">
      <alignment horizontal="center" vertical="center"/>
    </xf>
    <xf numFmtId="164" fontId="12" fillId="0" borderId="5" xfId="0" applyNumberFormat="1" applyFont="1" applyBorder="1" applyAlignment="1">
      <alignment horizontal="center" vertical="center"/>
    </xf>
    <xf numFmtId="1" fontId="12" fillId="0" borderId="5" xfId="0" applyNumberFormat="1" applyFont="1" applyBorder="1" applyAlignment="1">
      <alignment horizontal="center" vertical="center"/>
    </xf>
    <xf numFmtId="0" fontId="7" fillId="4" borderId="5" xfId="0" applyFont="1" applyFill="1" applyBorder="1" applyAlignment="1">
      <alignment horizontal="center" vertical="center" wrapText="1"/>
    </xf>
    <xf numFmtId="0" fontId="5" fillId="0" borderId="0" xfId="0" applyFont="1" applyBorder="1" applyAlignment="1">
      <alignment horizontal="center" vertical="center"/>
    </xf>
    <xf numFmtId="1" fontId="11" fillId="0" borderId="5" xfId="0" applyNumberFormat="1" applyFont="1" applyBorder="1" applyAlignment="1">
      <alignment horizontal="center" vertical="center"/>
    </xf>
    <xf numFmtId="0" fontId="11" fillId="0" borderId="5" xfId="0" applyFont="1" applyBorder="1" applyAlignment="1">
      <alignment horizontal="center" vertical="center"/>
    </xf>
    <xf numFmtId="0" fontId="5" fillId="0" borderId="5" xfId="0" applyFont="1" applyBorder="1" applyAlignment="1">
      <alignment horizontal="center" vertical="center"/>
    </xf>
    <xf numFmtId="0" fontId="4" fillId="0" borderId="5" xfId="0" applyFont="1" applyBorder="1" applyAlignment="1">
      <alignment horizontal="center" vertical="center"/>
    </xf>
    <xf numFmtId="0" fontId="6" fillId="4" borderId="5" xfId="0" applyFont="1" applyFill="1" applyBorder="1" applyAlignment="1">
      <alignment horizontal="center" vertical="center"/>
    </xf>
    <xf numFmtId="0" fontId="4" fillId="0" borderId="0" xfId="0" applyFont="1" applyAlignment="1">
      <alignment horizontal="center" vertical="center"/>
    </xf>
    <xf numFmtId="0" fontId="12" fillId="0" borderId="5" xfId="0" applyFont="1" applyBorder="1" applyAlignment="1">
      <alignment horizontal="center" vertical="center"/>
    </xf>
    <xf numFmtId="1" fontId="12" fillId="0" borderId="5" xfId="0" applyNumberFormat="1" applyFont="1" applyBorder="1" applyAlignment="1">
      <alignment horizontal="center" vertical="center"/>
    </xf>
    <xf numFmtId="164" fontId="12" fillId="0" borderId="5" xfId="0" applyNumberFormat="1" applyFont="1" applyBorder="1" applyAlignment="1">
      <alignment horizontal="center" vertical="center"/>
    </xf>
    <xf numFmtId="0" fontId="7" fillId="4" borderId="5" xfId="0" applyFont="1" applyFill="1" applyBorder="1" applyAlignment="1">
      <alignment horizontal="center" vertical="center" wrapText="1"/>
    </xf>
    <xf numFmtId="0" fontId="5" fillId="0" borderId="0" xfId="0" applyFont="1" applyBorder="1" applyAlignment="1">
      <alignment horizontal="center" vertical="center"/>
    </xf>
    <xf numFmtId="0" fontId="4" fillId="0" borderId="0" xfId="0" applyFont="1" applyAlignment="1">
      <alignment horizontal="center" vertical="center"/>
    </xf>
    <xf numFmtId="0" fontId="4" fillId="0" borderId="5" xfId="0" applyFont="1" applyBorder="1" applyAlignment="1">
      <alignment horizontal="center" vertical="center"/>
    </xf>
    <xf numFmtId="0" fontId="6" fillId="4" borderId="5" xfId="0" applyFont="1" applyFill="1" applyBorder="1" applyAlignment="1">
      <alignment horizontal="center" vertical="center"/>
    </xf>
    <xf numFmtId="0" fontId="5" fillId="0" borderId="5" xfId="0" applyFont="1" applyBorder="1" applyAlignment="1">
      <alignment horizontal="center" vertical="center"/>
    </xf>
    <xf numFmtId="0" fontId="11" fillId="0" borderId="5" xfId="0" applyFont="1" applyBorder="1" applyAlignment="1">
      <alignment horizontal="center" vertical="center"/>
    </xf>
    <xf numFmtId="1" fontId="11" fillId="0" borderId="5" xfId="0" applyNumberFormat="1" applyFont="1" applyBorder="1" applyAlignment="1">
      <alignment horizontal="center" vertical="center"/>
    </xf>
    <xf numFmtId="0" fontId="12" fillId="0" borderId="5" xfId="0" applyFont="1" applyBorder="1" applyAlignment="1">
      <alignment horizontal="center" vertical="center"/>
    </xf>
    <xf numFmtId="164" fontId="12" fillId="0" borderId="5" xfId="0" applyNumberFormat="1" applyFont="1" applyBorder="1" applyAlignment="1">
      <alignment horizontal="center" vertical="center"/>
    </xf>
    <xf numFmtId="1" fontId="12" fillId="0" borderId="5" xfId="0" applyNumberFormat="1" applyFont="1" applyBorder="1" applyAlignment="1">
      <alignment horizontal="center" vertical="center"/>
    </xf>
    <xf numFmtId="0" fontId="7" fillId="4" borderId="5" xfId="0" applyFont="1" applyFill="1" applyBorder="1" applyAlignment="1">
      <alignment horizontal="center" vertical="center" wrapText="1"/>
    </xf>
    <xf numFmtId="0" fontId="5" fillId="0" borderId="0" xfId="0" applyFont="1" applyBorder="1" applyAlignment="1">
      <alignment horizontal="center" vertical="center"/>
    </xf>
    <xf numFmtId="0" fontId="4" fillId="0" borderId="0" xfId="0" applyFont="1" applyAlignment="1">
      <alignment horizontal="center" vertical="center"/>
    </xf>
    <xf numFmtId="0" fontId="4" fillId="0" borderId="5" xfId="0" applyFont="1" applyBorder="1" applyAlignment="1">
      <alignment horizontal="center" vertical="center"/>
    </xf>
    <xf numFmtId="0" fontId="6" fillId="4" borderId="5" xfId="0" applyFont="1" applyFill="1" applyBorder="1" applyAlignment="1">
      <alignment horizontal="center" vertical="center"/>
    </xf>
    <xf numFmtId="0" fontId="5" fillId="0" borderId="5" xfId="0" applyFont="1" applyBorder="1" applyAlignment="1">
      <alignment horizontal="center" vertical="center"/>
    </xf>
    <xf numFmtId="0" fontId="11" fillId="0" borderId="5" xfId="0" applyFont="1" applyBorder="1" applyAlignment="1">
      <alignment horizontal="center" vertical="center"/>
    </xf>
    <xf numFmtId="1" fontId="11" fillId="0" borderId="5" xfId="0" applyNumberFormat="1" applyFont="1" applyBorder="1" applyAlignment="1">
      <alignment horizontal="center" vertical="center"/>
    </xf>
    <xf numFmtId="0" fontId="12" fillId="0" borderId="5" xfId="0" applyFont="1" applyBorder="1" applyAlignment="1">
      <alignment horizontal="center" vertical="center"/>
    </xf>
    <xf numFmtId="164" fontId="12" fillId="0" borderId="5" xfId="0" applyNumberFormat="1" applyFont="1" applyBorder="1" applyAlignment="1">
      <alignment horizontal="center" vertical="center"/>
    </xf>
    <xf numFmtId="1" fontId="12" fillId="0" borderId="5" xfId="0" applyNumberFormat="1" applyFont="1" applyBorder="1" applyAlignment="1">
      <alignment horizontal="center" vertical="center"/>
    </xf>
    <xf numFmtId="0" fontId="7" fillId="4" borderId="5" xfId="0" applyFont="1" applyFill="1" applyBorder="1" applyAlignment="1">
      <alignment horizontal="center" vertical="center" wrapText="1"/>
    </xf>
    <xf numFmtId="0" fontId="5" fillId="0" borderId="0" xfId="0" applyFont="1" applyBorder="1" applyAlignment="1">
      <alignment horizontal="center" vertical="center"/>
    </xf>
    <xf numFmtId="1" fontId="11" fillId="0" borderId="5" xfId="0" applyNumberFormat="1" applyFont="1" applyBorder="1" applyAlignment="1">
      <alignment horizontal="center" vertical="center"/>
    </xf>
    <xf numFmtId="0" fontId="11" fillId="0" borderId="5" xfId="0" applyFont="1" applyBorder="1" applyAlignment="1">
      <alignment horizontal="center" vertical="center"/>
    </xf>
    <xf numFmtId="0" fontId="5" fillId="0" borderId="5" xfId="0" applyFont="1" applyBorder="1" applyAlignment="1">
      <alignment horizontal="center" vertical="center"/>
    </xf>
    <xf numFmtId="0" fontId="4" fillId="0" borderId="5" xfId="0" applyFont="1" applyBorder="1" applyAlignment="1">
      <alignment horizontal="center" vertical="center"/>
    </xf>
    <xf numFmtId="0" fontId="6" fillId="4" borderId="5" xfId="0" applyFont="1" applyFill="1" applyBorder="1" applyAlignment="1">
      <alignment horizontal="center" vertical="center"/>
    </xf>
    <xf numFmtId="0" fontId="4" fillId="0" borderId="0" xfId="0" applyFont="1" applyAlignment="1">
      <alignment horizontal="center" vertical="center"/>
    </xf>
    <xf numFmtId="0" fontId="12" fillId="0" borderId="5" xfId="0" applyFont="1" applyBorder="1" applyAlignment="1">
      <alignment horizontal="center" vertical="center"/>
    </xf>
    <xf numFmtId="1" fontId="12" fillId="0" borderId="5" xfId="0" applyNumberFormat="1" applyFont="1" applyBorder="1" applyAlignment="1">
      <alignment horizontal="center" vertical="center"/>
    </xf>
    <xf numFmtId="164" fontId="12" fillId="0" borderId="5" xfId="0" applyNumberFormat="1" applyFont="1" applyBorder="1" applyAlignment="1">
      <alignment horizontal="center" vertical="center"/>
    </xf>
    <xf numFmtId="0" fontId="7" fillId="4" borderId="5" xfId="0" applyFont="1" applyFill="1" applyBorder="1" applyAlignment="1">
      <alignment horizontal="center" vertical="center" wrapText="1"/>
    </xf>
    <xf numFmtId="0" fontId="5" fillId="0" borderId="0" xfId="0" applyFont="1" applyBorder="1" applyAlignment="1">
      <alignment horizontal="center" vertical="center"/>
    </xf>
    <xf numFmtId="1" fontId="11" fillId="0" borderId="5" xfId="0" applyNumberFormat="1" applyFont="1" applyBorder="1" applyAlignment="1">
      <alignment horizontal="center" vertical="center"/>
    </xf>
    <xf numFmtId="0" fontId="11" fillId="0" borderId="5" xfId="0" applyFont="1" applyBorder="1" applyAlignment="1">
      <alignment horizontal="center" vertical="center"/>
    </xf>
    <xf numFmtId="0" fontId="5" fillId="0" borderId="5" xfId="0" applyFont="1" applyBorder="1" applyAlignment="1">
      <alignment horizontal="center" vertical="center"/>
    </xf>
    <xf numFmtId="0" fontId="4" fillId="0" borderId="5" xfId="0" applyFont="1" applyBorder="1" applyAlignment="1">
      <alignment horizontal="center" vertical="center"/>
    </xf>
    <xf numFmtId="0" fontId="6" fillId="4" borderId="5" xfId="0" applyFont="1" applyFill="1" applyBorder="1" applyAlignment="1">
      <alignment horizontal="center" vertical="center"/>
    </xf>
    <xf numFmtId="0" fontId="4" fillId="0" borderId="0" xfId="0" applyFont="1" applyAlignment="1">
      <alignment horizontal="center" vertical="center"/>
    </xf>
    <xf numFmtId="0" fontId="12" fillId="0" borderId="5" xfId="0" applyFont="1" applyBorder="1" applyAlignment="1">
      <alignment horizontal="center" vertical="center"/>
    </xf>
    <xf numFmtId="1" fontId="12" fillId="0" borderId="5" xfId="0" applyNumberFormat="1" applyFont="1" applyBorder="1" applyAlignment="1">
      <alignment horizontal="center" vertical="center"/>
    </xf>
    <xf numFmtId="164" fontId="12" fillId="0" borderId="5" xfId="0" applyNumberFormat="1" applyFont="1" applyBorder="1" applyAlignment="1">
      <alignment horizontal="center" vertical="center"/>
    </xf>
    <xf numFmtId="0" fontId="7" fillId="4" borderId="5" xfId="0" applyFont="1" applyFill="1" applyBorder="1" applyAlignment="1">
      <alignment horizontal="center" vertical="center" wrapText="1"/>
    </xf>
    <xf numFmtId="0" fontId="5" fillId="0" borderId="0" xfId="0" applyFont="1" applyBorder="1" applyAlignment="1">
      <alignment horizontal="center" vertical="center"/>
    </xf>
    <xf numFmtId="0" fontId="4" fillId="0" borderId="0" xfId="0" applyFont="1" applyAlignment="1">
      <alignment horizontal="center" vertical="center"/>
    </xf>
    <xf numFmtId="0" fontId="4" fillId="0" borderId="5" xfId="0" applyFont="1" applyBorder="1" applyAlignment="1">
      <alignment horizontal="center" vertical="center"/>
    </xf>
    <xf numFmtId="0" fontId="6" fillId="4" borderId="5" xfId="0" applyFont="1" applyFill="1" applyBorder="1" applyAlignment="1">
      <alignment horizontal="center" vertical="center"/>
    </xf>
    <xf numFmtId="0" fontId="5" fillId="0" borderId="5" xfId="0" applyFont="1" applyBorder="1" applyAlignment="1">
      <alignment horizontal="center" vertical="center"/>
    </xf>
    <xf numFmtId="0" fontId="11" fillId="0" borderId="5" xfId="0" applyFont="1" applyBorder="1" applyAlignment="1">
      <alignment horizontal="center" vertical="center"/>
    </xf>
    <xf numFmtId="1" fontId="11" fillId="0" borderId="5" xfId="0" applyNumberFormat="1" applyFont="1" applyBorder="1" applyAlignment="1">
      <alignment horizontal="center" vertical="center"/>
    </xf>
    <xf numFmtId="0" fontId="12" fillId="0" borderId="5" xfId="0" applyFont="1" applyBorder="1" applyAlignment="1">
      <alignment horizontal="center" vertical="center"/>
    </xf>
    <xf numFmtId="164" fontId="12" fillId="0" borderId="5" xfId="0" applyNumberFormat="1" applyFont="1" applyBorder="1" applyAlignment="1">
      <alignment horizontal="center" vertical="center"/>
    </xf>
    <xf numFmtId="1" fontId="12" fillId="0" borderId="5" xfId="0" applyNumberFormat="1" applyFont="1" applyBorder="1" applyAlignment="1">
      <alignment horizontal="center" vertical="center"/>
    </xf>
    <xf numFmtId="0" fontId="7" fillId="4" borderId="5" xfId="0" applyFont="1" applyFill="1" applyBorder="1" applyAlignment="1">
      <alignment horizontal="center" vertical="center" wrapText="1"/>
    </xf>
    <xf numFmtId="0" fontId="5" fillId="0" borderId="0" xfId="0" applyFont="1" applyBorder="1" applyAlignment="1">
      <alignment horizontal="center" vertical="center"/>
    </xf>
    <xf numFmtId="1" fontId="11" fillId="0" borderId="5" xfId="0" applyNumberFormat="1" applyFont="1" applyBorder="1" applyAlignment="1">
      <alignment horizontal="center" vertical="center"/>
    </xf>
    <xf numFmtId="0" fontId="11" fillId="0" borderId="5" xfId="0" applyFont="1" applyBorder="1" applyAlignment="1">
      <alignment horizontal="center" vertical="center"/>
    </xf>
    <xf numFmtId="0" fontId="5" fillId="0" borderId="5" xfId="0" applyFont="1" applyBorder="1" applyAlignment="1">
      <alignment horizontal="center" vertical="center"/>
    </xf>
    <xf numFmtId="0" fontId="4" fillId="0" borderId="5" xfId="0" applyFont="1" applyBorder="1" applyAlignment="1">
      <alignment horizontal="center" vertical="center"/>
    </xf>
    <xf numFmtId="0" fontId="6" fillId="4" borderId="5" xfId="0" applyFont="1" applyFill="1" applyBorder="1" applyAlignment="1">
      <alignment horizontal="center" vertical="center"/>
    </xf>
    <xf numFmtId="0" fontId="4" fillId="0" borderId="0" xfId="0" applyFont="1" applyAlignment="1">
      <alignment horizontal="center" vertical="center"/>
    </xf>
    <xf numFmtId="0" fontId="12" fillId="0" borderId="5" xfId="0" applyFont="1" applyBorder="1" applyAlignment="1">
      <alignment horizontal="center" vertical="center"/>
    </xf>
    <xf numFmtId="1" fontId="12" fillId="0" borderId="5" xfId="0" applyNumberFormat="1" applyFont="1" applyBorder="1" applyAlignment="1">
      <alignment horizontal="center" vertical="center"/>
    </xf>
    <xf numFmtId="164" fontId="12" fillId="0" borderId="5" xfId="0" applyNumberFormat="1" applyFont="1" applyBorder="1" applyAlignment="1">
      <alignment horizontal="center" vertical="center"/>
    </xf>
    <xf numFmtId="0" fontId="7" fillId="4" borderId="5" xfId="0" applyFont="1" applyFill="1" applyBorder="1" applyAlignment="1">
      <alignment horizontal="center" vertical="center" wrapText="1"/>
    </xf>
    <xf numFmtId="0" fontId="5" fillId="0" borderId="0" xfId="0" applyFont="1" applyBorder="1" applyAlignment="1">
      <alignment horizontal="center" vertical="center"/>
    </xf>
    <xf numFmtId="0" fontId="4" fillId="0" borderId="0" xfId="0" applyFont="1" applyAlignment="1">
      <alignment horizontal="center" vertical="center"/>
    </xf>
    <xf numFmtId="0" fontId="4" fillId="0" borderId="5" xfId="0" applyFont="1" applyBorder="1" applyAlignment="1">
      <alignment horizontal="center" vertical="center"/>
    </xf>
    <xf numFmtId="0" fontId="6" fillId="4" borderId="5" xfId="0" applyFont="1" applyFill="1" applyBorder="1" applyAlignment="1">
      <alignment horizontal="center" vertical="center"/>
    </xf>
    <xf numFmtId="0" fontId="5" fillId="0" borderId="5" xfId="0" applyFont="1" applyBorder="1" applyAlignment="1">
      <alignment horizontal="center" vertical="center"/>
    </xf>
    <xf numFmtId="0" fontId="11" fillId="0" borderId="5" xfId="0" applyFont="1" applyBorder="1" applyAlignment="1">
      <alignment horizontal="center" vertical="center"/>
    </xf>
    <xf numFmtId="1" fontId="11" fillId="0" borderId="5" xfId="0" applyNumberFormat="1" applyFont="1" applyBorder="1" applyAlignment="1">
      <alignment horizontal="center" vertical="center"/>
    </xf>
    <xf numFmtId="0" fontId="12" fillId="0" borderId="5" xfId="0" applyFont="1" applyBorder="1" applyAlignment="1">
      <alignment horizontal="center" vertical="center"/>
    </xf>
    <xf numFmtId="164" fontId="12" fillId="0" borderId="5" xfId="0" applyNumberFormat="1" applyFont="1" applyBorder="1" applyAlignment="1">
      <alignment horizontal="center" vertical="center"/>
    </xf>
    <xf numFmtId="1" fontId="12" fillId="0" borderId="5" xfId="0" applyNumberFormat="1" applyFont="1" applyBorder="1" applyAlignment="1">
      <alignment horizontal="center" vertical="center"/>
    </xf>
    <xf numFmtId="0" fontId="7" fillId="4" borderId="5" xfId="0" applyFont="1" applyFill="1" applyBorder="1" applyAlignment="1">
      <alignment horizontal="center" vertical="center" wrapText="1"/>
    </xf>
    <xf numFmtId="0" fontId="5" fillId="0" borderId="0" xfId="0" applyFont="1" applyBorder="1" applyAlignment="1">
      <alignment horizontal="center" vertical="center"/>
    </xf>
    <xf numFmtId="1" fontId="11" fillId="0" borderId="5" xfId="0" applyNumberFormat="1" applyFont="1" applyBorder="1" applyAlignment="1">
      <alignment horizontal="center" vertical="center"/>
    </xf>
    <xf numFmtId="0" fontId="11" fillId="0" borderId="5" xfId="0" applyFont="1" applyBorder="1" applyAlignment="1">
      <alignment horizontal="center" vertical="center"/>
    </xf>
    <xf numFmtId="0" fontId="5" fillId="0" borderId="5" xfId="0" applyFont="1" applyBorder="1" applyAlignment="1">
      <alignment horizontal="center" vertical="center"/>
    </xf>
    <xf numFmtId="0" fontId="4" fillId="0" borderId="5" xfId="0" applyFont="1" applyBorder="1" applyAlignment="1">
      <alignment horizontal="center" vertical="center"/>
    </xf>
    <xf numFmtId="0" fontId="6" fillId="4" borderId="5" xfId="0" applyFont="1" applyFill="1" applyBorder="1" applyAlignment="1">
      <alignment horizontal="center" vertical="center"/>
    </xf>
    <xf numFmtId="0" fontId="4" fillId="0" borderId="0" xfId="0" applyFont="1" applyAlignment="1">
      <alignment horizontal="center" vertical="center"/>
    </xf>
    <xf numFmtId="0" fontId="12" fillId="0" borderId="5" xfId="0" applyFont="1" applyBorder="1" applyAlignment="1">
      <alignment horizontal="center" vertical="center"/>
    </xf>
    <xf numFmtId="1" fontId="12" fillId="0" borderId="5" xfId="0" applyNumberFormat="1" applyFont="1" applyBorder="1" applyAlignment="1">
      <alignment horizontal="center" vertical="center"/>
    </xf>
    <xf numFmtId="164" fontId="12" fillId="0" borderId="5" xfId="0" applyNumberFormat="1" applyFont="1" applyBorder="1" applyAlignment="1">
      <alignment horizontal="center" vertical="center"/>
    </xf>
    <xf numFmtId="0" fontId="7" fillId="4" borderId="5" xfId="0" applyFont="1" applyFill="1" applyBorder="1" applyAlignment="1">
      <alignment horizontal="center" vertical="center" wrapText="1"/>
    </xf>
    <xf numFmtId="0" fontId="5" fillId="0" borderId="0" xfId="0" applyFont="1" applyBorder="1" applyAlignment="1">
      <alignment horizontal="center" vertical="center"/>
    </xf>
    <xf numFmtId="0" fontId="4" fillId="0" borderId="0" xfId="0" applyFont="1" applyAlignment="1">
      <alignment horizontal="center" vertical="center"/>
    </xf>
    <xf numFmtId="0" fontId="4" fillId="0" borderId="5" xfId="0" applyFont="1" applyBorder="1" applyAlignment="1">
      <alignment horizontal="center" vertical="center"/>
    </xf>
    <xf numFmtId="0" fontId="6" fillId="4" borderId="5" xfId="0" applyFont="1" applyFill="1" applyBorder="1" applyAlignment="1">
      <alignment horizontal="center" vertical="center"/>
    </xf>
    <xf numFmtId="0" fontId="5" fillId="0" borderId="5" xfId="0" applyFont="1" applyBorder="1" applyAlignment="1">
      <alignment horizontal="center" vertical="center"/>
    </xf>
    <xf numFmtId="0" fontId="11" fillId="0" borderId="5" xfId="0" applyFont="1" applyBorder="1" applyAlignment="1">
      <alignment horizontal="center" vertical="center"/>
    </xf>
    <xf numFmtId="1" fontId="11" fillId="0" borderId="5" xfId="0" applyNumberFormat="1" applyFont="1" applyBorder="1" applyAlignment="1">
      <alignment horizontal="center" vertical="center"/>
    </xf>
    <xf numFmtId="0" fontId="12" fillId="0" borderId="5" xfId="0" applyFont="1" applyBorder="1" applyAlignment="1">
      <alignment horizontal="center" vertical="center"/>
    </xf>
    <xf numFmtId="164" fontId="12" fillId="0" borderId="5" xfId="0" applyNumberFormat="1" applyFont="1" applyBorder="1" applyAlignment="1">
      <alignment horizontal="center" vertical="center"/>
    </xf>
    <xf numFmtId="1" fontId="12" fillId="0" borderId="5" xfId="0" applyNumberFormat="1" applyFont="1" applyBorder="1" applyAlignment="1">
      <alignment horizontal="center" vertical="center"/>
    </xf>
    <xf numFmtId="0" fontId="7" fillId="4" borderId="5" xfId="0" applyFont="1" applyFill="1" applyBorder="1" applyAlignment="1">
      <alignment horizontal="center" vertical="center" wrapText="1"/>
    </xf>
    <xf numFmtId="0" fontId="5" fillId="0" borderId="0" xfId="0" applyFont="1" applyBorder="1" applyAlignment="1">
      <alignment horizontal="center" vertical="center"/>
    </xf>
    <xf numFmtId="1" fontId="11" fillId="0" borderId="5" xfId="0" applyNumberFormat="1" applyFont="1" applyBorder="1" applyAlignment="1">
      <alignment horizontal="center" vertical="center"/>
    </xf>
    <xf numFmtId="0" fontId="11" fillId="0" borderId="5" xfId="0" applyFont="1" applyBorder="1" applyAlignment="1">
      <alignment horizontal="center" vertical="center"/>
    </xf>
    <xf numFmtId="0" fontId="5" fillId="0" borderId="5" xfId="0" applyFont="1" applyBorder="1" applyAlignment="1">
      <alignment horizontal="center" vertical="center"/>
    </xf>
    <xf numFmtId="0" fontId="4" fillId="0" borderId="5" xfId="0" applyFont="1" applyBorder="1" applyAlignment="1">
      <alignment horizontal="center" vertical="center"/>
    </xf>
    <xf numFmtId="0" fontId="6" fillId="4" borderId="5" xfId="0" applyFont="1" applyFill="1" applyBorder="1" applyAlignment="1">
      <alignment horizontal="center" vertical="center"/>
    </xf>
    <xf numFmtId="0" fontId="4" fillId="0" borderId="0" xfId="0" applyFont="1" applyAlignment="1">
      <alignment horizontal="center" vertical="center"/>
    </xf>
    <xf numFmtId="0" fontId="12" fillId="0" borderId="5" xfId="0" applyFont="1" applyBorder="1" applyAlignment="1">
      <alignment horizontal="center" vertical="center"/>
    </xf>
    <xf numFmtId="1" fontId="12" fillId="0" borderId="5" xfId="0" applyNumberFormat="1" applyFont="1" applyBorder="1" applyAlignment="1">
      <alignment horizontal="center" vertical="center"/>
    </xf>
    <xf numFmtId="164" fontId="12" fillId="0" borderId="5" xfId="0" applyNumberFormat="1" applyFont="1" applyBorder="1" applyAlignment="1">
      <alignment horizontal="center" vertical="center"/>
    </xf>
    <xf numFmtId="0" fontId="7" fillId="4" borderId="5" xfId="0" applyFont="1" applyFill="1" applyBorder="1" applyAlignment="1">
      <alignment horizontal="center" vertical="center" wrapText="1"/>
    </xf>
    <xf numFmtId="0" fontId="5" fillId="0" borderId="0" xfId="0" applyFont="1" applyBorder="1" applyAlignment="1">
      <alignment horizontal="center" vertical="center"/>
    </xf>
    <xf numFmtId="0" fontId="4" fillId="0" borderId="0" xfId="0" applyFont="1" applyAlignment="1">
      <alignment horizontal="center" vertical="center"/>
    </xf>
    <xf numFmtId="0" fontId="4" fillId="0" borderId="5" xfId="0" applyFont="1" applyBorder="1" applyAlignment="1">
      <alignment horizontal="center" vertical="center"/>
    </xf>
    <xf numFmtId="0" fontId="6" fillId="4" borderId="5" xfId="0" applyFont="1" applyFill="1" applyBorder="1" applyAlignment="1">
      <alignment horizontal="center" vertical="center"/>
    </xf>
    <xf numFmtId="0" fontId="5" fillId="0" borderId="5" xfId="0" applyFont="1" applyBorder="1" applyAlignment="1">
      <alignment horizontal="center" vertical="center"/>
    </xf>
    <xf numFmtId="0" fontId="11" fillId="0" borderId="5" xfId="0" applyFont="1" applyBorder="1" applyAlignment="1">
      <alignment horizontal="center" vertical="center"/>
    </xf>
    <xf numFmtId="1" fontId="11" fillId="0" borderId="5" xfId="0" applyNumberFormat="1" applyFont="1" applyBorder="1" applyAlignment="1">
      <alignment horizontal="center" vertical="center"/>
    </xf>
    <xf numFmtId="0" fontId="12" fillId="0" borderId="5" xfId="0" applyFont="1" applyBorder="1" applyAlignment="1">
      <alignment horizontal="center" vertical="center"/>
    </xf>
    <xf numFmtId="164" fontId="12" fillId="0" borderId="5" xfId="0" applyNumberFormat="1" applyFont="1" applyBorder="1" applyAlignment="1">
      <alignment horizontal="center" vertical="center"/>
    </xf>
    <xf numFmtId="1" fontId="12" fillId="0" borderId="5" xfId="0" applyNumberFormat="1" applyFont="1" applyBorder="1" applyAlignment="1">
      <alignment horizontal="center" vertical="center"/>
    </xf>
    <xf numFmtId="0" fontId="7" fillId="4" borderId="5" xfId="0" applyFont="1" applyFill="1" applyBorder="1" applyAlignment="1">
      <alignment horizontal="center" vertical="center" wrapText="1"/>
    </xf>
    <xf numFmtId="0" fontId="5" fillId="0" borderId="0" xfId="0" applyFont="1" applyBorder="1" applyAlignment="1">
      <alignment horizontal="center" vertical="center"/>
    </xf>
    <xf numFmtId="1" fontId="11" fillId="0" borderId="5" xfId="0" applyNumberFormat="1" applyFont="1" applyBorder="1" applyAlignment="1">
      <alignment horizontal="center" vertical="center"/>
    </xf>
    <xf numFmtId="0" fontId="11" fillId="0" borderId="5" xfId="0" applyFont="1" applyBorder="1" applyAlignment="1">
      <alignment horizontal="center" vertical="center"/>
    </xf>
    <xf numFmtId="0" fontId="5" fillId="0" borderId="5" xfId="0" applyFont="1" applyBorder="1" applyAlignment="1">
      <alignment horizontal="center" vertical="center"/>
    </xf>
    <xf numFmtId="0" fontId="4" fillId="0" borderId="5" xfId="0" applyFont="1" applyBorder="1" applyAlignment="1">
      <alignment horizontal="center" vertical="center"/>
    </xf>
    <xf numFmtId="0" fontId="6" fillId="4" borderId="5" xfId="0" applyFont="1" applyFill="1" applyBorder="1" applyAlignment="1">
      <alignment horizontal="center" vertical="center"/>
    </xf>
    <xf numFmtId="0" fontId="4" fillId="0" borderId="0" xfId="0" applyFont="1" applyAlignment="1">
      <alignment horizontal="center" vertical="center"/>
    </xf>
    <xf numFmtId="0" fontId="12" fillId="0" borderId="5" xfId="0" applyFont="1" applyBorder="1" applyAlignment="1">
      <alignment horizontal="center" vertical="center"/>
    </xf>
    <xf numFmtId="1" fontId="12" fillId="0" borderId="5" xfId="0" applyNumberFormat="1" applyFont="1" applyBorder="1" applyAlignment="1">
      <alignment horizontal="center" vertical="center"/>
    </xf>
    <xf numFmtId="164" fontId="12" fillId="0" borderId="5" xfId="0" applyNumberFormat="1" applyFont="1" applyBorder="1" applyAlignment="1">
      <alignment horizontal="center" vertical="center"/>
    </xf>
    <xf numFmtId="0" fontId="7" fillId="4" borderId="5" xfId="0" applyFont="1" applyFill="1" applyBorder="1" applyAlignment="1">
      <alignment horizontal="center" vertical="center" wrapText="1"/>
    </xf>
    <xf numFmtId="0" fontId="5" fillId="0" borderId="0" xfId="0" applyFont="1" applyBorder="1" applyAlignment="1">
      <alignment horizontal="center" vertical="center"/>
    </xf>
    <xf numFmtId="1" fontId="11" fillId="0" borderId="5" xfId="0" applyNumberFormat="1" applyFont="1" applyBorder="1" applyAlignment="1">
      <alignment horizontal="center" vertical="center"/>
    </xf>
    <xf numFmtId="0" fontId="11" fillId="0" borderId="5" xfId="0" applyFont="1" applyBorder="1" applyAlignment="1">
      <alignment horizontal="center" vertical="center"/>
    </xf>
    <xf numFmtId="0" fontId="5" fillId="0" borderId="5" xfId="0" applyFont="1" applyBorder="1" applyAlignment="1">
      <alignment horizontal="center" vertical="center"/>
    </xf>
    <xf numFmtId="0" fontId="4" fillId="0" borderId="5" xfId="0" applyFont="1" applyBorder="1" applyAlignment="1">
      <alignment horizontal="center" vertical="center"/>
    </xf>
    <xf numFmtId="0" fontId="6" fillId="4" borderId="5" xfId="0" applyFont="1" applyFill="1" applyBorder="1" applyAlignment="1">
      <alignment horizontal="center" vertical="center"/>
    </xf>
    <xf numFmtId="0" fontId="4" fillId="0" borderId="0" xfId="0" applyFont="1" applyAlignment="1">
      <alignment horizontal="center" vertical="center"/>
    </xf>
    <xf numFmtId="0" fontId="12" fillId="0" borderId="5" xfId="0" applyFont="1" applyBorder="1" applyAlignment="1">
      <alignment horizontal="center" vertical="center"/>
    </xf>
    <xf numFmtId="1" fontId="12" fillId="0" borderId="5" xfId="0" applyNumberFormat="1" applyFont="1" applyBorder="1" applyAlignment="1">
      <alignment horizontal="center" vertical="center"/>
    </xf>
    <xf numFmtId="164" fontId="12" fillId="0" borderId="5" xfId="0" applyNumberFormat="1" applyFont="1" applyBorder="1" applyAlignment="1">
      <alignment horizontal="center" vertical="center"/>
    </xf>
    <xf numFmtId="0" fontId="7" fillId="4" borderId="5" xfId="0" applyFont="1" applyFill="1" applyBorder="1" applyAlignment="1">
      <alignment horizontal="center" vertical="center" wrapText="1"/>
    </xf>
    <xf numFmtId="0" fontId="5" fillId="0" borderId="0" xfId="0" applyFont="1" applyBorder="1" applyAlignment="1">
      <alignment horizontal="center" vertical="center"/>
    </xf>
    <xf numFmtId="0" fontId="4" fillId="0" borderId="0" xfId="0" applyFont="1" applyAlignment="1">
      <alignment horizontal="center" vertical="center"/>
    </xf>
    <xf numFmtId="0" fontId="4" fillId="0" borderId="5" xfId="0" applyFont="1" applyBorder="1" applyAlignment="1">
      <alignment horizontal="center" vertical="center"/>
    </xf>
    <xf numFmtId="0" fontId="6" fillId="4" borderId="5" xfId="0" applyFont="1" applyFill="1" applyBorder="1" applyAlignment="1">
      <alignment horizontal="center" vertical="center"/>
    </xf>
    <xf numFmtId="0" fontId="5" fillId="0" borderId="5" xfId="0" applyFont="1" applyBorder="1" applyAlignment="1">
      <alignment horizontal="center" vertical="center"/>
    </xf>
    <xf numFmtId="0" fontId="11" fillId="0" borderId="5" xfId="0" applyFont="1" applyBorder="1" applyAlignment="1">
      <alignment horizontal="center" vertical="center"/>
    </xf>
    <xf numFmtId="1" fontId="11" fillId="0" borderId="5" xfId="0" applyNumberFormat="1" applyFont="1" applyBorder="1" applyAlignment="1">
      <alignment horizontal="center" vertical="center"/>
    </xf>
    <xf numFmtId="0" fontId="12" fillId="0" borderId="5" xfId="0" applyFont="1" applyBorder="1" applyAlignment="1">
      <alignment horizontal="center" vertical="center"/>
    </xf>
    <xf numFmtId="164" fontId="12" fillId="0" borderId="5" xfId="0" applyNumberFormat="1" applyFont="1" applyBorder="1" applyAlignment="1">
      <alignment horizontal="center" vertical="center"/>
    </xf>
    <xf numFmtId="1" fontId="12" fillId="0" borderId="5" xfId="0" applyNumberFormat="1" applyFont="1" applyBorder="1" applyAlignment="1">
      <alignment horizontal="center" vertical="center"/>
    </xf>
    <xf numFmtId="0" fontId="7" fillId="4" borderId="5" xfId="0" applyFont="1" applyFill="1" applyBorder="1" applyAlignment="1">
      <alignment horizontal="center" vertical="center" wrapText="1"/>
    </xf>
    <xf numFmtId="0" fontId="5" fillId="0" borderId="0" xfId="0" applyFont="1" applyBorder="1" applyAlignment="1">
      <alignment horizontal="center" vertical="center"/>
    </xf>
    <xf numFmtId="0" fontId="4" fillId="0" borderId="0" xfId="0" applyFont="1" applyAlignment="1">
      <alignment horizontal="center" vertical="center"/>
    </xf>
    <xf numFmtId="0" fontId="4" fillId="0" borderId="5" xfId="0" applyFont="1" applyBorder="1" applyAlignment="1">
      <alignment horizontal="center" vertical="center"/>
    </xf>
    <xf numFmtId="0" fontId="6" fillId="4" borderId="5" xfId="0" applyFont="1" applyFill="1" applyBorder="1" applyAlignment="1">
      <alignment horizontal="center" vertical="center"/>
    </xf>
    <xf numFmtId="0" fontId="5" fillId="0" borderId="5" xfId="0" applyFont="1" applyBorder="1" applyAlignment="1">
      <alignment horizontal="center" vertical="center"/>
    </xf>
    <xf numFmtId="0" fontId="11" fillId="0" borderId="5" xfId="0" applyFont="1" applyBorder="1" applyAlignment="1">
      <alignment horizontal="center" vertical="center"/>
    </xf>
    <xf numFmtId="1" fontId="11" fillId="0" borderId="5" xfId="0" applyNumberFormat="1" applyFont="1" applyBorder="1" applyAlignment="1">
      <alignment horizontal="center" vertical="center"/>
    </xf>
    <xf numFmtId="0" fontId="12" fillId="0" borderId="5" xfId="0" applyFont="1" applyBorder="1" applyAlignment="1">
      <alignment horizontal="center" vertical="center"/>
    </xf>
    <xf numFmtId="164" fontId="12" fillId="0" borderId="5" xfId="0" applyNumberFormat="1" applyFont="1" applyBorder="1" applyAlignment="1">
      <alignment horizontal="center" vertical="center"/>
    </xf>
    <xf numFmtId="1" fontId="12" fillId="0" borderId="5" xfId="0" applyNumberFormat="1" applyFont="1" applyBorder="1" applyAlignment="1">
      <alignment horizontal="center" vertical="center"/>
    </xf>
    <xf numFmtId="0" fontId="7" fillId="4" borderId="5" xfId="0" applyFont="1" applyFill="1" applyBorder="1" applyAlignment="1">
      <alignment horizontal="center" vertical="center" wrapText="1"/>
    </xf>
    <xf numFmtId="0" fontId="5" fillId="0" borderId="0" xfId="0" applyFont="1" applyBorder="1" applyAlignment="1">
      <alignment horizontal="center" vertical="center"/>
    </xf>
    <xf numFmtId="1" fontId="11" fillId="0" borderId="5" xfId="0" applyNumberFormat="1" applyFont="1" applyBorder="1" applyAlignment="1">
      <alignment horizontal="center" vertical="center"/>
    </xf>
    <xf numFmtId="0" fontId="11" fillId="0" borderId="5" xfId="0" applyFont="1" applyBorder="1" applyAlignment="1">
      <alignment horizontal="center" vertical="center"/>
    </xf>
    <xf numFmtId="0" fontId="5" fillId="0" borderId="5" xfId="0" applyFont="1" applyBorder="1" applyAlignment="1">
      <alignment horizontal="center" vertical="center"/>
    </xf>
    <xf numFmtId="0" fontId="4" fillId="0" borderId="5" xfId="0" applyFont="1" applyBorder="1" applyAlignment="1">
      <alignment horizontal="center" vertical="center"/>
    </xf>
    <xf numFmtId="0" fontId="6" fillId="4" borderId="5" xfId="0" applyFont="1" applyFill="1" applyBorder="1" applyAlignment="1">
      <alignment horizontal="center" vertical="center"/>
    </xf>
    <xf numFmtId="0" fontId="4" fillId="0" borderId="0" xfId="0" applyFont="1" applyAlignment="1">
      <alignment horizontal="center" vertical="center"/>
    </xf>
    <xf numFmtId="0" fontId="12" fillId="0" borderId="5" xfId="0" applyFont="1" applyBorder="1" applyAlignment="1">
      <alignment horizontal="center" vertical="center"/>
    </xf>
    <xf numFmtId="1" fontId="12" fillId="0" borderId="5" xfId="0" applyNumberFormat="1" applyFont="1" applyBorder="1" applyAlignment="1">
      <alignment horizontal="center" vertical="center"/>
    </xf>
    <xf numFmtId="164" fontId="12" fillId="0" borderId="5" xfId="0" applyNumberFormat="1" applyFont="1" applyBorder="1" applyAlignment="1">
      <alignment horizontal="center" vertical="center"/>
    </xf>
    <xf numFmtId="0" fontId="7" fillId="4" borderId="5" xfId="0" applyFont="1" applyFill="1" applyBorder="1" applyAlignment="1">
      <alignment horizontal="center" vertical="center" wrapText="1"/>
    </xf>
    <xf numFmtId="0" fontId="5" fillId="0" borderId="0" xfId="0" applyFont="1" applyBorder="1" applyAlignment="1">
      <alignment horizontal="center" vertical="center"/>
    </xf>
    <xf numFmtId="0" fontId="4" fillId="0" borderId="0" xfId="0" applyFont="1" applyAlignment="1">
      <alignment horizontal="center" vertical="center"/>
    </xf>
    <xf numFmtId="0" fontId="4" fillId="0" borderId="5" xfId="0" applyFont="1" applyBorder="1" applyAlignment="1">
      <alignment horizontal="center" vertical="center"/>
    </xf>
    <xf numFmtId="0" fontId="6" fillId="4" borderId="5" xfId="0" applyFont="1" applyFill="1" applyBorder="1" applyAlignment="1">
      <alignment horizontal="center" vertical="center"/>
    </xf>
    <xf numFmtId="0" fontId="5" fillId="0" borderId="5" xfId="0" applyFont="1" applyBorder="1" applyAlignment="1">
      <alignment horizontal="center" vertical="center"/>
    </xf>
    <xf numFmtId="0" fontId="11" fillId="0" borderId="5" xfId="0" applyFont="1" applyBorder="1" applyAlignment="1">
      <alignment horizontal="center" vertical="center"/>
    </xf>
    <xf numFmtId="1" fontId="11" fillId="0" borderId="5" xfId="0" applyNumberFormat="1" applyFont="1" applyBorder="1" applyAlignment="1">
      <alignment horizontal="center" vertical="center"/>
    </xf>
    <xf numFmtId="0" fontId="12" fillId="0" borderId="5" xfId="0" applyFont="1" applyBorder="1" applyAlignment="1">
      <alignment horizontal="center" vertical="center"/>
    </xf>
    <xf numFmtId="164" fontId="12" fillId="0" borderId="5" xfId="0" applyNumberFormat="1" applyFont="1" applyBorder="1" applyAlignment="1">
      <alignment horizontal="center" vertical="center"/>
    </xf>
    <xf numFmtId="1" fontId="12" fillId="0" borderId="5" xfId="0" applyNumberFormat="1" applyFont="1" applyBorder="1" applyAlignment="1">
      <alignment horizontal="center" vertical="center"/>
    </xf>
    <xf numFmtId="0" fontId="7" fillId="4" borderId="5" xfId="0" applyFont="1" applyFill="1" applyBorder="1" applyAlignment="1">
      <alignment horizontal="center" vertical="center" wrapText="1"/>
    </xf>
    <xf numFmtId="0" fontId="5" fillId="0" borderId="0" xfId="0" applyFont="1" applyBorder="1" applyAlignment="1">
      <alignment horizontal="center" vertical="center"/>
    </xf>
    <xf numFmtId="1" fontId="11" fillId="0" borderId="5" xfId="0" applyNumberFormat="1" applyFont="1" applyBorder="1" applyAlignment="1">
      <alignment horizontal="center" vertical="center"/>
    </xf>
    <xf numFmtId="0" fontId="11" fillId="0" borderId="5" xfId="0" applyFont="1" applyBorder="1" applyAlignment="1">
      <alignment horizontal="center" vertical="center"/>
    </xf>
    <xf numFmtId="0" fontId="5" fillId="0" borderId="5" xfId="0" applyFont="1" applyBorder="1" applyAlignment="1">
      <alignment horizontal="center" vertical="center"/>
    </xf>
    <xf numFmtId="0" fontId="4" fillId="0" borderId="5" xfId="0" applyFont="1" applyBorder="1" applyAlignment="1">
      <alignment horizontal="center" vertical="center"/>
    </xf>
    <xf numFmtId="0" fontId="6" fillId="4" borderId="5" xfId="0" applyFont="1" applyFill="1" applyBorder="1" applyAlignment="1">
      <alignment horizontal="center" vertical="center"/>
    </xf>
    <xf numFmtId="0" fontId="4" fillId="0" borderId="0" xfId="0" applyFont="1" applyAlignment="1">
      <alignment horizontal="center" vertical="center"/>
    </xf>
    <xf numFmtId="0" fontId="12" fillId="0" borderId="5" xfId="0" applyFont="1" applyBorder="1" applyAlignment="1">
      <alignment horizontal="center" vertical="center"/>
    </xf>
    <xf numFmtId="1" fontId="12" fillId="0" borderId="5" xfId="0" applyNumberFormat="1" applyFont="1" applyBorder="1" applyAlignment="1">
      <alignment horizontal="center" vertical="center"/>
    </xf>
    <xf numFmtId="164" fontId="12" fillId="0" borderId="5" xfId="0" applyNumberFormat="1" applyFont="1" applyBorder="1" applyAlignment="1">
      <alignment horizontal="center" vertical="center"/>
    </xf>
    <xf numFmtId="0" fontId="7" fillId="4" borderId="5" xfId="0" applyFont="1" applyFill="1" applyBorder="1" applyAlignment="1">
      <alignment horizontal="center" vertical="center" wrapText="1"/>
    </xf>
    <xf numFmtId="0" fontId="5" fillId="0" borderId="0" xfId="0" applyFont="1" applyBorder="1" applyAlignment="1">
      <alignment horizontal="center" vertical="center"/>
    </xf>
    <xf numFmtId="0" fontId="4" fillId="0" borderId="0" xfId="0" applyFont="1" applyAlignment="1">
      <alignment horizontal="center" vertical="center"/>
    </xf>
    <xf numFmtId="0" fontId="4" fillId="0" borderId="5" xfId="0" applyFont="1" applyBorder="1" applyAlignment="1">
      <alignment horizontal="center" vertical="center"/>
    </xf>
    <xf numFmtId="0" fontId="6" fillId="4" borderId="5" xfId="0" applyFont="1" applyFill="1" applyBorder="1" applyAlignment="1">
      <alignment horizontal="center" vertical="center"/>
    </xf>
    <xf numFmtId="0" fontId="5" fillId="0" borderId="5" xfId="0" applyFont="1" applyBorder="1" applyAlignment="1">
      <alignment horizontal="center" vertical="center"/>
    </xf>
    <xf numFmtId="0" fontId="11" fillId="0" borderId="5" xfId="0" applyFont="1" applyBorder="1" applyAlignment="1">
      <alignment horizontal="center" vertical="center"/>
    </xf>
    <xf numFmtId="1" fontId="11" fillId="0" borderId="5" xfId="0" applyNumberFormat="1" applyFont="1" applyBorder="1" applyAlignment="1">
      <alignment horizontal="center" vertical="center"/>
    </xf>
    <xf numFmtId="0" fontId="12" fillId="0" borderId="5" xfId="0" applyFont="1" applyBorder="1" applyAlignment="1">
      <alignment horizontal="center" vertical="center"/>
    </xf>
    <xf numFmtId="164" fontId="12" fillId="0" borderId="5" xfId="0" applyNumberFormat="1" applyFont="1" applyBorder="1" applyAlignment="1">
      <alignment horizontal="center" vertical="center"/>
    </xf>
    <xf numFmtId="1" fontId="12" fillId="0" borderId="5" xfId="0" applyNumberFormat="1" applyFont="1" applyBorder="1" applyAlignment="1">
      <alignment horizontal="center" vertical="center"/>
    </xf>
    <xf numFmtId="0" fontId="7" fillId="4" borderId="5" xfId="0" applyFont="1" applyFill="1" applyBorder="1" applyAlignment="1">
      <alignment horizontal="center" vertical="center" wrapText="1"/>
    </xf>
    <xf numFmtId="0" fontId="5" fillId="0" borderId="0" xfId="0" applyFont="1" applyBorder="1" applyAlignment="1">
      <alignment horizontal="center" vertical="center"/>
    </xf>
    <xf numFmtId="1" fontId="11" fillId="0" borderId="5" xfId="0" applyNumberFormat="1" applyFont="1" applyBorder="1" applyAlignment="1">
      <alignment horizontal="center" vertical="center"/>
    </xf>
    <xf numFmtId="0" fontId="11" fillId="0" borderId="5" xfId="0" applyFont="1" applyBorder="1" applyAlignment="1">
      <alignment horizontal="center" vertical="center"/>
    </xf>
    <xf numFmtId="0" fontId="5" fillId="0" borderId="5" xfId="0" applyFont="1" applyBorder="1" applyAlignment="1">
      <alignment horizontal="center" vertical="center"/>
    </xf>
    <xf numFmtId="0" fontId="4" fillId="0" borderId="5" xfId="0" applyFont="1" applyBorder="1" applyAlignment="1">
      <alignment horizontal="center" vertical="center"/>
    </xf>
    <xf numFmtId="0" fontId="6" fillId="4" borderId="5" xfId="0" applyFont="1" applyFill="1" applyBorder="1" applyAlignment="1">
      <alignment horizontal="center" vertical="center"/>
    </xf>
    <xf numFmtId="0" fontId="4" fillId="0" borderId="0" xfId="0" applyFont="1" applyAlignment="1">
      <alignment horizontal="center" vertical="center"/>
    </xf>
    <xf numFmtId="0" fontId="12" fillId="0" borderId="5" xfId="0" applyFont="1" applyBorder="1" applyAlignment="1">
      <alignment horizontal="center" vertical="center"/>
    </xf>
    <xf numFmtId="1" fontId="12" fillId="0" borderId="5" xfId="0" applyNumberFormat="1" applyFont="1" applyBorder="1" applyAlignment="1">
      <alignment horizontal="center" vertical="center"/>
    </xf>
    <xf numFmtId="164" fontId="12" fillId="0" borderId="5" xfId="0" applyNumberFormat="1" applyFont="1" applyBorder="1" applyAlignment="1">
      <alignment horizontal="center" vertical="center"/>
    </xf>
    <xf numFmtId="0" fontId="7" fillId="4" borderId="5" xfId="0" applyFont="1" applyFill="1" applyBorder="1" applyAlignment="1">
      <alignment horizontal="center" vertical="center" wrapText="1"/>
    </xf>
    <xf numFmtId="0" fontId="5" fillId="0" borderId="0" xfId="0" applyFont="1" applyBorder="1" applyAlignment="1">
      <alignment horizontal="center" vertical="center"/>
    </xf>
    <xf numFmtId="0" fontId="4" fillId="0" borderId="0" xfId="0" applyFont="1" applyAlignment="1">
      <alignment horizontal="center" vertical="center"/>
    </xf>
    <xf numFmtId="0" fontId="4" fillId="0" borderId="5" xfId="0" applyFont="1" applyBorder="1" applyAlignment="1">
      <alignment horizontal="center" vertical="center"/>
    </xf>
    <xf numFmtId="0" fontId="6" fillId="4" borderId="5" xfId="0" applyFont="1" applyFill="1" applyBorder="1" applyAlignment="1">
      <alignment horizontal="center" vertical="center"/>
    </xf>
    <xf numFmtId="0" fontId="5" fillId="0" borderId="5" xfId="0" applyFont="1" applyBorder="1" applyAlignment="1">
      <alignment horizontal="center" vertical="center"/>
    </xf>
    <xf numFmtId="0" fontId="11" fillId="0" borderId="5" xfId="0" applyFont="1" applyBorder="1" applyAlignment="1">
      <alignment horizontal="center" vertical="center"/>
    </xf>
    <xf numFmtId="1" fontId="11" fillId="0" borderId="5" xfId="0" applyNumberFormat="1" applyFont="1" applyBorder="1" applyAlignment="1">
      <alignment horizontal="center" vertical="center"/>
    </xf>
    <xf numFmtId="0" fontId="12" fillId="0" borderId="5" xfId="0" applyFont="1" applyBorder="1" applyAlignment="1">
      <alignment horizontal="center" vertical="center"/>
    </xf>
    <xf numFmtId="164" fontId="12" fillId="0" borderId="5" xfId="0" applyNumberFormat="1" applyFont="1" applyBorder="1" applyAlignment="1">
      <alignment horizontal="center" vertical="center"/>
    </xf>
    <xf numFmtId="1" fontId="12" fillId="0" borderId="5" xfId="0" applyNumberFormat="1" applyFont="1" applyBorder="1" applyAlignment="1">
      <alignment horizontal="center" vertical="center"/>
    </xf>
    <xf numFmtId="0" fontId="7" fillId="4" borderId="5" xfId="0" applyFont="1" applyFill="1" applyBorder="1" applyAlignment="1">
      <alignment horizontal="center" vertical="center" wrapText="1"/>
    </xf>
    <xf numFmtId="0" fontId="5" fillId="0" borderId="0" xfId="0" applyFont="1" applyBorder="1" applyAlignment="1">
      <alignment horizontal="center" vertical="center"/>
    </xf>
    <xf numFmtId="1" fontId="11" fillId="0" borderId="5" xfId="0" applyNumberFormat="1" applyFont="1" applyBorder="1" applyAlignment="1">
      <alignment horizontal="center" vertical="center"/>
    </xf>
    <xf numFmtId="0" fontId="11" fillId="0" borderId="5" xfId="0" applyFont="1" applyBorder="1" applyAlignment="1">
      <alignment horizontal="center" vertical="center"/>
    </xf>
    <xf numFmtId="0" fontId="5" fillId="0" borderId="5" xfId="0" applyFont="1" applyBorder="1" applyAlignment="1">
      <alignment horizontal="center" vertical="center"/>
    </xf>
    <xf numFmtId="0" fontId="4" fillId="0" borderId="5" xfId="0" applyFont="1" applyBorder="1" applyAlignment="1">
      <alignment horizontal="center" vertical="center"/>
    </xf>
    <xf numFmtId="0" fontId="6" fillId="4" borderId="5" xfId="0" applyFont="1" applyFill="1" applyBorder="1" applyAlignment="1">
      <alignment horizontal="center" vertical="center"/>
    </xf>
    <xf numFmtId="0" fontId="4" fillId="0" borderId="0" xfId="0" applyFont="1" applyAlignment="1">
      <alignment horizontal="center" vertical="center"/>
    </xf>
    <xf numFmtId="0" fontId="12" fillId="0" borderId="5" xfId="0" applyFont="1" applyBorder="1" applyAlignment="1">
      <alignment horizontal="center" vertical="center"/>
    </xf>
    <xf numFmtId="1" fontId="12" fillId="0" borderId="5" xfId="0" applyNumberFormat="1" applyFont="1" applyBorder="1" applyAlignment="1">
      <alignment horizontal="center" vertical="center"/>
    </xf>
    <xf numFmtId="164" fontId="12" fillId="0" borderId="5" xfId="0" applyNumberFormat="1" applyFont="1" applyBorder="1" applyAlignment="1">
      <alignment horizontal="center" vertical="center"/>
    </xf>
    <xf numFmtId="0" fontId="7" fillId="4" borderId="5" xfId="0" applyFont="1" applyFill="1" applyBorder="1" applyAlignment="1">
      <alignment horizontal="center" vertical="center" wrapText="1"/>
    </xf>
    <xf numFmtId="0" fontId="5" fillId="0" borderId="0" xfId="0" applyFont="1" applyBorder="1" applyAlignment="1">
      <alignment horizontal="center" vertical="center"/>
    </xf>
    <xf numFmtId="0" fontId="4" fillId="0" borderId="0" xfId="0" applyFont="1" applyAlignment="1">
      <alignment horizontal="center" vertical="center"/>
    </xf>
    <xf numFmtId="0" fontId="4" fillId="0" borderId="5" xfId="0" applyFont="1" applyBorder="1" applyAlignment="1">
      <alignment horizontal="center" vertical="center"/>
    </xf>
    <xf numFmtId="0" fontId="6" fillId="4" borderId="5" xfId="0" applyFont="1" applyFill="1" applyBorder="1" applyAlignment="1">
      <alignment horizontal="center" vertical="center"/>
    </xf>
    <xf numFmtId="0" fontId="5" fillId="0" borderId="5" xfId="0" applyFont="1" applyBorder="1" applyAlignment="1">
      <alignment horizontal="center" vertical="center"/>
    </xf>
    <xf numFmtId="0" fontId="11" fillId="0" borderId="5" xfId="0" applyFont="1" applyBorder="1" applyAlignment="1">
      <alignment horizontal="center" vertical="center"/>
    </xf>
    <xf numFmtId="1" fontId="11" fillId="0" borderId="5" xfId="0" applyNumberFormat="1" applyFont="1" applyBorder="1" applyAlignment="1">
      <alignment horizontal="center" vertical="center"/>
    </xf>
    <xf numFmtId="0" fontId="12" fillId="0" borderId="5" xfId="0" applyFont="1" applyBorder="1" applyAlignment="1">
      <alignment horizontal="center" vertical="center"/>
    </xf>
    <xf numFmtId="164" fontId="12" fillId="0" borderId="5" xfId="0" applyNumberFormat="1" applyFont="1" applyBorder="1" applyAlignment="1">
      <alignment horizontal="center" vertical="center"/>
    </xf>
    <xf numFmtId="1" fontId="12" fillId="0" borderId="5" xfId="0" applyNumberFormat="1" applyFont="1" applyBorder="1" applyAlignment="1">
      <alignment horizontal="center" vertical="center"/>
    </xf>
    <xf numFmtId="0" fontId="7" fillId="4" borderId="5" xfId="0" applyFont="1" applyFill="1" applyBorder="1" applyAlignment="1">
      <alignment horizontal="center" vertical="center" wrapText="1"/>
    </xf>
    <xf numFmtId="0" fontId="5" fillId="0" borderId="0" xfId="0" applyFont="1" applyBorder="1" applyAlignment="1">
      <alignment horizontal="center" vertical="center"/>
    </xf>
    <xf numFmtId="1" fontId="11" fillId="0" borderId="5" xfId="0" applyNumberFormat="1" applyFont="1" applyBorder="1" applyAlignment="1">
      <alignment horizontal="center" vertical="center"/>
    </xf>
    <xf numFmtId="0" fontId="11" fillId="0" borderId="5" xfId="0" applyFont="1" applyBorder="1" applyAlignment="1">
      <alignment horizontal="center" vertical="center"/>
    </xf>
    <xf numFmtId="0" fontId="5" fillId="0" borderId="5" xfId="0" applyFont="1" applyBorder="1" applyAlignment="1">
      <alignment horizontal="center" vertical="center"/>
    </xf>
    <xf numFmtId="0" fontId="4" fillId="0" borderId="5" xfId="0" applyFont="1" applyBorder="1" applyAlignment="1">
      <alignment horizontal="center" vertical="center"/>
    </xf>
    <xf numFmtId="0" fontId="6" fillId="4" borderId="5" xfId="0" applyFont="1" applyFill="1" applyBorder="1" applyAlignment="1">
      <alignment horizontal="center" vertical="center"/>
    </xf>
    <xf numFmtId="0" fontId="4" fillId="0" borderId="0" xfId="0" applyFont="1" applyAlignment="1">
      <alignment horizontal="center" vertical="center"/>
    </xf>
    <xf numFmtId="0" fontId="12" fillId="0" borderId="5" xfId="0" applyFont="1" applyBorder="1" applyAlignment="1">
      <alignment horizontal="center" vertical="center"/>
    </xf>
    <xf numFmtId="1" fontId="12" fillId="0" borderId="5" xfId="0" applyNumberFormat="1" applyFont="1" applyBorder="1" applyAlignment="1">
      <alignment horizontal="center" vertical="center"/>
    </xf>
    <xf numFmtId="164" fontId="12" fillId="0" borderId="5" xfId="0" applyNumberFormat="1" applyFont="1" applyBorder="1" applyAlignment="1">
      <alignment horizontal="center" vertical="center"/>
    </xf>
    <xf numFmtId="0" fontId="7" fillId="4" borderId="5" xfId="0" applyFont="1" applyFill="1" applyBorder="1" applyAlignment="1">
      <alignment horizontal="center" vertical="center" wrapText="1"/>
    </xf>
    <xf numFmtId="0" fontId="5" fillId="0" borderId="0" xfId="0" applyFont="1" applyBorder="1" applyAlignment="1">
      <alignment horizontal="center" vertical="center"/>
    </xf>
    <xf numFmtId="0" fontId="4" fillId="0" borderId="0" xfId="0" applyFont="1" applyAlignment="1">
      <alignment horizontal="center" vertical="center"/>
    </xf>
    <xf numFmtId="0" fontId="4" fillId="0" borderId="5" xfId="0" applyFont="1" applyBorder="1" applyAlignment="1">
      <alignment horizontal="center" vertical="center"/>
    </xf>
    <xf numFmtId="0" fontId="6" fillId="4" borderId="5" xfId="0" applyFont="1" applyFill="1" applyBorder="1" applyAlignment="1">
      <alignment horizontal="center" vertical="center"/>
    </xf>
    <xf numFmtId="0" fontId="5" fillId="0" borderId="5" xfId="0" applyFont="1" applyBorder="1" applyAlignment="1">
      <alignment horizontal="center" vertical="center"/>
    </xf>
    <xf numFmtId="0" fontId="11" fillId="0" borderId="5" xfId="0" applyFont="1" applyBorder="1" applyAlignment="1">
      <alignment horizontal="center" vertical="center"/>
    </xf>
    <xf numFmtId="1" fontId="11" fillId="0" borderId="5" xfId="0" applyNumberFormat="1" applyFont="1" applyBorder="1" applyAlignment="1">
      <alignment horizontal="center" vertical="center"/>
    </xf>
    <xf numFmtId="0" fontId="12" fillId="0" borderId="5" xfId="0" applyFont="1" applyBorder="1" applyAlignment="1">
      <alignment horizontal="center" vertical="center"/>
    </xf>
    <xf numFmtId="164" fontId="12" fillId="0" borderId="5" xfId="0" applyNumberFormat="1" applyFont="1" applyBorder="1" applyAlignment="1">
      <alignment horizontal="center" vertical="center"/>
    </xf>
    <xf numFmtId="1" fontId="12" fillId="0" borderId="5" xfId="0" applyNumberFormat="1" applyFont="1" applyBorder="1" applyAlignment="1">
      <alignment horizontal="center" vertical="center"/>
    </xf>
    <xf numFmtId="0" fontId="7" fillId="4" borderId="5" xfId="0" applyFont="1" applyFill="1" applyBorder="1" applyAlignment="1">
      <alignment horizontal="center" vertical="center" wrapText="1"/>
    </xf>
    <xf numFmtId="0" fontId="5" fillId="0" borderId="0" xfId="0" applyFont="1" applyBorder="1" applyAlignment="1">
      <alignment horizontal="center" vertical="center"/>
    </xf>
    <xf numFmtId="1" fontId="11" fillId="0" borderId="5" xfId="0" applyNumberFormat="1" applyFont="1" applyBorder="1" applyAlignment="1">
      <alignment horizontal="center" vertical="center"/>
    </xf>
    <xf numFmtId="0" fontId="11" fillId="0" borderId="5" xfId="0" applyFont="1" applyBorder="1" applyAlignment="1">
      <alignment horizontal="center" vertical="center"/>
    </xf>
    <xf numFmtId="0" fontId="5" fillId="0" borderId="5" xfId="0" applyFont="1" applyBorder="1" applyAlignment="1">
      <alignment horizontal="center" vertical="center"/>
    </xf>
    <xf numFmtId="0" fontId="4" fillId="0" borderId="5" xfId="0" applyFont="1" applyBorder="1" applyAlignment="1">
      <alignment horizontal="center" vertical="center"/>
    </xf>
    <xf numFmtId="0" fontId="6" fillId="4" borderId="5" xfId="0" applyFont="1" applyFill="1" applyBorder="1" applyAlignment="1">
      <alignment horizontal="center" vertical="center"/>
    </xf>
    <xf numFmtId="0" fontId="4" fillId="0" borderId="0" xfId="0" applyFont="1" applyAlignment="1">
      <alignment horizontal="center" vertical="center"/>
    </xf>
    <xf numFmtId="0" fontId="12" fillId="0" borderId="5" xfId="0" applyFont="1" applyBorder="1" applyAlignment="1">
      <alignment horizontal="center" vertical="center"/>
    </xf>
    <xf numFmtId="1" fontId="12" fillId="0" borderId="5" xfId="0" applyNumberFormat="1" applyFont="1" applyBorder="1" applyAlignment="1">
      <alignment horizontal="center" vertical="center"/>
    </xf>
    <xf numFmtId="164" fontId="12" fillId="0" borderId="5" xfId="0" applyNumberFormat="1" applyFont="1" applyBorder="1" applyAlignment="1">
      <alignment horizontal="center" vertical="center"/>
    </xf>
    <xf numFmtId="0" fontId="7" fillId="4" borderId="5" xfId="0" applyFont="1" applyFill="1" applyBorder="1" applyAlignment="1">
      <alignment horizontal="center" vertical="center" wrapText="1"/>
    </xf>
    <xf numFmtId="0" fontId="5" fillId="0" borderId="0" xfId="0" applyFont="1" applyBorder="1" applyAlignment="1">
      <alignment horizontal="center" vertical="center"/>
    </xf>
    <xf numFmtId="0" fontId="4" fillId="0" borderId="0" xfId="0" applyFont="1" applyAlignment="1">
      <alignment horizontal="center" vertical="center"/>
    </xf>
    <xf numFmtId="0" fontId="4" fillId="0" borderId="5" xfId="0" applyFont="1" applyBorder="1" applyAlignment="1">
      <alignment horizontal="center" vertical="center"/>
    </xf>
    <xf numFmtId="0" fontId="6" fillId="4" borderId="5" xfId="0" applyFont="1" applyFill="1" applyBorder="1" applyAlignment="1">
      <alignment horizontal="center" vertical="center"/>
    </xf>
    <xf numFmtId="0" fontId="5" fillId="0" borderId="5" xfId="0" applyFont="1" applyBorder="1" applyAlignment="1">
      <alignment horizontal="center" vertical="center"/>
    </xf>
    <xf numFmtId="0" fontId="11" fillId="0" borderId="5" xfId="0" applyFont="1" applyBorder="1" applyAlignment="1">
      <alignment horizontal="center" vertical="center"/>
    </xf>
    <xf numFmtId="1" fontId="11" fillId="0" borderId="5" xfId="0" applyNumberFormat="1" applyFont="1" applyBorder="1" applyAlignment="1">
      <alignment horizontal="center" vertical="center"/>
    </xf>
    <xf numFmtId="0" fontId="12" fillId="0" borderId="5" xfId="0" applyFont="1" applyBorder="1" applyAlignment="1">
      <alignment horizontal="center" vertical="center"/>
    </xf>
    <xf numFmtId="164" fontId="12" fillId="0" borderId="5" xfId="0" applyNumberFormat="1" applyFont="1" applyBorder="1" applyAlignment="1">
      <alignment horizontal="center" vertical="center"/>
    </xf>
    <xf numFmtId="1" fontId="12" fillId="0" borderId="5" xfId="0" applyNumberFormat="1" applyFont="1" applyBorder="1" applyAlignment="1">
      <alignment horizontal="center" vertical="center"/>
    </xf>
    <xf numFmtId="0" fontId="7" fillId="4" borderId="5" xfId="0" applyFont="1" applyFill="1" applyBorder="1" applyAlignment="1">
      <alignment horizontal="center" vertical="center" wrapText="1"/>
    </xf>
    <xf numFmtId="0" fontId="5" fillId="0" borderId="0" xfId="0" applyFont="1" applyBorder="1" applyAlignment="1">
      <alignment horizontal="center" vertical="center"/>
    </xf>
    <xf numFmtId="0" fontId="4" fillId="0" borderId="0" xfId="0" applyFont="1" applyAlignment="1">
      <alignment horizontal="center" vertical="center"/>
    </xf>
    <xf numFmtId="0" fontId="4" fillId="0" borderId="5" xfId="0" applyFont="1" applyBorder="1" applyAlignment="1">
      <alignment horizontal="center" vertical="center"/>
    </xf>
    <xf numFmtId="0" fontId="6" fillId="4" borderId="5" xfId="0" applyFont="1" applyFill="1" applyBorder="1" applyAlignment="1">
      <alignment horizontal="center" vertical="center"/>
    </xf>
    <xf numFmtId="0" fontId="5" fillId="0" borderId="5" xfId="0" applyFont="1" applyBorder="1" applyAlignment="1">
      <alignment horizontal="center" vertical="center"/>
    </xf>
    <xf numFmtId="0" fontId="11" fillId="0" borderId="5" xfId="0" applyFont="1" applyBorder="1" applyAlignment="1">
      <alignment horizontal="center" vertical="center"/>
    </xf>
    <xf numFmtId="1" fontId="11" fillId="0" borderId="5" xfId="0" applyNumberFormat="1" applyFont="1" applyBorder="1" applyAlignment="1">
      <alignment horizontal="center" vertical="center"/>
    </xf>
    <xf numFmtId="0" fontId="12" fillId="0" borderId="5" xfId="0" applyFont="1" applyBorder="1" applyAlignment="1">
      <alignment horizontal="center" vertical="center"/>
    </xf>
    <xf numFmtId="164" fontId="12" fillId="0" borderId="5" xfId="0" applyNumberFormat="1" applyFont="1" applyBorder="1" applyAlignment="1">
      <alignment horizontal="center" vertical="center"/>
    </xf>
    <xf numFmtId="1" fontId="12" fillId="0" borderId="5" xfId="0" applyNumberFormat="1" applyFont="1" applyBorder="1" applyAlignment="1">
      <alignment horizontal="center" vertical="center"/>
    </xf>
    <xf numFmtId="0" fontId="7" fillId="4" borderId="5" xfId="0" applyFont="1" applyFill="1" applyBorder="1" applyAlignment="1">
      <alignment horizontal="center" vertical="center" wrapText="1"/>
    </xf>
    <xf numFmtId="0" fontId="5" fillId="0" borderId="0" xfId="0" applyFont="1" applyBorder="1" applyAlignment="1">
      <alignment horizontal="center" vertical="center"/>
    </xf>
    <xf numFmtId="1" fontId="11" fillId="0" borderId="5" xfId="0" applyNumberFormat="1" applyFont="1" applyBorder="1" applyAlignment="1">
      <alignment horizontal="center" vertical="center"/>
    </xf>
    <xf numFmtId="0" fontId="11" fillId="0" borderId="5" xfId="0" applyFont="1" applyBorder="1" applyAlignment="1">
      <alignment horizontal="center" vertical="center"/>
    </xf>
    <xf numFmtId="0" fontId="5" fillId="0" borderId="5" xfId="0" applyFont="1" applyBorder="1" applyAlignment="1">
      <alignment horizontal="center" vertical="center"/>
    </xf>
    <xf numFmtId="0" fontId="4" fillId="0" borderId="5" xfId="0" applyFont="1" applyBorder="1" applyAlignment="1">
      <alignment horizontal="center" vertical="center"/>
    </xf>
    <xf numFmtId="0" fontId="6" fillId="4" borderId="5" xfId="0" applyFont="1" applyFill="1" applyBorder="1" applyAlignment="1">
      <alignment horizontal="center" vertical="center"/>
    </xf>
    <xf numFmtId="0" fontId="4" fillId="0" borderId="0" xfId="0" applyFont="1" applyAlignment="1">
      <alignment horizontal="center" vertical="center"/>
    </xf>
    <xf numFmtId="0" fontId="12" fillId="0" borderId="5" xfId="0" applyFont="1" applyBorder="1" applyAlignment="1">
      <alignment horizontal="center" vertical="center"/>
    </xf>
    <xf numFmtId="1" fontId="12" fillId="0" borderId="5" xfId="0" applyNumberFormat="1" applyFont="1" applyBorder="1" applyAlignment="1">
      <alignment horizontal="center" vertical="center"/>
    </xf>
    <xf numFmtId="164" fontId="12" fillId="0" borderId="5" xfId="0" applyNumberFormat="1" applyFont="1" applyBorder="1" applyAlignment="1">
      <alignment horizontal="center" vertical="center"/>
    </xf>
    <xf numFmtId="0" fontId="7" fillId="4" borderId="5" xfId="0" applyFont="1" applyFill="1" applyBorder="1" applyAlignment="1">
      <alignment horizontal="center" vertical="center" wrapText="1"/>
    </xf>
    <xf numFmtId="0" fontId="5" fillId="0" borderId="0" xfId="0" applyFont="1" applyBorder="1" applyAlignment="1">
      <alignment horizontal="center" vertical="center"/>
    </xf>
    <xf numFmtId="0" fontId="4" fillId="0" borderId="0" xfId="0" applyFont="1" applyAlignment="1">
      <alignment horizontal="center" vertical="center"/>
    </xf>
    <xf numFmtId="0" fontId="4" fillId="0" borderId="5" xfId="0" applyFont="1" applyBorder="1" applyAlignment="1">
      <alignment horizontal="center" vertical="center"/>
    </xf>
    <xf numFmtId="0" fontId="6" fillId="4" borderId="5" xfId="0" applyFont="1" applyFill="1" applyBorder="1" applyAlignment="1">
      <alignment horizontal="center" vertical="center"/>
    </xf>
    <xf numFmtId="0" fontId="5" fillId="0" borderId="5" xfId="0" applyFont="1" applyBorder="1" applyAlignment="1">
      <alignment horizontal="center" vertical="center"/>
    </xf>
    <xf numFmtId="0" fontId="11" fillId="0" borderId="5" xfId="0" applyFont="1" applyBorder="1" applyAlignment="1">
      <alignment horizontal="center" vertical="center"/>
    </xf>
    <xf numFmtId="1" fontId="11" fillId="0" borderId="5" xfId="0" applyNumberFormat="1" applyFont="1" applyBorder="1" applyAlignment="1">
      <alignment horizontal="center" vertical="center"/>
    </xf>
    <xf numFmtId="0" fontId="12" fillId="0" borderId="5" xfId="0" applyFont="1" applyBorder="1" applyAlignment="1">
      <alignment horizontal="center" vertical="center"/>
    </xf>
    <xf numFmtId="164" fontId="12" fillId="0" borderId="5" xfId="0" applyNumberFormat="1" applyFont="1" applyBorder="1" applyAlignment="1">
      <alignment horizontal="center" vertical="center"/>
    </xf>
    <xf numFmtId="1" fontId="12" fillId="0" borderId="5" xfId="0" applyNumberFormat="1" applyFont="1" applyBorder="1" applyAlignment="1">
      <alignment horizontal="center" vertical="center"/>
    </xf>
    <xf numFmtId="0" fontId="7" fillId="4" borderId="5" xfId="0" applyFont="1" applyFill="1" applyBorder="1" applyAlignment="1">
      <alignment horizontal="center" vertical="center" wrapText="1"/>
    </xf>
    <xf numFmtId="0" fontId="5" fillId="0" borderId="0" xfId="0" applyFont="1" applyBorder="1" applyAlignment="1">
      <alignment horizontal="center" vertical="center"/>
    </xf>
    <xf numFmtId="0" fontId="4" fillId="0" borderId="0" xfId="0" applyFont="1" applyAlignment="1">
      <alignment horizontal="center" vertical="center"/>
    </xf>
    <xf numFmtId="0" fontId="4" fillId="0" borderId="5" xfId="0" applyFont="1" applyBorder="1" applyAlignment="1">
      <alignment horizontal="center" vertical="center"/>
    </xf>
    <xf numFmtId="0" fontId="6" fillId="4" borderId="5" xfId="0" applyFont="1" applyFill="1" applyBorder="1" applyAlignment="1">
      <alignment horizontal="center" vertical="center"/>
    </xf>
    <xf numFmtId="0" fontId="5" fillId="0" borderId="5" xfId="0" applyFont="1" applyBorder="1" applyAlignment="1">
      <alignment horizontal="center" vertical="center"/>
    </xf>
    <xf numFmtId="0" fontId="11" fillId="0" borderId="5" xfId="0" applyFont="1" applyBorder="1" applyAlignment="1">
      <alignment horizontal="center" vertical="center"/>
    </xf>
    <xf numFmtId="1" fontId="11" fillId="0" borderId="5" xfId="0" applyNumberFormat="1" applyFont="1" applyBorder="1" applyAlignment="1">
      <alignment horizontal="center" vertical="center"/>
    </xf>
    <xf numFmtId="0" fontId="12" fillId="0" borderId="5" xfId="0" applyFont="1" applyBorder="1" applyAlignment="1">
      <alignment horizontal="center" vertical="center"/>
    </xf>
    <xf numFmtId="164" fontId="12" fillId="0" borderId="5" xfId="0" applyNumberFormat="1" applyFont="1" applyBorder="1" applyAlignment="1">
      <alignment horizontal="center" vertical="center"/>
    </xf>
    <xf numFmtId="1" fontId="12" fillId="0" borderId="5" xfId="0" applyNumberFormat="1" applyFont="1" applyBorder="1" applyAlignment="1">
      <alignment horizontal="center" vertical="center"/>
    </xf>
    <xf numFmtId="0" fontId="7" fillId="4" borderId="5" xfId="0" applyFont="1" applyFill="1" applyBorder="1" applyAlignment="1">
      <alignment horizontal="center" vertical="center" wrapText="1"/>
    </xf>
    <xf numFmtId="0" fontId="5" fillId="0" borderId="0" xfId="0" applyFont="1" applyBorder="1" applyAlignment="1">
      <alignment horizontal="center" vertical="center"/>
    </xf>
    <xf numFmtId="1" fontId="11" fillId="0" borderId="5" xfId="0" applyNumberFormat="1" applyFont="1" applyBorder="1" applyAlignment="1">
      <alignment horizontal="center" vertical="center"/>
    </xf>
    <xf numFmtId="0" fontId="11" fillId="0" borderId="5" xfId="0" applyFont="1" applyBorder="1" applyAlignment="1">
      <alignment horizontal="center" vertical="center"/>
    </xf>
    <xf numFmtId="0" fontId="5" fillId="0" borderId="5" xfId="0" applyFont="1" applyBorder="1" applyAlignment="1">
      <alignment horizontal="center" vertical="center"/>
    </xf>
    <xf numFmtId="0" fontId="4" fillId="0" borderId="5" xfId="0" applyFont="1" applyBorder="1" applyAlignment="1">
      <alignment horizontal="center" vertical="center"/>
    </xf>
    <xf numFmtId="0" fontId="6" fillId="4" borderId="5" xfId="0" applyFont="1" applyFill="1" applyBorder="1" applyAlignment="1">
      <alignment horizontal="center" vertical="center"/>
    </xf>
    <xf numFmtId="0" fontId="4" fillId="0" borderId="0" xfId="0" applyFont="1" applyAlignment="1">
      <alignment horizontal="center" vertical="center"/>
    </xf>
    <xf numFmtId="0" fontId="12" fillId="0" borderId="5" xfId="0" applyFont="1" applyBorder="1" applyAlignment="1">
      <alignment horizontal="center" vertical="center"/>
    </xf>
    <xf numFmtId="1" fontId="12" fillId="0" borderId="5" xfId="0" applyNumberFormat="1" applyFont="1" applyBorder="1" applyAlignment="1">
      <alignment horizontal="center" vertical="center"/>
    </xf>
    <xf numFmtId="164" fontId="12" fillId="0" borderId="5" xfId="0" applyNumberFormat="1" applyFont="1" applyBorder="1" applyAlignment="1">
      <alignment horizontal="center" vertical="center"/>
    </xf>
    <xf numFmtId="0" fontId="7" fillId="4" borderId="5" xfId="0" applyFont="1" applyFill="1" applyBorder="1" applyAlignment="1">
      <alignment horizontal="center" vertical="center" wrapText="1"/>
    </xf>
    <xf numFmtId="0" fontId="5" fillId="0" borderId="0" xfId="0" applyFont="1" applyBorder="1" applyAlignment="1">
      <alignment horizontal="center" vertical="center"/>
    </xf>
    <xf numFmtId="0" fontId="4" fillId="0" borderId="0" xfId="0" applyFont="1" applyAlignment="1">
      <alignment horizontal="center" vertical="center"/>
    </xf>
    <xf numFmtId="0" fontId="4" fillId="0" borderId="5" xfId="0" applyFont="1" applyBorder="1" applyAlignment="1">
      <alignment horizontal="center" vertical="center"/>
    </xf>
    <xf numFmtId="0" fontId="6" fillId="4" borderId="5" xfId="0" applyFont="1" applyFill="1" applyBorder="1" applyAlignment="1">
      <alignment horizontal="center" vertical="center"/>
    </xf>
    <xf numFmtId="0" fontId="5" fillId="0" borderId="5" xfId="0" applyFont="1" applyBorder="1" applyAlignment="1">
      <alignment horizontal="center" vertical="center"/>
    </xf>
    <xf numFmtId="0" fontId="11" fillId="0" borderId="5" xfId="0" applyFont="1" applyBorder="1" applyAlignment="1">
      <alignment horizontal="center" vertical="center"/>
    </xf>
    <xf numFmtId="1" fontId="11" fillId="0" borderId="5" xfId="0" applyNumberFormat="1" applyFont="1" applyBorder="1" applyAlignment="1">
      <alignment horizontal="center" vertical="center"/>
    </xf>
    <xf numFmtId="0" fontId="12" fillId="0" borderId="5" xfId="0" applyFont="1" applyBorder="1" applyAlignment="1">
      <alignment horizontal="center" vertical="center"/>
    </xf>
    <xf numFmtId="164" fontId="12" fillId="0" borderId="5" xfId="0" applyNumberFormat="1" applyFont="1" applyBorder="1" applyAlignment="1">
      <alignment horizontal="center" vertical="center"/>
    </xf>
    <xf numFmtId="1" fontId="12" fillId="0" borderId="5" xfId="0" applyNumberFormat="1" applyFont="1" applyBorder="1" applyAlignment="1">
      <alignment horizontal="center" vertical="center"/>
    </xf>
    <xf numFmtId="0" fontId="7" fillId="4" borderId="5" xfId="0" applyFont="1" applyFill="1" applyBorder="1" applyAlignment="1">
      <alignment horizontal="center" vertical="center" wrapText="1"/>
    </xf>
    <xf numFmtId="0" fontId="5" fillId="0" borderId="0" xfId="0" applyFont="1" applyBorder="1" applyAlignment="1">
      <alignment horizontal="center" vertical="center"/>
    </xf>
    <xf numFmtId="1" fontId="11" fillId="0" borderId="5" xfId="0" applyNumberFormat="1" applyFont="1" applyBorder="1" applyAlignment="1">
      <alignment horizontal="center" vertical="center"/>
    </xf>
    <xf numFmtId="0" fontId="11" fillId="0" borderId="5" xfId="0" applyFont="1" applyBorder="1" applyAlignment="1">
      <alignment horizontal="center" vertical="center"/>
    </xf>
    <xf numFmtId="0" fontId="5" fillId="0" borderId="5" xfId="0" applyFont="1" applyBorder="1" applyAlignment="1">
      <alignment horizontal="center" vertical="center"/>
    </xf>
    <xf numFmtId="0" fontId="4" fillId="0" borderId="5" xfId="0" applyFont="1" applyBorder="1" applyAlignment="1">
      <alignment horizontal="center" vertical="center"/>
    </xf>
    <xf numFmtId="0" fontId="6" fillId="4" borderId="5" xfId="0" applyFont="1" applyFill="1" applyBorder="1" applyAlignment="1">
      <alignment horizontal="center" vertical="center"/>
    </xf>
    <xf numFmtId="0" fontId="4" fillId="0" borderId="0" xfId="0" applyFont="1" applyAlignment="1">
      <alignment horizontal="center" vertical="center"/>
    </xf>
    <xf numFmtId="0" fontId="12" fillId="0" borderId="5" xfId="0" applyFont="1" applyBorder="1" applyAlignment="1">
      <alignment horizontal="center" vertical="center"/>
    </xf>
    <xf numFmtId="1" fontId="12" fillId="0" borderId="5" xfId="0" applyNumberFormat="1" applyFont="1" applyBorder="1" applyAlignment="1">
      <alignment horizontal="center" vertical="center"/>
    </xf>
    <xf numFmtId="164" fontId="12" fillId="0" borderId="5" xfId="0" applyNumberFormat="1" applyFont="1" applyBorder="1" applyAlignment="1">
      <alignment horizontal="center" vertical="center"/>
    </xf>
    <xf numFmtId="0" fontId="7" fillId="4" borderId="5" xfId="0" applyFont="1" applyFill="1" applyBorder="1" applyAlignment="1">
      <alignment horizontal="center" vertical="center" wrapText="1"/>
    </xf>
    <xf numFmtId="0" fontId="5" fillId="0" borderId="0" xfId="0" applyFont="1" applyBorder="1" applyAlignment="1">
      <alignment horizontal="center" vertical="center"/>
    </xf>
    <xf numFmtId="0" fontId="4" fillId="0" borderId="0" xfId="0" applyFont="1" applyAlignment="1">
      <alignment horizontal="center" vertical="center"/>
    </xf>
    <xf numFmtId="0" fontId="4" fillId="0" borderId="5" xfId="0" applyFont="1" applyBorder="1" applyAlignment="1">
      <alignment horizontal="center" vertical="center"/>
    </xf>
    <xf numFmtId="0" fontId="6" fillId="4" borderId="5" xfId="0" applyFont="1" applyFill="1" applyBorder="1" applyAlignment="1">
      <alignment horizontal="center" vertical="center"/>
    </xf>
    <xf numFmtId="0" fontId="5" fillId="0" borderId="5" xfId="0" applyFont="1" applyBorder="1" applyAlignment="1">
      <alignment horizontal="center" vertical="center"/>
    </xf>
    <xf numFmtId="0" fontId="11" fillId="0" borderId="5" xfId="0" applyFont="1" applyBorder="1" applyAlignment="1">
      <alignment horizontal="center" vertical="center"/>
    </xf>
    <xf numFmtId="1" fontId="11" fillId="0" borderId="5" xfId="0" applyNumberFormat="1" applyFont="1" applyBorder="1" applyAlignment="1">
      <alignment horizontal="center" vertical="center"/>
    </xf>
    <xf numFmtId="0" fontId="12" fillId="0" borderId="5" xfId="0" applyFont="1" applyBorder="1" applyAlignment="1">
      <alignment horizontal="center" vertical="center"/>
    </xf>
    <xf numFmtId="164" fontId="12" fillId="0" borderId="5" xfId="0" applyNumberFormat="1" applyFont="1" applyBorder="1" applyAlignment="1">
      <alignment horizontal="center" vertical="center"/>
    </xf>
    <xf numFmtId="1" fontId="12" fillId="0" borderId="5" xfId="0" applyNumberFormat="1" applyFont="1" applyBorder="1" applyAlignment="1">
      <alignment horizontal="center" vertical="center"/>
    </xf>
    <xf numFmtId="0" fontId="7" fillId="4" borderId="5" xfId="0" applyFont="1" applyFill="1" applyBorder="1" applyAlignment="1">
      <alignment horizontal="center" vertical="center" wrapText="1"/>
    </xf>
    <xf numFmtId="0" fontId="5" fillId="0" borderId="0" xfId="0" applyFont="1" applyBorder="1" applyAlignment="1">
      <alignment horizontal="center" vertical="center"/>
    </xf>
    <xf numFmtId="1" fontId="11" fillId="0" borderId="5" xfId="0" applyNumberFormat="1" applyFont="1" applyBorder="1" applyAlignment="1">
      <alignment horizontal="center" vertical="center"/>
    </xf>
    <xf numFmtId="0" fontId="11" fillId="0" borderId="5" xfId="0" applyFont="1" applyBorder="1" applyAlignment="1">
      <alignment horizontal="center" vertical="center"/>
    </xf>
    <xf numFmtId="0" fontId="5" fillId="0" borderId="5" xfId="0" applyFont="1" applyBorder="1" applyAlignment="1">
      <alignment horizontal="center" vertical="center"/>
    </xf>
    <xf numFmtId="0" fontId="4" fillId="0" borderId="5" xfId="0" applyFont="1" applyBorder="1" applyAlignment="1">
      <alignment horizontal="center" vertical="center"/>
    </xf>
    <xf numFmtId="0" fontId="6" fillId="4" borderId="5" xfId="0" applyFont="1" applyFill="1" applyBorder="1" applyAlignment="1">
      <alignment horizontal="center" vertical="center"/>
    </xf>
    <xf numFmtId="0" fontId="4" fillId="0" borderId="0" xfId="0" applyFont="1" applyAlignment="1">
      <alignment horizontal="center" vertical="center"/>
    </xf>
    <xf numFmtId="0" fontId="12" fillId="0" borderId="5" xfId="0" applyFont="1" applyBorder="1" applyAlignment="1">
      <alignment horizontal="center" vertical="center"/>
    </xf>
    <xf numFmtId="1" fontId="12" fillId="0" borderId="5" xfId="0" applyNumberFormat="1" applyFont="1" applyBorder="1" applyAlignment="1">
      <alignment horizontal="center" vertical="center"/>
    </xf>
    <xf numFmtId="164" fontId="12" fillId="0" borderId="5" xfId="0" applyNumberFormat="1" applyFont="1" applyBorder="1" applyAlignment="1">
      <alignment horizontal="center" vertical="center"/>
    </xf>
    <xf numFmtId="0" fontId="7" fillId="4" borderId="5" xfId="0" applyFont="1" applyFill="1" applyBorder="1" applyAlignment="1">
      <alignment horizontal="center" vertical="center" wrapText="1"/>
    </xf>
    <xf numFmtId="0" fontId="5" fillId="0" borderId="0" xfId="0" applyFont="1" applyBorder="1" applyAlignment="1">
      <alignment horizontal="center" vertical="center"/>
    </xf>
    <xf numFmtId="0" fontId="7" fillId="0" borderId="0" xfId="0" applyFont="1" applyAlignment="1">
      <alignment horizontal="center" vertical="center"/>
    </xf>
    <xf numFmtId="0" fontId="4" fillId="0" borderId="0" xfId="0" applyFont="1" applyAlignment="1">
      <alignment horizontal="center" vertical="center"/>
    </xf>
    <xf numFmtId="0" fontId="4" fillId="0" borderId="5" xfId="0" applyFont="1" applyBorder="1" applyAlignment="1">
      <alignment horizontal="center" vertical="center"/>
    </xf>
    <xf numFmtId="0" fontId="6" fillId="4" borderId="5" xfId="0" applyFont="1" applyFill="1" applyBorder="1" applyAlignment="1">
      <alignment horizontal="center" vertical="center"/>
    </xf>
    <xf numFmtId="0" fontId="5" fillId="0" borderId="5" xfId="0" applyFont="1" applyBorder="1" applyAlignment="1">
      <alignment horizontal="center" vertical="center"/>
    </xf>
    <xf numFmtId="0" fontId="11" fillId="0" borderId="5" xfId="0" applyFont="1" applyBorder="1" applyAlignment="1">
      <alignment horizontal="center" vertical="center"/>
    </xf>
    <xf numFmtId="1" fontId="11" fillId="0" borderId="5" xfId="0" applyNumberFormat="1" applyFont="1" applyBorder="1" applyAlignment="1">
      <alignment horizontal="center" vertical="center"/>
    </xf>
    <xf numFmtId="0" fontId="12" fillId="0" borderId="5" xfId="0" applyFont="1" applyBorder="1" applyAlignment="1">
      <alignment horizontal="center" vertical="center"/>
    </xf>
    <xf numFmtId="164" fontId="12" fillId="0" borderId="5" xfId="0" applyNumberFormat="1" applyFont="1" applyBorder="1" applyAlignment="1">
      <alignment horizontal="center" vertical="center"/>
    </xf>
    <xf numFmtId="1" fontId="12" fillId="0" borderId="5" xfId="0" applyNumberFormat="1" applyFont="1" applyBorder="1" applyAlignment="1">
      <alignment horizontal="center" vertical="center"/>
    </xf>
    <xf numFmtId="0" fontId="7" fillId="4" borderId="5" xfId="0" applyFont="1" applyFill="1" applyBorder="1" applyAlignment="1">
      <alignment horizontal="center" vertical="center" wrapText="1"/>
    </xf>
    <xf numFmtId="0" fontId="5" fillId="0" borderId="0" xfId="0" applyFont="1" applyBorder="1" applyAlignment="1">
      <alignment horizontal="center" vertical="center"/>
    </xf>
    <xf numFmtId="0" fontId="4" fillId="0" borderId="0" xfId="0" applyFont="1" applyAlignment="1">
      <alignment horizontal="center" vertical="center"/>
    </xf>
    <xf numFmtId="0" fontId="4" fillId="0" borderId="5" xfId="0" applyFont="1" applyBorder="1" applyAlignment="1">
      <alignment horizontal="center" vertical="center"/>
    </xf>
    <xf numFmtId="0" fontId="6" fillId="4" borderId="5" xfId="0" applyFont="1" applyFill="1" applyBorder="1" applyAlignment="1">
      <alignment horizontal="center" vertical="center"/>
    </xf>
    <xf numFmtId="0" fontId="5" fillId="0" borderId="5" xfId="0" applyFont="1" applyBorder="1" applyAlignment="1">
      <alignment horizontal="center" vertical="center"/>
    </xf>
    <xf numFmtId="0" fontId="11" fillId="0" borderId="5" xfId="0" applyFont="1" applyBorder="1" applyAlignment="1">
      <alignment horizontal="center" vertical="center"/>
    </xf>
    <xf numFmtId="1" fontId="11" fillId="0" borderId="5" xfId="0" applyNumberFormat="1" applyFont="1" applyBorder="1" applyAlignment="1">
      <alignment horizontal="center" vertical="center"/>
    </xf>
    <xf numFmtId="0" fontId="12" fillId="0" borderId="5" xfId="0" applyFont="1" applyBorder="1" applyAlignment="1">
      <alignment horizontal="center" vertical="center"/>
    </xf>
    <xf numFmtId="164" fontId="12" fillId="0" borderId="5" xfId="0" applyNumberFormat="1" applyFont="1" applyBorder="1" applyAlignment="1">
      <alignment horizontal="center" vertical="center"/>
    </xf>
    <xf numFmtId="1" fontId="12" fillId="0" borderId="5" xfId="0" applyNumberFormat="1" applyFont="1" applyBorder="1" applyAlignment="1">
      <alignment horizontal="center" vertical="center"/>
    </xf>
    <xf numFmtId="0" fontId="7" fillId="4" borderId="5" xfId="0" applyFont="1" applyFill="1" applyBorder="1" applyAlignment="1">
      <alignment horizontal="center" vertical="center" wrapText="1"/>
    </xf>
    <xf numFmtId="0" fontId="5" fillId="0" borderId="0" xfId="0" applyFont="1" applyBorder="1" applyAlignment="1">
      <alignment horizontal="center" vertical="center"/>
    </xf>
    <xf numFmtId="1" fontId="11" fillId="0" borderId="5" xfId="0" applyNumberFormat="1" applyFont="1" applyBorder="1" applyAlignment="1">
      <alignment horizontal="center" vertical="center"/>
    </xf>
    <xf numFmtId="0" fontId="11" fillId="0" borderId="5" xfId="0" applyFont="1" applyBorder="1" applyAlignment="1">
      <alignment horizontal="center" vertical="center"/>
    </xf>
    <xf numFmtId="0" fontId="5" fillId="0" borderId="5" xfId="0" applyFont="1" applyBorder="1" applyAlignment="1">
      <alignment horizontal="center" vertical="center"/>
    </xf>
    <xf numFmtId="0" fontId="4" fillId="0" borderId="5" xfId="0" applyFont="1" applyBorder="1" applyAlignment="1">
      <alignment horizontal="center" vertical="center"/>
    </xf>
    <xf numFmtId="0" fontId="6" fillId="4" borderId="5" xfId="0" applyFont="1" applyFill="1" applyBorder="1" applyAlignment="1">
      <alignment horizontal="center" vertical="center"/>
    </xf>
    <xf numFmtId="0" fontId="4" fillId="0" borderId="0" xfId="0" applyFont="1" applyAlignment="1">
      <alignment horizontal="center" vertical="center"/>
    </xf>
    <xf numFmtId="0" fontId="12" fillId="0" borderId="5" xfId="0" applyFont="1" applyBorder="1" applyAlignment="1">
      <alignment horizontal="center" vertical="center"/>
    </xf>
    <xf numFmtId="1" fontId="12" fillId="0" borderId="5" xfId="0" applyNumberFormat="1" applyFont="1" applyBorder="1" applyAlignment="1">
      <alignment horizontal="center" vertical="center"/>
    </xf>
    <xf numFmtId="164" fontId="12" fillId="0" borderId="5" xfId="0" applyNumberFormat="1" applyFont="1" applyBorder="1" applyAlignment="1">
      <alignment horizontal="center" vertical="center"/>
    </xf>
    <xf numFmtId="0" fontId="7" fillId="4" borderId="5" xfId="0" applyFont="1" applyFill="1" applyBorder="1" applyAlignment="1">
      <alignment horizontal="center" vertical="center" wrapText="1"/>
    </xf>
    <xf numFmtId="0" fontId="5" fillId="0" borderId="0" xfId="0" applyFont="1" applyBorder="1" applyAlignment="1">
      <alignment horizontal="center" vertical="center"/>
    </xf>
    <xf numFmtId="1" fontId="11" fillId="0" borderId="5" xfId="0" applyNumberFormat="1" applyFont="1" applyBorder="1" applyAlignment="1">
      <alignment horizontal="center" vertical="center"/>
    </xf>
    <xf numFmtId="0" fontId="11" fillId="0" borderId="5" xfId="0" applyFont="1" applyBorder="1" applyAlignment="1">
      <alignment horizontal="center" vertical="center"/>
    </xf>
    <xf numFmtId="0" fontId="5" fillId="0" borderId="5" xfId="0" applyFont="1" applyBorder="1" applyAlignment="1">
      <alignment horizontal="center" vertical="center"/>
    </xf>
    <xf numFmtId="0" fontId="4" fillId="0" borderId="5" xfId="0" applyFont="1" applyBorder="1" applyAlignment="1">
      <alignment horizontal="center" vertical="center"/>
    </xf>
    <xf numFmtId="0" fontId="6" fillId="4" borderId="5" xfId="0" applyFont="1" applyFill="1" applyBorder="1" applyAlignment="1">
      <alignment horizontal="center" vertical="center"/>
    </xf>
    <xf numFmtId="0" fontId="4" fillId="0" borderId="0" xfId="0" applyFont="1" applyAlignment="1">
      <alignment horizontal="center" vertical="center"/>
    </xf>
    <xf numFmtId="0" fontId="12" fillId="0" borderId="5" xfId="0" applyFont="1" applyBorder="1" applyAlignment="1">
      <alignment horizontal="center" vertical="center"/>
    </xf>
    <xf numFmtId="1" fontId="12" fillId="0" borderId="5" xfId="0" applyNumberFormat="1" applyFont="1" applyBorder="1" applyAlignment="1">
      <alignment horizontal="center" vertical="center"/>
    </xf>
    <xf numFmtId="164" fontId="12" fillId="0" borderId="5" xfId="0" applyNumberFormat="1" applyFont="1" applyBorder="1" applyAlignment="1">
      <alignment horizontal="center" vertical="center"/>
    </xf>
    <xf numFmtId="0" fontId="7" fillId="4" borderId="5" xfId="0" applyFont="1" applyFill="1" applyBorder="1" applyAlignment="1">
      <alignment horizontal="center" vertical="center" wrapText="1"/>
    </xf>
    <xf numFmtId="0" fontId="5" fillId="0" borderId="0" xfId="0" applyFont="1" applyBorder="1" applyAlignment="1">
      <alignment horizontal="center" vertical="center"/>
    </xf>
    <xf numFmtId="0" fontId="4" fillId="0" borderId="0" xfId="0" applyFont="1" applyAlignment="1">
      <alignment horizontal="center" vertical="center"/>
    </xf>
    <xf numFmtId="0" fontId="4" fillId="0" borderId="5" xfId="0" applyFont="1" applyBorder="1" applyAlignment="1">
      <alignment horizontal="center" vertical="center"/>
    </xf>
    <xf numFmtId="0" fontId="6" fillId="4" borderId="5" xfId="0" applyFont="1" applyFill="1" applyBorder="1" applyAlignment="1">
      <alignment horizontal="center" vertical="center"/>
    </xf>
    <xf numFmtId="0" fontId="5" fillId="0" borderId="5" xfId="0" applyFont="1" applyBorder="1" applyAlignment="1">
      <alignment horizontal="center" vertical="center"/>
    </xf>
    <xf numFmtId="0" fontId="11" fillId="0" borderId="5" xfId="0" applyFont="1" applyBorder="1" applyAlignment="1">
      <alignment horizontal="center" vertical="center"/>
    </xf>
    <xf numFmtId="1" fontId="11" fillId="0" borderId="5" xfId="0" applyNumberFormat="1" applyFont="1" applyBorder="1" applyAlignment="1">
      <alignment horizontal="center" vertical="center"/>
    </xf>
    <xf numFmtId="0" fontId="12" fillId="0" borderId="5" xfId="0" applyFont="1" applyBorder="1" applyAlignment="1">
      <alignment horizontal="center" vertical="center"/>
    </xf>
    <xf numFmtId="164" fontId="12" fillId="0" borderId="5" xfId="0" applyNumberFormat="1" applyFont="1" applyBorder="1" applyAlignment="1">
      <alignment horizontal="center" vertical="center"/>
    </xf>
    <xf numFmtId="1" fontId="12" fillId="0" borderId="5" xfId="0" applyNumberFormat="1" applyFont="1" applyBorder="1" applyAlignment="1">
      <alignment horizontal="center" vertical="center"/>
    </xf>
    <xf numFmtId="0" fontId="7" fillId="4" borderId="5" xfId="0" applyFont="1" applyFill="1" applyBorder="1" applyAlignment="1">
      <alignment horizontal="center" vertical="center" wrapText="1"/>
    </xf>
    <xf numFmtId="0" fontId="5" fillId="0" borderId="0" xfId="0" applyFont="1" applyBorder="1" applyAlignment="1">
      <alignment horizontal="center" vertical="center"/>
    </xf>
    <xf numFmtId="0" fontId="4" fillId="0" borderId="0" xfId="0" applyFont="1" applyAlignment="1">
      <alignment horizontal="center" vertical="center"/>
    </xf>
    <xf numFmtId="0" fontId="4" fillId="0" borderId="5" xfId="0" applyFont="1" applyBorder="1" applyAlignment="1">
      <alignment horizontal="center" vertical="center"/>
    </xf>
    <xf numFmtId="0" fontId="6" fillId="4" borderId="5" xfId="0" applyFont="1" applyFill="1" applyBorder="1" applyAlignment="1">
      <alignment horizontal="center" vertical="center"/>
    </xf>
    <xf numFmtId="0" fontId="5" fillId="0" borderId="5" xfId="0" applyFont="1" applyBorder="1" applyAlignment="1">
      <alignment horizontal="center" vertical="center"/>
    </xf>
    <xf numFmtId="0" fontId="11" fillId="0" borderId="5" xfId="0" applyFont="1" applyBorder="1" applyAlignment="1">
      <alignment horizontal="center" vertical="center"/>
    </xf>
    <xf numFmtId="1" fontId="11" fillId="0" borderId="5" xfId="0" applyNumberFormat="1" applyFont="1" applyBorder="1" applyAlignment="1">
      <alignment horizontal="center" vertical="center"/>
    </xf>
    <xf numFmtId="0" fontId="12" fillId="0" borderId="5" xfId="0" applyFont="1" applyBorder="1" applyAlignment="1">
      <alignment horizontal="center" vertical="center"/>
    </xf>
    <xf numFmtId="164" fontId="12" fillId="0" borderId="5" xfId="0" applyNumberFormat="1" applyFont="1" applyBorder="1" applyAlignment="1">
      <alignment horizontal="center" vertical="center"/>
    </xf>
    <xf numFmtId="1" fontId="12" fillId="0" borderId="5" xfId="0" applyNumberFormat="1" applyFont="1" applyBorder="1" applyAlignment="1">
      <alignment horizontal="center" vertical="center"/>
    </xf>
    <xf numFmtId="0" fontId="7" fillId="4" borderId="5" xfId="0" applyFont="1" applyFill="1" applyBorder="1" applyAlignment="1">
      <alignment horizontal="center" vertical="center" wrapText="1"/>
    </xf>
    <xf numFmtId="0" fontId="5" fillId="0" borderId="0" xfId="0" applyFont="1" applyBorder="1" applyAlignment="1">
      <alignment horizontal="center" vertical="center"/>
    </xf>
    <xf numFmtId="0" fontId="4" fillId="0" borderId="0" xfId="0" applyFont="1" applyAlignment="1">
      <alignment horizontal="center" vertical="center"/>
    </xf>
    <xf numFmtId="0" fontId="4" fillId="0" borderId="5" xfId="0" applyFont="1" applyBorder="1" applyAlignment="1">
      <alignment horizontal="center" vertical="center"/>
    </xf>
    <xf numFmtId="0" fontId="6" fillId="4" borderId="5" xfId="0" applyFont="1" applyFill="1" applyBorder="1" applyAlignment="1">
      <alignment horizontal="center" vertical="center"/>
    </xf>
    <xf numFmtId="0" fontId="5" fillId="0" borderId="5" xfId="0" applyFont="1" applyBorder="1" applyAlignment="1">
      <alignment horizontal="center" vertical="center"/>
    </xf>
    <xf numFmtId="0" fontId="11" fillId="0" borderId="5" xfId="0" applyFont="1" applyBorder="1" applyAlignment="1">
      <alignment horizontal="center" vertical="center"/>
    </xf>
    <xf numFmtId="1" fontId="11" fillId="0" borderId="5" xfId="0" applyNumberFormat="1" applyFont="1" applyBorder="1" applyAlignment="1">
      <alignment horizontal="center" vertical="center"/>
    </xf>
    <xf numFmtId="0" fontId="12" fillId="0" borderId="5" xfId="0" applyFont="1" applyBorder="1" applyAlignment="1">
      <alignment horizontal="center" vertical="center"/>
    </xf>
    <xf numFmtId="164" fontId="12" fillId="0" borderId="5" xfId="0" applyNumberFormat="1" applyFont="1" applyBorder="1" applyAlignment="1">
      <alignment horizontal="center" vertical="center"/>
    </xf>
    <xf numFmtId="1" fontId="12" fillId="0" borderId="5" xfId="0" applyNumberFormat="1" applyFont="1" applyBorder="1" applyAlignment="1">
      <alignment horizontal="center" vertical="center"/>
    </xf>
    <xf numFmtId="0" fontId="7" fillId="4" borderId="5" xfId="0" applyFont="1" applyFill="1" applyBorder="1" applyAlignment="1">
      <alignment horizontal="center" vertical="center" wrapText="1"/>
    </xf>
    <xf numFmtId="0" fontId="5" fillId="0" borderId="0" xfId="0" applyFont="1" applyBorder="1" applyAlignment="1">
      <alignment horizontal="center" vertical="center"/>
    </xf>
    <xf numFmtId="0" fontId="4" fillId="0" borderId="0" xfId="0" applyFont="1" applyAlignment="1">
      <alignment horizontal="center" vertical="center"/>
    </xf>
    <xf numFmtId="0" fontId="4" fillId="0" borderId="5" xfId="0" applyFont="1" applyBorder="1" applyAlignment="1">
      <alignment horizontal="center" vertical="center"/>
    </xf>
    <xf numFmtId="0" fontId="6" fillId="4" borderId="5" xfId="0" applyFont="1" applyFill="1" applyBorder="1" applyAlignment="1">
      <alignment horizontal="center" vertical="center"/>
    </xf>
    <xf numFmtId="0" fontId="5" fillId="0" borderId="5" xfId="0" applyFont="1" applyBorder="1" applyAlignment="1">
      <alignment horizontal="center" vertical="center"/>
    </xf>
    <xf numFmtId="0" fontId="11" fillId="0" borderId="5" xfId="0" applyFont="1" applyBorder="1" applyAlignment="1">
      <alignment horizontal="center" vertical="center"/>
    </xf>
    <xf numFmtId="1" fontId="11" fillId="0" borderId="5" xfId="0" applyNumberFormat="1" applyFont="1" applyBorder="1" applyAlignment="1">
      <alignment horizontal="center" vertical="center"/>
    </xf>
    <xf numFmtId="0" fontId="12" fillId="0" borderId="5" xfId="0" applyFont="1" applyBorder="1" applyAlignment="1">
      <alignment horizontal="center" vertical="center"/>
    </xf>
    <xf numFmtId="164" fontId="12" fillId="0" borderId="5" xfId="0" applyNumberFormat="1" applyFont="1" applyBorder="1" applyAlignment="1">
      <alignment horizontal="center" vertical="center"/>
    </xf>
    <xf numFmtId="1" fontId="12" fillId="0" borderId="5" xfId="0" applyNumberFormat="1" applyFont="1" applyBorder="1" applyAlignment="1">
      <alignment horizontal="center" vertical="center"/>
    </xf>
    <xf numFmtId="0" fontId="7" fillId="4" borderId="5" xfId="0" applyFont="1" applyFill="1" applyBorder="1" applyAlignment="1">
      <alignment horizontal="center" vertical="center" wrapText="1"/>
    </xf>
    <xf numFmtId="0" fontId="5" fillId="0" borderId="0" xfId="0" applyFont="1" applyBorder="1" applyAlignment="1">
      <alignment horizontal="center" vertical="center"/>
    </xf>
    <xf numFmtId="1" fontId="11" fillId="0" borderId="5" xfId="0" applyNumberFormat="1" applyFont="1" applyBorder="1" applyAlignment="1">
      <alignment horizontal="center" vertical="center"/>
    </xf>
    <xf numFmtId="0" fontId="11" fillId="0" borderId="5" xfId="0" applyFont="1" applyBorder="1" applyAlignment="1">
      <alignment horizontal="center" vertical="center"/>
    </xf>
    <xf numFmtId="0" fontId="5" fillId="0" borderId="5" xfId="0" applyFont="1" applyBorder="1" applyAlignment="1">
      <alignment horizontal="center" vertical="center"/>
    </xf>
    <xf numFmtId="0" fontId="4" fillId="0" borderId="5" xfId="0" applyFont="1" applyBorder="1" applyAlignment="1">
      <alignment horizontal="center" vertical="center"/>
    </xf>
    <xf numFmtId="0" fontId="6" fillId="4" borderId="5" xfId="0" applyFont="1" applyFill="1" applyBorder="1" applyAlignment="1">
      <alignment horizontal="center" vertical="center"/>
    </xf>
    <xf numFmtId="0" fontId="4" fillId="0" borderId="0" xfId="0" applyFont="1" applyAlignment="1">
      <alignment horizontal="center" vertical="center"/>
    </xf>
    <xf numFmtId="0" fontId="12" fillId="0" borderId="5" xfId="0" applyFont="1" applyBorder="1" applyAlignment="1">
      <alignment horizontal="center" vertical="center"/>
    </xf>
    <xf numFmtId="1" fontId="12" fillId="0" borderId="5" xfId="0" applyNumberFormat="1" applyFont="1" applyBorder="1" applyAlignment="1">
      <alignment horizontal="center" vertical="center"/>
    </xf>
    <xf numFmtId="164" fontId="12" fillId="0" borderId="5" xfId="0" applyNumberFormat="1" applyFont="1" applyBorder="1" applyAlignment="1">
      <alignment horizontal="center" vertical="center"/>
    </xf>
    <xf numFmtId="0" fontId="7" fillId="4" borderId="5" xfId="0" applyFont="1" applyFill="1" applyBorder="1" applyAlignment="1">
      <alignment horizontal="center" vertical="center" wrapText="1"/>
    </xf>
    <xf numFmtId="0" fontId="5" fillId="0" borderId="0" xfId="0" applyFont="1" applyBorder="1" applyAlignment="1">
      <alignment horizontal="center" vertical="center"/>
    </xf>
    <xf numFmtId="0" fontId="4" fillId="0" borderId="0" xfId="0" applyFont="1" applyAlignment="1">
      <alignment horizontal="center" vertical="center"/>
    </xf>
    <xf numFmtId="0" fontId="4" fillId="0" borderId="5" xfId="0" applyFont="1" applyBorder="1" applyAlignment="1">
      <alignment horizontal="center" vertical="center"/>
    </xf>
    <xf numFmtId="0" fontId="6" fillId="4" borderId="5" xfId="0" applyFont="1" applyFill="1" applyBorder="1" applyAlignment="1">
      <alignment horizontal="center" vertical="center"/>
    </xf>
    <xf numFmtId="0" fontId="5" fillId="0" borderId="5" xfId="0" applyFont="1" applyBorder="1" applyAlignment="1">
      <alignment horizontal="center" vertical="center"/>
    </xf>
    <xf numFmtId="0" fontId="11" fillId="0" borderId="5" xfId="0" applyFont="1" applyBorder="1" applyAlignment="1">
      <alignment horizontal="center" vertical="center"/>
    </xf>
    <xf numFmtId="1" fontId="11" fillId="0" borderId="5" xfId="0" applyNumberFormat="1" applyFont="1" applyBorder="1" applyAlignment="1">
      <alignment horizontal="center" vertical="center"/>
    </xf>
    <xf numFmtId="0" fontId="12" fillId="0" borderId="5" xfId="0" applyFont="1" applyBorder="1" applyAlignment="1">
      <alignment horizontal="center" vertical="center"/>
    </xf>
    <xf numFmtId="164" fontId="12" fillId="0" borderId="5" xfId="0" applyNumberFormat="1" applyFont="1" applyBorder="1" applyAlignment="1">
      <alignment horizontal="center" vertical="center"/>
    </xf>
    <xf numFmtId="1" fontId="12" fillId="0" borderId="5" xfId="0" applyNumberFormat="1" applyFont="1" applyBorder="1" applyAlignment="1">
      <alignment horizontal="center" vertical="center"/>
    </xf>
    <xf numFmtId="0" fontId="7" fillId="4" borderId="5" xfId="0" applyFont="1" applyFill="1" applyBorder="1" applyAlignment="1">
      <alignment horizontal="center" vertical="center" wrapText="1"/>
    </xf>
    <xf numFmtId="0" fontId="5" fillId="0" borderId="0" xfId="0" applyFont="1" applyBorder="1" applyAlignment="1">
      <alignment horizontal="center" vertical="center"/>
    </xf>
    <xf numFmtId="0" fontId="4" fillId="0" borderId="0" xfId="0" applyFont="1" applyAlignment="1">
      <alignment horizontal="center" vertical="center"/>
    </xf>
    <xf numFmtId="0" fontId="4" fillId="0" borderId="5" xfId="0" applyFont="1" applyBorder="1" applyAlignment="1">
      <alignment horizontal="center" vertical="center"/>
    </xf>
    <xf numFmtId="0" fontId="6" fillId="4" borderId="5" xfId="0" applyFont="1" applyFill="1" applyBorder="1" applyAlignment="1">
      <alignment horizontal="center" vertical="center"/>
    </xf>
    <xf numFmtId="0" fontId="5" fillId="0" borderId="5" xfId="0" applyFont="1" applyBorder="1" applyAlignment="1">
      <alignment horizontal="center" vertical="center"/>
    </xf>
    <xf numFmtId="0" fontId="11" fillId="0" borderId="5" xfId="0" applyFont="1" applyBorder="1" applyAlignment="1">
      <alignment horizontal="center" vertical="center"/>
    </xf>
    <xf numFmtId="1" fontId="11" fillId="0" borderId="5" xfId="0" applyNumberFormat="1" applyFont="1" applyBorder="1" applyAlignment="1">
      <alignment horizontal="center" vertical="center"/>
    </xf>
    <xf numFmtId="0" fontId="12" fillId="0" borderId="5" xfId="0" applyFont="1" applyBorder="1" applyAlignment="1">
      <alignment horizontal="center" vertical="center"/>
    </xf>
    <xf numFmtId="164" fontId="12" fillId="0" borderId="5" xfId="0" applyNumberFormat="1" applyFont="1" applyBorder="1" applyAlignment="1">
      <alignment horizontal="center" vertical="center"/>
    </xf>
    <xf numFmtId="1" fontId="12" fillId="0" borderId="5" xfId="0" applyNumberFormat="1" applyFont="1" applyBorder="1" applyAlignment="1">
      <alignment horizontal="center" vertical="center"/>
    </xf>
    <xf numFmtId="0" fontId="7" fillId="4" borderId="5" xfId="0" applyFont="1" applyFill="1" applyBorder="1" applyAlignment="1">
      <alignment horizontal="center" vertical="center" wrapText="1"/>
    </xf>
    <xf numFmtId="0" fontId="5" fillId="0" borderId="0" xfId="0" applyFont="1" applyBorder="1" applyAlignment="1">
      <alignment horizontal="center" vertical="center"/>
    </xf>
    <xf numFmtId="0" fontId="4" fillId="0" borderId="0" xfId="0" applyFont="1" applyAlignment="1">
      <alignment horizontal="center" vertical="center"/>
    </xf>
    <xf numFmtId="0" fontId="4" fillId="0" borderId="5" xfId="0" applyFont="1" applyBorder="1" applyAlignment="1">
      <alignment horizontal="center" vertical="center"/>
    </xf>
    <xf numFmtId="0" fontId="6" fillId="4" borderId="5" xfId="0" applyFont="1" applyFill="1" applyBorder="1" applyAlignment="1">
      <alignment horizontal="center" vertical="center"/>
    </xf>
    <xf numFmtId="0" fontId="5" fillId="0" borderId="5" xfId="0" applyFont="1" applyBorder="1" applyAlignment="1">
      <alignment horizontal="center" vertical="center"/>
    </xf>
    <xf numFmtId="0" fontId="11" fillId="0" borderId="5" xfId="0" applyFont="1" applyBorder="1" applyAlignment="1">
      <alignment horizontal="center" vertical="center"/>
    </xf>
    <xf numFmtId="1" fontId="11" fillId="0" borderId="5" xfId="0" applyNumberFormat="1" applyFont="1" applyBorder="1" applyAlignment="1">
      <alignment horizontal="center" vertical="center"/>
    </xf>
    <xf numFmtId="0" fontId="12" fillId="0" borderId="5" xfId="0" applyFont="1" applyBorder="1" applyAlignment="1">
      <alignment horizontal="center" vertical="center"/>
    </xf>
    <xf numFmtId="164" fontId="12" fillId="0" borderId="5" xfId="0" applyNumberFormat="1" applyFont="1" applyBorder="1" applyAlignment="1">
      <alignment horizontal="center" vertical="center"/>
    </xf>
    <xf numFmtId="1" fontId="12" fillId="0" borderId="5" xfId="0" applyNumberFormat="1" applyFont="1" applyBorder="1" applyAlignment="1">
      <alignment horizontal="center" vertical="center"/>
    </xf>
    <xf numFmtId="0" fontId="7" fillId="4" borderId="5" xfId="0" applyFont="1" applyFill="1" applyBorder="1" applyAlignment="1">
      <alignment horizontal="center" vertical="center" wrapText="1"/>
    </xf>
    <xf numFmtId="0" fontId="5" fillId="0" borderId="0" xfId="0" applyFont="1" applyBorder="1" applyAlignment="1">
      <alignment horizontal="center" vertical="center"/>
    </xf>
    <xf numFmtId="1" fontId="11" fillId="0" borderId="5" xfId="0" applyNumberFormat="1" applyFont="1" applyBorder="1" applyAlignment="1">
      <alignment horizontal="center" vertical="center"/>
    </xf>
    <xf numFmtId="0" fontId="11" fillId="0" borderId="5" xfId="0" applyFont="1" applyBorder="1" applyAlignment="1">
      <alignment horizontal="center" vertical="center"/>
    </xf>
    <xf numFmtId="0" fontId="5" fillId="0" borderId="5" xfId="0" applyFont="1" applyBorder="1" applyAlignment="1">
      <alignment horizontal="center" vertical="center"/>
    </xf>
    <xf numFmtId="0" fontId="4" fillId="0" borderId="5" xfId="0" applyFont="1" applyBorder="1" applyAlignment="1">
      <alignment horizontal="center" vertical="center"/>
    </xf>
    <xf numFmtId="0" fontId="6" fillId="4" borderId="5" xfId="0" applyFont="1" applyFill="1" applyBorder="1" applyAlignment="1">
      <alignment horizontal="center" vertical="center"/>
    </xf>
    <xf numFmtId="0" fontId="4" fillId="0" borderId="0" xfId="0" applyFont="1" applyAlignment="1">
      <alignment horizontal="center" vertical="center"/>
    </xf>
    <xf numFmtId="0" fontId="12" fillId="0" borderId="5" xfId="0" applyFont="1" applyBorder="1" applyAlignment="1">
      <alignment horizontal="center" vertical="center"/>
    </xf>
    <xf numFmtId="1" fontId="12" fillId="0" borderId="5" xfId="0" applyNumberFormat="1" applyFont="1" applyBorder="1" applyAlignment="1">
      <alignment horizontal="center" vertical="center"/>
    </xf>
    <xf numFmtId="164" fontId="12" fillId="0" borderId="5" xfId="0" applyNumberFormat="1" applyFont="1" applyBorder="1" applyAlignment="1">
      <alignment horizontal="center" vertical="center"/>
    </xf>
    <xf numFmtId="0" fontId="7" fillId="4" borderId="5" xfId="0" applyFont="1" applyFill="1" applyBorder="1" applyAlignment="1">
      <alignment horizontal="center" vertical="center" wrapText="1"/>
    </xf>
    <xf numFmtId="0" fontId="5" fillId="0" borderId="0" xfId="0" applyFont="1" applyBorder="1" applyAlignment="1">
      <alignment horizontal="center" vertical="center"/>
    </xf>
    <xf numFmtId="1" fontId="11" fillId="0" borderId="5" xfId="0" applyNumberFormat="1" applyFont="1" applyBorder="1" applyAlignment="1">
      <alignment horizontal="center" vertical="center"/>
    </xf>
    <xf numFmtId="0" fontId="11" fillId="0" borderId="5" xfId="0" applyFont="1" applyBorder="1" applyAlignment="1">
      <alignment horizontal="center" vertical="center"/>
    </xf>
    <xf numFmtId="0" fontId="5" fillId="0" borderId="5" xfId="0" applyFont="1" applyBorder="1" applyAlignment="1">
      <alignment horizontal="center" vertical="center"/>
    </xf>
    <xf numFmtId="0" fontId="4" fillId="0" borderId="5" xfId="0" applyFont="1" applyBorder="1" applyAlignment="1">
      <alignment horizontal="center" vertical="center"/>
    </xf>
    <xf numFmtId="0" fontId="6" fillId="4" borderId="5" xfId="0" applyFont="1" applyFill="1" applyBorder="1" applyAlignment="1">
      <alignment horizontal="center" vertical="center"/>
    </xf>
    <xf numFmtId="0" fontId="4" fillId="0" borderId="0" xfId="0" applyFont="1" applyAlignment="1">
      <alignment horizontal="center" vertical="center"/>
    </xf>
    <xf numFmtId="0" fontId="12" fillId="0" borderId="5" xfId="0" applyFont="1" applyBorder="1" applyAlignment="1">
      <alignment horizontal="center" vertical="center"/>
    </xf>
    <xf numFmtId="1" fontId="12" fillId="0" borderId="5" xfId="0" applyNumberFormat="1" applyFont="1" applyBorder="1" applyAlignment="1">
      <alignment horizontal="center" vertical="center"/>
    </xf>
    <xf numFmtId="164" fontId="12" fillId="0" borderId="5" xfId="0" applyNumberFormat="1" applyFont="1" applyBorder="1" applyAlignment="1">
      <alignment horizontal="center" vertical="center"/>
    </xf>
    <xf numFmtId="0" fontId="7" fillId="4" borderId="5" xfId="0" applyFont="1" applyFill="1" applyBorder="1" applyAlignment="1">
      <alignment horizontal="center" vertical="center" wrapText="1"/>
    </xf>
    <xf numFmtId="0" fontId="5" fillId="0" borderId="0" xfId="0" applyFont="1" applyBorder="1" applyAlignment="1">
      <alignment horizontal="center" vertical="center"/>
    </xf>
    <xf numFmtId="0" fontId="4" fillId="0" borderId="0" xfId="0" applyFont="1" applyAlignment="1">
      <alignment horizontal="center" vertical="center"/>
    </xf>
    <xf numFmtId="0" fontId="4" fillId="0" borderId="5" xfId="0" applyFont="1" applyBorder="1" applyAlignment="1">
      <alignment horizontal="center" vertical="center"/>
    </xf>
    <xf numFmtId="0" fontId="6" fillId="4" borderId="5" xfId="0" applyFont="1" applyFill="1" applyBorder="1" applyAlignment="1">
      <alignment horizontal="center" vertical="center"/>
    </xf>
    <xf numFmtId="0" fontId="5" fillId="0" borderId="5" xfId="0" applyFont="1" applyBorder="1" applyAlignment="1">
      <alignment horizontal="center" vertical="center"/>
    </xf>
    <xf numFmtId="0" fontId="11" fillId="0" borderId="5" xfId="0" applyFont="1" applyBorder="1" applyAlignment="1">
      <alignment horizontal="center" vertical="center"/>
    </xf>
    <xf numFmtId="1" fontId="11" fillId="0" borderId="5" xfId="0" applyNumberFormat="1" applyFont="1" applyBorder="1" applyAlignment="1">
      <alignment horizontal="center" vertical="center"/>
    </xf>
    <xf numFmtId="0" fontId="12" fillId="0" borderId="5" xfId="0" applyFont="1" applyBorder="1" applyAlignment="1">
      <alignment horizontal="center" vertical="center"/>
    </xf>
    <xf numFmtId="164" fontId="12" fillId="0" borderId="5" xfId="0" applyNumberFormat="1" applyFont="1" applyBorder="1" applyAlignment="1">
      <alignment horizontal="center" vertical="center"/>
    </xf>
    <xf numFmtId="1" fontId="12" fillId="0" borderId="5" xfId="0" applyNumberFormat="1" applyFont="1" applyBorder="1" applyAlignment="1">
      <alignment horizontal="center" vertical="center"/>
    </xf>
    <xf numFmtId="0" fontId="7" fillId="4" borderId="5" xfId="0" applyFont="1" applyFill="1" applyBorder="1" applyAlignment="1">
      <alignment horizontal="center" vertical="center" wrapText="1"/>
    </xf>
    <xf numFmtId="0" fontId="5" fillId="0" borderId="0" xfId="0" applyFont="1" applyBorder="1" applyAlignment="1">
      <alignment horizontal="center" vertical="center"/>
    </xf>
    <xf numFmtId="1" fontId="11" fillId="0" borderId="5" xfId="0" applyNumberFormat="1" applyFont="1" applyBorder="1" applyAlignment="1">
      <alignment horizontal="center" vertical="center"/>
    </xf>
    <xf numFmtId="0" fontId="11" fillId="0" borderId="5" xfId="0" applyFont="1" applyBorder="1" applyAlignment="1">
      <alignment horizontal="center" vertical="center"/>
    </xf>
    <xf numFmtId="0" fontId="5" fillId="0" borderId="5" xfId="0" applyFont="1" applyBorder="1" applyAlignment="1">
      <alignment horizontal="center" vertical="center"/>
    </xf>
    <xf numFmtId="0" fontId="4" fillId="0" borderId="5" xfId="0" applyFont="1" applyBorder="1" applyAlignment="1">
      <alignment horizontal="center" vertical="center"/>
    </xf>
    <xf numFmtId="0" fontId="6" fillId="4" borderId="5" xfId="0" applyFont="1" applyFill="1" applyBorder="1" applyAlignment="1">
      <alignment horizontal="center" vertical="center"/>
    </xf>
    <xf numFmtId="0" fontId="4" fillId="0" borderId="0" xfId="0" applyFont="1" applyAlignment="1">
      <alignment horizontal="center" vertical="center"/>
    </xf>
    <xf numFmtId="0" fontId="12" fillId="0" borderId="5" xfId="0" applyFont="1" applyBorder="1" applyAlignment="1">
      <alignment horizontal="center" vertical="center"/>
    </xf>
    <xf numFmtId="1" fontId="12" fillId="0" borderId="5" xfId="0" applyNumberFormat="1" applyFont="1" applyBorder="1" applyAlignment="1">
      <alignment horizontal="center" vertical="center"/>
    </xf>
    <xf numFmtId="164" fontId="12" fillId="0" borderId="5" xfId="0" applyNumberFormat="1" applyFont="1" applyBorder="1" applyAlignment="1">
      <alignment horizontal="center" vertical="center"/>
    </xf>
    <xf numFmtId="0" fontId="7" fillId="4" borderId="5" xfId="0" applyFont="1" applyFill="1" applyBorder="1" applyAlignment="1">
      <alignment horizontal="center" vertical="center" wrapText="1"/>
    </xf>
    <xf numFmtId="0" fontId="5" fillId="0" borderId="0" xfId="0" applyFont="1" applyBorder="1" applyAlignment="1">
      <alignment horizontal="center" vertical="center"/>
    </xf>
    <xf numFmtId="1" fontId="11" fillId="0" borderId="5" xfId="0" applyNumberFormat="1" applyFont="1" applyBorder="1" applyAlignment="1">
      <alignment horizontal="center" vertical="center"/>
    </xf>
    <xf numFmtId="0" fontId="11" fillId="0" borderId="5" xfId="0" applyFont="1" applyBorder="1" applyAlignment="1">
      <alignment horizontal="center" vertical="center"/>
    </xf>
    <xf numFmtId="0" fontId="5" fillId="0" borderId="5" xfId="0" applyFont="1" applyBorder="1" applyAlignment="1">
      <alignment horizontal="center" vertical="center"/>
    </xf>
    <xf numFmtId="0" fontId="4" fillId="0" borderId="5" xfId="0" applyFont="1" applyBorder="1" applyAlignment="1">
      <alignment horizontal="center" vertical="center"/>
    </xf>
    <xf numFmtId="0" fontId="6" fillId="4" borderId="5" xfId="0" applyFont="1" applyFill="1" applyBorder="1" applyAlignment="1">
      <alignment horizontal="center" vertical="center"/>
    </xf>
    <xf numFmtId="0" fontId="4" fillId="0" borderId="0" xfId="0" applyFont="1" applyAlignment="1">
      <alignment horizontal="center" vertical="center"/>
    </xf>
    <xf numFmtId="0" fontId="12" fillId="0" borderId="5" xfId="0" applyFont="1" applyBorder="1" applyAlignment="1">
      <alignment horizontal="center" vertical="center"/>
    </xf>
    <xf numFmtId="1" fontId="12" fillId="0" borderId="5" xfId="0" applyNumberFormat="1" applyFont="1" applyBorder="1" applyAlignment="1">
      <alignment horizontal="center" vertical="center"/>
    </xf>
    <xf numFmtId="164" fontId="12" fillId="0" borderId="5" xfId="0" applyNumberFormat="1" applyFont="1" applyBorder="1" applyAlignment="1">
      <alignment horizontal="center" vertical="center"/>
    </xf>
    <xf numFmtId="0" fontId="7" fillId="4" borderId="5" xfId="0" applyFont="1" applyFill="1" applyBorder="1" applyAlignment="1">
      <alignment horizontal="center" vertical="center" wrapText="1"/>
    </xf>
    <xf numFmtId="0" fontId="5" fillId="0" borderId="0" xfId="0" applyFont="1" applyBorder="1" applyAlignment="1">
      <alignment horizontal="center" vertical="center"/>
    </xf>
    <xf numFmtId="0" fontId="4" fillId="0" borderId="0" xfId="0" applyFont="1" applyAlignment="1">
      <alignment horizontal="center" vertical="center"/>
    </xf>
    <xf numFmtId="0" fontId="4" fillId="0" borderId="5" xfId="0" applyFont="1" applyBorder="1" applyAlignment="1">
      <alignment horizontal="center" vertical="center"/>
    </xf>
    <xf numFmtId="0" fontId="6" fillId="4" borderId="5" xfId="0" applyFont="1" applyFill="1" applyBorder="1" applyAlignment="1">
      <alignment horizontal="center" vertical="center"/>
    </xf>
    <xf numFmtId="0" fontId="5" fillId="0" borderId="5" xfId="0" applyFont="1" applyBorder="1" applyAlignment="1">
      <alignment horizontal="center" vertical="center"/>
    </xf>
    <xf numFmtId="0" fontId="11" fillId="0" borderId="5" xfId="0" applyFont="1" applyBorder="1" applyAlignment="1">
      <alignment horizontal="center" vertical="center"/>
    </xf>
    <xf numFmtId="1" fontId="11" fillId="0" borderId="5" xfId="0" applyNumberFormat="1" applyFont="1" applyBorder="1" applyAlignment="1">
      <alignment horizontal="center" vertical="center"/>
    </xf>
    <xf numFmtId="0" fontId="12" fillId="0" borderId="5" xfId="0" applyFont="1" applyBorder="1" applyAlignment="1">
      <alignment horizontal="center" vertical="center"/>
    </xf>
    <xf numFmtId="164" fontId="12" fillId="0" borderId="5" xfId="0" applyNumberFormat="1" applyFont="1" applyBorder="1" applyAlignment="1">
      <alignment horizontal="center" vertical="center"/>
    </xf>
    <xf numFmtId="1" fontId="12" fillId="0" borderId="5" xfId="0" applyNumberFormat="1" applyFont="1" applyBorder="1" applyAlignment="1">
      <alignment horizontal="center" vertical="center"/>
    </xf>
    <xf numFmtId="0" fontId="7" fillId="4" borderId="5" xfId="0" applyFont="1" applyFill="1" applyBorder="1" applyAlignment="1">
      <alignment horizontal="center" vertical="center" wrapText="1"/>
    </xf>
    <xf numFmtId="0" fontId="5" fillId="0" borderId="0" xfId="0" applyFont="1" applyBorder="1" applyAlignment="1">
      <alignment horizontal="center" vertical="center"/>
    </xf>
    <xf numFmtId="1" fontId="11" fillId="0" borderId="5" xfId="0" applyNumberFormat="1" applyFont="1" applyBorder="1" applyAlignment="1">
      <alignment horizontal="center" vertical="center"/>
    </xf>
    <xf numFmtId="0" fontId="11" fillId="0" borderId="5" xfId="0" applyFont="1" applyBorder="1" applyAlignment="1">
      <alignment horizontal="center" vertical="center"/>
    </xf>
    <xf numFmtId="0" fontId="5" fillId="0" borderId="5" xfId="0" applyFont="1" applyBorder="1" applyAlignment="1">
      <alignment horizontal="center" vertical="center"/>
    </xf>
    <xf numFmtId="0" fontId="4" fillId="0" borderId="5" xfId="0" applyFont="1" applyBorder="1" applyAlignment="1">
      <alignment horizontal="center" vertical="center"/>
    </xf>
    <xf numFmtId="0" fontId="6" fillId="4" borderId="5" xfId="0" applyFont="1" applyFill="1" applyBorder="1" applyAlignment="1">
      <alignment horizontal="center" vertical="center"/>
    </xf>
    <xf numFmtId="0" fontId="4" fillId="0" borderId="0" xfId="0" applyFont="1" applyAlignment="1">
      <alignment horizontal="center" vertical="center"/>
    </xf>
    <xf numFmtId="0" fontId="12" fillId="0" borderId="5" xfId="0" applyFont="1" applyBorder="1" applyAlignment="1">
      <alignment horizontal="center" vertical="center"/>
    </xf>
    <xf numFmtId="1" fontId="12" fillId="0" borderId="5" xfId="0" applyNumberFormat="1" applyFont="1" applyBorder="1" applyAlignment="1">
      <alignment horizontal="center" vertical="center"/>
    </xf>
    <xf numFmtId="164" fontId="12" fillId="0" borderId="5" xfId="0" applyNumberFormat="1" applyFont="1" applyBorder="1" applyAlignment="1">
      <alignment horizontal="center" vertical="center"/>
    </xf>
    <xf numFmtId="0" fontId="7" fillId="4" borderId="5" xfId="0" applyFont="1" applyFill="1" applyBorder="1" applyAlignment="1">
      <alignment horizontal="center" vertical="center" wrapText="1"/>
    </xf>
    <xf numFmtId="0" fontId="5" fillId="0" borderId="0" xfId="0" applyFont="1" applyBorder="1" applyAlignment="1">
      <alignment horizontal="center" vertical="center"/>
    </xf>
    <xf numFmtId="0" fontId="4" fillId="0" borderId="0" xfId="0" applyFont="1" applyAlignment="1">
      <alignment horizontal="center" vertical="center"/>
    </xf>
    <xf numFmtId="0" fontId="4" fillId="0" borderId="5" xfId="0" applyFont="1" applyBorder="1" applyAlignment="1">
      <alignment horizontal="center" vertical="center"/>
    </xf>
    <xf numFmtId="0" fontId="6" fillId="4" borderId="5" xfId="0" applyFont="1" applyFill="1" applyBorder="1" applyAlignment="1">
      <alignment horizontal="center" vertical="center"/>
    </xf>
    <xf numFmtId="0" fontId="5" fillId="0" borderId="5" xfId="0" applyFont="1" applyBorder="1" applyAlignment="1">
      <alignment horizontal="center" vertical="center"/>
    </xf>
    <xf numFmtId="0" fontId="11" fillId="0" borderId="5" xfId="0" applyFont="1" applyBorder="1" applyAlignment="1">
      <alignment horizontal="center" vertical="center"/>
    </xf>
    <xf numFmtId="1" fontId="11" fillId="0" borderId="5" xfId="0" applyNumberFormat="1" applyFont="1" applyBorder="1" applyAlignment="1">
      <alignment horizontal="center" vertical="center"/>
    </xf>
    <xf numFmtId="0" fontId="12" fillId="0" borderId="5" xfId="0" applyFont="1" applyBorder="1" applyAlignment="1">
      <alignment horizontal="center" vertical="center"/>
    </xf>
    <xf numFmtId="164" fontId="12" fillId="0" borderId="5" xfId="0" applyNumberFormat="1" applyFont="1" applyBorder="1" applyAlignment="1">
      <alignment horizontal="center" vertical="center"/>
    </xf>
    <xf numFmtId="1" fontId="12" fillId="0" borderId="5" xfId="0" applyNumberFormat="1" applyFont="1" applyBorder="1" applyAlignment="1">
      <alignment horizontal="center" vertical="center"/>
    </xf>
    <xf numFmtId="0" fontId="7" fillId="4" borderId="5" xfId="0" applyFont="1" applyFill="1" applyBorder="1" applyAlignment="1">
      <alignment horizontal="center" vertical="center" wrapText="1"/>
    </xf>
    <xf numFmtId="0" fontId="5" fillId="0" borderId="0" xfId="0" applyFont="1" applyBorder="1" applyAlignment="1">
      <alignment horizontal="center" vertical="center"/>
    </xf>
    <xf numFmtId="1" fontId="11" fillId="0" borderId="5" xfId="0" applyNumberFormat="1" applyFont="1" applyBorder="1" applyAlignment="1">
      <alignment horizontal="center" vertical="center"/>
    </xf>
    <xf numFmtId="0" fontId="11" fillId="0" borderId="5" xfId="0" applyFont="1" applyBorder="1" applyAlignment="1">
      <alignment horizontal="center" vertical="center"/>
    </xf>
    <xf numFmtId="0" fontId="5" fillId="0" borderId="5" xfId="0" applyFont="1" applyBorder="1" applyAlignment="1">
      <alignment horizontal="center" vertical="center"/>
    </xf>
    <xf numFmtId="0" fontId="4" fillId="0" borderId="5" xfId="0" applyFont="1" applyBorder="1" applyAlignment="1">
      <alignment horizontal="center" vertical="center"/>
    </xf>
    <xf numFmtId="0" fontId="6" fillId="4" borderId="5" xfId="0" applyFont="1" applyFill="1" applyBorder="1" applyAlignment="1">
      <alignment horizontal="center" vertical="center"/>
    </xf>
    <xf numFmtId="0" fontId="4" fillId="0" borderId="0" xfId="0" applyFont="1" applyAlignment="1">
      <alignment horizontal="center" vertical="center"/>
    </xf>
    <xf numFmtId="0" fontId="12" fillId="0" borderId="5" xfId="0" applyFont="1" applyBorder="1" applyAlignment="1">
      <alignment horizontal="center" vertical="center"/>
    </xf>
    <xf numFmtId="1" fontId="12" fillId="0" borderId="5" xfId="0" applyNumberFormat="1" applyFont="1" applyBorder="1" applyAlignment="1">
      <alignment horizontal="center" vertical="center"/>
    </xf>
    <xf numFmtId="164" fontId="12" fillId="0" borderId="5" xfId="0" applyNumberFormat="1" applyFont="1" applyBorder="1" applyAlignment="1">
      <alignment horizontal="center" vertical="center"/>
    </xf>
    <xf numFmtId="0" fontId="7" fillId="4" borderId="5" xfId="0" applyFont="1" applyFill="1" applyBorder="1" applyAlignment="1">
      <alignment horizontal="center" vertical="center" wrapText="1"/>
    </xf>
    <xf numFmtId="0" fontId="5" fillId="0" borderId="0" xfId="0" applyFont="1" applyBorder="1" applyAlignment="1">
      <alignment horizontal="center" vertical="center"/>
    </xf>
    <xf numFmtId="0" fontId="4" fillId="0" borderId="0" xfId="0" applyFont="1" applyAlignment="1">
      <alignment horizontal="center" vertical="center"/>
    </xf>
    <xf numFmtId="0" fontId="4" fillId="0" borderId="5" xfId="0" applyFont="1" applyBorder="1" applyAlignment="1">
      <alignment horizontal="center" vertical="center"/>
    </xf>
    <xf numFmtId="0" fontId="6" fillId="4" borderId="5" xfId="0" applyFont="1" applyFill="1" applyBorder="1" applyAlignment="1">
      <alignment horizontal="center" vertical="center"/>
    </xf>
    <xf numFmtId="0" fontId="5" fillId="0" borderId="5" xfId="0" applyFont="1" applyBorder="1" applyAlignment="1">
      <alignment horizontal="center" vertical="center"/>
    </xf>
    <xf numFmtId="0" fontId="11" fillId="0" borderId="5" xfId="0" applyFont="1" applyBorder="1" applyAlignment="1">
      <alignment horizontal="center" vertical="center"/>
    </xf>
    <xf numFmtId="1" fontId="11" fillId="0" borderId="5" xfId="0" applyNumberFormat="1" applyFont="1" applyBorder="1" applyAlignment="1">
      <alignment horizontal="center" vertical="center"/>
    </xf>
    <xf numFmtId="0" fontId="12" fillId="0" borderId="5" xfId="0" applyFont="1" applyBorder="1" applyAlignment="1">
      <alignment horizontal="center" vertical="center"/>
    </xf>
    <xf numFmtId="164" fontId="12" fillId="0" borderId="5" xfId="0" applyNumberFormat="1" applyFont="1" applyBorder="1" applyAlignment="1">
      <alignment horizontal="center" vertical="center"/>
    </xf>
    <xf numFmtId="1" fontId="12" fillId="0" borderId="5" xfId="0" applyNumberFormat="1" applyFont="1" applyBorder="1" applyAlignment="1">
      <alignment horizontal="center" vertical="center"/>
    </xf>
    <xf numFmtId="0" fontId="7" fillId="4" borderId="5" xfId="0" applyFont="1" applyFill="1" applyBorder="1" applyAlignment="1">
      <alignment horizontal="center" vertical="center" wrapText="1"/>
    </xf>
    <xf numFmtId="0" fontId="5" fillId="0" borderId="0" xfId="0" applyFont="1" applyBorder="1" applyAlignment="1">
      <alignment horizontal="center" vertical="center"/>
    </xf>
    <xf numFmtId="1" fontId="11" fillId="0" borderId="5" xfId="0" applyNumberFormat="1" applyFont="1" applyBorder="1" applyAlignment="1">
      <alignment horizontal="center" vertical="center"/>
    </xf>
    <xf numFmtId="0" fontId="11" fillId="0" borderId="5" xfId="0" applyFont="1" applyBorder="1" applyAlignment="1">
      <alignment horizontal="center" vertical="center"/>
    </xf>
    <xf numFmtId="0" fontId="5" fillId="0" borderId="5" xfId="0" applyFont="1" applyBorder="1" applyAlignment="1">
      <alignment horizontal="center" vertical="center"/>
    </xf>
    <xf numFmtId="0" fontId="4" fillId="0" borderId="5" xfId="0" applyFont="1" applyBorder="1" applyAlignment="1">
      <alignment horizontal="center" vertical="center"/>
    </xf>
    <xf numFmtId="0" fontId="6" fillId="4" borderId="5" xfId="0" applyFont="1" applyFill="1" applyBorder="1" applyAlignment="1">
      <alignment horizontal="center" vertical="center"/>
    </xf>
    <xf numFmtId="0" fontId="4" fillId="0" borderId="0" xfId="0" applyFont="1" applyAlignment="1">
      <alignment horizontal="center" vertical="center"/>
    </xf>
    <xf numFmtId="0" fontId="12" fillId="0" borderId="5" xfId="0" applyFont="1" applyBorder="1" applyAlignment="1">
      <alignment horizontal="center" vertical="center"/>
    </xf>
    <xf numFmtId="1" fontId="12" fillId="0" borderId="5" xfId="0" applyNumberFormat="1" applyFont="1" applyBorder="1" applyAlignment="1">
      <alignment horizontal="center" vertical="center"/>
    </xf>
    <xf numFmtId="164" fontId="12" fillId="0" borderId="5" xfId="0" applyNumberFormat="1" applyFont="1" applyBorder="1" applyAlignment="1">
      <alignment horizontal="center" vertical="center"/>
    </xf>
    <xf numFmtId="0" fontId="7" fillId="4" borderId="5" xfId="0" applyFont="1" applyFill="1" applyBorder="1" applyAlignment="1">
      <alignment horizontal="center" vertical="center" wrapText="1"/>
    </xf>
    <xf numFmtId="0" fontId="5" fillId="0" borderId="0" xfId="0" applyFont="1" applyBorder="1" applyAlignment="1">
      <alignment horizontal="center" vertical="center"/>
    </xf>
    <xf numFmtId="1" fontId="11" fillId="0" borderId="5" xfId="0" applyNumberFormat="1" applyFont="1" applyBorder="1" applyAlignment="1">
      <alignment horizontal="center" vertical="center"/>
    </xf>
    <xf numFmtId="0" fontId="11" fillId="0" borderId="5" xfId="0" applyFont="1" applyBorder="1" applyAlignment="1">
      <alignment horizontal="center" vertical="center"/>
    </xf>
    <xf numFmtId="0" fontId="5" fillId="0" borderId="5" xfId="0" applyFont="1" applyBorder="1" applyAlignment="1">
      <alignment horizontal="center" vertical="center"/>
    </xf>
    <xf numFmtId="0" fontId="4" fillId="0" borderId="5" xfId="0" applyFont="1" applyBorder="1" applyAlignment="1">
      <alignment horizontal="center" vertical="center"/>
    </xf>
    <xf numFmtId="0" fontId="6" fillId="4" borderId="5" xfId="0" applyFont="1" applyFill="1" applyBorder="1" applyAlignment="1">
      <alignment horizontal="center" vertical="center"/>
    </xf>
    <xf numFmtId="0" fontId="4" fillId="0" borderId="0" xfId="0" applyFont="1" applyAlignment="1">
      <alignment horizontal="center" vertical="center"/>
    </xf>
    <xf numFmtId="0" fontId="12" fillId="0" borderId="5" xfId="0" applyFont="1" applyBorder="1" applyAlignment="1">
      <alignment horizontal="center" vertical="center"/>
    </xf>
    <xf numFmtId="1" fontId="12" fillId="0" borderId="5" xfId="0" applyNumberFormat="1" applyFont="1" applyBorder="1" applyAlignment="1">
      <alignment horizontal="center" vertical="center"/>
    </xf>
    <xf numFmtId="164" fontId="12" fillId="0" borderId="5" xfId="0" applyNumberFormat="1" applyFont="1" applyBorder="1" applyAlignment="1">
      <alignment horizontal="center" vertical="center"/>
    </xf>
    <xf numFmtId="0" fontId="7" fillId="4" borderId="5" xfId="0" applyFont="1" applyFill="1" applyBorder="1" applyAlignment="1">
      <alignment horizontal="center" vertical="center" wrapText="1"/>
    </xf>
    <xf numFmtId="0" fontId="5" fillId="0" borderId="0" xfId="0" applyFont="1" applyBorder="1" applyAlignment="1">
      <alignment horizontal="center" vertical="center"/>
    </xf>
    <xf numFmtId="1" fontId="11" fillId="0" borderId="5" xfId="0" applyNumberFormat="1" applyFont="1" applyBorder="1" applyAlignment="1">
      <alignment horizontal="center" vertical="center"/>
    </xf>
    <xf numFmtId="0" fontId="11" fillId="0" borderId="5" xfId="0" applyFont="1" applyBorder="1" applyAlignment="1">
      <alignment horizontal="center" vertical="center"/>
    </xf>
    <xf numFmtId="0" fontId="5" fillId="0" borderId="5" xfId="0" applyFont="1" applyBorder="1" applyAlignment="1">
      <alignment horizontal="center" vertical="center"/>
    </xf>
    <xf numFmtId="0" fontId="4" fillId="0" borderId="5" xfId="0" applyFont="1" applyBorder="1" applyAlignment="1">
      <alignment horizontal="center" vertical="center"/>
    </xf>
    <xf numFmtId="0" fontId="6" fillId="4" borderId="5" xfId="0" applyFont="1" applyFill="1" applyBorder="1" applyAlignment="1">
      <alignment horizontal="center" vertical="center"/>
    </xf>
    <xf numFmtId="0" fontId="4" fillId="0" borderId="0" xfId="0" applyFont="1" applyAlignment="1">
      <alignment horizontal="center" vertical="center"/>
    </xf>
    <xf numFmtId="0" fontId="12" fillId="0" borderId="5" xfId="0" applyFont="1" applyBorder="1" applyAlignment="1">
      <alignment horizontal="center" vertical="center"/>
    </xf>
    <xf numFmtId="1" fontId="12" fillId="0" borderId="5" xfId="0" applyNumberFormat="1" applyFont="1" applyBorder="1" applyAlignment="1">
      <alignment horizontal="center" vertical="center"/>
    </xf>
    <xf numFmtId="164" fontId="12" fillId="0" borderId="5" xfId="0" applyNumberFormat="1" applyFont="1" applyBorder="1" applyAlignment="1">
      <alignment horizontal="center" vertical="center"/>
    </xf>
    <xf numFmtId="0" fontId="7" fillId="4" borderId="5" xfId="0" applyFont="1" applyFill="1" applyBorder="1" applyAlignment="1">
      <alignment horizontal="center" vertical="center" wrapText="1"/>
    </xf>
    <xf numFmtId="0" fontId="5" fillId="0" borderId="0" xfId="0" applyFont="1" applyBorder="1" applyAlignment="1">
      <alignment horizontal="center" vertical="center"/>
    </xf>
    <xf numFmtId="1" fontId="11" fillId="0" borderId="5" xfId="0" applyNumberFormat="1" applyFont="1" applyBorder="1" applyAlignment="1">
      <alignment horizontal="center" vertical="center"/>
    </xf>
    <xf numFmtId="0" fontId="11" fillId="0" borderId="5" xfId="0" applyFont="1" applyBorder="1" applyAlignment="1">
      <alignment horizontal="center" vertical="center"/>
    </xf>
    <xf numFmtId="0" fontId="5" fillId="0" borderId="5" xfId="0" applyFont="1" applyBorder="1" applyAlignment="1">
      <alignment horizontal="center" vertical="center"/>
    </xf>
    <xf numFmtId="0" fontId="4" fillId="0" borderId="5" xfId="0" applyFont="1" applyBorder="1" applyAlignment="1">
      <alignment horizontal="center" vertical="center"/>
    </xf>
    <xf numFmtId="0" fontId="6" fillId="4" borderId="5" xfId="0" applyFont="1" applyFill="1" applyBorder="1" applyAlignment="1">
      <alignment horizontal="center" vertical="center"/>
    </xf>
    <xf numFmtId="0" fontId="4" fillId="0" borderId="0" xfId="0" applyFont="1" applyAlignment="1">
      <alignment horizontal="center" vertical="center"/>
    </xf>
    <xf numFmtId="0" fontId="12" fillId="0" borderId="5" xfId="0" applyFont="1" applyBorder="1" applyAlignment="1">
      <alignment horizontal="center" vertical="center"/>
    </xf>
    <xf numFmtId="1" fontId="12" fillId="0" borderId="5" xfId="0" applyNumberFormat="1" applyFont="1" applyBorder="1" applyAlignment="1">
      <alignment horizontal="center" vertical="center"/>
    </xf>
    <xf numFmtId="164" fontId="12" fillId="0" borderId="5" xfId="0" applyNumberFormat="1" applyFont="1" applyBorder="1" applyAlignment="1">
      <alignment horizontal="center" vertical="center"/>
    </xf>
    <xf numFmtId="0" fontId="7" fillId="4" borderId="5" xfId="0" applyFont="1" applyFill="1" applyBorder="1" applyAlignment="1">
      <alignment horizontal="center" vertical="center" wrapText="1"/>
    </xf>
    <xf numFmtId="0" fontId="5" fillId="0" borderId="0" xfId="0" applyFont="1" applyBorder="1" applyAlignment="1">
      <alignment horizontal="center" vertical="center"/>
    </xf>
    <xf numFmtId="0" fontId="4" fillId="0" borderId="0" xfId="0" applyFont="1" applyAlignment="1">
      <alignment horizontal="center" vertical="center"/>
    </xf>
    <xf numFmtId="0" fontId="4" fillId="0" borderId="5" xfId="0" applyFont="1" applyBorder="1" applyAlignment="1">
      <alignment horizontal="center" vertical="center"/>
    </xf>
    <xf numFmtId="0" fontId="6" fillId="4" borderId="5" xfId="0" applyFont="1" applyFill="1" applyBorder="1" applyAlignment="1">
      <alignment horizontal="center" vertical="center"/>
    </xf>
    <xf numFmtId="0" fontId="5" fillId="0" borderId="5" xfId="0" applyFont="1" applyBorder="1" applyAlignment="1">
      <alignment horizontal="center" vertical="center"/>
    </xf>
    <xf numFmtId="0" fontId="11" fillId="0" borderId="5" xfId="0" applyFont="1" applyBorder="1" applyAlignment="1">
      <alignment horizontal="center" vertical="center"/>
    </xf>
    <xf numFmtId="1" fontId="11" fillId="0" borderId="5" xfId="0" applyNumberFormat="1" applyFont="1" applyBorder="1" applyAlignment="1">
      <alignment horizontal="center" vertical="center"/>
    </xf>
    <xf numFmtId="0" fontId="12" fillId="0" borderId="5" xfId="0" applyFont="1" applyBorder="1" applyAlignment="1">
      <alignment horizontal="center" vertical="center"/>
    </xf>
    <xf numFmtId="164" fontId="12" fillId="0" borderId="5" xfId="0" applyNumberFormat="1" applyFont="1" applyBorder="1" applyAlignment="1">
      <alignment horizontal="center" vertical="center"/>
    </xf>
    <xf numFmtId="1" fontId="12" fillId="0" borderId="5" xfId="0" applyNumberFormat="1" applyFont="1" applyBorder="1" applyAlignment="1">
      <alignment horizontal="center" vertical="center"/>
    </xf>
    <xf numFmtId="0" fontId="7" fillId="4" borderId="5" xfId="0" applyFont="1" applyFill="1" applyBorder="1" applyAlignment="1">
      <alignment horizontal="center" vertical="center" wrapText="1"/>
    </xf>
    <xf numFmtId="0" fontId="5" fillId="0" borderId="0" xfId="0" applyFont="1" applyBorder="1" applyAlignment="1">
      <alignment horizontal="center" vertical="center"/>
    </xf>
    <xf numFmtId="1" fontId="11" fillId="0" borderId="5" xfId="0" applyNumberFormat="1" applyFont="1" applyBorder="1" applyAlignment="1">
      <alignment horizontal="center" vertical="center"/>
    </xf>
    <xf numFmtId="0" fontId="11" fillId="0" borderId="5" xfId="0" applyFont="1" applyBorder="1" applyAlignment="1">
      <alignment horizontal="center" vertical="center"/>
    </xf>
    <xf numFmtId="0" fontId="5" fillId="0" borderId="5" xfId="0" applyFont="1" applyBorder="1" applyAlignment="1">
      <alignment horizontal="center" vertical="center"/>
    </xf>
    <xf numFmtId="0" fontId="4" fillId="0" borderId="5" xfId="0" applyFont="1" applyBorder="1" applyAlignment="1">
      <alignment horizontal="center" vertical="center"/>
    </xf>
    <xf numFmtId="0" fontId="6" fillId="4" borderId="5" xfId="0" applyFont="1" applyFill="1" applyBorder="1" applyAlignment="1">
      <alignment horizontal="center" vertical="center"/>
    </xf>
    <xf numFmtId="0" fontId="4" fillId="0" borderId="0" xfId="0" applyFont="1" applyAlignment="1">
      <alignment horizontal="center" vertical="center"/>
    </xf>
    <xf numFmtId="0" fontId="12" fillId="0" borderId="5" xfId="0" applyFont="1" applyBorder="1" applyAlignment="1">
      <alignment horizontal="center" vertical="center"/>
    </xf>
    <xf numFmtId="1" fontId="12" fillId="0" borderId="5" xfId="0" applyNumberFormat="1" applyFont="1" applyBorder="1" applyAlignment="1">
      <alignment horizontal="center" vertical="center"/>
    </xf>
    <xf numFmtId="164" fontId="12" fillId="0" borderId="5" xfId="0" applyNumberFormat="1" applyFont="1" applyBorder="1" applyAlignment="1">
      <alignment horizontal="center" vertical="center"/>
    </xf>
    <xf numFmtId="0" fontId="7" fillId="4" borderId="5" xfId="0" applyFont="1" applyFill="1" applyBorder="1" applyAlignment="1">
      <alignment horizontal="center" vertical="center" wrapText="1"/>
    </xf>
    <xf numFmtId="0" fontId="5" fillId="0" borderId="0" xfId="0" applyFont="1" applyBorder="1" applyAlignment="1">
      <alignment horizontal="center" vertical="center"/>
    </xf>
    <xf numFmtId="0" fontId="0" fillId="0" borderId="1" xfId="0" applyBorder="1" applyAlignment="1">
      <alignment horizontal="center" vertical="center"/>
    </xf>
    <xf numFmtId="0" fontId="0" fillId="0" borderId="3" xfId="0" applyBorder="1" applyAlignment="1">
      <alignment horizontal="center" vertical="center"/>
    </xf>
    <xf numFmtId="0" fontId="2" fillId="0" borderId="0" xfId="0" applyFont="1" applyAlignment="1">
      <alignment horizontal="center"/>
    </xf>
    <xf numFmtId="0" fontId="3" fillId="0" borderId="0" xfId="0" applyFont="1" applyAlignment="1">
      <alignment horizontal="center"/>
    </xf>
    <xf numFmtId="1" fontId="11" fillId="0" borderId="5" xfId="0" applyNumberFormat="1" applyFont="1" applyBorder="1" applyAlignment="1">
      <alignment horizontal="center" vertical="center"/>
    </xf>
    <xf numFmtId="0" fontId="11" fillId="0" borderId="5" xfId="0" applyFont="1" applyBorder="1" applyAlignment="1">
      <alignment horizontal="center" vertical="center"/>
    </xf>
    <xf numFmtId="0" fontId="5" fillId="0" borderId="5" xfId="0" applyFont="1" applyBorder="1" applyAlignment="1">
      <alignment horizontal="right" vertical="center"/>
    </xf>
    <xf numFmtId="0" fontId="5" fillId="0" borderId="5" xfId="0" applyFont="1" applyBorder="1" applyAlignment="1">
      <alignment horizontal="center" vertical="center" textRotation="90"/>
    </xf>
    <xf numFmtId="0" fontId="5" fillId="0" borderId="5" xfId="0" applyFont="1" applyBorder="1" applyAlignment="1">
      <alignment horizontal="center" vertical="center"/>
    </xf>
    <xf numFmtId="164" fontId="11" fillId="0" borderId="6" xfId="0" applyNumberFormat="1" applyFont="1" applyBorder="1" applyAlignment="1">
      <alignment horizontal="center" vertical="center"/>
    </xf>
    <xf numFmtId="0" fontId="11" fillId="0" borderId="7" xfId="0" applyFont="1" applyBorder="1" applyAlignment="1">
      <alignment horizontal="center" vertical="center"/>
    </xf>
    <xf numFmtId="0" fontId="11" fillId="0" borderId="6" xfId="0" applyFont="1" applyBorder="1" applyAlignment="1">
      <alignment horizontal="center" vertical="center"/>
    </xf>
    <xf numFmtId="0" fontId="5" fillId="0" borderId="11" xfId="0" applyFont="1" applyBorder="1" applyAlignment="1">
      <alignment horizontal="center" vertical="center" wrapText="1"/>
    </xf>
    <xf numFmtId="0" fontId="5" fillId="0" borderId="12" xfId="0" applyFont="1" applyBorder="1" applyAlignment="1">
      <alignment horizontal="center" vertical="center" wrapText="1"/>
    </xf>
    <xf numFmtId="164" fontId="11" fillId="0" borderId="5" xfId="0" applyNumberFormat="1" applyFont="1" applyBorder="1" applyAlignment="1">
      <alignment horizontal="center" vertical="center"/>
    </xf>
    <xf numFmtId="0" fontId="4" fillId="0" borderId="5" xfId="0" applyFont="1" applyBorder="1" applyAlignment="1">
      <alignment horizontal="center" vertical="center"/>
    </xf>
    <xf numFmtId="0" fontId="6" fillId="4" borderId="5" xfId="0" applyFont="1" applyFill="1" applyBorder="1" applyAlignment="1">
      <alignment horizontal="center" vertical="center"/>
    </xf>
    <xf numFmtId="0" fontId="11" fillId="0" borderId="14" xfId="0" applyFont="1" applyBorder="1" applyAlignment="1">
      <alignment horizontal="center" vertical="center"/>
    </xf>
    <xf numFmtId="0" fontId="4" fillId="4" borderId="9" xfId="0" applyFont="1" applyFill="1" applyBorder="1" applyAlignment="1">
      <alignment horizontal="center" vertical="center" wrapText="1"/>
    </xf>
    <xf numFmtId="0" fontId="4" fillId="4" borderId="10" xfId="0" applyFont="1" applyFill="1" applyBorder="1" applyAlignment="1">
      <alignment horizontal="center" vertical="center" wrapText="1"/>
    </xf>
    <xf numFmtId="0" fontId="8" fillId="0" borderId="0" xfId="0" applyFont="1" applyAlignment="1">
      <alignment horizontal="center" vertical="center"/>
    </xf>
    <xf numFmtId="0" fontId="4" fillId="0" borderId="0" xfId="0" applyFont="1" applyAlignment="1">
      <alignment horizontal="center" vertical="center"/>
    </xf>
    <xf numFmtId="0" fontId="12" fillId="0" borderId="4" xfId="0" applyFont="1" applyBorder="1" applyAlignment="1">
      <alignment horizontal="center" vertical="center"/>
    </xf>
    <xf numFmtId="0" fontId="6" fillId="4" borderId="5" xfId="0" applyFont="1" applyFill="1" applyBorder="1" applyAlignment="1">
      <alignment horizontal="center" vertical="center" wrapText="1"/>
    </xf>
    <xf numFmtId="0" fontId="4" fillId="4" borderId="5" xfId="0" applyFont="1" applyFill="1" applyBorder="1" applyAlignment="1">
      <alignment horizontal="center" vertical="center"/>
    </xf>
    <xf numFmtId="0" fontId="4" fillId="4" borderId="6" xfId="0" applyFont="1" applyFill="1" applyBorder="1" applyAlignment="1">
      <alignment horizontal="center" vertical="center"/>
    </xf>
    <xf numFmtId="0" fontId="4" fillId="4" borderId="7" xfId="0" applyFont="1" applyFill="1" applyBorder="1" applyAlignment="1">
      <alignment horizontal="center" vertical="center"/>
    </xf>
    <xf numFmtId="0" fontId="4" fillId="4" borderId="8" xfId="0" applyFont="1" applyFill="1" applyBorder="1" applyAlignment="1">
      <alignment horizontal="center" vertical="center" wrapText="1"/>
    </xf>
    <xf numFmtId="0" fontId="4" fillId="4" borderId="13" xfId="0" applyFont="1" applyFill="1" applyBorder="1" applyAlignment="1">
      <alignment horizontal="center" vertical="center" wrapText="1"/>
    </xf>
    <xf numFmtId="0" fontId="11" fillId="0" borderId="11" xfId="0" applyFont="1" applyBorder="1" applyAlignment="1">
      <alignment horizontal="center" vertical="center"/>
    </xf>
    <xf numFmtId="0" fontId="11" fillId="0" borderId="12" xfId="0" applyFont="1" applyBorder="1" applyAlignment="1">
      <alignment horizontal="center" vertical="center"/>
    </xf>
    <xf numFmtId="0" fontId="13" fillId="0" borderId="11" xfId="0" applyFont="1" applyBorder="1" applyAlignment="1">
      <alignment horizontal="center" vertical="center" wrapText="1"/>
    </xf>
    <xf numFmtId="0" fontId="13" fillId="0" borderId="12" xfId="0" applyFont="1" applyBorder="1" applyAlignment="1">
      <alignment horizontal="center" vertical="center" wrapText="1"/>
    </xf>
    <xf numFmtId="0" fontId="5" fillId="0" borderId="15" xfId="0" applyFont="1" applyBorder="1" applyAlignment="1">
      <alignment horizontal="center" vertical="top" wrapText="1"/>
    </xf>
    <xf numFmtId="0" fontId="4" fillId="0" borderId="5" xfId="0" applyFont="1" applyBorder="1" applyAlignment="1">
      <alignment horizontal="right" vertical="center"/>
    </xf>
    <xf numFmtId="0" fontId="14" fillId="0" borderId="15" xfId="0" applyFont="1" applyBorder="1" applyAlignment="1">
      <alignment horizontal="center" vertical="top" wrapText="1"/>
    </xf>
    <xf numFmtId="0" fontId="4" fillId="0" borderId="11" xfId="0" applyFont="1" applyBorder="1" applyAlignment="1">
      <alignment horizontal="center" vertical="center" wrapText="1"/>
    </xf>
    <xf numFmtId="0" fontId="4" fillId="0" borderId="12" xfId="0" applyFont="1" applyBorder="1" applyAlignment="1">
      <alignment horizontal="center" vertical="center" wrapText="1"/>
    </xf>
    <xf numFmtId="0" fontId="4" fillId="0" borderId="5" xfId="0" applyFont="1" applyBorder="1" applyAlignment="1">
      <alignment horizontal="center" vertical="center" textRotation="90"/>
    </xf>
    <xf numFmtId="0" fontId="13" fillId="0" borderId="15" xfId="0" applyFont="1" applyBorder="1" applyAlignment="1">
      <alignment horizontal="center" vertical="top" wrapText="1"/>
    </xf>
    <xf numFmtId="0" fontId="12" fillId="0" borderId="6" xfId="0" applyFont="1" applyBorder="1" applyAlignment="1">
      <alignment horizontal="center" vertical="center"/>
    </xf>
    <xf numFmtId="0" fontId="12" fillId="0" borderId="7" xfId="0" applyFont="1" applyBorder="1" applyAlignment="1">
      <alignment horizontal="center" vertical="center"/>
    </xf>
    <xf numFmtId="0" fontId="12" fillId="0" borderId="5" xfId="0" applyFont="1" applyBorder="1" applyAlignment="1">
      <alignment horizontal="center" vertical="center"/>
    </xf>
    <xf numFmtId="1" fontId="12" fillId="0" borderId="5" xfId="0" applyNumberFormat="1" applyFont="1" applyBorder="1" applyAlignment="1">
      <alignment horizontal="center" vertical="center"/>
    </xf>
    <xf numFmtId="164" fontId="12" fillId="0" borderId="6" xfId="0" applyNumberFormat="1" applyFont="1" applyBorder="1" applyAlignment="1">
      <alignment horizontal="center" vertical="center"/>
    </xf>
    <xf numFmtId="0" fontId="12" fillId="0" borderId="11" xfId="0" applyFont="1" applyBorder="1" applyAlignment="1">
      <alignment horizontal="center" vertical="center"/>
    </xf>
    <xf numFmtId="0" fontId="12" fillId="0" borderId="12" xfId="0" applyFont="1" applyBorder="1" applyAlignment="1">
      <alignment horizontal="center" vertical="center"/>
    </xf>
    <xf numFmtId="164" fontId="12" fillId="0" borderId="5" xfId="0" applyNumberFormat="1" applyFont="1" applyBorder="1" applyAlignment="1">
      <alignment horizontal="center" vertical="center"/>
    </xf>
    <xf numFmtId="0" fontId="12" fillId="0" borderId="14" xfId="0" applyFont="1" applyBorder="1" applyAlignment="1">
      <alignment horizontal="center" vertical="center"/>
    </xf>
    <xf numFmtId="0" fontId="13" fillId="0" borderId="15" xfId="0" applyFont="1" applyBorder="1" applyAlignment="1">
      <alignment horizontal="left" vertical="top" wrapText="1"/>
    </xf>
    <xf numFmtId="0" fontId="4" fillId="0" borderId="6" xfId="0" applyFont="1" applyBorder="1" applyAlignment="1">
      <alignment horizontal="right" vertical="center" wrapText="1"/>
    </xf>
    <xf numFmtId="0" fontId="4" fillId="0" borderId="7" xfId="0" applyFont="1" applyBorder="1" applyAlignment="1">
      <alignment horizontal="right" vertical="center" wrapText="1"/>
    </xf>
    <xf numFmtId="0" fontId="7" fillId="4" borderId="5" xfId="0" applyFont="1" applyFill="1" applyBorder="1" applyAlignment="1">
      <alignment horizontal="center" vertical="center" wrapText="1"/>
    </xf>
    <xf numFmtId="0" fontId="4" fillId="0" borderId="6" xfId="0" applyFont="1" applyBorder="1" applyAlignment="1">
      <alignment horizontal="center" vertical="center" wrapText="1"/>
    </xf>
    <xf numFmtId="0" fontId="4" fillId="0" borderId="7" xfId="0" applyFont="1" applyBorder="1" applyAlignment="1">
      <alignment horizontal="center" vertical="center" wrapText="1"/>
    </xf>
    <xf numFmtId="0" fontId="4" fillId="0" borderId="11" xfId="0" applyFont="1" applyBorder="1" applyAlignment="1">
      <alignment horizontal="center" vertical="center" textRotation="90"/>
    </xf>
    <xf numFmtId="0" fontId="4" fillId="0" borderId="16" xfId="0" applyFont="1" applyBorder="1" applyAlignment="1">
      <alignment horizontal="center" vertical="center" textRotation="90"/>
    </xf>
    <xf numFmtId="0" fontId="4" fillId="0" borderId="12" xfId="0" applyFont="1" applyBorder="1" applyAlignment="1">
      <alignment horizontal="center" vertical="center" textRotation="90"/>
    </xf>
    <xf numFmtId="0" fontId="5" fillId="0" borderId="6" xfId="0" applyFont="1" applyBorder="1" applyAlignment="1">
      <alignment horizontal="center" vertical="center"/>
    </xf>
    <xf numFmtId="0" fontId="5" fillId="0" borderId="7" xfId="0" applyFont="1" applyBorder="1" applyAlignment="1">
      <alignment horizontal="center" vertical="center"/>
    </xf>
    <xf numFmtId="0" fontId="5" fillId="0" borderId="0" xfId="0" applyFont="1" applyBorder="1" applyAlignment="1">
      <alignment horizontal="center" vertical="center"/>
    </xf>
    <xf numFmtId="0" fontId="5" fillId="0" borderId="14" xfId="0" applyFont="1" applyBorder="1" applyAlignment="1">
      <alignment horizontal="center" vertical="center"/>
    </xf>
    <xf numFmtId="0" fontId="15" fillId="5" borderId="5" xfId="0" applyFont="1" applyFill="1" applyBorder="1" applyAlignment="1">
      <alignment horizontal="center" vertical="center"/>
    </xf>
    <xf numFmtId="0" fontId="15" fillId="5" borderId="14" xfId="0" applyFont="1" applyFill="1" applyBorder="1" applyAlignment="1">
      <alignment horizontal="center" vertical="center"/>
    </xf>
    <xf numFmtId="0" fontId="4" fillId="6" borderId="6" xfId="0" applyFont="1" applyFill="1" applyBorder="1" applyAlignment="1">
      <alignment horizontal="center" vertical="center"/>
    </xf>
    <xf numFmtId="0" fontId="4" fillId="6" borderId="7" xfId="0" applyFont="1" applyFill="1" applyBorder="1" applyAlignment="1">
      <alignment horizontal="center" vertical="center"/>
    </xf>
    <xf numFmtId="0" fontId="4" fillId="7" borderId="6" xfId="0" applyFont="1" applyFill="1" applyBorder="1" applyAlignment="1">
      <alignment horizontal="center" vertical="center"/>
    </xf>
    <xf numFmtId="0" fontId="4" fillId="7" borderId="7" xfId="0" applyFont="1" applyFill="1" applyBorder="1" applyAlignment="1">
      <alignment horizontal="center" vertical="center"/>
    </xf>
    <xf numFmtId="0" fontId="4" fillId="7" borderId="11" xfId="0" applyFont="1" applyFill="1" applyBorder="1" applyAlignment="1">
      <alignment horizontal="center" vertical="center" textRotation="90"/>
    </xf>
    <xf numFmtId="0" fontId="4" fillId="7" borderId="16" xfId="0" applyFont="1" applyFill="1" applyBorder="1" applyAlignment="1">
      <alignment horizontal="center" vertical="center" textRotation="90"/>
    </xf>
    <xf numFmtId="0" fontId="4" fillId="7" borderId="12" xfId="0" applyFont="1" applyFill="1" applyBorder="1" applyAlignment="1">
      <alignment horizontal="center" vertical="center" textRotation="90"/>
    </xf>
    <xf numFmtId="0" fontId="12" fillId="7" borderId="11" xfId="0" applyFont="1" applyFill="1" applyBorder="1" applyAlignment="1">
      <alignment horizontal="center" vertical="center"/>
    </xf>
    <xf numFmtId="0" fontId="12" fillId="7" borderId="12" xfId="0" applyFont="1" applyFill="1" applyBorder="1" applyAlignment="1">
      <alignment horizontal="center" vertical="center"/>
    </xf>
    <xf numFmtId="0" fontId="15" fillId="7" borderId="14" xfId="0" applyFont="1" applyFill="1" applyBorder="1" applyAlignment="1">
      <alignment horizontal="center" vertical="center"/>
    </xf>
    <xf numFmtId="0" fontId="4" fillId="5" borderId="6" xfId="0" applyFont="1" applyFill="1" applyBorder="1" applyAlignment="1">
      <alignment horizontal="center" vertical="center" wrapText="1"/>
    </xf>
    <xf numFmtId="0" fontId="4" fillId="5" borderId="7" xfId="0" applyFont="1" applyFill="1" applyBorder="1" applyAlignment="1">
      <alignment horizontal="center" vertical="center" wrapText="1"/>
    </xf>
    <xf numFmtId="0" fontId="12" fillId="5" borderId="5" xfId="0" applyFont="1" applyFill="1" applyBorder="1" applyAlignment="1">
      <alignment horizontal="center" vertical="center"/>
    </xf>
    <xf numFmtId="0" fontId="12" fillId="5" borderId="6" xfId="0" applyFont="1" applyFill="1" applyBorder="1" applyAlignment="1">
      <alignment horizontal="center" vertical="center"/>
    </xf>
    <xf numFmtId="0" fontId="12" fillId="5" borderId="14" xfId="0" applyFont="1" applyFill="1" applyBorder="1" applyAlignment="1">
      <alignment horizontal="center" vertical="center"/>
    </xf>
    <xf numFmtId="0" fontId="12" fillId="5" borderId="7" xfId="0" applyFont="1" applyFill="1" applyBorder="1" applyAlignment="1">
      <alignment horizontal="center" vertical="center"/>
    </xf>
    <xf numFmtId="0" fontId="7" fillId="4" borderId="6" xfId="0" applyFont="1" applyFill="1" applyBorder="1" applyAlignment="1">
      <alignment horizontal="center" vertical="center" wrapText="1"/>
    </xf>
    <xf numFmtId="0" fontId="7" fillId="4" borderId="7" xfId="0" applyFont="1" applyFill="1" applyBorder="1" applyAlignment="1">
      <alignment horizontal="center" vertical="center" wrapText="1"/>
    </xf>
    <xf numFmtId="1" fontId="15" fillId="7" borderId="14" xfId="0" applyNumberFormat="1" applyFont="1" applyFill="1" applyBorder="1" applyAlignment="1">
      <alignment horizontal="center" vertical="center"/>
    </xf>
  </cellXfs>
  <cellStyles count="3">
    <cellStyle name="Comma" xfId="1" builtinId="3"/>
    <cellStyle name="Currency" xfId="2" builtinId="4"/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117" Type="http://schemas.openxmlformats.org/officeDocument/2006/relationships/worksheet" Target="worksheets/sheet117.xml"/><Relationship Id="rId299" Type="http://schemas.openxmlformats.org/officeDocument/2006/relationships/worksheet" Target="worksheets/sheet299.xml"/><Relationship Id="rId21" Type="http://schemas.openxmlformats.org/officeDocument/2006/relationships/worksheet" Target="worksheets/sheet21.xml"/><Relationship Id="rId63" Type="http://schemas.openxmlformats.org/officeDocument/2006/relationships/worksheet" Target="worksheets/sheet63.xml"/><Relationship Id="rId159" Type="http://schemas.openxmlformats.org/officeDocument/2006/relationships/worksheet" Target="worksheets/sheet159.xml"/><Relationship Id="rId324" Type="http://schemas.openxmlformats.org/officeDocument/2006/relationships/worksheet" Target="worksheets/sheet324.xml"/><Relationship Id="rId170" Type="http://schemas.openxmlformats.org/officeDocument/2006/relationships/worksheet" Target="worksheets/sheet170.xml"/><Relationship Id="rId226" Type="http://schemas.openxmlformats.org/officeDocument/2006/relationships/worksheet" Target="worksheets/sheet226.xml"/><Relationship Id="rId268" Type="http://schemas.openxmlformats.org/officeDocument/2006/relationships/worksheet" Target="worksheets/sheet268.xml"/><Relationship Id="rId32" Type="http://schemas.openxmlformats.org/officeDocument/2006/relationships/worksheet" Target="worksheets/sheet32.xml"/><Relationship Id="rId74" Type="http://schemas.openxmlformats.org/officeDocument/2006/relationships/worksheet" Target="worksheets/sheet74.xml"/><Relationship Id="rId128" Type="http://schemas.openxmlformats.org/officeDocument/2006/relationships/worksheet" Target="worksheets/sheet128.xml"/><Relationship Id="rId335" Type="http://schemas.openxmlformats.org/officeDocument/2006/relationships/worksheet" Target="worksheets/sheet335.xml"/><Relationship Id="rId5" Type="http://schemas.openxmlformats.org/officeDocument/2006/relationships/worksheet" Target="worksheets/sheet5.xml"/><Relationship Id="rId181" Type="http://schemas.openxmlformats.org/officeDocument/2006/relationships/worksheet" Target="worksheets/sheet181.xml"/><Relationship Id="rId237" Type="http://schemas.openxmlformats.org/officeDocument/2006/relationships/worksheet" Target="worksheets/sheet237.xml"/><Relationship Id="rId279" Type="http://schemas.openxmlformats.org/officeDocument/2006/relationships/worksheet" Target="worksheets/sheet279.xml"/><Relationship Id="rId43" Type="http://schemas.openxmlformats.org/officeDocument/2006/relationships/worksheet" Target="worksheets/sheet43.xml"/><Relationship Id="rId139" Type="http://schemas.openxmlformats.org/officeDocument/2006/relationships/worksheet" Target="worksheets/sheet139.xml"/><Relationship Id="rId290" Type="http://schemas.openxmlformats.org/officeDocument/2006/relationships/worksheet" Target="worksheets/sheet290.xml"/><Relationship Id="rId304" Type="http://schemas.openxmlformats.org/officeDocument/2006/relationships/worksheet" Target="worksheets/sheet304.xml"/><Relationship Id="rId346" Type="http://schemas.openxmlformats.org/officeDocument/2006/relationships/theme" Target="theme/theme1.xml"/><Relationship Id="rId85" Type="http://schemas.openxmlformats.org/officeDocument/2006/relationships/worksheet" Target="worksheets/sheet85.xml"/><Relationship Id="rId150" Type="http://schemas.openxmlformats.org/officeDocument/2006/relationships/worksheet" Target="worksheets/sheet150.xml"/><Relationship Id="rId192" Type="http://schemas.openxmlformats.org/officeDocument/2006/relationships/worksheet" Target="worksheets/sheet192.xml"/><Relationship Id="rId206" Type="http://schemas.openxmlformats.org/officeDocument/2006/relationships/worksheet" Target="worksheets/sheet206.xml"/><Relationship Id="rId248" Type="http://schemas.openxmlformats.org/officeDocument/2006/relationships/worksheet" Target="worksheets/sheet248.xml"/><Relationship Id="rId12" Type="http://schemas.openxmlformats.org/officeDocument/2006/relationships/worksheet" Target="worksheets/sheet12.xml"/><Relationship Id="rId108" Type="http://schemas.openxmlformats.org/officeDocument/2006/relationships/worksheet" Target="worksheets/sheet108.xml"/><Relationship Id="rId315" Type="http://schemas.openxmlformats.org/officeDocument/2006/relationships/worksheet" Target="worksheets/sheet315.xml"/><Relationship Id="rId54" Type="http://schemas.openxmlformats.org/officeDocument/2006/relationships/worksheet" Target="worksheets/sheet54.xml"/><Relationship Id="rId96" Type="http://schemas.openxmlformats.org/officeDocument/2006/relationships/worksheet" Target="worksheets/sheet96.xml"/><Relationship Id="rId161" Type="http://schemas.openxmlformats.org/officeDocument/2006/relationships/worksheet" Target="worksheets/sheet161.xml"/><Relationship Id="rId217" Type="http://schemas.openxmlformats.org/officeDocument/2006/relationships/worksheet" Target="worksheets/sheet217.xml"/><Relationship Id="rId259" Type="http://schemas.openxmlformats.org/officeDocument/2006/relationships/worksheet" Target="worksheets/sheet259.xml"/><Relationship Id="rId23" Type="http://schemas.openxmlformats.org/officeDocument/2006/relationships/worksheet" Target="worksheets/sheet23.xml"/><Relationship Id="rId119" Type="http://schemas.openxmlformats.org/officeDocument/2006/relationships/worksheet" Target="worksheets/sheet119.xml"/><Relationship Id="rId270" Type="http://schemas.openxmlformats.org/officeDocument/2006/relationships/worksheet" Target="worksheets/sheet270.xml"/><Relationship Id="rId326" Type="http://schemas.openxmlformats.org/officeDocument/2006/relationships/worksheet" Target="worksheets/sheet326.xml"/><Relationship Id="rId65" Type="http://schemas.openxmlformats.org/officeDocument/2006/relationships/worksheet" Target="worksheets/sheet65.xml"/><Relationship Id="rId130" Type="http://schemas.openxmlformats.org/officeDocument/2006/relationships/worksheet" Target="worksheets/sheet130.xml"/><Relationship Id="rId172" Type="http://schemas.openxmlformats.org/officeDocument/2006/relationships/worksheet" Target="worksheets/sheet172.xml"/><Relationship Id="rId228" Type="http://schemas.openxmlformats.org/officeDocument/2006/relationships/worksheet" Target="worksheets/sheet228.xml"/><Relationship Id="rId281" Type="http://schemas.openxmlformats.org/officeDocument/2006/relationships/worksheet" Target="worksheets/sheet281.xml"/><Relationship Id="rId337" Type="http://schemas.openxmlformats.org/officeDocument/2006/relationships/worksheet" Target="worksheets/sheet337.xml"/><Relationship Id="rId34" Type="http://schemas.openxmlformats.org/officeDocument/2006/relationships/worksheet" Target="worksheets/sheet34.xml"/><Relationship Id="rId76" Type="http://schemas.openxmlformats.org/officeDocument/2006/relationships/worksheet" Target="worksheets/sheet76.xml"/><Relationship Id="rId141" Type="http://schemas.openxmlformats.org/officeDocument/2006/relationships/worksheet" Target="worksheets/sheet141.xml"/><Relationship Id="rId7" Type="http://schemas.openxmlformats.org/officeDocument/2006/relationships/worksheet" Target="worksheets/sheet7.xml"/><Relationship Id="rId183" Type="http://schemas.openxmlformats.org/officeDocument/2006/relationships/worksheet" Target="worksheets/sheet183.xml"/><Relationship Id="rId239" Type="http://schemas.openxmlformats.org/officeDocument/2006/relationships/worksheet" Target="worksheets/sheet239.xml"/><Relationship Id="rId250" Type="http://schemas.openxmlformats.org/officeDocument/2006/relationships/worksheet" Target="worksheets/sheet250.xml"/><Relationship Id="rId292" Type="http://schemas.openxmlformats.org/officeDocument/2006/relationships/worksheet" Target="worksheets/sheet292.xml"/><Relationship Id="rId306" Type="http://schemas.openxmlformats.org/officeDocument/2006/relationships/worksheet" Target="worksheets/sheet306.xml"/><Relationship Id="rId45" Type="http://schemas.openxmlformats.org/officeDocument/2006/relationships/worksheet" Target="worksheets/sheet45.xml"/><Relationship Id="rId87" Type="http://schemas.openxmlformats.org/officeDocument/2006/relationships/worksheet" Target="worksheets/sheet87.xml"/><Relationship Id="rId110" Type="http://schemas.openxmlformats.org/officeDocument/2006/relationships/worksheet" Target="worksheets/sheet110.xml"/><Relationship Id="rId348" Type="http://schemas.openxmlformats.org/officeDocument/2006/relationships/sharedStrings" Target="sharedStrings.xml"/><Relationship Id="rId152" Type="http://schemas.openxmlformats.org/officeDocument/2006/relationships/worksheet" Target="worksheets/sheet152.xml"/><Relationship Id="rId194" Type="http://schemas.openxmlformats.org/officeDocument/2006/relationships/worksheet" Target="worksheets/sheet194.xml"/><Relationship Id="rId208" Type="http://schemas.openxmlformats.org/officeDocument/2006/relationships/worksheet" Target="worksheets/sheet208.xml"/><Relationship Id="rId261" Type="http://schemas.openxmlformats.org/officeDocument/2006/relationships/worksheet" Target="worksheets/sheet261.xml"/><Relationship Id="rId14" Type="http://schemas.openxmlformats.org/officeDocument/2006/relationships/worksheet" Target="worksheets/sheet14.xml"/><Relationship Id="rId56" Type="http://schemas.openxmlformats.org/officeDocument/2006/relationships/worksheet" Target="worksheets/sheet56.xml"/><Relationship Id="rId317" Type="http://schemas.openxmlformats.org/officeDocument/2006/relationships/worksheet" Target="worksheets/sheet317.xml"/><Relationship Id="rId8" Type="http://schemas.openxmlformats.org/officeDocument/2006/relationships/worksheet" Target="worksheets/sheet8.xml"/><Relationship Id="rId98" Type="http://schemas.openxmlformats.org/officeDocument/2006/relationships/worksheet" Target="worksheets/sheet98.xml"/><Relationship Id="rId121" Type="http://schemas.openxmlformats.org/officeDocument/2006/relationships/worksheet" Target="worksheets/sheet121.xml"/><Relationship Id="rId142" Type="http://schemas.openxmlformats.org/officeDocument/2006/relationships/worksheet" Target="worksheets/sheet142.xml"/><Relationship Id="rId163" Type="http://schemas.openxmlformats.org/officeDocument/2006/relationships/worksheet" Target="worksheets/sheet163.xml"/><Relationship Id="rId184" Type="http://schemas.openxmlformats.org/officeDocument/2006/relationships/worksheet" Target="worksheets/sheet184.xml"/><Relationship Id="rId219" Type="http://schemas.openxmlformats.org/officeDocument/2006/relationships/worksheet" Target="worksheets/sheet219.xml"/><Relationship Id="rId230" Type="http://schemas.openxmlformats.org/officeDocument/2006/relationships/worksheet" Target="worksheets/sheet230.xml"/><Relationship Id="rId251" Type="http://schemas.openxmlformats.org/officeDocument/2006/relationships/worksheet" Target="worksheets/sheet251.xml"/><Relationship Id="rId25" Type="http://schemas.openxmlformats.org/officeDocument/2006/relationships/worksheet" Target="worksheets/sheet25.xml"/><Relationship Id="rId46" Type="http://schemas.openxmlformats.org/officeDocument/2006/relationships/worksheet" Target="worksheets/sheet46.xml"/><Relationship Id="rId67" Type="http://schemas.openxmlformats.org/officeDocument/2006/relationships/worksheet" Target="worksheets/sheet67.xml"/><Relationship Id="rId272" Type="http://schemas.openxmlformats.org/officeDocument/2006/relationships/worksheet" Target="worksheets/sheet272.xml"/><Relationship Id="rId293" Type="http://schemas.openxmlformats.org/officeDocument/2006/relationships/worksheet" Target="worksheets/sheet293.xml"/><Relationship Id="rId307" Type="http://schemas.openxmlformats.org/officeDocument/2006/relationships/worksheet" Target="worksheets/sheet307.xml"/><Relationship Id="rId328" Type="http://schemas.openxmlformats.org/officeDocument/2006/relationships/worksheet" Target="worksheets/sheet328.xml"/><Relationship Id="rId349" Type="http://schemas.openxmlformats.org/officeDocument/2006/relationships/calcChain" Target="calcChain.xml"/><Relationship Id="rId88" Type="http://schemas.openxmlformats.org/officeDocument/2006/relationships/worksheet" Target="worksheets/sheet88.xml"/><Relationship Id="rId111" Type="http://schemas.openxmlformats.org/officeDocument/2006/relationships/worksheet" Target="worksheets/sheet111.xml"/><Relationship Id="rId132" Type="http://schemas.openxmlformats.org/officeDocument/2006/relationships/worksheet" Target="worksheets/sheet132.xml"/><Relationship Id="rId153" Type="http://schemas.openxmlformats.org/officeDocument/2006/relationships/worksheet" Target="worksheets/sheet153.xml"/><Relationship Id="rId174" Type="http://schemas.openxmlformats.org/officeDocument/2006/relationships/worksheet" Target="worksheets/sheet174.xml"/><Relationship Id="rId195" Type="http://schemas.openxmlformats.org/officeDocument/2006/relationships/worksheet" Target="worksheets/sheet195.xml"/><Relationship Id="rId209" Type="http://schemas.openxmlformats.org/officeDocument/2006/relationships/worksheet" Target="worksheets/sheet209.xml"/><Relationship Id="rId220" Type="http://schemas.openxmlformats.org/officeDocument/2006/relationships/worksheet" Target="worksheets/sheet220.xml"/><Relationship Id="rId241" Type="http://schemas.openxmlformats.org/officeDocument/2006/relationships/worksheet" Target="worksheets/sheet241.xml"/><Relationship Id="rId15" Type="http://schemas.openxmlformats.org/officeDocument/2006/relationships/worksheet" Target="worksheets/sheet15.xml"/><Relationship Id="rId36" Type="http://schemas.openxmlformats.org/officeDocument/2006/relationships/worksheet" Target="worksheets/sheet36.xml"/><Relationship Id="rId57" Type="http://schemas.openxmlformats.org/officeDocument/2006/relationships/worksheet" Target="worksheets/sheet57.xml"/><Relationship Id="rId262" Type="http://schemas.openxmlformats.org/officeDocument/2006/relationships/worksheet" Target="worksheets/sheet262.xml"/><Relationship Id="rId283" Type="http://schemas.openxmlformats.org/officeDocument/2006/relationships/worksheet" Target="worksheets/sheet283.xml"/><Relationship Id="rId318" Type="http://schemas.openxmlformats.org/officeDocument/2006/relationships/worksheet" Target="worksheets/sheet318.xml"/><Relationship Id="rId339" Type="http://schemas.openxmlformats.org/officeDocument/2006/relationships/worksheet" Target="worksheets/sheet339.xml"/><Relationship Id="rId78" Type="http://schemas.openxmlformats.org/officeDocument/2006/relationships/worksheet" Target="worksheets/sheet78.xml"/><Relationship Id="rId99" Type="http://schemas.openxmlformats.org/officeDocument/2006/relationships/worksheet" Target="worksheets/sheet99.xml"/><Relationship Id="rId101" Type="http://schemas.openxmlformats.org/officeDocument/2006/relationships/worksheet" Target="worksheets/sheet101.xml"/><Relationship Id="rId122" Type="http://schemas.openxmlformats.org/officeDocument/2006/relationships/worksheet" Target="worksheets/sheet122.xml"/><Relationship Id="rId143" Type="http://schemas.openxmlformats.org/officeDocument/2006/relationships/worksheet" Target="worksheets/sheet143.xml"/><Relationship Id="rId164" Type="http://schemas.openxmlformats.org/officeDocument/2006/relationships/worksheet" Target="worksheets/sheet164.xml"/><Relationship Id="rId185" Type="http://schemas.openxmlformats.org/officeDocument/2006/relationships/worksheet" Target="worksheets/sheet185.xml"/><Relationship Id="rId9" Type="http://schemas.openxmlformats.org/officeDocument/2006/relationships/worksheet" Target="worksheets/sheet9.xml"/><Relationship Id="rId210" Type="http://schemas.openxmlformats.org/officeDocument/2006/relationships/worksheet" Target="worksheets/sheet210.xml"/><Relationship Id="rId26" Type="http://schemas.openxmlformats.org/officeDocument/2006/relationships/worksheet" Target="worksheets/sheet26.xml"/><Relationship Id="rId231" Type="http://schemas.openxmlformats.org/officeDocument/2006/relationships/worksheet" Target="worksheets/sheet231.xml"/><Relationship Id="rId252" Type="http://schemas.openxmlformats.org/officeDocument/2006/relationships/worksheet" Target="worksheets/sheet252.xml"/><Relationship Id="rId273" Type="http://schemas.openxmlformats.org/officeDocument/2006/relationships/worksheet" Target="worksheets/sheet273.xml"/><Relationship Id="rId294" Type="http://schemas.openxmlformats.org/officeDocument/2006/relationships/worksheet" Target="worksheets/sheet294.xml"/><Relationship Id="rId308" Type="http://schemas.openxmlformats.org/officeDocument/2006/relationships/worksheet" Target="worksheets/sheet308.xml"/><Relationship Id="rId329" Type="http://schemas.openxmlformats.org/officeDocument/2006/relationships/worksheet" Target="worksheets/sheet329.xml"/><Relationship Id="rId47" Type="http://schemas.openxmlformats.org/officeDocument/2006/relationships/worksheet" Target="worksheets/sheet47.xml"/><Relationship Id="rId68" Type="http://schemas.openxmlformats.org/officeDocument/2006/relationships/worksheet" Target="worksheets/sheet68.xml"/><Relationship Id="rId89" Type="http://schemas.openxmlformats.org/officeDocument/2006/relationships/worksheet" Target="worksheets/sheet89.xml"/><Relationship Id="rId112" Type="http://schemas.openxmlformats.org/officeDocument/2006/relationships/worksheet" Target="worksheets/sheet112.xml"/><Relationship Id="rId133" Type="http://schemas.openxmlformats.org/officeDocument/2006/relationships/worksheet" Target="worksheets/sheet133.xml"/><Relationship Id="rId154" Type="http://schemas.openxmlformats.org/officeDocument/2006/relationships/worksheet" Target="worksheets/sheet154.xml"/><Relationship Id="rId175" Type="http://schemas.openxmlformats.org/officeDocument/2006/relationships/worksheet" Target="worksheets/sheet175.xml"/><Relationship Id="rId340" Type="http://schemas.openxmlformats.org/officeDocument/2006/relationships/worksheet" Target="worksheets/sheet340.xml"/><Relationship Id="rId196" Type="http://schemas.openxmlformats.org/officeDocument/2006/relationships/worksheet" Target="worksheets/sheet196.xml"/><Relationship Id="rId200" Type="http://schemas.openxmlformats.org/officeDocument/2006/relationships/worksheet" Target="worksheets/sheet200.xml"/><Relationship Id="rId16" Type="http://schemas.openxmlformats.org/officeDocument/2006/relationships/worksheet" Target="worksheets/sheet16.xml"/><Relationship Id="rId221" Type="http://schemas.openxmlformats.org/officeDocument/2006/relationships/worksheet" Target="worksheets/sheet221.xml"/><Relationship Id="rId242" Type="http://schemas.openxmlformats.org/officeDocument/2006/relationships/worksheet" Target="worksheets/sheet242.xml"/><Relationship Id="rId263" Type="http://schemas.openxmlformats.org/officeDocument/2006/relationships/worksheet" Target="worksheets/sheet263.xml"/><Relationship Id="rId284" Type="http://schemas.openxmlformats.org/officeDocument/2006/relationships/worksheet" Target="worksheets/sheet284.xml"/><Relationship Id="rId319" Type="http://schemas.openxmlformats.org/officeDocument/2006/relationships/worksheet" Target="worksheets/sheet319.xml"/><Relationship Id="rId37" Type="http://schemas.openxmlformats.org/officeDocument/2006/relationships/worksheet" Target="worksheets/sheet37.xml"/><Relationship Id="rId58" Type="http://schemas.openxmlformats.org/officeDocument/2006/relationships/worksheet" Target="worksheets/sheet58.xml"/><Relationship Id="rId79" Type="http://schemas.openxmlformats.org/officeDocument/2006/relationships/worksheet" Target="worksheets/sheet79.xml"/><Relationship Id="rId102" Type="http://schemas.openxmlformats.org/officeDocument/2006/relationships/worksheet" Target="worksheets/sheet102.xml"/><Relationship Id="rId123" Type="http://schemas.openxmlformats.org/officeDocument/2006/relationships/worksheet" Target="worksheets/sheet123.xml"/><Relationship Id="rId144" Type="http://schemas.openxmlformats.org/officeDocument/2006/relationships/worksheet" Target="worksheets/sheet144.xml"/><Relationship Id="rId330" Type="http://schemas.openxmlformats.org/officeDocument/2006/relationships/worksheet" Target="worksheets/sheet330.xml"/><Relationship Id="rId90" Type="http://schemas.openxmlformats.org/officeDocument/2006/relationships/worksheet" Target="worksheets/sheet90.xml"/><Relationship Id="rId165" Type="http://schemas.openxmlformats.org/officeDocument/2006/relationships/worksheet" Target="worksheets/sheet165.xml"/><Relationship Id="rId186" Type="http://schemas.openxmlformats.org/officeDocument/2006/relationships/worksheet" Target="worksheets/sheet186.xml"/><Relationship Id="rId211" Type="http://schemas.openxmlformats.org/officeDocument/2006/relationships/worksheet" Target="worksheets/sheet211.xml"/><Relationship Id="rId232" Type="http://schemas.openxmlformats.org/officeDocument/2006/relationships/worksheet" Target="worksheets/sheet232.xml"/><Relationship Id="rId253" Type="http://schemas.openxmlformats.org/officeDocument/2006/relationships/worksheet" Target="worksheets/sheet253.xml"/><Relationship Id="rId274" Type="http://schemas.openxmlformats.org/officeDocument/2006/relationships/worksheet" Target="worksheets/sheet274.xml"/><Relationship Id="rId295" Type="http://schemas.openxmlformats.org/officeDocument/2006/relationships/worksheet" Target="worksheets/sheet295.xml"/><Relationship Id="rId309" Type="http://schemas.openxmlformats.org/officeDocument/2006/relationships/worksheet" Target="worksheets/sheet309.xml"/><Relationship Id="rId27" Type="http://schemas.openxmlformats.org/officeDocument/2006/relationships/worksheet" Target="worksheets/sheet27.xml"/><Relationship Id="rId48" Type="http://schemas.openxmlformats.org/officeDocument/2006/relationships/worksheet" Target="worksheets/sheet48.xml"/><Relationship Id="rId69" Type="http://schemas.openxmlformats.org/officeDocument/2006/relationships/worksheet" Target="worksheets/sheet69.xml"/><Relationship Id="rId113" Type="http://schemas.openxmlformats.org/officeDocument/2006/relationships/worksheet" Target="worksheets/sheet113.xml"/><Relationship Id="rId134" Type="http://schemas.openxmlformats.org/officeDocument/2006/relationships/worksheet" Target="worksheets/sheet134.xml"/><Relationship Id="rId320" Type="http://schemas.openxmlformats.org/officeDocument/2006/relationships/worksheet" Target="worksheets/sheet320.xml"/><Relationship Id="rId80" Type="http://schemas.openxmlformats.org/officeDocument/2006/relationships/worksheet" Target="worksheets/sheet80.xml"/><Relationship Id="rId155" Type="http://schemas.openxmlformats.org/officeDocument/2006/relationships/worksheet" Target="worksheets/sheet155.xml"/><Relationship Id="rId176" Type="http://schemas.openxmlformats.org/officeDocument/2006/relationships/worksheet" Target="worksheets/sheet176.xml"/><Relationship Id="rId197" Type="http://schemas.openxmlformats.org/officeDocument/2006/relationships/worksheet" Target="worksheets/sheet197.xml"/><Relationship Id="rId341" Type="http://schemas.openxmlformats.org/officeDocument/2006/relationships/worksheet" Target="worksheets/sheet341.xml"/><Relationship Id="rId201" Type="http://schemas.openxmlformats.org/officeDocument/2006/relationships/worksheet" Target="worksheets/sheet201.xml"/><Relationship Id="rId222" Type="http://schemas.openxmlformats.org/officeDocument/2006/relationships/worksheet" Target="worksheets/sheet222.xml"/><Relationship Id="rId243" Type="http://schemas.openxmlformats.org/officeDocument/2006/relationships/worksheet" Target="worksheets/sheet243.xml"/><Relationship Id="rId264" Type="http://schemas.openxmlformats.org/officeDocument/2006/relationships/worksheet" Target="worksheets/sheet264.xml"/><Relationship Id="rId285" Type="http://schemas.openxmlformats.org/officeDocument/2006/relationships/worksheet" Target="worksheets/sheet285.xml"/><Relationship Id="rId17" Type="http://schemas.openxmlformats.org/officeDocument/2006/relationships/worksheet" Target="worksheets/sheet17.xml"/><Relationship Id="rId38" Type="http://schemas.openxmlformats.org/officeDocument/2006/relationships/worksheet" Target="worksheets/sheet38.xml"/><Relationship Id="rId59" Type="http://schemas.openxmlformats.org/officeDocument/2006/relationships/worksheet" Target="worksheets/sheet59.xml"/><Relationship Id="rId103" Type="http://schemas.openxmlformats.org/officeDocument/2006/relationships/worksheet" Target="worksheets/sheet103.xml"/><Relationship Id="rId124" Type="http://schemas.openxmlformats.org/officeDocument/2006/relationships/worksheet" Target="worksheets/sheet124.xml"/><Relationship Id="rId310" Type="http://schemas.openxmlformats.org/officeDocument/2006/relationships/worksheet" Target="worksheets/sheet310.xml"/><Relationship Id="rId70" Type="http://schemas.openxmlformats.org/officeDocument/2006/relationships/worksheet" Target="worksheets/sheet70.xml"/><Relationship Id="rId91" Type="http://schemas.openxmlformats.org/officeDocument/2006/relationships/worksheet" Target="worksheets/sheet91.xml"/><Relationship Id="rId145" Type="http://schemas.openxmlformats.org/officeDocument/2006/relationships/worksheet" Target="worksheets/sheet145.xml"/><Relationship Id="rId166" Type="http://schemas.openxmlformats.org/officeDocument/2006/relationships/worksheet" Target="worksheets/sheet166.xml"/><Relationship Id="rId187" Type="http://schemas.openxmlformats.org/officeDocument/2006/relationships/worksheet" Target="worksheets/sheet187.xml"/><Relationship Id="rId331" Type="http://schemas.openxmlformats.org/officeDocument/2006/relationships/worksheet" Target="worksheets/sheet331.xml"/><Relationship Id="rId1" Type="http://schemas.openxmlformats.org/officeDocument/2006/relationships/worksheet" Target="worksheets/sheet1.xml"/><Relationship Id="rId212" Type="http://schemas.openxmlformats.org/officeDocument/2006/relationships/worksheet" Target="worksheets/sheet212.xml"/><Relationship Id="rId233" Type="http://schemas.openxmlformats.org/officeDocument/2006/relationships/worksheet" Target="worksheets/sheet233.xml"/><Relationship Id="rId254" Type="http://schemas.openxmlformats.org/officeDocument/2006/relationships/worksheet" Target="worksheets/sheet254.xml"/><Relationship Id="rId28" Type="http://schemas.openxmlformats.org/officeDocument/2006/relationships/worksheet" Target="worksheets/sheet28.xml"/><Relationship Id="rId49" Type="http://schemas.openxmlformats.org/officeDocument/2006/relationships/worksheet" Target="worksheets/sheet49.xml"/><Relationship Id="rId114" Type="http://schemas.openxmlformats.org/officeDocument/2006/relationships/worksheet" Target="worksheets/sheet114.xml"/><Relationship Id="rId275" Type="http://schemas.openxmlformats.org/officeDocument/2006/relationships/worksheet" Target="worksheets/sheet275.xml"/><Relationship Id="rId296" Type="http://schemas.openxmlformats.org/officeDocument/2006/relationships/worksheet" Target="worksheets/sheet296.xml"/><Relationship Id="rId300" Type="http://schemas.openxmlformats.org/officeDocument/2006/relationships/worksheet" Target="worksheets/sheet300.xml"/><Relationship Id="rId60" Type="http://schemas.openxmlformats.org/officeDocument/2006/relationships/worksheet" Target="worksheets/sheet60.xml"/><Relationship Id="rId81" Type="http://schemas.openxmlformats.org/officeDocument/2006/relationships/worksheet" Target="worksheets/sheet81.xml"/><Relationship Id="rId135" Type="http://schemas.openxmlformats.org/officeDocument/2006/relationships/worksheet" Target="worksheets/sheet135.xml"/><Relationship Id="rId156" Type="http://schemas.openxmlformats.org/officeDocument/2006/relationships/worksheet" Target="worksheets/sheet156.xml"/><Relationship Id="rId177" Type="http://schemas.openxmlformats.org/officeDocument/2006/relationships/worksheet" Target="worksheets/sheet177.xml"/><Relationship Id="rId198" Type="http://schemas.openxmlformats.org/officeDocument/2006/relationships/worksheet" Target="worksheets/sheet198.xml"/><Relationship Id="rId321" Type="http://schemas.openxmlformats.org/officeDocument/2006/relationships/worksheet" Target="worksheets/sheet321.xml"/><Relationship Id="rId342" Type="http://schemas.openxmlformats.org/officeDocument/2006/relationships/worksheet" Target="worksheets/sheet342.xml"/><Relationship Id="rId202" Type="http://schemas.openxmlformats.org/officeDocument/2006/relationships/worksheet" Target="worksheets/sheet202.xml"/><Relationship Id="rId223" Type="http://schemas.openxmlformats.org/officeDocument/2006/relationships/worksheet" Target="worksheets/sheet223.xml"/><Relationship Id="rId244" Type="http://schemas.openxmlformats.org/officeDocument/2006/relationships/worksheet" Target="worksheets/sheet244.xml"/><Relationship Id="rId18" Type="http://schemas.openxmlformats.org/officeDocument/2006/relationships/worksheet" Target="worksheets/sheet18.xml"/><Relationship Id="rId39" Type="http://schemas.openxmlformats.org/officeDocument/2006/relationships/worksheet" Target="worksheets/sheet39.xml"/><Relationship Id="rId265" Type="http://schemas.openxmlformats.org/officeDocument/2006/relationships/worksheet" Target="worksheets/sheet265.xml"/><Relationship Id="rId286" Type="http://schemas.openxmlformats.org/officeDocument/2006/relationships/worksheet" Target="worksheets/sheet286.xml"/><Relationship Id="rId50" Type="http://schemas.openxmlformats.org/officeDocument/2006/relationships/worksheet" Target="worksheets/sheet50.xml"/><Relationship Id="rId104" Type="http://schemas.openxmlformats.org/officeDocument/2006/relationships/worksheet" Target="worksheets/sheet104.xml"/><Relationship Id="rId125" Type="http://schemas.openxmlformats.org/officeDocument/2006/relationships/worksheet" Target="worksheets/sheet125.xml"/><Relationship Id="rId146" Type="http://schemas.openxmlformats.org/officeDocument/2006/relationships/worksheet" Target="worksheets/sheet146.xml"/><Relationship Id="rId167" Type="http://schemas.openxmlformats.org/officeDocument/2006/relationships/worksheet" Target="worksheets/sheet167.xml"/><Relationship Id="rId188" Type="http://schemas.openxmlformats.org/officeDocument/2006/relationships/worksheet" Target="worksheets/sheet188.xml"/><Relationship Id="rId311" Type="http://schemas.openxmlformats.org/officeDocument/2006/relationships/worksheet" Target="worksheets/sheet311.xml"/><Relationship Id="rId332" Type="http://schemas.openxmlformats.org/officeDocument/2006/relationships/worksheet" Target="worksheets/sheet332.xml"/><Relationship Id="rId71" Type="http://schemas.openxmlformats.org/officeDocument/2006/relationships/worksheet" Target="worksheets/sheet71.xml"/><Relationship Id="rId92" Type="http://schemas.openxmlformats.org/officeDocument/2006/relationships/worksheet" Target="worksheets/sheet92.xml"/><Relationship Id="rId213" Type="http://schemas.openxmlformats.org/officeDocument/2006/relationships/worksheet" Target="worksheets/sheet213.xml"/><Relationship Id="rId234" Type="http://schemas.openxmlformats.org/officeDocument/2006/relationships/worksheet" Target="worksheets/sheet234.xml"/><Relationship Id="rId2" Type="http://schemas.openxmlformats.org/officeDocument/2006/relationships/worksheet" Target="worksheets/sheet2.xml"/><Relationship Id="rId29" Type="http://schemas.openxmlformats.org/officeDocument/2006/relationships/worksheet" Target="worksheets/sheet29.xml"/><Relationship Id="rId255" Type="http://schemas.openxmlformats.org/officeDocument/2006/relationships/worksheet" Target="worksheets/sheet255.xml"/><Relationship Id="rId276" Type="http://schemas.openxmlformats.org/officeDocument/2006/relationships/worksheet" Target="worksheets/sheet276.xml"/><Relationship Id="rId297" Type="http://schemas.openxmlformats.org/officeDocument/2006/relationships/worksheet" Target="worksheets/sheet297.xml"/><Relationship Id="rId40" Type="http://schemas.openxmlformats.org/officeDocument/2006/relationships/worksheet" Target="worksheets/sheet40.xml"/><Relationship Id="rId115" Type="http://schemas.openxmlformats.org/officeDocument/2006/relationships/worksheet" Target="worksheets/sheet115.xml"/><Relationship Id="rId136" Type="http://schemas.openxmlformats.org/officeDocument/2006/relationships/worksheet" Target="worksheets/sheet136.xml"/><Relationship Id="rId157" Type="http://schemas.openxmlformats.org/officeDocument/2006/relationships/worksheet" Target="worksheets/sheet157.xml"/><Relationship Id="rId178" Type="http://schemas.openxmlformats.org/officeDocument/2006/relationships/worksheet" Target="worksheets/sheet178.xml"/><Relationship Id="rId301" Type="http://schemas.openxmlformats.org/officeDocument/2006/relationships/worksheet" Target="worksheets/sheet301.xml"/><Relationship Id="rId322" Type="http://schemas.openxmlformats.org/officeDocument/2006/relationships/worksheet" Target="worksheets/sheet322.xml"/><Relationship Id="rId343" Type="http://schemas.openxmlformats.org/officeDocument/2006/relationships/worksheet" Target="worksheets/sheet343.xml"/><Relationship Id="rId61" Type="http://schemas.openxmlformats.org/officeDocument/2006/relationships/worksheet" Target="worksheets/sheet61.xml"/><Relationship Id="rId82" Type="http://schemas.openxmlformats.org/officeDocument/2006/relationships/worksheet" Target="worksheets/sheet82.xml"/><Relationship Id="rId199" Type="http://schemas.openxmlformats.org/officeDocument/2006/relationships/worksheet" Target="worksheets/sheet199.xml"/><Relationship Id="rId203" Type="http://schemas.openxmlformats.org/officeDocument/2006/relationships/worksheet" Target="worksheets/sheet203.xml"/><Relationship Id="rId19" Type="http://schemas.openxmlformats.org/officeDocument/2006/relationships/worksheet" Target="worksheets/sheet19.xml"/><Relationship Id="rId224" Type="http://schemas.openxmlformats.org/officeDocument/2006/relationships/worksheet" Target="worksheets/sheet224.xml"/><Relationship Id="rId245" Type="http://schemas.openxmlformats.org/officeDocument/2006/relationships/worksheet" Target="worksheets/sheet245.xml"/><Relationship Id="rId266" Type="http://schemas.openxmlformats.org/officeDocument/2006/relationships/worksheet" Target="worksheets/sheet266.xml"/><Relationship Id="rId287" Type="http://schemas.openxmlformats.org/officeDocument/2006/relationships/worksheet" Target="worksheets/sheet287.xml"/><Relationship Id="rId30" Type="http://schemas.openxmlformats.org/officeDocument/2006/relationships/worksheet" Target="worksheets/sheet30.xml"/><Relationship Id="rId105" Type="http://schemas.openxmlformats.org/officeDocument/2006/relationships/worksheet" Target="worksheets/sheet105.xml"/><Relationship Id="rId126" Type="http://schemas.openxmlformats.org/officeDocument/2006/relationships/worksheet" Target="worksheets/sheet126.xml"/><Relationship Id="rId147" Type="http://schemas.openxmlformats.org/officeDocument/2006/relationships/worksheet" Target="worksheets/sheet147.xml"/><Relationship Id="rId168" Type="http://schemas.openxmlformats.org/officeDocument/2006/relationships/worksheet" Target="worksheets/sheet168.xml"/><Relationship Id="rId312" Type="http://schemas.openxmlformats.org/officeDocument/2006/relationships/worksheet" Target="worksheets/sheet312.xml"/><Relationship Id="rId333" Type="http://schemas.openxmlformats.org/officeDocument/2006/relationships/worksheet" Target="worksheets/sheet333.xml"/><Relationship Id="rId51" Type="http://schemas.openxmlformats.org/officeDocument/2006/relationships/worksheet" Target="worksheets/sheet51.xml"/><Relationship Id="rId72" Type="http://schemas.openxmlformats.org/officeDocument/2006/relationships/worksheet" Target="worksheets/sheet72.xml"/><Relationship Id="rId93" Type="http://schemas.openxmlformats.org/officeDocument/2006/relationships/worksheet" Target="worksheets/sheet93.xml"/><Relationship Id="rId189" Type="http://schemas.openxmlformats.org/officeDocument/2006/relationships/worksheet" Target="worksheets/sheet189.xml"/><Relationship Id="rId3" Type="http://schemas.openxmlformats.org/officeDocument/2006/relationships/worksheet" Target="worksheets/sheet3.xml"/><Relationship Id="rId214" Type="http://schemas.openxmlformats.org/officeDocument/2006/relationships/worksheet" Target="worksheets/sheet214.xml"/><Relationship Id="rId235" Type="http://schemas.openxmlformats.org/officeDocument/2006/relationships/worksheet" Target="worksheets/sheet235.xml"/><Relationship Id="rId256" Type="http://schemas.openxmlformats.org/officeDocument/2006/relationships/worksheet" Target="worksheets/sheet256.xml"/><Relationship Id="rId277" Type="http://schemas.openxmlformats.org/officeDocument/2006/relationships/worksheet" Target="worksheets/sheet277.xml"/><Relationship Id="rId298" Type="http://schemas.openxmlformats.org/officeDocument/2006/relationships/worksheet" Target="worksheets/sheet298.xml"/><Relationship Id="rId116" Type="http://schemas.openxmlformats.org/officeDocument/2006/relationships/worksheet" Target="worksheets/sheet116.xml"/><Relationship Id="rId137" Type="http://schemas.openxmlformats.org/officeDocument/2006/relationships/worksheet" Target="worksheets/sheet137.xml"/><Relationship Id="rId158" Type="http://schemas.openxmlformats.org/officeDocument/2006/relationships/worksheet" Target="worksheets/sheet158.xml"/><Relationship Id="rId302" Type="http://schemas.openxmlformats.org/officeDocument/2006/relationships/worksheet" Target="worksheets/sheet302.xml"/><Relationship Id="rId323" Type="http://schemas.openxmlformats.org/officeDocument/2006/relationships/worksheet" Target="worksheets/sheet323.xml"/><Relationship Id="rId344" Type="http://schemas.openxmlformats.org/officeDocument/2006/relationships/worksheet" Target="worksheets/sheet344.xml"/><Relationship Id="rId20" Type="http://schemas.openxmlformats.org/officeDocument/2006/relationships/worksheet" Target="worksheets/sheet20.xml"/><Relationship Id="rId41" Type="http://schemas.openxmlformats.org/officeDocument/2006/relationships/worksheet" Target="worksheets/sheet41.xml"/><Relationship Id="rId62" Type="http://schemas.openxmlformats.org/officeDocument/2006/relationships/worksheet" Target="worksheets/sheet62.xml"/><Relationship Id="rId83" Type="http://schemas.openxmlformats.org/officeDocument/2006/relationships/worksheet" Target="worksheets/sheet83.xml"/><Relationship Id="rId179" Type="http://schemas.openxmlformats.org/officeDocument/2006/relationships/worksheet" Target="worksheets/sheet179.xml"/><Relationship Id="rId190" Type="http://schemas.openxmlformats.org/officeDocument/2006/relationships/worksheet" Target="worksheets/sheet190.xml"/><Relationship Id="rId204" Type="http://schemas.openxmlformats.org/officeDocument/2006/relationships/worksheet" Target="worksheets/sheet204.xml"/><Relationship Id="rId225" Type="http://schemas.openxmlformats.org/officeDocument/2006/relationships/worksheet" Target="worksheets/sheet225.xml"/><Relationship Id="rId246" Type="http://schemas.openxmlformats.org/officeDocument/2006/relationships/worksheet" Target="worksheets/sheet246.xml"/><Relationship Id="rId267" Type="http://schemas.openxmlformats.org/officeDocument/2006/relationships/worksheet" Target="worksheets/sheet267.xml"/><Relationship Id="rId288" Type="http://schemas.openxmlformats.org/officeDocument/2006/relationships/worksheet" Target="worksheets/sheet288.xml"/><Relationship Id="rId106" Type="http://schemas.openxmlformats.org/officeDocument/2006/relationships/worksheet" Target="worksheets/sheet106.xml"/><Relationship Id="rId127" Type="http://schemas.openxmlformats.org/officeDocument/2006/relationships/worksheet" Target="worksheets/sheet127.xml"/><Relationship Id="rId313" Type="http://schemas.openxmlformats.org/officeDocument/2006/relationships/worksheet" Target="worksheets/sheet313.xml"/><Relationship Id="rId10" Type="http://schemas.openxmlformats.org/officeDocument/2006/relationships/worksheet" Target="worksheets/sheet10.xml"/><Relationship Id="rId31" Type="http://schemas.openxmlformats.org/officeDocument/2006/relationships/worksheet" Target="worksheets/sheet31.xml"/><Relationship Id="rId52" Type="http://schemas.openxmlformats.org/officeDocument/2006/relationships/worksheet" Target="worksheets/sheet52.xml"/><Relationship Id="rId73" Type="http://schemas.openxmlformats.org/officeDocument/2006/relationships/worksheet" Target="worksheets/sheet73.xml"/><Relationship Id="rId94" Type="http://schemas.openxmlformats.org/officeDocument/2006/relationships/worksheet" Target="worksheets/sheet94.xml"/><Relationship Id="rId148" Type="http://schemas.openxmlformats.org/officeDocument/2006/relationships/worksheet" Target="worksheets/sheet148.xml"/><Relationship Id="rId169" Type="http://schemas.openxmlformats.org/officeDocument/2006/relationships/worksheet" Target="worksheets/sheet169.xml"/><Relationship Id="rId334" Type="http://schemas.openxmlformats.org/officeDocument/2006/relationships/worksheet" Target="worksheets/sheet334.xml"/><Relationship Id="rId4" Type="http://schemas.openxmlformats.org/officeDocument/2006/relationships/worksheet" Target="worksheets/sheet4.xml"/><Relationship Id="rId180" Type="http://schemas.openxmlformats.org/officeDocument/2006/relationships/worksheet" Target="worksheets/sheet180.xml"/><Relationship Id="rId215" Type="http://schemas.openxmlformats.org/officeDocument/2006/relationships/worksheet" Target="worksheets/sheet215.xml"/><Relationship Id="rId236" Type="http://schemas.openxmlformats.org/officeDocument/2006/relationships/worksheet" Target="worksheets/sheet236.xml"/><Relationship Id="rId257" Type="http://schemas.openxmlformats.org/officeDocument/2006/relationships/worksheet" Target="worksheets/sheet257.xml"/><Relationship Id="rId278" Type="http://schemas.openxmlformats.org/officeDocument/2006/relationships/worksheet" Target="worksheets/sheet278.xml"/><Relationship Id="rId303" Type="http://schemas.openxmlformats.org/officeDocument/2006/relationships/worksheet" Target="worksheets/sheet303.xml"/><Relationship Id="rId42" Type="http://schemas.openxmlformats.org/officeDocument/2006/relationships/worksheet" Target="worksheets/sheet42.xml"/><Relationship Id="rId84" Type="http://schemas.openxmlformats.org/officeDocument/2006/relationships/worksheet" Target="worksheets/sheet84.xml"/><Relationship Id="rId138" Type="http://schemas.openxmlformats.org/officeDocument/2006/relationships/worksheet" Target="worksheets/sheet138.xml"/><Relationship Id="rId345" Type="http://schemas.openxmlformats.org/officeDocument/2006/relationships/worksheet" Target="worksheets/sheet345.xml"/><Relationship Id="rId191" Type="http://schemas.openxmlformats.org/officeDocument/2006/relationships/worksheet" Target="worksheets/sheet191.xml"/><Relationship Id="rId205" Type="http://schemas.openxmlformats.org/officeDocument/2006/relationships/worksheet" Target="worksheets/sheet205.xml"/><Relationship Id="rId247" Type="http://schemas.openxmlformats.org/officeDocument/2006/relationships/worksheet" Target="worksheets/sheet247.xml"/><Relationship Id="rId107" Type="http://schemas.openxmlformats.org/officeDocument/2006/relationships/worksheet" Target="worksheets/sheet107.xml"/><Relationship Id="rId289" Type="http://schemas.openxmlformats.org/officeDocument/2006/relationships/worksheet" Target="worksheets/sheet289.xml"/><Relationship Id="rId11" Type="http://schemas.openxmlformats.org/officeDocument/2006/relationships/worksheet" Target="worksheets/sheet11.xml"/><Relationship Id="rId53" Type="http://schemas.openxmlformats.org/officeDocument/2006/relationships/worksheet" Target="worksheets/sheet53.xml"/><Relationship Id="rId149" Type="http://schemas.openxmlformats.org/officeDocument/2006/relationships/worksheet" Target="worksheets/sheet149.xml"/><Relationship Id="rId314" Type="http://schemas.openxmlformats.org/officeDocument/2006/relationships/worksheet" Target="worksheets/sheet314.xml"/><Relationship Id="rId95" Type="http://schemas.openxmlformats.org/officeDocument/2006/relationships/worksheet" Target="worksheets/sheet95.xml"/><Relationship Id="rId160" Type="http://schemas.openxmlformats.org/officeDocument/2006/relationships/worksheet" Target="worksheets/sheet160.xml"/><Relationship Id="rId216" Type="http://schemas.openxmlformats.org/officeDocument/2006/relationships/worksheet" Target="worksheets/sheet216.xml"/><Relationship Id="rId258" Type="http://schemas.openxmlformats.org/officeDocument/2006/relationships/worksheet" Target="worksheets/sheet258.xml"/><Relationship Id="rId22" Type="http://schemas.openxmlformats.org/officeDocument/2006/relationships/worksheet" Target="worksheets/sheet22.xml"/><Relationship Id="rId64" Type="http://schemas.openxmlformats.org/officeDocument/2006/relationships/worksheet" Target="worksheets/sheet64.xml"/><Relationship Id="rId118" Type="http://schemas.openxmlformats.org/officeDocument/2006/relationships/worksheet" Target="worksheets/sheet118.xml"/><Relationship Id="rId325" Type="http://schemas.openxmlformats.org/officeDocument/2006/relationships/worksheet" Target="worksheets/sheet325.xml"/><Relationship Id="rId171" Type="http://schemas.openxmlformats.org/officeDocument/2006/relationships/worksheet" Target="worksheets/sheet171.xml"/><Relationship Id="rId227" Type="http://schemas.openxmlformats.org/officeDocument/2006/relationships/worksheet" Target="worksheets/sheet227.xml"/><Relationship Id="rId269" Type="http://schemas.openxmlformats.org/officeDocument/2006/relationships/worksheet" Target="worksheets/sheet269.xml"/><Relationship Id="rId33" Type="http://schemas.openxmlformats.org/officeDocument/2006/relationships/worksheet" Target="worksheets/sheet33.xml"/><Relationship Id="rId129" Type="http://schemas.openxmlformats.org/officeDocument/2006/relationships/worksheet" Target="worksheets/sheet129.xml"/><Relationship Id="rId280" Type="http://schemas.openxmlformats.org/officeDocument/2006/relationships/worksheet" Target="worksheets/sheet280.xml"/><Relationship Id="rId336" Type="http://schemas.openxmlformats.org/officeDocument/2006/relationships/worksheet" Target="worksheets/sheet336.xml"/><Relationship Id="rId75" Type="http://schemas.openxmlformats.org/officeDocument/2006/relationships/worksheet" Target="worksheets/sheet75.xml"/><Relationship Id="rId140" Type="http://schemas.openxmlformats.org/officeDocument/2006/relationships/worksheet" Target="worksheets/sheet140.xml"/><Relationship Id="rId182" Type="http://schemas.openxmlformats.org/officeDocument/2006/relationships/worksheet" Target="worksheets/sheet182.xml"/><Relationship Id="rId6" Type="http://schemas.openxmlformats.org/officeDocument/2006/relationships/worksheet" Target="worksheets/sheet6.xml"/><Relationship Id="rId238" Type="http://schemas.openxmlformats.org/officeDocument/2006/relationships/worksheet" Target="worksheets/sheet238.xml"/><Relationship Id="rId291" Type="http://schemas.openxmlformats.org/officeDocument/2006/relationships/worksheet" Target="worksheets/sheet291.xml"/><Relationship Id="rId305" Type="http://schemas.openxmlformats.org/officeDocument/2006/relationships/worksheet" Target="worksheets/sheet305.xml"/><Relationship Id="rId347" Type="http://schemas.openxmlformats.org/officeDocument/2006/relationships/styles" Target="styles.xml"/><Relationship Id="rId44" Type="http://schemas.openxmlformats.org/officeDocument/2006/relationships/worksheet" Target="worksheets/sheet44.xml"/><Relationship Id="rId86" Type="http://schemas.openxmlformats.org/officeDocument/2006/relationships/worksheet" Target="worksheets/sheet86.xml"/><Relationship Id="rId151" Type="http://schemas.openxmlformats.org/officeDocument/2006/relationships/worksheet" Target="worksheets/sheet151.xml"/><Relationship Id="rId193" Type="http://schemas.openxmlformats.org/officeDocument/2006/relationships/worksheet" Target="worksheets/sheet193.xml"/><Relationship Id="rId207" Type="http://schemas.openxmlformats.org/officeDocument/2006/relationships/worksheet" Target="worksheets/sheet207.xml"/><Relationship Id="rId249" Type="http://schemas.openxmlformats.org/officeDocument/2006/relationships/worksheet" Target="worksheets/sheet249.xml"/><Relationship Id="rId13" Type="http://schemas.openxmlformats.org/officeDocument/2006/relationships/worksheet" Target="worksheets/sheet13.xml"/><Relationship Id="rId109" Type="http://schemas.openxmlformats.org/officeDocument/2006/relationships/worksheet" Target="worksheets/sheet109.xml"/><Relationship Id="rId260" Type="http://schemas.openxmlformats.org/officeDocument/2006/relationships/worksheet" Target="worksheets/sheet260.xml"/><Relationship Id="rId316" Type="http://schemas.openxmlformats.org/officeDocument/2006/relationships/worksheet" Target="worksheets/sheet316.xml"/><Relationship Id="rId55" Type="http://schemas.openxmlformats.org/officeDocument/2006/relationships/worksheet" Target="worksheets/sheet55.xml"/><Relationship Id="rId97" Type="http://schemas.openxmlformats.org/officeDocument/2006/relationships/worksheet" Target="worksheets/sheet97.xml"/><Relationship Id="rId120" Type="http://schemas.openxmlformats.org/officeDocument/2006/relationships/worksheet" Target="worksheets/sheet120.xml"/><Relationship Id="rId162" Type="http://schemas.openxmlformats.org/officeDocument/2006/relationships/worksheet" Target="worksheets/sheet162.xml"/><Relationship Id="rId218" Type="http://schemas.openxmlformats.org/officeDocument/2006/relationships/worksheet" Target="worksheets/sheet218.xml"/><Relationship Id="rId271" Type="http://schemas.openxmlformats.org/officeDocument/2006/relationships/worksheet" Target="worksheets/sheet271.xml"/><Relationship Id="rId24" Type="http://schemas.openxmlformats.org/officeDocument/2006/relationships/worksheet" Target="worksheets/sheet24.xml"/><Relationship Id="rId66" Type="http://schemas.openxmlformats.org/officeDocument/2006/relationships/worksheet" Target="worksheets/sheet66.xml"/><Relationship Id="rId131" Type="http://schemas.openxmlformats.org/officeDocument/2006/relationships/worksheet" Target="worksheets/sheet131.xml"/><Relationship Id="rId327" Type="http://schemas.openxmlformats.org/officeDocument/2006/relationships/worksheet" Target="worksheets/sheet327.xml"/><Relationship Id="rId173" Type="http://schemas.openxmlformats.org/officeDocument/2006/relationships/worksheet" Target="worksheets/sheet173.xml"/><Relationship Id="rId229" Type="http://schemas.openxmlformats.org/officeDocument/2006/relationships/worksheet" Target="worksheets/sheet229.xml"/><Relationship Id="rId240" Type="http://schemas.openxmlformats.org/officeDocument/2006/relationships/worksheet" Target="worksheets/sheet240.xml"/><Relationship Id="rId35" Type="http://schemas.openxmlformats.org/officeDocument/2006/relationships/worksheet" Target="worksheets/sheet35.xml"/><Relationship Id="rId77" Type="http://schemas.openxmlformats.org/officeDocument/2006/relationships/worksheet" Target="worksheets/sheet77.xml"/><Relationship Id="rId100" Type="http://schemas.openxmlformats.org/officeDocument/2006/relationships/worksheet" Target="worksheets/sheet100.xml"/><Relationship Id="rId282" Type="http://schemas.openxmlformats.org/officeDocument/2006/relationships/worksheet" Target="worksheets/sheet282.xml"/><Relationship Id="rId338" Type="http://schemas.openxmlformats.org/officeDocument/2006/relationships/worksheet" Target="worksheets/sheet338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.bin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.bin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.bin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.bin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9.bin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0.bin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1.bin"/></Relationships>
</file>

<file path=xl/worksheets/_rels/sheet1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2.bin"/></Relationships>
</file>

<file path=xl/worksheets/_rels/sheet1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3.bin"/></Relationships>
</file>

<file path=xl/worksheets/_rels/sheet1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4.bin"/></Relationships>
</file>

<file path=xl/worksheets/_rels/sheet1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5.bin"/></Relationships>
</file>

<file path=xl/worksheets/_rels/sheet1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6.bin"/></Relationships>
</file>

<file path=xl/worksheets/_rels/sheet1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7.bin"/></Relationships>
</file>

<file path=xl/worksheets/_rels/sheet1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8.bin"/></Relationships>
</file>

<file path=xl/worksheets/_rels/sheet1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9.bin"/></Relationships>
</file>

<file path=xl/worksheets/_rels/sheet2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0.bin"/></Relationships>
</file>

<file path=xl/worksheets/_rels/sheet2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1.bin"/></Relationships>
</file>

<file path=xl/worksheets/_rels/sheet2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2.bin"/></Relationships>
</file>

<file path=xl/worksheets/_rels/sheet2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3.bin"/></Relationships>
</file>

<file path=xl/worksheets/_rels/sheet2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4.bin"/></Relationships>
</file>

<file path=xl/worksheets/_rels/sheet2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5.bin"/></Relationships>
</file>

<file path=xl/worksheets/_rels/sheet2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6.bin"/></Relationships>
</file>

<file path=xl/worksheets/_rels/sheet2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7.bin"/></Relationships>
</file>

<file path=xl/worksheets/_rels/sheet2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8.bin"/></Relationships>
</file>

<file path=xl/worksheets/_rels/sheet2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9.bin"/></Relationships>
</file>

<file path=xl/worksheets/_rels/sheet3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0.bin"/></Relationships>
</file>

<file path=xl/worksheets/_rels/sheet3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1.bin"/></Relationships>
</file>

<file path=xl/worksheets/_rels/sheet3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2.bin"/></Relationships>
</file>

<file path=xl/worksheets/_rels/sheet3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3.bin"/></Relationships>
</file>

<file path=xl/worksheets/_rels/sheet3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4.bin"/></Relationships>
</file>

<file path=xl/worksheets/_rels/sheet3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5.bin"/></Relationships>
</file>

<file path=xl/worksheets/_rels/sheet3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6.bin"/></Relationships>
</file>

<file path=xl/worksheets/_rels/sheet3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7.bin"/></Relationships>
</file>

<file path=xl/worksheets/_rels/sheet3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8.bin"/></Relationships>
</file>

<file path=xl/worksheets/_rels/sheet3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9.bin"/></Relationships>
</file>

<file path=xl/worksheets/_rels/sheet4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0.bin"/></Relationships>
</file>

<file path=xl/worksheets/_rels/sheet4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1.bin"/></Relationships>
</file>

<file path=xl/worksheets/_rels/sheet4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2.bin"/></Relationships>
</file>

<file path=xl/worksheets/_rels/sheet4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3.bin"/></Relationships>
</file>

<file path=xl/worksheets/_rels/sheet4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4.bin"/></Relationships>
</file>

<file path=xl/worksheets/_rels/sheet4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5.bin"/></Relationships>
</file>

<file path=xl/worksheets/_rels/sheet4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6.bin"/></Relationships>
</file>

<file path=xl/worksheets/_rels/sheet47.xml.rels><?xml version="1.0" encoding="UTF-8" standalone="yes"?>
<Relationships xmlns="http://schemas.openxmlformats.org/package/2006/relationships"><Relationship Id="rId3" Type="http://schemas.openxmlformats.org/officeDocument/2006/relationships/comments" Target="../comments1.xml"/><Relationship Id="rId2" Type="http://schemas.openxmlformats.org/officeDocument/2006/relationships/vmlDrawing" Target="../drawings/vmlDrawing1.vml"/><Relationship Id="rId1" Type="http://schemas.openxmlformats.org/officeDocument/2006/relationships/printerSettings" Target="../printerSettings/printerSettings47.bin"/></Relationships>
</file>

<file path=xl/worksheets/_rels/sheet4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8.bin"/></Relationships>
</file>

<file path=xl/worksheets/_rels/sheet4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9.bin"/></Relationships>
</file>

<file path=xl/worksheets/_rels/sheet50.xml.rels><?xml version="1.0" encoding="UTF-8" standalone="yes"?>
<Relationships xmlns="http://schemas.openxmlformats.org/package/2006/relationships"><Relationship Id="rId3" Type="http://schemas.openxmlformats.org/officeDocument/2006/relationships/comments" Target="../comments2.xml"/><Relationship Id="rId2" Type="http://schemas.openxmlformats.org/officeDocument/2006/relationships/vmlDrawing" Target="../drawings/vmlDrawing2.vml"/><Relationship Id="rId1" Type="http://schemas.openxmlformats.org/officeDocument/2006/relationships/printerSettings" Target="../printerSettings/printerSettings50.bin"/></Relationships>
</file>

<file path=xl/worksheets/_rels/sheet51.xml.rels><?xml version="1.0" encoding="UTF-8" standalone="yes"?>
<Relationships xmlns="http://schemas.openxmlformats.org/package/2006/relationships"><Relationship Id="rId3" Type="http://schemas.openxmlformats.org/officeDocument/2006/relationships/comments" Target="../comments3.xml"/><Relationship Id="rId2" Type="http://schemas.openxmlformats.org/officeDocument/2006/relationships/vmlDrawing" Target="../drawings/vmlDrawing3.vml"/><Relationship Id="rId1" Type="http://schemas.openxmlformats.org/officeDocument/2006/relationships/printerSettings" Target="../printerSettings/printerSettings51.bin"/></Relationships>
</file>

<file path=xl/worksheets/_rels/sheet52.xml.rels><?xml version="1.0" encoding="UTF-8" standalone="yes"?>
<Relationships xmlns="http://schemas.openxmlformats.org/package/2006/relationships"><Relationship Id="rId3" Type="http://schemas.openxmlformats.org/officeDocument/2006/relationships/comments" Target="../comments4.xml"/><Relationship Id="rId2" Type="http://schemas.openxmlformats.org/officeDocument/2006/relationships/vmlDrawing" Target="../drawings/vmlDrawing4.vml"/><Relationship Id="rId1" Type="http://schemas.openxmlformats.org/officeDocument/2006/relationships/printerSettings" Target="../printerSettings/printerSettings52.bin"/></Relationships>
</file>

<file path=xl/worksheets/_rels/sheet53.xml.rels><?xml version="1.0" encoding="UTF-8" standalone="yes"?>
<Relationships xmlns="http://schemas.openxmlformats.org/package/2006/relationships"><Relationship Id="rId3" Type="http://schemas.openxmlformats.org/officeDocument/2006/relationships/comments" Target="../comments5.xml"/><Relationship Id="rId2" Type="http://schemas.openxmlformats.org/officeDocument/2006/relationships/vmlDrawing" Target="../drawings/vmlDrawing5.vml"/><Relationship Id="rId1" Type="http://schemas.openxmlformats.org/officeDocument/2006/relationships/printerSettings" Target="../printerSettings/printerSettings53.bin"/></Relationships>
</file>

<file path=xl/worksheets/_rels/sheet54.xml.rels><?xml version="1.0" encoding="UTF-8" standalone="yes"?>
<Relationships xmlns="http://schemas.openxmlformats.org/package/2006/relationships"><Relationship Id="rId3" Type="http://schemas.openxmlformats.org/officeDocument/2006/relationships/comments" Target="../comments6.xml"/><Relationship Id="rId2" Type="http://schemas.openxmlformats.org/officeDocument/2006/relationships/vmlDrawing" Target="../drawings/vmlDrawing6.vml"/><Relationship Id="rId1" Type="http://schemas.openxmlformats.org/officeDocument/2006/relationships/printerSettings" Target="../printerSettings/printerSettings54.bin"/></Relationships>
</file>

<file path=xl/worksheets/_rels/sheet55.xml.rels><?xml version="1.0" encoding="UTF-8" standalone="yes"?>
<Relationships xmlns="http://schemas.openxmlformats.org/package/2006/relationships"><Relationship Id="rId3" Type="http://schemas.openxmlformats.org/officeDocument/2006/relationships/comments" Target="../comments7.xml"/><Relationship Id="rId2" Type="http://schemas.openxmlformats.org/officeDocument/2006/relationships/vmlDrawing" Target="../drawings/vmlDrawing7.vml"/><Relationship Id="rId1" Type="http://schemas.openxmlformats.org/officeDocument/2006/relationships/printerSettings" Target="../printerSettings/printerSettings55.bin"/></Relationships>
</file>

<file path=xl/worksheets/_rels/sheet56.xml.rels><?xml version="1.0" encoding="UTF-8" standalone="yes"?>
<Relationships xmlns="http://schemas.openxmlformats.org/package/2006/relationships"><Relationship Id="rId3" Type="http://schemas.openxmlformats.org/officeDocument/2006/relationships/comments" Target="../comments8.xml"/><Relationship Id="rId2" Type="http://schemas.openxmlformats.org/officeDocument/2006/relationships/vmlDrawing" Target="../drawings/vmlDrawing8.vml"/><Relationship Id="rId1" Type="http://schemas.openxmlformats.org/officeDocument/2006/relationships/printerSettings" Target="../printerSettings/printerSettings56.bin"/></Relationships>
</file>

<file path=xl/worksheets/_rels/sheet57.xml.rels><?xml version="1.0" encoding="UTF-8" standalone="yes"?>
<Relationships xmlns="http://schemas.openxmlformats.org/package/2006/relationships"><Relationship Id="rId3" Type="http://schemas.openxmlformats.org/officeDocument/2006/relationships/comments" Target="../comments9.xml"/><Relationship Id="rId2" Type="http://schemas.openxmlformats.org/officeDocument/2006/relationships/vmlDrawing" Target="../drawings/vmlDrawing9.vml"/><Relationship Id="rId1" Type="http://schemas.openxmlformats.org/officeDocument/2006/relationships/printerSettings" Target="../printerSettings/printerSettings57.bin"/></Relationships>
</file>

<file path=xl/worksheets/_rels/sheet58.xml.rels><?xml version="1.0" encoding="UTF-8" standalone="yes"?>
<Relationships xmlns="http://schemas.openxmlformats.org/package/2006/relationships"><Relationship Id="rId3" Type="http://schemas.openxmlformats.org/officeDocument/2006/relationships/comments" Target="../comments10.xml"/><Relationship Id="rId2" Type="http://schemas.openxmlformats.org/officeDocument/2006/relationships/vmlDrawing" Target="../drawings/vmlDrawing10.vml"/><Relationship Id="rId1" Type="http://schemas.openxmlformats.org/officeDocument/2006/relationships/printerSettings" Target="../printerSettings/printerSettings58.bin"/></Relationships>
</file>

<file path=xl/worksheets/_rels/sheet59.xml.rels><?xml version="1.0" encoding="UTF-8" standalone="yes"?>
<Relationships xmlns="http://schemas.openxmlformats.org/package/2006/relationships"><Relationship Id="rId3" Type="http://schemas.openxmlformats.org/officeDocument/2006/relationships/comments" Target="../comments11.xml"/><Relationship Id="rId2" Type="http://schemas.openxmlformats.org/officeDocument/2006/relationships/vmlDrawing" Target="../drawings/vmlDrawing11.vml"/><Relationship Id="rId1" Type="http://schemas.openxmlformats.org/officeDocument/2006/relationships/printerSettings" Target="../printerSettings/printerSettings59.bin"/></Relationships>
</file>

<file path=xl/worksheets/_rels/sheet60.xml.rels><?xml version="1.0" encoding="UTF-8" standalone="yes"?>
<Relationships xmlns="http://schemas.openxmlformats.org/package/2006/relationships"><Relationship Id="rId3" Type="http://schemas.openxmlformats.org/officeDocument/2006/relationships/comments" Target="../comments12.xml"/><Relationship Id="rId2" Type="http://schemas.openxmlformats.org/officeDocument/2006/relationships/vmlDrawing" Target="../drawings/vmlDrawing12.vml"/><Relationship Id="rId1" Type="http://schemas.openxmlformats.org/officeDocument/2006/relationships/printerSettings" Target="../printerSettings/printerSettings60.bin"/></Relationships>
</file>

<file path=xl/worksheets/_rels/sheet61.xml.rels><?xml version="1.0" encoding="UTF-8" standalone="yes"?>
<Relationships xmlns="http://schemas.openxmlformats.org/package/2006/relationships"><Relationship Id="rId3" Type="http://schemas.openxmlformats.org/officeDocument/2006/relationships/comments" Target="../comments13.xml"/><Relationship Id="rId2" Type="http://schemas.openxmlformats.org/officeDocument/2006/relationships/vmlDrawing" Target="../drawings/vmlDrawing13.vml"/><Relationship Id="rId1" Type="http://schemas.openxmlformats.org/officeDocument/2006/relationships/printerSettings" Target="../printerSettings/printerSettings61.bin"/></Relationships>
</file>

<file path=xl/worksheets/_rels/sheet62.xml.rels><?xml version="1.0" encoding="UTF-8" standalone="yes"?>
<Relationships xmlns="http://schemas.openxmlformats.org/package/2006/relationships"><Relationship Id="rId3" Type="http://schemas.openxmlformats.org/officeDocument/2006/relationships/comments" Target="../comments14.xml"/><Relationship Id="rId2" Type="http://schemas.openxmlformats.org/officeDocument/2006/relationships/vmlDrawing" Target="../drawings/vmlDrawing14.vml"/><Relationship Id="rId1" Type="http://schemas.openxmlformats.org/officeDocument/2006/relationships/printerSettings" Target="../printerSettings/printerSettings62.bin"/></Relationships>
</file>

<file path=xl/worksheets/_rels/sheet63.xml.rels><?xml version="1.0" encoding="UTF-8" standalone="yes"?>
<Relationships xmlns="http://schemas.openxmlformats.org/package/2006/relationships"><Relationship Id="rId3" Type="http://schemas.openxmlformats.org/officeDocument/2006/relationships/comments" Target="../comments15.xml"/><Relationship Id="rId2" Type="http://schemas.openxmlformats.org/officeDocument/2006/relationships/vmlDrawing" Target="../drawings/vmlDrawing15.vml"/><Relationship Id="rId1" Type="http://schemas.openxmlformats.org/officeDocument/2006/relationships/printerSettings" Target="../printerSettings/printerSettings63.bin"/></Relationships>
</file>

<file path=xl/worksheets/_rels/sheet64.xml.rels><?xml version="1.0" encoding="UTF-8" standalone="yes"?>
<Relationships xmlns="http://schemas.openxmlformats.org/package/2006/relationships"><Relationship Id="rId3" Type="http://schemas.openxmlformats.org/officeDocument/2006/relationships/comments" Target="../comments16.xml"/><Relationship Id="rId2" Type="http://schemas.openxmlformats.org/officeDocument/2006/relationships/vmlDrawing" Target="../drawings/vmlDrawing16.vml"/><Relationship Id="rId1" Type="http://schemas.openxmlformats.org/officeDocument/2006/relationships/printerSettings" Target="../printerSettings/printerSettings64.bin"/></Relationships>
</file>

<file path=xl/worksheets/_rels/sheet65.xml.rels><?xml version="1.0" encoding="UTF-8" standalone="yes"?>
<Relationships xmlns="http://schemas.openxmlformats.org/package/2006/relationships"><Relationship Id="rId3" Type="http://schemas.openxmlformats.org/officeDocument/2006/relationships/comments" Target="../comments17.xml"/><Relationship Id="rId2" Type="http://schemas.openxmlformats.org/officeDocument/2006/relationships/vmlDrawing" Target="../drawings/vmlDrawing17.vml"/><Relationship Id="rId1" Type="http://schemas.openxmlformats.org/officeDocument/2006/relationships/printerSettings" Target="../printerSettings/printerSettings65.bin"/></Relationships>
</file>

<file path=xl/worksheets/_rels/sheet66.xml.rels><?xml version="1.0" encoding="UTF-8" standalone="yes"?>
<Relationships xmlns="http://schemas.openxmlformats.org/package/2006/relationships"><Relationship Id="rId3" Type="http://schemas.openxmlformats.org/officeDocument/2006/relationships/comments" Target="../comments18.xml"/><Relationship Id="rId2" Type="http://schemas.openxmlformats.org/officeDocument/2006/relationships/vmlDrawing" Target="../drawings/vmlDrawing18.vml"/><Relationship Id="rId1" Type="http://schemas.openxmlformats.org/officeDocument/2006/relationships/printerSettings" Target="../printerSettings/printerSettings66.bin"/></Relationships>
</file>

<file path=xl/worksheets/_rels/sheet67.xml.rels><?xml version="1.0" encoding="UTF-8" standalone="yes"?>
<Relationships xmlns="http://schemas.openxmlformats.org/package/2006/relationships"><Relationship Id="rId3" Type="http://schemas.openxmlformats.org/officeDocument/2006/relationships/comments" Target="../comments19.xml"/><Relationship Id="rId2" Type="http://schemas.openxmlformats.org/officeDocument/2006/relationships/vmlDrawing" Target="../drawings/vmlDrawing19.vml"/><Relationship Id="rId1" Type="http://schemas.openxmlformats.org/officeDocument/2006/relationships/printerSettings" Target="../printerSettings/printerSettings67.bin"/></Relationships>
</file>

<file path=xl/worksheets/_rels/sheet68.xml.rels><?xml version="1.0" encoding="UTF-8" standalone="yes"?>
<Relationships xmlns="http://schemas.openxmlformats.org/package/2006/relationships"><Relationship Id="rId3" Type="http://schemas.openxmlformats.org/officeDocument/2006/relationships/comments" Target="../comments20.xml"/><Relationship Id="rId2" Type="http://schemas.openxmlformats.org/officeDocument/2006/relationships/vmlDrawing" Target="../drawings/vmlDrawing20.vml"/><Relationship Id="rId1" Type="http://schemas.openxmlformats.org/officeDocument/2006/relationships/printerSettings" Target="../printerSettings/printerSettings68.bin"/></Relationships>
</file>

<file path=xl/worksheets/_rels/sheet69.xml.rels><?xml version="1.0" encoding="UTF-8" standalone="yes"?>
<Relationships xmlns="http://schemas.openxmlformats.org/package/2006/relationships"><Relationship Id="rId3" Type="http://schemas.openxmlformats.org/officeDocument/2006/relationships/comments" Target="../comments21.xml"/><Relationship Id="rId2" Type="http://schemas.openxmlformats.org/officeDocument/2006/relationships/vmlDrawing" Target="../drawings/vmlDrawing21.vml"/><Relationship Id="rId1" Type="http://schemas.openxmlformats.org/officeDocument/2006/relationships/printerSettings" Target="../printerSettings/printerSettings69.bin"/></Relationships>
</file>

<file path=xl/worksheets/_rels/sheet70.xml.rels><?xml version="1.0" encoding="UTF-8" standalone="yes"?>
<Relationships xmlns="http://schemas.openxmlformats.org/package/2006/relationships"><Relationship Id="rId3" Type="http://schemas.openxmlformats.org/officeDocument/2006/relationships/comments" Target="../comments22.xml"/><Relationship Id="rId2" Type="http://schemas.openxmlformats.org/officeDocument/2006/relationships/vmlDrawing" Target="../drawings/vmlDrawing22.vml"/><Relationship Id="rId1" Type="http://schemas.openxmlformats.org/officeDocument/2006/relationships/printerSettings" Target="../printerSettings/printerSettings70.bin"/></Relationships>
</file>

<file path=xl/worksheets/_rels/sheet71.xml.rels><?xml version="1.0" encoding="UTF-8" standalone="yes"?>
<Relationships xmlns="http://schemas.openxmlformats.org/package/2006/relationships"><Relationship Id="rId3" Type="http://schemas.openxmlformats.org/officeDocument/2006/relationships/comments" Target="../comments23.xml"/><Relationship Id="rId2" Type="http://schemas.openxmlformats.org/officeDocument/2006/relationships/vmlDrawing" Target="../drawings/vmlDrawing23.vml"/><Relationship Id="rId1" Type="http://schemas.openxmlformats.org/officeDocument/2006/relationships/printerSettings" Target="../printerSettings/printerSettings71.bin"/></Relationships>
</file>

<file path=xl/worksheets/_rels/sheet72.xml.rels><?xml version="1.0" encoding="UTF-8" standalone="yes"?>
<Relationships xmlns="http://schemas.openxmlformats.org/package/2006/relationships"><Relationship Id="rId3" Type="http://schemas.openxmlformats.org/officeDocument/2006/relationships/comments" Target="../comments24.xml"/><Relationship Id="rId2" Type="http://schemas.openxmlformats.org/officeDocument/2006/relationships/vmlDrawing" Target="../drawings/vmlDrawing24.vml"/><Relationship Id="rId1" Type="http://schemas.openxmlformats.org/officeDocument/2006/relationships/printerSettings" Target="../printerSettings/printerSettings72.bin"/></Relationships>
</file>

<file path=xl/worksheets/_rels/sheet73.xml.rels><?xml version="1.0" encoding="UTF-8" standalone="yes"?>
<Relationships xmlns="http://schemas.openxmlformats.org/package/2006/relationships"><Relationship Id="rId3" Type="http://schemas.openxmlformats.org/officeDocument/2006/relationships/comments" Target="../comments25.xml"/><Relationship Id="rId2" Type="http://schemas.openxmlformats.org/officeDocument/2006/relationships/vmlDrawing" Target="../drawings/vmlDrawing25.vml"/><Relationship Id="rId1" Type="http://schemas.openxmlformats.org/officeDocument/2006/relationships/printerSettings" Target="../printerSettings/printerSettings73.bin"/></Relationships>
</file>

<file path=xl/worksheets/_rels/sheet74.xml.rels><?xml version="1.0" encoding="UTF-8" standalone="yes"?>
<Relationships xmlns="http://schemas.openxmlformats.org/package/2006/relationships"><Relationship Id="rId3" Type="http://schemas.openxmlformats.org/officeDocument/2006/relationships/comments" Target="../comments26.xml"/><Relationship Id="rId2" Type="http://schemas.openxmlformats.org/officeDocument/2006/relationships/vmlDrawing" Target="../drawings/vmlDrawing26.vml"/><Relationship Id="rId1" Type="http://schemas.openxmlformats.org/officeDocument/2006/relationships/printerSettings" Target="../printerSettings/printerSettings74.bin"/></Relationships>
</file>

<file path=xl/worksheets/_rels/sheet75.xml.rels><?xml version="1.0" encoding="UTF-8" standalone="yes"?>
<Relationships xmlns="http://schemas.openxmlformats.org/package/2006/relationships"><Relationship Id="rId3" Type="http://schemas.openxmlformats.org/officeDocument/2006/relationships/comments" Target="../comments27.xml"/><Relationship Id="rId2" Type="http://schemas.openxmlformats.org/officeDocument/2006/relationships/vmlDrawing" Target="../drawings/vmlDrawing27.vml"/><Relationship Id="rId1" Type="http://schemas.openxmlformats.org/officeDocument/2006/relationships/printerSettings" Target="../printerSettings/printerSettings75.bin"/></Relationships>
</file>

<file path=xl/worksheets/_rels/sheet76.xml.rels><?xml version="1.0" encoding="UTF-8" standalone="yes"?>
<Relationships xmlns="http://schemas.openxmlformats.org/package/2006/relationships"><Relationship Id="rId3" Type="http://schemas.openxmlformats.org/officeDocument/2006/relationships/comments" Target="../comments28.xml"/><Relationship Id="rId2" Type="http://schemas.openxmlformats.org/officeDocument/2006/relationships/vmlDrawing" Target="../drawings/vmlDrawing28.vml"/><Relationship Id="rId1" Type="http://schemas.openxmlformats.org/officeDocument/2006/relationships/printerSettings" Target="../printerSettings/printerSettings76.bin"/></Relationships>
</file>

<file path=xl/worksheets/_rels/sheet77.xml.rels><?xml version="1.0" encoding="UTF-8" standalone="yes"?>
<Relationships xmlns="http://schemas.openxmlformats.org/package/2006/relationships"><Relationship Id="rId3" Type="http://schemas.openxmlformats.org/officeDocument/2006/relationships/comments" Target="../comments29.xml"/><Relationship Id="rId2" Type="http://schemas.openxmlformats.org/officeDocument/2006/relationships/vmlDrawing" Target="../drawings/vmlDrawing29.vml"/><Relationship Id="rId1" Type="http://schemas.openxmlformats.org/officeDocument/2006/relationships/printerSettings" Target="../printerSettings/printerSettings77.bin"/></Relationships>
</file>

<file path=xl/worksheets/_rels/sheet78.xml.rels><?xml version="1.0" encoding="UTF-8" standalone="yes"?>
<Relationships xmlns="http://schemas.openxmlformats.org/package/2006/relationships"><Relationship Id="rId3" Type="http://schemas.openxmlformats.org/officeDocument/2006/relationships/comments" Target="../comments30.xml"/><Relationship Id="rId2" Type="http://schemas.openxmlformats.org/officeDocument/2006/relationships/vmlDrawing" Target="../drawings/vmlDrawing30.vml"/><Relationship Id="rId1" Type="http://schemas.openxmlformats.org/officeDocument/2006/relationships/printerSettings" Target="../printerSettings/printerSettings78.bin"/></Relationships>
</file>

<file path=xl/worksheets/_rels/sheet79.xml.rels><?xml version="1.0" encoding="UTF-8" standalone="yes"?>
<Relationships xmlns="http://schemas.openxmlformats.org/package/2006/relationships"><Relationship Id="rId3" Type="http://schemas.openxmlformats.org/officeDocument/2006/relationships/comments" Target="../comments31.xml"/><Relationship Id="rId2" Type="http://schemas.openxmlformats.org/officeDocument/2006/relationships/vmlDrawing" Target="../drawings/vmlDrawing31.vml"/><Relationship Id="rId1" Type="http://schemas.openxmlformats.org/officeDocument/2006/relationships/printerSettings" Target="../printerSettings/printerSettings79.bin"/></Relationships>
</file>

<file path=xl/worksheets/_rels/sheet80.xml.rels><?xml version="1.0" encoding="UTF-8" standalone="yes"?>
<Relationships xmlns="http://schemas.openxmlformats.org/package/2006/relationships"><Relationship Id="rId3" Type="http://schemas.openxmlformats.org/officeDocument/2006/relationships/comments" Target="../comments32.xml"/><Relationship Id="rId2" Type="http://schemas.openxmlformats.org/officeDocument/2006/relationships/vmlDrawing" Target="../drawings/vmlDrawing32.vml"/><Relationship Id="rId1" Type="http://schemas.openxmlformats.org/officeDocument/2006/relationships/printerSettings" Target="../printerSettings/printerSettings80.bin"/></Relationships>
</file>

<file path=xl/worksheets/_rels/sheet81.xml.rels><?xml version="1.0" encoding="UTF-8" standalone="yes"?>
<Relationships xmlns="http://schemas.openxmlformats.org/package/2006/relationships"><Relationship Id="rId3" Type="http://schemas.openxmlformats.org/officeDocument/2006/relationships/comments" Target="../comments33.xml"/><Relationship Id="rId2" Type="http://schemas.openxmlformats.org/officeDocument/2006/relationships/vmlDrawing" Target="../drawings/vmlDrawing33.vml"/><Relationship Id="rId1" Type="http://schemas.openxmlformats.org/officeDocument/2006/relationships/printerSettings" Target="../printerSettings/printerSettings81.bin"/></Relationships>
</file>

<file path=xl/worksheets/_rels/sheet82.xml.rels><?xml version="1.0" encoding="UTF-8" standalone="yes"?>
<Relationships xmlns="http://schemas.openxmlformats.org/package/2006/relationships"><Relationship Id="rId3" Type="http://schemas.openxmlformats.org/officeDocument/2006/relationships/comments" Target="../comments34.xml"/><Relationship Id="rId2" Type="http://schemas.openxmlformats.org/officeDocument/2006/relationships/vmlDrawing" Target="../drawings/vmlDrawing34.vml"/><Relationship Id="rId1" Type="http://schemas.openxmlformats.org/officeDocument/2006/relationships/printerSettings" Target="../printerSettings/printerSettings82.bin"/></Relationships>
</file>

<file path=xl/worksheets/_rels/sheet83.xml.rels><?xml version="1.0" encoding="UTF-8" standalone="yes"?>
<Relationships xmlns="http://schemas.openxmlformats.org/package/2006/relationships"><Relationship Id="rId3" Type="http://schemas.openxmlformats.org/officeDocument/2006/relationships/comments" Target="../comments35.xml"/><Relationship Id="rId2" Type="http://schemas.openxmlformats.org/officeDocument/2006/relationships/vmlDrawing" Target="../drawings/vmlDrawing35.vml"/><Relationship Id="rId1" Type="http://schemas.openxmlformats.org/officeDocument/2006/relationships/printerSettings" Target="../printerSettings/printerSettings83.bin"/></Relationships>
</file>

<file path=xl/worksheets/_rels/sheet84.xml.rels><?xml version="1.0" encoding="UTF-8" standalone="yes"?>
<Relationships xmlns="http://schemas.openxmlformats.org/package/2006/relationships"><Relationship Id="rId3" Type="http://schemas.openxmlformats.org/officeDocument/2006/relationships/comments" Target="../comments36.xml"/><Relationship Id="rId2" Type="http://schemas.openxmlformats.org/officeDocument/2006/relationships/vmlDrawing" Target="../drawings/vmlDrawing36.vml"/><Relationship Id="rId1" Type="http://schemas.openxmlformats.org/officeDocument/2006/relationships/printerSettings" Target="../printerSettings/printerSettings84.bin"/></Relationships>
</file>

<file path=xl/worksheets/_rels/sheet85.xml.rels><?xml version="1.0" encoding="UTF-8" standalone="yes"?>
<Relationships xmlns="http://schemas.openxmlformats.org/package/2006/relationships"><Relationship Id="rId3" Type="http://schemas.openxmlformats.org/officeDocument/2006/relationships/comments" Target="../comments37.xml"/><Relationship Id="rId2" Type="http://schemas.openxmlformats.org/officeDocument/2006/relationships/vmlDrawing" Target="../drawings/vmlDrawing37.vml"/><Relationship Id="rId1" Type="http://schemas.openxmlformats.org/officeDocument/2006/relationships/printerSettings" Target="../printerSettings/printerSettings85.bin"/></Relationships>
</file>

<file path=xl/worksheets/_rels/sheet86.xml.rels><?xml version="1.0" encoding="UTF-8" standalone="yes"?>
<Relationships xmlns="http://schemas.openxmlformats.org/package/2006/relationships"><Relationship Id="rId3" Type="http://schemas.openxmlformats.org/officeDocument/2006/relationships/comments" Target="../comments38.xml"/><Relationship Id="rId2" Type="http://schemas.openxmlformats.org/officeDocument/2006/relationships/vmlDrawing" Target="../drawings/vmlDrawing38.vml"/><Relationship Id="rId1" Type="http://schemas.openxmlformats.org/officeDocument/2006/relationships/printerSettings" Target="../printerSettings/printerSettings86.bin"/></Relationships>
</file>

<file path=xl/worksheets/_rels/sheet87.xml.rels><?xml version="1.0" encoding="UTF-8" standalone="yes"?>
<Relationships xmlns="http://schemas.openxmlformats.org/package/2006/relationships"><Relationship Id="rId3" Type="http://schemas.openxmlformats.org/officeDocument/2006/relationships/comments" Target="../comments39.xml"/><Relationship Id="rId2" Type="http://schemas.openxmlformats.org/officeDocument/2006/relationships/vmlDrawing" Target="../drawings/vmlDrawing39.vml"/><Relationship Id="rId1" Type="http://schemas.openxmlformats.org/officeDocument/2006/relationships/printerSettings" Target="../printerSettings/printerSettings87.bin"/></Relationships>
</file>

<file path=xl/worksheets/_rels/sheet88.xml.rels><?xml version="1.0" encoding="UTF-8" standalone="yes"?>
<Relationships xmlns="http://schemas.openxmlformats.org/package/2006/relationships"><Relationship Id="rId3" Type="http://schemas.openxmlformats.org/officeDocument/2006/relationships/comments" Target="../comments40.xml"/><Relationship Id="rId2" Type="http://schemas.openxmlformats.org/officeDocument/2006/relationships/vmlDrawing" Target="../drawings/vmlDrawing40.vml"/><Relationship Id="rId1" Type="http://schemas.openxmlformats.org/officeDocument/2006/relationships/printerSettings" Target="../printerSettings/printerSettings88.bin"/></Relationships>
</file>

<file path=xl/worksheets/_rels/sheet89.xml.rels><?xml version="1.0" encoding="UTF-8" standalone="yes"?>
<Relationships xmlns="http://schemas.openxmlformats.org/package/2006/relationships"><Relationship Id="rId3" Type="http://schemas.openxmlformats.org/officeDocument/2006/relationships/comments" Target="../comments41.xml"/><Relationship Id="rId2" Type="http://schemas.openxmlformats.org/officeDocument/2006/relationships/vmlDrawing" Target="../drawings/vmlDrawing41.vml"/><Relationship Id="rId1" Type="http://schemas.openxmlformats.org/officeDocument/2006/relationships/printerSettings" Target="../printerSettings/printerSettings89.bin"/></Relationships>
</file>

<file path=xl/worksheets/_rels/sheet90.xml.rels><?xml version="1.0" encoding="UTF-8" standalone="yes"?>
<Relationships xmlns="http://schemas.openxmlformats.org/package/2006/relationships"><Relationship Id="rId3" Type="http://schemas.openxmlformats.org/officeDocument/2006/relationships/comments" Target="../comments42.xml"/><Relationship Id="rId2" Type="http://schemas.openxmlformats.org/officeDocument/2006/relationships/vmlDrawing" Target="../drawings/vmlDrawing42.vml"/><Relationship Id="rId1" Type="http://schemas.openxmlformats.org/officeDocument/2006/relationships/printerSettings" Target="../printerSettings/printerSettings90.bin"/></Relationships>
</file>

<file path=xl/worksheets/_rels/sheet91.xml.rels><?xml version="1.0" encoding="UTF-8" standalone="yes"?>
<Relationships xmlns="http://schemas.openxmlformats.org/package/2006/relationships"><Relationship Id="rId3" Type="http://schemas.openxmlformats.org/officeDocument/2006/relationships/comments" Target="../comments43.xml"/><Relationship Id="rId2" Type="http://schemas.openxmlformats.org/officeDocument/2006/relationships/vmlDrawing" Target="../drawings/vmlDrawing43.vml"/><Relationship Id="rId1" Type="http://schemas.openxmlformats.org/officeDocument/2006/relationships/printerSettings" Target="../printerSettings/printerSettings91.bin"/></Relationships>
</file>

<file path=xl/worksheets/_rels/sheet92.xml.rels><?xml version="1.0" encoding="UTF-8" standalone="yes"?>
<Relationships xmlns="http://schemas.openxmlformats.org/package/2006/relationships"><Relationship Id="rId3" Type="http://schemas.openxmlformats.org/officeDocument/2006/relationships/comments" Target="../comments44.xml"/><Relationship Id="rId2" Type="http://schemas.openxmlformats.org/officeDocument/2006/relationships/vmlDrawing" Target="../drawings/vmlDrawing44.vml"/><Relationship Id="rId1" Type="http://schemas.openxmlformats.org/officeDocument/2006/relationships/printerSettings" Target="../printerSettings/printerSettings92.bin"/></Relationships>
</file>

<file path=xl/worksheets/_rels/sheet93.xml.rels><?xml version="1.0" encoding="UTF-8" standalone="yes"?>
<Relationships xmlns="http://schemas.openxmlformats.org/package/2006/relationships"><Relationship Id="rId3" Type="http://schemas.openxmlformats.org/officeDocument/2006/relationships/comments" Target="../comments45.xml"/><Relationship Id="rId2" Type="http://schemas.openxmlformats.org/officeDocument/2006/relationships/vmlDrawing" Target="../drawings/vmlDrawing45.vml"/><Relationship Id="rId1" Type="http://schemas.openxmlformats.org/officeDocument/2006/relationships/printerSettings" Target="../printerSettings/printerSettings93.bin"/></Relationships>
</file>

<file path=xl/worksheets/_rels/sheet94.xml.rels><?xml version="1.0" encoding="UTF-8" standalone="yes"?>
<Relationships xmlns="http://schemas.openxmlformats.org/package/2006/relationships"><Relationship Id="rId3" Type="http://schemas.openxmlformats.org/officeDocument/2006/relationships/comments" Target="../comments46.xml"/><Relationship Id="rId2" Type="http://schemas.openxmlformats.org/officeDocument/2006/relationships/vmlDrawing" Target="../drawings/vmlDrawing46.vml"/><Relationship Id="rId1" Type="http://schemas.openxmlformats.org/officeDocument/2006/relationships/printerSettings" Target="../printerSettings/printerSettings94.bin"/></Relationships>
</file>

<file path=xl/worksheets/_rels/sheet95.xml.rels><?xml version="1.0" encoding="UTF-8" standalone="yes"?>
<Relationships xmlns="http://schemas.openxmlformats.org/package/2006/relationships"><Relationship Id="rId3" Type="http://schemas.openxmlformats.org/officeDocument/2006/relationships/comments" Target="../comments47.xml"/><Relationship Id="rId2" Type="http://schemas.openxmlformats.org/officeDocument/2006/relationships/vmlDrawing" Target="../drawings/vmlDrawing47.vml"/><Relationship Id="rId1" Type="http://schemas.openxmlformats.org/officeDocument/2006/relationships/printerSettings" Target="../printerSettings/printerSettings95.bin"/></Relationships>
</file>

<file path=xl/worksheets/_rels/sheet96.xml.rels><?xml version="1.0" encoding="UTF-8" standalone="yes"?>
<Relationships xmlns="http://schemas.openxmlformats.org/package/2006/relationships"><Relationship Id="rId3" Type="http://schemas.openxmlformats.org/officeDocument/2006/relationships/comments" Target="../comments48.xml"/><Relationship Id="rId2" Type="http://schemas.openxmlformats.org/officeDocument/2006/relationships/vmlDrawing" Target="../drawings/vmlDrawing48.vml"/><Relationship Id="rId1" Type="http://schemas.openxmlformats.org/officeDocument/2006/relationships/printerSettings" Target="../printerSettings/printerSettings96.bin"/></Relationships>
</file>

<file path=xl/worksheets/_rels/sheet97.xml.rels><?xml version="1.0" encoding="UTF-8" standalone="yes"?>
<Relationships xmlns="http://schemas.openxmlformats.org/package/2006/relationships"><Relationship Id="rId3" Type="http://schemas.openxmlformats.org/officeDocument/2006/relationships/comments" Target="../comments49.xml"/><Relationship Id="rId2" Type="http://schemas.openxmlformats.org/officeDocument/2006/relationships/vmlDrawing" Target="../drawings/vmlDrawing49.vml"/><Relationship Id="rId1" Type="http://schemas.openxmlformats.org/officeDocument/2006/relationships/printerSettings" Target="../printerSettings/printerSettings97.bin"/></Relationships>
</file>

<file path=xl/worksheets/_rels/sheet98.xml.rels><?xml version="1.0" encoding="UTF-8" standalone="yes"?>
<Relationships xmlns="http://schemas.openxmlformats.org/package/2006/relationships"><Relationship Id="rId3" Type="http://schemas.openxmlformats.org/officeDocument/2006/relationships/comments" Target="../comments50.xml"/><Relationship Id="rId2" Type="http://schemas.openxmlformats.org/officeDocument/2006/relationships/vmlDrawing" Target="../drawings/vmlDrawing50.vml"/><Relationship Id="rId1" Type="http://schemas.openxmlformats.org/officeDocument/2006/relationships/printerSettings" Target="../printerSettings/printerSettings98.bin"/></Relationships>
</file>

<file path=xl/worksheets/_rels/sheet99.xml.rels><?xml version="1.0" encoding="UTF-8" standalone="yes"?>
<Relationships xmlns="http://schemas.openxmlformats.org/package/2006/relationships"><Relationship Id="rId3" Type="http://schemas.openxmlformats.org/officeDocument/2006/relationships/comments" Target="../comments51.xml"/><Relationship Id="rId2" Type="http://schemas.openxmlformats.org/officeDocument/2006/relationships/vmlDrawing" Target="../drawings/vmlDrawing51.vml"/><Relationship Id="rId1" Type="http://schemas.openxmlformats.org/officeDocument/2006/relationships/printerSettings" Target="../printerSettings/printerSettings99.bin"/></Relationships>
</file>

<file path=xl/worksheets/_rels/sheet100.xml.rels><?xml version="1.0" encoding="UTF-8" standalone="yes"?>
<Relationships xmlns="http://schemas.openxmlformats.org/package/2006/relationships"><Relationship Id="rId3" Type="http://schemas.openxmlformats.org/officeDocument/2006/relationships/comments" Target="../comments52.xml"/><Relationship Id="rId2" Type="http://schemas.openxmlformats.org/officeDocument/2006/relationships/vmlDrawing" Target="../drawings/vmlDrawing52.vml"/><Relationship Id="rId1" Type="http://schemas.openxmlformats.org/officeDocument/2006/relationships/printerSettings" Target="../printerSettings/printerSettings100.bin"/></Relationships>
</file>

<file path=xl/worksheets/_rels/sheet101.xml.rels><?xml version="1.0" encoding="UTF-8" standalone="yes"?>
<Relationships xmlns="http://schemas.openxmlformats.org/package/2006/relationships"><Relationship Id="rId3" Type="http://schemas.openxmlformats.org/officeDocument/2006/relationships/comments" Target="../comments53.xml"/><Relationship Id="rId2" Type="http://schemas.openxmlformats.org/officeDocument/2006/relationships/vmlDrawing" Target="../drawings/vmlDrawing53.vml"/><Relationship Id="rId1" Type="http://schemas.openxmlformats.org/officeDocument/2006/relationships/printerSettings" Target="../printerSettings/printerSettings101.bin"/></Relationships>
</file>

<file path=xl/worksheets/_rels/sheet102.xml.rels><?xml version="1.0" encoding="UTF-8" standalone="yes"?>
<Relationships xmlns="http://schemas.openxmlformats.org/package/2006/relationships"><Relationship Id="rId3" Type="http://schemas.openxmlformats.org/officeDocument/2006/relationships/comments" Target="../comments54.xml"/><Relationship Id="rId2" Type="http://schemas.openxmlformats.org/officeDocument/2006/relationships/vmlDrawing" Target="../drawings/vmlDrawing54.vml"/><Relationship Id="rId1" Type="http://schemas.openxmlformats.org/officeDocument/2006/relationships/printerSettings" Target="../printerSettings/printerSettings102.bin"/></Relationships>
</file>

<file path=xl/worksheets/_rels/sheet103.xml.rels><?xml version="1.0" encoding="UTF-8" standalone="yes"?>
<Relationships xmlns="http://schemas.openxmlformats.org/package/2006/relationships"><Relationship Id="rId3" Type="http://schemas.openxmlformats.org/officeDocument/2006/relationships/comments" Target="../comments55.xml"/><Relationship Id="rId2" Type="http://schemas.openxmlformats.org/officeDocument/2006/relationships/vmlDrawing" Target="../drawings/vmlDrawing55.vml"/><Relationship Id="rId1" Type="http://schemas.openxmlformats.org/officeDocument/2006/relationships/printerSettings" Target="../printerSettings/printerSettings103.bin"/></Relationships>
</file>

<file path=xl/worksheets/_rels/sheet104.xml.rels><?xml version="1.0" encoding="UTF-8" standalone="yes"?>
<Relationships xmlns="http://schemas.openxmlformats.org/package/2006/relationships"><Relationship Id="rId3" Type="http://schemas.openxmlformats.org/officeDocument/2006/relationships/comments" Target="../comments56.xml"/><Relationship Id="rId2" Type="http://schemas.openxmlformats.org/officeDocument/2006/relationships/vmlDrawing" Target="../drawings/vmlDrawing56.vml"/><Relationship Id="rId1" Type="http://schemas.openxmlformats.org/officeDocument/2006/relationships/printerSettings" Target="../printerSettings/printerSettings104.bin"/></Relationships>
</file>

<file path=xl/worksheets/_rels/sheet105.xml.rels><?xml version="1.0" encoding="UTF-8" standalone="yes"?>
<Relationships xmlns="http://schemas.openxmlformats.org/package/2006/relationships"><Relationship Id="rId3" Type="http://schemas.openxmlformats.org/officeDocument/2006/relationships/comments" Target="../comments57.xml"/><Relationship Id="rId2" Type="http://schemas.openxmlformats.org/officeDocument/2006/relationships/vmlDrawing" Target="../drawings/vmlDrawing57.vml"/><Relationship Id="rId1" Type="http://schemas.openxmlformats.org/officeDocument/2006/relationships/printerSettings" Target="../printerSettings/printerSettings105.bin"/></Relationships>
</file>

<file path=xl/worksheets/_rels/sheet106.xml.rels><?xml version="1.0" encoding="UTF-8" standalone="yes"?>
<Relationships xmlns="http://schemas.openxmlformats.org/package/2006/relationships"><Relationship Id="rId3" Type="http://schemas.openxmlformats.org/officeDocument/2006/relationships/comments" Target="../comments58.xml"/><Relationship Id="rId2" Type="http://schemas.openxmlformats.org/officeDocument/2006/relationships/vmlDrawing" Target="../drawings/vmlDrawing58.vml"/><Relationship Id="rId1" Type="http://schemas.openxmlformats.org/officeDocument/2006/relationships/printerSettings" Target="../printerSettings/printerSettings106.bin"/></Relationships>
</file>

<file path=xl/worksheets/_rels/sheet107.xml.rels><?xml version="1.0" encoding="UTF-8" standalone="yes"?>
<Relationships xmlns="http://schemas.openxmlformats.org/package/2006/relationships"><Relationship Id="rId3" Type="http://schemas.openxmlformats.org/officeDocument/2006/relationships/comments" Target="../comments59.xml"/><Relationship Id="rId2" Type="http://schemas.openxmlformats.org/officeDocument/2006/relationships/vmlDrawing" Target="../drawings/vmlDrawing59.vml"/><Relationship Id="rId1" Type="http://schemas.openxmlformats.org/officeDocument/2006/relationships/printerSettings" Target="../printerSettings/printerSettings107.bin"/></Relationships>
</file>

<file path=xl/worksheets/_rels/sheet108.xml.rels><?xml version="1.0" encoding="UTF-8" standalone="yes"?>
<Relationships xmlns="http://schemas.openxmlformats.org/package/2006/relationships"><Relationship Id="rId3" Type="http://schemas.openxmlformats.org/officeDocument/2006/relationships/comments" Target="../comments60.xml"/><Relationship Id="rId2" Type="http://schemas.openxmlformats.org/officeDocument/2006/relationships/vmlDrawing" Target="../drawings/vmlDrawing60.vml"/><Relationship Id="rId1" Type="http://schemas.openxmlformats.org/officeDocument/2006/relationships/printerSettings" Target="../printerSettings/printerSettings108.bin"/></Relationships>
</file>

<file path=xl/worksheets/_rels/sheet109.xml.rels><?xml version="1.0" encoding="UTF-8" standalone="yes"?>
<Relationships xmlns="http://schemas.openxmlformats.org/package/2006/relationships"><Relationship Id="rId3" Type="http://schemas.openxmlformats.org/officeDocument/2006/relationships/comments" Target="../comments61.xml"/><Relationship Id="rId2" Type="http://schemas.openxmlformats.org/officeDocument/2006/relationships/vmlDrawing" Target="../drawings/vmlDrawing61.vml"/><Relationship Id="rId1" Type="http://schemas.openxmlformats.org/officeDocument/2006/relationships/printerSettings" Target="../printerSettings/printerSettings109.bin"/></Relationships>
</file>

<file path=xl/worksheets/_rels/sheet110.xml.rels><?xml version="1.0" encoding="UTF-8" standalone="yes"?>
<Relationships xmlns="http://schemas.openxmlformats.org/package/2006/relationships"><Relationship Id="rId3" Type="http://schemas.openxmlformats.org/officeDocument/2006/relationships/comments" Target="../comments62.xml"/><Relationship Id="rId2" Type="http://schemas.openxmlformats.org/officeDocument/2006/relationships/vmlDrawing" Target="../drawings/vmlDrawing62.vml"/><Relationship Id="rId1" Type="http://schemas.openxmlformats.org/officeDocument/2006/relationships/printerSettings" Target="../printerSettings/printerSettings110.bin"/></Relationships>
</file>

<file path=xl/worksheets/_rels/sheet11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11.bin"/></Relationships>
</file>

<file path=xl/worksheets/_rels/sheet11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12.bin"/></Relationships>
</file>

<file path=xl/worksheets/_rels/sheet11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13.bin"/></Relationships>
</file>

<file path=xl/worksheets/_rels/sheet11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14.bin"/></Relationships>
</file>

<file path=xl/worksheets/_rels/sheet11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15.bin"/></Relationships>
</file>

<file path=xl/worksheets/_rels/sheet11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16.bin"/></Relationships>
</file>

<file path=xl/worksheets/_rels/sheet11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17.bin"/></Relationships>
</file>

<file path=xl/worksheets/_rels/sheet11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18.bin"/></Relationships>
</file>

<file path=xl/worksheets/_rels/sheet11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19.bin"/></Relationships>
</file>

<file path=xl/worksheets/_rels/sheet12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20.bin"/></Relationships>
</file>

<file path=xl/worksheets/_rels/sheet12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21.bin"/></Relationships>
</file>

<file path=xl/worksheets/_rels/sheet12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22.bin"/></Relationships>
</file>

<file path=xl/worksheets/_rels/sheet12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23.bin"/></Relationships>
</file>

<file path=xl/worksheets/_rels/sheet12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24.bin"/></Relationships>
</file>

<file path=xl/worksheets/_rels/sheet125.xml.rels><?xml version="1.0" encoding="UTF-8" standalone="yes"?>
<Relationships xmlns="http://schemas.openxmlformats.org/package/2006/relationships"><Relationship Id="rId3" Type="http://schemas.openxmlformats.org/officeDocument/2006/relationships/comments" Target="../comments63.xml"/><Relationship Id="rId2" Type="http://schemas.openxmlformats.org/officeDocument/2006/relationships/vmlDrawing" Target="../drawings/vmlDrawing63.vml"/><Relationship Id="rId1" Type="http://schemas.openxmlformats.org/officeDocument/2006/relationships/printerSettings" Target="../printerSettings/printerSettings125.bin"/></Relationships>
</file>

<file path=xl/worksheets/_rels/sheet126.xml.rels><?xml version="1.0" encoding="UTF-8" standalone="yes"?>
<Relationships xmlns="http://schemas.openxmlformats.org/package/2006/relationships"><Relationship Id="rId3" Type="http://schemas.openxmlformats.org/officeDocument/2006/relationships/comments" Target="../comments64.xml"/><Relationship Id="rId2" Type="http://schemas.openxmlformats.org/officeDocument/2006/relationships/vmlDrawing" Target="../drawings/vmlDrawing64.vml"/><Relationship Id="rId1" Type="http://schemas.openxmlformats.org/officeDocument/2006/relationships/printerSettings" Target="../printerSettings/printerSettings126.bin"/></Relationships>
</file>

<file path=xl/worksheets/_rels/sheet127.xml.rels><?xml version="1.0" encoding="UTF-8" standalone="yes"?>
<Relationships xmlns="http://schemas.openxmlformats.org/package/2006/relationships"><Relationship Id="rId3" Type="http://schemas.openxmlformats.org/officeDocument/2006/relationships/comments" Target="../comments65.xml"/><Relationship Id="rId2" Type="http://schemas.openxmlformats.org/officeDocument/2006/relationships/vmlDrawing" Target="../drawings/vmlDrawing65.vml"/><Relationship Id="rId1" Type="http://schemas.openxmlformats.org/officeDocument/2006/relationships/printerSettings" Target="../printerSettings/printerSettings127.bin"/></Relationships>
</file>

<file path=xl/worksheets/_rels/sheet12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28.bin"/></Relationships>
</file>

<file path=xl/worksheets/_rels/sheet12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29.bin"/></Relationships>
</file>

<file path=xl/worksheets/_rels/sheet13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30.bin"/></Relationships>
</file>

<file path=xl/worksheets/_rels/sheet13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31.bin"/></Relationships>
</file>

<file path=xl/worksheets/_rels/sheet13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32.bin"/></Relationships>
</file>

<file path=xl/worksheets/_rels/sheet13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33.bin"/></Relationships>
</file>

<file path=xl/worksheets/_rels/sheet13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34.bin"/></Relationships>
</file>

<file path=xl/worksheets/_rels/sheet13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35.bin"/></Relationships>
</file>

<file path=xl/worksheets/_rels/sheet13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36.bin"/></Relationships>
</file>

<file path=xl/worksheets/_rels/sheet13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37.bin"/></Relationships>
</file>

<file path=xl/worksheets/_rels/sheet13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38.bin"/></Relationships>
</file>

<file path=xl/worksheets/_rels/sheet13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39.bin"/></Relationships>
</file>

<file path=xl/worksheets/_rels/sheet14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40.bin"/></Relationships>
</file>

<file path=xl/worksheets/_rels/sheet14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41.bin"/></Relationships>
</file>

<file path=xl/worksheets/_rels/sheet14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42.bin"/></Relationships>
</file>

<file path=xl/worksheets/_rels/sheet14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43.bin"/></Relationships>
</file>

<file path=xl/worksheets/_rels/sheet14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44.bin"/></Relationships>
</file>

<file path=xl/worksheets/_rels/sheet14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45.bin"/></Relationships>
</file>

<file path=xl/worksheets/_rels/sheet14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46.bin"/></Relationships>
</file>

<file path=xl/worksheets/_rels/sheet14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47.bin"/></Relationships>
</file>

<file path=xl/worksheets/_rels/sheet14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48.bin"/></Relationships>
</file>

<file path=xl/worksheets/_rels/sheet14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49.bin"/></Relationships>
</file>

<file path=xl/worksheets/_rels/sheet15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50.bin"/></Relationships>
</file>

<file path=xl/worksheets/_rels/sheet15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51.bin"/></Relationships>
</file>

<file path=xl/worksheets/_rels/sheet15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52.bin"/></Relationships>
</file>

<file path=xl/worksheets/_rels/sheet15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53.bin"/></Relationships>
</file>

<file path=xl/worksheets/_rels/sheet15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54.bin"/></Relationships>
</file>

<file path=xl/worksheets/_rels/sheet15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55.bin"/></Relationships>
</file>

<file path=xl/worksheets/_rels/sheet15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56.bin"/></Relationships>
</file>

<file path=xl/worksheets/_rels/sheet15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57.bin"/></Relationships>
</file>

<file path=xl/worksheets/_rels/sheet15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58.bin"/></Relationships>
</file>

<file path=xl/worksheets/_rels/sheet15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59.bin"/></Relationships>
</file>

<file path=xl/worksheets/_rels/sheet16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60.bin"/></Relationships>
</file>

<file path=xl/worksheets/_rels/sheet16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61.bin"/></Relationships>
</file>

<file path=xl/worksheets/_rels/sheet16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62.bin"/></Relationships>
</file>

<file path=xl/worksheets/_rels/sheet16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63.bin"/></Relationships>
</file>

<file path=xl/worksheets/_rels/sheet16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64.bin"/></Relationships>
</file>

<file path=xl/worksheets/_rels/sheet16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65.bin"/></Relationships>
</file>

<file path=xl/worksheets/_rels/sheet16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66.bin"/></Relationships>
</file>

<file path=xl/worksheets/_rels/sheet16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67.bin"/></Relationships>
</file>

<file path=xl/worksheets/_rels/sheet16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68.bin"/></Relationships>
</file>

<file path=xl/worksheets/_rels/sheet16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69.bin"/></Relationships>
</file>

<file path=xl/worksheets/_rels/sheet17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70.bin"/></Relationships>
</file>

<file path=xl/worksheets/_rels/sheet17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71.bin"/></Relationships>
</file>

<file path=xl/worksheets/_rels/sheet17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72.bin"/></Relationships>
</file>

<file path=xl/worksheets/_rels/sheet17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73.bin"/></Relationships>
</file>

<file path=xl/worksheets/_rels/sheet17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74.bin"/></Relationships>
</file>

<file path=xl/worksheets/_rels/sheet17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75.bin"/></Relationships>
</file>

<file path=xl/worksheets/_rels/sheet17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76.bin"/></Relationships>
</file>

<file path=xl/worksheets/_rels/sheet17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77.bin"/></Relationships>
</file>

<file path=xl/worksheets/_rels/sheet17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78.bin"/></Relationships>
</file>

<file path=xl/worksheets/_rels/sheet17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79.bin"/></Relationships>
</file>

<file path=xl/worksheets/_rels/sheet18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80.bin"/></Relationships>
</file>

<file path=xl/worksheets/_rels/sheet181.xml.rels><?xml version="1.0" encoding="UTF-8" standalone="yes"?>
<Relationships xmlns="http://schemas.openxmlformats.org/package/2006/relationships"><Relationship Id="rId3" Type="http://schemas.openxmlformats.org/officeDocument/2006/relationships/comments" Target="../comments66.xml"/><Relationship Id="rId2" Type="http://schemas.openxmlformats.org/officeDocument/2006/relationships/vmlDrawing" Target="../drawings/vmlDrawing66.vml"/><Relationship Id="rId1" Type="http://schemas.openxmlformats.org/officeDocument/2006/relationships/printerSettings" Target="../printerSettings/printerSettings181.bin"/></Relationships>
</file>

<file path=xl/worksheets/_rels/sheet18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82.bin"/></Relationships>
</file>

<file path=xl/worksheets/_rels/sheet18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83.bin"/></Relationships>
</file>

<file path=xl/worksheets/_rels/sheet18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84.bin"/></Relationships>
</file>

<file path=xl/worksheets/_rels/sheet18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85.bin"/></Relationships>
</file>

<file path=xl/worksheets/_rels/sheet18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86.bin"/></Relationships>
</file>

<file path=xl/worksheets/_rels/sheet18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87.bin"/></Relationships>
</file>

<file path=xl/worksheets/_rels/sheet18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88.bin"/></Relationships>
</file>

<file path=xl/worksheets/_rels/sheet18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89.bin"/></Relationships>
</file>

<file path=xl/worksheets/_rels/sheet19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90.bin"/></Relationships>
</file>

<file path=xl/worksheets/_rels/sheet19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91.bin"/></Relationships>
</file>

<file path=xl/worksheets/_rels/sheet19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92.bin"/></Relationships>
</file>

<file path=xl/worksheets/_rels/sheet19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93.bin"/></Relationships>
</file>

<file path=xl/worksheets/_rels/sheet19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94.bin"/></Relationships>
</file>

<file path=xl/worksheets/_rels/sheet19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95.bin"/></Relationships>
</file>

<file path=xl/worksheets/_rels/sheet19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96.bin"/></Relationships>
</file>

<file path=xl/worksheets/_rels/sheet19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97.bin"/></Relationships>
</file>

<file path=xl/worksheets/_rels/sheet19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98.bin"/></Relationships>
</file>

<file path=xl/worksheets/_rels/sheet19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99.bin"/></Relationships>
</file>

<file path=xl/worksheets/_rels/sheet20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00.bin"/></Relationships>
</file>

<file path=xl/worksheets/_rels/sheet20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01.bin"/></Relationships>
</file>

<file path=xl/worksheets/_rels/sheet20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02.bin"/></Relationships>
</file>

<file path=xl/worksheets/_rels/sheet20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03.bin"/></Relationships>
</file>

<file path=xl/worksheets/_rels/sheet20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04.bin"/></Relationships>
</file>

<file path=xl/worksheets/_rels/sheet20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05.bin"/></Relationships>
</file>

<file path=xl/worksheets/_rels/sheet20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06.bin"/></Relationships>
</file>

<file path=xl/worksheets/_rels/sheet20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07.bin"/></Relationships>
</file>

<file path=xl/worksheets/_rels/sheet20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08.bin"/></Relationships>
</file>

<file path=xl/worksheets/_rels/sheet20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09.bin"/></Relationships>
</file>

<file path=xl/worksheets/_rels/sheet21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10.bin"/></Relationships>
</file>

<file path=xl/worksheets/_rels/sheet21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11.bin"/></Relationships>
</file>

<file path=xl/worksheets/_rels/sheet21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12.bin"/></Relationships>
</file>

<file path=xl/worksheets/_rels/sheet21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13.bin"/></Relationships>
</file>

<file path=xl/worksheets/_rels/sheet21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14.bin"/></Relationships>
</file>

<file path=xl/worksheets/_rels/sheet21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15.bin"/></Relationships>
</file>

<file path=xl/worksheets/_rels/sheet21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16.bin"/></Relationships>
</file>

<file path=xl/worksheets/_rels/sheet21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17.bin"/></Relationships>
</file>

<file path=xl/worksheets/_rels/sheet21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18.bin"/></Relationships>
</file>

<file path=xl/worksheets/_rels/sheet21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19.bin"/></Relationships>
</file>

<file path=xl/worksheets/_rels/sheet22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20.bin"/></Relationships>
</file>

<file path=xl/worksheets/_rels/sheet22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21.bin"/></Relationships>
</file>

<file path=xl/worksheets/_rels/sheet22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22.bin"/></Relationships>
</file>

<file path=xl/worksheets/_rels/sheet22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23.bin"/></Relationships>
</file>

<file path=xl/worksheets/_rels/sheet22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24.bin"/></Relationships>
</file>

<file path=xl/worksheets/_rels/sheet22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25.bin"/></Relationships>
</file>

<file path=xl/worksheets/_rels/sheet22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26.bin"/></Relationships>
</file>

<file path=xl/worksheets/_rels/sheet22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27.bin"/></Relationships>
</file>

<file path=xl/worksheets/_rels/sheet22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28.bin"/></Relationships>
</file>

<file path=xl/worksheets/_rels/sheet22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29.bin"/></Relationships>
</file>

<file path=xl/worksheets/_rels/sheet23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30.bin"/></Relationships>
</file>

<file path=xl/worksheets/_rels/sheet23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31.bin"/></Relationships>
</file>

<file path=xl/worksheets/_rels/sheet23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32.bin"/></Relationships>
</file>

<file path=xl/worksheets/_rels/sheet23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33.bin"/></Relationships>
</file>

<file path=xl/worksheets/_rels/sheet23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34.bin"/></Relationships>
</file>

<file path=xl/worksheets/_rels/sheet23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35.bin"/></Relationships>
</file>

<file path=xl/worksheets/_rels/sheet23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36.bin"/></Relationships>
</file>

<file path=xl/worksheets/_rels/sheet23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37.bin"/></Relationships>
</file>

<file path=xl/worksheets/_rels/sheet23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38.bin"/></Relationships>
</file>

<file path=xl/worksheets/_rels/sheet23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39.bin"/></Relationships>
</file>

<file path=xl/worksheets/_rels/sheet24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40.bin"/></Relationships>
</file>

<file path=xl/worksheets/_rels/sheet24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41.bin"/></Relationships>
</file>

<file path=xl/worksheets/_rels/sheet24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42.bin"/></Relationships>
</file>

<file path=xl/worksheets/_rels/sheet24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43.bin"/></Relationships>
</file>

<file path=xl/worksheets/_rels/sheet24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44.bin"/></Relationships>
</file>

<file path=xl/worksheets/_rels/sheet24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45.bin"/></Relationships>
</file>

<file path=xl/worksheets/_rels/sheet24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46.bin"/></Relationships>
</file>

<file path=xl/worksheets/_rels/sheet24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47.bin"/></Relationships>
</file>

<file path=xl/worksheets/_rels/sheet24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48.bin"/></Relationships>
</file>

<file path=xl/worksheets/_rels/sheet24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49.bin"/></Relationships>
</file>

<file path=xl/worksheets/_rels/sheet25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50.bin"/></Relationships>
</file>

<file path=xl/worksheets/_rels/sheet25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51.bin"/></Relationships>
</file>

<file path=xl/worksheets/_rels/sheet25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52.bin"/></Relationships>
</file>

<file path=xl/worksheets/_rels/sheet25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53.bin"/></Relationships>
</file>

<file path=xl/worksheets/_rels/sheet25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54.bin"/></Relationships>
</file>

<file path=xl/worksheets/_rels/sheet25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55.bin"/></Relationships>
</file>

<file path=xl/worksheets/_rels/sheet25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56.bin"/></Relationships>
</file>

<file path=xl/worksheets/_rels/sheet25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57.bin"/></Relationships>
</file>

<file path=xl/worksheets/_rels/sheet25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58.bin"/></Relationships>
</file>

<file path=xl/worksheets/_rels/sheet25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59.bin"/></Relationships>
</file>

<file path=xl/worksheets/_rels/sheet26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60.bin"/></Relationships>
</file>

<file path=xl/worksheets/_rels/sheet26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61.bin"/></Relationships>
</file>

<file path=xl/worksheets/_rels/sheet26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62.bin"/></Relationships>
</file>

<file path=xl/worksheets/_rels/sheet26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63.bin"/></Relationships>
</file>

<file path=xl/worksheets/_rels/sheet26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64.bin"/></Relationships>
</file>

<file path=xl/worksheets/_rels/sheet26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65.bin"/></Relationships>
</file>

<file path=xl/worksheets/_rels/sheet26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66.bin"/></Relationships>
</file>

<file path=xl/worksheets/_rels/sheet26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67.bin"/></Relationships>
</file>

<file path=xl/worksheets/_rels/sheet26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68.bin"/></Relationships>
</file>

<file path=xl/worksheets/_rels/sheet26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69.bin"/></Relationships>
</file>

<file path=xl/worksheets/_rels/sheet27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70.bin"/></Relationships>
</file>

<file path=xl/worksheets/_rels/sheet27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71.bin"/></Relationships>
</file>

<file path=xl/worksheets/_rels/sheet27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72.bin"/></Relationships>
</file>

<file path=xl/worksheets/_rels/sheet27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73.bin"/></Relationships>
</file>

<file path=xl/worksheets/_rels/sheet27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74.bin"/></Relationships>
</file>

<file path=xl/worksheets/_rels/sheet27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75.bin"/></Relationships>
</file>

<file path=xl/worksheets/_rels/sheet27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76.bin"/></Relationships>
</file>

<file path=xl/worksheets/_rels/sheet27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77.bin"/></Relationships>
</file>

<file path=xl/worksheets/_rels/sheet27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78.bin"/></Relationships>
</file>

<file path=xl/worksheets/_rels/sheet27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79.bin"/></Relationships>
</file>

<file path=xl/worksheets/_rels/sheet28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80.bin"/></Relationships>
</file>

<file path=xl/worksheets/_rels/sheet28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81.bin"/></Relationships>
</file>

<file path=xl/worksheets/_rels/sheet28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82.bin"/></Relationships>
</file>

<file path=xl/worksheets/_rels/sheet28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83.bin"/></Relationships>
</file>

<file path=xl/worksheets/_rels/sheet28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84.bin"/></Relationships>
</file>

<file path=xl/worksheets/_rels/sheet28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85.bin"/></Relationships>
</file>

<file path=xl/worksheets/_rels/sheet28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86.bin"/></Relationships>
</file>

<file path=xl/worksheets/_rels/sheet28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87.bin"/></Relationships>
</file>

<file path=xl/worksheets/_rels/sheet28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88.bin"/></Relationships>
</file>

<file path=xl/worksheets/_rels/sheet28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89.bin"/></Relationships>
</file>

<file path=xl/worksheets/_rels/sheet29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90.bin"/></Relationships>
</file>

<file path=xl/worksheets/_rels/sheet29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91.bin"/></Relationships>
</file>

<file path=xl/worksheets/_rels/sheet29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92.bin"/></Relationships>
</file>

<file path=xl/worksheets/_rels/sheet29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93.bin"/></Relationships>
</file>

<file path=xl/worksheets/_rels/sheet29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94.bin"/></Relationships>
</file>

<file path=xl/worksheets/_rels/sheet29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95.bin"/></Relationships>
</file>

<file path=xl/worksheets/_rels/sheet29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96.bin"/></Relationships>
</file>

<file path=xl/worksheets/_rels/sheet29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97.bin"/></Relationships>
</file>

<file path=xl/worksheets/_rels/sheet29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98.bin"/></Relationships>
</file>

<file path=xl/worksheets/_rels/sheet29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99.bin"/></Relationships>
</file>

<file path=xl/worksheets/_rels/sheet30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00.bin"/></Relationships>
</file>

<file path=xl/worksheets/_rels/sheet30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01.bin"/></Relationships>
</file>

<file path=xl/worksheets/_rels/sheet30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02.bin"/></Relationships>
</file>

<file path=xl/worksheets/_rels/sheet30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03.bin"/></Relationships>
</file>

<file path=xl/worksheets/_rels/sheet30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04.bin"/></Relationships>
</file>

<file path=xl/worksheets/_rels/sheet30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05.bin"/></Relationships>
</file>

<file path=xl/worksheets/_rels/sheet30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06.bin"/></Relationships>
</file>

<file path=xl/worksheets/_rels/sheet30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07.bin"/></Relationships>
</file>

<file path=xl/worksheets/_rels/sheet30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08.bin"/></Relationships>
</file>

<file path=xl/worksheets/_rels/sheet30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09.bin"/></Relationships>
</file>

<file path=xl/worksheets/_rels/sheet31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10.bin"/></Relationships>
</file>

<file path=xl/worksheets/_rels/sheet31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11.bin"/></Relationships>
</file>

<file path=xl/worksheets/_rels/sheet31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12.bin"/></Relationships>
</file>

<file path=xl/worksheets/_rels/sheet313.xml.rels><?xml version="1.0" encoding="UTF-8" standalone="yes"?>
<Relationships xmlns="http://schemas.openxmlformats.org/package/2006/relationships"><Relationship Id="rId3" Type="http://schemas.openxmlformats.org/officeDocument/2006/relationships/comments" Target="../comments67.xml"/><Relationship Id="rId2" Type="http://schemas.openxmlformats.org/officeDocument/2006/relationships/vmlDrawing" Target="../drawings/vmlDrawing67.vml"/><Relationship Id="rId1" Type="http://schemas.openxmlformats.org/officeDocument/2006/relationships/printerSettings" Target="../printerSettings/printerSettings313.bin"/></Relationships>
</file>

<file path=xl/worksheets/_rels/sheet31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14.bin"/></Relationships>
</file>

<file path=xl/worksheets/_rels/sheet31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15.bin"/></Relationships>
</file>

<file path=xl/worksheets/_rels/sheet31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16.bin"/></Relationships>
</file>

<file path=xl/worksheets/_rels/sheet31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17.bin"/></Relationships>
</file>

<file path=xl/worksheets/_rels/sheet31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18.bin"/></Relationships>
</file>

<file path=xl/worksheets/_rels/sheet31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19.bin"/></Relationships>
</file>

<file path=xl/worksheets/_rels/sheet32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20.bin"/></Relationships>
</file>

<file path=xl/worksheets/_rels/sheet32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21.bin"/></Relationships>
</file>

<file path=xl/worksheets/_rels/sheet32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22.bin"/></Relationships>
</file>

<file path=xl/worksheets/_rels/sheet32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23.bin"/></Relationships>
</file>

<file path=xl/worksheets/_rels/sheet32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24.bin"/></Relationships>
</file>

<file path=xl/worksheets/_rels/sheet32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25.bin"/></Relationships>
</file>

<file path=xl/worksheets/_rels/sheet32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26.bin"/></Relationships>
</file>

<file path=xl/worksheets/_rels/sheet32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27.bin"/></Relationships>
</file>

<file path=xl/worksheets/_rels/sheet32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28.bin"/></Relationships>
</file>

<file path=xl/worksheets/_rels/sheet32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29.bin"/></Relationships>
</file>

<file path=xl/worksheets/_rels/sheet33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30.bin"/></Relationships>
</file>

<file path=xl/worksheets/_rels/sheet331.xml.rels><?xml version="1.0" encoding="UTF-8" standalone="yes"?>
<Relationships xmlns="http://schemas.openxmlformats.org/package/2006/relationships"><Relationship Id="rId3" Type="http://schemas.openxmlformats.org/officeDocument/2006/relationships/comments" Target="../comments68.xml"/><Relationship Id="rId2" Type="http://schemas.openxmlformats.org/officeDocument/2006/relationships/vmlDrawing" Target="../drawings/vmlDrawing68.vml"/><Relationship Id="rId1" Type="http://schemas.openxmlformats.org/officeDocument/2006/relationships/printerSettings" Target="../printerSettings/printerSettings331.bin"/></Relationships>
</file>

<file path=xl/worksheets/_rels/sheet33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32.bin"/></Relationships>
</file>

<file path=xl/worksheets/_rels/sheet33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33.bin"/></Relationships>
</file>

<file path=xl/worksheets/_rels/sheet33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34.bin"/></Relationships>
</file>

<file path=xl/worksheets/_rels/sheet33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35.bin"/></Relationships>
</file>

<file path=xl/worksheets/_rels/sheet33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36.bin"/></Relationships>
</file>

<file path=xl/worksheets/_rels/sheet33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37.bin"/></Relationships>
</file>

<file path=xl/worksheets/_rels/sheet33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38.bin"/></Relationships>
</file>

<file path=xl/worksheets/_rels/sheet33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39.bin"/></Relationships>
</file>

<file path=xl/worksheets/_rels/sheet34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40.bin"/></Relationships>
</file>

<file path=xl/worksheets/_rels/sheet34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41.bin"/></Relationships>
</file>

<file path=xl/worksheets/_rels/sheet34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42.bin"/></Relationships>
</file>

<file path=xl/worksheets/_rels/sheet34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43.bin"/></Relationships>
</file>

<file path=xl/worksheets/_rels/sheet34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44.bin"/></Relationships>
</file>

<file path=xl/worksheets/_rels/sheet34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45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2:G45"/>
  <sheetViews>
    <sheetView zoomScaleNormal="60" zoomScaleSheetLayoutView="100" workbookViewId="0">
      <selection activeCell="J15" sqref="J15"/>
    </sheetView>
  </sheetViews>
  <sheetFormatPr defaultRowHeight="15" x14ac:dyDescent="0.25"/>
  <cols>
    <col min="1" max="1" width="2.85546875" customWidth="1"/>
    <col min="2" max="3" width="16.28515625" customWidth="1"/>
    <col min="4" max="5" width="15" customWidth="1"/>
    <col min="6" max="6" width="17" customWidth="1"/>
    <col min="7" max="7" width="15.28515625" customWidth="1"/>
  </cols>
  <sheetData>
    <row r="2" spans="2:7" ht="18.75" x14ac:dyDescent="0.3">
      <c r="B2" s="2222" t="s">
        <v>1</v>
      </c>
      <c r="C2" s="2222"/>
      <c r="D2" s="2222"/>
      <c r="E2" s="2222"/>
      <c r="F2" s="2222"/>
      <c r="G2" s="2222"/>
    </row>
    <row r="3" spans="2:7" ht="15.75" x14ac:dyDescent="0.25">
      <c r="B3" s="2223" t="s">
        <v>0</v>
      </c>
      <c r="C3" s="2223"/>
      <c r="D3" s="2223"/>
      <c r="E3" s="2223"/>
      <c r="F3" s="2223"/>
      <c r="G3" s="2223"/>
    </row>
    <row r="4" spans="2:7" x14ac:dyDescent="0.25">
      <c r="B4" t="s">
        <v>22</v>
      </c>
      <c r="G4" t="s">
        <v>2</v>
      </c>
    </row>
    <row r="5" spans="2:7" s="2" customFormat="1" ht="19.5" customHeight="1" x14ac:dyDescent="0.25">
      <c r="B5" s="3" t="s">
        <v>3</v>
      </c>
      <c r="C5" s="3" t="s">
        <v>4</v>
      </c>
      <c r="D5" s="3" t="s">
        <v>5</v>
      </c>
      <c r="E5" s="3" t="s">
        <v>6</v>
      </c>
      <c r="F5" s="3" t="s">
        <v>7</v>
      </c>
      <c r="G5" s="3" t="s">
        <v>8</v>
      </c>
    </row>
    <row r="6" spans="2:7" ht="23.25" customHeight="1" x14ac:dyDescent="0.25">
      <c r="B6" s="6" t="s">
        <v>9</v>
      </c>
      <c r="C6" s="1"/>
      <c r="D6" s="1"/>
      <c r="E6" s="1"/>
      <c r="F6" s="1"/>
      <c r="G6" s="1"/>
    </row>
    <row r="7" spans="2:7" ht="24" customHeight="1" x14ac:dyDescent="0.25">
      <c r="B7" s="6" t="s">
        <v>10</v>
      </c>
      <c r="C7" s="1"/>
      <c r="D7" s="1"/>
      <c r="E7" s="1"/>
      <c r="F7" s="1"/>
      <c r="G7" s="1"/>
    </row>
    <row r="8" spans="2:7" ht="21.75" customHeight="1" x14ac:dyDescent="0.25">
      <c r="B8" s="6" t="s">
        <v>11</v>
      </c>
      <c r="C8" s="1"/>
      <c r="D8" s="1"/>
      <c r="E8" s="1"/>
      <c r="F8" s="1"/>
      <c r="G8" s="1"/>
    </row>
    <row r="9" spans="2:7" ht="22.5" customHeight="1" x14ac:dyDescent="0.25">
      <c r="B9" s="6" t="s">
        <v>12</v>
      </c>
      <c r="C9" s="1"/>
      <c r="D9" s="1"/>
      <c r="E9" s="1"/>
      <c r="F9" s="1"/>
      <c r="G9" s="1"/>
    </row>
    <row r="10" spans="2:7" ht="17.25" customHeight="1" x14ac:dyDescent="0.25">
      <c r="B10" s="6" t="s">
        <v>13</v>
      </c>
      <c r="C10" s="1"/>
      <c r="D10" s="1"/>
      <c r="E10" s="1"/>
      <c r="F10" s="1"/>
      <c r="G10" s="1"/>
    </row>
    <row r="11" spans="2:7" ht="19.5" customHeight="1" x14ac:dyDescent="0.25">
      <c r="B11" s="6" t="s">
        <v>14</v>
      </c>
      <c r="C11" s="1"/>
      <c r="D11" s="1"/>
      <c r="E11" s="1"/>
      <c r="F11" s="1"/>
      <c r="G11" s="1"/>
    </row>
    <row r="12" spans="2:7" ht="19.5" customHeight="1" x14ac:dyDescent="0.25">
      <c r="B12" s="6" t="s">
        <v>15</v>
      </c>
      <c r="C12" s="1"/>
      <c r="D12" s="1"/>
      <c r="E12" s="1"/>
      <c r="F12" s="1"/>
      <c r="G12" s="1"/>
    </row>
    <row r="13" spans="2:7" ht="20.25" customHeight="1" x14ac:dyDescent="0.25">
      <c r="B13" s="7" t="s">
        <v>17</v>
      </c>
      <c r="C13" s="5"/>
      <c r="D13" s="5"/>
      <c r="E13" s="5"/>
      <c r="F13" s="5"/>
      <c r="G13" s="5"/>
    </row>
    <row r="14" spans="2:7" ht="19.5" customHeight="1" x14ac:dyDescent="0.25">
      <c r="B14" s="7" t="s">
        <v>16</v>
      </c>
      <c r="C14" s="5"/>
      <c r="D14" s="5"/>
      <c r="E14" s="5"/>
      <c r="F14" s="5"/>
      <c r="G14" s="5"/>
    </row>
    <row r="15" spans="2:7" ht="18.75" customHeight="1" x14ac:dyDescent="0.25">
      <c r="B15" s="2220" t="s">
        <v>18</v>
      </c>
      <c r="C15" s="2220"/>
      <c r="D15" s="2220"/>
      <c r="E15" s="2220"/>
      <c r="F15" s="2221"/>
      <c r="G15" s="1"/>
    </row>
    <row r="16" spans="2:7" ht="18.75" customHeight="1" x14ac:dyDescent="0.25">
      <c r="B16" s="2220" t="s">
        <v>19</v>
      </c>
      <c r="C16" s="2220"/>
      <c r="D16" s="2220"/>
      <c r="E16" s="2220"/>
      <c r="F16" s="2221"/>
      <c r="G16" s="1"/>
    </row>
    <row r="17" spans="1:7" ht="20.25" customHeight="1" x14ac:dyDescent="0.25">
      <c r="B17" s="2220" t="s">
        <v>20</v>
      </c>
      <c r="C17" s="2220"/>
      <c r="D17" s="2220"/>
      <c r="E17" s="2220"/>
      <c r="F17" s="2221"/>
      <c r="G17" s="1"/>
    </row>
    <row r="18" spans="1:7" ht="19.5" customHeight="1" x14ac:dyDescent="0.25">
      <c r="B18" s="2220" t="s">
        <v>21</v>
      </c>
      <c r="C18" s="2220"/>
      <c r="D18" s="2220"/>
      <c r="E18" s="2220"/>
      <c r="F18" s="2221"/>
      <c r="G18" s="1"/>
    </row>
    <row r="19" spans="1:7" x14ac:dyDescent="0.25">
      <c r="B19" s="4"/>
      <c r="C19" s="4"/>
      <c r="D19" s="4"/>
      <c r="E19" s="4"/>
      <c r="F19" s="4"/>
      <c r="G19" s="4"/>
    </row>
    <row r="20" spans="1:7" x14ac:dyDescent="0.25">
      <c r="B20" s="4"/>
      <c r="C20" s="4"/>
      <c r="D20" s="4"/>
      <c r="E20" s="4"/>
      <c r="F20" s="4"/>
      <c r="G20" s="4"/>
    </row>
    <row r="21" spans="1:7" x14ac:dyDescent="0.25">
      <c r="B21" s="4" t="s">
        <v>23</v>
      </c>
      <c r="C21" s="4"/>
      <c r="D21" s="4"/>
      <c r="E21" s="4"/>
      <c r="F21" s="4"/>
      <c r="G21" s="4" t="s">
        <v>24</v>
      </c>
    </row>
    <row r="22" spans="1:7" x14ac:dyDescent="0.25">
      <c r="B22" s="4"/>
      <c r="C22" s="4"/>
      <c r="D22" s="4"/>
      <c r="E22" s="4"/>
      <c r="F22" s="4"/>
      <c r="G22" s="4"/>
    </row>
    <row r="23" spans="1:7" x14ac:dyDescent="0.25">
      <c r="B23" s="9"/>
      <c r="C23" s="9"/>
      <c r="D23" s="9"/>
      <c r="E23" s="9"/>
      <c r="F23" s="9"/>
      <c r="G23" s="9"/>
    </row>
    <row r="24" spans="1:7" x14ac:dyDescent="0.25">
      <c r="B24" s="13"/>
      <c r="C24" s="13"/>
      <c r="D24" s="13"/>
      <c r="E24" s="13"/>
      <c r="F24" s="13"/>
      <c r="G24" s="13"/>
    </row>
    <row r="25" spans="1:7" x14ac:dyDescent="0.25">
      <c r="B25" s="13"/>
      <c r="C25" s="13"/>
      <c r="D25" s="13"/>
      <c r="E25" s="13"/>
      <c r="F25" s="13"/>
      <c r="G25" s="13"/>
    </row>
    <row r="26" spans="1:7" ht="18.75" x14ac:dyDescent="0.3">
      <c r="B26" s="2222" t="s">
        <v>1</v>
      </c>
      <c r="C26" s="2222"/>
      <c r="D26" s="2222"/>
      <c r="E26" s="2222"/>
      <c r="F26" s="2222"/>
      <c r="G26" s="2222"/>
    </row>
    <row r="27" spans="1:7" ht="15.75" x14ac:dyDescent="0.25">
      <c r="B27" s="2223" t="s">
        <v>0</v>
      </c>
      <c r="C27" s="2223"/>
      <c r="D27" s="2223"/>
      <c r="E27" s="2223"/>
      <c r="F27" s="2223"/>
      <c r="G27" s="2223"/>
    </row>
    <row r="28" spans="1:7" x14ac:dyDescent="0.25">
      <c r="B28" t="s">
        <v>22</v>
      </c>
      <c r="G28" t="s">
        <v>2</v>
      </c>
    </row>
    <row r="29" spans="1:7" x14ac:dyDescent="0.25">
      <c r="A29" s="2"/>
      <c r="B29" s="3" t="s">
        <v>3</v>
      </c>
      <c r="C29" s="3" t="s">
        <v>4</v>
      </c>
      <c r="D29" s="3" t="s">
        <v>5</v>
      </c>
      <c r="E29" s="3" t="s">
        <v>6</v>
      </c>
      <c r="F29" s="3" t="s">
        <v>7</v>
      </c>
      <c r="G29" s="3" t="s">
        <v>8</v>
      </c>
    </row>
    <row r="30" spans="1:7" ht="25.5" customHeight="1" x14ac:dyDescent="0.25">
      <c r="B30" s="6" t="s">
        <v>9</v>
      </c>
      <c r="C30" s="8"/>
      <c r="D30" s="8"/>
      <c r="E30" s="8"/>
      <c r="F30" s="8"/>
      <c r="G30" s="8"/>
    </row>
    <row r="31" spans="1:7" ht="24" customHeight="1" x14ac:dyDescent="0.25">
      <c r="B31" s="6" t="s">
        <v>10</v>
      </c>
      <c r="C31" s="8"/>
      <c r="D31" s="8"/>
      <c r="E31" s="8"/>
      <c r="F31" s="8"/>
      <c r="G31" s="8"/>
    </row>
    <row r="32" spans="1:7" ht="19.5" customHeight="1" x14ac:dyDescent="0.25">
      <c r="B32" s="6" t="s">
        <v>11</v>
      </c>
      <c r="C32" s="8"/>
      <c r="D32" s="8"/>
      <c r="E32" s="8"/>
      <c r="F32" s="8"/>
      <c r="G32" s="8"/>
    </row>
    <row r="33" spans="2:7" ht="21" customHeight="1" x14ac:dyDescent="0.25">
      <c r="B33" s="6" t="s">
        <v>12</v>
      </c>
      <c r="C33" s="8"/>
      <c r="D33" s="8"/>
      <c r="E33" s="8"/>
      <c r="F33" s="8"/>
      <c r="G33" s="8"/>
    </row>
    <row r="34" spans="2:7" ht="19.5" customHeight="1" x14ac:dyDescent="0.25">
      <c r="B34" s="6" t="s">
        <v>13</v>
      </c>
      <c r="C34" s="8"/>
      <c r="D34" s="8"/>
      <c r="E34" s="8"/>
      <c r="F34" s="8"/>
      <c r="G34" s="8"/>
    </row>
    <row r="35" spans="2:7" ht="20.25" customHeight="1" x14ac:dyDescent="0.25">
      <c r="B35" s="6" t="s">
        <v>14</v>
      </c>
      <c r="C35" s="8"/>
      <c r="D35" s="8"/>
      <c r="E35" s="8"/>
      <c r="F35" s="8"/>
      <c r="G35" s="8"/>
    </row>
    <row r="36" spans="2:7" ht="17.25" customHeight="1" x14ac:dyDescent="0.25">
      <c r="B36" s="6" t="s">
        <v>15</v>
      </c>
      <c r="C36" s="8"/>
      <c r="D36" s="8"/>
      <c r="E36" s="8"/>
      <c r="F36" s="8"/>
      <c r="G36" s="8"/>
    </row>
    <row r="37" spans="2:7" ht="21.75" customHeight="1" x14ac:dyDescent="0.25">
      <c r="B37" s="7" t="s">
        <v>17</v>
      </c>
      <c r="C37" s="5"/>
      <c r="D37" s="5"/>
      <c r="E37" s="5"/>
      <c r="F37" s="5"/>
      <c r="G37" s="5"/>
    </row>
    <row r="38" spans="2:7" ht="17.25" customHeight="1" x14ac:dyDescent="0.25">
      <c r="B38" s="7" t="s">
        <v>16</v>
      </c>
      <c r="C38" s="5"/>
      <c r="D38" s="5"/>
      <c r="E38" s="5"/>
      <c r="F38" s="5"/>
      <c r="G38" s="5"/>
    </row>
    <row r="39" spans="2:7" ht="16.5" customHeight="1" x14ac:dyDescent="0.25">
      <c r="B39" s="2220" t="s">
        <v>18</v>
      </c>
      <c r="C39" s="2220"/>
      <c r="D39" s="2220"/>
      <c r="E39" s="2220"/>
      <c r="F39" s="2221"/>
      <c r="G39" s="8"/>
    </row>
    <row r="40" spans="2:7" ht="17.25" customHeight="1" x14ac:dyDescent="0.25">
      <c r="B40" s="2220" t="s">
        <v>19</v>
      </c>
      <c r="C40" s="2220"/>
      <c r="D40" s="2220"/>
      <c r="E40" s="2220"/>
      <c r="F40" s="2221"/>
      <c r="G40" s="8"/>
    </row>
    <row r="41" spans="2:7" ht="16.5" customHeight="1" x14ac:dyDescent="0.25">
      <c r="B41" s="2220" t="s">
        <v>20</v>
      </c>
      <c r="C41" s="2220"/>
      <c r="D41" s="2220"/>
      <c r="E41" s="2220"/>
      <c r="F41" s="2221"/>
      <c r="G41" s="8"/>
    </row>
    <row r="42" spans="2:7" ht="20.25" customHeight="1" x14ac:dyDescent="0.25">
      <c r="B42" s="2220" t="s">
        <v>21</v>
      </c>
      <c r="C42" s="2220"/>
      <c r="D42" s="2220"/>
      <c r="E42" s="2220"/>
      <c r="F42" s="2221"/>
      <c r="G42" s="8"/>
    </row>
    <row r="43" spans="2:7" x14ac:dyDescent="0.25">
      <c r="B43" s="4"/>
      <c r="C43" s="4"/>
      <c r="D43" s="4"/>
      <c r="E43" s="4"/>
      <c r="F43" s="4"/>
      <c r="G43" s="4"/>
    </row>
    <row r="44" spans="2:7" x14ac:dyDescent="0.25">
      <c r="B44" s="4"/>
      <c r="C44" s="4"/>
      <c r="D44" s="4"/>
      <c r="E44" s="4"/>
      <c r="F44" s="4"/>
      <c r="G44" s="4"/>
    </row>
    <row r="45" spans="2:7" x14ac:dyDescent="0.25">
      <c r="B45" s="4" t="s">
        <v>23</v>
      </c>
      <c r="C45" s="4"/>
      <c r="D45" s="4"/>
      <c r="E45" s="4"/>
      <c r="F45" s="4"/>
      <c r="G45" s="4" t="s">
        <v>24</v>
      </c>
    </row>
  </sheetData>
  <mergeCells count="12">
    <mergeCell ref="B2:G2"/>
    <mergeCell ref="B3:G3"/>
    <mergeCell ref="B15:F15"/>
    <mergeCell ref="B16:F16"/>
    <mergeCell ref="B17:F17"/>
    <mergeCell ref="B41:F41"/>
    <mergeCell ref="B42:F42"/>
    <mergeCell ref="B18:F18"/>
    <mergeCell ref="B26:G26"/>
    <mergeCell ref="B27:G27"/>
    <mergeCell ref="B39:F39"/>
    <mergeCell ref="B40:F40"/>
  </mergeCells>
  <pageMargins left="0.18" right="0.2" top="0.28000000000000003" bottom="0.17" header="0.3" footer="0.3"/>
  <pageSetup paperSize="9"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sheetPr>
    <pageSetUpPr fitToPage="1"/>
  </sheetPr>
  <dimension ref="A1:W24"/>
  <sheetViews>
    <sheetView zoomScale="77" zoomScaleNormal="77" zoomScaleSheetLayoutView="100" workbookViewId="0">
      <selection activeCell="T18" sqref="T18:V18"/>
    </sheetView>
  </sheetViews>
  <sheetFormatPr defaultColWidth="9.140625" defaultRowHeight="15" x14ac:dyDescent="0.25"/>
  <cols>
    <col min="1" max="1" width="18.85546875" style="14" bestFit="1" customWidth="1"/>
    <col min="2" max="2" width="19.5703125" style="14" customWidth="1"/>
    <col min="3" max="3" width="10.42578125" style="14" customWidth="1"/>
    <col min="4" max="4" width="10" style="14" customWidth="1"/>
    <col min="5" max="6" width="11" style="14" bestFit="1" customWidth="1"/>
    <col min="7" max="7" width="9.28515625" style="14" bestFit="1" customWidth="1"/>
    <col min="8" max="8" width="8.7109375" style="14" bestFit="1" customWidth="1"/>
    <col min="9" max="9" width="10.5703125" style="14" bestFit="1" customWidth="1"/>
    <col min="10" max="10" width="9.42578125" style="14" bestFit="1" customWidth="1"/>
    <col min="11" max="11" width="8" style="14" bestFit="1" customWidth="1"/>
    <col min="12" max="12" width="7.5703125" style="14" bestFit="1" customWidth="1"/>
    <col min="13" max="13" width="9.85546875" style="14" bestFit="1" customWidth="1"/>
    <col min="14" max="14" width="10.140625" style="14" bestFit="1" customWidth="1"/>
    <col min="15" max="15" width="6.7109375" style="14" customWidth="1"/>
    <col min="16" max="16" width="7.5703125" style="14" customWidth="1"/>
    <col min="17" max="17" width="7.140625" style="14" customWidth="1"/>
    <col min="18" max="18" width="10.140625" style="14" bestFit="1" customWidth="1"/>
    <col min="19" max="19" width="16.28515625" style="14" customWidth="1"/>
    <col min="20" max="20" width="7.85546875" style="14" bestFit="1" customWidth="1"/>
    <col min="21" max="21" width="7.42578125" style="14" customWidth="1"/>
    <col min="22" max="22" width="7.28515625" style="14" customWidth="1"/>
    <col min="23" max="23" width="12.85546875" style="14" customWidth="1"/>
    <col min="24" max="16384" width="9.140625" style="14"/>
  </cols>
  <sheetData>
    <row r="1" spans="1:23" ht="46.15" customHeight="1" x14ac:dyDescent="0.25">
      <c r="A1" s="2240" t="s">
        <v>76</v>
      </c>
      <c r="B1" s="2240"/>
      <c r="C1" s="2240"/>
      <c r="D1" s="2240"/>
      <c r="E1" s="2240"/>
      <c r="F1" s="2240"/>
      <c r="G1" s="2240"/>
      <c r="H1" s="2240"/>
      <c r="I1" s="2240"/>
      <c r="J1" s="2240"/>
      <c r="K1" s="2240"/>
      <c r="L1" s="2240"/>
      <c r="M1" s="2240"/>
      <c r="N1" s="2240"/>
      <c r="O1" s="2240"/>
      <c r="P1" s="2240"/>
      <c r="Q1" s="2240"/>
      <c r="R1" s="2240"/>
      <c r="S1" s="2240"/>
      <c r="T1" s="2240"/>
      <c r="U1" s="2240"/>
      <c r="V1" s="2240"/>
      <c r="W1" s="2240"/>
    </row>
    <row r="2" spans="1:23" ht="21.6" customHeight="1" x14ac:dyDescent="0.25">
      <c r="A2" s="2241" t="s">
        <v>77</v>
      </c>
      <c r="B2" s="2241"/>
      <c r="C2" s="2241"/>
      <c r="D2" s="2241"/>
      <c r="E2" s="2241"/>
      <c r="F2" s="2241"/>
      <c r="G2" s="2241"/>
      <c r="H2" s="2241"/>
      <c r="I2" s="2241"/>
      <c r="J2" s="2241"/>
      <c r="K2" s="2241"/>
      <c r="L2" s="2241"/>
      <c r="M2" s="2241"/>
      <c r="N2" s="2241"/>
      <c r="O2" s="2241"/>
      <c r="P2" s="2241"/>
      <c r="Q2" s="2241"/>
      <c r="R2" s="2241"/>
      <c r="S2" s="2241"/>
      <c r="T2" s="2241"/>
      <c r="U2" s="2241"/>
      <c r="V2" s="2241"/>
      <c r="W2" s="2241"/>
    </row>
    <row r="3" spans="1:23" ht="21" customHeight="1" x14ac:dyDescent="0.25">
      <c r="A3" s="25"/>
      <c r="B3" s="25"/>
      <c r="C3" s="25"/>
      <c r="D3" s="25"/>
      <c r="E3" s="25"/>
      <c r="F3" s="25"/>
      <c r="G3" s="25"/>
      <c r="H3" s="25"/>
      <c r="I3" s="25"/>
      <c r="J3" s="25"/>
      <c r="K3" s="25"/>
      <c r="L3" s="25"/>
      <c r="M3" s="25"/>
      <c r="N3" s="25"/>
      <c r="O3" s="25"/>
      <c r="P3" s="25"/>
      <c r="Q3" s="25"/>
      <c r="R3" s="2242" t="s">
        <v>78</v>
      </c>
      <c r="S3" s="2242"/>
      <c r="T3" s="2242"/>
      <c r="U3" s="2242"/>
      <c r="V3" s="2242"/>
      <c r="W3" s="2242"/>
    </row>
    <row r="4" spans="1:23" s="25" customFormat="1" ht="18" customHeight="1" x14ac:dyDescent="0.25">
      <c r="A4" s="2243" t="s">
        <v>25</v>
      </c>
      <c r="B4" s="2243" t="s">
        <v>26</v>
      </c>
      <c r="C4" s="2244" t="s">
        <v>27</v>
      </c>
      <c r="D4" s="2244"/>
      <c r="E4" s="2244" t="s">
        <v>28</v>
      </c>
      <c r="F4" s="2244"/>
      <c r="G4" s="2244" t="s">
        <v>65</v>
      </c>
      <c r="H4" s="2244"/>
      <c r="I4" s="2244" t="s">
        <v>29</v>
      </c>
      <c r="J4" s="2244"/>
      <c r="K4" s="2245" t="s">
        <v>13</v>
      </c>
      <c r="L4" s="2246"/>
      <c r="M4" s="2245" t="s">
        <v>67</v>
      </c>
      <c r="N4" s="2246"/>
      <c r="O4" s="2245" t="s">
        <v>68</v>
      </c>
      <c r="P4" s="2246"/>
      <c r="Q4" s="2244" t="s">
        <v>35</v>
      </c>
      <c r="R4" s="2244"/>
      <c r="S4" s="2245" t="s">
        <v>17</v>
      </c>
      <c r="T4" s="2246"/>
      <c r="U4" s="2247" t="s">
        <v>36</v>
      </c>
      <c r="V4" s="2248"/>
      <c r="W4" s="2238" t="s">
        <v>30</v>
      </c>
    </row>
    <row r="5" spans="1:23" s="25" customFormat="1" ht="25.5" customHeight="1" x14ac:dyDescent="0.25">
      <c r="A5" s="2243"/>
      <c r="B5" s="2243"/>
      <c r="C5" s="32" t="s">
        <v>42</v>
      </c>
      <c r="D5" s="32" t="s">
        <v>43</v>
      </c>
      <c r="E5" s="32" t="s">
        <v>42</v>
      </c>
      <c r="F5" s="32" t="s">
        <v>43</v>
      </c>
      <c r="G5" s="32" t="s">
        <v>42</v>
      </c>
      <c r="H5" s="32" t="s">
        <v>43</v>
      </c>
      <c r="I5" s="32" t="s">
        <v>42</v>
      </c>
      <c r="J5" s="32" t="s">
        <v>43</v>
      </c>
      <c r="K5" s="32" t="s">
        <v>42</v>
      </c>
      <c r="L5" s="32" t="s">
        <v>43</v>
      </c>
      <c r="M5" s="32" t="s">
        <v>42</v>
      </c>
      <c r="N5" s="32" t="s">
        <v>43</v>
      </c>
      <c r="O5" s="32" t="s">
        <v>42</v>
      </c>
      <c r="P5" s="32" t="s">
        <v>43</v>
      </c>
      <c r="Q5" s="33" t="s">
        <v>42</v>
      </c>
      <c r="R5" s="33" t="s">
        <v>43</v>
      </c>
      <c r="S5" s="30" t="s">
        <v>42</v>
      </c>
      <c r="T5" s="30" t="s">
        <v>43</v>
      </c>
      <c r="U5" s="30" t="s">
        <v>42</v>
      </c>
      <c r="V5" s="30" t="s">
        <v>43</v>
      </c>
      <c r="W5" s="2239"/>
    </row>
    <row r="6" spans="1:23" ht="34.5" customHeight="1" x14ac:dyDescent="0.25">
      <c r="A6" s="12">
        <v>1409935200</v>
      </c>
      <c r="B6" s="26" t="s">
        <v>71</v>
      </c>
      <c r="C6" s="28">
        <v>33815</v>
      </c>
      <c r="D6" s="27">
        <f>0.9725*C6</f>
        <v>32885.087500000001</v>
      </c>
      <c r="E6" s="28"/>
      <c r="F6" s="28">
        <f>13.7*E6</f>
        <v>0</v>
      </c>
      <c r="G6" s="28"/>
      <c r="H6" s="28">
        <f>28.2*G6</f>
        <v>0</v>
      </c>
      <c r="I6" s="28"/>
      <c r="J6" s="28">
        <f>18.5*I6</f>
        <v>0</v>
      </c>
      <c r="K6" s="28"/>
      <c r="L6" s="28">
        <f>19.5*K6</f>
        <v>0</v>
      </c>
      <c r="M6" s="28"/>
      <c r="N6" s="27">
        <f>M6*9.75</f>
        <v>0</v>
      </c>
      <c r="O6" s="28"/>
      <c r="P6" s="27">
        <f>O6*48.62</f>
        <v>0</v>
      </c>
      <c r="Q6" s="28"/>
      <c r="R6" s="28">
        <f>241*Q6</f>
        <v>0</v>
      </c>
      <c r="S6" s="28"/>
      <c r="T6" s="28">
        <f>232*S6</f>
        <v>0</v>
      </c>
      <c r="U6" s="28"/>
      <c r="V6" s="19">
        <f>U6*100</f>
        <v>0</v>
      </c>
      <c r="W6" s="20">
        <f t="shared" ref="W6:W9" si="0">D6+F6+H6+J6+L6+N6+P6+R6+T6+V6</f>
        <v>32885.087500000001</v>
      </c>
    </row>
    <row r="7" spans="1:23" ht="31.5" customHeight="1" x14ac:dyDescent="0.25">
      <c r="A7" s="12">
        <v>1984225578</v>
      </c>
      <c r="B7" s="26" t="s">
        <v>72</v>
      </c>
      <c r="C7" s="28">
        <v>26075</v>
      </c>
      <c r="D7" s="27">
        <f t="shared" ref="D7:D11" si="1">0.9725*C7</f>
        <v>25357.9375</v>
      </c>
      <c r="E7" s="28"/>
      <c r="F7" s="28">
        <f t="shared" ref="F7:F11" si="2">13.7*E7</f>
        <v>0</v>
      </c>
      <c r="G7" s="28"/>
      <c r="H7" s="28">
        <f t="shared" ref="H7:H11" si="3">28.2*G7</f>
        <v>0</v>
      </c>
      <c r="I7" s="28">
        <v>700</v>
      </c>
      <c r="J7" s="28">
        <f t="shared" ref="J7:J11" si="4">18.5*I7</f>
        <v>12950</v>
      </c>
      <c r="K7" s="28"/>
      <c r="L7" s="28">
        <f t="shared" ref="L7:L11" si="5">19.5*K7</f>
        <v>0</v>
      </c>
      <c r="M7" s="28"/>
      <c r="N7" s="27">
        <f t="shared" ref="N7:N11" si="6">M7*9.75</f>
        <v>0</v>
      </c>
      <c r="O7" s="28"/>
      <c r="P7" s="27">
        <f t="shared" ref="P7:P11" si="7">O7*48.62</f>
        <v>0</v>
      </c>
      <c r="Q7" s="28"/>
      <c r="R7" s="28">
        <f t="shared" ref="R7:R11" si="8">241*Q7</f>
        <v>0</v>
      </c>
      <c r="S7" s="28"/>
      <c r="T7" s="28">
        <f t="shared" ref="T7:T11" si="9">232*S7</f>
        <v>0</v>
      </c>
      <c r="U7" s="28"/>
      <c r="V7" s="19">
        <f t="shared" ref="V7:V11" si="10">U7*100</f>
        <v>0</v>
      </c>
      <c r="W7" s="20">
        <f t="shared" si="0"/>
        <v>38307.9375</v>
      </c>
    </row>
    <row r="8" spans="1:23" ht="35.25" customHeight="1" x14ac:dyDescent="0.25">
      <c r="A8" s="12">
        <v>1967020280</v>
      </c>
      <c r="B8" s="26" t="s">
        <v>73</v>
      </c>
      <c r="C8" s="28">
        <v>75334</v>
      </c>
      <c r="D8" s="27">
        <f t="shared" si="1"/>
        <v>73262.315000000002</v>
      </c>
      <c r="E8" s="28"/>
      <c r="F8" s="28">
        <f t="shared" si="2"/>
        <v>0</v>
      </c>
      <c r="G8" s="28"/>
      <c r="H8" s="28">
        <f t="shared" si="3"/>
        <v>0</v>
      </c>
      <c r="I8" s="28"/>
      <c r="J8" s="28">
        <f t="shared" si="4"/>
        <v>0</v>
      </c>
      <c r="K8" s="28"/>
      <c r="L8" s="28">
        <f t="shared" si="5"/>
        <v>0</v>
      </c>
      <c r="M8" s="28"/>
      <c r="N8" s="27">
        <f t="shared" si="6"/>
        <v>0</v>
      </c>
      <c r="O8" s="28"/>
      <c r="P8" s="27">
        <f t="shared" si="7"/>
        <v>0</v>
      </c>
      <c r="Q8" s="28"/>
      <c r="R8" s="28">
        <f t="shared" si="8"/>
        <v>0</v>
      </c>
      <c r="S8" s="28"/>
      <c r="T8" s="28">
        <f t="shared" si="9"/>
        <v>0</v>
      </c>
      <c r="U8" s="28"/>
      <c r="V8" s="19">
        <f t="shared" si="10"/>
        <v>0</v>
      </c>
      <c r="W8" s="20">
        <f t="shared" si="0"/>
        <v>73262.315000000002</v>
      </c>
    </row>
    <row r="9" spans="1:23" ht="38.25" customHeight="1" x14ac:dyDescent="0.25">
      <c r="A9" s="12">
        <v>1409935199</v>
      </c>
      <c r="B9" s="26" t="s">
        <v>74</v>
      </c>
      <c r="C9" s="28">
        <v>20536</v>
      </c>
      <c r="D9" s="27">
        <f t="shared" si="1"/>
        <v>19971.260000000002</v>
      </c>
      <c r="E9" s="28"/>
      <c r="F9" s="28">
        <f t="shared" si="2"/>
        <v>0</v>
      </c>
      <c r="G9" s="28"/>
      <c r="H9" s="28">
        <f t="shared" si="3"/>
        <v>0</v>
      </c>
      <c r="I9" s="28"/>
      <c r="J9" s="28">
        <f t="shared" si="4"/>
        <v>0</v>
      </c>
      <c r="K9" s="28"/>
      <c r="L9" s="28">
        <f t="shared" si="5"/>
        <v>0</v>
      </c>
      <c r="M9" s="28"/>
      <c r="N9" s="27">
        <f t="shared" si="6"/>
        <v>0</v>
      </c>
      <c r="O9" s="28"/>
      <c r="P9" s="27">
        <f t="shared" si="7"/>
        <v>0</v>
      </c>
      <c r="Q9" s="28"/>
      <c r="R9" s="28">
        <f t="shared" si="8"/>
        <v>0</v>
      </c>
      <c r="S9" s="28"/>
      <c r="T9" s="28">
        <f t="shared" si="9"/>
        <v>0</v>
      </c>
      <c r="U9" s="28"/>
      <c r="V9" s="19">
        <f t="shared" si="10"/>
        <v>0</v>
      </c>
      <c r="W9" s="20">
        <f t="shared" si="0"/>
        <v>19971.260000000002</v>
      </c>
    </row>
    <row r="10" spans="1:23" ht="35.25" customHeight="1" x14ac:dyDescent="0.25">
      <c r="A10" s="12">
        <v>1984225580</v>
      </c>
      <c r="B10" s="26" t="s">
        <v>75</v>
      </c>
      <c r="C10" s="28">
        <v>37132</v>
      </c>
      <c r="D10" s="27">
        <f t="shared" si="1"/>
        <v>36110.870000000003</v>
      </c>
      <c r="E10" s="28"/>
      <c r="F10" s="28">
        <f t="shared" si="2"/>
        <v>0</v>
      </c>
      <c r="G10" s="28">
        <v>10</v>
      </c>
      <c r="H10" s="28">
        <f t="shared" si="3"/>
        <v>282</v>
      </c>
      <c r="I10" s="28"/>
      <c r="J10" s="28">
        <f t="shared" si="4"/>
        <v>0</v>
      </c>
      <c r="K10" s="28"/>
      <c r="L10" s="28">
        <f t="shared" si="5"/>
        <v>0</v>
      </c>
      <c r="M10" s="28">
        <v>120</v>
      </c>
      <c r="N10" s="27">
        <f t="shared" si="6"/>
        <v>1170</v>
      </c>
      <c r="O10" s="28"/>
      <c r="P10" s="27">
        <f t="shared" si="7"/>
        <v>0</v>
      </c>
      <c r="Q10" s="28"/>
      <c r="R10" s="28">
        <f t="shared" si="8"/>
        <v>0</v>
      </c>
      <c r="S10" s="28"/>
      <c r="T10" s="28">
        <f t="shared" si="9"/>
        <v>0</v>
      </c>
      <c r="U10" s="28"/>
      <c r="V10" s="19">
        <f t="shared" si="10"/>
        <v>0</v>
      </c>
      <c r="W10" s="20">
        <f>D10+F10+H10+J10+L10+N10+P10+R10+T10+V10</f>
        <v>37562.870000000003</v>
      </c>
    </row>
    <row r="11" spans="1:23" ht="37.5" customHeight="1" x14ac:dyDescent="0.25">
      <c r="A11" s="12"/>
      <c r="B11" s="24"/>
      <c r="C11" s="28"/>
      <c r="D11" s="22">
        <f t="shared" si="1"/>
        <v>0</v>
      </c>
      <c r="E11" s="28"/>
      <c r="F11" s="28">
        <f t="shared" si="2"/>
        <v>0</v>
      </c>
      <c r="G11" s="28"/>
      <c r="H11" s="28">
        <f t="shared" si="3"/>
        <v>0</v>
      </c>
      <c r="I11" s="28"/>
      <c r="J11" s="28">
        <f t="shared" si="4"/>
        <v>0</v>
      </c>
      <c r="K11" s="28"/>
      <c r="L11" s="28">
        <f t="shared" si="5"/>
        <v>0</v>
      </c>
      <c r="M11" s="28"/>
      <c r="N11" s="27">
        <f t="shared" si="6"/>
        <v>0</v>
      </c>
      <c r="O11" s="28"/>
      <c r="P11" s="27">
        <f t="shared" si="7"/>
        <v>0</v>
      </c>
      <c r="Q11" s="28"/>
      <c r="R11" s="28">
        <f t="shared" si="8"/>
        <v>0</v>
      </c>
      <c r="S11" s="28"/>
      <c r="T11" s="28">
        <f t="shared" si="9"/>
        <v>0</v>
      </c>
      <c r="U11" s="28"/>
      <c r="V11" s="19">
        <f t="shared" si="10"/>
        <v>0</v>
      </c>
      <c r="W11" s="20">
        <f t="shared" ref="W11" si="11">D11+F11+H11+J11+L11+N11+P11+R11+T11+V11</f>
        <v>0</v>
      </c>
    </row>
    <row r="12" spans="1:23" ht="29.25" customHeight="1" x14ac:dyDescent="0.25">
      <c r="A12" s="2235" t="s">
        <v>31</v>
      </c>
      <c r="B12" s="2235"/>
      <c r="C12" s="18">
        <f t="shared" ref="C12:W12" si="12">SUM(C6:C11)</f>
        <v>192892</v>
      </c>
      <c r="D12" s="18">
        <f t="shared" si="12"/>
        <v>187587.47</v>
      </c>
      <c r="E12" s="18">
        <f t="shared" si="12"/>
        <v>0</v>
      </c>
      <c r="F12" s="18">
        <f t="shared" si="12"/>
        <v>0</v>
      </c>
      <c r="G12" s="18">
        <f t="shared" si="12"/>
        <v>10</v>
      </c>
      <c r="H12" s="18">
        <f t="shared" si="12"/>
        <v>282</v>
      </c>
      <c r="I12" s="18">
        <f t="shared" si="12"/>
        <v>700</v>
      </c>
      <c r="J12" s="18">
        <f t="shared" si="12"/>
        <v>12950</v>
      </c>
      <c r="K12" s="18">
        <f t="shared" si="12"/>
        <v>0</v>
      </c>
      <c r="L12" s="18">
        <f t="shared" si="12"/>
        <v>0</v>
      </c>
      <c r="M12" s="18">
        <f t="shared" si="12"/>
        <v>120</v>
      </c>
      <c r="N12" s="23">
        <f t="shared" si="12"/>
        <v>1170</v>
      </c>
      <c r="O12" s="18">
        <f t="shared" si="12"/>
        <v>0</v>
      </c>
      <c r="P12" s="23">
        <f t="shared" si="12"/>
        <v>0</v>
      </c>
      <c r="Q12" s="18">
        <f t="shared" si="12"/>
        <v>0</v>
      </c>
      <c r="R12" s="18">
        <f t="shared" si="12"/>
        <v>0</v>
      </c>
      <c r="S12" s="18">
        <f t="shared" si="12"/>
        <v>0</v>
      </c>
      <c r="T12" s="18">
        <f t="shared" si="12"/>
        <v>0</v>
      </c>
      <c r="U12" s="18">
        <f t="shared" si="12"/>
        <v>0</v>
      </c>
      <c r="V12" s="18">
        <f t="shared" si="12"/>
        <v>0</v>
      </c>
      <c r="W12" s="18">
        <f t="shared" si="12"/>
        <v>201989.47</v>
      </c>
    </row>
    <row r="14" spans="1:23" ht="22.5" customHeight="1" x14ac:dyDescent="0.25">
      <c r="A14" s="30" t="s">
        <v>32</v>
      </c>
      <c r="B14" s="2236" t="s">
        <v>27</v>
      </c>
      <c r="C14" s="2236"/>
      <c r="D14" s="30" t="s">
        <v>33</v>
      </c>
      <c r="E14" s="30" t="s">
        <v>65</v>
      </c>
      <c r="F14" s="30" t="s">
        <v>34</v>
      </c>
      <c r="G14" s="30" t="s">
        <v>13</v>
      </c>
      <c r="H14" s="31" t="s">
        <v>45</v>
      </c>
      <c r="I14" s="30" t="s">
        <v>17</v>
      </c>
      <c r="J14" s="30" t="s">
        <v>66</v>
      </c>
      <c r="K14" s="30" t="s">
        <v>36</v>
      </c>
      <c r="L14" s="30" t="s">
        <v>37</v>
      </c>
      <c r="M14" s="30" t="s">
        <v>69</v>
      </c>
      <c r="N14" s="30" t="s">
        <v>70</v>
      </c>
      <c r="O14" s="15"/>
      <c r="P14" s="15"/>
      <c r="R14" s="2228" t="s">
        <v>46</v>
      </c>
      <c r="S14" s="24" t="s">
        <v>54</v>
      </c>
      <c r="T14" s="2231">
        <v>18790</v>
      </c>
      <c r="U14" s="2237"/>
      <c r="V14" s="2230"/>
    </row>
    <row r="15" spans="1:23" ht="22.5" customHeight="1" x14ac:dyDescent="0.25">
      <c r="A15" s="11" t="s">
        <v>38</v>
      </c>
      <c r="B15" s="2231">
        <v>228814</v>
      </c>
      <c r="C15" s="2230"/>
      <c r="D15" s="28">
        <v>0</v>
      </c>
      <c r="E15" s="28">
        <v>70</v>
      </c>
      <c r="F15" s="28">
        <v>810</v>
      </c>
      <c r="G15" s="28">
        <v>0</v>
      </c>
      <c r="H15" s="28">
        <v>0</v>
      </c>
      <c r="I15" s="28">
        <v>0</v>
      </c>
      <c r="J15" s="28">
        <v>106</v>
      </c>
      <c r="K15" s="28">
        <v>20</v>
      </c>
      <c r="L15" s="28">
        <v>1496</v>
      </c>
      <c r="M15" s="28">
        <v>120</v>
      </c>
      <c r="N15" s="28">
        <v>100</v>
      </c>
      <c r="O15" s="21"/>
      <c r="P15" s="21"/>
      <c r="R15" s="2228"/>
      <c r="S15" s="24" t="s">
        <v>64</v>
      </c>
      <c r="T15" s="2225">
        <v>10551</v>
      </c>
      <c r="U15" s="2225"/>
      <c r="V15" s="2225"/>
    </row>
    <row r="16" spans="1:23" ht="24.75" customHeight="1" x14ac:dyDescent="0.25">
      <c r="A16" s="11" t="s">
        <v>39</v>
      </c>
      <c r="B16" s="2231">
        <v>306468</v>
      </c>
      <c r="C16" s="2230"/>
      <c r="D16" s="28"/>
      <c r="E16" s="28"/>
      <c r="F16" s="28">
        <v>15000</v>
      </c>
      <c r="G16" s="28"/>
      <c r="H16" s="28"/>
      <c r="I16" s="28">
        <v>50</v>
      </c>
      <c r="J16" s="28"/>
      <c r="K16" s="28"/>
      <c r="L16" s="28"/>
      <c r="M16" s="28"/>
      <c r="N16" s="28"/>
      <c r="O16" s="21"/>
      <c r="P16" s="21"/>
      <c r="R16" s="2226" t="s">
        <v>55</v>
      </c>
      <c r="S16" s="2226"/>
      <c r="T16" s="2234">
        <f>W12</f>
        <v>201989.47</v>
      </c>
      <c r="U16" s="2234"/>
      <c r="V16" s="2225"/>
    </row>
    <row r="17" spans="1:23" ht="24.75" customHeight="1" x14ac:dyDescent="0.25">
      <c r="A17" s="11" t="s">
        <v>44</v>
      </c>
      <c r="B17" s="2231">
        <v>73611</v>
      </c>
      <c r="C17" s="2230"/>
      <c r="D17" s="28"/>
      <c r="E17" s="28"/>
      <c r="F17" s="28"/>
      <c r="G17" s="28"/>
      <c r="H17" s="28"/>
      <c r="I17" s="28"/>
      <c r="J17" s="28"/>
      <c r="K17" s="28"/>
      <c r="L17" s="28"/>
      <c r="M17" s="28"/>
      <c r="N17" s="28"/>
      <c r="O17" s="21"/>
      <c r="P17" s="21"/>
      <c r="R17" s="2226" t="s">
        <v>56</v>
      </c>
      <c r="S17" s="2226"/>
      <c r="T17" s="2225"/>
      <c r="U17" s="2225"/>
      <c r="V17" s="2225"/>
    </row>
    <row r="18" spans="1:23" ht="27" customHeight="1" x14ac:dyDescent="0.25">
      <c r="A18" s="11" t="s">
        <v>40</v>
      </c>
      <c r="B18" s="2229">
        <f>C12</f>
        <v>192892</v>
      </c>
      <c r="C18" s="2230"/>
      <c r="D18" s="29">
        <f>E12</f>
        <v>0</v>
      </c>
      <c r="E18" s="29">
        <f>G12</f>
        <v>10</v>
      </c>
      <c r="F18" s="29">
        <f>I12</f>
        <v>700</v>
      </c>
      <c r="G18" s="29">
        <f>K12</f>
        <v>0</v>
      </c>
      <c r="H18" s="28"/>
      <c r="I18" s="29">
        <f>S12</f>
        <v>0</v>
      </c>
      <c r="J18" s="28"/>
      <c r="K18" s="29">
        <f>U12</f>
        <v>0</v>
      </c>
      <c r="L18" s="28"/>
      <c r="M18" s="29">
        <f>M12</f>
        <v>120</v>
      </c>
      <c r="N18" s="29">
        <f>O12</f>
        <v>0</v>
      </c>
      <c r="O18" s="21"/>
      <c r="P18" s="21"/>
      <c r="R18" s="2226" t="s">
        <v>57</v>
      </c>
      <c r="S18" s="2226"/>
      <c r="T18" s="2225">
        <v>3570</v>
      </c>
      <c r="U18" s="2225"/>
      <c r="V18" s="2225"/>
      <c r="W18" s="14" t="s">
        <v>53</v>
      </c>
    </row>
    <row r="19" spans="1:23" ht="25.5" customHeight="1" x14ac:dyDescent="0.25">
      <c r="A19" s="11" t="s">
        <v>41</v>
      </c>
      <c r="B19" s="2231">
        <f>B15+B16+B17-B18</f>
        <v>416001</v>
      </c>
      <c r="C19" s="2230"/>
      <c r="D19" s="28">
        <f>D15+D16+D17-D18</f>
        <v>0</v>
      </c>
      <c r="E19" s="28">
        <f t="shared" ref="E19:N19" si="13">E15+E16+E17-E18</f>
        <v>60</v>
      </c>
      <c r="F19" s="28">
        <f t="shared" si="13"/>
        <v>15110</v>
      </c>
      <c r="G19" s="28">
        <f t="shared" si="13"/>
        <v>0</v>
      </c>
      <c r="H19" s="28">
        <f t="shared" si="13"/>
        <v>0</v>
      </c>
      <c r="I19" s="28">
        <f t="shared" si="13"/>
        <v>50</v>
      </c>
      <c r="J19" s="28">
        <f t="shared" si="13"/>
        <v>106</v>
      </c>
      <c r="K19" s="28">
        <f t="shared" si="13"/>
        <v>20</v>
      </c>
      <c r="L19" s="28">
        <f t="shared" si="13"/>
        <v>1496</v>
      </c>
      <c r="M19" s="28">
        <f t="shared" si="13"/>
        <v>0</v>
      </c>
      <c r="N19" s="28">
        <f t="shared" si="13"/>
        <v>100</v>
      </c>
      <c r="O19" s="21"/>
      <c r="P19" s="21"/>
      <c r="R19" s="2232" t="s">
        <v>48</v>
      </c>
      <c r="S19" s="16" t="s">
        <v>58</v>
      </c>
      <c r="T19" s="2225">
        <v>205300</v>
      </c>
      <c r="U19" s="2225"/>
      <c r="V19" s="2225"/>
    </row>
    <row r="20" spans="1:23" ht="23.25" customHeight="1" x14ac:dyDescent="0.25">
      <c r="A20" s="15"/>
      <c r="B20" s="10"/>
      <c r="C20" s="10"/>
      <c r="D20" s="10"/>
      <c r="E20" s="10"/>
      <c r="F20" s="10"/>
      <c r="G20" s="10"/>
      <c r="H20" s="10"/>
      <c r="I20" s="10"/>
      <c r="J20" s="10"/>
      <c r="K20" s="10"/>
      <c r="L20" s="10"/>
      <c r="M20" s="10"/>
      <c r="N20" s="10"/>
      <c r="O20" s="10"/>
      <c r="P20" s="10"/>
      <c r="R20" s="2233"/>
      <c r="S20" s="16" t="s">
        <v>59</v>
      </c>
      <c r="T20" s="2225"/>
      <c r="U20" s="2225"/>
      <c r="V20" s="2225"/>
    </row>
    <row r="21" spans="1:23" ht="23.25" customHeight="1" x14ac:dyDescent="0.25">
      <c r="A21" s="15"/>
      <c r="B21" s="10"/>
      <c r="C21" s="10"/>
      <c r="D21" s="10"/>
      <c r="E21" s="10"/>
      <c r="F21" s="10"/>
      <c r="G21" s="10"/>
      <c r="H21" s="10"/>
      <c r="I21" s="10"/>
      <c r="J21" s="10"/>
      <c r="K21" s="10"/>
      <c r="L21" s="10"/>
      <c r="M21" s="10"/>
      <c r="N21" s="10"/>
      <c r="O21" s="10"/>
      <c r="P21" s="10"/>
      <c r="R21" s="2226" t="s">
        <v>60</v>
      </c>
      <c r="S21" s="2226"/>
      <c r="T21" s="2225">
        <v>205300</v>
      </c>
      <c r="U21" s="2225"/>
      <c r="V21" s="2225"/>
    </row>
    <row r="22" spans="1:23" ht="20.25" customHeight="1" x14ac:dyDescent="0.25">
      <c r="A22" s="10"/>
      <c r="B22" s="2227" t="s">
        <v>49</v>
      </c>
      <c r="C22" s="2225">
        <v>573346</v>
      </c>
      <c r="D22" s="2225">
        <v>205300</v>
      </c>
      <c r="E22" s="2225">
        <v>580775</v>
      </c>
      <c r="F22" s="2225">
        <f>C22-D22+E22</f>
        <v>948821</v>
      </c>
      <c r="G22" s="10"/>
      <c r="H22" s="10"/>
      <c r="I22" s="10"/>
      <c r="J22" s="10"/>
      <c r="K22" s="10"/>
      <c r="L22" s="10"/>
      <c r="M22" s="10"/>
      <c r="N22" s="10"/>
      <c r="O22" s="10"/>
      <c r="P22" s="10"/>
      <c r="R22" s="2226" t="s">
        <v>61</v>
      </c>
      <c r="S22" s="2226"/>
      <c r="T22" s="2225">
        <v>205300</v>
      </c>
      <c r="U22" s="2225"/>
      <c r="V22" s="2225"/>
    </row>
    <row r="23" spans="1:23" ht="47.25" customHeight="1" x14ac:dyDescent="0.25">
      <c r="A23" s="10"/>
      <c r="B23" s="2227"/>
      <c r="C23" s="2225"/>
      <c r="D23" s="2225"/>
      <c r="E23" s="2225"/>
      <c r="F23" s="2225"/>
      <c r="G23" s="10"/>
      <c r="H23" s="10"/>
      <c r="I23" s="10"/>
      <c r="J23" s="10"/>
      <c r="K23" s="10"/>
      <c r="L23" s="10"/>
      <c r="M23" s="10"/>
      <c r="N23" s="10"/>
      <c r="O23" s="10"/>
      <c r="P23" s="10"/>
      <c r="R23" s="2228" t="s">
        <v>47</v>
      </c>
      <c r="S23" s="17" t="s">
        <v>62</v>
      </c>
      <c r="T23" s="2224">
        <f>T14+T16+T17-T18-T19-T20-T21+T22</f>
        <v>11909.470000000001</v>
      </c>
      <c r="U23" s="2224"/>
      <c r="V23" s="2224"/>
    </row>
    <row r="24" spans="1:23" ht="27" customHeight="1" x14ac:dyDescent="0.25">
      <c r="B24" s="2227"/>
      <c r="C24" s="24" t="s">
        <v>46</v>
      </c>
      <c r="D24" s="24" t="s">
        <v>50</v>
      </c>
      <c r="E24" s="24" t="s">
        <v>51</v>
      </c>
      <c r="F24" s="24" t="s">
        <v>52</v>
      </c>
      <c r="R24" s="2228"/>
      <c r="S24" s="17" t="s">
        <v>63</v>
      </c>
      <c r="T24" s="2225">
        <f>T15+T21-T22</f>
        <v>10551</v>
      </c>
      <c r="U24" s="2225"/>
      <c r="V24" s="2225"/>
    </row>
  </sheetData>
  <mergeCells count="47">
    <mergeCell ref="W4:W5"/>
    <mergeCell ref="A1:W1"/>
    <mergeCell ref="A2:W2"/>
    <mergeCell ref="R3:W3"/>
    <mergeCell ref="A4:A5"/>
    <mergeCell ref="B4:B5"/>
    <mergeCell ref="C4:D4"/>
    <mergeCell ref="E4:F4"/>
    <mergeCell ref="G4:H4"/>
    <mergeCell ref="I4:J4"/>
    <mergeCell ref="K4:L4"/>
    <mergeCell ref="M4:N4"/>
    <mergeCell ref="O4:P4"/>
    <mergeCell ref="Q4:R4"/>
    <mergeCell ref="S4:T4"/>
    <mergeCell ref="U4:V4"/>
    <mergeCell ref="A12:B12"/>
    <mergeCell ref="B14:C14"/>
    <mergeCell ref="R14:R15"/>
    <mergeCell ref="T14:V14"/>
    <mergeCell ref="B15:C15"/>
    <mergeCell ref="T15:V15"/>
    <mergeCell ref="B16:C16"/>
    <mergeCell ref="R16:S16"/>
    <mergeCell ref="T16:V16"/>
    <mergeCell ref="B17:C17"/>
    <mergeCell ref="R17:S17"/>
    <mergeCell ref="T17:V17"/>
    <mergeCell ref="B18:C18"/>
    <mergeCell ref="R18:S18"/>
    <mergeCell ref="T18:V18"/>
    <mergeCell ref="B19:C19"/>
    <mergeCell ref="R19:R20"/>
    <mergeCell ref="T19:V19"/>
    <mergeCell ref="T20:V20"/>
    <mergeCell ref="T23:V23"/>
    <mergeCell ref="T24:V24"/>
    <mergeCell ref="R21:S21"/>
    <mergeCell ref="T21:V21"/>
    <mergeCell ref="B22:B24"/>
    <mergeCell ref="C22:C23"/>
    <mergeCell ref="D22:D23"/>
    <mergeCell ref="E22:E23"/>
    <mergeCell ref="F22:F23"/>
    <mergeCell ref="R22:S22"/>
    <mergeCell ref="T22:V22"/>
    <mergeCell ref="R23:R24"/>
  </mergeCells>
  <pageMargins left="0.15748031496063" right="0.15748031496063" top="0" bottom="0" header="0" footer="0"/>
  <pageSetup paperSize="9" scale="65" orientation="landscape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sheetPr>
    <pageSetUpPr fitToPage="1"/>
  </sheetPr>
  <dimension ref="A1:W24"/>
  <sheetViews>
    <sheetView topLeftCell="B1" zoomScale="77" zoomScaleNormal="77" zoomScaleSheetLayoutView="100" workbookViewId="0">
      <selection activeCell="T18" sqref="T18:V18"/>
    </sheetView>
  </sheetViews>
  <sheetFormatPr defaultColWidth="9.140625" defaultRowHeight="15" x14ac:dyDescent="0.25"/>
  <cols>
    <col min="1" max="1" width="18.85546875" style="14" bestFit="1" customWidth="1"/>
    <col min="2" max="2" width="19.5703125" style="14" customWidth="1"/>
    <col min="3" max="3" width="10.42578125" style="14" customWidth="1"/>
    <col min="4" max="4" width="10" style="14" customWidth="1"/>
    <col min="5" max="6" width="11" style="14" bestFit="1" customWidth="1"/>
    <col min="7" max="7" width="9.28515625" style="14" bestFit="1" customWidth="1"/>
    <col min="8" max="8" width="10.140625" style="14" bestFit="1" customWidth="1"/>
    <col min="9" max="9" width="10.5703125" style="14" bestFit="1" customWidth="1"/>
    <col min="10" max="10" width="9.42578125" style="14" bestFit="1" customWidth="1"/>
    <col min="11" max="11" width="10.28515625" style="14" bestFit="1" customWidth="1"/>
    <col min="12" max="12" width="9.42578125" style="14" bestFit="1" customWidth="1"/>
    <col min="13" max="13" width="9.85546875" style="14" bestFit="1" customWidth="1"/>
    <col min="14" max="14" width="10.140625" style="14" bestFit="1" customWidth="1"/>
    <col min="15" max="15" width="10.28515625" style="14" bestFit="1" customWidth="1"/>
    <col min="16" max="17" width="9.42578125" style="14" bestFit="1" customWidth="1"/>
    <col min="18" max="18" width="10.140625" style="14" bestFit="1" customWidth="1"/>
    <col min="19" max="19" width="16.7109375" style="14" customWidth="1"/>
    <col min="20" max="20" width="7.85546875" style="14" bestFit="1" customWidth="1"/>
    <col min="21" max="21" width="7.42578125" style="14" customWidth="1"/>
    <col min="22" max="22" width="7.28515625" style="14" customWidth="1"/>
    <col min="23" max="23" width="12.85546875" style="14" customWidth="1"/>
    <col min="24" max="16384" width="9.140625" style="14"/>
  </cols>
  <sheetData>
    <row r="1" spans="1:23" ht="46.15" customHeight="1" x14ac:dyDescent="0.25">
      <c r="A1" s="2240" t="s">
        <v>76</v>
      </c>
      <c r="B1" s="2240"/>
      <c r="C1" s="2240"/>
      <c r="D1" s="2240"/>
      <c r="E1" s="2240"/>
      <c r="F1" s="2240"/>
      <c r="G1" s="2240"/>
      <c r="H1" s="2240"/>
      <c r="I1" s="2240"/>
      <c r="J1" s="2240"/>
      <c r="K1" s="2240"/>
      <c r="L1" s="2240"/>
      <c r="M1" s="2240"/>
      <c r="N1" s="2240"/>
      <c r="O1" s="2240"/>
      <c r="P1" s="2240"/>
      <c r="Q1" s="2240"/>
      <c r="R1" s="2240"/>
      <c r="S1" s="2240"/>
      <c r="T1" s="2240"/>
      <c r="U1" s="2240"/>
      <c r="V1" s="2240"/>
      <c r="W1" s="2240"/>
    </row>
    <row r="2" spans="1:23" ht="21.6" customHeight="1" x14ac:dyDescent="0.25">
      <c r="A2" s="2241" t="s">
        <v>77</v>
      </c>
      <c r="B2" s="2241"/>
      <c r="C2" s="2241"/>
      <c r="D2" s="2241"/>
      <c r="E2" s="2241"/>
      <c r="F2" s="2241"/>
      <c r="G2" s="2241"/>
      <c r="H2" s="2241"/>
      <c r="I2" s="2241"/>
      <c r="J2" s="2241"/>
      <c r="K2" s="2241"/>
      <c r="L2" s="2241"/>
      <c r="M2" s="2241"/>
      <c r="N2" s="2241"/>
      <c r="O2" s="2241"/>
      <c r="P2" s="2241"/>
      <c r="Q2" s="2241"/>
      <c r="R2" s="2241"/>
      <c r="S2" s="2241"/>
      <c r="T2" s="2241"/>
      <c r="U2" s="2241"/>
      <c r="V2" s="2241"/>
      <c r="W2" s="2241"/>
    </row>
    <row r="3" spans="1:23" ht="21" customHeight="1" x14ac:dyDescent="0.25">
      <c r="A3" s="34"/>
      <c r="B3" s="34"/>
      <c r="C3" s="34"/>
      <c r="D3" s="34"/>
      <c r="E3" s="34"/>
      <c r="F3" s="34"/>
      <c r="G3" s="34"/>
      <c r="H3" s="34"/>
      <c r="I3" s="34"/>
      <c r="J3" s="34"/>
      <c r="K3" s="34"/>
      <c r="L3" s="34"/>
      <c r="M3" s="34"/>
      <c r="N3" s="34"/>
      <c r="O3" s="34"/>
      <c r="P3" s="34"/>
      <c r="Q3" s="34"/>
      <c r="R3" s="2242" t="s">
        <v>79</v>
      </c>
      <c r="S3" s="2242"/>
      <c r="T3" s="2242"/>
      <c r="U3" s="2242"/>
      <c r="V3" s="2242"/>
      <c r="W3" s="2242"/>
    </row>
    <row r="4" spans="1:23" s="34" customFormat="1" ht="18" customHeight="1" x14ac:dyDescent="0.25">
      <c r="A4" s="2243" t="s">
        <v>25</v>
      </c>
      <c r="B4" s="2243" t="s">
        <v>26</v>
      </c>
      <c r="C4" s="2244" t="s">
        <v>27</v>
      </c>
      <c r="D4" s="2244"/>
      <c r="E4" s="2244" t="s">
        <v>28</v>
      </c>
      <c r="F4" s="2244"/>
      <c r="G4" s="2244" t="s">
        <v>65</v>
      </c>
      <c r="H4" s="2244"/>
      <c r="I4" s="2244" t="s">
        <v>29</v>
      </c>
      <c r="J4" s="2244"/>
      <c r="K4" s="2245" t="s">
        <v>13</v>
      </c>
      <c r="L4" s="2246"/>
      <c r="M4" s="2245" t="s">
        <v>67</v>
      </c>
      <c r="N4" s="2246"/>
      <c r="O4" s="2245" t="s">
        <v>68</v>
      </c>
      <c r="P4" s="2246"/>
      <c r="Q4" s="2244" t="s">
        <v>35</v>
      </c>
      <c r="R4" s="2244"/>
      <c r="S4" s="2245" t="s">
        <v>17</v>
      </c>
      <c r="T4" s="2246"/>
      <c r="U4" s="2247" t="s">
        <v>36</v>
      </c>
      <c r="V4" s="2248"/>
      <c r="W4" s="2238" t="s">
        <v>30</v>
      </c>
    </row>
    <row r="5" spans="1:23" s="34" customFormat="1" ht="25.5" customHeight="1" x14ac:dyDescent="0.25">
      <c r="A5" s="2243"/>
      <c r="B5" s="2243"/>
      <c r="C5" s="36" t="s">
        <v>42</v>
      </c>
      <c r="D5" s="36" t="s">
        <v>43</v>
      </c>
      <c r="E5" s="36" t="s">
        <v>42</v>
      </c>
      <c r="F5" s="36" t="s">
        <v>43</v>
      </c>
      <c r="G5" s="36" t="s">
        <v>42</v>
      </c>
      <c r="H5" s="36" t="s">
        <v>43</v>
      </c>
      <c r="I5" s="36" t="s">
        <v>42</v>
      </c>
      <c r="J5" s="36" t="s">
        <v>43</v>
      </c>
      <c r="K5" s="36" t="s">
        <v>42</v>
      </c>
      <c r="L5" s="36" t="s">
        <v>43</v>
      </c>
      <c r="M5" s="36" t="s">
        <v>42</v>
      </c>
      <c r="N5" s="36" t="s">
        <v>43</v>
      </c>
      <c r="O5" s="36" t="s">
        <v>42</v>
      </c>
      <c r="P5" s="36" t="s">
        <v>43</v>
      </c>
      <c r="Q5" s="33" t="s">
        <v>42</v>
      </c>
      <c r="R5" s="33" t="s">
        <v>43</v>
      </c>
      <c r="S5" s="30" t="s">
        <v>42</v>
      </c>
      <c r="T5" s="30" t="s">
        <v>43</v>
      </c>
      <c r="U5" s="30" t="s">
        <v>42</v>
      </c>
      <c r="V5" s="30" t="s">
        <v>43</v>
      </c>
      <c r="W5" s="2239"/>
    </row>
    <row r="6" spans="1:23" ht="34.5" customHeight="1" x14ac:dyDescent="0.25">
      <c r="A6" s="12">
        <v>1409935200</v>
      </c>
      <c r="B6" s="35" t="s">
        <v>71</v>
      </c>
      <c r="C6" s="38">
        <v>25666</v>
      </c>
      <c r="D6" s="40">
        <f>0.9725*C6</f>
        <v>24960.185000000001</v>
      </c>
      <c r="E6" s="38"/>
      <c r="F6" s="38">
        <f>13.7*E6</f>
        <v>0</v>
      </c>
      <c r="G6" s="38"/>
      <c r="H6" s="38">
        <f>28.2*G6</f>
        <v>0</v>
      </c>
      <c r="I6" s="38">
        <v>1170</v>
      </c>
      <c r="J6" s="38">
        <f>18.5*I6</f>
        <v>21645</v>
      </c>
      <c r="K6" s="38"/>
      <c r="L6" s="38">
        <f>19.5*K6</f>
        <v>0</v>
      </c>
      <c r="M6" s="38"/>
      <c r="N6" s="40">
        <f>M6*9.75</f>
        <v>0</v>
      </c>
      <c r="O6" s="38"/>
      <c r="P6" s="40">
        <f>O6*48.62</f>
        <v>0</v>
      </c>
      <c r="Q6" s="38"/>
      <c r="R6" s="38">
        <f>241*Q6</f>
        <v>0</v>
      </c>
      <c r="S6" s="38"/>
      <c r="T6" s="38">
        <f>232*S6</f>
        <v>0</v>
      </c>
      <c r="U6" s="38"/>
      <c r="V6" s="19">
        <f>U6*100</f>
        <v>0</v>
      </c>
      <c r="W6" s="20">
        <f t="shared" ref="W6:W9" si="0">D6+F6+H6+J6+L6+N6+P6+R6+T6+V6</f>
        <v>46605.184999999998</v>
      </c>
    </row>
    <row r="7" spans="1:23" ht="31.5" customHeight="1" x14ac:dyDescent="0.25">
      <c r="A7" s="12">
        <v>1984225578</v>
      </c>
      <c r="B7" s="35" t="s">
        <v>72</v>
      </c>
      <c r="C7" s="38">
        <v>21433</v>
      </c>
      <c r="D7" s="40">
        <f t="shared" ref="D7:D11" si="1">0.9725*C7</f>
        <v>20843.592500000002</v>
      </c>
      <c r="E7" s="38"/>
      <c r="F7" s="38">
        <f t="shared" ref="F7:F11" si="2">13.7*E7</f>
        <v>0</v>
      </c>
      <c r="G7" s="38"/>
      <c r="H7" s="38">
        <f t="shared" ref="H7:H11" si="3">28.2*G7</f>
        <v>0</v>
      </c>
      <c r="I7" s="38">
        <v>630</v>
      </c>
      <c r="J7" s="38">
        <f t="shared" ref="J7:J11" si="4">18.5*I7</f>
        <v>11655</v>
      </c>
      <c r="K7" s="38"/>
      <c r="L7" s="38">
        <f t="shared" ref="L7:L11" si="5">19.5*K7</f>
        <v>0</v>
      </c>
      <c r="M7" s="38"/>
      <c r="N7" s="40">
        <f t="shared" ref="N7:N11" si="6">M7*9.75</f>
        <v>0</v>
      </c>
      <c r="O7" s="38"/>
      <c r="P7" s="40">
        <f t="shared" ref="P7:P11" si="7">O7*48.62</f>
        <v>0</v>
      </c>
      <c r="Q7" s="38"/>
      <c r="R7" s="38">
        <f t="shared" ref="R7:R11" si="8">241*Q7</f>
        <v>0</v>
      </c>
      <c r="S7" s="38">
        <v>27</v>
      </c>
      <c r="T7" s="38">
        <f t="shared" ref="T7:T11" si="9">232*S7</f>
        <v>6264</v>
      </c>
      <c r="U7" s="38"/>
      <c r="V7" s="19">
        <f t="shared" ref="V7:V11" si="10">U7*100</f>
        <v>0</v>
      </c>
      <c r="W7" s="20">
        <f t="shared" si="0"/>
        <v>38762.592499999999</v>
      </c>
    </row>
    <row r="8" spans="1:23" ht="35.25" customHeight="1" x14ac:dyDescent="0.25">
      <c r="A8" s="12">
        <v>1967020280</v>
      </c>
      <c r="B8" s="35" t="s">
        <v>73</v>
      </c>
      <c r="C8" s="38">
        <v>14596</v>
      </c>
      <c r="D8" s="40">
        <f t="shared" si="1"/>
        <v>14194.61</v>
      </c>
      <c r="E8" s="38"/>
      <c r="F8" s="38">
        <f t="shared" si="2"/>
        <v>0</v>
      </c>
      <c r="G8" s="38"/>
      <c r="H8" s="38">
        <f t="shared" si="3"/>
        <v>0</v>
      </c>
      <c r="I8" s="38">
        <v>3130</v>
      </c>
      <c r="J8" s="38">
        <f t="shared" si="4"/>
        <v>57905</v>
      </c>
      <c r="K8" s="38"/>
      <c r="L8" s="38">
        <f t="shared" si="5"/>
        <v>0</v>
      </c>
      <c r="M8" s="38"/>
      <c r="N8" s="40">
        <f t="shared" si="6"/>
        <v>0</v>
      </c>
      <c r="O8" s="38"/>
      <c r="P8" s="40">
        <f t="shared" si="7"/>
        <v>0</v>
      </c>
      <c r="Q8" s="38"/>
      <c r="R8" s="38">
        <f t="shared" si="8"/>
        <v>0</v>
      </c>
      <c r="S8" s="38">
        <v>15</v>
      </c>
      <c r="T8" s="38">
        <f t="shared" si="9"/>
        <v>3480</v>
      </c>
      <c r="U8" s="38"/>
      <c r="V8" s="19">
        <f t="shared" si="10"/>
        <v>0</v>
      </c>
      <c r="W8" s="20">
        <f t="shared" si="0"/>
        <v>75579.61</v>
      </c>
    </row>
    <row r="9" spans="1:23" ht="38.25" customHeight="1" x14ac:dyDescent="0.25">
      <c r="A9" s="12">
        <v>1409935199</v>
      </c>
      <c r="B9" s="35" t="s">
        <v>74</v>
      </c>
      <c r="C9" s="38">
        <v>9036</v>
      </c>
      <c r="D9" s="40">
        <f t="shared" si="1"/>
        <v>8787.51</v>
      </c>
      <c r="E9" s="38"/>
      <c r="F9" s="38">
        <f t="shared" si="2"/>
        <v>0</v>
      </c>
      <c r="G9" s="38"/>
      <c r="H9" s="38">
        <f t="shared" si="3"/>
        <v>0</v>
      </c>
      <c r="I9" s="38">
        <v>1230</v>
      </c>
      <c r="J9" s="38">
        <f t="shared" si="4"/>
        <v>22755</v>
      </c>
      <c r="K9" s="38"/>
      <c r="L9" s="38">
        <f t="shared" si="5"/>
        <v>0</v>
      </c>
      <c r="M9" s="38"/>
      <c r="N9" s="40">
        <f t="shared" si="6"/>
        <v>0</v>
      </c>
      <c r="O9" s="38"/>
      <c r="P9" s="40">
        <f t="shared" si="7"/>
        <v>0</v>
      </c>
      <c r="Q9" s="38"/>
      <c r="R9" s="38">
        <f t="shared" si="8"/>
        <v>0</v>
      </c>
      <c r="S9" s="38"/>
      <c r="T9" s="38">
        <f t="shared" si="9"/>
        <v>0</v>
      </c>
      <c r="U9" s="38"/>
      <c r="V9" s="19">
        <f t="shared" si="10"/>
        <v>0</v>
      </c>
      <c r="W9" s="20">
        <f t="shared" si="0"/>
        <v>31542.510000000002</v>
      </c>
    </row>
    <row r="10" spans="1:23" ht="35.25" customHeight="1" x14ac:dyDescent="0.25">
      <c r="A10" s="12">
        <v>1984225580</v>
      </c>
      <c r="B10" s="35" t="s">
        <v>75</v>
      </c>
      <c r="C10" s="38">
        <v>19175</v>
      </c>
      <c r="D10" s="40">
        <f t="shared" si="1"/>
        <v>18647.6875</v>
      </c>
      <c r="E10" s="38"/>
      <c r="F10" s="38">
        <f t="shared" si="2"/>
        <v>0</v>
      </c>
      <c r="G10" s="38"/>
      <c r="H10" s="38">
        <f t="shared" si="3"/>
        <v>0</v>
      </c>
      <c r="I10" s="38">
        <v>2500</v>
      </c>
      <c r="J10" s="38">
        <f t="shared" si="4"/>
        <v>46250</v>
      </c>
      <c r="K10" s="38"/>
      <c r="L10" s="38">
        <f t="shared" si="5"/>
        <v>0</v>
      </c>
      <c r="M10" s="38"/>
      <c r="N10" s="40">
        <f t="shared" si="6"/>
        <v>0</v>
      </c>
      <c r="O10" s="38"/>
      <c r="P10" s="40">
        <f t="shared" si="7"/>
        <v>0</v>
      </c>
      <c r="Q10" s="38"/>
      <c r="R10" s="38">
        <f t="shared" si="8"/>
        <v>0</v>
      </c>
      <c r="S10" s="38"/>
      <c r="T10" s="38">
        <f t="shared" si="9"/>
        <v>0</v>
      </c>
      <c r="U10" s="38"/>
      <c r="V10" s="19">
        <f t="shared" si="10"/>
        <v>0</v>
      </c>
      <c r="W10" s="20">
        <f>D10+F10+H10+J10+L10+N10+P10+R10+T10+V10</f>
        <v>64897.6875</v>
      </c>
    </row>
    <row r="11" spans="1:23" ht="37.5" customHeight="1" x14ac:dyDescent="0.25">
      <c r="A11" s="12"/>
      <c r="B11" s="37"/>
      <c r="C11" s="38"/>
      <c r="D11" s="22">
        <f t="shared" si="1"/>
        <v>0</v>
      </c>
      <c r="E11" s="38"/>
      <c r="F11" s="38">
        <f t="shared" si="2"/>
        <v>0</v>
      </c>
      <c r="G11" s="38"/>
      <c r="H11" s="38">
        <f t="shared" si="3"/>
        <v>0</v>
      </c>
      <c r="I11" s="38"/>
      <c r="J11" s="38">
        <f t="shared" si="4"/>
        <v>0</v>
      </c>
      <c r="K11" s="38"/>
      <c r="L11" s="38">
        <f t="shared" si="5"/>
        <v>0</v>
      </c>
      <c r="M11" s="38"/>
      <c r="N11" s="40">
        <f t="shared" si="6"/>
        <v>0</v>
      </c>
      <c r="O11" s="38"/>
      <c r="P11" s="40">
        <f t="shared" si="7"/>
        <v>0</v>
      </c>
      <c r="Q11" s="38"/>
      <c r="R11" s="38">
        <f t="shared" si="8"/>
        <v>0</v>
      </c>
      <c r="S11" s="38"/>
      <c r="T11" s="38">
        <f t="shared" si="9"/>
        <v>0</v>
      </c>
      <c r="U11" s="38"/>
      <c r="V11" s="19">
        <f t="shared" si="10"/>
        <v>0</v>
      </c>
      <c r="W11" s="20">
        <f t="shared" ref="W11" si="11">D11+F11+H11+J11+L11+N11+P11+R11+T11+V11</f>
        <v>0</v>
      </c>
    </row>
    <row r="12" spans="1:23" ht="29.25" customHeight="1" x14ac:dyDescent="0.25">
      <c r="A12" s="2235" t="s">
        <v>31</v>
      </c>
      <c r="B12" s="2235"/>
      <c r="C12" s="18">
        <f t="shared" ref="C12:W12" si="12">SUM(C6:C11)</f>
        <v>89906</v>
      </c>
      <c r="D12" s="18">
        <f t="shared" si="12"/>
        <v>87433.585000000006</v>
      </c>
      <c r="E12" s="18">
        <f t="shared" si="12"/>
        <v>0</v>
      </c>
      <c r="F12" s="18">
        <f t="shared" si="12"/>
        <v>0</v>
      </c>
      <c r="G12" s="18">
        <f t="shared" si="12"/>
        <v>0</v>
      </c>
      <c r="H12" s="18">
        <f t="shared" si="12"/>
        <v>0</v>
      </c>
      <c r="I12" s="18">
        <f t="shared" si="12"/>
        <v>8660</v>
      </c>
      <c r="J12" s="18">
        <f t="shared" si="12"/>
        <v>160210</v>
      </c>
      <c r="K12" s="18">
        <f t="shared" si="12"/>
        <v>0</v>
      </c>
      <c r="L12" s="18">
        <f t="shared" si="12"/>
        <v>0</v>
      </c>
      <c r="M12" s="18">
        <f t="shared" si="12"/>
        <v>0</v>
      </c>
      <c r="N12" s="23">
        <f t="shared" si="12"/>
        <v>0</v>
      </c>
      <c r="O12" s="18">
        <f t="shared" si="12"/>
        <v>0</v>
      </c>
      <c r="P12" s="23">
        <f t="shared" si="12"/>
        <v>0</v>
      </c>
      <c r="Q12" s="18">
        <f t="shared" si="12"/>
        <v>0</v>
      </c>
      <c r="R12" s="18">
        <f t="shared" si="12"/>
        <v>0</v>
      </c>
      <c r="S12" s="18">
        <f t="shared" si="12"/>
        <v>42</v>
      </c>
      <c r="T12" s="18">
        <f t="shared" si="12"/>
        <v>9744</v>
      </c>
      <c r="U12" s="18">
        <f t="shared" si="12"/>
        <v>0</v>
      </c>
      <c r="V12" s="18">
        <f t="shared" si="12"/>
        <v>0</v>
      </c>
      <c r="W12" s="18">
        <f t="shared" si="12"/>
        <v>257387.58500000002</v>
      </c>
    </row>
    <row r="14" spans="1:23" ht="22.5" customHeight="1" x14ac:dyDescent="0.25">
      <c r="A14" s="30" t="s">
        <v>32</v>
      </c>
      <c r="B14" s="2236" t="s">
        <v>27</v>
      </c>
      <c r="C14" s="2236"/>
      <c r="D14" s="30" t="s">
        <v>33</v>
      </c>
      <c r="E14" s="30" t="s">
        <v>65</v>
      </c>
      <c r="F14" s="30" t="s">
        <v>34</v>
      </c>
      <c r="G14" s="30" t="s">
        <v>13</v>
      </c>
      <c r="H14" s="31" t="s">
        <v>45</v>
      </c>
      <c r="I14" s="30" t="s">
        <v>17</v>
      </c>
      <c r="J14" s="30" t="s">
        <v>66</v>
      </c>
      <c r="K14" s="30" t="s">
        <v>36</v>
      </c>
      <c r="L14" s="30" t="s">
        <v>37</v>
      </c>
      <c r="M14" s="30" t="s">
        <v>69</v>
      </c>
      <c r="N14" s="30" t="s">
        <v>70</v>
      </c>
      <c r="O14" s="15"/>
      <c r="P14" s="15"/>
      <c r="R14" s="2228" t="s">
        <v>46</v>
      </c>
      <c r="S14" s="37" t="s">
        <v>54</v>
      </c>
      <c r="T14" s="2231">
        <v>11909</v>
      </c>
      <c r="U14" s="2237"/>
      <c r="V14" s="2230"/>
    </row>
    <row r="15" spans="1:23" ht="22.5" customHeight="1" x14ac:dyDescent="0.25">
      <c r="A15" s="11" t="s">
        <v>38</v>
      </c>
      <c r="B15" s="2231">
        <v>416001</v>
      </c>
      <c r="C15" s="2230"/>
      <c r="D15" s="38">
        <v>0</v>
      </c>
      <c r="E15" s="38">
        <v>60</v>
      </c>
      <c r="F15" s="38">
        <v>15110</v>
      </c>
      <c r="G15" s="38">
        <v>0</v>
      </c>
      <c r="H15" s="38">
        <v>0</v>
      </c>
      <c r="I15" s="38">
        <v>50</v>
      </c>
      <c r="J15" s="38">
        <v>106</v>
      </c>
      <c r="K15" s="38">
        <v>20</v>
      </c>
      <c r="L15" s="38">
        <v>1496</v>
      </c>
      <c r="M15" s="38">
        <v>0</v>
      </c>
      <c r="N15" s="38">
        <v>100</v>
      </c>
      <c r="O15" s="21"/>
      <c r="P15" s="21"/>
      <c r="R15" s="2228"/>
      <c r="S15" s="37" t="s">
        <v>64</v>
      </c>
      <c r="T15" s="2225">
        <v>10551</v>
      </c>
      <c r="U15" s="2225"/>
      <c r="V15" s="2225"/>
    </row>
    <row r="16" spans="1:23" ht="24.75" customHeight="1" x14ac:dyDescent="0.25">
      <c r="A16" s="11" t="s">
        <v>39</v>
      </c>
      <c r="B16" s="2231"/>
      <c r="C16" s="2230"/>
      <c r="D16" s="38"/>
      <c r="E16" s="38"/>
      <c r="F16" s="38"/>
      <c r="G16" s="38"/>
      <c r="H16" s="38"/>
      <c r="I16" s="38"/>
      <c r="J16" s="38"/>
      <c r="K16" s="38"/>
      <c r="L16" s="38"/>
      <c r="M16" s="38"/>
      <c r="N16" s="38"/>
      <c r="O16" s="21"/>
      <c r="P16" s="21"/>
      <c r="R16" s="2226" t="s">
        <v>55</v>
      </c>
      <c r="S16" s="2226"/>
      <c r="T16" s="2234">
        <f>W12</f>
        <v>257387.58500000002</v>
      </c>
      <c r="U16" s="2234"/>
      <c r="V16" s="2225"/>
    </row>
    <row r="17" spans="1:23" ht="24.75" customHeight="1" x14ac:dyDescent="0.25">
      <c r="A17" s="11" t="s">
        <v>44</v>
      </c>
      <c r="B17" s="2231"/>
      <c r="C17" s="2230"/>
      <c r="D17" s="38"/>
      <c r="E17" s="38"/>
      <c r="F17" s="38"/>
      <c r="G17" s="38"/>
      <c r="H17" s="38"/>
      <c r="I17" s="38"/>
      <c r="J17" s="38"/>
      <c r="K17" s="38"/>
      <c r="L17" s="38"/>
      <c r="M17" s="38"/>
      <c r="N17" s="38"/>
      <c r="O17" s="21"/>
      <c r="P17" s="21"/>
      <c r="R17" s="2226" t="s">
        <v>56</v>
      </c>
      <c r="S17" s="2226"/>
      <c r="T17" s="2225"/>
      <c r="U17" s="2225"/>
      <c r="V17" s="2225"/>
    </row>
    <row r="18" spans="1:23" ht="27" customHeight="1" x14ac:dyDescent="0.25">
      <c r="A18" s="11" t="s">
        <v>40</v>
      </c>
      <c r="B18" s="2229">
        <f>C12</f>
        <v>89906</v>
      </c>
      <c r="C18" s="2230"/>
      <c r="D18" s="39">
        <f>E12</f>
        <v>0</v>
      </c>
      <c r="E18" s="39">
        <f>G12</f>
        <v>0</v>
      </c>
      <c r="F18" s="39">
        <f>I12</f>
        <v>8660</v>
      </c>
      <c r="G18" s="39">
        <f>K12</f>
        <v>0</v>
      </c>
      <c r="H18" s="38"/>
      <c r="I18" s="39">
        <f>S12</f>
        <v>42</v>
      </c>
      <c r="J18" s="38"/>
      <c r="K18" s="39">
        <f>U12</f>
        <v>0</v>
      </c>
      <c r="L18" s="38"/>
      <c r="M18" s="39">
        <f>M12</f>
        <v>0</v>
      </c>
      <c r="N18" s="39">
        <f>O12</f>
        <v>0</v>
      </c>
      <c r="O18" s="21"/>
      <c r="P18" s="21"/>
      <c r="R18" s="2226" t="s">
        <v>57</v>
      </c>
      <c r="S18" s="2226"/>
      <c r="T18" s="2225">
        <v>530</v>
      </c>
      <c r="U18" s="2225"/>
      <c r="V18" s="2225"/>
      <c r="W18" s="2253" t="s">
        <v>81</v>
      </c>
    </row>
    <row r="19" spans="1:23" ht="25.5" customHeight="1" x14ac:dyDescent="0.25">
      <c r="A19" s="11" t="s">
        <v>41</v>
      </c>
      <c r="B19" s="2231">
        <f>B15+B16+B17-B18</f>
        <v>326095</v>
      </c>
      <c r="C19" s="2230"/>
      <c r="D19" s="38">
        <f>D15+D16+D17-D18</f>
        <v>0</v>
      </c>
      <c r="E19" s="38">
        <f t="shared" ref="E19:N19" si="13">E15+E16+E17-E18</f>
        <v>60</v>
      </c>
      <c r="F19" s="38">
        <f t="shared" si="13"/>
        <v>6450</v>
      </c>
      <c r="G19" s="38">
        <f t="shared" si="13"/>
        <v>0</v>
      </c>
      <c r="H19" s="38">
        <f t="shared" si="13"/>
        <v>0</v>
      </c>
      <c r="I19" s="38">
        <f t="shared" si="13"/>
        <v>8</v>
      </c>
      <c r="J19" s="38">
        <f t="shared" si="13"/>
        <v>106</v>
      </c>
      <c r="K19" s="38">
        <f t="shared" si="13"/>
        <v>20</v>
      </c>
      <c r="L19" s="38">
        <f t="shared" si="13"/>
        <v>1496</v>
      </c>
      <c r="M19" s="38">
        <f t="shared" si="13"/>
        <v>0</v>
      </c>
      <c r="N19" s="38">
        <f t="shared" si="13"/>
        <v>100</v>
      </c>
      <c r="O19" s="21"/>
      <c r="P19" s="21"/>
      <c r="R19" s="2232" t="s">
        <v>48</v>
      </c>
      <c r="S19" s="16" t="s">
        <v>58</v>
      </c>
      <c r="T19" s="2225"/>
      <c r="U19" s="2225"/>
      <c r="V19" s="2225"/>
      <c r="W19" s="2253"/>
    </row>
    <row r="20" spans="1:23" ht="23.25" customHeight="1" x14ac:dyDescent="0.25">
      <c r="A20" s="15"/>
      <c r="B20" s="10"/>
      <c r="C20" s="10"/>
      <c r="D20" s="10"/>
      <c r="E20" s="10"/>
      <c r="F20" s="10"/>
      <c r="G20" s="10"/>
      <c r="H20" s="10"/>
      <c r="I20" s="10"/>
      <c r="J20" s="10"/>
      <c r="K20" s="10"/>
      <c r="L20" s="10"/>
      <c r="M20" s="10"/>
      <c r="N20" s="10"/>
      <c r="O20" s="10"/>
      <c r="P20" s="10"/>
      <c r="R20" s="2233"/>
      <c r="S20" s="16" t="s">
        <v>59</v>
      </c>
      <c r="T20" s="2225"/>
      <c r="U20" s="2225"/>
      <c r="V20" s="2225"/>
      <c r="W20" s="2253"/>
    </row>
    <row r="21" spans="1:23" ht="33.75" customHeight="1" x14ac:dyDescent="0.25">
      <c r="A21" s="15"/>
      <c r="B21" s="10"/>
      <c r="C21" s="10"/>
      <c r="D21" s="10"/>
      <c r="E21" s="10"/>
      <c r="F21" s="10"/>
      <c r="G21" s="10"/>
      <c r="H21" s="10"/>
      <c r="I21" s="10"/>
      <c r="J21" s="10"/>
      <c r="K21" s="10"/>
      <c r="L21" s="10"/>
      <c r="M21" s="10"/>
      <c r="N21" s="10"/>
      <c r="O21" s="10"/>
      <c r="P21" s="10"/>
      <c r="R21" s="2251" t="s">
        <v>80</v>
      </c>
      <c r="S21" s="48" t="s">
        <v>60</v>
      </c>
      <c r="T21" s="2225"/>
      <c r="U21" s="2225"/>
      <c r="V21" s="2225"/>
      <c r="W21" s="2253"/>
    </row>
    <row r="22" spans="1:23" ht="29.25" customHeight="1" x14ac:dyDescent="0.25">
      <c r="A22" s="10"/>
      <c r="B22" s="2227" t="s">
        <v>49</v>
      </c>
      <c r="C22" s="2249">
        <v>948821</v>
      </c>
      <c r="D22" s="2225"/>
      <c r="E22" s="2225"/>
      <c r="F22" s="2225">
        <f>C22-D22+E22</f>
        <v>948821</v>
      </c>
      <c r="G22" s="10"/>
      <c r="H22" s="10"/>
      <c r="I22" s="10"/>
      <c r="J22" s="10"/>
      <c r="K22" s="10"/>
      <c r="L22" s="10"/>
      <c r="M22" s="10"/>
      <c r="N22" s="10"/>
      <c r="O22" s="10"/>
      <c r="P22" s="10"/>
      <c r="R22" s="2252"/>
      <c r="S22" s="48" t="s">
        <v>61</v>
      </c>
      <c r="T22" s="2225"/>
      <c r="U22" s="2225"/>
      <c r="V22" s="2225"/>
      <c r="W22" s="2253"/>
    </row>
    <row r="23" spans="1:23" ht="47.25" customHeight="1" x14ac:dyDescent="0.25">
      <c r="A23" s="10"/>
      <c r="B23" s="2227"/>
      <c r="C23" s="2250"/>
      <c r="D23" s="2225"/>
      <c r="E23" s="2225"/>
      <c r="F23" s="2225"/>
      <c r="G23" s="10"/>
      <c r="H23" s="10"/>
      <c r="I23" s="10"/>
      <c r="J23" s="10"/>
      <c r="K23" s="10"/>
      <c r="L23" s="10"/>
      <c r="M23" s="10"/>
      <c r="N23" s="10"/>
      <c r="O23" s="10"/>
      <c r="P23" s="10"/>
      <c r="R23" s="2228" t="s">
        <v>47</v>
      </c>
      <c r="S23" s="17" t="s">
        <v>62</v>
      </c>
      <c r="T23" s="2224">
        <f>T14+T16+T17-T18-T19-T20-T21+T22</f>
        <v>268766.58500000002</v>
      </c>
      <c r="U23" s="2224"/>
      <c r="V23" s="2224"/>
      <c r="W23" s="2253"/>
    </row>
    <row r="24" spans="1:23" ht="27" customHeight="1" x14ac:dyDescent="0.25">
      <c r="B24" s="2227"/>
      <c r="C24" s="37" t="s">
        <v>46</v>
      </c>
      <c r="D24" s="37" t="s">
        <v>50</v>
      </c>
      <c r="E24" s="37" t="s">
        <v>51</v>
      </c>
      <c r="F24" s="37" t="s">
        <v>52</v>
      </c>
      <c r="R24" s="2228"/>
      <c r="S24" s="17" t="s">
        <v>63</v>
      </c>
      <c r="T24" s="2225">
        <f>T15+T21-T22</f>
        <v>10551</v>
      </c>
      <c r="U24" s="2225"/>
      <c r="V24" s="2225"/>
    </row>
  </sheetData>
  <mergeCells count="47">
    <mergeCell ref="T23:V23"/>
    <mergeCell ref="T24:V24"/>
    <mergeCell ref="R21:R22"/>
    <mergeCell ref="W18:W23"/>
    <mergeCell ref="T21:V21"/>
    <mergeCell ref="T22:V22"/>
    <mergeCell ref="R23:R24"/>
    <mergeCell ref="B22:B24"/>
    <mergeCell ref="C22:C23"/>
    <mergeCell ref="D22:D23"/>
    <mergeCell ref="E22:E23"/>
    <mergeCell ref="F22:F23"/>
    <mergeCell ref="B18:C18"/>
    <mergeCell ref="R18:S18"/>
    <mergeCell ref="T18:V18"/>
    <mergeCell ref="B19:C19"/>
    <mergeCell ref="R19:R20"/>
    <mergeCell ref="T19:V19"/>
    <mergeCell ref="T20:V20"/>
    <mergeCell ref="B16:C16"/>
    <mergeCell ref="R16:S16"/>
    <mergeCell ref="T16:V16"/>
    <mergeCell ref="B17:C17"/>
    <mergeCell ref="R17:S17"/>
    <mergeCell ref="T17:V17"/>
    <mergeCell ref="A12:B12"/>
    <mergeCell ref="B14:C14"/>
    <mergeCell ref="R14:R15"/>
    <mergeCell ref="T14:V14"/>
    <mergeCell ref="B15:C15"/>
    <mergeCell ref="T15:V15"/>
    <mergeCell ref="W4:W5"/>
    <mergeCell ref="A1:W1"/>
    <mergeCell ref="A2:W2"/>
    <mergeCell ref="R3:W3"/>
    <mergeCell ref="A4:A5"/>
    <mergeCell ref="B4:B5"/>
    <mergeCell ref="C4:D4"/>
    <mergeCell ref="E4:F4"/>
    <mergeCell ref="G4:H4"/>
    <mergeCell ref="I4:J4"/>
    <mergeCell ref="K4:L4"/>
    <mergeCell ref="M4:N4"/>
    <mergeCell ref="O4:P4"/>
    <mergeCell ref="Q4:R4"/>
    <mergeCell ref="S4:T4"/>
    <mergeCell ref="U4:V4"/>
  </mergeCells>
  <pageMargins left="0.15748031496063" right="0.15748031496063" top="0" bottom="0" header="0" footer="0"/>
  <pageSetup paperSize="9" scale="57" orientation="landscape"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sheetPr>
    <pageSetUpPr fitToPage="1"/>
  </sheetPr>
  <dimension ref="A1:W24"/>
  <sheetViews>
    <sheetView topLeftCell="A6" zoomScale="71" zoomScaleNormal="71" zoomScaleSheetLayoutView="100" workbookViewId="0">
      <selection activeCell="T18" sqref="T18:V18"/>
    </sheetView>
  </sheetViews>
  <sheetFormatPr defaultColWidth="9.140625" defaultRowHeight="15" x14ac:dyDescent="0.25"/>
  <cols>
    <col min="1" max="1" width="21.7109375" style="14" bestFit="1" customWidth="1"/>
    <col min="2" max="2" width="19.5703125" style="14" customWidth="1"/>
    <col min="3" max="3" width="10.42578125" style="14" customWidth="1"/>
    <col min="4" max="4" width="11" style="14" customWidth="1"/>
    <col min="5" max="5" width="12" style="14" customWidth="1"/>
    <col min="6" max="6" width="12.5703125" style="14" bestFit="1" customWidth="1"/>
    <col min="7" max="7" width="9.28515625" style="14" bestFit="1" customWidth="1"/>
    <col min="8" max="8" width="10.140625" style="14" bestFit="1" customWidth="1"/>
    <col min="9" max="9" width="10.5703125" style="14" bestFit="1" customWidth="1"/>
    <col min="10" max="10" width="10.5703125" style="14" customWidth="1"/>
    <col min="11" max="11" width="10.28515625" style="14" bestFit="1" customWidth="1"/>
    <col min="12" max="12" width="9.42578125" style="14" bestFit="1" customWidth="1"/>
    <col min="13" max="13" width="9.85546875" style="14" bestFit="1" customWidth="1"/>
    <col min="14" max="14" width="10.140625" style="14" bestFit="1" customWidth="1"/>
    <col min="15" max="15" width="10.28515625" style="14" bestFit="1" customWidth="1"/>
    <col min="16" max="17" width="9.42578125" style="14" bestFit="1" customWidth="1"/>
    <col min="18" max="18" width="12.5703125" style="14" customWidth="1"/>
    <col min="19" max="19" width="16.7109375" style="14" customWidth="1"/>
    <col min="20" max="20" width="7.85546875" style="14" bestFit="1" customWidth="1"/>
    <col min="21" max="21" width="7.42578125" style="14" customWidth="1"/>
    <col min="22" max="22" width="7.28515625" style="14" customWidth="1"/>
    <col min="23" max="23" width="12.85546875" style="14" customWidth="1"/>
    <col min="24" max="16384" width="9.140625" style="14"/>
  </cols>
  <sheetData>
    <row r="1" spans="1:23" ht="46.15" customHeight="1" x14ac:dyDescent="0.25">
      <c r="A1" s="2240" t="s">
        <v>76</v>
      </c>
      <c r="B1" s="2240"/>
      <c r="C1" s="2240"/>
      <c r="D1" s="2240"/>
      <c r="E1" s="2240"/>
      <c r="F1" s="2240"/>
      <c r="G1" s="2240"/>
      <c r="H1" s="2240"/>
      <c r="I1" s="2240"/>
      <c r="J1" s="2240"/>
      <c r="K1" s="2240"/>
      <c r="L1" s="2240"/>
      <c r="M1" s="2240"/>
      <c r="N1" s="2240"/>
      <c r="O1" s="2240"/>
      <c r="P1" s="2240"/>
      <c r="Q1" s="2240"/>
      <c r="R1" s="2240"/>
      <c r="S1" s="2240"/>
      <c r="T1" s="2240"/>
      <c r="U1" s="2240"/>
      <c r="V1" s="2240"/>
      <c r="W1" s="2240"/>
    </row>
    <row r="2" spans="1:23" ht="21.6" customHeight="1" x14ac:dyDescent="0.25">
      <c r="A2" s="2241" t="s">
        <v>77</v>
      </c>
      <c r="B2" s="2241"/>
      <c r="C2" s="2241"/>
      <c r="D2" s="2241"/>
      <c r="E2" s="2241"/>
      <c r="F2" s="2241"/>
      <c r="G2" s="2241"/>
      <c r="H2" s="2241"/>
      <c r="I2" s="2241"/>
      <c r="J2" s="2241"/>
      <c r="K2" s="2241"/>
      <c r="L2" s="2241"/>
      <c r="M2" s="2241"/>
      <c r="N2" s="2241"/>
      <c r="O2" s="2241"/>
      <c r="P2" s="2241"/>
      <c r="Q2" s="2241"/>
      <c r="R2" s="2241"/>
      <c r="S2" s="2241"/>
      <c r="T2" s="2241"/>
      <c r="U2" s="2241"/>
      <c r="V2" s="2241"/>
      <c r="W2" s="2241"/>
    </row>
    <row r="3" spans="1:23" ht="21" customHeight="1" x14ac:dyDescent="0.25">
      <c r="A3" s="34"/>
      <c r="B3" s="34"/>
      <c r="C3" s="34"/>
      <c r="D3" s="34"/>
      <c r="E3" s="34"/>
      <c r="F3" s="34"/>
      <c r="G3" s="34"/>
      <c r="H3" s="34"/>
      <c r="I3" s="34"/>
      <c r="J3" s="34"/>
      <c r="K3" s="34"/>
      <c r="L3" s="34"/>
      <c r="M3" s="34"/>
      <c r="N3" s="34"/>
      <c r="O3" s="34"/>
      <c r="P3" s="34"/>
      <c r="Q3" s="34"/>
      <c r="R3" s="2242" t="s">
        <v>82</v>
      </c>
      <c r="S3" s="2242"/>
      <c r="T3" s="2242"/>
      <c r="U3" s="2242"/>
      <c r="V3" s="2242"/>
      <c r="W3" s="2242"/>
    </row>
    <row r="4" spans="1:23" s="34" customFormat="1" ht="18" customHeight="1" x14ac:dyDescent="0.25">
      <c r="A4" s="2243" t="s">
        <v>25</v>
      </c>
      <c r="B4" s="2243" t="s">
        <v>26</v>
      </c>
      <c r="C4" s="2244" t="s">
        <v>27</v>
      </c>
      <c r="D4" s="2244"/>
      <c r="E4" s="2244" t="s">
        <v>28</v>
      </c>
      <c r="F4" s="2244"/>
      <c r="G4" s="2244" t="s">
        <v>65</v>
      </c>
      <c r="H4" s="2244"/>
      <c r="I4" s="2244" t="s">
        <v>29</v>
      </c>
      <c r="J4" s="2244"/>
      <c r="K4" s="2245" t="s">
        <v>13</v>
      </c>
      <c r="L4" s="2246"/>
      <c r="M4" s="2245" t="s">
        <v>67</v>
      </c>
      <c r="N4" s="2246"/>
      <c r="O4" s="2245" t="s">
        <v>68</v>
      </c>
      <c r="P4" s="2246"/>
      <c r="Q4" s="2244" t="s">
        <v>35</v>
      </c>
      <c r="R4" s="2244"/>
      <c r="S4" s="2245" t="s">
        <v>17</v>
      </c>
      <c r="T4" s="2246"/>
      <c r="U4" s="2247" t="s">
        <v>36</v>
      </c>
      <c r="V4" s="2248"/>
      <c r="W4" s="2238" t="s">
        <v>30</v>
      </c>
    </row>
    <row r="5" spans="1:23" s="34" customFormat="1" ht="25.5" customHeight="1" x14ac:dyDescent="0.25">
      <c r="A5" s="2243"/>
      <c r="B5" s="2243"/>
      <c r="C5" s="36" t="s">
        <v>42</v>
      </c>
      <c r="D5" s="36" t="s">
        <v>43</v>
      </c>
      <c r="E5" s="36" t="s">
        <v>42</v>
      </c>
      <c r="F5" s="36" t="s">
        <v>43</v>
      </c>
      <c r="G5" s="36" t="s">
        <v>42</v>
      </c>
      <c r="H5" s="36" t="s">
        <v>43</v>
      </c>
      <c r="I5" s="36" t="s">
        <v>42</v>
      </c>
      <c r="J5" s="36" t="s">
        <v>43</v>
      </c>
      <c r="K5" s="36" t="s">
        <v>42</v>
      </c>
      <c r="L5" s="36" t="s">
        <v>43</v>
      </c>
      <c r="M5" s="36" t="s">
        <v>42</v>
      </c>
      <c r="N5" s="36" t="s">
        <v>43</v>
      </c>
      <c r="O5" s="36" t="s">
        <v>42</v>
      </c>
      <c r="P5" s="36" t="s">
        <v>43</v>
      </c>
      <c r="Q5" s="33" t="s">
        <v>42</v>
      </c>
      <c r="R5" s="33" t="s">
        <v>43</v>
      </c>
      <c r="S5" s="30" t="s">
        <v>42</v>
      </c>
      <c r="T5" s="30" t="s">
        <v>43</v>
      </c>
      <c r="U5" s="30" t="s">
        <v>42</v>
      </c>
      <c r="V5" s="30" t="s">
        <v>43</v>
      </c>
      <c r="W5" s="2239"/>
    </row>
    <row r="6" spans="1:23" ht="34.5" customHeight="1" x14ac:dyDescent="0.25">
      <c r="A6" s="12">
        <v>1409935200</v>
      </c>
      <c r="B6" s="35" t="s">
        <v>71</v>
      </c>
      <c r="C6" s="38">
        <v>23333</v>
      </c>
      <c r="D6" s="40">
        <f>0.9725*C6</f>
        <v>22691.342500000002</v>
      </c>
      <c r="E6" s="38"/>
      <c r="F6" s="38">
        <f>13.7*E6</f>
        <v>0</v>
      </c>
      <c r="G6" s="38"/>
      <c r="H6" s="38">
        <f>28.2*G6</f>
        <v>0</v>
      </c>
      <c r="I6" s="38">
        <v>1450</v>
      </c>
      <c r="J6" s="38">
        <f>18.5*I6</f>
        <v>26825</v>
      </c>
      <c r="K6" s="38"/>
      <c r="L6" s="38">
        <f>19.5*K6</f>
        <v>0</v>
      </c>
      <c r="M6" s="38"/>
      <c r="N6" s="40">
        <f>M6*9.75</f>
        <v>0</v>
      </c>
      <c r="O6" s="38"/>
      <c r="P6" s="40">
        <f>O6*48.62</f>
        <v>0</v>
      </c>
      <c r="Q6" s="38"/>
      <c r="R6" s="38">
        <f>241*Q6</f>
        <v>0</v>
      </c>
      <c r="S6" s="38"/>
      <c r="T6" s="38">
        <f>232*S6</f>
        <v>0</v>
      </c>
      <c r="U6" s="38"/>
      <c r="V6" s="19">
        <f>U6*100</f>
        <v>0</v>
      </c>
      <c r="W6" s="20">
        <f t="shared" ref="W6:W9" si="0">D6+F6+H6+J6+L6+N6+P6+R6+T6+V6</f>
        <v>49516.342499999999</v>
      </c>
    </row>
    <row r="7" spans="1:23" ht="31.5" customHeight="1" x14ac:dyDescent="0.25">
      <c r="A7" s="12">
        <v>1984225578</v>
      </c>
      <c r="B7" s="35" t="s">
        <v>72</v>
      </c>
      <c r="C7" s="38">
        <v>32276</v>
      </c>
      <c r="D7" s="40">
        <f t="shared" ref="D7:D11" si="1">0.9725*C7</f>
        <v>31388.41</v>
      </c>
      <c r="E7" s="38"/>
      <c r="F7" s="38">
        <f t="shared" ref="F7:F11" si="2">13.7*E7</f>
        <v>0</v>
      </c>
      <c r="G7" s="38"/>
      <c r="H7" s="38">
        <f t="shared" ref="H7:H11" si="3">28.2*G7</f>
        <v>0</v>
      </c>
      <c r="I7" s="38">
        <v>90</v>
      </c>
      <c r="J7" s="38">
        <f t="shared" ref="J7:J11" si="4">18.5*I7</f>
        <v>1665</v>
      </c>
      <c r="K7" s="38"/>
      <c r="L7" s="38">
        <f t="shared" ref="L7:L11" si="5">19.5*K7</f>
        <v>0</v>
      </c>
      <c r="M7" s="38"/>
      <c r="N7" s="40">
        <f t="shared" ref="N7:N11" si="6">M7*9.75</f>
        <v>0</v>
      </c>
      <c r="O7" s="38"/>
      <c r="P7" s="40">
        <f t="shared" ref="P7:P11" si="7">O7*48.62</f>
        <v>0</v>
      </c>
      <c r="Q7" s="38"/>
      <c r="R7" s="38">
        <f t="shared" ref="R7:R11" si="8">241*Q7</f>
        <v>0</v>
      </c>
      <c r="S7" s="38"/>
      <c r="T7" s="38">
        <f t="shared" ref="T7:T11" si="9">232*S7</f>
        <v>0</v>
      </c>
      <c r="U7" s="38"/>
      <c r="V7" s="19">
        <f t="shared" ref="V7:V11" si="10">U7*100</f>
        <v>0</v>
      </c>
      <c r="W7" s="20">
        <f t="shared" si="0"/>
        <v>33053.410000000003</v>
      </c>
    </row>
    <row r="8" spans="1:23" ht="35.25" customHeight="1" x14ac:dyDescent="0.25">
      <c r="A8" s="12">
        <v>1967020280</v>
      </c>
      <c r="B8" s="35" t="s">
        <v>73</v>
      </c>
      <c r="C8" s="38">
        <v>26421</v>
      </c>
      <c r="D8" s="40">
        <f t="shared" si="1"/>
        <v>25694.422500000001</v>
      </c>
      <c r="E8" s="38"/>
      <c r="F8" s="38">
        <f t="shared" si="2"/>
        <v>0</v>
      </c>
      <c r="G8" s="38"/>
      <c r="H8" s="38">
        <f t="shared" si="3"/>
        <v>0</v>
      </c>
      <c r="I8" s="38">
        <v>370</v>
      </c>
      <c r="J8" s="38">
        <f t="shared" si="4"/>
        <v>6845</v>
      </c>
      <c r="K8" s="38"/>
      <c r="L8" s="38">
        <f t="shared" si="5"/>
        <v>0</v>
      </c>
      <c r="M8" s="38"/>
      <c r="N8" s="40">
        <f t="shared" si="6"/>
        <v>0</v>
      </c>
      <c r="O8" s="38"/>
      <c r="P8" s="40">
        <f t="shared" si="7"/>
        <v>0</v>
      </c>
      <c r="Q8" s="38"/>
      <c r="R8" s="38">
        <f t="shared" si="8"/>
        <v>0</v>
      </c>
      <c r="S8" s="38">
        <v>8</v>
      </c>
      <c r="T8" s="38">
        <f t="shared" si="9"/>
        <v>1856</v>
      </c>
      <c r="U8" s="38"/>
      <c r="V8" s="19">
        <f t="shared" si="10"/>
        <v>0</v>
      </c>
      <c r="W8" s="20">
        <f t="shared" si="0"/>
        <v>34395.422500000001</v>
      </c>
    </row>
    <row r="9" spans="1:23" ht="38.25" customHeight="1" x14ac:dyDescent="0.25">
      <c r="A9" s="12">
        <v>1409935199</v>
      </c>
      <c r="B9" s="35" t="s">
        <v>74</v>
      </c>
      <c r="C9" s="38">
        <v>16100</v>
      </c>
      <c r="D9" s="40">
        <f t="shared" si="1"/>
        <v>15657.25</v>
      </c>
      <c r="E9" s="38"/>
      <c r="F9" s="38">
        <f t="shared" si="2"/>
        <v>0</v>
      </c>
      <c r="G9" s="38"/>
      <c r="H9" s="38">
        <f t="shared" si="3"/>
        <v>0</v>
      </c>
      <c r="I9" s="38">
        <v>270</v>
      </c>
      <c r="J9" s="38">
        <f t="shared" si="4"/>
        <v>4995</v>
      </c>
      <c r="K9" s="38"/>
      <c r="L9" s="38">
        <f t="shared" si="5"/>
        <v>0</v>
      </c>
      <c r="M9" s="38"/>
      <c r="N9" s="40">
        <f t="shared" si="6"/>
        <v>0</v>
      </c>
      <c r="O9" s="38"/>
      <c r="P9" s="40">
        <f t="shared" si="7"/>
        <v>0</v>
      </c>
      <c r="Q9" s="38"/>
      <c r="R9" s="38">
        <f t="shared" si="8"/>
        <v>0</v>
      </c>
      <c r="S9" s="38"/>
      <c r="T9" s="38">
        <f t="shared" si="9"/>
        <v>0</v>
      </c>
      <c r="U9" s="38"/>
      <c r="V9" s="19">
        <f t="shared" si="10"/>
        <v>0</v>
      </c>
      <c r="W9" s="20">
        <f t="shared" si="0"/>
        <v>20652.25</v>
      </c>
    </row>
    <row r="10" spans="1:23" ht="35.25" customHeight="1" x14ac:dyDescent="0.25">
      <c r="A10" s="12">
        <v>1984225580</v>
      </c>
      <c r="B10" s="35" t="s">
        <v>75</v>
      </c>
      <c r="C10" s="38">
        <v>13400</v>
      </c>
      <c r="D10" s="40">
        <f t="shared" si="1"/>
        <v>13031.5</v>
      </c>
      <c r="E10" s="38"/>
      <c r="F10" s="38">
        <f t="shared" si="2"/>
        <v>0</v>
      </c>
      <c r="G10" s="38"/>
      <c r="H10" s="38">
        <f t="shared" si="3"/>
        <v>0</v>
      </c>
      <c r="I10" s="38">
        <v>2500</v>
      </c>
      <c r="J10" s="38">
        <f t="shared" si="4"/>
        <v>46250</v>
      </c>
      <c r="K10" s="38"/>
      <c r="L10" s="38">
        <f t="shared" si="5"/>
        <v>0</v>
      </c>
      <c r="M10" s="38"/>
      <c r="N10" s="40">
        <f t="shared" si="6"/>
        <v>0</v>
      </c>
      <c r="O10" s="38"/>
      <c r="P10" s="40">
        <f t="shared" si="7"/>
        <v>0</v>
      </c>
      <c r="Q10" s="38"/>
      <c r="R10" s="38">
        <f t="shared" si="8"/>
        <v>0</v>
      </c>
      <c r="S10" s="38"/>
      <c r="T10" s="38">
        <f t="shared" si="9"/>
        <v>0</v>
      </c>
      <c r="U10" s="38"/>
      <c r="V10" s="19">
        <f t="shared" si="10"/>
        <v>0</v>
      </c>
      <c r="W10" s="20">
        <f>D10+F10+H10+J10+L10+N10+P10+R10+T10+V10</f>
        <v>59281.5</v>
      </c>
    </row>
    <row r="11" spans="1:23" ht="37.5" customHeight="1" x14ac:dyDescent="0.25">
      <c r="A11" s="12"/>
      <c r="B11" s="37"/>
      <c r="C11" s="38"/>
      <c r="D11" s="22">
        <f t="shared" si="1"/>
        <v>0</v>
      </c>
      <c r="E11" s="38"/>
      <c r="F11" s="38">
        <f t="shared" si="2"/>
        <v>0</v>
      </c>
      <c r="G11" s="38"/>
      <c r="H11" s="38">
        <f t="shared" si="3"/>
        <v>0</v>
      </c>
      <c r="I11" s="38"/>
      <c r="J11" s="38">
        <f t="shared" si="4"/>
        <v>0</v>
      </c>
      <c r="K11" s="38"/>
      <c r="L11" s="38">
        <f t="shared" si="5"/>
        <v>0</v>
      </c>
      <c r="M11" s="38"/>
      <c r="N11" s="40">
        <f t="shared" si="6"/>
        <v>0</v>
      </c>
      <c r="O11" s="38"/>
      <c r="P11" s="40">
        <f t="shared" si="7"/>
        <v>0</v>
      </c>
      <c r="Q11" s="38">
        <v>267</v>
      </c>
      <c r="R11" s="38">
        <f t="shared" si="8"/>
        <v>64347</v>
      </c>
      <c r="S11" s="38"/>
      <c r="T11" s="38">
        <f t="shared" si="9"/>
        <v>0</v>
      </c>
      <c r="U11" s="38"/>
      <c r="V11" s="19">
        <f t="shared" si="10"/>
        <v>0</v>
      </c>
      <c r="W11" s="20">
        <f t="shared" ref="W11" si="11">D11+F11+H11+J11+L11+N11+P11+R11+T11+V11</f>
        <v>64347</v>
      </c>
    </row>
    <row r="12" spans="1:23" ht="29.25" customHeight="1" x14ac:dyDescent="0.25">
      <c r="A12" s="2235" t="s">
        <v>31</v>
      </c>
      <c r="B12" s="2235"/>
      <c r="C12" s="18">
        <f t="shared" ref="C12:W12" si="12">SUM(C6:C11)</f>
        <v>111530</v>
      </c>
      <c r="D12" s="18">
        <f t="shared" si="12"/>
        <v>108462.925</v>
      </c>
      <c r="E12" s="18">
        <f t="shared" si="12"/>
        <v>0</v>
      </c>
      <c r="F12" s="18">
        <f t="shared" si="12"/>
        <v>0</v>
      </c>
      <c r="G12" s="18">
        <f t="shared" si="12"/>
        <v>0</v>
      </c>
      <c r="H12" s="18">
        <f t="shared" si="12"/>
        <v>0</v>
      </c>
      <c r="I12" s="18">
        <f t="shared" si="12"/>
        <v>4680</v>
      </c>
      <c r="J12" s="18">
        <f t="shared" si="12"/>
        <v>86580</v>
      </c>
      <c r="K12" s="18">
        <f t="shared" si="12"/>
        <v>0</v>
      </c>
      <c r="L12" s="18">
        <f t="shared" si="12"/>
        <v>0</v>
      </c>
      <c r="M12" s="18">
        <f t="shared" si="12"/>
        <v>0</v>
      </c>
      <c r="N12" s="23">
        <f t="shared" si="12"/>
        <v>0</v>
      </c>
      <c r="O12" s="18">
        <f t="shared" si="12"/>
        <v>0</v>
      </c>
      <c r="P12" s="23">
        <f t="shared" si="12"/>
        <v>0</v>
      </c>
      <c r="Q12" s="18">
        <f t="shared" si="12"/>
        <v>267</v>
      </c>
      <c r="R12" s="18">
        <f t="shared" si="12"/>
        <v>64347</v>
      </c>
      <c r="S12" s="18">
        <f t="shared" si="12"/>
        <v>8</v>
      </c>
      <c r="T12" s="18">
        <f t="shared" si="12"/>
        <v>1856</v>
      </c>
      <c r="U12" s="18">
        <f t="shared" si="12"/>
        <v>0</v>
      </c>
      <c r="V12" s="18">
        <f t="shared" si="12"/>
        <v>0</v>
      </c>
      <c r="W12" s="18">
        <f t="shared" si="12"/>
        <v>261245.92499999999</v>
      </c>
    </row>
    <row r="14" spans="1:23" ht="22.5" customHeight="1" x14ac:dyDescent="0.25">
      <c r="A14" s="30" t="s">
        <v>32</v>
      </c>
      <c r="B14" s="2236" t="s">
        <v>27</v>
      </c>
      <c r="C14" s="2236"/>
      <c r="D14" s="30" t="s">
        <v>33</v>
      </c>
      <c r="E14" s="30" t="s">
        <v>65</v>
      </c>
      <c r="F14" s="30" t="s">
        <v>34</v>
      </c>
      <c r="G14" s="30" t="s">
        <v>13</v>
      </c>
      <c r="H14" s="31" t="s">
        <v>45</v>
      </c>
      <c r="I14" s="30" t="s">
        <v>17</v>
      </c>
      <c r="J14" s="30" t="s">
        <v>66</v>
      </c>
      <c r="K14" s="30" t="s">
        <v>36</v>
      </c>
      <c r="L14" s="30" t="s">
        <v>37</v>
      </c>
      <c r="M14" s="30" t="s">
        <v>69</v>
      </c>
      <c r="N14" s="30" t="s">
        <v>70</v>
      </c>
      <c r="O14" s="15"/>
      <c r="P14" s="15"/>
      <c r="R14" s="2235" t="s">
        <v>46</v>
      </c>
      <c r="S14" s="35" t="s">
        <v>54</v>
      </c>
      <c r="T14" s="2231">
        <v>268767</v>
      </c>
      <c r="U14" s="2237"/>
      <c r="V14" s="2230"/>
    </row>
    <row r="15" spans="1:23" ht="22.5" customHeight="1" x14ac:dyDescent="0.25">
      <c r="A15" s="11" t="s">
        <v>38</v>
      </c>
      <c r="B15" s="2231">
        <v>326095</v>
      </c>
      <c r="C15" s="2230"/>
      <c r="D15" s="38">
        <v>0</v>
      </c>
      <c r="E15" s="38">
        <v>60</v>
      </c>
      <c r="F15" s="38">
        <v>6450</v>
      </c>
      <c r="G15" s="38">
        <v>0</v>
      </c>
      <c r="H15" s="38">
        <v>0</v>
      </c>
      <c r="I15" s="38">
        <v>8</v>
      </c>
      <c r="J15" s="38">
        <v>106</v>
      </c>
      <c r="K15" s="38">
        <v>20</v>
      </c>
      <c r="L15" s="38">
        <v>1496</v>
      </c>
      <c r="M15" s="38">
        <v>0</v>
      </c>
      <c r="N15" s="38">
        <v>100</v>
      </c>
      <c r="O15" s="21"/>
      <c r="P15" s="21"/>
      <c r="R15" s="2235"/>
      <c r="S15" s="35" t="s">
        <v>64</v>
      </c>
      <c r="T15" s="2225">
        <v>10551</v>
      </c>
      <c r="U15" s="2225"/>
      <c r="V15" s="2225"/>
    </row>
    <row r="16" spans="1:23" ht="24.75" customHeight="1" x14ac:dyDescent="0.25">
      <c r="A16" s="11" t="s">
        <v>39</v>
      </c>
      <c r="B16" s="2231">
        <v>49140</v>
      </c>
      <c r="C16" s="2230"/>
      <c r="D16" s="38"/>
      <c r="E16" s="38"/>
      <c r="F16" s="38"/>
      <c r="G16" s="38"/>
      <c r="H16" s="38"/>
      <c r="I16" s="38"/>
      <c r="J16" s="38"/>
      <c r="K16" s="38"/>
      <c r="L16" s="38"/>
      <c r="M16" s="38"/>
      <c r="N16" s="38"/>
      <c r="O16" s="21"/>
      <c r="P16" s="21"/>
      <c r="R16" s="2254" t="s">
        <v>55</v>
      </c>
      <c r="S16" s="2254"/>
      <c r="T16" s="2234">
        <f>W12</f>
        <v>261245.92499999999</v>
      </c>
      <c r="U16" s="2234"/>
      <c r="V16" s="2225"/>
    </row>
    <row r="17" spans="1:23" ht="24.75" customHeight="1" x14ac:dyDescent="0.25">
      <c r="A17" s="11" t="s">
        <v>44</v>
      </c>
      <c r="B17" s="2231"/>
      <c r="C17" s="2230"/>
      <c r="D17" s="38"/>
      <c r="E17" s="38"/>
      <c r="F17" s="38"/>
      <c r="G17" s="38"/>
      <c r="H17" s="38"/>
      <c r="I17" s="38"/>
      <c r="J17" s="38"/>
      <c r="K17" s="38"/>
      <c r="L17" s="38"/>
      <c r="M17" s="38"/>
      <c r="N17" s="38"/>
      <c r="O17" s="21"/>
      <c r="P17" s="21"/>
      <c r="R17" s="2254" t="s">
        <v>85</v>
      </c>
      <c r="S17" s="2254"/>
      <c r="T17" s="2225">
        <v>9090</v>
      </c>
      <c r="U17" s="2225"/>
      <c r="V17" s="2225"/>
    </row>
    <row r="18" spans="1:23" ht="27" customHeight="1" x14ac:dyDescent="0.25">
      <c r="A18" s="11" t="s">
        <v>40</v>
      </c>
      <c r="B18" s="2229">
        <f>C12</f>
        <v>111530</v>
      </c>
      <c r="C18" s="2230"/>
      <c r="D18" s="39">
        <f>E12</f>
        <v>0</v>
      </c>
      <c r="E18" s="39">
        <f>G12</f>
        <v>0</v>
      </c>
      <c r="F18" s="39">
        <f>I12</f>
        <v>4680</v>
      </c>
      <c r="G18" s="39">
        <f>K12</f>
        <v>0</v>
      </c>
      <c r="H18" s="38"/>
      <c r="I18" s="39">
        <f>S12</f>
        <v>8</v>
      </c>
      <c r="J18" s="38">
        <v>62</v>
      </c>
      <c r="K18" s="39">
        <f>U12</f>
        <v>0</v>
      </c>
      <c r="L18" s="38">
        <v>205</v>
      </c>
      <c r="M18" s="39">
        <f>M12</f>
        <v>0</v>
      </c>
      <c r="N18" s="39">
        <f>O12</f>
        <v>0</v>
      </c>
      <c r="O18" s="21"/>
      <c r="P18" s="21"/>
      <c r="R18" s="2254" t="s">
        <v>57</v>
      </c>
      <c r="S18" s="2254"/>
      <c r="T18" s="2225">
        <f>530+200+1600+70850</f>
        <v>73180</v>
      </c>
      <c r="U18" s="2225"/>
      <c r="V18" s="2225"/>
      <c r="W18" s="2255" t="s">
        <v>84</v>
      </c>
    </row>
    <row r="19" spans="1:23" ht="25.5" customHeight="1" x14ac:dyDescent="0.25">
      <c r="A19" s="11" t="s">
        <v>41</v>
      </c>
      <c r="B19" s="2231">
        <f>B15+B16+B17-B18</f>
        <v>263705</v>
      </c>
      <c r="C19" s="2230"/>
      <c r="D19" s="38">
        <f>D15+D16+D17-D18</f>
        <v>0</v>
      </c>
      <c r="E19" s="38">
        <f t="shared" ref="E19:N19" si="13">E15+E16+E17-E18</f>
        <v>60</v>
      </c>
      <c r="F19" s="38">
        <f t="shared" si="13"/>
        <v>1770</v>
      </c>
      <c r="G19" s="38">
        <f t="shared" si="13"/>
        <v>0</v>
      </c>
      <c r="H19" s="38">
        <f t="shared" si="13"/>
        <v>0</v>
      </c>
      <c r="I19" s="38">
        <f t="shared" si="13"/>
        <v>0</v>
      </c>
      <c r="J19" s="38">
        <f t="shared" si="13"/>
        <v>44</v>
      </c>
      <c r="K19" s="38">
        <f t="shared" si="13"/>
        <v>20</v>
      </c>
      <c r="L19" s="38">
        <f t="shared" si="13"/>
        <v>1291</v>
      </c>
      <c r="M19" s="38">
        <f t="shared" si="13"/>
        <v>0</v>
      </c>
      <c r="N19" s="38">
        <f t="shared" si="13"/>
        <v>100</v>
      </c>
      <c r="O19" s="21"/>
      <c r="P19" s="21"/>
      <c r="R19" s="2256" t="s">
        <v>48</v>
      </c>
      <c r="S19" s="49" t="s">
        <v>58</v>
      </c>
      <c r="T19" s="2225">
        <v>455600</v>
      </c>
      <c r="U19" s="2225"/>
      <c r="V19" s="2225"/>
      <c r="W19" s="2255"/>
    </row>
    <row r="20" spans="1:23" ht="23.25" customHeight="1" x14ac:dyDescent="0.25">
      <c r="A20" s="15"/>
      <c r="B20" s="10"/>
      <c r="C20" s="10"/>
      <c r="D20" s="10"/>
      <c r="E20" s="10"/>
      <c r="F20" s="10"/>
      <c r="G20" s="10"/>
      <c r="H20" s="10"/>
      <c r="I20" s="10"/>
      <c r="J20" s="10"/>
      <c r="K20" s="10"/>
      <c r="L20" s="10"/>
      <c r="M20" s="10"/>
      <c r="N20" s="10"/>
      <c r="O20" s="10"/>
      <c r="P20" s="10"/>
      <c r="R20" s="2257"/>
      <c r="S20" s="49" t="s">
        <v>59</v>
      </c>
      <c r="T20" s="2225"/>
      <c r="U20" s="2225"/>
      <c r="V20" s="2225"/>
      <c r="W20" s="2255"/>
    </row>
    <row r="21" spans="1:23" ht="33.75" customHeight="1" x14ac:dyDescent="0.25">
      <c r="A21" s="15"/>
      <c r="B21" s="10"/>
      <c r="C21" s="10"/>
      <c r="D21" s="10"/>
      <c r="E21" s="10"/>
      <c r="F21" s="10"/>
      <c r="G21" s="10"/>
      <c r="H21" s="10"/>
      <c r="I21" s="10"/>
      <c r="J21" s="10"/>
      <c r="K21" s="10"/>
      <c r="L21" s="10"/>
      <c r="M21" s="10"/>
      <c r="N21" s="10"/>
      <c r="O21" s="10"/>
      <c r="P21" s="10"/>
      <c r="R21" s="2251" t="s">
        <v>83</v>
      </c>
      <c r="S21" s="50" t="s">
        <v>60</v>
      </c>
      <c r="T21" s="2225">
        <f>258100+34250+15600+58100+37440+52110</f>
        <v>455600</v>
      </c>
      <c r="U21" s="2225"/>
      <c r="V21" s="2225"/>
      <c r="W21" s="2255"/>
    </row>
    <row r="22" spans="1:23" ht="29.25" customHeight="1" x14ac:dyDescent="0.25">
      <c r="A22" s="10"/>
      <c r="B22" s="2258" t="s">
        <v>49</v>
      </c>
      <c r="C22" s="2249">
        <v>948821</v>
      </c>
      <c r="D22" s="2225">
        <v>455600</v>
      </c>
      <c r="E22" s="2225">
        <v>47297</v>
      </c>
      <c r="F22" s="2225">
        <f>C22-D22+E22</f>
        <v>540518</v>
      </c>
      <c r="G22" s="10"/>
      <c r="H22" s="10"/>
      <c r="I22" s="10"/>
      <c r="J22" s="10"/>
      <c r="K22" s="10"/>
      <c r="L22" s="10"/>
      <c r="M22" s="10"/>
      <c r="N22" s="10"/>
      <c r="O22" s="10"/>
      <c r="P22" s="10"/>
      <c r="R22" s="2252"/>
      <c r="S22" s="50" t="s">
        <v>61</v>
      </c>
      <c r="T22" s="2225">
        <v>455600</v>
      </c>
      <c r="U22" s="2225"/>
      <c r="V22" s="2225"/>
      <c r="W22" s="2255"/>
    </row>
    <row r="23" spans="1:23" ht="47.25" customHeight="1" x14ac:dyDescent="0.25">
      <c r="A23" s="10"/>
      <c r="B23" s="2258"/>
      <c r="C23" s="2250"/>
      <c r="D23" s="2225"/>
      <c r="E23" s="2225"/>
      <c r="F23" s="2225"/>
      <c r="G23" s="10"/>
      <c r="H23" s="10"/>
      <c r="I23" s="10"/>
      <c r="J23" s="10"/>
      <c r="K23" s="10"/>
      <c r="L23" s="10"/>
      <c r="M23" s="10"/>
      <c r="N23" s="10"/>
      <c r="O23" s="10"/>
      <c r="P23" s="10"/>
      <c r="R23" s="2235" t="s">
        <v>47</v>
      </c>
      <c r="S23" s="51" t="s">
        <v>62</v>
      </c>
      <c r="T23" s="2224">
        <f>T14+T16+T17-T18-T19-T20-T21+T22</f>
        <v>10322.925000000047</v>
      </c>
      <c r="U23" s="2224"/>
      <c r="V23" s="2224"/>
      <c r="W23" s="2255"/>
    </row>
    <row r="24" spans="1:23" ht="27" customHeight="1" x14ac:dyDescent="0.25">
      <c r="B24" s="2258"/>
      <c r="C24" s="35" t="s">
        <v>46</v>
      </c>
      <c r="D24" s="35" t="s">
        <v>50</v>
      </c>
      <c r="E24" s="35" t="s">
        <v>51</v>
      </c>
      <c r="F24" s="35" t="s">
        <v>52</v>
      </c>
      <c r="R24" s="2235"/>
      <c r="S24" s="51" t="s">
        <v>63</v>
      </c>
      <c r="T24" s="2225">
        <f>T15+T21-T22</f>
        <v>10551</v>
      </c>
      <c r="U24" s="2225"/>
      <c r="V24" s="2225"/>
    </row>
  </sheetData>
  <mergeCells count="47">
    <mergeCell ref="W18:W23"/>
    <mergeCell ref="B19:C19"/>
    <mergeCell ref="R19:R20"/>
    <mergeCell ref="T19:V19"/>
    <mergeCell ref="T20:V20"/>
    <mergeCell ref="R21:R22"/>
    <mergeCell ref="T21:V21"/>
    <mergeCell ref="T22:V22"/>
    <mergeCell ref="R23:R24"/>
    <mergeCell ref="T23:V23"/>
    <mergeCell ref="T24:V24"/>
    <mergeCell ref="B18:C18"/>
    <mergeCell ref="R18:S18"/>
    <mergeCell ref="T18:V18"/>
    <mergeCell ref="B22:B24"/>
    <mergeCell ref="C22:C23"/>
    <mergeCell ref="R16:S16"/>
    <mergeCell ref="T16:V16"/>
    <mergeCell ref="B17:C17"/>
    <mergeCell ref="R17:S17"/>
    <mergeCell ref="T17:V17"/>
    <mergeCell ref="D22:D23"/>
    <mergeCell ref="E22:E23"/>
    <mergeCell ref="F22:F23"/>
    <mergeCell ref="A12:B12"/>
    <mergeCell ref="B14:C14"/>
    <mergeCell ref="B16:C16"/>
    <mergeCell ref="R14:R15"/>
    <mergeCell ref="T14:V14"/>
    <mergeCell ref="B15:C15"/>
    <mergeCell ref="T15:V15"/>
    <mergeCell ref="W4:W5"/>
    <mergeCell ref="A1:W1"/>
    <mergeCell ref="A2:W2"/>
    <mergeCell ref="R3:W3"/>
    <mergeCell ref="A4:A5"/>
    <mergeCell ref="B4:B5"/>
    <mergeCell ref="C4:D4"/>
    <mergeCell ref="E4:F4"/>
    <mergeCell ref="G4:H4"/>
    <mergeCell ref="I4:J4"/>
    <mergeCell ref="K4:L4"/>
    <mergeCell ref="M4:N4"/>
    <mergeCell ref="O4:P4"/>
    <mergeCell ref="Q4:R4"/>
    <mergeCell ref="S4:T4"/>
    <mergeCell ref="U4:V4"/>
  </mergeCells>
  <pageMargins left="0.15748031496063" right="0.15748031496063" top="0" bottom="0" header="0" footer="0"/>
  <pageSetup paperSize="9" scale="54" orientation="landscape"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sheetPr>
    <pageSetUpPr fitToPage="1"/>
  </sheetPr>
  <dimension ref="A1:W24"/>
  <sheetViews>
    <sheetView topLeftCell="A6" zoomScale="71" zoomScaleNormal="71" zoomScaleSheetLayoutView="100" workbookViewId="0">
      <selection activeCell="T18" sqref="T18:V18"/>
    </sheetView>
  </sheetViews>
  <sheetFormatPr defaultColWidth="9.140625" defaultRowHeight="15" x14ac:dyDescent="0.25"/>
  <cols>
    <col min="1" max="1" width="21.7109375" style="14" bestFit="1" customWidth="1"/>
    <col min="2" max="2" width="19.5703125" style="14" customWidth="1"/>
    <col min="3" max="3" width="10.42578125" style="14" customWidth="1"/>
    <col min="4" max="4" width="11" style="14" customWidth="1"/>
    <col min="5" max="5" width="12" style="14" customWidth="1"/>
    <col min="6" max="6" width="12.5703125" style="14" bestFit="1" customWidth="1"/>
    <col min="7" max="7" width="9.28515625" style="14" bestFit="1" customWidth="1"/>
    <col min="8" max="8" width="10.140625" style="14" bestFit="1" customWidth="1"/>
    <col min="9" max="9" width="10.5703125" style="14" bestFit="1" customWidth="1"/>
    <col min="10" max="10" width="10.5703125" style="14" customWidth="1"/>
    <col min="11" max="11" width="10.28515625" style="14" bestFit="1" customWidth="1"/>
    <col min="12" max="12" width="9.42578125" style="14" bestFit="1" customWidth="1"/>
    <col min="13" max="13" width="9.85546875" style="14" bestFit="1" customWidth="1"/>
    <col min="14" max="14" width="10.140625" style="14" bestFit="1" customWidth="1"/>
    <col min="15" max="15" width="10.28515625" style="14" bestFit="1" customWidth="1"/>
    <col min="16" max="17" width="9.42578125" style="14" bestFit="1" customWidth="1"/>
    <col min="18" max="18" width="12.5703125" style="14" customWidth="1"/>
    <col min="19" max="19" width="16.7109375" style="14" customWidth="1"/>
    <col min="20" max="20" width="7.85546875" style="14" bestFit="1" customWidth="1"/>
    <col min="21" max="21" width="7.42578125" style="14" customWidth="1"/>
    <col min="22" max="22" width="7.28515625" style="14" customWidth="1"/>
    <col min="23" max="23" width="12.85546875" style="14" customWidth="1"/>
    <col min="24" max="16384" width="9.140625" style="14"/>
  </cols>
  <sheetData>
    <row r="1" spans="1:23" ht="46.15" customHeight="1" x14ac:dyDescent="0.25">
      <c r="A1" s="2240" t="s">
        <v>76</v>
      </c>
      <c r="B1" s="2240"/>
      <c r="C1" s="2240"/>
      <c r="D1" s="2240"/>
      <c r="E1" s="2240"/>
      <c r="F1" s="2240"/>
      <c r="G1" s="2240"/>
      <c r="H1" s="2240"/>
      <c r="I1" s="2240"/>
      <c r="J1" s="2240"/>
      <c r="K1" s="2240"/>
      <c r="L1" s="2240"/>
      <c r="M1" s="2240"/>
      <c r="N1" s="2240"/>
      <c r="O1" s="2240"/>
      <c r="P1" s="2240"/>
      <c r="Q1" s="2240"/>
      <c r="R1" s="2240"/>
      <c r="S1" s="2240"/>
      <c r="T1" s="2240"/>
      <c r="U1" s="2240"/>
      <c r="V1" s="2240"/>
      <c r="W1" s="2240"/>
    </row>
    <row r="2" spans="1:23" ht="21.6" customHeight="1" x14ac:dyDescent="0.25">
      <c r="A2" s="2241" t="s">
        <v>77</v>
      </c>
      <c r="B2" s="2241"/>
      <c r="C2" s="2241"/>
      <c r="D2" s="2241"/>
      <c r="E2" s="2241"/>
      <c r="F2" s="2241"/>
      <c r="G2" s="2241"/>
      <c r="H2" s="2241"/>
      <c r="I2" s="2241"/>
      <c r="J2" s="2241"/>
      <c r="K2" s="2241"/>
      <c r="L2" s="2241"/>
      <c r="M2" s="2241"/>
      <c r="N2" s="2241"/>
      <c r="O2" s="2241"/>
      <c r="P2" s="2241"/>
      <c r="Q2" s="2241"/>
      <c r="R2" s="2241"/>
      <c r="S2" s="2241"/>
      <c r="T2" s="2241"/>
      <c r="U2" s="2241"/>
      <c r="V2" s="2241"/>
      <c r="W2" s="2241"/>
    </row>
    <row r="3" spans="1:23" ht="21" customHeight="1" x14ac:dyDescent="0.25">
      <c r="A3" s="34"/>
      <c r="B3" s="34"/>
      <c r="C3" s="34"/>
      <c r="D3" s="34"/>
      <c r="E3" s="34"/>
      <c r="F3" s="34"/>
      <c r="G3" s="34"/>
      <c r="H3" s="34"/>
      <c r="I3" s="34"/>
      <c r="J3" s="34"/>
      <c r="K3" s="34"/>
      <c r="L3" s="34"/>
      <c r="M3" s="34"/>
      <c r="N3" s="34"/>
      <c r="O3" s="34"/>
      <c r="P3" s="34"/>
      <c r="Q3" s="34"/>
      <c r="R3" s="2242" t="s">
        <v>86</v>
      </c>
      <c r="S3" s="2242"/>
      <c r="T3" s="2242"/>
      <c r="U3" s="2242"/>
      <c r="V3" s="2242"/>
      <c r="W3" s="2242"/>
    </row>
    <row r="4" spans="1:23" s="34" customFormat="1" ht="18" customHeight="1" x14ac:dyDescent="0.25">
      <c r="A4" s="2243" t="s">
        <v>25</v>
      </c>
      <c r="B4" s="2243" t="s">
        <v>26</v>
      </c>
      <c r="C4" s="2244" t="s">
        <v>27</v>
      </c>
      <c r="D4" s="2244"/>
      <c r="E4" s="2244" t="s">
        <v>28</v>
      </c>
      <c r="F4" s="2244"/>
      <c r="G4" s="2244" t="s">
        <v>65</v>
      </c>
      <c r="H4" s="2244"/>
      <c r="I4" s="2244" t="s">
        <v>29</v>
      </c>
      <c r="J4" s="2244"/>
      <c r="K4" s="2245" t="s">
        <v>13</v>
      </c>
      <c r="L4" s="2246"/>
      <c r="M4" s="2245" t="s">
        <v>67</v>
      </c>
      <c r="N4" s="2246"/>
      <c r="O4" s="2245" t="s">
        <v>68</v>
      </c>
      <c r="P4" s="2246"/>
      <c r="Q4" s="2244" t="s">
        <v>35</v>
      </c>
      <c r="R4" s="2244"/>
      <c r="S4" s="2245" t="s">
        <v>17</v>
      </c>
      <c r="T4" s="2246"/>
      <c r="U4" s="2247" t="s">
        <v>36</v>
      </c>
      <c r="V4" s="2248"/>
      <c r="W4" s="2238" t="s">
        <v>30</v>
      </c>
    </row>
    <row r="5" spans="1:23" s="34" customFormat="1" ht="25.5" customHeight="1" x14ac:dyDescent="0.25">
      <c r="A5" s="2243"/>
      <c r="B5" s="2243"/>
      <c r="C5" s="36" t="s">
        <v>42</v>
      </c>
      <c r="D5" s="36" t="s">
        <v>43</v>
      </c>
      <c r="E5" s="36" t="s">
        <v>42</v>
      </c>
      <c r="F5" s="36" t="s">
        <v>43</v>
      </c>
      <c r="G5" s="36" t="s">
        <v>42</v>
      </c>
      <c r="H5" s="36" t="s">
        <v>43</v>
      </c>
      <c r="I5" s="36" t="s">
        <v>42</v>
      </c>
      <c r="J5" s="36" t="s">
        <v>43</v>
      </c>
      <c r="K5" s="36" t="s">
        <v>42</v>
      </c>
      <c r="L5" s="36" t="s">
        <v>43</v>
      </c>
      <c r="M5" s="36" t="s">
        <v>42</v>
      </c>
      <c r="N5" s="36" t="s">
        <v>43</v>
      </c>
      <c r="O5" s="36" t="s">
        <v>42</v>
      </c>
      <c r="P5" s="36" t="s">
        <v>43</v>
      </c>
      <c r="Q5" s="33" t="s">
        <v>42</v>
      </c>
      <c r="R5" s="33" t="s">
        <v>43</v>
      </c>
      <c r="S5" s="30" t="s">
        <v>42</v>
      </c>
      <c r="T5" s="30" t="s">
        <v>43</v>
      </c>
      <c r="U5" s="30" t="s">
        <v>42</v>
      </c>
      <c r="V5" s="30" t="s">
        <v>43</v>
      </c>
      <c r="W5" s="2239"/>
    </row>
    <row r="6" spans="1:23" ht="34.5" customHeight="1" x14ac:dyDescent="0.25">
      <c r="A6" s="12">
        <v>1409935200</v>
      </c>
      <c r="B6" s="35" t="s">
        <v>71</v>
      </c>
      <c r="C6" s="38">
        <v>37928</v>
      </c>
      <c r="D6" s="40">
        <f>0.9725*C6</f>
        <v>36884.980000000003</v>
      </c>
      <c r="E6" s="38"/>
      <c r="F6" s="38">
        <f>13.7*E6</f>
        <v>0</v>
      </c>
      <c r="G6" s="38"/>
      <c r="H6" s="38">
        <f>28.2*G6</f>
        <v>0</v>
      </c>
      <c r="I6" s="38">
        <v>30</v>
      </c>
      <c r="J6" s="38">
        <f>18.5*I6</f>
        <v>555</v>
      </c>
      <c r="K6" s="38"/>
      <c r="L6" s="38">
        <f>19.5*K6</f>
        <v>0</v>
      </c>
      <c r="M6" s="38"/>
      <c r="N6" s="40">
        <f>M6*9.75</f>
        <v>0</v>
      </c>
      <c r="O6" s="38"/>
      <c r="P6" s="40">
        <f>O6*48.62</f>
        <v>0</v>
      </c>
      <c r="Q6" s="38"/>
      <c r="R6" s="38">
        <f>241*Q6</f>
        <v>0</v>
      </c>
      <c r="S6" s="38"/>
      <c r="T6" s="38">
        <f>232*S6</f>
        <v>0</v>
      </c>
      <c r="U6" s="38"/>
      <c r="V6" s="19">
        <f>U6*100</f>
        <v>0</v>
      </c>
      <c r="W6" s="20">
        <f t="shared" ref="W6:W9" si="0">D6+F6+H6+J6+L6+N6+P6+R6+T6+V6</f>
        <v>37439.980000000003</v>
      </c>
    </row>
    <row r="7" spans="1:23" ht="31.5" customHeight="1" x14ac:dyDescent="0.25">
      <c r="A7" s="12">
        <v>1984225578</v>
      </c>
      <c r="B7" s="35" t="s">
        <v>72</v>
      </c>
      <c r="C7" s="38">
        <v>22397</v>
      </c>
      <c r="D7" s="40">
        <f t="shared" ref="D7:D11" si="1">0.9725*C7</f>
        <v>21781.0825</v>
      </c>
      <c r="E7" s="38"/>
      <c r="F7" s="38">
        <f t="shared" ref="F7:F11" si="2">13.7*E7</f>
        <v>0</v>
      </c>
      <c r="G7" s="38"/>
      <c r="H7" s="38">
        <f t="shared" ref="H7:H11" si="3">28.2*G7</f>
        <v>0</v>
      </c>
      <c r="I7" s="38">
        <v>30</v>
      </c>
      <c r="J7" s="38">
        <f t="shared" ref="J7:J11" si="4">18.5*I7</f>
        <v>555</v>
      </c>
      <c r="K7" s="38"/>
      <c r="L7" s="38">
        <f t="shared" ref="L7:L11" si="5">19.5*K7</f>
        <v>0</v>
      </c>
      <c r="M7" s="38"/>
      <c r="N7" s="40">
        <f t="shared" ref="N7:N11" si="6">M7*9.75</f>
        <v>0</v>
      </c>
      <c r="O7" s="38"/>
      <c r="P7" s="40">
        <f t="shared" ref="P7:P11" si="7">O7*48.62</f>
        <v>0</v>
      </c>
      <c r="Q7" s="38"/>
      <c r="R7" s="38">
        <f t="shared" ref="R7:R11" si="8">241*Q7</f>
        <v>0</v>
      </c>
      <c r="S7" s="38"/>
      <c r="T7" s="38">
        <f t="shared" ref="T7:T11" si="9">232*S7</f>
        <v>0</v>
      </c>
      <c r="U7" s="38"/>
      <c r="V7" s="19">
        <f t="shared" ref="V7:V11" si="10">U7*100</f>
        <v>0</v>
      </c>
      <c r="W7" s="20">
        <f t="shared" si="0"/>
        <v>22336.0825</v>
      </c>
    </row>
    <row r="8" spans="1:23" ht="35.25" customHeight="1" x14ac:dyDescent="0.25">
      <c r="A8" s="12">
        <v>1967020280</v>
      </c>
      <c r="B8" s="35" t="s">
        <v>73</v>
      </c>
      <c r="C8" s="38">
        <v>37787</v>
      </c>
      <c r="D8" s="40">
        <f t="shared" si="1"/>
        <v>36747.857499999998</v>
      </c>
      <c r="E8" s="38"/>
      <c r="F8" s="38">
        <f t="shared" si="2"/>
        <v>0</v>
      </c>
      <c r="G8" s="38"/>
      <c r="H8" s="38">
        <f t="shared" si="3"/>
        <v>0</v>
      </c>
      <c r="I8" s="38">
        <v>1000</v>
      </c>
      <c r="J8" s="38">
        <f t="shared" si="4"/>
        <v>18500</v>
      </c>
      <c r="K8" s="38"/>
      <c r="L8" s="38">
        <f t="shared" si="5"/>
        <v>0</v>
      </c>
      <c r="M8" s="38"/>
      <c r="N8" s="40">
        <f t="shared" si="6"/>
        <v>0</v>
      </c>
      <c r="O8" s="38"/>
      <c r="P8" s="40">
        <f t="shared" si="7"/>
        <v>0</v>
      </c>
      <c r="Q8" s="38"/>
      <c r="R8" s="38">
        <f t="shared" si="8"/>
        <v>0</v>
      </c>
      <c r="S8" s="38"/>
      <c r="T8" s="38">
        <f t="shared" si="9"/>
        <v>0</v>
      </c>
      <c r="U8" s="38"/>
      <c r="V8" s="19">
        <f t="shared" si="10"/>
        <v>0</v>
      </c>
      <c r="W8" s="20">
        <f t="shared" si="0"/>
        <v>55247.857499999998</v>
      </c>
    </row>
    <row r="9" spans="1:23" ht="38.25" customHeight="1" x14ac:dyDescent="0.25">
      <c r="A9" s="12">
        <v>1409935199</v>
      </c>
      <c r="B9" s="35" t="s">
        <v>74</v>
      </c>
      <c r="C9" s="38">
        <v>18601</v>
      </c>
      <c r="D9" s="40">
        <f t="shared" si="1"/>
        <v>18089.4725</v>
      </c>
      <c r="E9" s="38"/>
      <c r="F9" s="38">
        <f t="shared" si="2"/>
        <v>0</v>
      </c>
      <c r="G9" s="38"/>
      <c r="H9" s="38">
        <f t="shared" si="3"/>
        <v>0</v>
      </c>
      <c r="I9" s="38"/>
      <c r="J9" s="38">
        <f t="shared" si="4"/>
        <v>0</v>
      </c>
      <c r="K9" s="38"/>
      <c r="L9" s="38">
        <f t="shared" si="5"/>
        <v>0</v>
      </c>
      <c r="M9" s="38"/>
      <c r="N9" s="40">
        <f t="shared" si="6"/>
        <v>0</v>
      </c>
      <c r="O9" s="38"/>
      <c r="P9" s="40">
        <f t="shared" si="7"/>
        <v>0</v>
      </c>
      <c r="Q9" s="38"/>
      <c r="R9" s="38">
        <f t="shared" si="8"/>
        <v>0</v>
      </c>
      <c r="S9" s="38"/>
      <c r="T9" s="38">
        <f t="shared" si="9"/>
        <v>0</v>
      </c>
      <c r="U9" s="38"/>
      <c r="V9" s="19">
        <f t="shared" si="10"/>
        <v>0</v>
      </c>
      <c r="W9" s="20">
        <f t="shared" si="0"/>
        <v>18089.4725</v>
      </c>
    </row>
    <row r="10" spans="1:23" ht="35.25" customHeight="1" x14ac:dyDescent="0.25">
      <c r="A10" s="12">
        <v>1984225580</v>
      </c>
      <c r="B10" s="35" t="s">
        <v>75</v>
      </c>
      <c r="C10" s="38">
        <v>15014</v>
      </c>
      <c r="D10" s="40">
        <f t="shared" si="1"/>
        <v>14601.115</v>
      </c>
      <c r="E10" s="38"/>
      <c r="F10" s="38">
        <f t="shared" si="2"/>
        <v>0</v>
      </c>
      <c r="G10" s="38"/>
      <c r="H10" s="38">
        <f t="shared" si="3"/>
        <v>0</v>
      </c>
      <c r="I10" s="38">
        <v>470</v>
      </c>
      <c r="J10" s="38">
        <f t="shared" si="4"/>
        <v>8695</v>
      </c>
      <c r="K10" s="38"/>
      <c r="L10" s="38">
        <f t="shared" si="5"/>
        <v>0</v>
      </c>
      <c r="M10" s="38"/>
      <c r="N10" s="40">
        <f t="shared" si="6"/>
        <v>0</v>
      </c>
      <c r="O10" s="38"/>
      <c r="P10" s="40">
        <f t="shared" si="7"/>
        <v>0</v>
      </c>
      <c r="Q10" s="38"/>
      <c r="R10" s="38">
        <f t="shared" si="8"/>
        <v>0</v>
      </c>
      <c r="S10" s="38"/>
      <c r="T10" s="38">
        <f t="shared" si="9"/>
        <v>0</v>
      </c>
      <c r="U10" s="38"/>
      <c r="V10" s="19">
        <f t="shared" si="10"/>
        <v>0</v>
      </c>
      <c r="W10" s="20">
        <f>D10+F10+H10+J10+L10+N10+P10+R10+T10+V10</f>
        <v>23296.114999999998</v>
      </c>
    </row>
    <row r="11" spans="1:23" ht="37.5" customHeight="1" x14ac:dyDescent="0.25">
      <c r="A11" s="12"/>
      <c r="B11" s="37"/>
      <c r="C11" s="38"/>
      <c r="D11" s="22">
        <f t="shared" si="1"/>
        <v>0</v>
      </c>
      <c r="E11" s="38"/>
      <c r="F11" s="38">
        <f t="shared" si="2"/>
        <v>0</v>
      </c>
      <c r="G11" s="38"/>
      <c r="H11" s="38">
        <f t="shared" si="3"/>
        <v>0</v>
      </c>
      <c r="I11" s="38"/>
      <c r="J11" s="38">
        <f t="shared" si="4"/>
        <v>0</v>
      </c>
      <c r="K11" s="38"/>
      <c r="L11" s="38">
        <f t="shared" si="5"/>
        <v>0</v>
      </c>
      <c r="M11" s="38"/>
      <c r="N11" s="40">
        <f t="shared" si="6"/>
        <v>0</v>
      </c>
      <c r="O11" s="38"/>
      <c r="P11" s="40">
        <f t="shared" si="7"/>
        <v>0</v>
      </c>
      <c r="Q11" s="38"/>
      <c r="R11" s="38">
        <f t="shared" si="8"/>
        <v>0</v>
      </c>
      <c r="S11" s="38"/>
      <c r="T11" s="38">
        <f t="shared" si="9"/>
        <v>0</v>
      </c>
      <c r="U11" s="38"/>
      <c r="V11" s="19">
        <f t="shared" si="10"/>
        <v>0</v>
      </c>
      <c r="W11" s="20">
        <f t="shared" ref="W11" si="11">D11+F11+H11+J11+L11+N11+P11+R11+T11+V11</f>
        <v>0</v>
      </c>
    </row>
    <row r="12" spans="1:23" ht="29.25" customHeight="1" x14ac:dyDescent="0.25">
      <c r="A12" s="2235" t="s">
        <v>31</v>
      </c>
      <c r="B12" s="2235"/>
      <c r="C12" s="18">
        <f t="shared" ref="C12:W12" si="12">SUM(C6:C11)</f>
        <v>131727</v>
      </c>
      <c r="D12" s="18">
        <f t="shared" si="12"/>
        <v>128104.50750000001</v>
      </c>
      <c r="E12" s="18">
        <f t="shared" si="12"/>
        <v>0</v>
      </c>
      <c r="F12" s="18">
        <f t="shared" si="12"/>
        <v>0</v>
      </c>
      <c r="G12" s="18">
        <f t="shared" si="12"/>
        <v>0</v>
      </c>
      <c r="H12" s="18">
        <f t="shared" si="12"/>
        <v>0</v>
      </c>
      <c r="I12" s="18">
        <f t="shared" si="12"/>
        <v>1530</v>
      </c>
      <c r="J12" s="18">
        <f t="shared" si="12"/>
        <v>28305</v>
      </c>
      <c r="K12" s="18">
        <f t="shared" si="12"/>
        <v>0</v>
      </c>
      <c r="L12" s="18">
        <f t="shared" si="12"/>
        <v>0</v>
      </c>
      <c r="M12" s="18">
        <f t="shared" si="12"/>
        <v>0</v>
      </c>
      <c r="N12" s="23">
        <f t="shared" si="12"/>
        <v>0</v>
      </c>
      <c r="O12" s="18">
        <f t="shared" si="12"/>
        <v>0</v>
      </c>
      <c r="P12" s="23">
        <f t="shared" si="12"/>
        <v>0</v>
      </c>
      <c r="Q12" s="18">
        <f t="shared" si="12"/>
        <v>0</v>
      </c>
      <c r="R12" s="18">
        <f t="shared" si="12"/>
        <v>0</v>
      </c>
      <c r="S12" s="18">
        <f t="shared" si="12"/>
        <v>0</v>
      </c>
      <c r="T12" s="18">
        <f t="shared" si="12"/>
        <v>0</v>
      </c>
      <c r="U12" s="18">
        <f t="shared" si="12"/>
        <v>0</v>
      </c>
      <c r="V12" s="18">
        <f t="shared" si="12"/>
        <v>0</v>
      </c>
      <c r="W12" s="18">
        <f t="shared" si="12"/>
        <v>156409.50749999998</v>
      </c>
    </row>
    <row r="14" spans="1:23" ht="22.5" customHeight="1" x14ac:dyDescent="0.25">
      <c r="A14" s="30" t="s">
        <v>32</v>
      </c>
      <c r="B14" s="2236" t="s">
        <v>27</v>
      </c>
      <c r="C14" s="2236"/>
      <c r="D14" s="30" t="s">
        <v>33</v>
      </c>
      <c r="E14" s="30" t="s">
        <v>65</v>
      </c>
      <c r="F14" s="30" t="s">
        <v>34</v>
      </c>
      <c r="G14" s="30" t="s">
        <v>13</v>
      </c>
      <c r="H14" s="31" t="s">
        <v>45</v>
      </c>
      <c r="I14" s="30" t="s">
        <v>17</v>
      </c>
      <c r="J14" s="30" t="s">
        <v>66</v>
      </c>
      <c r="K14" s="30" t="s">
        <v>36</v>
      </c>
      <c r="L14" s="30" t="s">
        <v>37</v>
      </c>
      <c r="M14" s="30" t="s">
        <v>69</v>
      </c>
      <c r="N14" s="30" t="s">
        <v>70</v>
      </c>
      <c r="O14" s="15"/>
      <c r="P14" s="15"/>
      <c r="R14" s="2235" t="s">
        <v>46</v>
      </c>
      <c r="S14" s="35" t="s">
        <v>54</v>
      </c>
      <c r="T14" s="2231">
        <v>10323</v>
      </c>
      <c r="U14" s="2237"/>
      <c r="V14" s="2230"/>
    </row>
    <row r="15" spans="1:23" ht="22.5" customHeight="1" x14ac:dyDescent="0.25">
      <c r="A15" s="11" t="s">
        <v>38</v>
      </c>
      <c r="B15" s="2231">
        <v>263705</v>
      </c>
      <c r="C15" s="2230"/>
      <c r="D15" s="38">
        <v>0</v>
      </c>
      <c r="E15" s="38">
        <v>60</v>
      </c>
      <c r="F15" s="38">
        <v>1770</v>
      </c>
      <c r="G15" s="38">
        <v>0</v>
      </c>
      <c r="H15" s="38">
        <v>0</v>
      </c>
      <c r="I15" s="38">
        <v>0</v>
      </c>
      <c r="J15" s="38">
        <v>44</v>
      </c>
      <c r="K15" s="38">
        <v>20</v>
      </c>
      <c r="L15" s="38">
        <v>1291</v>
      </c>
      <c r="M15" s="38">
        <v>0</v>
      </c>
      <c r="N15" s="38">
        <v>100</v>
      </c>
      <c r="O15" s="21"/>
      <c r="P15" s="21"/>
      <c r="R15" s="2235"/>
      <c r="S15" s="35" t="s">
        <v>64</v>
      </c>
      <c r="T15" s="2225">
        <v>10551</v>
      </c>
      <c r="U15" s="2225"/>
      <c r="V15" s="2225"/>
    </row>
    <row r="16" spans="1:23" ht="24.75" customHeight="1" x14ac:dyDescent="0.25">
      <c r="A16" s="11" t="s">
        <v>39</v>
      </c>
      <c r="B16" s="2231">
        <v>132416</v>
      </c>
      <c r="C16" s="2230"/>
      <c r="D16" s="38"/>
      <c r="E16" s="38">
        <v>500</v>
      </c>
      <c r="F16" s="38">
        <v>500</v>
      </c>
      <c r="G16" s="38"/>
      <c r="H16" s="38">
        <v>400</v>
      </c>
      <c r="I16" s="38"/>
      <c r="J16" s="38"/>
      <c r="K16" s="38"/>
      <c r="L16" s="38"/>
      <c r="M16" s="38"/>
      <c r="N16" s="38"/>
      <c r="O16" s="21"/>
      <c r="P16" s="21"/>
      <c r="R16" s="2254" t="s">
        <v>55</v>
      </c>
      <c r="S16" s="2254"/>
      <c r="T16" s="2234">
        <f>W12</f>
        <v>156409.50749999998</v>
      </c>
      <c r="U16" s="2234"/>
      <c r="V16" s="2225"/>
    </row>
    <row r="17" spans="1:23" ht="24.75" customHeight="1" x14ac:dyDescent="0.25">
      <c r="A17" s="11" t="s">
        <v>44</v>
      </c>
      <c r="B17" s="2231"/>
      <c r="C17" s="2230"/>
      <c r="D17" s="38"/>
      <c r="E17" s="38"/>
      <c r="F17" s="38"/>
      <c r="G17" s="38"/>
      <c r="H17" s="38"/>
      <c r="I17" s="38"/>
      <c r="J17" s="38"/>
      <c r="K17" s="38"/>
      <c r="L17" s="38"/>
      <c r="M17" s="38"/>
      <c r="N17" s="38"/>
      <c r="O17" s="21"/>
      <c r="P17" s="21"/>
      <c r="R17" s="2254" t="s">
        <v>87</v>
      </c>
      <c r="S17" s="2254"/>
      <c r="T17" s="2225">
        <v>100000</v>
      </c>
      <c r="U17" s="2225"/>
      <c r="V17" s="2225"/>
    </row>
    <row r="18" spans="1:23" ht="27" customHeight="1" x14ac:dyDescent="0.25">
      <c r="A18" s="11" t="s">
        <v>40</v>
      </c>
      <c r="B18" s="2229">
        <f>C12</f>
        <v>131727</v>
      </c>
      <c r="C18" s="2230"/>
      <c r="D18" s="39">
        <f>E12</f>
        <v>0</v>
      </c>
      <c r="E18" s="39">
        <f>G12</f>
        <v>0</v>
      </c>
      <c r="F18" s="39">
        <f>I12</f>
        <v>1530</v>
      </c>
      <c r="G18" s="39">
        <f>K12</f>
        <v>0</v>
      </c>
      <c r="H18" s="38"/>
      <c r="I18" s="39">
        <f>S12</f>
        <v>0</v>
      </c>
      <c r="J18" s="38"/>
      <c r="K18" s="39">
        <f>U12</f>
        <v>0</v>
      </c>
      <c r="L18" s="38"/>
      <c r="M18" s="39">
        <f>M12</f>
        <v>0</v>
      </c>
      <c r="N18" s="39">
        <f>O12</f>
        <v>0</v>
      </c>
      <c r="O18" s="21"/>
      <c r="P18" s="21"/>
      <c r="R18" s="2254" t="s">
        <v>57</v>
      </c>
      <c r="S18" s="2254"/>
      <c r="T18" s="2225">
        <f>530+8000</f>
        <v>8530</v>
      </c>
      <c r="U18" s="2225"/>
      <c r="V18" s="2225"/>
      <c r="W18" s="2259" t="s">
        <v>88</v>
      </c>
    </row>
    <row r="19" spans="1:23" ht="25.5" customHeight="1" x14ac:dyDescent="0.25">
      <c r="A19" s="11" t="s">
        <v>41</v>
      </c>
      <c r="B19" s="2231">
        <f>B15+B16+B17-B18</f>
        <v>264394</v>
      </c>
      <c r="C19" s="2230"/>
      <c r="D19" s="38">
        <f>D15+D16+D17-D18</f>
        <v>0</v>
      </c>
      <c r="E19" s="38">
        <f t="shared" ref="E19:N19" si="13">E15+E16+E17-E18</f>
        <v>560</v>
      </c>
      <c r="F19" s="38">
        <f t="shared" si="13"/>
        <v>740</v>
      </c>
      <c r="G19" s="38">
        <f t="shared" si="13"/>
        <v>0</v>
      </c>
      <c r="H19" s="38">
        <f t="shared" si="13"/>
        <v>400</v>
      </c>
      <c r="I19" s="38">
        <f t="shared" si="13"/>
        <v>0</v>
      </c>
      <c r="J19" s="38">
        <f t="shared" si="13"/>
        <v>44</v>
      </c>
      <c r="K19" s="38">
        <f t="shared" si="13"/>
        <v>20</v>
      </c>
      <c r="L19" s="38">
        <f t="shared" si="13"/>
        <v>1291</v>
      </c>
      <c r="M19" s="38">
        <f t="shared" si="13"/>
        <v>0</v>
      </c>
      <c r="N19" s="38">
        <f t="shared" si="13"/>
        <v>100</v>
      </c>
      <c r="O19" s="21"/>
      <c r="P19" s="21"/>
      <c r="R19" s="2256" t="s">
        <v>48</v>
      </c>
      <c r="S19" s="49" t="s">
        <v>58</v>
      </c>
      <c r="T19" s="2225">
        <v>247140</v>
      </c>
      <c r="U19" s="2225"/>
      <c r="V19" s="2225"/>
      <c r="W19" s="2259"/>
    </row>
    <row r="20" spans="1:23" ht="23.25" customHeight="1" x14ac:dyDescent="0.25">
      <c r="A20" s="15"/>
      <c r="B20" s="10"/>
      <c r="C20" s="10"/>
      <c r="D20" s="10"/>
      <c r="E20" s="10"/>
      <c r="F20" s="10"/>
      <c r="G20" s="10"/>
      <c r="H20" s="10"/>
      <c r="I20" s="10"/>
      <c r="J20" s="10"/>
      <c r="K20" s="10"/>
      <c r="L20" s="10"/>
      <c r="M20" s="10"/>
      <c r="N20" s="10"/>
      <c r="O20" s="10"/>
      <c r="P20" s="10"/>
      <c r="R20" s="2257"/>
      <c r="S20" s="49" t="s">
        <v>59</v>
      </c>
      <c r="T20" s="2225"/>
      <c r="U20" s="2225"/>
      <c r="V20" s="2225"/>
      <c r="W20" s="2259"/>
    </row>
    <row r="21" spans="1:23" ht="33.75" customHeight="1" x14ac:dyDescent="0.25">
      <c r="A21" s="15"/>
      <c r="B21" s="10"/>
      <c r="C21" s="10"/>
      <c r="D21" s="10"/>
      <c r="E21" s="10"/>
      <c r="F21" s="10"/>
      <c r="G21" s="10"/>
      <c r="H21" s="10"/>
      <c r="I21" s="10"/>
      <c r="J21" s="10"/>
      <c r="K21" s="10"/>
      <c r="L21" s="10"/>
      <c r="M21" s="10"/>
      <c r="N21" s="10"/>
      <c r="O21" s="10"/>
      <c r="P21" s="10"/>
      <c r="R21" s="2251" t="s">
        <v>83</v>
      </c>
      <c r="S21" s="50" t="s">
        <v>60</v>
      </c>
      <c r="T21" s="2225">
        <v>147140</v>
      </c>
      <c r="U21" s="2225"/>
      <c r="V21" s="2225"/>
      <c r="W21" s="2259"/>
    </row>
    <row r="22" spans="1:23" ht="29.25" customHeight="1" x14ac:dyDescent="0.25">
      <c r="A22" s="10"/>
      <c r="B22" s="2258" t="s">
        <v>49</v>
      </c>
      <c r="C22" s="2249">
        <v>540518</v>
      </c>
      <c r="D22" s="2225">
        <v>247140</v>
      </c>
      <c r="E22" s="2225">
        <v>246962</v>
      </c>
      <c r="F22" s="2225">
        <f>C22-D22+E22</f>
        <v>540340</v>
      </c>
      <c r="G22" s="10"/>
      <c r="H22" s="10"/>
      <c r="I22" s="10"/>
      <c r="J22" s="10"/>
      <c r="K22" s="10"/>
      <c r="L22" s="10"/>
      <c r="M22" s="10"/>
      <c r="N22" s="10"/>
      <c r="O22" s="10"/>
      <c r="P22" s="10"/>
      <c r="R22" s="2252"/>
      <c r="S22" s="50" t="s">
        <v>61</v>
      </c>
      <c r="T22" s="2225">
        <v>147140</v>
      </c>
      <c r="U22" s="2225"/>
      <c r="V22" s="2225"/>
      <c r="W22" s="2259"/>
    </row>
    <row r="23" spans="1:23" ht="47.25" customHeight="1" x14ac:dyDescent="0.25">
      <c r="A23" s="10"/>
      <c r="B23" s="2258"/>
      <c r="C23" s="2250"/>
      <c r="D23" s="2225"/>
      <c r="E23" s="2225"/>
      <c r="F23" s="2225"/>
      <c r="G23" s="10"/>
      <c r="H23" s="10"/>
      <c r="I23" s="10"/>
      <c r="J23" s="10"/>
      <c r="K23" s="10"/>
      <c r="L23" s="10"/>
      <c r="M23" s="10"/>
      <c r="N23" s="10"/>
      <c r="O23" s="10"/>
      <c r="P23" s="10"/>
      <c r="R23" s="2235" t="s">
        <v>47</v>
      </c>
      <c r="S23" s="51" t="s">
        <v>62</v>
      </c>
      <c r="T23" s="2224">
        <f>T14+T16+T17-T18-T19-T20-T21+T22</f>
        <v>11062.507499999949</v>
      </c>
      <c r="U23" s="2224"/>
      <c r="V23" s="2224"/>
      <c r="W23" s="2259"/>
    </row>
    <row r="24" spans="1:23" ht="27" customHeight="1" x14ac:dyDescent="0.25">
      <c r="B24" s="2258"/>
      <c r="C24" s="35" t="s">
        <v>46</v>
      </c>
      <c r="D24" s="35" t="s">
        <v>50</v>
      </c>
      <c r="E24" s="35" t="s">
        <v>51</v>
      </c>
      <c r="F24" s="35" t="s">
        <v>52</v>
      </c>
      <c r="R24" s="2235"/>
      <c r="S24" s="51" t="s">
        <v>63</v>
      </c>
      <c r="T24" s="2225">
        <f>T15+T21-T22</f>
        <v>10551</v>
      </c>
      <c r="U24" s="2225"/>
      <c r="V24" s="2225"/>
    </row>
  </sheetData>
  <mergeCells count="47">
    <mergeCell ref="W18:W23"/>
    <mergeCell ref="B19:C19"/>
    <mergeCell ref="R19:R20"/>
    <mergeCell ref="T19:V19"/>
    <mergeCell ref="T20:V20"/>
    <mergeCell ref="R21:R22"/>
    <mergeCell ref="T21:V21"/>
    <mergeCell ref="T22:V22"/>
    <mergeCell ref="R23:R24"/>
    <mergeCell ref="T23:V23"/>
    <mergeCell ref="T24:V24"/>
    <mergeCell ref="B18:C18"/>
    <mergeCell ref="R18:S18"/>
    <mergeCell ref="T18:V18"/>
    <mergeCell ref="B22:B24"/>
    <mergeCell ref="C22:C23"/>
    <mergeCell ref="R16:S16"/>
    <mergeCell ref="T16:V16"/>
    <mergeCell ref="B17:C17"/>
    <mergeCell ref="R17:S17"/>
    <mergeCell ref="T17:V17"/>
    <mergeCell ref="D22:D23"/>
    <mergeCell ref="E22:E23"/>
    <mergeCell ref="F22:F23"/>
    <mergeCell ref="A12:B12"/>
    <mergeCell ref="B14:C14"/>
    <mergeCell ref="B16:C16"/>
    <mergeCell ref="R14:R15"/>
    <mergeCell ref="T14:V14"/>
    <mergeCell ref="B15:C15"/>
    <mergeCell ref="T15:V15"/>
    <mergeCell ref="W4:W5"/>
    <mergeCell ref="A1:W1"/>
    <mergeCell ref="A2:W2"/>
    <mergeCell ref="R3:W3"/>
    <mergeCell ref="A4:A5"/>
    <mergeCell ref="B4:B5"/>
    <mergeCell ref="C4:D4"/>
    <mergeCell ref="E4:F4"/>
    <mergeCell ref="G4:H4"/>
    <mergeCell ref="I4:J4"/>
    <mergeCell ref="K4:L4"/>
    <mergeCell ref="M4:N4"/>
    <mergeCell ref="O4:P4"/>
    <mergeCell ref="Q4:R4"/>
    <mergeCell ref="S4:T4"/>
    <mergeCell ref="U4:V4"/>
  </mergeCells>
  <pageMargins left="0.15748031496063" right="0.15748031496063" top="0" bottom="0" header="0" footer="0"/>
  <pageSetup paperSize="9" scale="54" orientation="landscape"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sheetPr>
    <pageSetUpPr fitToPage="1"/>
  </sheetPr>
  <dimension ref="A1:W24"/>
  <sheetViews>
    <sheetView topLeftCell="A7" zoomScale="71" zoomScaleNormal="71" zoomScaleSheetLayoutView="100" workbookViewId="0">
      <selection activeCell="T18" sqref="T18:V18"/>
    </sheetView>
  </sheetViews>
  <sheetFormatPr defaultColWidth="9.140625" defaultRowHeight="15" x14ac:dyDescent="0.25"/>
  <cols>
    <col min="1" max="1" width="21.7109375" style="14" bestFit="1" customWidth="1"/>
    <col min="2" max="2" width="19.5703125" style="14" customWidth="1"/>
    <col min="3" max="3" width="10.42578125" style="14" customWidth="1"/>
    <col min="4" max="4" width="11" style="14" customWidth="1"/>
    <col min="5" max="5" width="12" style="14" customWidth="1"/>
    <col min="6" max="6" width="12.5703125" style="14" bestFit="1" customWidth="1"/>
    <col min="7" max="7" width="9.28515625" style="14" bestFit="1" customWidth="1"/>
    <col min="8" max="8" width="10.140625" style="14" bestFit="1" customWidth="1"/>
    <col min="9" max="9" width="10.5703125" style="14" bestFit="1" customWidth="1"/>
    <col min="10" max="10" width="10.5703125" style="14" customWidth="1"/>
    <col min="11" max="11" width="10.28515625" style="14" bestFit="1" customWidth="1"/>
    <col min="12" max="12" width="9.42578125" style="14" bestFit="1" customWidth="1"/>
    <col min="13" max="13" width="9.85546875" style="14" bestFit="1" customWidth="1"/>
    <col min="14" max="14" width="10.140625" style="14" bestFit="1" customWidth="1"/>
    <col min="15" max="15" width="10.28515625" style="14" bestFit="1" customWidth="1"/>
    <col min="16" max="17" width="9.42578125" style="14" bestFit="1" customWidth="1"/>
    <col min="18" max="18" width="12.5703125" style="14" customWidth="1"/>
    <col min="19" max="19" width="16.7109375" style="14" customWidth="1"/>
    <col min="20" max="20" width="7.85546875" style="14" bestFit="1" customWidth="1"/>
    <col min="21" max="21" width="7.42578125" style="14" customWidth="1"/>
    <col min="22" max="22" width="7.28515625" style="14" customWidth="1"/>
    <col min="23" max="23" width="12.85546875" style="14" customWidth="1"/>
    <col min="24" max="16384" width="9.140625" style="14"/>
  </cols>
  <sheetData>
    <row r="1" spans="1:23" ht="46.15" customHeight="1" x14ac:dyDescent="0.25">
      <c r="A1" s="2240" t="s">
        <v>76</v>
      </c>
      <c r="B1" s="2240"/>
      <c r="C1" s="2240"/>
      <c r="D1" s="2240"/>
      <c r="E1" s="2240"/>
      <c r="F1" s="2240"/>
      <c r="G1" s="2240"/>
      <c r="H1" s="2240"/>
      <c r="I1" s="2240"/>
      <c r="J1" s="2240"/>
      <c r="K1" s="2240"/>
      <c r="L1" s="2240"/>
      <c r="M1" s="2240"/>
      <c r="N1" s="2240"/>
      <c r="O1" s="2240"/>
      <c r="P1" s="2240"/>
      <c r="Q1" s="2240"/>
      <c r="R1" s="2240"/>
      <c r="S1" s="2240"/>
      <c r="T1" s="2240"/>
      <c r="U1" s="2240"/>
      <c r="V1" s="2240"/>
      <c r="W1" s="2240"/>
    </row>
    <row r="2" spans="1:23" ht="21.6" customHeight="1" x14ac:dyDescent="0.25">
      <c r="A2" s="2241" t="s">
        <v>77</v>
      </c>
      <c r="B2" s="2241"/>
      <c r="C2" s="2241"/>
      <c r="D2" s="2241"/>
      <c r="E2" s="2241"/>
      <c r="F2" s="2241"/>
      <c r="G2" s="2241"/>
      <c r="H2" s="2241"/>
      <c r="I2" s="2241"/>
      <c r="J2" s="2241"/>
      <c r="K2" s="2241"/>
      <c r="L2" s="2241"/>
      <c r="M2" s="2241"/>
      <c r="N2" s="2241"/>
      <c r="O2" s="2241"/>
      <c r="P2" s="2241"/>
      <c r="Q2" s="2241"/>
      <c r="R2" s="2241"/>
      <c r="S2" s="2241"/>
      <c r="T2" s="2241"/>
      <c r="U2" s="2241"/>
      <c r="V2" s="2241"/>
      <c r="W2" s="2241"/>
    </row>
    <row r="3" spans="1:23" ht="21" customHeight="1" x14ac:dyDescent="0.25">
      <c r="A3" s="47"/>
      <c r="B3" s="47"/>
      <c r="C3" s="47"/>
      <c r="D3" s="47"/>
      <c r="E3" s="47"/>
      <c r="F3" s="47"/>
      <c r="G3" s="47"/>
      <c r="H3" s="47"/>
      <c r="I3" s="47"/>
      <c r="J3" s="47"/>
      <c r="K3" s="47"/>
      <c r="L3" s="47"/>
      <c r="M3" s="47"/>
      <c r="N3" s="47"/>
      <c r="O3" s="47"/>
      <c r="P3" s="47"/>
      <c r="Q3" s="47"/>
      <c r="R3" s="2242" t="s">
        <v>89</v>
      </c>
      <c r="S3" s="2242"/>
      <c r="T3" s="2242"/>
      <c r="U3" s="2242"/>
      <c r="V3" s="2242"/>
      <c r="W3" s="2242"/>
    </row>
    <row r="4" spans="1:23" s="47" customFormat="1" ht="18" customHeight="1" x14ac:dyDescent="0.25">
      <c r="A4" s="2243" t="s">
        <v>25</v>
      </c>
      <c r="B4" s="2243" t="s">
        <v>26</v>
      </c>
      <c r="C4" s="2244" t="s">
        <v>27</v>
      </c>
      <c r="D4" s="2244"/>
      <c r="E4" s="2244" t="s">
        <v>28</v>
      </c>
      <c r="F4" s="2244"/>
      <c r="G4" s="2244" t="s">
        <v>65</v>
      </c>
      <c r="H4" s="2244"/>
      <c r="I4" s="2244" t="s">
        <v>29</v>
      </c>
      <c r="J4" s="2244"/>
      <c r="K4" s="2245" t="s">
        <v>13</v>
      </c>
      <c r="L4" s="2246"/>
      <c r="M4" s="2245" t="s">
        <v>67</v>
      </c>
      <c r="N4" s="2246"/>
      <c r="O4" s="2245" t="s">
        <v>68</v>
      </c>
      <c r="P4" s="2246"/>
      <c r="Q4" s="2244" t="s">
        <v>35</v>
      </c>
      <c r="R4" s="2244"/>
      <c r="S4" s="2245" t="s">
        <v>17</v>
      </c>
      <c r="T4" s="2246"/>
      <c r="U4" s="2247" t="s">
        <v>36</v>
      </c>
      <c r="V4" s="2248"/>
      <c r="W4" s="2238" t="s">
        <v>30</v>
      </c>
    </row>
    <row r="5" spans="1:23" s="47" customFormat="1" ht="25.5" customHeight="1" x14ac:dyDescent="0.25">
      <c r="A5" s="2243"/>
      <c r="B5" s="2243"/>
      <c r="C5" s="46" t="s">
        <v>42</v>
      </c>
      <c r="D5" s="46" t="s">
        <v>43</v>
      </c>
      <c r="E5" s="46" t="s">
        <v>42</v>
      </c>
      <c r="F5" s="46" t="s">
        <v>43</v>
      </c>
      <c r="G5" s="46" t="s">
        <v>42</v>
      </c>
      <c r="H5" s="46" t="s">
        <v>43</v>
      </c>
      <c r="I5" s="46" t="s">
        <v>42</v>
      </c>
      <c r="J5" s="46" t="s">
        <v>43</v>
      </c>
      <c r="K5" s="46" t="s">
        <v>42</v>
      </c>
      <c r="L5" s="46" t="s">
        <v>43</v>
      </c>
      <c r="M5" s="46" t="s">
        <v>42</v>
      </c>
      <c r="N5" s="46" t="s">
        <v>43</v>
      </c>
      <c r="O5" s="46" t="s">
        <v>42</v>
      </c>
      <c r="P5" s="46" t="s">
        <v>43</v>
      </c>
      <c r="Q5" s="33" t="s">
        <v>42</v>
      </c>
      <c r="R5" s="33" t="s">
        <v>43</v>
      </c>
      <c r="S5" s="30" t="s">
        <v>42</v>
      </c>
      <c r="T5" s="30" t="s">
        <v>43</v>
      </c>
      <c r="U5" s="30" t="s">
        <v>42</v>
      </c>
      <c r="V5" s="30" t="s">
        <v>43</v>
      </c>
      <c r="W5" s="2239"/>
    </row>
    <row r="6" spans="1:23" ht="34.5" customHeight="1" x14ac:dyDescent="0.25">
      <c r="A6" s="12">
        <v>1409935200</v>
      </c>
      <c r="B6" s="45" t="s">
        <v>71</v>
      </c>
      <c r="C6" s="42">
        <v>48424</v>
      </c>
      <c r="D6" s="41">
        <f>0.9725*C6</f>
        <v>47092.340000000004</v>
      </c>
      <c r="E6" s="42"/>
      <c r="F6" s="42">
        <f>13.7*E6</f>
        <v>0</v>
      </c>
      <c r="G6" s="42"/>
      <c r="H6" s="42">
        <f>28.2*G6</f>
        <v>0</v>
      </c>
      <c r="I6" s="42"/>
      <c r="J6" s="42">
        <f>18.5*I6</f>
        <v>0</v>
      </c>
      <c r="K6" s="42"/>
      <c r="L6" s="42">
        <f>19.5*K6</f>
        <v>0</v>
      </c>
      <c r="M6" s="42"/>
      <c r="N6" s="41">
        <f>M6*9.75</f>
        <v>0</v>
      </c>
      <c r="O6" s="42"/>
      <c r="P6" s="41">
        <f>O6*48.62</f>
        <v>0</v>
      </c>
      <c r="Q6" s="42"/>
      <c r="R6" s="42">
        <f>241*Q6</f>
        <v>0</v>
      </c>
      <c r="S6" s="42"/>
      <c r="T6" s="42">
        <f>232*S6</f>
        <v>0</v>
      </c>
      <c r="U6" s="42"/>
      <c r="V6" s="19">
        <f>U6*100</f>
        <v>0</v>
      </c>
      <c r="W6" s="20">
        <f t="shared" ref="W6:W9" si="0">D6+F6+H6+J6+L6+N6+P6+R6+T6+V6</f>
        <v>47092.340000000004</v>
      </c>
    </row>
    <row r="7" spans="1:23" ht="31.5" customHeight="1" x14ac:dyDescent="0.25">
      <c r="A7" s="12">
        <v>1984225578</v>
      </c>
      <c r="B7" s="45" t="s">
        <v>72</v>
      </c>
      <c r="C7" s="42">
        <v>75479</v>
      </c>
      <c r="D7" s="41">
        <f t="shared" ref="D7:D11" si="1">0.9725*C7</f>
        <v>73403.327499999999</v>
      </c>
      <c r="E7" s="42"/>
      <c r="F7" s="42">
        <f t="shared" ref="F7:F11" si="2">13.7*E7</f>
        <v>0</v>
      </c>
      <c r="G7" s="42">
        <v>360</v>
      </c>
      <c r="H7" s="42">
        <f t="shared" ref="H7:H11" si="3">28.2*G7</f>
        <v>10152</v>
      </c>
      <c r="I7" s="42">
        <v>190</v>
      </c>
      <c r="J7" s="42">
        <f t="shared" ref="J7:J11" si="4">18.5*I7</f>
        <v>3515</v>
      </c>
      <c r="K7" s="42"/>
      <c r="L7" s="42">
        <f t="shared" ref="L7:L11" si="5">19.5*K7</f>
        <v>0</v>
      </c>
      <c r="M7" s="42"/>
      <c r="N7" s="41">
        <f t="shared" ref="N7:N11" si="6">M7*9.75</f>
        <v>0</v>
      </c>
      <c r="O7" s="42"/>
      <c r="P7" s="41">
        <f t="shared" ref="P7:P11" si="7">O7*48.62</f>
        <v>0</v>
      </c>
      <c r="Q7" s="42"/>
      <c r="R7" s="42">
        <f t="shared" ref="R7:R11" si="8">241*Q7</f>
        <v>0</v>
      </c>
      <c r="S7" s="42"/>
      <c r="T7" s="42">
        <f t="shared" ref="T7:T11" si="9">232*S7</f>
        <v>0</v>
      </c>
      <c r="U7" s="42"/>
      <c r="V7" s="19">
        <f t="shared" ref="V7:V11" si="10">U7*100</f>
        <v>0</v>
      </c>
      <c r="W7" s="20">
        <f t="shared" si="0"/>
        <v>87070.327499999999</v>
      </c>
    </row>
    <row r="8" spans="1:23" ht="35.25" customHeight="1" x14ac:dyDescent="0.25">
      <c r="A8" s="12">
        <v>1967020280</v>
      </c>
      <c r="B8" s="45" t="s">
        <v>73</v>
      </c>
      <c r="C8" s="42">
        <v>55765</v>
      </c>
      <c r="D8" s="41">
        <f t="shared" si="1"/>
        <v>54231.462500000001</v>
      </c>
      <c r="E8" s="42"/>
      <c r="F8" s="42">
        <f t="shared" si="2"/>
        <v>0</v>
      </c>
      <c r="G8" s="42"/>
      <c r="H8" s="42">
        <f t="shared" si="3"/>
        <v>0</v>
      </c>
      <c r="I8" s="42"/>
      <c r="J8" s="42">
        <f t="shared" si="4"/>
        <v>0</v>
      </c>
      <c r="K8" s="42"/>
      <c r="L8" s="42">
        <f t="shared" si="5"/>
        <v>0</v>
      </c>
      <c r="M8" s="42"/>
      <c r="N8" s="41">
        <f t="shared" si="6"/>
        <v>0</v>
      </c>
      <c r="O8" s="42"/>
      <c r="P8" s="41">
        <f t="shared" si="7"/>
        <v>0</v>
      </c>
      <c r="Q8" s="42"/>
      <c r="R8" s="42">
        <f t="shared" si="8"/>
        <v>0</v>
      </c>
      <c r="S8" s="42"/>
      <c r="T8" s="42">
        <f t="shared" si="9"/>
        <v>0</v>
      </c>
      <c r="U8" s="42"/>
      <c r="V8" s="19">
        <f t="shared" si="10"/>
        <v>0</v>
      </c>
      <c r="W8" s="20">
        <f t="shared" si="0"/>
        <v>54231.462500000001</v>
      </c>
    </row>
    <row r="9" spans="1:23" ht="38.25" customHeight="1" x14ac:dyDescent="0.25">
      <c r="A9" s="12">
        <v>1409935199</v>
      </c>
      <c r="B9" s="45" t="s">
        <v>74</v>
      </c>
      <c r="C9" s="42">
        <v>32701</v>
      </c>
      <c r="D9" s="41">
        <f t="shared" si="1"/>
        <v>31801.7225</v>
      </c>
      <c r="E9" s="42"/>
      <c r="F9" s="42">
        <f t="shared" si="2"/>
        <v>0</v>
      </c>
      <c r="G9" s="42">
        <v>50</v>
      </c>
      <c r="H9" s="42">
        <f t="shared" si="3"/>
        <v>1410</v>
      </c>
      <c r="I9" s="42"/>
      <c r="J9" s="42">
        <f t="shared" si="4"/>
        <v>0</v>
      </c>
      <c r="K9" s="42"/>
      <c r="L9" s="42">
        <f t="shared" si="5"/>
        <v>0</v>
      </c>
      <c r="M9" s="42"/>
      <c r="N9" s="41">
        <f t="shared" si="6"/>
        <v>0</v>
      </c>
      <c r="O9" s="42"/>
      <c r="P9" s="41">
        <f t="shared" si="7"/>
        <v>0</v>
      </c>
      <c r="Q9" s="42"/>
      <c r="R9" s="42">
        <f t="shared" si="8"/>
        <v>0</v>
      </c>
      <c r="S9" s="42"/>
      <c r="T9" s="42">
        <f t="shared" si="9"/>
        <v>0</v>
      </c>
      <c r="U9" s="42"/>
      <c r="V9" s="19">
        <f t="shared" si="10"/>
        <v>0</v>
      </c>
      <c r="W9" s="20">
        <f t="shared" si="0"/>
        <v>33211.722500000003</v>
      </c>
    </row>
    <row r="10" spans="1:23" ht="35.25" customHeight="1" x14ac:dyDescent="0.25">
      <c r="A10" s="12">
        <v>1984225580</v>
      </c>
      <c r="B10" s="45" t="s">
        <v>75</v>
      </c>
      <c r="C10" s="42">
        <v>77635</v>
      </c>
      <c r="D10" s="41">
        <f t="shared" si="1"/>
        <v>75500.037500000006</v>
      </c>
      <c r="E10" s="42"/>
      <c r="F10" s="42">
        <f t="shared" si="2"/>
        <v>0</v>
      </c>
      <c r="G10" s="42"/>
      <c r="H10" s="42">
        <f t="shared" si="3"/>
        <v>0</v>
      </c>
      <c r="I10" s="42">
        <v>30</v>
      </c>
      <c r="J10" s="42">
        <f t="shared" si="4"/>
        <v>555</v>
      </c>
      <c r="K10" s="42"/>
      <c r="L10" s="42">
        <f t="shared" si="5"/>
        <v>0</v>
      </c>
      <c r="M10" s="42"/>
      <c r="N10" s="41">
        <f t="shared" si="6"/>
        <v>0</v>
      </c>
      <c r="O10" s="42"/>
      <c r="P10" s="41">
        <f t="shared" si="7"/>
        <v>0</v>
      </c>
      <c r="Q10" s="42"/>
      <c r="R10" s="42">
        <f t="shared" si="8"/>
        <v>0</v>
      </c>
      <c r="S10" s="42"/>
      <c r="T10" s="42">
        <f t="shared" si="9"/>
        <v>0</v>
      </c>
      <c r="U10" s="42"/>
      <c r="V10" s="19">
        <f t="shared" si="10"/>
        <v>0</v>
      </c>
      <c r="W10" s="20">
        <f>D10+F10+H10+J10+L10+N10+P10+R10+T10+V10</f>
        <v>76055.037500000006</v>
      </c>
    </row>
    <row r="11" spans="1:23" ht="37.5" customHeight="1" x14ac:dyDescent="0.25">
      <c r="A11" s="12"/>
      <c r="B11" s="43"/>
      <c r="C11" s="42">
        <v>258630</v>
      </c>
      <c r="D11" s="22">
        <f t="shared" si="1"/>
        <v>251517.67500000002</v>
      </c>
      <c r="E11" s="42"/>
      <c r="F11" s="42">
        <f t="shared" si="2"/>
        <v>0</v>
      </c>
      <c r="G11" s="42"/>
      <c r="H11" s="42">
        <f t="shared" si="3"/>
        <v>0</v>
      </c>
      <c r="I11" s="42"/>
      <c r="J11" s="42">
        <f t="shared" si="4"/>
        <v>0</v>
      </c>
      <c r="K11" s="42"/>
      <c r="L11" s="42">
        <f t="shared" si="5"/>
        <v>0</v>
      </c>
      <c r="M11" s="42"/>
      <c r="N11" s="41">
        <f t="shared" si="6"/>
        <v>0</v>
      </c>
      <c r="O11" s="42"/>
      <c r="P11" s="41">
        <f t="shared" si="7"/>
        <v>0</v>
      </c>
      <c r="Q11" s="42">
        <v>7</v>
      </c>
      <c r="R11" s="42">
        <f t="shared" si="8"/>
        <v>1687</v>
      </c>
      <c r="S11" s="42"/>
      <c r="T11" s="42">
        <f t="shared" si="9"/>
        <v>0</v>
      </c>
      <c r="U11" s="42"/>
      <c r="V11" s="19">
        <f t="shared" si="10"/>
        <v>0</v>
      </c>
      <c r="W11" s="20">
        <f t="shared" ref="W11" si="11">D11+F11+H11+J11+L11+N11+P11+R11+T11+V11</f>
        <v>253204.67500000002</v>
      </c>
    </row>
    <row r="12" spans="1:23" ht="29.25" customHeight="1" x14ac:dyDescent="0.25">
      <c r="A12" s="2235" t="s">
        <v>31</v>
      </c>
      <c r="B12" s="2235"/>
      <c r="C12" s="18">
        <f t="shared" ref="C12:W12" si="12">SUM(C6:C11)</f>
        <v>548634</v>
      </c>
      <c r="D12" s="18">
        <f t="shared" si="12"/>
        <v>533546.56500000006</v>
      </c>
      <c r="E12" s="18">
        <f t="shared" si="12"/>
        <v>0</v>
      </c>
      <c r="F12" s="18">
        <f t="shared" si="12"/>
        <v>0</v>
      </c>
      <c r="G12" s="18">
        <f t="shared" si="12"/>
        <v>410</v>
      </c>
      <c r="H12" s="18">
        <f t="shared" si="12"/>
        <v>11562</v>
      </c>
      <c r="I12" s="18">
        <f t="shared" si="12"/>
        <v>220</v>
      </c>
      <c r="J12" s="18">
        <f t="shared" si="12"/>
        <v>4070</v>
      </c>
      <c r="K12" s="18">
        <f t="shared" si="12"/>
        <v>0</v>
      </c>
      <c r="L12" s="18">
        <f t="shared" si="12"/>
        <v>0</v>
      </c>
      <c r="M12" s="18">
        <f t="shared" si="12"/>
        <v>0</v>
      </c>
      <c r="N12" s="23">
        <f t="shared" si="12"/>
        <v>0</v>
      </c>
      <c r="O12" s="18">
        <f t="shared" si="12"/>
        <v>0</v>
      </c>
      <c r="P12" s="23">
        <f t="shared" si="12"/>
        <v>0</v>
      </c>
      <c r="Q12" s="18">
        <f t="shared" si="12"/>
        <v>7</v>
      </c>
      <c r="R12" s="18">
        <f t="shared" si="12"/>
        <v>1687</v>
      </c>
      <c r="S12" s="18">
        <f t="shared" si="12"/>
        <v>0</v>
      </c>
      <c r="T12" s="18">
        <f t="shared" si="12"/>
        <v>0</v>
      </c>
      <c r="U12" s="18">
        <f t="shared" si="12"/>
        <v>0</v>
      </c>
      <c r="V12" s="18">
        <f t="shared" si="12"/>
        <v>0</v>
      </c>
      <c r="W12" s="18">
        <f t="shared" si="12"/>
        <v>550865.56500000006</v>
      </c>
    </row>
    <row r="14" spans="1:23" ht="22.5" customHeight="1" x14ac:dyDescent="0.25">
      <c r="A14" s="30" t="s">
        <v>32</v>
      </c>
      <c r="B14" s="2236" t="s">
        <v>27</v>
      </c>
      <c r="C14" s="2236"/>
      <c r="D14" s="30" t="s">
        <v>33</v>
      </c>
      <c r="E14" s="30" t="s">
        <v>65</v>
      </c>
      <c r="F14" s="30" t="s">
        <v>34</v>
      </c>
      <c r="G14" s="30" t="s">
        <v>13</v>
      </c>
      <c r="H14" s="31" t="s">
        <v>45</v>
      </c>
      <c r="I14" s="30" t="s">
        <v>17</v>
      </c>
      <c r="J14" s="30" t="s">
        <v>66</v>
      </c>
      <c r="K14" s="30" t="s">
        <v>36</v>
      </c>
      <c r="L14" s="30" t="s">
        <v>37</v>
      </c>
      <c r="M14" s="30" t="s">
        <v>69</v>
      </c>
      <c r="N14" s="30" t="s">
        <v>70</v>
      </c>
      <c r="O14" s="15"/>
      <c r="P14" s="15"/>
      <c r="R14" s="2235" t="s">
        <v>46</v>
      </c>
      <c r="S14" s="45" t="s">
        <v>54</v>
      </c>
      <c r="T14" s="2231">
        <v>11063</v>
      </c>
      <c r="U14" s="2237"/>
      <c r="V14" s="2230"/>
    </row>
    <row r="15" spans="1:23" ht="22.5" customHeight="1" x14ac:dyDescent="0.25">
      <c r="A15" s="11" t="s">
        <v>38</v>
      </c>
      <c r="B15" s="2231">
        <v>264394</v>
      </c>
      <c r="C15" s="2230"/>
      <c r="D15" s="42">
        <v>0</v>
      </c>
      <c r="E15" s="42">
        <v>560</v>
      </c>
      <c r="F15" s="42">
        <v>740</v>
      </c>
      <c r="G15" s="42">
        <v>0</v>
      </c>
      <c r="H15" s="42">
        <v>400</v>
      </c>
      <c r="I15" s="42">
        <v>0</v>
      </c>
      <c r="J15" s="42">
        <v>44</v>
      </c>
      <c r="K15" s="42">
        <v>20</v>
      </c>
      <c r="L15" s="42">
        <v>1291</v>
      </c>
      <c r="M15" s="42">
        <v>0</v>
      </c>
      <c r="N15" s="42">
        <v>100</v>
      </c>
      <c r="O15" s="21"/>
      <c r="P15" s="21"/>
      <c r="R15" s="2235"/>
      <c r="S15" s="45" t="s">
        <v>64</v>
      </c>
      <c r="T15" s="2225">
        <v>10551</v>
      </c>
      <c r="U15" s="2225"/>
      <c r="V15" s="2225"/>
    </row>
    <row r="16" spans="1:23" ht="24.75" customHeight="1" x14ac:dyDescent="0.25">
      <c r="A16" s="11" t="s">
        <v>39</v>
      </c>
      <c r="B16" s="2231">
        <v>365506</v>
      </c>
      <c r="C16" s="2230"/>
      <c r="D16" s="42"/>
      <c r="E16" s="42"/>
      <c r="F16" s="42"/>
      <c r="G16" s="42"/>
      <c r="H16" s="42">
        <v>200</v>
      </c>
      <c r="I16" s="42"/>
      <c r="J16" s="42"/>
      <c r="K16" s="42"/>
      <c r="L16" s="42">
        <v>400</v>
      </c>
      <c r="M16" s="42"/>
      <c r="N16" s="42"/>
      <c r="O16" s="21"/>
      <c r="P16" s="21"/>
      <c r="R16" s="2254" t="s">
        <v>55</v>
      </c>
      <c r="S16" s="2254"/>
      <c r="T16" s="2234">
        <f>W12</f>
        <v>550865.56500000006</v>
      </c>
      <c r="U16" s="2234"/>
      <c r="V16" s="2225"/>
    </row>
    <row r="17" spans="1:23" ht="24.75" customHeight="1" x14ac:dyDescent="0.25">
      <c r="A17" s="11" t="s">
        <v>44</v>
      </c>
      <c r="B17" s="2231">
        <v>54264</v>
      </c>
      <c r="C17" s="2230"/>
      <c r="D17" s="42"/>
      <c r="E17" s="42"/>
      <c r="F17" s="42"/>
      <c r="G17" s="42"/>
      <c r="H17" s="42"/>
      <c r="I17" s="42"/>
      <c r="J17" s="42"/>
      <c r="K17" s="42"/>
      <c r="L17" s="42"/>
      <c r="M17" s="42"/>
      <c r="N17" s="42"/>
      <c r="O17" s="21"/>
      <c r="P17" s="21"/>
      <c r="R17" s="2254" t="s">
        <v>87</v>
      </c>
      <c r="S17" s="2254"/>
      <c r="T17" s="2225"/>
      <c r="U17" s="2225"/>
      <c r="V17" s="2225"/>
    </row>
    <row r="18" spans="1:23" ht="27" customHeight="1" x14ac:dyDescent="0.25">
      <c r="A18" s="11" t="s">
        <v>40</v>
      </c>
      <c r="B18" s="2229">
        <f>C12</f>
        <v>548634</v>
      </c>
      <c r="C18" s="2230"/>
      <c r="D18" s="44">
        <f>E12</f>
        <v>0</v>
      </c>
      <c r="E18" s="44">
        <f>G12</f>
        <v>410</v>
      </c>
      <c r="F18" s="44">
        <f>I12</f>
        <v>220</v>
      </c>
      <c r="G18" s="44">
        <f>K12</f>
        <v>0</v>
      </c>
      <c r="H18" s="42">
        <v>400</v>
      </c>
      <c r="I18" s="44">
        <f>S12</f>
        <v>0</v>
      </c>
      <c r="J18" s="42"/>
      <c r="K18" s="44">
        <f>U12</f>
        <v>0</v>
      </c>
      <c r="L18" s="42">
        <v>7</v>
      </c>
      <c r="M18" s="44">
        <f>M12</f>
        <v>0</v>
      </c>
      <c r="N18" s="44">
        <f>O12</f>
        <v>0</v>
      </c>
      <c r="O18" s="21"/>
      <c r="P18" s="21"/>
      <c r="R18" s="2254" t="s">
        <v>57</v>
      </c>
      <c r="S18" s="2254"/>
      <c r="T18" s="2225">
        <f>530+2286+100+6964+630</f>
        <v>10510</v>
      </c>
      <c r="U18" s="2225"/>
      <c r="V18" s="2225"/>
      <c r="W18" s="2259" t="s">
        <v>90</v>
      </c>
    </row>
    <row r="19" spans="1:23" ht="25.5" customHeight="1" x14ac:dyDescent="0.25">
      <c r="A19" s="11" t="s">
        <v>41</v>
      </c>
      <c r="B19" s="2231">
        <f>B15+B16+B17-B18</f>
        <v>135530</v>
      </c>
      <c r="C19" s="2230"/>
      <c r="D19" s="42">
        <f>D15+D16+D17-D18</f>
        <v>0</v>
      </c>
      <c r="E19" s="42">
        <f t="shared" ref="E19:N19" si="13">E15+E16+E17-E18</f>
        <v>150</v>
      </c>
      <c r="F19" s="42">
        <f t="shared" si="13"/>
        <v>520</v>
      </c>
      <c r="G19" s="42">
        <f t="shared" si="13"/>
        <v>0</v>
      </c>
      <c r="H19" s="42">
        <f t="shared" si="13"/>
        <v>200</v>
      </c>
      <c r="I19" s="42">
        <f t="shared" si="13"/>
        <v>0</v>
      </c>
      <c r="J19" s="42">
        <f t="shared" si="13"/>
        <v>44</v>
      </c>
      <c r="K19" s="42">
        <f t="shared" si="13"/>
        <v>20</v>
      </c>
      <c r="L19" s="42">
        <f t="shared" si="13"/>
        <v>1684</v>
      </c>
      <c r="M19" s="42">
        <f t="shared" si="13"/>
        <v>0</v>
      </c>
      <c r="N19" s="42">
        <f t="shared" si="13"/>
        <v>100</v>
      </c>
      <c r="O19" s="21"/>
      <c r="P19" s="21"/>
      <c r="R19" s="2256" t="s">
        <v>48</v>
      </c>
      <c r="S19" s="49" t="s">
        <v>58</v>
      </c>
      <c r="T19" s="2225">
        <v>540560</v>
      </c>
      <c r="U19" s="2225"/>
      <c r="V19" s="2225"/>
      <c r="W19" s="2259"/>
    </row>
    <row r="20" spans="1:23" ht="23.25" customHeight="1" x14ac:dyDescent="0.25">
      <c r="A20" s="15"/>
      <c r="B20" s="10"/>
      <c r="C20" s="10"/>
      <c r="D20" s="10"/>
      <c r="E20" s="10"/>
      <c r="F20" s="10"/>
      <c r="G20" s="10"/>
      <c r="H20" s="10"/>
      <c r="I20" s="10"/>
      <c r="J20" s="10"/>
      <c r="K20" s="10"/>
      <c r="L20" s="10"/>
      <c r="M20" s="10"/>
      <c r="N20" s="10"/>
      <c r="O20" s="10"/>
      <c r="P20" s="10"/>
      <c r="R20" s="2257"/>
      <c r="S20" s="49" t="s">
        <v>59</v>
      </c>
      <c r="T20" s="2225"/>
      <c r="U20" s="2225"/>
      <c r="V20" s="2225"/>
      <c r="W20" s="2259"/>
    </row>
    <row r="21" spans="1:23" ht="33.75" customHeight="1" x14ac:dyDescent="0.25">
      <c r="A21" s="15"/>
      <c r="B21" s="10"/>
      <c r="C21" s="10"/>
      <c r="D21" s="10"/>
      <c r="E21" s="10"/>
      <c r="F21" s="10"/>
      <c r="G21" s="10"/>
      <c r="H21" s="10"/>
      <c r="I21" s="10"/>
      <c r="J21" s="10"/>
      <c r="K21" s="10"/>
      <c r="L21" s="10"/>
      <c r="M21" s="10"/>
      <c r="N21" s="10"/>
      <c r="O21" s="10"/>
      <c r="P21" s="10"/>
      <c r="R21" s="2251" t="s">
        <v>83</v>
      </c>
      <c r="S21" s="50" t="s">
        <v>60</v>
      </c>
      <c r="T21" s="2225">
        <v>76510</v>
      </c>
      <c r="U21" s="2225"/>
      <c r="V21" s="2225"/>
      <c r="W21" s="2259"/>
    </row>
    <row r="22" spans="1:23" ht="29.25" customHeight="1" x14ac:dyDescent="0.25">
      <c r="A22" s="10"/>
      <c r="B22" s="2258" t="s">
        <v>49</v>
      </c>
      <c r="C22" s="2249">
        <v>540518</v>
      </c>
      <c r="D22" s="2225">
        <v>540560</v>
      </c>
      <c r="E22" s="2225">
        <v>400000</v>
      </c>
      <c r="F22" s="2225">
        <f>C22-D22+E22</f>
        <v>399958</v>
      </c>
      <c r="G22" s="10"/>
      <c r="H22" s="10"/>
      <c r="I22" s="10"/>
      <c r="J22" s="10"/>
      <c r="K22" s="10"/>
      <c r="L22" s="10"/>
      <c r="M22" s="10"/>
      <c r="N22" s="10"/>
      <c r="O22" s="10"/>
      <c r="P22" s="10"/>
      <c r="R22" s="2252"/>
      <c r="S22" s="50" t="s">
        <v>61</v>
      </c>
      <c r="T22" s="2225">
        <v>76410</v>
      </c>
      <c r="U22" s="2225"/>
      <c r="V22" s="2225"/>
      <c r="W22" s="2259"/>
    </row>
    <row r="23" spans="1:23" ht="47.25" customHeight="1" x14ac:dyDescent="0.25">
      <c r="A23" s="10"/>
      <c r="B23" s="2258"/>
      <c r="C23" s="2250"/>
      <c r="D23" s="2225"/>
      <c r="E23" s="2225"/>
      <c r="F23" s="2225"/>
      <c r="G23" s="10"/>
      <c r="H23" s="10"/>
      <c r="I23" s="10"/>
      <c r="J23" s="10"/>
      <c r="K23" s="10"/>
      <c r="L23" s="10"/>
      <c r="M23" s="10"/>
      <c r="N23" s="10"/>
      <c r="O23" s="10"/>
      <c r="P23" s="10"/>
      <c r="R23" s="2235" t="s">
        <v>47</v>
      </c>
      <c r="S23" s="51" t="s">
        <v>62</v>
      </c>
      <c r="T23" s="2224">
        <f>T14+T16+T17-T18-T19-T20-T21+T22</f>
        <v>10758.565000000061</v>
      </c>
      <c r="U23" s="2224"/>
      <c r="V23" s="2224"/>
      <c r="W23" s="2259"/>
    </row>
    <row r="24" spans="1:23" ht="27" customHeight="1" x14ac:dyDescent="0.25">
      <c r="B24" s="2258"/>
      <c r="C24" s="45" t="s">
        <v>46</v>
      </c>
      <c r="D24" s="45" t="s">
        <v>50</v>
      </c>
      <c r="E24" s="45" t="s">
        <v>51</v>
      </c>
      <c r="F24" s="45" t="s">
        <v>52</v>
      </c>
      <c r="R24" s="2235"/>
      <c r="S24" s="51" t="s">
        <v>63</v>
      </c>
      <c r="T24" s="2225">
        <f>T15+T21-T22</f>
        <v>10651</v>
      </c>
      <c r="U24" s="2225"/>
      <c r="V24" s="2225"/>
    </row>
  </sheetData>
  <mergeCells count="47">
    <mergeCell ref="A1:W1"/>
    <mergeCell ref="A2:W2"/>
    <mergeCell ref="R3:W3"/>
    <mergeCell ref="A4:A5"/>
    <mergeCell ref="B4:B5"/>
    <mergeCell ref="C4:D4"/>
    <mergeCell ref="E4:F4"/>
    <mergeCell ref="G4:H4"/>
    <mergeCell ref="I4:J4"/>
    <mergeCell ref="K4:L4"/>
    <mergeCell ref="M4:N4"/>
    <mergeCell ref="O4:P4"/>
    <mergeCell ref="Q4:R4"/>
    <mergeCell ref="S4:T4"/>
    <mergeCell ref="U4:V4"/>
    <mergeCell ref="R14:R15"/>
    <mergeCell ref="T14:V14"/>
    <mergeCell ref="B15:C15"/>
    <mergeCell ref="T15:V15"/>
    <mergeCell ref="W4:W5"/>
    <mergeCell ref="D22:D23"/>
    <mergeCell ref="E22:E23"/>
    <mergeCell ref="F22:F23"/>
    <mergeCell ref="A12:B12"/>
    <mergeCell ref="B14:C14"/>
    <mergeCell ref="B16:C16"/>
    <mergeCell ref="R16:S16"/>
    <mergeCell ref="T16:V16"/>
    <mergeCell ref="B17:C17"/>
    <mergeCell ref="R17:S17"/>
    <mergeCell ref="T17:V17"/>
    <mergeCell ref="W18:W23"/>
    <mergeCell ref="B19:C19"/>
    <mergeCell ref="R19:R20"/>
    <mergeCell ref="T19:V19"/>
    <mergeCell ref="T20:V20"/>
    <mergeCell ref="R21:R22"/>
    <mergeCell ref="T21:V21"/>
    <mergeCell ref="T22:V22"/>
    <mergeCell ref="R23:R24"/>
    <mergeCell ref="T23:V23"/>
    <mergeCell ref="T24:V24"/>
    <mergeCell ref="B18:C18"/>
    <mergeCell ref="R18:S18"/>
    <mergeCell ref="T18:V18"/>
    <mergeCell ref="B22:B24"/>
    <mergeCell ref="C22:C23"/>
  </mergeCells>
  <pageMargins left="0.15748031496063" right="0.15748031496063" top="0" bottom="0" header="0" footer="0"/>
  <pageSetup paperSize="9" scale="54" orientation="landscape"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sheetPr>
    <pageSetUpPr fitToPage="1"/>
  </sheetPr>
  <dimension ref="A1:W24"/>
  <sheetViews>
    <sheetView topLeftCell="A8" zoomScale="71" zoomScaleNormal="71" zoomScaleSheetLayoutView="100" workbookViewId="0">
      <selection activeCell="T18" sqref="T18:V18"/>
    </sheetView>
  </sheetViews>
  <sheetFormatPr defaultColWidth="9.140625" defaultRowHeight="15" x14ac:dyDescent="0.25"/>
  <cols>
    <col min="1" max="1" width="21.7109375" style="14" bestFit="1" customWidth="1"/>
    <col min="2" max="2" width="19.5703125" style="14" customWidth="1"/>
    <col min="3" max="3" width="10.42578125" style="14" customWidth="1"/>
    <col min="4" max="4" width="11" style="14" customWidth="1"/>
    <col min="5" max="5" width="12" style="14" customWidth="1"/>
    <col min="6" max="6" width="12.5703125" style="14" bestFit="1" customWidth="1"/>
    <col min="7" max="7" width="9.28515625" style="14" bestFit="1" customWidth="1"/>
    <col min="8" max="8" width="10.140625" style="14" bestFit="1" customWidth="1"/>
    <col min="9" max="9" width="10.5703125" style="14" bestFit="1" customWidth="1"/>
    <col min="10" max="10" width="10.5703125" style="14" customWidth="1"/>
    <col min="11" max="11" width="10.28515625" style="14" bestFit="1" customWidth="1"/>
    <col min="12" max="12" width="9.42578125" style="14" bestFit="1" customWidth="1"/>
    <col min="13" max="13" width="9.85546875" style="14" bestFit="1" customWidth="1"/>
    <col min="14" max="14" width="10.140625" style="14" bestFit="1" customWidth="1"/>
    <col min="15" max="15" width="10.28515625" style="14" bestFit="1" customWidth="1"/>
    <col min="16" max="17" width="9.42578125" style="14" bestFit="1" customWidth="1"/>
    <col min="18" max="18" width="12.5703125" style="14" customWidth="1"/>
    <col min="19" max="19" width="16.7109375" style="14" customWidth="1"/>
    <col min="20" max="20" width="7.85546875" style="14" bestFit="1" customWidth="1"/>
    <col min="21" max="21" width="7.42578125" style="14" customWidth="1"/>
    <col min="22" max="22" width="7.28515625" style="14" customWidth="1"/>
    <col min="23" max="23" width="12.85546875" style="14" customWidth="1"/>
    <col min="24" max="16384" width="9.140625" style="14"/>
  </cols>
  <sheetData>
    <row r="1" spans="1:23" ht="46.15" customHeight="1" x14ac:dyDescent="0.25">
      <c r="A1" s="2240" t="s">
        <v>76</v>
      </c>
      <c r="B1" s="2240"/>
      <c r="C1" s="2240"/>
      <c r="D1" s="2240"/>
      <c r="E1" s="2240"/>
      <c r="F1" s="2240"/>
      <c r="G1" s="2240"/>
      <c r="H1" s="2240"/>
      <c r="I1" s="2240"/>
      <c r="J1" s="2240"/>
      <c r="K1" s="2240"/>
      <c r="L1" s="2240"/>
      <c r="M1" s="2240"/>
      <c r="N1" s="2240"/>
      <c r="O1" s="2240"/>
      <c r="P1" s="2240"/>
      <c r="Q1" s="2240"/>
      <c r="R1" s="2240"/>
      <c r="S1" s="2240"/>
      <c r="T1" s="2240"/>
      <c r="U1" s="2240"/>
      <c r="V1" s="2240"/>
      <c r="W1" s="2240"/>
    </row>
    <row r="2" spans="1:23" ht="21.6" customHeight="1" x14ac:dyDescent="0.25">
      <c r="A2" s="2241" t="s">
        <v>77</v>
      </c>
      <c r="B2" s="2241"/>
      <c r="C2" s="2241"/>
      <c r="D2" s="2241"/>
      <c r="E2" s="2241"/>
      <c r="F2" s="2241"/>
      <c r="G2" s="2241"/>
      <c r="H2" s="2241"/>
      <c r="I2" s="2241"/>
      <c r="J2" s="2241"/>
      <c r="K2" s="2241"/>
      <c r="L2" s="2241"/>
      <c r="M2" s="2241"/>
      <c r="N2" s="2241"/>
      <c r="O2" s="2241"/>
      <c r="P2" s="2241"/>
      <c r="Q2" s="2241"/>
      <c r="R2" s="2241"/>
      <c r="S2" s="2241"/>
      <c r="T2" s="2241"/>
      <c r="U2" s="2241"/>
      <c r="V2" s="2241"/>
      <c r="W2" s="2241"/>
    </row>
    <row r="3" spans="1:23" ht="21" customHeight="1" x14ac:dyDescent="0.25">
      <c r="A3" s="52"/>
      <c r="B3" s="52"/>
      <c r="C3" s="52"/>
      <c r="D3" s="52"/>
      <c r="E3" s="52"/>
      <c r="F3" s="52"/>
      <c r="G3" s="52"/>
      <c r="H3" s="52"/>
      <c r="I3" s="52"/>
      <c r="J3" s="52"/>
      <c r="K3" s="52"/>
      <c r="L3" s="52"/>
      <c r="M3" s="52"/>
      <c r="N3" s="52"/>
      <c r="O3" s="52"/>
      <c r="P3" s="52"/>
      <c r="Q3" s="52"/>
      <c r="R3" s="2242" t="s">
        <v>91</v>
      </c>
      <c r="S3" s="2242"/>
      <c r="T3" s="2242"/>
      <c r="U3" s="2242"/>
      <c r="V3" s="2242"/>
      <c r="W3" s="2242"/>
    </row>
    <row r="4" spans="1:23" s="52" customFormat="1" ht="18" customHeight="1" x14ac:dyDescent="0.25">
      <c r="A4" s="2243" t="s">
        <v>25</v>
      </c>
      <c r="B4" s="2243" t="s">
        <v>26</v>
      </c>
      <c r="C4" s="2244" t="s">
        <v>27</v>
      </c>
      <c r="D4" s="2244"/>
      <c r="E4" s="2244" t="s">
        <v>28</v>
      </c>
      <c r="F4" s="2244"/>
      <c r="G4" s="2244" t="s">
        <v>65</v>
      </c>
      <c r="H4" s="2244"/>
      <c r="I4" s="2244" t="s">
        <v>29</v>
      </c>
      <c r="J4" s="2244"/>
      <c r="K4" s="2245" t="s">
        <v>13</v>
      </c>
      <c r="L4" s="2246"/>
      <c r="M4" s="2245" t="s">
        <v>67</v>
      </c>
      <c r="N4" s="2246"/>
      <c r="O4" s="2245" t="s">
        <v>68</v>
      </c>
      <c r="P4" s="2246"/>
      <c r="Q4" s="2244" t="s">
        <v>35</v>
      </c>
      <c r="R4" s="2244"/>
      <c r="S4" s="2245" t="s">
        <v>17</v>
      </c>
      <c r="T4" s="2246"/>
      <c r="U4" s="2247" t="s">
        <v>36</v>
      </c>
      <c r="V4" s="2248"/>
      <c r="W4" s="2238" t="s">
        <v>30</v>
      </c>
    </row>
    <row r="5" spans="1:23" s="52" customFormat="1" ht="25.5" customHeight="1" x14ac:dyDescent="0.25">
      <c r="A5" s="2243"/>
      <c r="B5" s="2243"/>
      <c r="C5" s="54" t="s">
        <v>42</v>
      </c>
      <c r="D5" s="54" t="s">
        <v>43</v>
      </c>
      <c r="E5" s="54" t="s">
        <v>42</v>
      </c>
      <c r="F5" s="54" t="s">
        <v>43</v>
      </c>
      <c r="G5" s="54" t="s">
        <v>42</v>
      </c>
      <c r="H5" s="54" t="s">
        <v>43</v>
      </c>
      <c r="I5" s="54" t="s">
        <v>42</v>
      </c>
      <c r="J5" s="54" t="s">
        <v>43</v>
      </c>
      <c r="K5" s="54" t="s">
        <v>42</v>
      </c>
      <c r="L5" s="54" t="s">
        <v>43</v>
      </c>
      <c r="M5" s="54" t="s">
        <v>42</v>
      </c>
      <c r="N5" s="54" t="s">
        <v>43</v>
      </c>
      <c r="O5" s="54" t="s">
        <v>42</v>
      </c>
      <c r="P5" s="54" t="s">
        <v>43</v>
      </c>
      <c r="Q5" s="33" t="s">
        <v>42</v>
      </c>
      <c r="R5" s="33" t="s">
        <v>43</v>
      </c>
      <c r="S5" s="30" t="s">
        <v>42</v>
      </c>
      <c r="T5" s="30" t="s">
        <v>43</v>
      </c>
      <c r="U5" s="30" t="s">
        <v>42</v>
      </c>
      <c r="V5" s="30" t="s">
        <v>43</v>
      </c>
      <c r="W5" s="2239"/>
    </row>
    <row r="6" spans="1:23" ht="34.5" customHeight="1" x14ac:dyDescent="0.25">
      <c r="A6" s="12">
        <v>1409935200</v>
      </c>
      <c r="B6" s="53" t="s">
        <v>71</v>
      </c>
      <c r="C6" s="56">
        <v>41702</v>
      </c>
      <c r="D6" s="58">
        <f>0.9725*C6</f>
        <v>40555.195</v>
      </c>
      <c r="E6" s="56"/>
      <c r="F6" s="56">
        <f>13.7*E6</f>
        <v>0</v>
      </c>
      <c r="G6" s="56"/>
      <c r="H6" s="56">
        <f>28.2*G6</f>
        <v>0</v>
      </c>
      <c r="I6" s="56"/>
      <c r="J6" s="56">
        <f>18.5*I6</f>
        <v>0</v>
      </c>
      <c r="K6" s="56"/>
      <c r="L6" s="56">
        <f>19.5*K6</f>
        <v>0</v>
      </c>
      <c r="M6" s="56"/>
      <c r="N6" s="58">
        <f>M6*9.75</f>
        <v>0</v>
      </c>
      <c r="O6" s="56"/>
      <c r="P6" s="58">
        <f>O6*48.62</f>
        <v>0</v>
      </c>
      <c r="Q6" s="56"/>
      <c r="R6" s="56">
        <f>241*Q6</f>
        <v>0</v>
      </c>
      <c r="S6" s="56"/>
      <c r="T6" s="56">
        <f>232*S6</f>
        <v>0</v>
      </c>
      <c r="U6" s="56"/>
      <c r="V6" s="19">
        <f>U6*100</f>
        <v>0</v>
      </c>
      <c r="W6" s="20">
        <f t="shared" ref="W6:W9" si="0">D6+F6+H6+J6+L6+N6+P6+R6+T6+V6</f>
        <v>40555.195</v>
      </c>
    </row>
    <row r="7" spans="1:23" ht="31.5" customHeight="1" x14ac:dyDescent="0.25">
      <c r="A7" s="12">
        <v>1984225578</v>
      </c>
      <c r="B7" s="53" t="s">
        <v>72</v>
      </c>
      <c r="C7" s="56">
        <v>61702</v>
      </c>
      <c r="D7" s="58">
        <f t="shared" ref="D7:D11" si="1">0.9725*C7</f>
        <v>60005.195</v>
      </c>
      <c r="E7" s="56"/>
      <c r="F7" s="56">
        <f t="shared" ref="F7:F11" si="2">13.7*E7</f>
        <v>0</v>
      </c>
      <c r="G7" s="56"/>
      <c r="H7" s="56">
        <f t="shared" ref="H7:H11" si="3">28.2*G7</f>
        <v>0</v>
      </c>
      <c r="I7" s="56"/>
      <c r="J7" s="56">
        <f t="shared" ref="J7:J11" si="4">18.5*I7</f>
        <v>0</v>
      </c>
      <c r="K7" s="56"/>
      <c r="L7" s="56">
        <f t="shared" ref="L7:L11" si="5">19.5*K7</f>
        <v>0</v>
      </c>
      <c r="M7" s="56"/>
      <c r="N7" s="58">
        <f t="shared" ref="N7:N11" si="6">M7*9.75</f>
        <v>0</v>
      </c>
      <c r="O7" s="56"/>
      <c r="P7" s="58">
        <f t="shared" ref="P7:P11" si="7">O7*48.62</f>
        <v>0</v>
      </c>
      <c r="Q7" s="56"/>
      <c r="R7" s="56">
        <f t="shared" ref="R7:R11" si="8">241*Q7</f>
        <v>0</v>
      </c>
      <c r="S7" s="56"/>
      <c r="T7" s="56">
        <f t="shared" ref="T7:T11" si="9">232*S7</f>
        <v>0</v>
      </c>
      <c r="U7" s="56"/>
      <c r="V7" s="19">
        <f t="shared" ref="V7:V11" si="10">U7*100</f>
        <v>0</v>
      </c>
      <c r="W7" s="20">
        <f t="shared" si="0"/>
        <v>60005.195</v>
      </c>
    </row>
    <row r="8" spans="1:23" ht="35.25" customHeight="1" x14ac:dyDescent="0.25">
      <c r="A8" s="12">
        <v>1967020280</v>
      </c>
      <c r="B8" s="53" t="s">
        <v>73</v>
      </c>
      <c r="C8" s="56">
        <v>2102</v>
      </c>
      <c r="D8" s="58">
        <f t="shared" si="1"/>
        <v>2044.1950000000002</v>
      </c>
      <c r="E8" s="56"/>
      <c r="F8" s="56">
        <f t="shared" si="2"/>
        <v>0</v>
      </c>
      <c r="G8" s="56"/>
      <c r="H8" s="56">
        <f t="shared" si="3"/>
        <v>0</v>
      </c>
      <c r="I8" s="56"/>
      <c r="J8" s="56">
        <f t="shared" si="4"/>
        <v>0</v>
      </c>
      <c r="K8" s="56"/>
      <c r="L8" s="56">
        <f t="shared" si="5"/>
        <v>0</v>
      </c>
      <c r="M8" s="56"/>
      <c r="N8" s="58">
        <f t="shared" si="6"/>
        <v>0</v>
      </c>
      <c r="O8" s="56"/>
      <c r="P8" s="58">
        <f t="shared" si="7"/>
        <v>0</v>
      </c>
      <c r="Q8" s="56"/>
      <c r="R8" s="56">
        <f t="shared" si="8"/>
        <v>0</v>
      </c>
      <c r="S8" s="56"/>
      <c r="T8" s="56">
        <f t="shared" si="9"/>
        <v>0</v>
      </c>
      <c r="U8" s="56"/>
      <c r="V8" s="19">
        <f t="shared" si="10"/>
        <v>0</v>
      </c>
      <c r="W8" s="20">
        <f t="shared" si="0"/>
        <v>2044.1950000000002</v>
      </c>
    </row>
    <row r="9" spans="1:23" ht="38.25" customHeight="1" x14ac:dyDescent="0.25">
      <c r="A9" s="12">
        <v>1409935199</v>
      </c>
      <c r="B9" s="53" t="s">
        <v>74</v>
      </c>
      <c r="C9" s="56">
        <v>43244</v>
      </c>
      <c r="D9" s="58">
        <f t="shared" si="1"/>
        <v>42054.79</v>
      </c>
      <c r="E9" s="56"/>
      <c r="F9" s="56">
        <f t="shared" si="2"/>
        <v>0</v>
      </c>
      <c r="G9" s="56"/>
      <c r="H9" s="56">
        <f t="shared" si="3"/>
        <v>0</v>
      </c>
      <c r="I9" s="56"/>
      <c r="J9" s="56">
        <f t="shared" si="4"/>
        <v>0</v>
      </c>
      <c r="K9" s="56"/>
      <c r="L9" s="56">
        <f t="shared" si="5"/>
        <v>0</v>
      </c>
      <c r="M9" s="56"/>
      <c r="N9" s="58">
        <f t="shared" si="6"/>
        <v>0</v>
      </c>
      <c r="O9" s="56"/>
      <c r="P9" s="58">
        <f t="shared" si="7"/>
        <v>0</v>
      </c>
      <c r="Q9" s="56"/>
      <c r="R9" s="56">
        <f t="shared" si="8"/>
        <v>0</v>
      </c>
      <c r="S9" s="56"/>
      <c r="T9" s="56">
        <f t="shared" si="9"/>
        <v>0</v>
      </c>
      <c r="U9" s="56"/>
      <c r="V9" s="19">
        <f t="shared" si="10"/>
        <v>0</v>
      </c>
      <c r="W9" s="20">
        <f t="shared" si="0"/>
        <v>42054.79</v>
      </c>
    </row>
    <row r="10" spans="1:23" ht="35.25" customHeight="1" x14ac:dyDescent="0.25">
      <c r="A10" s="12">
        <v>1984225580</v>
      </c>
      <c r="B10" s="53" t="s">
        <v>75</v>
      </c>
      <c r="C10" s="56">
        <v>1130</v>
      </c>
      <c r="D10" s="58">
        <f t="shared" si="1"/>
        <v>1098.925</v>
      </c>
      <c r="E10" s="56"/>
      <c r="F10" s="56">
        <f t="shared" si="2"/>
        <v>0</v>
      </c>
      <c r="G10" s="56"/>
      <c r="H10" s="56">
        <f t="shared" si="3"/>
        <v>0</v>
      </c>
      <c r="I10" s="56"/>
      <c r="J10" s="56">
        <f t="shared" si="4"/>
        <v>0</v>
      </c>
      <c r="K10" s="56"/>
      <c r="L10" s="56">
        <f t="shared" si="5"/>
        <v>0</v>
      </c>
      <c r="M10" s="56"/>
      <c r="N10" s="58">
        <f t="shared" si="6"/>
        <v>0</v>
      </c>
      <c r="O10" s="56"/>
      <c r="P10" s="58">
        <f t="shared" si="7"/>
        <v>0</v>
      </c>
      <c r="Q10" s="56"/>
      <c r="R10" s="56">
        <f t="shared" si="8"/>
        <v>0</v>
      </c>
      <c r="S10" s="56"/>
      <c r="T10" s="56">
        <f t="shared" si="9"/>
        <v>0</v>
      </c>
      <c r="U10" s="56"/>
      <c r="V10" s="19">
        <f t="shared" si="10"/>
        <v>0</v>
      </c>
      <c r="W10" s="20">
        <f>D10+F10+H10+J10+L10+N10+P10+R10+T10+V10</f>
        <v>1098.925</v>
      </c>
    </row>
    <row r="11" spans="1:23" ht="37.5" customHeight="1" x14ac:dyDescent="0.25">
      <c r="A11" s="12"/>
      <c r="B11" s="55"/>
      <c r="C11" s="56"/>
      <c r="D11" s="22">
        <f t="shared" si="1"/>
        <v>0</v>
      </c>
      <c r="E11" s="56"/>
      <c r="F11" s="56">
        <f t="shared" si="2"/>
        <v>0</v>
      </c>
      <c r="G11" s="56"/>
      <c r="H11" s="56">
        <f t="shared" si="3"/>
        <v>0</v>
      </c>
      <c r="I11" s="56"/>
      <c r="J11" s="56">
        <f t="shared" si="4"/>
        <v>0</v>
      </c>
      <c r="K11" s="56"/>
      <c r="L11" s="56">
        <f t="shared" si="5"/>
        <v>0</v>
      </c>
      <c r="M11" s="56"/>
      <c r="N11" s="58">
        <f t="shared" si="6"/>
        <v>0</v>
      </c>
      <c r="O11" s="56"/>
      <c r="P11" s="58">
        <f t="shared" si="7"/>
        <v>0</v>
      </c>
      <c r="Q11" s="56"/>
      <c r="R11" s="56">
        <f t="shared" si="8"/>
        <v>0</v>
      </c>
      <c r="S11" s="56"/>
      <c r="T11" s="56">
        <f t="shared" si="9"/>
        <v>0</v>
      </c>
      <c r="U11" s="56"/>
      <c r="V11" s="19">
        <f t="shared" si="10"/>
        <v>0</v>
      </c>
      <c r="W11" s="20">
        <f t="shared" ref="W11" si="11">D11+F11+H11+J11+L11+N11+P11+R11+T11+V11</f>
        <v>0</v>
      </c>
    </row>
    <row r="12" spans="1:23" ht="29.25" customHeight="1" x14ac:dyDescent="0.25">
      <c r="A12" s="2235" t="s">
        <v>31</v>
      </c>
      <c r="B12" s="2235"/>
      <c r="C12" s="18">
        <f t="shared" ref="C12:W12" si="12">SUM(C6:C11)</f>
        <v>149880</v>
      </c>
      <c r="D12" s="18">
        <f t="shared" si="12"/>
        <v>145758.29999999999</v>
      </c>
      <c r="E12" s="18">
        <f t="shared" si="12"/>
        <v>0</v>
      </c>
      <c r="F12" s="18">
        <f t="shared" si="12"/>
        <v>0</v>
      </c>
      <c r="G12" s="18">
        <f t="shared" si="12"/>
        <v>0</v>
      </c>
      <c r="H12" s="18">
        <f t="shared" si="12"/>
        <v>0</v>
      </c>
      <c r="I12" s="18">
        <f t="shared" si="12"/>
        <v>0</v>
      </c>
      <c r="J12" s="18">
        <f t="shared" si="12"/>
        <v>0</v>
      </c>
      <c r="K12" s="18">
        <f t="shared" si="12"/>
        <v>0</v>
      </c>
      <c r="L12" s="18">
        <f t="shared" si="12"/>
        <v>0</v>
      </c>
      <c r="M12" s="18">
        <f t="shared" si="12"/>
        <v>0</v>
      </c>
      <c r="N12" s="23">
        <f t="shared" si="12"/>
        <v>0</v>
      </c>
      <c r="O12" s="18">
        <f t="shared" si="12"/>
        <v>0</v>
      </c>
      <c r="P12" s="23">
        <f t="shared" si="12"/>
        <v>0</v>
      </c>
      <c r="Q12" s="18">
        <f t="shared" si="12"/>
        <v>0</v>
      </c>
      <c r="R12" s="18">
        <f t="shared" si="12"/>
        <v>0</v>
      </c>
      <c r="S12" s="18">
        <f t="shared" si="12"/>
        <v>0</v>
      </c>
      <c r="T12" s="18">
        <f t="shared" si="12"/>
        <v>0</v>
      </c>
      <c r="U12" s="18">
        <f t="shared" si="12"/>
        <v>0</v>
      </c>
      <c r="V12" s="18">
        <f t="shared" si="12"/>
        <v>0</v>
      </c>
      <c r="W12" s="18">
        <f t="shared" si="12"/>
        <v>145758.29999999999</v>
      </c>
    </row>
    <row r="14" spans="1:23" ht="22.5" customHeight="1" x14ac:dyDescent="0.25">
      <c r="A14" s="30" t="s">
        <v>32</v>
      </c>
      <c r="B14" s="2236" t="s">
        <v>27</v>
      </c>
      <c r="C14" s="2236"/>
      <c r="D14" s="30" t="s">
        <v>33</v>
      </c>
      <c r="E14" s="30" t="s">
        <v>65</v>
      </c>
      <c r="F14" s="30" t="s">
        <v>34</v>
      </c>
      <c r="G14" s="30" t="s">
        <v>13</v>
      </c>
      <c r="H14" s="31" t="s">
        <v>45</v>
      </c>
      <c r="I14" s="30" t="s">
        <v>17</v>
      </c>
      <c r="J14" s="30" t="s">
        <v>66</v>
      </c>
      <c r="K14" s="30" t="s">
        <v>36</v>
      </c>
      <c r="L14" s="30" t="s">
        <v>37</v>
      </c>
      <c r="M14" s="30" t="s">
        <v>69</v>
      </c>
      <c r="N14" s="30" t="s">
        <v>70</v>
      </c>
      <c r="O14" s="15"/>
      <c r="P14" s="15"/>
      <c r="R14" s="2235" t="s">
        <v>46</v>
      </c>
      <c r="S14" s="53" t="s">
        <v>54</v>
      </c>
      <c r="T14" s="2231">
        <v>10759</v>
      </c>
      <c r="U14" s="2237"/>
      <c r="V14" s="2230"/>
    </row>
    <row r="15" spans="1:23" ht="22.5" customHeight="1" x14ac:dyDescent="0.25">
      <c r="A15" s="11" t="s">
        <v>38</v>
      </c>
      <c r="B15" s="2231">
        <v>135530</v>
      </c>
      <c r="C15" s="2230"/>
      <c r="D15" s="56">
        <v>0</v>
      </c>
      <c r="E15" s="56">
        <v>150</v>
      </c>
      <c r="F15" s="56">
        <v>520</v>
      </c>
      <c r="G15" s="56">
        <v>0</v>
      </c>
      <c r="H15" s="56">
        <v>200</v>
      </c>
      <c r="I15" s="56">
        <v>0</v>
      </c>
      <c r="J15" s="56">
        <v>44</v>
      </c>
      <c r="K15" s="56">
        <v>20</v>
      </c>
      <c r="L15" s="56">
        <v>1684</v>
      </c>
      <c r="M15" s="56">
        <v>0</v>
      </c>
      <c r="N15" s="56">
        <v>100</v>
      </c>
      <c r="O15" s="21"/>
      <c r="P15" s="21"/>
      <c r="R15" s="2235"/>
      <c r="S15" s="53" t="s">
        <v>64</v>
      </c>
      <c r="T15" s="2225">
        <v>10651</v>
      </c>
      <c r="U15" s="2225"/>
      <c r="V15" s="2225"/>
    </row>
    <row r="16" spans="1:23" ht="24.75" customHeight="1" x14ac:dyDescent="0.25">
      <c r="A16" s="11" t="s">
        <v>39</v>
      </c>
      <c r="B16" s="2231">
        <v>93506</v>
      </c>
      <c r="C16" s="2230"/>
      <c r="D16" s="56"/>
      <c r="E16" s="56"/>
      <c r="F16" s="56"/>
      <c r="G16" s="56"/>
      <c r="H16" s="56"/>
      <c r="I16" s="56"/>
      <c r="J16" s="56"/>
      <c r="K16" s="56"/>
      <c r="L16" s="56">
        <v>200</v>
      </c>
      <c r="M16" s="56"/>
      <c r="N16" s="56"/>
      <c r="O16" s="21"/>
      <c r="P16" s="21"/>
      <c r="R16" s="2254" t="s">
        <v>55</v>
      </c>
      <c r="S16" s="2254"/>
      <c r="T16" s="2234">
        <f>W12</f>
        <v>145758.29999999999</v>
      </c>
      <c r="U16" s="2234"/>
      <c r="V16" s="2225"/>
    </row>
    <row r="17" spans="1:23" ht="24.75" customHeight="1" x14ac:dyDescent="0.25">
      <c r="A17" s="11" t="s">
        <v>44</v>
      </c>
      <c r="B17" s="2231"/>
      <c r="C17" s="2230"/>
      <c r="D17" s="56"/>
      <c r="E17" s="56"/>
      <c r="F17" s="56"/>
      <c r="G17" s="56"/>
      <c r="H17" s="56"/>
      <c r="I17" s="56"/>
      <c r="J17" s="56"/>
      <c r="K17" s="56"/>
      <c r="L17" s="56"/>
      <c r="M17" s="56"/>
      <c r="N17" s="56"/>
      <c r="O17" s="21"/>
      <c r="P17" s="21"/>
      <c r="R17" s="2254" t="s">
        <v>87</v>
      </c>
      <c r="S17" s="2254"/>
      <c r="T17" s="2225"/>
      <c r="U17" s="2225"/>
      <c r="V17" s="2225"/>
    </row>
    <row r="18" spans="1:23" ht="27" customHeight="1" x14ac:dyDescent="0.25">
      <c r="A18" s="11" t="s">
        <v>40</v>
      </c>
      <c r="B18" s="2229">
        <f>C12</f>
        <v>149880</v>
      </c>
      <c r="C18" s="2230"/>
      <c r="D18" s="57">
        <f>E12</f>
        <v>0</v>
      </c>
      <c r="E18" s="57">
        <f>G12</f>
        <v>0</v>
      </c>
      <c r="F18" s="57">
        <f>I12</f>
        <v>0</v>
      </c>
      <c r="G18" s="57">
        <f>K12</f>
        <v>0</v>
      </c>
      <c r="H18" s="56">
        <v>200</v>
      </c>
      <c r="I18" s="57">
        <f>S12</f>
        <v>0</v>
      </c>
      <c r="J18" s="56"/>
      <c r="K18" s="57">
        <f>U12</f>
        <v>0</v>
      </c>
      <c r="L18" s="56"/>
      <c r="M18" s="57">
        <f>M12</f>
        <v>0</v>
      </c>
      <c r="N18" s="57">
        <f>O12</f>
        <v>0</v>
      </c>
      <c r="O18" s="21"/>
      <c r="P18" s="21"/>
      <c r="R18" s="2254" t="s">
        <v>57</v>
      </c>
      <c r="S18" s="2254"/>
      <c r="T18" s="2225">
        <f>530+870+200+400</f>
        <v>2000</v>
      </c>
      <c r="U18" s="2225"/>
      <c r="V18" s="2225"/>
      <c r="W18" s="2259" t="s">
        <v>92</v>
      </c>
    </row>
    <row r="19" spans="1:23" ht="25.5" customHeight="1" x14ac:dyDescent="0.25">
      <c r="A19" s="11" t="s">
        <v>41</v>
      </c>
      <c r="B19" s="2231">
        <f>B15+B16+B17-B18</f>
        <v>79156</v>
      </c>
      <c r="C19" s="2230"/>
      <c r="D19" s="56">
        <f>D15+D16+D17-D18</f>
        <v>0</v>
      </c>
      <c r="E19" s="56">
        <f t="shared" ref="E19:N19" si="13">E15+E16+E17-E18</f>
        <v>150</v>
      </c>
      <c r="F19" s="56">
        <f t="shared" si="13"/>
        <v>520</v>
      </c>
      <c r="G19" s="56">
        <f t="shared" si="13"/>
        <v>0</v>
      </c>
      <c r="H19" s="56">
        <f t="shared" si="13"/>
        <v>0</v>
      </c>
      <c r="I19" s="56">
        <f t="shared" si="13"/>
        <v>0</v>
      </c>
      <c r="J19" s="56">
        <f t="shared" si="13"/>
        <v>44</v>
      </c>
      <c r="K19" s="56">
        <f t="shared" si="13"/>
        <v>20</v>
      </c>
      <c r="L19" s="56">
        <f t="shared" si="13"/>
        <v>1884</v>
      </c>
      <c r="M19" s="56">
        <f t="shared" si="13"/>
        <v>0</v>
      </c>
      <c r="N19" s="56">
        <f t="shared" si="13"/>
        <v>100</v>
      </c>
      <c r="O19" s="21"/>
      <c r="P19" s="21"/>
      <c r="R19" s="2256" t="s">
        <v>48</v>
      </c>
      <c r="S19" s="49" t="s">
        <v>58</v>
      </c>
      <c r="T19" s="2225"/>
      <c r="U19" s="2225"/>
      <c r="V19" s="2225"/>
      <c r="W19" s="2259"/>
    </row>
    <row r="20" spans="1:23" ht="23.25" customHeight="1" x14ac:dyDescent="0.25">
      <c r="A20" s="15"/>
      <c r="B20" s="10"/>
      <c r="C20" s="10"/>
      <c r="D20" s="10"/>
      <c r="E20" s="10"/>
      <c r="F20" s="10"/>
      <c r="G20" s="10"/>
      <c r="H20" s="10"/>
      <c r="I20" s="10"/>
      <c r="J20" s="10"/>
      <c r="K20" s="10"/>
      <c r="L20" s="10"/>
      <c r="M20" s="10"/>
      <c r="N20" s="10"/>
      <c r="O20" s="10"/>
      <c r="P20" s="10"/>
      <c r="R20" s="2257"/>
      <c r="S20" s="49" t="s">
        <v>59</v>
      </c>
      <c r="T20" s="2225">
        <v>90000</v>
      </c>
      <c r="U20" s="2225"/>
      <c r="V20" s="2225"/>
      <c r="W20" s="2259"/>
    </row>
    <row r="21" spans="1:23" ht="33.75" customHeight="1" x14ac:dyDescent="0.25">
      <c r="A21" s="15"/>
      <c r="B21" s="10"/>
      <c r="C21" s="10"/>
      <c r="D21" s="10"/>
      <c r="E21" s="10"/>
      <c r="F21" s="10"/>
      <c r="G21" s="10"/>
      <c r="H21" s="10"/>
      <c r="I21" s="10"/>
      <c r="J21" s="10"/>
      <c r="K21" s="10"/>
      <c r="L21" s="10"/>
      <c r="M21" s="10"/>
      <c r="N21" s="10"/>
      <c r="O21" s="10"/>
      <c r="P21" s="10"/>
      <c r="R21" s="2251" t="s">
        <v>83</v>
      </c>
      <c r="S21" s="50" t="s">
        <v>60</v>
      </c>
      <c r="T21" s="2225"/>
      <c r="U21" s="2225"/>
      <c r="V21" s="2225"/>
      <c r="W21" s="2259"/>
    </row>
    <row r="22" spans="1:23" ht="29.25" customHeight="1" x14ac:dyDescent="0.25">
      <c r="A22" s="10"/>
      <c r="B22" s="2258" t="s">
        <v>49</v>
      </c>
      <c r="C22" s="2249">
        <v>399958</v>
      </c>
      <c r="D22" s="2225"/>
      <c r="E22" s="2225"/>
      <c r="F22" s="2225">
        <f>C22-D22+E22</f>
        <v>399958</v>
      </c>
      <c r="G22" s="10"/>
      <c r="H22" s="10"/>
      <c r="I22" s="10"/>
      <c r="J22" s="10"/>
      <c r="K22" s="10"/>
      <c r="L22" s="10"/>
      <c r="M22" s="10"/>
      <c r="N22" s="10"/>
      <c r="O22" s="10"/>
      <c r="P22" s="10"/>
      <c r="R22" s="2252"/>
      <c r="S22" s="50" t="s">
        <v>61</v>
      </c>
      <c r="T22" s="2225"/>
      <c r="U22" s="2225"/>
      <c r="V22" s="2225"/>
      <c r="W22" s="2259"/>
    </row>
    <row r="23" spans="1:23" ht="47.25" customHeight="1" x14ac:dyDescent="0.25">
      <c r="A23" s="10"/>
      <c r="B23" s="2258"/>
      <c r="C23" s="2250"/>
      <c r="D23" s="2225"/>
      <c r="E23" s="2225"/>
      <c r="F23" s="2225"/>
      <c r="G23" s="10"/>
      <c r="H23" s="10"/>
      <c r="I23" s="10"/>
      <c r="J23" s="10"/>
      <c r="K23" s="10"/>
      <c r="L23" s="10"/>
      <c r="M23" s="10"/>
      <c r="N23" s="10"/>
      <c r="O23" s="10"/>
      <c r="P23" s="10"/>
      <c r="R23" s="2235" t="s">
        <v>47</v>
      </c>
      <c r="S23" s="51" t="s">
        <v>62</v>
      </c>
      <c r="T23" s="2224">
        <f>T14+T16+T17-T18-T19-T20-T21+T22</f>
        <v>64517.299999999988</v>
      </c>
      <c r="U23" s="2224"/>
      <c r="V23" s="2224"/>
      <c r="W23" s="2259"/>
    </row>
    <row r="24" spans="1:23" ht="27" customHeight="1" x14ac:dyDescent="0.25">
      <c r="B24" s="2258"/>
      <c r="C24" s="53" t="s">
        <v>46</v>
      </c>
      <c r="D24" s="53" t="s">
        <v>50</v>
      </c>
      <c r="E24" s="53" t="s">
        <v>51</v>
      </c>
      <c r="F24" s="53" t="s">
        <v>52</v>
      </c>
      <c r="R24" s="2235"/>
      <c r="S24" s="51" t="s">
        <v>63</v>
      </c>
      <c r="T24" s="2225">
        <f>T15+T21-T22</f>
        <v>10651</v>
      </c>
      <c r="U24" s="2225"/>
      <c r="V24" s="2225"/>
    </row>
  </sheetData>
  <mergeCells count="47">
    <mergeCell ref="W18:W23"/>
    <mergeCell ref="B19:C19"/>
    <mergeCell ref="R19:R20"/>
    <mergeCell ref="T19:V19"/>
    <mergeCell ref="T20:V20"/>
    <mergeCell ref="R21:R22"/>
    <mergeCell ref="T21:V21"/>
    <mergeCell ref="T22:V22"/>
    <mergeCell ref="R23:R24"/>
    <mergeCell ref="T23:V23"/>
    <mergeCell ref="T24:V24"/>
    <mergeCell ref="B18:C18"/>
    <mergeCell ref="R18:S18"/>
    <mergeCell ref="T18:V18"/>
    <mergeCell ref="B22:B24"/>
    <mergeCell ref="C22:C23"/>
    <mergeCell ref="R16:S16"/>
    <mergeCell ref="T16:V16"/>
    <mergeCell ref="B17:C17"/>
    <mergeCell ref="R17:S17"/>
    <mergeCell ref="T17:V17"/>
    <mergeCell ref="D22:D23"/>
    <mergeCell ref="E22:E23"/>
    <mergeCell ref="F22:F23"/>
    <mergeCell ref="A12:B12"/>
    <mergeCell ref="B14:C14"/>
    <mergeCell ref="B16:C16"/>
    <mergeCell ref="R14:R15"/>
    <mergeCell ref="T14:V14"/>
    <mergeCell ref="B15:C15"/>
    <mergeCell ref="T15:V15"/>
    <mergeCell ref="W4:W5"/>
    <mergeCell ref="A1:W1"/>
    <mergeCell ref="A2:W2"/>
    <mergeCell ref="R3:W3"/>
    <mergeCell ref="A4:A5"/>
    <mergeCell ref="B4:B5"/>
    <mergeCell ref="C4:D4"/>
    <mergeCell ref="E4:F4"/>
    <mergeCell ref="G4:H4"/>
    <mergeCell ref="I4:J4"/>
    <mergeCell ref="K4:L4"/>
    <mergeCell ref="M4:N4"/>
    <mergeCell ref="O4:P4"/>
    <mergeCell ref="Q4:R4"/>
    <mergeCell ref="S4:T4"/>
    <mergeCell ref="U4:V4"/>
  </mergeCells>
  <pageMargins left="0.15748031496063" right="0.15748031496063" top="0" bottom="0" header="0" footer="0"/>
  <pageSetup paperSize="9" scale="54" orientation="landscape" r:id="rId1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sheetPr>
    <pageSetUpPr fitToPage="1"/>
  </sheetPr>
  <dimension ref="A1:W24"/>
  <sheetViews>
    <sheetView zoomScale="71" zoomScaleNormal="71" zoomScaleSheetLayoutView="100" workbookViewId="0">
      <selection activeCell="T18" sqref="T18:V18"/>
    </sheetView>
  </sheetViews>
  <sheetFormatPr defaultColWidth="9.140625" defaultRowHeight="15" x14ac:dyDescent="0.25"/>
  <cols>
    <col min="1" max="1" width="21.7109375" style="14" bestFit="1" customWidth="1"/>
    <col min="2" max="2" width="19.5703125" style="14" customWidth="1"/>
    <col min="3" max="3" width="10.42578125" style="14" customWidth="1"/>
    <col min="4" max="4" width="11" style="14" customWidth="1"/>
    <col min="5" max="5" width="12" style="14" customWidth="1"/>
    <col min="6" max="6" width="12.5703125" style="14" bestFit="1" customWidth="1"/>
    <col min="7" max="7" width="9.28515625" style="14" bestFit="1" customWidth="1"/>
    <col min="8" max="8" width="10.140625" style="14" bestFit="1" customWidth="1"/>
    <col min="9" max="9" width="10.5703125" style="14" bestFit="1" customWidth="1"/>
    <col min="10" max="10" width="10.5703125" style="14" customWidth="1"/>
    <col min="11" max="11" width="10.28515625" style="14" bestFit="1" customWidth="1"/>
    <col min="12" max="12" width="9.42578125" style="14" bestFit="1" customWidth="1"/>
    <col min="13" max="13" width="9.85546875" style="14" bestFit="1" customWidth="1"/>
    <col min="14" max="14" width="10.140625" style="14" bestFit="1" customWidth="1"/>
    <col min="15" max="15" width="10.28515625" style="14" bestFit="1" customWidth="1"/>
    <col min="16" max="17" width="9.42578125" style="14" bestFit="1" customWidth="1"/>
    <col min="18" max="18" width="12.5703125" style="14" customWidth="1"/>
    <col min="19" max="19" width="16.7109375" style="14" customWidth="1"/>
    <col min="20" max="20" width="7.85546875" style="14" bestFit="1" customWidth="1"/>
    <col min="21" max="21" width="7.42578125" style="14" customWidth="1"/>
    <col min="22" max="22" width="7.28515625" style="14" customWidth="1"/>
    <col min="23" max="23" width="12.85546875" style="14" customWidth="1"/>
    <col min="24" max="16384" width="9.140625" style="14"/>
  </cols>
  <sheetData>
    <row r="1" spans="1:23" ht="46.15" customHeight="1" x14ac:dyDescent="0.25">
      <c r="A1" s="2240" t="s">
        <v>76</v>
      </c>
      <c r="B1" s="2240"/>
      <c r="C1" s="2240"/>
      <c r="D1" s="2240"/>
      <c r="E1" s="2240"/>
      <c r="F1" s="2240"/>
      <c r="G1" s="2240"/>
      <c r="H1" s="2240"/>
      <c r="I1" s="2240"/>
      <c r="J1" s="2240"/>
      <c r="K1" s="2240"/>
      <c r="L1" s="2240"/>
      <c r="M1" s="2240"/>
      <c r="N1" s="2240"/>
      <c r="O1" s="2240"/>
      <c r="P1" s="2240"/>
      <c r="Q1" s="2240"/>
      <c r="R1" s="2240"/>
      <c r="S1" s="2240"/>
      <c r="T1" s="2240"/>
      <c r="U1" s="2240"/>
      <c r="V1" s="2240"/>
      <c r="W1" s="2240"/>
    </row>
    <row r="2" spans="1:23" ht="21.6" customHeight="1" x14ac:dyDescent="0.25">
      <c r="A2" s="2241" t="s">
        <v>77</v>
      </c>
      <c r="B2" s="2241"/>
      <c r="C2" s="2241"/>
      <c r="D2" s="2241"/>
      <c r="E2" s="2241"/>
      <c r="F2" s="2241"/>
      <c r="G2" s="2241"/>
      <c r="H2" s="2241"/>
      <c r="I2" s="2241"/>
      <c r="J2" s="2241"/>
      <c r="K2" s="2241"/>
      <c r="L2" s="2241"/>
      <c r="M2" s="2241"/>
      <c r="N2" s="2241"/>
      <c r="O2" s="2241"/>
      <c r="P2" s="2241"/>
      <c r="Q2" s="2241"/>
      <c r="R2" s="2241"/>
      <c r="S2" s="2241"/>
      <c r="T2" s="2241"/>
      <c r="U2" s="2241"/>
      <c r="V2" s="2241"/>
      <c r="W2" s="2241"/>
    </row>
    <row r="3" spans="1:23" ht="21" customHeight="1" x14ac:dyDescent="0.25">
      <c r="A3" s="65"/>
      <c r="B3" s="65"/>
      <c r="C3" s="65"/>
      <c r="D3" s="65"/>
      <c r="E3" s="65"/>
      <c r="F3" s="65"/>
      <c r="G3" s="65"/>
      <c r="H3" s="65"/>
      <c r="I3" s="65"/>
      <c r="J3" s="65"/>
      <c r="K3" s="65"/>
      <c r="L3" s="65"/>
      <c r="M3" s="65"/>
      <c r="N3" s="65"/>
      <c r="O3" s="65"/>
      <c r="P3" s="65"/>
      <c r="Q3" s="65"/>
      <c r="R3" s="2242" t="s">
        <v>93</v>
      </c>
      <c r="S3" s="2242"/>
      <c r="T3" s="2242"/>
      <c r="U3" s="2242"/>
      <c r="V3" s="2242"/>
      <c r="W3" s="2242"/>
    </row>
    <row r="4" spans="1:23" s="65" customFormat="1" ht="18" customHeight="1" x14ac:dyDescent="0.25">
      <c r="A4" s="2243" t="s">
        <v>25</v>
      </c>
      <c r="B4" s="2243" t="s">
        <v>26</v>
      </c>
      <c r="C4" s="2244" t="s">
        <v>27</v>
      </c>
      <c r="D4" s="2244"/>
      <c r="E4" s="2244" t="s">
        <v>28</v>
      </c>
      <c r="F4" s="2244"/>
      <c r="G4" s="2244" t="s">
        <v>65</v>
      </c>
      <c r="H4" s="2244"/>
      <c r="I4" s="2244" t="s">
        <v>29</v>
      </c>
      <c r="J4" s="2244"/>
      <c r="K4" s="2245" t="s">
        <v>13</v>
      </c>
      <c r="L4" s="2246"/>
      <c r="M4" s="2245" t="s">
        <v>67</v>
      </c>
      <c r="N4" s="2246"/>
      <c r="O4" s="2245" t="s">
        <v>68</v>
      </c>
      <c r="P4" s="2246"/>
      <c r="Q4" s="2244" t="s">
        <v>35</v>
      </c>
      <c r="R4" s="2244"/>
      <c r="S4" s="2245" t="s">
        <v>17</v>
      </c>
      <c r="T4" s="2246"/>
      <c r="U4" s="2247" t="s">
        <v>36</v>
      </c>
      <c r="V4" s="2248"/>
      <c r="W4" s="2238" t="s">
        <v>30</v>
      </c>
    </row>
    <row r="5" spans="1:23" s="65" customFormat="1" ht="25.5" customHeight="1" x14ac:dyDescent="0.25">
      <c r="A5" s="2243"/>
      <c r="B5" s="2243"/>
      <c r="C5" s="64" t="s">
        <v>42</v>
      </c>
      <c r="D5" s="64" t="s">
        <v>43</v>
      </c>
      <c r="E5" s="64" t="s">
        <v>42</v>
      </c>
      <c r="F5" s="64" t="s">
        <v>43</v>
      </c>
      <c r="G5" s="64" t="s">
        <v>42</v>
      </c>
      <c r="H5" s="64" t="s">
        <v>43</v>
      </c>
      <c r="I5" s="64" t="s">
        <v>42</v>
      </c>
      <c r="J5" s="64" t="s">
        <v>43</v>
      </c>
      <c r="K5" s="64" t="s">
        <v>42</v>
      </c>
      <c r="L5" s="64" t="s">
        <v>43</v>
      </c>
      <c r="M5" s="64" t="s">
        <v>42</v>
      </c>
      <c r="N5" s="64" t="s">
        <v>43</v>
      </c>
      <c r="O5" s="64" t="s">
        <v>42</v>
      </c>
      <c r="P5" s="64" t="s">
        <v>43</v>
      </c>
      <c r="Q5" s="33" t="s">
        <v>42</v>
      </c>
      <c r="R5" s="33" t="s">
        <v>43</v>
      </c>
      <c r="S5" s="30" t="s">
        <v>42</v>
      </c>
      <c r="T5" s="30" t="s">
        <v>43</v>
      </c>
      <c r="U5" s="30" t="s">
        <v>42</v>
      </c>
      <c r="V5" s="30" t="s">
        <v>43</v>
      </c>
      <c r="W5" s="2239"/>
    </row>
    <row r="6" spans="1:23" ht="34.5" customHeight="1" x14ac:dyDescent="0.25">
      <c r="A6" s="12">
        <v>1409935200</v>
      </c>
      <c r="B6" s="63" t="s">
        <v>71</v>
      </c>
      <c r="C6" s="60">
        <v>45699</v>
      </c>
      <c r="D6" s="59">
        <f>0.9725*C6</f>
        <v>44442.277500000004</v>
      </c>
      <c r="E6" s="60"/>
      <c r="F6" s="60">
        <f>13.7*E6</f>
        <v>0</v>
      </c>
      <c r="G6" s="60"/>
      <c r="H6" s="60">
        <f>28.2*G6</f>
        <v>0</v>
      </c>
      <c r="I6" s="60"/>
      <c r="J6" s="60">
        <f>18.5*I6</f>
        <v>0</v>
      </c>
      <c r="K6" s="60"/>
      <c r="L6" s="60">
        <f>19.5*K6</f>
        <v>0</v>
      </c>
      <c r="M6" s="60"/>
      <c r="N6" s="59">
        <f>M6*9.75</f>
        <v>0</v>
      </c>
      <c r="O6" s="60"/>
      <c r="P6" s="59">
        <f>O6*48.62</f>
        <v>0</v>
      </c>
      <c r="Q6" s="60"/>
      <c r="R6" s="60">
        <f>241*Q6</f>
        <v>0</v>
      </c>
      <c r="S6" s="60"/>
      <c r="T6" s="60">
        <f>232*S6</f>
        <v>0</v>
      </c>
      <c r="U6" s="60"/>
      <c r="V6" s="19">
        <f>U6*100</f>
        <v>0</v>
      </c>
      <c r="W6" s="20">
        <f t="shared" ref="W6:W9" si="0">D6+F6+H6+J6+L6+N6+P6+R6+T6+V6</f>
        <v>44442.277500000004</v>
      </c>
    </row>
    <row r="7" spans="1:23" ht="31.5" customHeight="1" x14ac:dyDescent="0.25">
      <c r="A7" s="12">
        <v>1984225578</v>
      </c>
      <c r="B7" s="63" t="s">
        <v>72</v>
      </c>
      <c r="C7" s="60">
        <v>45667</v>
      </c>
      <c r="D7" s="59">
        <f t="shared" ref="D7:D11" si="1">0.9725*C7</f>
        <v>44411.157500000001</v>
      </c>
      <c r="E7" s="60"/>
      <c r="F7" s="60">
        <f t="shared" ref="F7:F11" si="2">13.7*E7</f>
        <v>0</v>
      </c>
      <c r="G7" s="60"/>
      <c r="H7" s="60">
        <f t="shared" ref="H7:H11" si="3">28.2*G7</f>
        <v>0</v>
      </c>
      <c r="I7" s="60"/>
      <c r="J7" s="60">
        <f t="shared" ref="J7:J11" si="4">18.5*I7</f>
        <v>0</v>
      </c>
      <c r="K7" s="60"/>
      <c r="L7" s="60">
        <f t="shared" ref="L7:L11" si="5">19.5*K7</f>
        <v>0</v>
      </c>
      <c r="M7" s="60"/>
      <c r="N7" s="59">
        <f t="shared" ref="N7:N11" si="6">M7*9.75</f>
        <v>0</v>
      </c>
      <c r="O7" s="60"/>
      <c r="P7" s="59">
        <f t="shared" ref="P7:P11" si="7">O7*48.62</f>
        <v>0</v>
      </c>
      <c r="Q7" s="60"/>
      <c r="R7" s="60">
        <f t="shared" ref="R7:R11" si="8">241*Q7</f>
        <v>0</v>
      </c>
      <c r="S7" s="60"/>
      <c r="T7" s="60">
        <f t="shared" ref="T7:T11" si="9">232*S7</f>
        <v>0</v>
      </c>
      <c r="U7" s="60"/>
      <c r="V7" s="19">
        <f t="shared" ref="V7:V11" si="10">U7*100</f>
        <v>0</v>
      </c>
      <c r="W7" s="20">
        <f t="shared" si="0"/>
        <v>44411.157500000001</v>
      </c>
    </row>
    <row r="8" spans="1:23" ht="35.25" customHeight="1" x14ac:dyDescent="0.25">
      <c r="A8" s="12">
        <v>1967020280</v>
      </c>
      <c r="B8" s="63" t="s">
        <v>73</v>
      </c>
      <c r="C8" s="60">
        <v>43211</v>
      </c>
      <c r="D8" s="59">
        <f t="shared" si="1"/>
        <v>42022.697500000002</v>
      </c>
      <c r="E8" s="60"/>
      <c r="F8" s="60">
        <f t="shared" si="2"/>
        <v>0</v>
      </c>
      <c r="G8" s="60"/>
      <c r="H8" s="60">
        <f t="shared" si="3"/>
        <v>0</v>
      </c>
      <c r="I8" s="60"/>
      <c r="J8" s="60">
        <f t="shared" si="4"/>
        <v>0</v>
      </c>
      <c r="K8" s="60"/>
      <c r="L8" s="60">
        <f t="shared" si="5"/>
        <v>0</v>
      </c>
      <c r="M8" s="60"/>
      <c r="N8" s="59">
        <f t="shared" si="6"/>
        <v>0</v>
      </c>
      <c r="O8" s="60"/>
      <c r="P8" s="59">
        <f t="shared" si="7"/>
        <v>0</v>
      </c>
      <c r="Q8" s="60"/>
      <c r="R8" s="60">
        <f t="shared" si="8"/>
        <v>0</v>
      </c>
      <c r="S8" s="60"/>
      <c r="T8" s="60">
        <f t="shared" si="9"/>
        <v>0</v>
      </c>
      <c r="U8" s="60"/>
      <c r="V8" s="19">
        <f t="shared" si="10"/>
        <v>0</v>
      </c>
      <c r="W8" s="20">
        <f t="shared" si="0"/>
        <v>42022.697500000002</v>
      </c>
    </row>
    <row r="9" spans="1:23" ht="38.25" customHeight="1" x14ac:dyDescent="0.25">
      <c r="A9" s="12">
        <v>1409935199</v>
      </c>
      <c r="B9" s="63" t="s">
        <v>74</v>
      </c>
      <c r="C9" s="60">
        <v>20965</v>
      </c>
      <c r="D9" s="59">
        <f t="shared" si="1"/>
        <v>20388.462500000001</v>
      </c>
      <c r="E9" s="60"/>
      <c r="F9" s="60">
        <f t="shared" si="2"/>
        <v>0</v>
      </c>
      <c r="G9" s="60"/>
      <c r="H9" s="60">
        <f t="shared" si="3"/>
        <v>0</v>
      </c>
      <c r="I9" s="60"/>
      <c r="J9" s="60">
        <f t="shared" si="4"/>
        <v>0</v>
      </c>
      <c r="K9" s="60"/>
      <c r="L9" s="60">
        <f t="shared" si="5"/>
        <v>0</v>
      </c>
      <c r="M9" s="60"/>
      <c r="N9" s="59">
        <f t="shared" si="6"/>
        <v>0</v>
      </c>
      <c r="O9" s="60"/>
      <c r="P9" s="59">
        <f t="shared" si="7"/>
        <v>0</v>
      </c>
      <c r="Q9" s="60"/>
      <c r="R9" s="60">
        <f t="shared" si="8"/>
        <v>0</v>
      </c>
      <c r="S9" s="60"/>
      <c r="T9" s="60">
        <f t="shared" si="9"/>
        <v>0</v>
      </c>
      <c r="U9" s="60"/>
      <c r="V9" s="19">
        <f t="shared" si="10"/>
        <v>0</v>
      </c>
      <c r="W9" s="20">
        <f t="shared" si="0"/>
        <v>20388.462500000001</v>
      </c>
    </row>
    <row r="10" spans="1:23" ht="35.25" customHeight="1" x14ac:dyDescent="0.25">
      <c r="A10" s="12">
        <v>1984225580</v>
      </c>
      <c r="B10" s="63" t="s">
        <v>75</v>
      </c>
      <c r="C10" s="60">
        <v>43209</v>
      </c>
      <c r="D10" s="59">
        <f t="shared" si="1"/>
        <v>42020.752500000002</v>
      </c>
      <c r="E10" s="60"/>
      <c r="F10" s="60">
        <f t="shared" si="2"/>
        <v>0</v>
      </c>
      <c r="G10" s="60"/>
      <c r="H10" s="60">
        <f t="shared" si="3"/>
        <v>0</v>
      </c>
      <c r="I10" s="60"/>
      <c r="J10" s="60">
        <f t="shared" si="4"/>
        <v>0</v>
      </c>
      <c r="K10" s="60"/>
      <c r="L10" s="60">
        <f t="shared" si="5"/>
        <v>0</v>
      </c>
      <c r="M10" s="60"/>
      <c r="N10" s="59">
        <f t="shared" si="6"/>
        <v>0</v>
      </c>
      <c r="O10" s="60"/>
      <c r="P10" s="59">
        <f t="shared" si="7"/>
        <v>0</v>
      </c>
      <c r="Q10" s="60"/>
      <c r="R10" s="60">
        <f t="shared" si="8"/>
        <v>0</v>
      </c>
      <c r="S10" s="60"/>
      <c r="T10" s="60">
        <f t="shared" si="9"/>
        <v>0</v>
      </c>
      <c r="U10" s="60"/>
      <c r="V10" s="19">
        <f t="shared" si="10"/>
        <v>0</v>
      </c>
      <c r="W10" s="20">
        <f>D10+F10+H10+J10+L10+N10+P10+R10+T10+V10</f>
        <v>42020.752500000002</v>
      </c>
    </row>
    <row r="11" spans="1:23" ht="37.5" customHeight="1" x14ac:dyDescent="0.25">
      <c r="A11" s="12"/>
      <c r="B11" s="61"/>
      <c r="C11" s="60"/>
      <c r="D11" s="22">
        <f t="shared" si="1"/>
        <v>0</v>
      </c>
      <c r="E11" s="60"/>
      <c r="F11" s="60">
        <f t="shared" si="2"/>
        <v>0</v>
      </c>
      <c r="G11" s="60"/>
      <c r="H11" s="60">
        <f t="shared" si="3"/>
        <v>0</v>
      </c>
      <c r="I11" s="60"/>
      <c r="J11" s="60">
        <f t="shared" si="4"/>
        <v>0</v>
      </c>
      <c r="K11" s="60"/>
      <c r="L11" s="60">
        <f t="shared" si="5"/>
        <v>0</v>
      </c>
      <c r="M11" s="60"/>
      <c r="N11" s="59">
        <f t="shared" si="6"/>
        <v>0</v>
      </c>
      <c r="O11" s="60"/>
      <c r="P11" s="59">
        <f t="shared" si="7"/>
        <v>0</v>
      </c>
      <c r="Q11" s="60"/>
      <c r="R11" s="60">
        <f t="shared" si="8"/>
        <v>0</v>
      </c>
      <c r="S11" s="60"/>
      <c r="T11" s="60">
        <f t="shared" si="9"/>
        <v>0</v>
      </c>
      <c r="U11" s="60"/>
      <c r="V11" s="19">
        <f t="shared" si="10"/>
        <v>0</v>
      </c>
      <c r="W11" s="20">
        <f t="shared" ref="W11" si="11">D11+F11+H11+J11+L11+N11+P11+R11+T11+V11</f>
        <v>0</v>
      </c>
    </row>
    <row r="12" spans="1:23" ht="29.25" customHeight="1" x14ac:dyDescent="0.25">
      <c r="A12" s="2235" t="s">
        <v>31</v>
      </c>
      <c r="B12" s="2235"/>
      <c r="C12" s="18">
        <f t="shared" ref="C12:W12" si="12">SUM(C6:C11)</f>
        <v>198751</v>
      </c>
      <c r="D12" s="18">
        <f t="shared" si="12"/>
        <v>193285.3475</v>
      </c>
      <c r="E12" s="18">
        <f t="shared" si="12"/>
        <v>0</v>
      </c>
      <c r="F12" s="18">
        <f t="shared" si="12"/>
        <v>0</v>
      </c>
      <c r="G12" s="18">
        <f t="shared" si="12"/>
        <v>0</v>
      </c>
      <c r="H12" s="18">
        <f t="shared" si="12"/>
        <v>0</v>
      </c>
      <c r="I12" s="18">
        <f t="shared" si="12"/>
        <v>0</v>
      </c>
      <c r="J12" s="18">
        <f t="shared" si="12"/>
        <v>0</v>
      </c>
      <c r="K12" s="18">
        <f t="shared" si="12"/>
        <v>0</v>
      </c>
      <c r="L12" s="18">
        <f t="shared" si="12"/>
        <v>0</v>
      </c>
      <c r="M12" s="18">
        <f t="shared" si="12"/>
        <v>0</v>
      </c>
      <c r="N12" s="23">
        <f t="shared" si="12"/>
        <v>0</v>
      </c>
      <c r="O12" s="18">
        <f t="shared" si="12"/>
        <v>0</v>
      </c>
      <c r="P12" s="23">
        <f t="shared" si="12"/>
        <v>0</v>
      </c>
      <c r="Q12" s="18">
        <f t="shared" si="12"/>
        <v>0</v>
      </c>
      <c r="R12" s="18">
        <f t="shared" si="12"/>
        <v>0</v>
      </c>
      <c r="S12" s="18">
        <f t="shared" si="12"/>
        <v>0</v>
      </c>
      <c r="T12" s="18">
        <f t="shared" si="12"/>
        <v>0</v>
      </c>
      <c r="U12" s="18">
        <f t="shared" si="12"/>
        <v>0</v>
      </c>
      <c r="V12" s="18">
        <f t="shared" si="12"/>
        <v>0</v>
      </c>
      <c r="W12" s="18">
        <f t="shared" si="12"/>
        <v>193285.3475</v>
      </c>
    </row>
    <row r="14" spans="1:23" ht="22.5" customHeight="1" x14ac:dyDescent="0.25">
      <c r="A14" s="30" t="s">
        <v>32</v>
      </c>
      <c r="B14" s="2236" t="s">
        <v>27</v>
      </c>
      <c r="C14" s="2236"/>
      <c r="D14" s="30" t="s">
        <v>33</v>
      </c>
      <c r="E14" s="30" t="s">
        <v>65</v>
      </c>
      <c r="F14" s="30" t="s">
        <v>34</v>
      </c>
      <c r="G14" s="30" t="s">
        <v>13</v>
      </c>
      <c r="H14" s="31" t="s">
        <v>45</v>
      </c>
      <c r="I14" s="30" t="s">
        <v>17</v>
      </c>
      <c r="J14" s="30" t="s">
        <v>66</v>
      </c>
      <c r="K14" s="30" t="s">
        <v>36</v>
      </c>
      <c r="L14" s="30" t="s">
        <v>37</v>
      </c>
      <c r="M14" s="30" t="s">
        <v>69</v>
      </c>
      <c r="N14" s="30" t="s">
        <v>70</v>
      </c>
      <c r="O14" s="15"/>
      <c r="P14" s="15"/>
      <c r="R14" s="2235" t="s">
        <v>46</v>
      </c>
      <c r="S14" s="63" t="s">
        <v>54</v>
      </c>
      <c r="T14" s="2231">
        <v>64517</v>
      </c>
      <c r="U14" s="2237"/>
      <c r="V14" s="2230"/>
    </row>
    <row r="15" spans="1:23" ht="22.5" customHeight="1" x14ac:dyDescent="0.25">
      <c r="A15" s="11" t="s">
        <v>38</v>
      </c>
      <c r="B15" s="2231">
        <v>79156</v>
      </c>
      <c r="C15" s="2230"/>
      <c r="D15" s="60">
        <v>0</v>
      </c>
      <c r="E15" s="60">
        <v>150</v>
      </c>
      <c r="F15" s="60">
        <v>520</v>
      </c>
      <c r="G15" s="60">
        <v>0</v>
      </c>
      <c r="H15" s="60">
        <v>0</v>
      </c>
      <c r="I15" s="60">
        <v>0</v>
      </c>
      <c r="J15" s="60">
        <v>44</v>
      </c>
      <c r="K15" s="60">
        <v>20</v>
      </c>
      <c r="L15" s="60">
        <v>1884</v>
      </c>
      <c r="M15" s="60">
        <v>0</v>
      </c>
      <c r="N15" s="60">
        <v>100</v>
      </c>
      <c r="O15" s="21"/>
      <c r="P15" s="21"/>
      <c r="R15" s="2235"/>
      <c r="S15" s="63" t="s">
        <v>64</v>
      </c>
      <c r="T15" s="2225">
        <v>10651</v>
      </c>
      <c r="U15" s="2225"/>
      <c r="V15" s="2225"/>
    </row>
    <row r="16" spans="1:23" ht="24.75" customHeight="1" x14ac:dyDescent="0.25">
      <c r="A16" s="11" t="s">
        <v>39</v>
      </c>
      <c r="B16" s="2231">
        <v>130000</v>
      </c>
      <c r="C16" s="2230"/>
      <c r="D16" s="60"/>
      <c r="E16" s="60"/>
      <c r="F16" s="60"/>
      <c r="G16" s="60"/>
      <c r="H16" s="60"/>
      <c r="I16" s="60"/>
      <c r="J16" s="60"/>
      <c r="K16" s="60"/>
      <c r="L16" s="60"/>
      <c r="M16" s="60"/>
      <c r="N16" s="60"/>
      <c r="O16" s="21"/>
      <c r="P16" s="21"/>
      <c r="R16" s="2254" t="s">
        <v>55</v>
      </c>
      <c r="S16" s="2254"/>
      <c r="T16" s="2234">
        <f>W12</f>
        <v>193285.3475</v>
      </c>
      <c r="U16" s="2234"/>
      <c r="V16" s="2225"/>
    </row>
    <row r="17" spans="1:23" ht="24.75" customHeight="1" x14ac:dyDescent="0.25">
      <c r="A17" s="11" t="s">
        <v>44</v>
      </c>
      <c r="B17" s="2231"/>
      <c r="C17" s="2230"/>
      <c r="D17" s="60"/>
      <c r="E17" s="60"/>
      <c r="F17" s="60"/>
      <c r="G17" s="60"/>
      <c r="H17" s="60"/>
      <c r="I17" s="60"/>
      <c r="J17" s="60"/>
      <c r="K17" s="60"/>
      <c r="L17" s="60"/>
      <c r="M17" s="60"/>
      <c r="N17" s="60"/>
      <c r="O17" s="21"/>
      <c r="P17" s="21"/>
      <c r="R17" s="2254" t="s">
        <v>87</v>
      </c>
      <c r="S17" s="2254"/>
      <c r="T17" s="2225"/>
      <c r="U17" s="2225"/>
      <c r="V17" s="2225"/>
    </row>
    <row r="18" spans="1:23" ht="27" customHeight="1" x14ac:dyDescent="0.25">
      <c r="A18" s="11" t="s">
        <v>40</v>
      </c>
      <c r="B18" s="2229">
        <f>C12</f>
        <v>198751</v>
      </c>
      <c r="C18" s="2230"/>
      <c r="D18" s="62">
        <f>E12</f>
        <v>0</v>
      </c>
      <c r="E18" s="62">
        <f>G12</f>
        <v>0</v>
      </c>
      <c r="F18" s="62">
        <f>I12</f>
        <v>0</v>
      </c>
      <c r="G18" s="62">
        <f>K12</f>
        <v>0</v>
      </c>
      <c r="H18" s="60"/>
      <c r="I18" s="62">
        <f>S12</f>
        <v>0</v>
      </c>
      <c r="J18" s="60"/>
      <c r="K18" s="62">
        <f>U12</f>
        <v>0</v>
      </c>
      <c r="L18" s="60"/>
      <c r="M18" s="62">
        <f>M12</f>
        <v>0</v>
      </c>
      <c r="N18" s="62">
        <f>O12</f>
        <v>0</v>
      </c>
      <c r="O18" s="21"/>
      <c r="P18" s="21"/>
      <c r="R18" s="2254" t="s">
        <v>57</v>
      </c>
      <c r="S18" s="2254"/>
      <c r="T18" s="2225">
        <f>1210+6000</f>
        <v>7210</v>
      </c>
      <c r="U18" s="2225"/>
      <c r="V18" s="2225"/>
      <c r="W18" s="2259" t="s">
        <v>94</v>
      </c>
    </row>
    <row r="19" spans="1:23" ht="25.5" customHeight="1" x14ac:dyDescent="0.25">
      <c r="A19" s="11" t="s">
        <v>41</v>
      </c>
      <c r="B19" s="2231">
        <f>B15+B16+B17-B18</f>
        <v>10405</v>
      </c>
      <c r="C19" s="2230"/>
      <c r="D19" s="60">
        <f>D15+D16+D17-D18</f>
        <v>0</v>
      </c>
      <c r="E19" s="60">
        <f t="shared" ref="E19:N19" si="13">E15+E16+E17-E18</f>
        <v>150</v>
      </c>
      <c r="F19" s="60">
        <f t="shared" si="13"/>
        <v>520</v>
      </c>
      <c r="G19" s="60">
        <f t="shared" si="13"/>
        <v>0</v>
      </c>
      <c r="H19" s="60">
        <f t="shared" si="13"/>
        <v>0</v>
      </c>
      <c r="I19" s="60">
        <f t="shared" si="13"/>
        <v>0</v>
      </c>
      <c r="J19" s="60">
        <f t="shared" si="13"/>
        <v>44</v>
      </c>
      <c r="K19" s="60">
        <f t="shared" si="13"/>
        <v>20</v>
      </c>
      <c r="L19" s="60">
        <f t="shared" si="13"/>
        <v>1884</v>
      </c>
      <c r="M19" s="60">
        <f t="shared" si="13"/>
        <v>0</v>
      </c>
      <c r="N19" s="60">
        <f t="shared" si="13"/>
        <v>100</v>
      </c>
      <c r="O19" s="21"/>
      <c r="P19" s="21"/>
      <c r="R19" s="2256" t="s">
        <v>48</v>
      </c>
      <c r="S19" s="49" t="s">
        <v>58</v>
      </c>
      <c r="T19" s="2225"/>
      <c r="U19" s="2225"/>
      <c r="V19" s="2225"/>
      <c r="W19" s="2259"/>
    </row>
    <row r="20" spans="1:23" ht="23.25" customHeight="1" x14ac:dyDescent="0.25">
      <c r="A20" s="15"/>
      <c r="B20" s="10"/>
      <c r="C20" s="10"/>
      <c r="D20" s="10"/>
      <c r="E20" s="10"/>
      <c r="F20" s="10"/>
      <c r="G20" s="10"/>
      <c r="H20" s="10"/>
      <c r="I20" s="10"/>
      <c r="J20" s="10"/>
      <c r="K20" s="10"/>
      <c r="L20" s="10"/>
      <c r="M20" s="10"/>
      <c r="N20" s="10"/>
      <c r="O20" s="10"/>
      <c r="P20" s="10"/>
      <c r="R20" s="2257"/>
      <c r="S20" s="49" t="s">
        <v>59</v>
      </c>
      <c r="T20" s="2225"/>
      <c r="U20" s="2225"/>
      <c r="V20" s="2225"/>
      <c r="W20" s="2259"/>
    </row>
    <row r="21" spans="1:23" ht="33.75" customHeight="1" x14ac:dyDescent="0.25">
      <c r="A21" s="15"/>
      <c r="B21" s="10"/>
      <c r="C21" s="10"/>
      <c r="D21" s="10"/>
      <c r="E21" s="10"/>
      <c r="F21" s="10"/>
      <c r="G21" s="10"/>
      <c r="H21" s="10"/>
      <c r="I21" s="10"/>
      <c r="J21" s="10"/>
      <c r="K21" s="10"/>
      <c r="L21" s="10"/>
      <c r="M21" s="10"/>
      <c r="N21" s="10"/>
      <c r="O21" s="10"/>
      <c r="P21" s="10"/>
      <c r="R21" s="2251" t="s">
        <v>83</v>
      </c>
      <c r="S21" s="50" t="s">
        <v>60</v>
      </c>
      <c r="T21" s="2225"/>
      <c r="U21" s="2225"/>
      <c r="V21" s="2225"/>
      <c r="W21" s="2259"/>
    </row>
    <row r="22" spans="1:23" ht="29.25" customHeight="1" x14ac:dyDescent="0.25">
      <c r="A22" s="10"/>
      <c r="B22" s="2258" t="s">
        <v>49</v>
      </c>
      <c r="C22" s="2249">
        <v>399958</v>
      </c>
      <c r="D22" s="2225"/>
      <c r="E22" s="2225">
        <v>125125</v>
      </c>
      <c r="F22" s="2225">
        <f>C22-D22+E22</f>
        <v>525083</v>
      </c>
      <c r="G22" s="10"/>
      <c r="H22" s="10"/>
      <c r="I22" s="10"/>
      <c r="J22" s="10"/>
      <c r="K22" s="10"/>
      <c r="L22" s="10"/>
      <c r="M22" s="10"/>
      <c r="N22" s="10"/>
      <c r="O22" s="10"/>
      <c r="P22" s="10"/>
      <c r="R22" s="2252"/>
      <c r="S22" s="50" t="s">
        <v>61</v>
      </c>
      <c r="T22" s="2225"/>
      <c r="U22" s="2225"/>
      <c r="V22" s="2225"/>
      <c r="W22" s="2259"/>
    </row>
    <row r="23" spans="1:23" ht="47.25" customHeight="1" x14ac:dyDescent="0.25">
      <c r="A23" s="10"/>
      <c r="B23" s="2258"/>
      <c r="C23" s="2250"/>
      <c r="D23" s="2225"/>
      <c r="E23" s="2225"/>
      <c r="F23" s="2225"/>
      <c r="G23" s="10"/>
      <c r="H23" s="10"/>
      <c r="I23" s="10"/>
      <c r="J23" s="10"/>
      <c r="K23" s="10"/>
      <c r="L23" s="10"/>
      <c r="M23" s="10"/>
      <c r="N23" s="10"/>
      <c r="O23" s="10"/>
      <c r="P23" s="10"/>
      <c r="R23" s="2235" t="s">
        <v>47</v>
      </c>
      <c r="S23" s="51" t="s">
        <v>62</v>
      </c>
      <c r="T23" s="2224">
        <f>T14+T16+T17-T18-T19-T20-T21+T22</f>
        <v>250592.3475</v>
      </c>
      <c r="U23" s="2224"/>
      <c r="V23" s="2224"/>
      <c r="W23" s="2259"/>
    </row>
    <row r="24" spans="1:23" ht="27" customHeight="1" x14ac:dyDescent="0.25">
      <c r="B24" s="2258"/>
      <c r="C24" s="63" t="s">
        <v>46</v>
      </c>
      <c r="D24" s="63" t="s">
        <v>50</v>
      </c>
      <c r="E24" s="63" t="s">
        <v>51</v>
      </c>
      <c r="F24" s="63" t="s">
        <v>52</v>
      </c>
      <c r="R24" s="2235"/>
      <c r="S24" s="51" t="s">
        <v>63</v>
      </c>
      <c r="T24" s="2225">
        <f>T15+T21-T22</f>
        <v>10651</v>
      </c>
      <c r="U24" s="2225"/>
      <c r="V24" s="2225"/>
    </row>
  </sheetData>
  <mergeCells count="47">
    <mergeCell ref="A1:W1"/>
    <mergeCell ref="A2:W2"/>
    <mergeCell ref="R3:W3"/>
    <mergeCell ref="A4:A5"/>
    <mergeCell ref="B4:B5"/>
    <mergeCell ref="C4:D4"/>
    <mergeCell ref="E4:F4"/>
    <mergeCell ref="G4:H4"/>
    <mergeCell ref="I4:J4"/>
    <mergeCell ref="K4:L4"/>
    <mergeCell ref="M4:N4"/>
    <mergeCell ref="O4:P4"/>
    <mergeCell ref="Q4:R4"/>
    <mergeCell ref="S4:T4"/>
    <mergeCell ref="U4:V4"/>
    <mergeCell ref="R14:R15"/>
    <mergeCell ref="T14:V14"/>
    <mergeCell ref="B15:C15"/>
    <mergeCell ref="T15:V15"/>
    <mergeCell ref="W4:W5"/>
    <mergeCell ref="D22:D23"/>
    <mergeCell ref="E22:E23"/>
    <mergeCell ref="F22:F23"/>
    <mergeCell ref="A12:B12"/>
    <mergeCell ref="B14:C14"/>
    <mergeCell ref="B16:C16"/>
    <mergeCell ref="R16:S16"/>
    <mergeCell ref="T16:V16"/>
    <mergeCell ref="B17:C17"/>
    <mergeCell ref="R17:S17"/>
    <mergeCell ref="T17:V17"/>
    <mergeCell ref="W18:W23"/>
    <mergeCell ref="B19:C19"/>
    <mergeCell ref="R19:R20"/>
    <mergeCell ref="T19:V19"/>
    <mergeCell ref="T20:V20"/>
    <mergeCell ref="R21:R22"/>
    <mergeCell ref="T21:V21"/>
    <mergeCell ref="T22:V22"/>
    <mergeCell ref="R23:R24"/>
    <mergeCell ref="T23:V23"/>
    <mergeCell ref="T24:V24"/>
    <mergeCell ref="B18:C18"/>
    <mergeCell ref="R18:S18"/>
    <mergeCell ref="T18:V18"/>
    <mergeCell ref="B22:B24"/>
    <mergeCell ref="C22:C23"/>
  </mergeCells>
  <pageMargins left="0.15748031496063" right="0.15748031496063" top="0" bottom="0" header="0" footer="0"/>
  <pageSetup paperSize="9" scale="54" orientation="landscape" r:id="rId1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0-000000000000}">
  <sheetPr>
    <pageSetUpPr fitToPage="1"/>
  </sheetPr>
  <dimension ref="A1:W24"/>
  <sheetViews>
    <sheetView topLeftCell="A7" zoomScale="71" zoomScaleNormal="71" zoomScaleSheetLayoutView="100" workbookViewId="0">
      <selection activeCell="T18" sqref="T18:V18"/>
    </sheetView>
  </sheetViews>
  <sheetFormatPr defaultColWidth="9.140625" defaultRowHeight="15" x14ac:dyDescent="0.25"/>
  <cols>
    <col min="1" max="1" width="21.7109375" style="14" bestFit="1" customWidth="1"/>
    <col min="2" max="2" width="19.5703125" style="14" customWidth="1"/>
    <col min="3" max="3" width="10.42578125" style="14" customWidth="1"/>
    <col min="4" max="4" width="11" style="14" customWidth="1"/>
    <col min="5" max="5" width="12" style="14" customWidth="1"/>
    <col min="6" max="6" width="12.5703125" style="14" bestFit="1" customWidth="1"/>
    <col min="7" max="7" width="9.28515625" style="14" bestFit="1" customWidth="1"/>
    <col min="8" max="8" width="10.140625" style="14" bestFit="1" customWidth="1"/>
    <col min="9" max="9" width="10.5703125" style="14" bestFit="1" customWidth="1"/>
    <col min="10" max="10" width="10.5703125" style="14" customWidth="1"/>
    <col min="11" max="11" width="10.28515625" style="14" bestFit="1" customWidth="1"/>
    <col min="12" max="12" width="9.42578125" style="14" bestFit="1" customWidth="1"/>
    <col min="13" max="13" width="9.85546875" style="14" bestFit="1" customWidth="1"/>
    <col min="14" max="14" width="10.140625" style="14" bestFit="1" customWidth="1"/>
    <col min="15" max="15" width="10.28515625" style="14" bestFit="1" customWidth="1"/>
    <col min="16" max="17" width="9.42578125" style="14" bestFit="1" customWidth="1"/>
    <col min="18" max="18" width="12.5703125" style="14" customWidth="1"/>
    <col min="19" max="19" width="16.7109375" style="14" customWidth="1"/>
    <col min="20" max="20" width="7.85546875" style="14" bestFit="1" customWidth="1"/>
    <col min="21" max="21" width="7.42578125" style="14" customWidth="1"/>
    <col min="22" max="22" width="7.28515625" style="14" customWidth="1"/>
    <col min="23" max="23" width="12.85546875" style="14" customWidth="1"/>
    <col min="24" max="16384" width="9.140625" style="14"/>
  </cols>
  <sheetData>
    <row r="1" spans="1:23" ht="46.15" customHeight="1" x14ac:dyDescent="0.25">
      <c r="A1" s="2240" t="s">
        <v>76</v>
      </c>
      <c r="B1" s="2240"/>
      <c r="C1" s="2240"/>
      <c r="D1" s="2240"/>
      <c r="E1" s="2240"/>
      <c r="F1" s="2240"/>
      <c r="G1" s="2240"/>
      <c r="H1" s="2240"/>
      <c r="I1" s="2240"/>
      <c r="J1" s="2240"/>
      <c r="K1" s="2240"/>
      <c r="L1" s="2240"/>
      <c r="M1" s="2240"/>
      <c r="N1" s="2240"/>
      <c r="O1" s="2240"/>
      <c r="P1" s="2240"/>
      <c r="Q1" s="2240"/>
      <c r="R1" s="2240"/>
      <c r="S1" s="2240"/>
      <c r="T1" s="2240"/>
      <c r="U1" s="2240"/>
      <c r="V1" s="2240"/>
      <c r="W1" s="2240"/>
    </row>
    <row r="2" spans="1:23" ht="21.6" customHeight="1" x14ac:dyDescent="0.25">
      <c r="A2" s="2241" t="s">
        <v>77</v>
      </c>
      <c r="B2" s="2241"/>
      <c r="C2" s="2241"/>
      <c r="D2" s="2241"/>
      <c r="E2" s="2241"/>
      <c r="F2" s="2241"/>
      <c r="G2" s="2241"/>
      <c r="H2" s="2241"/>
      <c r="I2" s="2241"/>
      <c r="J2" s="2241"/>
      <c r="K2" s="2241"/>
      <c r="L2" s="2241"/>
      <c r="M2" s="2241"/>
      <c r="N2" s="2241"/>
      <c r="O2" s="2241"/>
      <c r="P2" s="2241"/>
      <c r="Q2" s="2241"/>
      <c r="R2" s="2241"/>
      <c r="S2" s="2241"/>
      <c r="T2" s="2241"/>
      <c r="U2" s="2241"/>
      <c r="V2" s="2241"/>
      <c r="W2" s="2241"/>
    </row>
    <row r="3" spans="1:23" ht="21" customHeight="1" x14ac:dyDescent="0.25">
      <c r="A3" s="66"/>
      <c r="B3" s="66"/>
      <c r="C3" s="66"/>
      <c r="D3" s="66"/>
      <c r="E3" s="66"/>
      <c r="F3" s="66"/>
      <c r="G3" s="66"/>
      <c r="H3" s="66"/>
      <c r="I3" s="66"/>
      <c r="J3" s="66"/>
      <c r="K3" s="66"/>
      <c r="L3" s="66"/>
      <c r="M3" s="66"/>
      <c r="N3" s="66"/>
      <c r="O3" s="66"/>
      <c r="P3" s="66"/>
      <c r="Q3" s="66"/>
      <c r="R3" s="2242" t="s">
        <v>97</v>
      </c>
      <c r="S3" s="2242"/>
      <c r="T3" s="2242"/>
      <c r="U3" s="2242"/>
      <c r="V3" s="2242"/>
      <c r="W3" s="2242"/>
    </row>
    <row r="4" spans="1:23" s="66" customFormat="1" ht="18" customHeight="1" x14ac:dyDescent="0.25">
      <c r="A4" s="2243" t="s">
        <v>25</v>
      </c>
      <c r="B4" s="2243" t="s">
        <v>26</v>
      </c>
      <c r="C4" s="2244" t="s">
        <v>27</v>
      </c>
      <c r="D4" s="2244"/>
      <c r="E4" s="2244" t="s">
        <v>28</v>
      </c>
      <c r="F4" s="2244"/>
      <c r="G4" s="2244" t="s">
        <v>65</v>
      </c>
      <c r="H4" s="2244"/>
      <c r="I4" s="2244" t="s">
        <v>29</v>
      </c>
      <c r="J4" s="2244"/>
      <c r="K4" s="2245" t="s">
        <v>13</v>
      </c>
      <c r="L4" s="2246"/>
      <c r="M4" s="2245" t="s">
        <v>67</v>
      </c>
      <c r="N4" s="2246"/>
      <c r="O4" s="2245" t="s">
        <v>68</v>
      </c>
      <c r="P4" s="2246"/>
      <c r="Q4" s="2244" t="s">
        <v>35</v>
      </c>
      <c r="R4" s="2244"/>
      <c r="S4" s="2245" t="s">
        <v>17</v>
      </c>
      <c r="T4" s="2246"/>
      <c r="U4" s="2247" t="s">
        <v>36</v>
      </c>
      <c r="V4" s="2248"/>
      <c r="W4" s="2238" t="s">
        <v>30</v>
      </c>
    </row>
    <row r="5" spans="1:23" s="66" customFormat="1" ht="25.5" customHeight="1" x14ac:dyDescent="0.25">
      <c r="A5" s="2243"/>
      <c r="B5" s="2243"/>
      <c r="C5" s="68" t="s">
        <v>42</v>
      </c>
      <c r="D5" s="68" t="s">
        <v>43</v>
      </c>
      <c r="E5" s="68" t="s">
        <v>42</v>
      </c>
      <c r="F5" s="68" t="s">
        <v>43</v>
      </c>
      <c r="G5" s="68" t="s">
        <v>42</v>
      </c>
      <c r="H5" s="68" t="s">
        <v>43</v>
      </c>
      <c r="I5" s="68" t="s">
        <v>42</v>
      </c>
      <c r="J5" s="68" t="s">
        <v>43</v>
      </c>
      <c r="K5" s="68" t="s">
        <v>42</v>
      </c>
      <c r="L5" s="68" t="s">
        <v>43</v>
      </c>
      <c r="M5" s="68" t="s">
        <v>42</v>
      </c>
      <c r="N5" s="68" t="s">
        <v>43</v>
      </c>
      <c r="O5" s="68" t="s">
        <v>42</v>
      </c>
      <c r="P5" s="68" t="s">
        <v>43</v>
      </c>
      <c r="Q5" s="33" t="s">
        <v>42</v>
      </c>
      <c r="R5" s="33" t="s">
        <v>43</v>
      </c>
      <c r="S5" s="30" t="s">
        <v>42</v>
      </c>
      <c r="T5" s="30" t="s">
        <v>43</v>
      </c>
      <c r="U5" s="30" t="s">
        <v>42</v>
      </c>
      <c r="V5" s="30" t="s">
        <v>43</v>
      </c>
      <c r="W5" s="2239"/>
    </row>
    <row r="6" spans="1:23" ht="34.5" customHeight="1" x14ac:dyDescent="0.25">
      <c r="A6" s="12">
        <v>1409935200</v>
      </c>
      <c r="B6" s="67" t="s">
        <v>71</v>
      </c>
      <c r="C6" s="70">
        <v>2040</v>
      </c>
      <c r="D6" s="72">
        <f>0.9725*C6</f>
        <v>1983.9</v>
      </c>
      <c r="E6" s="70"/>
      <c r="F6" s="70">
        <f>13.7*E6</f>
        <v>0</v>
      </c>
      <c r="G6" s="70"/>
      <c r="H6" s="70">
        <f>28.2*G6</f>
        <v>0</v>
      </c>
      <c r="I6" s="70"/>
      <c r="J6" s="70">
        <f>18.5*I6</f>
        <v>0</v>
      </c>
      <c r="K6" s="70"/>
      <c r="L6" s="70">
        <f>19.5*K6</f>
        <v>0</v>
      </c>
      <c r="M6" s="70"/>
      <c r="N6" s="72">
        <f>M6*9.75</f>
        <v>0</v>
      </c>
      <c r="O6" s="70"/>
      <c r="P6" s="72">
        <f>O6*48.62</f>
        <v>0</v>
      </c>
      <c r="Q6" s="70"/>
      <c r="R6" s="70">
        <f>241*Q6</f>
        <v>0</v>
      </c>
      <c r="S6" s="70"/>
      <c r="T6" s="70">
        <f>232*S6</f>
        <v>0</v>
      </c>
      <c r="U6" s="70"/>
      <c r="V6" s="19">
        <f>U6*100</f>
        <v>0</v>
      </c>
      <c r="W6" s="20">
        <f t="shared" ref="W6:W9" si="0">D6+F6+H6+J6+L6+N6+P6+R6+T6+V6</f>
        <v>1983.9</v>
      </c>
    </row>
    <row r="7" spans="1:23" ht="31.5" customHeight="1" x14ac:dyDescent="0.25">
      <c r="A7" s="12">
        <v>1984225578</v>
      </c>
      <c r="B7" s="67" t="s">
        <v>72</v>
      </c>
      <c r="C7" s="70">
        <v>2100</v>
      </c>
      <c r="D7" s="72">
        <f t="shared" ref="D7:D11" si="1">0.9725*C7</f>
        <v>2042.25</v>
      </c>
      <c r="E7" s="70"/>
      <c r="F7" s="70">
        <f t="shared" ref="F7:F11" si="2">13.7*E7</f>
        <v>0</v>
      </c>
      <c r="G7" s="70"/>
      <c r="H7" s="70">
        <f t="shared" ref="H7:H11" si="3">28.2*G7</f>
        <v>0</v>
      </c>
      <c r="I7" s="70">
        <v>360</v>
      </c>
      <c r="J7" s="70">
        <f t="shared" ref="J7:J11" si="4">18.5*I7</f>
        <v>6660</v>
      </c>
      <c r="K7" s="70"/>
      <c r="L7" s="70">
        <f t="shared" ref="L7:L11" si="5">19.5*K7</f>
        <v>0</v>
      </c>
      <c r="M7" s="70"/>
      <c r="N7" s="72">
        <f t="shared" ref="N7:N11" si="6">M7*9.75</f>
        <v>0</v>
      </c>
      <c r="O7" s="70"/>
      <c r="P7" s="72">
        <f t="shared" ref="P7:P11" si="7">O7*48.62</f>
        <v>0</v>
      </c>
      <c r="Q7" s="70"/>
      <c r="R7" s="70">
        <f t="shared" ref="R7:R11" si="8">241*Q7</f>
        <v>0</v>
      </c>
      <c r="S7" s="70"/>
      <c r="T7" s="70">
        <f t="shared" ref="T7:T11" si="9">232*S7</f>
        <v>0</v>
      </c>
      <c r="U7" s="70"/>
      <c r="V7" s="19">
        <f t="shared" ref="V7:V11" si="10">U7*100</f>
        <v>0</v>
      </c>
      <c r="W7" s="20">
        <f t="shared" si="0"/>
        <v>8702.25</v>
      </c>
    </row>
    <row r="8" spans="1:23" ht="35.25" customHeight="1" x14ac:dyDescent="0.25">
      <c r="A8" s="12">
        <v>1967020280</v>
      </c>
      <c r="B8" s="67" t="s">
        <v>73</v>
      </c>
      <c r="C8" s="70">
        <v>2100</v>
      </c>
      <c r="D8" s="72">
        <f t="shared" si="1"/>
        <v>2042.25</v>
      </c>
      <c r="E8" s="70"/>
      <c r="F8" s="70">
        <f t="shared" si="2"/>
        <v>0</v>
      </c>
      <c r="G8" s="70"/>
      <c r="H8" s="70">
        <f t="shared" si="3"/>
        <v>0</v>
      </c>
      <c r="I8" s="70"/>
      <c r="J8" s="70">
        <f t="shared" si="4"/>
        <v>0</v>
      </c>
      <c r="K8" s="70"/>
      <c r="L8" s="70">
        <f t="shared" si="5"/>
        <v>0</v>
      </c>
      <c r="M8" s="70"/>
      <c r="N8" s="72">
        <f t="shared" si="6"/>
        <v>0</v>
      </c>
      <c r="O8" s="70"/>
      <c r="P8" s="72">
        <f t="shared" si="7"/>
        <v>0</v>
      </c>
      <c r="Q8" s="70"/>
      <c r="R8" s="70">
        <f t="shared" si="8"/>
        <v>0</v>
      </c>
      <c r="S8" s="70"/>
      <c r="T8" s="70">
        <f t="shared" si="9"/>
        <v>0</v>
      </c>
      <c r="U8" s="70"/>
      <c r="V8" s="19">
        <f t="shared" si="10"/>
        <v>0</v>
      </c>
      <c r="W8" s="20">
        <f t="shared" si="0"/>
        <v>2042.25</v>
      </c>
    </row>
    <row r="9" spans="1:23" ht="38.25" customHeight="1" x14ac:dyDescent="0.25">
      <c r="A9" s="12">
        <v>1409935199</v>
      </c>
      <c r="B9" s="67" t="s">
        <v>74</v>
      </c>
      <c r="C9" s="70">
        <v>2040</v>
      </c>
      <c r="D9" s="72">
        <f t="shared" si="1"/>
        <v>1983.9</v>
      </c>
      <c r="E9" s="70"/>
      <c r="F9" s="70">
        <f t="shared" si="2"/>
        <v>0</v>
      </c>
      <c r="G9" s="70"/>
      <c r="H9" s="70">
        <f t="shared" si="3"/>
        <v>0</v>
      </c>
      <c r="I9" s="70"/>
      <c r="J9" s="70">
        <f t="shared" si="4"/>
        <v>0</v>
      </c>
      <c r="K9" s="70"/>
      <c r="L9" s="70">
        <f t="shared" si="5"/>
        <v>0</v>
      </c>
      <c r="M9" s="70"/>
      <c r="N9" s="72">
        <f t="shared" si="6"/>
        <v>0</v>
      </c>
      <c r="O9" s="70"/>
      <c r="P9" s="72">
        <f t="shared" si="7"/>
        <v>0</v>
      </c>
      <c r="Q9" s="70"/>
      <c r="R9" s="70">
        <f t="shared" si="8"/>
        <v>0</v>
      </c>
      <c r="S9" s="70"/>
      <c r="T9" s="70">
        <f t="shared" si="9"/>
        <v>0</v>
      </c>
      <c r="U9" s="70"/>
      <c r="V9" s="19">
        <f t="shared" si="10"/>
        <v>0</v>
      </c>
      <c r="W9" s="20">
        <f t="shared" si="0"/>
        <v>1983.9</v>
      </c>
    </row>
    <row r="10" spans="1:23" ht="35.25" customHeight="1" x14ac:dyDescent="0.25">
      <c r="A10" s="12">
        <v>1984225580</v>
      </c>
      <c r="B10" s="67" t="s">
        <v>75</v>
      </c>
      <c r="C10" s="70">
        <v>2000</v>
      </c>
      <c r="D10" s="72">
        <f t="shared" si="1"/>
        <v>1945</v>
      </c>
      <c r="E10" s="70"/>
      <c r="F10" s="70">
        <f t="shared" si="2"/>
        <v>0</v>
      </c>
      <c r="G10" s="70"/>
      <c r="H10" s="70">
        <f t="shared" si="3"/>
        <v>0</v>
      </c>
      <c r="I10" s="70"/>
      <c r="J10" s="70">
        <f t="shared" si="4"/>
        <v>0</v>
      </c>
      <c r="K10" s="70"/>
      <c r="L10" s="70">
        <f t="shared" si="5"/>
        <v>0</v>
      </c>
      <c r="M10" s="70"/>
      <c r="N10" s="72">
        <f t="shared" si="6"/>
        <v>0</v>
      </c>
      <c r="O10" s="70"/>
      <c r="P10" s="72">
        <f t="shared" si="7"/>
        <v>0</v>
      </c>
      <c r="Q10" s="70"/>
      <c r="R10" s="70">
        <f t="shared" si="8"/>
        <v>0</v>
      </c>
      <c r="S10" s="70"/>
      <c r="T10" s="70">
        <f t="shared" si="9"/>
        <v>0</v>
      </c>
      <c r="U10" s="70"/>
      <c r="V10" s="19">
        <f t="shared" si="10"/>
        <v>0</v>
      </c>
      <c r="W10" s="20">
        <f>D10+F10+H10+J10+L10+N10+P10+R10+T10+V10</f>
        <v>1945</v>
      </c>
    </row>
    <row r="11" spans="1:23" ht="37.5" customHeight="1" x14ac:dyDescent="0.25">
      <c r="A11" s="12"/>
      <c r="B11" s="69"/>
      <c r="C11" s="70"/>
      <c r="D11" s="22">
        <f t="shared" si="1"/>
        <v>0</v>
      </c>
      <c r="E11" s="70"/>
      <c r="F11" s="70">
        <f t="shared" si="2"/>
        <v>0</v>
      </c>
      <c r="G11" s="70"/>
      <c r="H11" s="70">
        <f t="shared" si="3"/>
        <v>0</v>
      </c>
      <c r="I11" s="70"/>
      <c r="J11" s="70">
        <f t="shared" si="4"/>
        <v>0</v>
      </c>
      <c r="K11" s="70"/>
      <c r="L11" s="70">
        <f t="shared" si="5"/>
        <v>0</v>
      </c>
      <c r="M11" s="70"/>
      <c r="N11" s="72">
        <f t="shared" si="6"/>
        <v>0</v>
      </c>
      <c r="O11" s="70"/>
      <c r="P11" s="72">
        <f t="shared" si="7"/>
        <v>0</v>
      </c>
      <c r="Q11" s="70">
        <v>199</v>
      </c>
      <c r="R11" s="70">
        <f t="shared" si="8"/>
        <v>47959</v>
      </c>
      <c r="S11" s="70"/>
      <c r="T11" s="70">
        <f t="shared" si="9"/>
        <v>0</v>
      </c>
      <c r="U11" s="70"/>
      <c r="V11" s="19">
        <f t="shared" si="10"/>
        <v>0</v>
      </c>
      <c r="W11" s="20">
        <f t="shared" ref="W11" si="11">D11+F11+H11+J11+L11+N11+P11+R11+T11+V11</f>
        <v>47959</v>
      </c>
    </row>
    <row r="12" spans="1:23" ht="29.25" customHeight="1" x14ac:dyDescent="0.25">
      <c r="A12" s="2235" t="s">
        <v>31</v>
      </c>
      <c r="B12" s="2235"/>
      <c r="C12" s="18">
        <f t="shared" ref="C12:W12" si="12">SUM(C6:C11)</f>
        <v>10280</v>
      </c>
      <c r="D12" s="18">
        <f t="shared" si="12"/>
        <v>9997.2999999999993</v>
      </c>
      <c r="E12" s="18">
        <f t="shared" si="12"/>
        <v>0</v>
      </c>
      <c r="F12" s="18">
        <f t="shared" si="12"/>
        <v>0</v>
      </c>
      <c r="G12" s="18">
        <f t="shared" si="12"/>
        <v>0</v>
      </c>
      <c r="H12" s="18">
        <f t="shared" si="12"/>
        <v>0</v>
      </c>
      <c r="I12" s="18">
        <f t="shared" si="12"/>
        <v>360</v>
      </c>
      <c r="J12" s="18">
        <f t="shared" si="12"/>
        <v>6660</v>
      </c>
      <c r="K12" s="18">
        <f t="shared" si="12"/>
        <v>0</v>
      </c>
      <c r="L12" s="18">
        <f t="shared" si="12"/>
        <v>0</v>
      </c>
      <c r="M12" s="18">
        <f t="shared" si="12"/>
        <v>0</v>
      </c>
      <c r="N12" s="23">
        <f t="shared" si="12"/>
        <v>0</v>
      </c>
      <c r="O12" s="18">
        <f t="shared" si="12"/>
        <v>0</v>
      </c>
      <c r="P12" s="23">
        <f t="shared" si="12"/>
        <v>0</v>
      </c>
      <c r="Q12" s="18">
        <f t="shared" si="12"/>
        <v>199</v>
      </c>
      <c r="R12" s="18">
        <f t="shared" si="12"/>
        <v>47959</v>
      </c>
      <c r="S12" s="18">
        <f t="shared" si="12"/>
        <v>0</v>
      </c>
      <c r="T12" s="18">
        <f t="shared" si="12"/>
        <v>0</v>
      </c>
      <c r="U12" s="18">
        <f t="shared" si="12"/>
        <v>0</v>
      </c>
      <c r="V12" s="18">
        <f t="shared" si="12"/>
        <v>0</v>
      </c>
      <c r="W12" s="18">
        <f t="shared" si="12"/>
        <v>64616.3</v>
      </c>
    </row>
    <row r="14" spans="1:23" ht="22.5" customHeight="1" x14ac:dyDescent="0.25">
      <c r="A14" s="30" t="s">
        <v>32</v>
      </c>
      <c r="B14" s="2236" t="s">
        <v>27</v>
      </c>
      <c r="C14" s="2236"/>
      <c r="D14" s="30" t="s">
        <v>33</v>
      </c>
      <c r="E14" s="30" t="s">
        <v>65</v>
      </c>
      <c r="F14" s="30" t="s">
        <v>34</v>
      </c>
      <c r="G14" s="30" t="s">
        <v>13</v>
      </c>
      <c r="H14" s="31" t="s">
        <v>45</v>
      </c>
      <c r="I14" s="30" t="s">
        <v>17</v>
      </c>
      <c r="J14" s="30" t="s">
        <v>66</v>
      </c>
      <c r="K14" s="30" t="s">
        <v>36</v>
      </c>
      <c r="L14" s="30" t="s">
        <v>37</v>
      </c>
      <c r="M14" s="30" t="s">
        <v>69</v>
      </c>
      <c r="N14" s="30" t="s">
        <v>70</v>
      </c>
      <c r="O14" s="15"/>
      <c r="P14" s="15"/>
      <c r="R14" s="2235" t="s">
        <v>46</v>
      </c>
      <c r="S14" s="67" t="s">
        <v>54</v>
      </c>
      <c r="T14" s="2231">
        <v>250592</v>
      </c>
      <c r="U14" s="2237"/>
      <c r="V14" s="2230"/>
    </row>
    <row r="15" spans="1:23" ht="22.5" customHeight="1" x14ac:dyDescent="0.25">
      <c r="A15" s="11" t="s">
        <v>38</v>
      </c>
      <c r="B15" s="2231">
        <v>10405</v>
      </c>
      <c r="C15" s="2230"/>
      <c r="D15" s="70">
        <v>0</v>
      </c>
      <c r="E15" s="70">
        <v>150</v>
      </c>
      <c r="F15" s="70">
        <v>520</v>
      </c>
      <c r="G15" s="70">
        <v>0</v>
      </c>
      <c r="H15" s="70">
        <v>0</v>
      </c>
      <c r="I15" s="70">
        <v>0</v>
      </c>
      <c r="J15" s="70">
        <v>44</v>
      </c>
      <c r="K15" s="70">
        <v>20</v>
      </c>
      <c r="L15" s="70">
        <v>1884</v>
      </c>
      <c r="M15" s="70">
        <v>0</v>
      </c>
      <c r="N15" s="70">
        <v>100</v>
      </c>
      <c r="O15" s="21"/>
      <c r="P15" s="21"/>
      <c r="R15" s="2235"/>
      <c r="S15" s="67" t="s">
        <v>64</v>
      </c>
      <c r="T15" s="2225">
        <v>10651</v>
      </c>
      <c r="U15" s="2225"/>
      <c r="V15" s="2225"/>
    </row>
    <row r="16" spans="1:23" ht="24.75" customHeight="1" x14ac:dyDescent="0.25">
      <c r="A16" s="11" t="s">
        <v>39</v>
      </c>
      <c r="B16" s="2231">
        <v>244648</v>
      </c>
      <c r="C16" s="2230"/>
      <c r="D16" s="70">
        <v>500</v>
      </c>
      <c r="E16" s="70">
        <v>1000</v>
      </c>
      <c r="F16" s="70">
        <v>7650</v>
      </c>
      <c r="G16" s="70">
        <v>100</v>
      </c>
      <c r="H16" s="70">
        <v>200</v>
      </c>
      <c r="I16" s="70">
        <v>50</v>
      </c>
      <c r="J16" s="70"/>
      <c r="K16" s="70">
        <v>10</v>
      </c>
      <c r="L16" s="70"/>
      <c r="M16" s="70">
        <v>50</v>
      </c>
      <c r="N16" s="70">
        <v>50</v>
      </c>
      <c r="O16" s="21"/>
      <c r="P16" s="21"/>
      <c r="R16" s="2254" t="s">
        <v>55</v>
      </c>
      <c r="S16" s="2254"/>
      <c r="T16" s="2234">
        <f>W12</f>
        <v>64616.3</v>
      </c>
      <c r="U16" s="2234"/>
      <c r="V16" s="2225"/>
    </row>
    <row r="17" spans="1:23" ht="24.75" customHeight="1" x14ac:dyDescent="0.25">
      <c r="A17" s="11" t="s">
        <v>44</v>
      </c>
      <c r="B17" s="2231"/>
      <c r="C17" s="2230"/>
      <c r="D17" s="70"/>
      <c r="E17" s="70"/>
      <c r="F17" s="70"/>
      <c r="G17" s="70"/>
      <c r="H17" s="70"/>
      <c r="I17" s="70"/>
      <c r="J17" s="70"/>
      <c r="K17" s="70"/>
      <c r="L17" s="70"/>
      <c r="M17" s="70"/>
      <c r="N17" s="70"/>
      <c r="O17" s="21"/>
      <c r="P17" s="21"/>
      <c r="R17" s="2254" t="s">
        <v>95</v>
      </c>
      <c r="S17" s="2254"/>
      <c r="T17" s="2225">
        <v>2952</v>
      </c>
      <c r="U17" s="2225"/>
      <c r="V17" s="2225"/>
    </row>
    <row r="18" spans="1:23" ht="27" customHeight="1" x14ac:dyDescent="0.25">
      <c r="A18" s="11" t="s">
        <v>40</v>
      </c>
      <c r="B18" s="2229">
        <f>C12</f>
        <v>10280</v>
      </c>
      <c r="C18" s="2230"/>
      <c r="D18" s="71">
        <f>E12</f>
        <v>0</v>
      </c>
      <c r="E18" s="71">
        <f>G12</f>
        <v>0</v>
      </c>
      <c r="F18" s="71">
        <f>I12</f>
        <v>360</v>
      </c>
      <c r="G18" s="71">
        <f>K12</f>
        <v>0</v>
      </c>
      <c r="H18" s="70"/>
      <c r="I18" s="71">
        <f>S12</f>
        <v>0</v>
      </c>
      <c r="J18" s="70"/>
      <c r="K18" s="71">
        <f>U12</f>
        <v>0</v>
      </c>
      <c r="L18" s="70">
        <v>199</v>
      </c>
      <c r="M18" s="71">
        <f>M12</f>
        <v>0</v>
      </c>
      <c r="N18" s="71">
        <f>O12</f>
        <v>0</v>
      </c>
      <c r="O18" s="21"/>
      <c r="P18" s="21"/>
      <c r="R18" s="2254" t="s">
        <v>57</v>
      </c>
      <c r="S18" s="2254"/>
      <c r="T18" s="2225">
        <f>150+100000+52229</f>
        <v>152379</v>
      </c>
      <c r="U18" s="2225"/>
      <c r="V18" s="2225"/>
      <c r="W18" s="2259" t="s">
        <v>96</v>
      </c>
    </row>
    <row r="19" spans="1:23" ht="25.5" customHeight="1" x14ac:dyDescent="0.25">
      <c r="A19" s="11" t="s">
        <v>41</v>
      </c>
      <c r="B19" s="2231">
        <f>B15+B16+B17-B18</f>
        <v>244773</v>
      </c>
      <c r="C19" s="2230"/>
      <c r="D19" s="70">
        <f>D15+D16+D17-D18</f>
        <v>500</v>
      </c>
      <c r="E19" s="70">
        <f t="shared" ref="E19:N19" si="13">E15+E16+E17-E18</f>
        <v>1150</v>
      </c>
      <c r="F19" s="70">
        <f t="shared" si="13"/>
        <v>7810</v>
      </c>
      <c r="G19" s="70">
        <f t="shared" si="13"/>
        <v>100</v>
      </c>
      <c r="H19" s="70">
        <f t="shared" si="13"/>
        <v>200</v>
      </c>
      <c r="I19" s="70">
        <f t="shared" si="13"/>
        <v>50</v>
      </c>
      <c r="J19" s="70">
        <f t="shared" si="13"/>
        <v>44</v>
      </c>
      <c r="K19" s="70">
        <f t="shared" si="13"/>
        <v>30</v>
      </c>
      <c r="L19" s="70">
        <f t="shared" si="13"/>
        <v>1685</v>
      </c>
      <c r="M19" s="70">
        <f t="shared" si="13"/>
        <v>50</v>
      </c>
      <c r="N19" s="70">
        <f t="shared" si="13"/>
        <v>150</v>
      </c>
      <c r="O19" s="21"/>
      <c r="P19" s="21"/>
      <c r="R19" s="2256" t="s">
        <v>48</v>
      </c>
      <c r="S19" s="49" t="s">
        <v>58</v>
      </c>
      <c r="T19" s="2225">
        <v>147000</v>
      </c>
      <c r="U19" s="2225"/>
      <c r="V19" s="2225"/>
      <c r="W19" s="2259"/>
    </row>
    <row r="20" spans="1:23" ht="23.25" customHeight="1" x14ac:dyDescent="0.25">
      <c r="A20" s="15"/>
      <c r="B20" s="10"/>
      <c r="C20" s="10"/>
      <c r="D20" s="10"/>
      <c r="E20" s="10"/>
      <c r="F20" s="10"/>
      <c r="G20" s="10"/>
      <c r="H20" s="10"/>
      <c r="I20" s="10"/>
      <c r="J20" s="10"/>
      <c r="K20" s="10"/>
      <c r="L20" s="10"/>
      <c r="M20" s="10"/>
      <c r="N20" s="10"/>
      <c r="O20" s="10"/>
      <c r="P20" s="10"/>
      <c r="R20" s="2257"/>
      <c r="S20" s="49" t="s">
        <v>59</v>
      </c>
      <c r="T20" s="2225"/>
      <c r="U20" s="2225"/>
      <c r="V20" s="2225"/>
      <c r="W20" s="2259"/>
    </row>
    <row r="21" spans="1:23" ht="33.75" customHeight="1" x14ac:dyDescent="0.25">
      <c r="A21" s="15"/>
      <c r="B21" s="10"/>
      <c r="C21" s="10"/>
      <c r="D21" s="10"/>
      <c r="E21" s="10"/>
      <c r="F21" s="10"/>
      <c r="G21" s="10"/>
      <c r="H21" s="10"/>
      <c r="I21" s="10"/>
      <c r="J21" s="10"/>
      <c r="K21" s="10"/>
      <c r="L21" s="10"/>
      <c r="M21" s="10"/>
      <c r="N21" s="10"/>
      <c r="O21" s="10"/>
      <c r="P21" s="10"/>
      <c r="R21" s="2251" t="s">
        <v>83</v>
      </c>
      <c r="S21" s="50" t="s">
        <v>60</v>
      </c>
      <c r="T21" s="2225">
        <v>147500</v>
      </c>
      <c r="U21" s="2225"/>
      <c r="V21" s="2225"/>
      <c r="W21" s="2259"/>
    </row>
    <row r="22" spans="1:23" ht="29.25" customHeight="1" x14ac:dyDescent="0.25">
      <c r="A22" s="10"/>
      <c r="B22" s="2258" t="s">
        <v>49</v>
      </c>
      <c r="C22" s="2249">
        <v>525083</v>
      </c>
      <c r="D22" s="2225">
        <v>147000</v>
      </c>
      <c r="E22" s="2225">
        <v>475410</v>
      </c>
      <c r="F22" s="2225">
        <f>C22-D22+E22</f>
        <v>853493</v>
      </c>
      <c r="G22" s="10"/>
      <c r="H22" s="10"/>
      <c r="I22" s="10"/>
      <c r="J22" s="10"/>
      <c r="K22" s="10"/>
      <c r="L22" s="10"/>
      <c r="M22" s="10"/>
      <c r="N22" s="10"/>
      <c r="O22" s="10"/>
      <c r="P22" s="10"/>
      <c r="R22" s="2252"/>
      <c r="S22" s="50" t="s">
        <v>61</v>
      </c>
      <c r="T22" s="2225">
        <v>147000</v>
      </c>
      <c r="U22" s="2225"/>
      <c r="V22" s="2225"/>
      <c r="W22" s="2259"/>
    </row>
    <row r="23" spans="1:23" ht="47.25" customHeight="1" x14ac:dyDescent="0.25">
      <c r="A23" s="10"/>
      <c r="B23" s="2258"/>
      <c r="C23" s="2250"/>
      <c r="D23" s="2225"/>
      <c r="E23" s="2225"/>
      <c r="F23" s="2225"/>
      <c r="G23" s="10"/>
      <c r="H23" s="10"/>
      <c r="I23" s="10"/>
      <c r="J23" s="10"/>
      <c r="K23" s="10"/>
      <c r="L23" s="10"/>
      <c r="M23" s="10"/>
      <c r="N23" s="10"/>
      <c r="O23" s="10"/>
      <c r="P23" s="10"/>
      <c r="R23" s="2235" t="s">
        <v>47</v>
      </c>
      <c r="S23" s="51" t="s">
        <v>62</v>
      </c>
      <c r="T23" s="2224">
        <f>T14+T16+T17-T18-T19-T20-T21+T22</f>
        <v>18281.299999999988</v>
      </c>
      <c r="U23" s="2224"/>
      <c r="V23" s="2224"/>
      <c r="W23" s="2259"/>
    </row>
    <row r="24" spans="1:23" ht="27" customHeight="1" x14ac:dyDescent="0.25">
      <c r="B24" s="2258"/>
      <c r="C24" s="67" t="s">
        <v>46</v>
      </c>
      <c r="D24" s="67" t="s">
        <v>50</v>
      </c>
      <c r="E24" s="67" t="s">
        <v>51</v>
      </c>
      <c r="F24" s="67" t="s">
        <v>52</v>
      </c>
      <c r="R24" s="2235"/>
      <c r="S24" s="51" t="s">
        <v>63</v>
      </c>
      <c r="T24" s="2225">
        <f>T15+T21-T22</f>
        <v>11151</v>
      </c>
      <c r="U24" s="2225"/>
      <c r="V24" s="2225"/>
    </row>
  </sheetData>
  <mergeCells count="47">
    <mergeCell ref="W18:W23"/>
    <mergeCell ref="B19:C19"/>
    <mergeCell ref="R19:R20"/>
    <mergeCell ref="T19:V19"/>
    <mergeCell ref="T20:V20"/>
    <mergeCell ref="R21:R22"/>
    <mergeCell ref="T21:V21"/>
    <mergeCell ref="T22:V22"/>
    <mergeCell ref="R23:R24"/>
    <mergeCell ref="T23:V23"/>
    <mergeCell ref="T24:V24"/>
    <mergeCell ref="B18:C18"/>
    <mergeCell ref="R18:S18"/>
    <mergeCell ref="T18:V18"/>
    <mergeCell ref="B22:B24"/>
    <mergeCell ref="C22:C23"/>
    <mergeCell ref="R16:S16"/>
    <mergeCell ref="T16:V16"/>
    <mergeCell ref="B17:C17"/>
    <mergeCell ref="R17:S17"/>
    <mergeCell ref="T17:V17"/>
    <mergeCell ref="D22:D23"/>
    <mergeCell ref="E22:E23"/>
    <mergeCell ref="F22:F23"/>
    <mergeCell ref="A12:B12"/>
    <mergeCell ref="B14:C14"/>
    <mergeCell ref="B16:C16"/>
    <mergeCell ref="R14:R15"/>
    <mergeCell ref="T14:V14"/>
    <mergeCell ref="B15:C15"/>
    <mergeCell ref="T15:V15"/>
    <mergeCell ref="W4:W5"/>
    <mergeCell ref="A1:W1"/>
    <mergeCell ref="A2:W2"/>
    <mergeCell ref="R3:W3"/>
    <mergeCell ref="A4:A5"/>
    <mergeCell ref="B4:B5"/>
    <mergeCell ref="C4:D4"/>
    <mergeCell ref="E4:F4"/>
    <mergeCell ref="G4:H4"/>
    <mergeCell ref="I4:J4"/>
    <mergeCell ref="K4:L4"/>
    <mergeCell ref="M4:N4"/>
    <mergeCell ref="O4:P4"/>
    <mergeCell ref="Q4:R4"/>
    <mergeCell ref="S4:T4"/>
    <mergeCell ref="U4:V4"/>
  </mergeCells>
  <pageMargins left="0.15748031496063" right="0.15748031496063" top="0" bottom="0" header="0" footer="0"/>
  <pageSetup paperSize="9" scale="54" orientation="landscape" r:id="rId1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900-000000000000}">
  <sheetPr>
    <pageSetUpPr fitToPage="1"/>
  </sheetPr>
  <dimension ref="A1:W24"/>
  <sheetViews>
    <sheetView topLeftCell="A5" zoomScale="71" zoomScaleNormal="71" zoomScaleSheetLayoutView="100" workbookViewId="0">
      <selection activeCell="T18" sqref="T18:V18"/>
    </sheetView>
  </sheetViews>
  <sheetFormatPr defaultColWidth="9.140625" defaultRowHeight="15" x14ac:dyDescent="0.25"/>
  <cols>
    <col min="1" max="1" width="21.7109375" style="14" bestFit="1" customWidth="1"/>
    <col min="2" max="2" width="19.5703125" style="14" customWidth="1"/>
    <col min="3" max="3" width="10.42578125" style="14" customWidth="1"/>
    <col min="4" max="4" width="11" style="14" customWidth="1"/>
    <col min="5" max="5" width="12" style="14" customWidth="1"/>
    <col min="6" max="6" width="12.5703125" style="14" bestFit="1" customWidth="1"/>
    <col min="7" max="7" width="9.28515625" style="14" bestFit="1" customWidth="1"/>
    <col min="8" max="8" width="10.140625" style="14" bestFit="1" customWidth="1"/>
    <col min="9" max="9" width="10.5703125" style="14" bestFit="1" customWidth="1"/>
    <col min="10" max="10" width="10.5703125" style="14" customWidth="1"/>
    <col min="11" max="11" width="10.28515625" style="14" bestFit="1" customWidth="1"/>
    <col min="12" max="12" width="9.42578125" style="14" bestFit="1" customWidth="1"/>
    <col min="13" max="13" width="9.85546875" style="14" bestFit="1" customWidth="1"/>
    <col min="14" max="14" width="10.140625" style="14" bestFit="1" customWidth="1"/>
    <col min="15" max="15" width="14.42578125" style="14" customWidth="1"/>
    <col min="16" max="17" width="9.42578125" style="14" bestFit="1" customWidth="1"/>
    <col min="18" max="18" width="12.5703125" style="14" customWidth="1"/>
    <col min="19" max="19" width="16.7109375" style="14" customWidth="1"/>
    <col min="20" max="20" width="7.85546875" style="14" bestFit="1" customWidth="1"/>
    <col min="21" max="21" width="7.42578125" style="14" customWidth="1"/>
    <col min="22" max="22" width="7.28515625" style="14" customWidth="1"/>
    <col min="23" max="23" width="12.85546875" style="14" customWidth="1"/>
    <col min="24" max="16384" width="9.140625" style="14"/>
  </cols>
  <sheetData>
    <row r="1" spans="1:23" ht="46.15" customHeight="1" x14ac:dyDescent="0.25">
      <c r="A1" s="2240" t="s">
        <v>76</v>
      </c>
      <c r="B1" s="2240"/>
      <c r="C1" s="2240"/>
      <c r="D1" s="2240"/>
      <c r="E1" s="2240"/>
      <c r="F1" s="2240"/>
      <c r="G1" s="2240"/>
      <c r="H1" s="2240"/>
      <c r="I1" s="2240"/>
      <c r="J1" s="2240"/>
      <c r="K1" s="2240"/>
      <c r="L1" s="2240"/>
      <c r="M1" s="2240"/>
      <c r="N1" s="2240"/>
      <c r="O1" s="2240"/>
      <c r="P1" s="2240"/>
      <c r="Q1" s="2240"/>
      <c r="R1" s="2240"/>
      <c r="S1" s="2240"/>
      <c r="T1" s="2240"/>
      <c r="U1" s="2240"/>
      <c r="V1" s="2240"/>
      <c r="W1" s="2240"/>
    </row>
    <row r="2" spans="1:23" ht="21.6" customHeight="1" x14ac:dyDescent="0.25">
      <c r="A2" s="2241" t="s">
        <v>77</v>
      </c>
      <c r="B2" s="2241"/>
      <c r="C2" s="2241"/>
      <c r="D2" s="2241"/>
      <c r="E2" s="2241"/>
      <c r="F2" s="2241"/>
      <c r="G2" s="2241"/>
      <c r="H2" s="2241"/>
      <c r="I2" s="2241"/>
      <c r="J2" s="2241"/>
      <c r="K2" s="2241"/>
      <c r="L2" s="2241"/>
      <c r="M2" s="2241"/>
      <c r="N2" s="2241"/>
      <c r="O2" s="2241"/>
      <c r="P2" s="2241"/>
      <c r="Q2" s="2241"/>
      <c r="R2" s="2241"/>
      <c r="S2" s="2241"/>
      <c r="T2" s="2241"/>
      <c r="U2" s="2241"/>
      <c r="V2" s="2241"/>
      <c r="W2" s="2241"/>
    </row>
    <row r="3" spans="1:23" ht="21" customHeight="1" x14ac:dyDescent="0.25">
      <c r="A3" s="78"/>
      <c r="B3" s="78"/>
      <c r="C3" s="78"/>
      <c r="D3" s="78"/>
      <c r="E3" s="78"/>
      <c r="F3" s="78"/>
      <c r="G3" s="78"/>
      <c r="H3" s="78"/>
      <c r="I3" s="78"/>
      <c r="J3" s="78"/>
      <c r="K3" s="78"/>
      <c r="L3" s="78"/>
      <c r="M3" s="78"/>
      <c r="N3" s="78"/>
      <c r="O3" s="78"/>
      <c r="P3" s="78"/>
      <c r="Q3" s="78"/>
      <c r="R3" s="2242" t="s">
        <v>98</v>
      </c>
      <c r="S3" s="2242"/>
      <c r="T3" s="2242"/>
      <c r="U3" s="2242"/>
      <c r="V3" s="2242"/>
      <c r="W3" s="2242"/>
    </row>
    <row r="4" spans="1:23" s="78" customFormat="1" ht="18" customHeight="1" x14ac:dyDescent="0.25">
      <c r="A4" s="2243" t="s">
        <v>25</v>
      </c>
      <c r="B4" s="2243" t="s">
        <v>26</v>
      </c>
      <c r="C4" s="2244" t="s">
        <v>27</v>
      </c>
      <c r="D4" s="2244"/>
      <c r="E4" s="2244" t="s">
        <v>28</v>
      </c>
      <c r="F4" s="2244"/>
      <c r="G4" s="2244" t="s">
        <v>65</v>
      </c>
      <c r="H4" s="2244"/>
      <c r="I4" s="2244" t="s">
        <v>29</v>
      </c>
      <c r="J4" s="2244"/>
      <c r="K4" s="2245" t="s">
        <v>13</v>
      </c>
      <c r="L4" s="2246"/>
      <c r="M4" s="2245" t="s">
        <v>67</v>
      </c>
      <c r="N4" s="2246"/>
      <c r="O4" s="2245" t="s">
        <v>68</v>
      </c>
      <c r="P4" s="2246"/>
      <c r="Q4" s="2244" t="s">
        <v>35</v>
      </c>
      <c r="R4" s="2244"/>
      <c r="S4" s="2245" t="s">
        <v>17</v>
      </c>
      <c r="T4" s="2246"/>
      <c r="U4" s="2247" t="s">
        <v>36</v>
      </c>
      <c r="V4" s="2248"/>
      <c r="W4" s="2238" t="s">
        <v>30</v>
      </c>
    </row>
    <row r="5" spans="1:23" s="78" customFormat="1" ht="25.5" customHeight="1" x14ac:dyDescent="0.25">
      <c r="A5" s="2243"/>
      <c r="B5" s="2243"/>
      <c r="C5" s="77" t="s">
        <v>42</v>
      </c>
      <c r="D5" s="77" t="s">
        <v>43</v>
      </c>
      <c r="E5" s="77" t="s">
        <v>42</v>
      </c>
      <c r="F5" s="77" t="s">
        <v>43</v>
      </c>
      <c r="G5" s="77" t="s">
        <v>42</v>
      </c>
      <c r="H5" s="77" t="s">
        <v>43</v>
      </c>
      <c r="I5" s="77" t="s">
        <v>42</v>
      </c>
      <c r="J5" s="77" t="s">
        <v>43</v>
      </c>
      <c r="K5" s="77" t="s">
        <v>42</v>
      </c>
      <c r="L5" s="77" t="s">
        <v>43</v>
      </c>
      <c r="M5" s="77" t="s">
        <v>42</v>
      </c>
      <c r="N5" s="77" t="s">
        <v>43</v>
      </c>
      <c r="O5" s="77" t="s">
        <v>42</v>
      </c>
      <c r="P5" s="77" t="s">
        <v>43</v>
      </c>
      <c r="Q5" s="33" t="s">
        <v>42</v>
      </c>
      <c r="R5" s="33" t="s">
        <v>43</v>
      </c>
      <c r="S5" s="30" t="s">
        <v>42</v>
      </c>
      <c r="T5" s="30" t="s">
        <v>43</v>
      </c>
      <c r="U5" s="30" t="s">
        <v>42</v>
      </c>
      <c r="V5" s="30" t="s">
        <v>43</v>
      </c>
      <c r="W5" s="2239"/>
    </row>
    <row r="6" spans="1:23" ht="34.5" customHeight="1" x14ac:dyDescent="0.25">
      <c r="A6" s="12">
        <v>1409935200</v>
      </c>
      <c r="B6" s="76" t="s">
        <v>71</v>
      </c>
      <c r="C6" s="74">
        <v>15335</v>
      </c>
      <c r="D6" s="73">
        <f>0.9725*C6</f>
        <v>14913.2875</v>
      </c>
      <c r="E6" s="74">
        <v>500</v>
      </c>
      <c r="F6" s="74">
        <f>13.7*E6</f>
        <v>6850</v>
      </c>
      <c r="G6" s="74">
        <v>200</v>
      </c>
      <c r="H6" s="74">
        <f>28.2*G6</f>
        <v>5640</v>
      </c>
      <c r="I6" s="74">
        <v>1250</v>
      </c>
      <c r="J6" s="74">
        <f>18.5*I6</f>
        <v>23125</v>
      </c>
      <c r="K6" s="74"/>
      <c r="L6" s="74">
        <f>19.5*K6</f>
        <v>0</v>
      </c>
      <c r="M6" s="74"/>
      <c r="N6" s="73">
        <f>M6*9.75</f>
        <v>0</v>
      </c>
      <c r="O6" s="74"/>
      <c r="P6" s="73">
        <f>O6*48.62</f>
        <v>0</v>
      </c>
      <c r="Q6" s="74"/>
      <c r="R6" s="74">
        <f>241*Q6</f>
        <v>0</v>
      </c>
      <c r="S6" s="74"/>
      <c r="T6" s="74">
        <f>232*S6</f>
        <v>0</v>
      </c>
      <c r="U6" s="74"/>
      <c r="V6" s="19">
        <f>U6*100</f>
        <v>0</v>
      </c>
      <c r="W6" s="20">
        <f t="shared" ref="W6:W9" si="0">D6+F6+H6+J6+L6+N6+P6+R6+T6+V6</f>
        <v>50528.287499999999</v>
      </c>
    </row>
    <row r="7" spans="1:23" ht="31.5" customHeight="1" x14ac:dyDescent="0.25">
      <c r="A7" s="12">
        <v>1984225578</v>
      </c>
      <c r="B7" s="76" t="s">
        <v>72</v>
      </c>
      <c r="C7" s="74">
        <v>18261</v>
      </c>
      <c r="D7" s="73">
        <f t="shared" ref="D7:D11" si="1">0.9725*C7</f>
        <v>17758.822500000002</v>
      </c>
      <c r="E7" s="74"/>
      <c r="F7" s="74">
        <f t="shared" ref="F7:F11" si="2">13.7*E7</f>
        <v>0</v>
      </c>
      <c r="G7" s="74">
        <v>220</v>
      </c>
      <c r="H7" s="74">
        <f t="shared" ref="H7:H11" si="3">28.2*G7</f>
        <v>6204</v>
      </c>
      <c r="I7" s="74">
        <v>2790</v>
      </c>
      <c r="J7" s="74">
        <f t="shared" ref="J7:J11" si="4">18.5*I7</f>
        <v>51615</v>
      </c>
      <c r="K7" s="74"/>
      <c r="L7" s="74">
        <f t="shared" ref="L7:L11" si="5">19.5*K7</f>
        <v>0</v>
      </c>
      <c r="M7" s="74"/>
      <c r="N7" s="73">
        <f t="shared" ref="N7:N11" si="6">M7*9.75</f>
        <v>0</v>
      </c>
      <c r="O7" s="74"/>
      <c r="P7" s="73">
        <f t="shared" ref="P7:P11" si="7">O7*48.62</f>
        <v>0</v>
      </c>
      <c r="Q7" s="74">
        <v>15</v>
      </c>
      <c r="R7" s="74">
        <f t="shared" ref="R7:R11" si="8">241*Q7</f>
        <v>3615</v>
      </c>
      <c r="S7" s="74">
        <v>25</v>
      </c>
      <c r="T7" s="74">
        <f t="shared" ref="T7:T11" si="9">232*S7</f>
        <v>5800</v>
      </c>
      <c r="U7" s="74"/>
      <c r="V7" s="19">
        <f t="shared" ref="V7:V11" si="10">U7*100</f>
        <v>0</v>
      </c>
      <c r="W7" s="20">
        <f t="shared" si="0"/>
        <v>84992.822500000009</v>
      </c>
    </row>
    <row r="8" spans="1:23" ht="35.25" customHeight="1" x14ac:dyDescent="0.25">
      <c r="A8" s="12">
        <v>1967020280</v>
      </c>
      <c r="B8" s="76" t="s">
        <v>73</v>
      </c>
      <c r="C8" s="74">
        <v>14227</v>
      </c>
      <c r="D8" s="73">
        <f t="shared" si="1"/>
        <v>13835.7575</v>
      </c>
      <c r="E8" s="74"/>
      <c r="F8" s="74">
        <f t="shared" si="2"/>
        <v>0</v>
      </c>
      <c r="G8" s="74"/>
      <c r="H8" s="74">
        <f t="shared" si="3"/>
        <v>0</v>
      </c>
      <c r="I8" s="74">
        <v>530</v>
      </c>
      <c r="J8" s="74">
        <f t="shared" si="4"/>
        <v>9805</v>
      </c>
      <c r="K8" s="74"/>
      <c r="L8" s="74">
        <f t="shared" si="5"/>
        <v>0</v>
      </c>
      <c r="M8" s="74"/>
      <c r="N8" s="73">
        <f t="shared" si="6"/>
        <v>0</v>
      </c>
      <c r="O8" s="74"/>
      <c r="P8" s="73">
        <f t="shared" si="7"/>
        <v>0</v>
      </c>
      <c r="Q8" s="74">
        <v>5</v>
      </c>
      <c r="R8" s="74">
        <f t="shared" si="8"/>
        <v>1205</v>
      </c>
      <c r="S8" s="74"/>
      <c r="T8" s="74">
        <f t="shared" si="9"/>
        <v>0</v>
      </c>
      <c r="U8" s="74"/>
      <c r="V8" s="19">
        <f t="shared" si="10"/>
        <v>0</v>
      </c>
      <c r="W8" s="20">
        <f t="shared" si="0"/>
        <v>24845.7575</v>
      </c>
    </row>
    <row r="9" spans="1:23" ht="38.25" customHeight="1" x14ac:dyDescent="0.25">
      <c r="A9" s="12">
        <v>1409935199</v>
      </c>
      <c r="B9" s="76" t="s">
        <v>74</v>
      </c>
      <c r="C9" s="74">
        <v>25490</v>
      </c>
      <c r="D9" s="73">
        <f t="shared" si="1"/>
        <v>24789.025000000001</v>
      </c>
      <c r="E9" s="74"/>
      <c r="F9" s="74">
        <f t="shared" si="2"/>
        <v>0</v>
      </c>
      <c r="G9" s="74">
        <v>10</v>
      </c>
      <c r="H9" s="74">
        <f t="shared" si="3"/>
        <v>282</v>
      </c>
      <c r="I9" s="74">
        <v>270</v>
      </c>
      <c r="J9" s="74">
        <f t="shared" si="4"/>
        <v>4995</v>
      </c>
      <c r="K9" s="74"/>
      <c r="L9" s="74">
        <f t="shared" si="5"/>
        <v>0</v>
      </c>
      <c r="M9" s="74"/>
      <c r="N9" s="73">
        <f t="shared" si="6"/>
        <v>0</v>
      </c>
      <c r="O9" s="74"/>
      <c r="P9" s="73">
        <f t="shared" si="7"/>
        <v>0</v>
      </c>
      <c r="Q9" s="74"/>
      <c r="R9" s="74">
        <f t="shared" si="8"/>
        <v>0</v>
      </c>
      <c r="S9" s="74"/>
      <c r="T9" s="74">
        <f t="shared" si="9"/>
        <v>0</v>
      </c>
      <c r="U9" s="74"/>
      <c r="V9" s="19">
        <f t="shared" si="10"/>
        <v>0</v>
      </c>
      <c r="W9" s="20">
        <f t="shared" si="0"/>
        <v>30066.025000000001</v>
      </c>
    </row>
    <row r="10" spans="1:23" ht="35.25" customHeight="1" x14ac:dyDescent="0.25">
      <c r="A10" s="12">
        <v>1984225580</v>
      </c>
      <c r="B10" s="76" t="s">
        <v>75</v>
      </c>
      <c r="C10" s="74">
        <v>23551</v>
      </c>
      <c r="D10" s="73">
        <f t="shared" si="1"/>
        <v>22903.3475</v>
      </c>
      <c r="E10" s="74"/>
      <c r="F10" s="74">
        <f t="shared" si="2"/>
        <v>0</v>
      </c>
      <c r="G10" s="74"/>
      <c r="H10" s="74">
        <f t="shared" si="3"/>
        <v>0</v>
      </c>
      <c r="I10" s="74"/>
      <c r="J10" s="74">
        <f t="shared" si="4"/>
        <v>0</v>
      </c>
      <c r="K10" s="74"/>
      <c r="L10" s="74">
        <f t="shared" si="5"/>
        <v>0</v>
      </c>
      <c r="M10" s="74"/>
      <c r="N10" s="73">
        <f t="shared" si="6"/>
        <v>0</v>
      </c>
      <c r="O10" s="74"/>
      <c r="P10" s="73">
        <f t="shared" si="7"/>
        <v>0</v>
      </c>
      <c r="Q10" s="74"/>
      <c r="R10" s="74">
        <f t="shared" si="8"/>
        <v>0</v>
      </c>
      <c r="S10" s="74">
        <v>10</v>
      </c>
      <c r="T10" s="74">
        <f t="shared" si="9"/>
        <v>2320</v>
      </c>
      <c r="U10" s="74"/>
      <c r="V10" s="19">
        <f t="shared" si="10"/>
        <v>0</v>
      </c>
      <c r="W10" s="20">
        <f>D10+F10+H10+J10+L10+N10+P10+R10+T10+V10</f>
        <v>25223.3475</v>
      </c>
    </row>
    <row r="11" spans="1:23" ht="37.5" customHeight="1" x14ac:dyDescent="0.25">
      <c r="A11" s="12"/>
      <c r="B11" s="75"/>
      <c r="C11" s="74"/>
      <c r="D11" s="22">
        <f t="shared" si="1"/>
        <v>0</v>
      </c>
      <c r="E11" s="74"/>
      <c r="F11" s="74">
        <f t="shared" si="2"/>
        <v>0</v>
      </c>
      <c r="G11" s="74"/>
      <c r="H11" s="74">
        <f t="shared" si="3"/>
        <v>0</v>
      </c>
      <c r="I11" s="74"/>
      <c r="J11" s="74">
        <f t="shared" si="4"/>
        <v>0</v>
      </c>
      <c r="K11" s="74"/>
      <c r="L11" s="74">
        <f t="shared" si="5"/>
        <v>0</v>
      </c>
      <c r="M11" s="74"/>
      <c r="N11" s="73">
        <f t="shared" si="6"/>
        <v>0</v>
      </c>
      <c r="O11" s="74"/>
      <c r="P11" s="73">
        <f t="shared" si="7"/>
        <v>0</v>
      </c>
      <c r="Q11" s="74"/>
      <c r="R11" s="74">
        <f t="shared" si="8"/>
        <v>0</v>
      </c>
      <c r="S11" s="74"/>
      <c r="T11" s="74">
        <f t="shared" si="9"/>
        <v>0</v>
      </c>
      <c r="U11" s="74"/>
      <c r="V11" s="19">
        <f t="shared" si="10"/>
        <v>0</v>
      </c>
      <c r="W11" s="20">
        <f t="shared" ref="W11" si="11">D11+F11+H11+J11+L11+N11+P11+R11+T11+V11</f>
        <v>0</v>
      </c>
    </row>
    <row r="12" spans="1:23" ht="29.25" customHeight="1" x14ac:dyDescent="0.25">
      <c r="A12" s="2235" t="s">
        <v>31</v>
      </c>
      <c r="B12" s="2235"/>
      <c r="C12" s="18">
        <f t="shared" ref="C12:W12" si="12">SUM(C6:C11)</f>
        <v>96864</v>
      </c>
      <c r="D12" s="18">
        <f t="shared" si="12"/>
        <v>94200.24</v>
      </c>
      <c r="E12" s="18">
        <f t="shared" si="12"/>
        <v>500</v>
      </c>
      <c r="F12" s="18">
        <f t="shared" si="12"/>
        <v>6850</v>
      </c>
      <c r="G12" s="18">
        <f t="shared" si="12"/>
        <v>430</v>
      </c>
      <c r="H12" s="18">
        <f t="shared" si="12"/>
        <v>12126</v>
      </c>
      <c r="I12" s="18">
        <f t="shared" si="12"/>
        <v>4840</v>
      </c>
      <c r="J12" s="18">
        <f t="shared" si="12"/>
        <v>89540</v>
      </c>
      <c r="K12" s="18">
        <f t="shared" si="12"/>
        <v>0</v>
      </c>
      <c r="L12" s="18">
        <f t="shared" si="12"/>
        <v>0</v>
      </c>
      <c r="M12" s="18">
        <f t="shared" si="12"/>
        <v>0</v>
      </c>
      <c r="N12" s="23">
        <f t="shared" si="12"/>
        <v>0</v>
      </c>
      <c r="O12" s="18">
        <f t="shared" si="12"/>
        <v>0</v>
      </c>
      <c r="P12" s="23">
        <f t="shared" si="12"/>
        <v>0</v>
      </c>
      <c r="Q12" s="18">
        <f t="shared" si="12"/>
        <v>20</v>
      </c>
      <c r="R12" s="18">
        <f t="shared" si="12"/>
        <v>4820</v>
      </c>
      <c r="S12" s="18">
        <f t="shared" si="12"/>
        <v>35</v>
      </c>
      <c r="T12" s="18">
        <f t="shared" si="12"/>
        <v>8120</v>
      </c>
      <c r="U12" s="18">
        <f t="shared" si="12"/>
        <v>0</v>
      </c>
      <c r="V12" s="18">
        <f t="shared" si="12"/>
        <v>0</v>
      </c>
      <c r="W12" s="18">
        <f t="shared" si="12"/>
        <v>215656.24000000002</v>
      </c>
    </row>
    <row r="14" spans="1:23" ht="32.25" customHeight="1" x14ac:dyDescent="0.25">
      <c r="A14" s="30" t="s">
        <v>32</v>
      </c>
      <c r="B14" s="2236" t="s">
        <v>27</v>
      </c>
      <c r="C14" s="2236"/>
      <c r="D14" s="30" t="s">
        <v>33</v>
      </c>
      <c r="E14" s="30" t="s">
        <v>65</v>
      </c>
      <c r="F14" s="30" t="s">
        <v>34</v>
      </c>
      <c r="G14" s="30" t="s">
        <v>13</v>
      </c>
      <c r="H14" s="31" t="s">
        <v>45</v>
      </c>
      <c r="I14" s="30" t="s">
        <v>17</v>
      </c>
      <c r="J14" s="30" t="s">
        <v>66</v>
      </c>
      <c r="K14" s="30" t="s">
        <v>36</v>
      </c>
      <c r="L14" s="30" t="s">
        <v>37</v>
      </c>
      <c r="M14" s="30" t="s">
        <v>69</v>
      </c>
      <c r="N14" s="30" t="s">
        <v>70</v>
      </c>
      <c r="O14" s="86" t="s">
        <v>99</v>
      </c>
      <c r="P14" s="15"/>
      <c r="R14" s="2235" t="s">
        <v>46</v>
      </c>
      <c r="S14" s="76" t="s">
        <v>54</v>
      </c>
      <c r="T14" s="2260">
        <v>18281</v>
      </c>
      <c r="U14" s="2268"/>
      <c r="V14" s="2261"/>
    </row>
    <row r="15" spans="1:23" ht="22.5" customHeight="1" x14ac:dyDescent="0.25">
      <c r="A15" s="11" t="s">
        <v>38</v>
      </c>
      <c r="B15" s="2260">
        <v>244773</v>
      </c>
      <c r="C15" s="2261"/>
      <c r="D15" s="87">
        <v>500</v>
      </c>
      <c r="E15" s="87">
        <v>1150</v>
      </c>
      <c r="F15" s="87">
        <v>7810</v>
      </c>
      <c r="G15" s="87">
        <v>100</v>
      </c>
      <c r="H15" s="87">
        <v>200</v>
      </c>
      <c r="I15" s="87">
        <v>50</v>
      </c>
      <c r="J15" s="87">
        <v>44</v>
      </c>
      <c r="K15" s="87">
        <v>30</v>
      </c>
      <c r="L15" s="87">
        <v>0</v>
      </c>
      <c r="M15" s="87">
        <v>50</v>
      </c>
      <c r="N15" s="87">
        <v>150</v>
      </c>
      <c r="O15" s="87">
        <v>1685</v>
      </c>
      <c r="P15" s="21"/>
      <c r="R15" s="2235"/>
      <c r="S15" s="76" t="s">
        <v>64</v>
      </c>
      <c r="T15" s="2262">
        <v>11151</v>
      </c>
      <c r="U15" s="2262"/>
      <c r="V15" s="2262"/>
    </row>
    <row r="16" spans="1:23" ht="24.75" customHeight="1" x14ac:dyDescent="0.25">
      <c r="A16" s="11" t="s">
        <v>39</v>
      </c>
      <c r="B16" s="2260">
        <v>100000</v>
      </c>
      <c r="C16" s="2261"/>
      <c r="D16" s="87"/>
      <c r="E16" s="87"/>
      <c r="F16" s="87"/>
      <c r="G16" s="87"/>
      <c r="H16" s="87"/>
      <c r="I16" s="87"/>
      <c r="J16" s="87">
        <v>25</v>
      </c>
      <c r="K16" s="87"/>
      <c r="L16" s="87"/>
      <c r="M16" s="87"/>
      <c r="N16" s="87"/>
      <c r="O16" s="87"/>
      <c r="P16" s="21"/>
      <c r="R16" s="2254" t="s">
        <v>55</v>
      </c>
      <c r="S16" s="2254"/>
      <c r="T16" s="2267">
        <f>W12</f>
        <v>215656.24000000002</v>
      </c>
      <c r="U16" s="2267"/>
      <c r="V16" s="2262"/>
    </row>
    <row r="17" spans="1:23" ht="24.75" customHeight="1" x14ac:dyDescent="0.25">
      <c r="A17" s="11" t="s">
        <v>44</v>
      </c>
      <c r="B17" s="2260"/>
      <c r="C17" s="2261"/>
      <c r="D17" s="87"/>
      <c r="E17" s="87"/>
      <c r="F17" s="87"/>
      <c r="G17" s="87"/>
      <c r="H17" s="87"/>
      <c r="I17" s="87"/>
      <c r="J17" s="87"/>
      <c r="K17" s="87"/>
      <c r="L17" s="87"/>
      <c r="M17" s="87"/>
      <c r="N17" s="87"/>
      <c r="O17" s="87"/>
      <c r="P17" s="21"/>
      <c r="R17" s="2254" t="s">
        <v>95</v>
      </c>
      <c r="S17" s="2254"/>
      <c r="T17" s="2262"/>
      <c r="U17" s="2262"/>
      <c r="V17" s="2262"/>
    </row>
    <row r="18" spans="1:23" ht="27" customHeight="1" x14ac:dyDescent="0.25">
      <c r="A18" s="11" t="s">
        <v>40</v>
      </c>
      <c r="B18" s="2264">
        <f>C12</f>
        <v>96864</v>
      </c>
      <c r="C18" s="2261"/>
      <c r="D18" s="88">
        <f>E12</f>
        <v>500</v>
      </c>
      <c r="E18" s="88">
        <f>G12</f>
        <v>430</v>
      </c>
      <c r="F18" s="88">
        <f>I12</f>
        <v>4840</v>
      </c>
      <c r="G18" s="88">
        <f>K12</f>
        <v>0</v>
      </c>
      <c r="H18" s="87">
        <v>15</v>
      </c>
      <c r="I18" s="88">
        <f>S12</f>
        <v>35</v>
      </c>
      <c r="J18" s="87"/>
      <c r="K18" s="88">
        <f>U12</f>
        <v>0</v>
      </c>
      <c r="L18" s="87"/>
      <c r="M18" s="88">
        <f>M12</f>
        <v>0</v>
      </c>
      <c r="N18" s="88">
        <f>O12</f>
        <v>0</v>
      </c>
      <c r="O18" s="87">
        <v>30</v>
      </c>
      <c r="P18" s="21"/>
      <c r="R18" s="2254" t="s">
        <v>57</v>
      </c>
      <c r="S18" s="2254"/>
      <c r="T18" s="2262">
        <f>530+100+7000</f>
        <v>7630</v>
      </c>
      <c r="U18" s="2262"/>
      <c r="V18" s="2262"/>
      <c r="W18" s="2259" t="s">
        <v>101</v>
      </c>
    </row>
    <row r="19" spans="1:23" ht="25.5" customHeight="1" x14ac:dyDescent="0.25">
      <c r="A19" s="11" t="s">
        <v>41</v>
      </c>
      <c r="B19" s="2260">
        <f>B15+B16+B17-B18</f>
        <v>247909</v>
      </c>
      <c r="C19" s="2261"/>
      <c r="D19" s="87">
        <f>D15+D16+D17-D18</f>
        <v>0</v>
      </c>
      <c r="E19" s="87">
        <f t="shared" ref="E19:O19" si="13">E15+E16+E17-E18</f>
        <v>720</v>
      </c>
      <c r="F19" s="87">
        <f t="shared" si="13"/>
        <v>2970</v>
      </c>
      <c r="G19" s="87">
        <f t="shared" si="13"/>
        <v>100</v>
      </c>
      <c r="H19" s="87">
        <f t="shared" si="13"/>
        <v>185</v>
      </c>
      <c r="I19" s="87">
        <f t="shared" si="13"/>
        <v>15</v>
      </c>
      <c r="J19" s="87">
        <f t="shared" si="13"/>
        <v>69</v>
      </c>
      <c r="K19" s="87">
        <f t="shared" si="13"/>
        <v>30</v>
      </c>
      <c r="L19" s="87">
        <f t="shared" si="13"/>
        <v>0</v>
      </c>
      <c r="M19" s="87">
        <f t="shared" si="13"/>
        <v>50</v>
      </c>
      <c r="N19" s="87">
        <f t="shared" si="13"/>
        <v>150</v>
      </c>
      <c r="O19" s="87">
        <f t="shared" si="13"/>
        <v>1655</v>
      </c>
      <c r="P19" s="21"/>
      <c r="R19" s="2256" t="s">
        <v>48</v>
      </c>
      <c r="S19" s="49" t="s">
        <v>58</v>
      </c>
      <c r="T19" s="2262">
        <v>210000</v>
      </c>
      <c r="U19" s="2262"/>
      <c r="V19" s="2262"/>
      <c r="W19" s="2259"/>
    </row>
    <row r="20" spans="1:23" ht="23.25" customHeight="1" x14ac:dyDescent="0.25">
      <c r="A20" s="15"/>
      <c r="B20" s="10"/>
      <c r="C20" s="10"/>
      <c r="D20" s="10"/>
      <c r="E20" s="10"/>
      <c r="F20" s="10"/>
      <c r="G20" s="10"/>
      <c r="H20" s="10"/>
      <c r="I20" s="10"/>
      <c r="J20" s="10"/>
      <c r="K20" s="10"/>
      <c r="L20" s="10"/>
      <c r="M20" s="10"/>
      <c r="N20" s="10"/>
      <c r="O20" s="10"/>
      <c r="P20" s="10"/>
      <c r="R20" s="2257"/>
      <c r="S20" s="49" t="s">
        <v>59</v>
      </c>
      <c r="T20" s="2262"/>
      <c r="U20" s="2262"/>
      <c r="V20" s="2262"/>
      <c r="W20" s="2259"/>
    </row>
    <row r="21" spans="1:23" ht="33.75" customHeight="1" x14ac:dyDescent="0.25">
      <c r="A21" s="15"/>
      <c r="B21" s="10"/>
      <c r="C21" s="10"/>
      <c r="D21" s="10"/>
      <c r="E21" s="10"/>
      <c r="F21" s="10"/>
      <c r="G21" s="10"/>
      <c r="H21" s="10"/>
      <c r="I21" s="10"/>
      <c r="J21" s="10"/>
      <c r="K21" s="10"/>
      <c r="L21" s="10"/>
      <c r="M21" s="10"/>
      <c r="N21" s="10"/>
      <c r="O21" s="10"/>
      <c r="P21" s="10"/>
      <c r="R21" s="2251" t="s">
        <v>83</v>
      </c>
      <c r="S21" s="50" t="s">
        <v>60</v>
      </c>
      <c r="T21" s="2262">
        <v>210080</v>
      </c>
      <c r="U21" s="2262"/>
      <c r="V21" s="2262"/>
      <c r="W21" s="2259"/>
    </row>
    <row r="22" spans="1:23" ht="29.25" customHeight="1" x14ac:dyDescent="0.25">
      <c r="A22" s="10"/>
      <c r="B22" s="2258" t="s">
        <v>49</v>
      </c>
      <c r="C22" s="2265">
        <v>853493</v>
      </c>
      <c r="D22" s="2262">
        <v>210000</v>
      </c>
      <c r="E22" s="2262">
        <v>96250</v>
      </c>
      <c r="F22" s="2262">
        <f>C22-D22+E22</f>
        <v>739743</v>
      </c>
      <c r="G22" s="10"/>
      <c r="H22" s="10"/>
      <c r="I22" s="10"/>
      <c r="J22" s="10"/>
      <c r="K22" s="10"/>
      <c r="L22" s="10"/>
      <c r="M22" s="10"/>
      <c r="N22" s="10"/>
      <c r="O22" s="10"/>
      <c r="P22" s="10"/>
      <c r="R22" s="2252"/>
      <c r="S22" s="50" t="s">
        <v>61</v>
      </c>
      <c r="T22" s="2262">
        <v>210000</v>
      </c>
      <c r="U22" s="2262"/>
      <c r="V22" s="2262"/>
      <c r="W22" s="2259"/>
    </row>
    <row r="23" spans="1:23" ht="47.25" customHeight="1" x14ac:dyDescent="0.25">
      <c r="A23" s="10"/>
      <c r="B23" s="2258"/>
      <c r="C23" s="2266"/>
      <c r="D23" s="2262"/>
      <c r="E23" s="2262"/>
      <c r="F23" s="2262"/>
      <c r="G23" s="10"/>
      <c r="H23" s="10"/>
      <c r="I23" s="10"/>
      <c r="J23" s="10"/>
      <c r="K23" s="10"/>
      <c r="L23" s="10"/>
      <c r="M23" s="10"/>
      <c r="N23" s="10"/>
      <c r="O23" s="10"/>
      <c r="P23" s="10"/>
      <c r="R23" s="2235" t="s">
        <v>47</v>
      </c>
      <c r="S23" s="51" t="s">
        <v>62</v>
      </c>
      <c r="T23" s="2263">
        <f>T14+T16+T17-T18-T19-T20-T21+T22</f>
        <v>16227.24000000002</v>
      </c>
      <c r="U23" s="2263"/>
      <c r="V23" s="2263"/>
      <c r="W23" s="2259"/>
    </row>
    <row r="24" spans="1:23" ht="27" customHeight="1" x14ac:dyDescent="0.25">
      <c r="B24" s="2258"/>
      <c r="C24" s="76" t="s">
        <v>46</v>
      </c>
      <c r="D24" s="76" t="s">
        <v>50</v>
      </c>
      <c r="E24" s="76" t="s">
        <v>51</v>
      </c>
      <c r="F24" s="76" t="s">
        <v>52</v>
      </c>
      <c r="R24" s="2235"/>
      <c r="S24" s="51" t="s">
        <v>63</v>
      </c>
      <c r="T24" s="2262">
        <f>T15+T21-T22</f>
        <v>11231</v>
      </c>
      <c r="U24" s="2262"/>
      <c r="V24" s="2262"/>
    </row>
  </sheetData>
  <mergeCells count="47">
    <mergeCell ref="A1:W1"/>
    <mergeCell ref="A2:W2"/>
    <mergeCell ref="R3:W3"/>
    <mergeCell ref="A4:A5"/>
    <mergeCell ref="B4:B5"/>
    <mergeCell ref="C4:D4"/>
    <mergeCell ref="E4:F4"/>
    <mergeCell ref="G4:H4"/>
    <mergeCell ref="I4:J4"/>
    <mergeCell ref="K4:L4"/>
    <mergeCell ref="M4:N4"/>
    <mergeCell ref="O4:P4"/>
    <mergeCell ref="Q4:R4"/>
    <mergeCell ref="S4:T4"/>
    <mergeCell ref="U4:V4"/>
    <mergeCell ref="R14:R15"/>
    <mergeCell ref="T14:V14"/>
    <mergeCell ref="B15:C15"/>
    <mergeCell ref="T15:V15"/>
    <mergeCell ref="W4:W5"/>
    <mergeCell ref="D22:D23"/>
    <mergeCell ref="E22:E23"/>
    <mergeCell ref="F22:F23"/>
    <mergeCell ref="A12:B12"/>
    <mergeCell ref="B14:C14"/>
    <mergeCell ref="B16:C16"/>
    <mergeCell ref="R16:S16"/>
    <mergeCell ref="T16:V16"/>
    <mergeCell ref="B17:C17"/>
    <mergeCell ref="R17:S17"/>
    <mergeCell ref="T17:V17"/>
    <mergeCell ref="W18:W23"/>
    <mergeCell ref="B19:C19"/>
    <mergeCell ref="R19:R20"/>
    <mergeCell ref="T19:V19"/>
    <mergeCell ref="T20:V20"/>
    <mergeCell ref="R21:R22"/>
    <mergeCell ref="T21:V21"/>
    <mergeCell ref="T22:V22"/>
    <mergeCell ref="R23:R24"/>
    <mergeCell ref="T23:V23"/>
    <mergeCell ref="T24:V24"/>
    <mergeCell ref="B18:C18"/>
    <mergeCell ref="R18:S18"/>
    <mergeCell ref="T18:V18"/>
    <mergeCell ref="B22:B24"/>
    <mergeCell ref="C22:C23"/>
  </mergeCells>
  <pageMargins left="0.15748031496063" right="0.15748031496063" top="0" bottom="0" header="0" footer="0"/>
  <pageSetup paperSize="9" scale="54" orientation="landscape" r:id="rId1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A00-000000000000}">
  <sheetPr>
    <pageSetUpPr fitToPage="1"/>
  </sheetPr>
  <dimension ref="A1:W24"/>
  <sheetViews>
    <sheetView topLeftCell="B12" zoomScale="71" zoomScaleNormal="71" zoomScaleSheetLayoutView="100" workbookViewId="0">
      <selection activeCell="T18" sqref="T18:V18"/>
    </sheetView>
  </sheetViews>
  <sheetFormatPr defaultColWidth="9.140625" defaultRowHeight="15" x14ac:dyDescent="0.25"/>
  <cols>
    <col min="1" max="1" width="21.7109375" style="14" bestFit="1" customWidth="1"/>
    <col min="2" max="2" width="19.5703125" style="14" customWidth="1"/>
    <col min="3" max="3" width="10.42578125" style="14" customWidth="1"/>
    <col min="4" max="4" width="11" style="14" customWidth="1"/>
    <col min="5" max="5" width="12" style="14" customWidth="1"/>
    <col min="6" max="6" width="12.5703125" style="14" bestFit="1" customWidth="1"/>
    <col min="7" max="7" width="9.28515625" style="14" bestFit="1" customWidth="1"/>
    <col min="8" max="8" width="10.140625" style="14" bestFit="1" customWidth="1"/>
    <col min="9" max="9" width="10.5703125" style="14" bestFit="1" customWidth="1"/>
    <col min="10" max="10" width="10.5703125" style="14" customWidth="1"/>
    <col min="11" max="11" width="10.28515625" style="14" bestFit="1" customWidth="1"/>
    <col min="12" max="12" width="9.42578125" style="14" bestFit="1" customWidth="1"/>
    <col min="13" max="13" width="9.85546875" style="14" bestFit="1" customWidth="1"/>
    <col min="14" max="14" width="10.140625" style="14" bestFit="1" customWidth="1"/>
    <col min="15" max="15" width="14.42578125" style="14" customWidth="1"/>
    <col min="16" max="17" width="9.42578125" style="14" bestFit="1" customWidth="1"/>
    <col min="18" max="18" width="12.5703125" style="14" customWidth="1"/>
    <col min="19" max="19" width="16.7109375" style="14" customWidth="1"/>
    <col min="20" max="20" width="7.85546875" style="14" bestFit="1" customWidth="1"/>
    <col min="21" max="21" width="7.42578125" style="14" customWidth="1"/>
    <col min="22" max="22" width="7.28515625" style="14" customWidth="1"/>
    <col min="23" max="23" width="12.85546875" style="14" customWidth="1"/>
    <col min="24" max="16384" width="9.140625" style="14"/>
  </cols>
  <sheetData>
    <row r="1" spans="1:23" ht="46.15" customHeight="1" x14ac:dyDescent="0.25">
      <c r="A1" s="2240" t="s">
        <v>76</v>
      </c>
      <c r="B1" s="2240"/>
      <c r="C1" s="2240"/>
      <c r="D1" s="2240"/>
      <c r="E1" s="2240"/>
      <c r="F1" s="2240"/>
      <c r="G1" s="2240"/>
      <c r="H1" s="2240"/>
      <c r="I1" s="2240"/>
      <c r="J1" s="2240"/>
      <c r="K1" s="2240"/>
      <c r="L1" s="2240"/>
      <c r="M1" s="2240"/>
      <c r="N1" s="2240"/>
      <c r="O1" s="2240"/>
      <c r="P1" s="2240"/>
      <c r="Q1" s="2240"/>
      <c r="R1" s="2240"/>
      <c r="S1" s="2240"/>
      <c r="T1" s="2240"/>
      <c r="U1" s="2240"/>
      <c r="V1" s="2240"/>
      <c r="W1" s="2240"/>
    </row>
    <row r="2" spans="1:23" ht="21.6" customHeight="1" x14ac:dyDescent="0.25">
      <c r="A2" s="2241" t="s">
        <v>77</v>
      </c>
      <c r="B2" s="2241"/>
      <c r="C2" s="2241"/>
      <c r="D2" s="2241"/>
      <c r="E2" s="2241"/>
      <c r="F2" s="2241"/>
      <c r="G2" s="2241"/>
      <c r="H2" s="2241"/>
      <c r="I2" s="2241"/>
      <c r="J2" s="2241"/>
      <c r="K2" s="2241"/>
      <c r="L2" s="2241"/>
      <c r="M2" s="2241"/>
      <c r="N2" s="2241"/>
      <c r="O2" s="2241"/>
      <c r="P2" s="2241"/>
      <c r="Q2" s="2241"/>
      <c r="R2" s="2241"/>
      <c r="S2" s="2241"/>
      <c r="T2" s="2241"/>
      <c r="U2" s="2241"/>
      <c r="V2" s="2241"/>
      <c r="W2" s="2241"/>
    </row>
    <row r="3" spans="1:23" ht="21" customHeight="1" x14ac:dyDescent="0.25">
      <c r="A3" s="78"/>
      <c r="B3" s="78"/>
      <c r="C3" s="78"/>
      <c r="D3" s="78"/>
      <c r="E3" s="78"/>
      <c r="F3" s="78"/>
      <c r="G3" s="78"/>
      <c r="H3" s="78"/>
      <c r="I3" s="78"/>
      <c r="J3" s="78"/>
      <c r="K3" s="78"/>
      <c r="L3" s="78"/>
      <c r="M3" s="78"/>
      <c r="N3" s="78"/>
      <c r="O3" s="78"/>
      <c r="P3" s="78"/>
      <c r="Q3" s="78"/>
      <c r="R3" s="2242" t="s">
        <v>102</v>
      </c>
      <c r="S3" s="2242"/>
      <c r="T3" s="2242"/>
      <c r="U3" s="2242"/>
      <c r="V3" s="2242"/>
      <c r="W3" s="2242"/>
    </row>
    <row r="4" spans="1:23" s="78" customFormat="1" ht="18" customHeight="1" x14ac:dyDescent="0.25">
      <c r="A4" s="2243" t="s">
        <v>25</v>
      </c>
      <c r="B4" s="2243" t="s">
        <v>26</v>
      </c>
      <c r="C4" s="2244" t="s">
        <v>27</v>
      </c>
      <c r="D4" s="2244"/>
      <c r="E4" s="2244" t="s">
        <v>28</v>
      </c>
      <c r="F4" s="2244"/>
      <c r="G4" s="2244" t="s">
        <v>65</v>
      </c>
      <c r="H4" s="2244"/>
      <c r="I4" s="2244" t="s">
        <v>29</v>
      </c>
      <c r="J4" s="2244"/>
      <c r="K4" s="2245" t="s">
        <v>13</v>
      </c>
      <c r="L4" s="2246"/>
      <c r="M4" s="2245" t="s">
        <v>67</v>
      </c>
      <c r="N4" s="2246"/>
      <c r="O4" s="2245" t="s">
        <v>68</v>
      </c>
      <c r="P4" s="2246"/>
      <c r="Q4" s="2244" t="s">
        <v>35</v>
      </c>
      <c r="R4" s="2244"/>
      <c r="S4" s="2245" t="s">
        <v>17</v>
      </c>
      <c r="T4" s="2246"/>
      <c r="U4" s="2247" t="s">
        <v>36</v>
      </c>
      <c r="V4" s="2248"/>
      <c r="W4" s="2238" t="s">
        <v>30</v>
      </c>
    </row>
    <row r="5" spans="1:23" s="78" customFormat="1" ht="25.5" customHeight="1" x14ac:dyDescent="0.25">
      <c r="A5" s="2243"/>
      <c r="B5" s="2243"/>
      <c r="C5" s="77" t="s">
        <v>42</v>
      </c>
      <c r="D5" s="77" t="s">
        <v>43</v>
      </c>
      <c r="E5" s="77" t="s">
        <v>42</v>
      </c>
      <c r="F5" s="77" t="s">
        <v>43</v>
      </c>
      <c r="G5" s="77" t="s">
        <v>42</v>
      </c>
      <c r="H5" s="77" t="s">
        <v>43</v>
      </c>
      <c r="I5" s="77" t="s">
        <v>42</v>
      </c>
      <c r="J5" s="77" t="s">
        <v>43</v>
      </c>
      <c r="K5" s="77" t="s">
        <v>42</v>
      </c>
      <c r="L5" s="77" t="s">
        <v>43</v>
      </c>
      <c r="M5" s="77" t="s">
        <v>42</v>
      </c>
      <c r="N5" s="77" t="s">
        <v>43</v>
      </c>
      <c r="O5" s="77" t="s">
        <v>42</v>
      </c>
      <c r="P5" s="77" t="s">
        <v>43</v>
      </c>
      <c r="Q5" s="33" t="s">
        <v>42</v>
      </c>
      <c r="R5" s="33" t="s">
        <v>43</v>
      </c>
      <c r="S5" s="30" t="s">
        <v>42</v>
      </c>
      <c r="T5" s="30" t="s">
        <v>43</v>
      </c>
      <c r="U5" s="30" t="s">
        <v>42</v>
      </c>
      <c r="V5" s="30" t="s">
        <v>43</v>
      </c>
      <c r="W5" s="2239"/>
    </row>
    <row r="6" spans="1:23" ht="34.5" customHeight="1" x14ac:dyDescent="0.25">
      <c r="A6" s="12">
        <v>1409935200</v>
      </c>
      <c r="B6" s="76" t="s">
        <v>71</v>
      </c>
      <c r="C6" s="74">
        <v>21993</v>
      </c>
      <c r="D6" s="73">
        <f>0.9725*C6</f>
        <v>21388.192500000001</v>
      </c>
      <c r="E6" s="74"/>
      <c r="F6" s="74">
        <f>13.7*E6</f>
        <v>0</v>
      </c>
      <c r="G6" s="74">
        <v>100</v>
      </c>
      <c r="H6" s="74">
        <f>28.2*G6</f>
        <v>2820</v>
      </c>
      <c r="I6" s="74">
        <v>250</v>
      </c>
      <c r="J6" s="74">
        <f>18.5*I6</f>
        <v>4625</v>
      </c>
      <c r="K6" s="74"/>
      <c r="L6" s="74">
        <f>19.5*K6</f>
        <v>0</v>
      </c>
      <c r="M6" s="74"/>
      <c r="N6" s="73">
        <f>M6*9.75</f>
        <v>0</v>
      </c>
      <c r="O6" s="74"/>
      <c r="P6" s="73">
        <f>O6*48.62</f>
        <v>0</v>
      </c>
      <c r="Q6" s="74"/>
      <c r="R6" s="74">
        <f>241*Q6</f>
        <v>0</v>
      </c>
      <c r="S6" s="74"/>
      <c r="T6" s="74">
        <f>232*S6</f>
        <v>0</v>
      </c>
      <c r="U6" s="74"/>
      <c r="V6" s="19">
        <f>U6*100</f>
        <v>0</v>
      </c>
      <c r="W6" s="20">
        <f t="shared" ref="W6:W9" si="0">D6+F6+H6+J6+L6+N6+P6+R6+T6+V6</f>
        <v>28833.192500000001</v>
      </c>
    </row>
    <row r="7" spans="1:23" ht="31.5" customHeight="1" x14ac:dyDescent="0.25">
      <c r="A7" s="12">
        <v>1984225578</v>
      </c>
      <c r="B7" s="76" t="s">
        <v>72</v>
      </c>
      <c r="C7" s="74">
        <v>22613</v>
      </c>
      <c r="D7" s="73">
        <f t="shared" ref="D7:D11" si="1">0.9725*C7</f>
        <v>21991.142500000002</v>
      </c>
      <c r="E7" s="74"/>
      <c r="F7" s="74">
        <f t="shared" ref="F7:F11" si="2">13.7*E7</f>
        <v>0</v>
      </c>
      <c r="G7" s="74"/>
      <c r="H7" s="74">
        <f t="shared" ref="H7:H11" si="3">28.2*G7</f>
        <v>0</v>
      </c>
      <c r="I7" s="74">
        <v>230</v>
      </c>
      <c r="J7" s="74">
        <f t="shared" ref="J7:J11" si="4">18.5*I7</f>
        <v>4255</v>
      </c>
      <c r="K7" s="74"/>
      <c r="L7" s="74">
        <f t="shared" ref="L7:L11" si="5">19.5*K7</f>
        <v>0</v>
      </c>
      <c r="M7" s="74"/>
      <c r="N7" s="73">
        <f t="shared" ref="N7:N11" si="6">M7*9.75</f>
        <v>0</v>
      </c>
      <c r="O7" s="74"/>
      <c r="P7" s="73">
        <f t="shared" ref="P7:P11" si="7">O7*48.62</f>
        <v>0</v>
      </c>
      <c r="Q7" s="74"/>
      <c r="R7" s="74">
        <f t="shared" ref="R7:R11" si="8">241*Q7</f>
        <v>0</v>
      </c>
      <c r="S7" s="74"/>
      <c r="T7" s="74">
        <f t="shared" ref="T7:T11" si="9">232*S7</f>
        <v>0</v>
      </c>
      <c r="U7" s="74"/>
      <c r="V7" s="19">
        <f t="shared" ref="V7:V11" si="10">U7*100</f>
        <v>0</v>
      </c>
      <c r="W7" s="20">
        <f t="shared" si="0"/>
        <v>26246.142500000002</v>
      </c>
    </row>
    <row r="8" spans="1:23" ht="35.25" customHeight="1" x14ac:dyDescent="0.25">
      <c r="A8" s="12">
        <v>1967020280</v>
      </c>
      <c r="B8" s="76" t="s">
        <v>73</v>
      </c>
      <c r="C8" s="74">
        <v>18257</v>
      </c>
      <c r="D8" s="73">
        <f t="shared" si="1"/>
        <v>17754.932499999999</v>
      </c>
      <c r="E8" s="74"/>
      <c r="F8" s="74">
        <f t="shared" si="2"/>
        <v>0</v>
      </c>
      <c r="G8" s="74"/>
      <c r="H8" s="74">
        <f t="shared" si="3"/>
        <v>0</v>
      </c>
      <c r="I8" s="74">
        <v>440</v>
      </c>
      <c r="J8" s="74">
        <f t="shared" si="4"/>
        <v>8140</v>
      </c>
      <c r="K8" s="74"/>
      <c r="L8" s="74">
        <f t="shared" si="5"/>
        <v>0</v>
      </c>
      <c r="M8" s="74"/>
      <c r="N8" s="73">
        <f t="shared" si="6"/>
        <v>0</v>
      </c>
      <c r="O8" s="74"/>
      <c r="P8" s="73">
        <f t="shared" si="7"/>
        <v>0</v>
      </c>
      <c r="Q8" s="74">
        <v>3</v>
      </c>
      <c r="R8" s="74">
        <f t="shared" si="8"/>
        <v>723</v>
      </c>
      <c r="S8" s="74"/>
      <c r="T8" s="74">
        <f t="shared" si="9"/>
        <v>0</v>
      </c>
      <c r="U8" s="74"/>
      <c r="V8" s="19">
        <f t="shared" si="10"/>
        <v>0</v>
      </c>
      <c r="W8" s="20">
        <f t="shared" si="0"/>
        <v>26617.932499999999</v>
      </c>
    </row>
    <row r="9" spans="1:23" ht="38.25" customHeight="1" x14ac:dyDescent="0.25">
      <c r="A9" s="12">
        <v>1409935199</v>
      </c>
      <c r="B9" s="76" t="s">
        <v>74</v>
      </c>
      <c r="C9" s="74">
        <v>14501</v>
      </c>
      <c r="D9" s="73">
        <f t="shared" si="1"/>
        <v>14102.2225</v>
      </c>
      <c r="E9" s="74"/>
      <c r="F9" s="74">
        <f t="shared" si="2"/>
        <v>0</v>
      </c>
      <c r="G9" s="74"/>
      <c r="H9" s="74">
        <f t="shared" si="3"/>
        <v>0</v>
      </c>
      <c r="I9" s="74">
        <v>230</v>
      </c>
      <c r="J9" s="74">
        <f t="shared" si="4"/>
        <v>4255</v>
      </c>
      <c r="K9" s="74"/>
      <c r="L9" s="74">
        <f t="shared" si="5"/>
        <v>0</v>
      </c>
      <c r="M9" s="74"/>
      <c r="N9" s="73">
        <f t="shared" si="6"/>
        <v>0</v>
      </c>
      <c r="O9" s="74">
        <v>50</v>
      </c>
      <c r="P9" s="73">
        <f t="shared" si="7"/>
        <v>2431</v>
      </c>
      <c r="Q9" s="74"/>
      <c r="R9" s="74">
        <f t="shared" si="8"/>
        <v>0</v>
      </c>
      <c r="S9" s="74"/>
      <c r="T9" s="74">
        <f t="shared" si="9"/>
        <v>0</v>
      </c>
      <c r="U9" s="74"/>
      <c r="V9" s="19">
        <f t="shared" si="10"/>
        <v>0</v>
      </c>
      <c r="W9" s="20">
        <f t="shared" si="0"/>
        <v>20788.2225</v>
      </c>
    </row>
    <row r="10" spans="1:23" ht="35.25" customHeight="1" x14ac:dyDescent="0.25">
      <c r="A10" s="12">
        <v>1984225580</v>
      </c>
      <c r="B10" s="76" t="s">
        <v>75</v>
      </c>
      <c r="C10" s="74">
        <v>9572</v>
      </c>
      <c r="D10" s="73">
        <f t="shared" si="1"/>
        <v>9308.77</v>
      </c>
      <c r="E10" s="74"/>
      <c r="F10" s="74">
        <f t="shared" si="2"/>
        <v>0</v>
      </c>
      <c r="G10" s="74"/>
      <c r="H10" s="74">
        <f t="shared" si="3"/>
        <v>0</v>
      </c>
      <c r="I10" s="74"/>
      <c r="J10" s="74">
        <f t="shared" si="4"/>
        <v>0</v>
      </c>
      <c r="K10" s="74"/>
      <c r="L10" s="74">
        <f t="shared" si="5"/>
        <v>0</v>
      </c>
      <c r="M10" s="74"/>
      <c r="N10" s="73">
        <f t="shared" si="6"/>
        <v>0</v>
      </c>
      <c r="O10" s="74"/>
      <c r="P10" s="73">
        <f t="shared" si="7"/>
        <v>0</v>
      </c>
      <c r="Q10" s="74"/>
      <c r="R10" s="74">
        <f t="shared" si="8"/>
        <v>0</v>
      </c>
      <c r="S10" s="74"/>
      <c r="T10" s="74">
        <f t="shared" si="9"/>
        <v>0</v>
      </c>
      <c r="U10" s="74"/>
      <c r="V10" s="19">
        <f t="shared" si="10"/>
        <v>0</v>
      </c>
      <c r="W10" s="20">
        <f>D10+F10+H10+J10+L10+N10+P10+R10+T10+V10</f>
        <v>9308.77</v>
      </c>
    </row>
    <row r="11" spans="1:23" ht="37.5" customHeight="1" x14ac:dyDescent="0.25">
      <c r="A11" s="12"/>
      <c r="B11" s="75"/>
      <c r="C11" s="74"/>
      <c r="D11" s="22">
        <f t="shared" si="1"/>
        <v>0</v>
      </c>
      <c r="E11" s="74"/>
      <c r="F11" s="74">
        <f t="shared" si="2"/>
        <v>0</v>
      </c>
      <c r="G11" s="74"/>
      <c r="H11" s="74">
        <f t="shared" si="3"/>
        <v>0</v>
      </c>
      <c r="I11" s="74"/>
      <c r="J11" s="74">
        <f t="shared" si="4"/>
        <v>0</v>
      </c>
      <c r="K11" s="74"/>
      <c r="L11" s="74">
        <f t="shared" si="5"/>
        <v>0</v>
      </c>
      <c r="M11" s="74"/>
      <c r="N11" s="73">
        <f t="shared" si="6"/>
        <v>0</v>
      </c>
      <c r="O11" s="74"/>
      <c r="P11" s="73">
        <f t="shared" si="7"/>
        <v>0</v>
      </c>
      <c r="Q11" s="74"/>
      <c r="R11" s="74">
        <f t="shared" si="8"/>
        <v>0</v>
      </c>
      <c r="S11" s="74"/>
      <c r="T11" s="74">
        <f t="shared" si="9"/>
        <v>0</v>
      </c>
      <c r="U11" s="74"/>
      <c r="V11" s="19">
        <f t="shared" si="10"/>
        <v>0</v>
      </c>
      <c r="W11" s="20">
        <f t="shared" ref="W11" si="11">D11+F11+H11+J11+L11+N11+P11+R11+T11+V11</f>
        <v>0</v>
      </c>
    </row>
    <row r="12" spans="1:23" ht="29.25" customHeight="1" x14ac:dyDescent="0.25">
      <c r="A12" s="2235" t="s">
        <v>31</v>
      </c>
      <c r="B12" s="2235"/>
      <c r="C12" s="18">
        <f t="shared" ref="C12:W12" si="12">SUM(C6:C11)</f>
        <v>86936</v>
      </c>
      <c r="D12" s="18">
        <f t="shared" si="12"/>
        <v>84545.260000000009</v>
      </c>
      <c r="E12" s="18">
        <f t="shared" si="12"/>
        <v>0</v>
      </c>
      <c r="F12" s="18">
        <f t="shared" si="12"/>
        <v>0</v>
      </c>
      <c r="G12" s="18">
        <f t="shared" si="12"/>
        <v>100</v>
      </c>
      <c r="H12" s="18">
        <f t="shared" si="12"/>
        <v>2820</v>
      </c>
      <c r="I12" s="18">
        <f t="shared" si="12"/>
        <v>1150</v>
      </c>
      <c r="J12" s="18">
        <f t="shared" si="12"/>
        <v>21275</v>
      </c>
      <c r="K12" s="18">
        <f t="shared" si="12"/>
        <v>0</v>
      </c>
      <c r="L12" s="18">
        <f t="shared" si="12"/>
        <v>0</v>
      </c>
      <c r="M12" s="18">
        <f t="shared" si="12"/>
        <v>0</v>
      </c>
      <c r="N12" s="23">
        <f t="shared" si="12"/>
        <v>0</v>
      </c>
      <c r="O12" s="18">
        <f t="shared" si="12"/>
        <v>50</v>
      </c>
      <c r="P12" s="23">
        <f t="shared" si="12"/>
        <v>2431</v>
      </c>
      <c r="Q12" s="18">
        <f t="shared" si="12"/>
        <v>3</v>
      </c>
      <c r="R12" s="18">
        <f t="shared" si="12"/>
        <v>723</v>
      </c>
      <c r="S12" s="18">
        <f t="shared" si="12"/>
        <v>0</v>
      </c>
      <c r="T12" s="18">
        <f t="shared" si="12"/>
        <v>0</v>
      </c>
      <c r="U12" s="18">
        <f t="shared" si="12"/>
        <v>0</v>
      </c>
      <c r="V12" s="18">
        <f t="shared" si="12"/>
        <v>0</v>
      </c>
      <c r="W12" s="18">
        <f t="shared" si="12"/>
        <v>111794.26000000001</v>
      </c>
    </row>
    <row r="14" spans="1:23" ht="32.25" customHeight="1" x14ac:dyDescent="0.25">
      <c r="A14" s="30" t="s">
        <v>32</v>
      </c>
      <c r="B14" s="2236" t="s">
        <v>27</v>
      </c>
      <c r="C14" s="2236"/>
      <c r="D14" s="30" t="s">
        <v>33</v>
      </c>
      <c r="E14" s="30" t="s">
        <v>65</v>
      </c>
      <c r="F14" s="30" t="s">
        <v>34</v>
      </c>
      <c r="G14" s="30" t="s">
        <v>13</v>
      </c>
      <c r="H14" s="31" t="s">
        <v>45</v>
      </c>
      <c r="I14" s="30" t="s">
        <v>17</v>
      </c>
      <c r="J14" s="30" t="s">
        <v>66</v>
      </c>
      <c r="K14" s="30" t="s">
        <v>36</v>
      </c>
      <c r="L14" s="30" t="s">
        <v>37</v>
      </c>
      <c r="M14" s="30" t="s">
        <v>69</v>
      </c>
      <c r="N14" s="30" t="s">
        <v>70</v>
      </c>
      <c r="O14" s="86" t="s">
        <v>99</v>
      </c>
      <c r="P14" s="15"/>
      <c r="R14" s="2235" t="s">
        <v>46</v>
      </c>
      <c r="S14" s="76" t="s">
        <v>54</v>
      </c>
      <c r="T14" s="2260">
        <v>16227</v>
      </c>
      <c r="U14" s="2268"/>
      <c r="V14" s="2261"/>
    </row>
    <row r="15" spans="1:23" ht="22.5" customHeight="1" x14ac:dyDescent="0.25">
      <c r="A15" s="11" t="s">
        <v>38</v>
      </c>
      <c r="B15" s="2260">
        <v>247909</v>
      </c>
      <c r="C15" s="2261"/>
      <c r="D15" s="87">
        <v>0</v>
      </c>
      <c r="E15" s="87">
        <v>720</v>
      </c>
      <c r="F15" s="87">
        <v>2970</v>
      </c>
      <c r="G15" s="87">
        <v>100</v>
      </c>
      <c r="H15" s="87">
        <v>185</v>
      </c>
      <c r="I15" s="87">
        <v>15</v>
      </c>
      <c r="J15" s="87">
        <v>69</v>
      </c>
      <c r="K15" s="87">
        <v>30</v>
      </c>
      <c r="L15" s="87">
        <v>0</v>
      </c>
      <c r="M15" s="87">
        <v>50</v>
      </c>
      <c r="N15" s="87">
        <v>150</v>
      </c>
      <c r="O15" s="87">
        <v>1655</v>
      </c>
      <c r="P15" s="21"/>
      <c r="R15" s="2235"/>
      <c r="S15" s="76" t="s">
        <v>64</v>
      </c>
      <c r="T15" s="2262">
        <v>11231</v>
      </c>
      <c r="U15" s="2262"/>
      <c r="V15" s="2262"/>
    </row>
    <row r="16" spans="1:23" ht="24.75" customHeight="1" x14ac:dyDescent="0.25">
      <c r="A16" s="11" t="s">
        <v>39</v>
      </c>
      <c r="B16" s="2260">
        <v>111080</v>
      </c>
      <c r="C16" s="2261"/>
      <c r="D16" s="87"/>
      <c r="E16" s="87"/>
      <c r="F16" s="87">
        <v>4350</v>
      </c>
      <c r="G16" s="87"/>
      <c r="H16" s="87">
        <v>3</v>
      </c>
      <c r="I16" s="87"/>
      <c r="J16" s="87"/>
      <c r="K16" s="87"/>
      <c r="L16" s="87">
        <v>33</v>
      </c>
      <c r="M16" s="87"/>
      <c r="N16" s="87"/>
      <c r="O16" s="87"/>
      <c r="P16" s="21"/>
      <c r="R16" s="2254" t="s">
        <v>55</v>
      </c>
      <c r="S16" s="2254"/>
      <c r="T16" s="2267">
        <f>W12</f>
        <v>111794.26000000001</v>
      </c>
      <c r="U16" s="2267"/>
      <c r="V16" s="2262"/>
    </row>
    <row r="17" spans="1:23" ht="24.75" customHeight="1" x14ac:dyDescent="0.25">
      <c r="A17" s="11" t="s">
        <v>44</v>
      </c>
      <c r="B17" s="2260"/>
      <c r="C17" s="2261"/>
      <c r="D17" s="87"/>
      <c r="E17" s="87"/>
      <c r="F17" s="87"/>
      <c r="G17" s="87"/>
      <c r="H17" s="87"/>
      <c r="I17" s="87"/>
      <c r="J17" s="87"/>
      <c r="K17" s="87"/>
      <c r="L17" s="87"/>
      <c r="M17" s="87"/>
      <c r="N17" s="87"/>
      <c r="O17" s="87"/>
      <c r="P17" s="21"/>
      <c r="R17" s="2254" t="s">
        <v>104</v>
      </c>
      <c r="S17" s="2254"/>
      <c r="T17" s="2262"/>
      <c r="U17" s="2262"/>
      <c r="V17" s="2262"/>
    </row>
    <row r="18" spans="1:23" ht="27" customHeight="1" x14ac:dyDescent="0.25">
      <c r="A18" s="11" t="s">
        <v>40</v>
      </c>
      <c r="B18" s="2264">
        <f>C12</f>
        <v>86936</v>
      </c>
      <c r="C18" s="2261"/>
      <c r="D18" s="88">
        <f>E12</f>
        <v>0</v>
      </c>
      <c r="E18" s="88">
        <f>G12</f>
        <v>100</v>
      </c>
      <c r="F18" s="88">
        <f>I12</f>
        <v>1150</v>
      </c>
      <c r="G18" s="88">
        <f>K12</f>
        <v>0</v>
      </c>
      <c r="H18" s="87"/>
      <c r="I18" s="88">
        <f>S12</f>
        <v>0</v>
      </c>
      <c r="J18" s="87"/>
      <c r="K18" s="88">
        <f>U12</f>
        <v>0</v>
      </c>
      <c r="L18" s="87"/>
      <c r="M18" s="88">
        <f>M12</f>
        <v>0</v>
      </c>
      <c r="N18" s="88">
        <f>O12</f>
        <v>50</v>
      </c>
      <c r="O18" s="87">
        <v>39</v>
      </c>
      <c r="P18" s="21"/>
      <c r="R18" s="2254" t="s">
        <v>57</v>
      </c>
      <c r="S18" s="2254"/>
      <c r="T18" s="2262">
        <f>530+380+370</f>
        <v>1280</v>
      </c>
      <c r="U18" s="2262"/>
      <c r="V18" s="2262"/>
      <c r="W18" s="2259" t="s">
        <v>105</v>
      </c>
    </row>
    <row r="19" spans="1:23" ht="25.5" customHeight="1" x14ac:dyDescent="0.25">
      <c r="A19" s="11" t="s">
        <v>41</v>
      </c>
      <c r="B19" s="2260">
        <f>B15+B16+B17-B18</f>
        <v>272053</v>
      </c>
      <c r="C19" s="2261"/>
      <c r="D19" s="87">
        <f>D15+D16+D17-D18</f>
        <v>0</v>
      </c>
      <c r="E19" s="87">
        <f t="shared" ref="E19:O19" si="13">E15+E16+E17-E18</f>
        <v>620</v>
      </c>
      <c r="F19" s="87">
        <f t="shared" si="13"/>
        <v>6170</v>
      </c>
      <c r="G19" s="87">
        <f t="shared" si="13"/>
        <v>100</v>
      </c>
      <c r="H19" s="87">
        <f t="shared" si="13"/>
        <v>188</v>
      </c>
      <c r="I19" s="87">
        <f t="shared" si="13"/>
        <v>15</v>
      </c>
      <c r="J19" s="87">
        <f t="shared" si="13"/>
        <v>69</v>
      </c>
      <c r="K19" s="87">
        <f t="shared" si="13"/>
        <v>30</v>
      </c>
      <c r="L19" s="87">
        <f t="shared" si="13"/>
        <v>33</v>
      </c>
      <c r="M19" s="87">
        <f t="shared" si="13"/>
        <v>50</v>
      </c>
      <c r="N19" s="87">
        <f t="shared" si="13"/>
        <v>100</v>
      </c>
      <c r="O19" s="87">
        <f t="shared" si="13"/>
        <v>1616</v>
      </c>
      <c r="P19" s="21"/>
      <c r="R19" s="2256" t="s">
        <v>48</v>
      </c>
      <c r="S19" s="49" t="s">
        <v>58</v>
      </c>
      <c r="T19" s="2262">
        <v>107000</v>
      </c>
      <c r="U19" s="2262"/>
      <c r="V19" s="2262"/>
      <c r="W19" s="2259"/>
    </row>
    <row r="20" spans="1:23" ht="23.25" customHeight="1" x14ac:dyDescent="0.25">
      <c r="A20" s="15"/>
      <c r="B20" s="10"/>
      <c r="C20" s="10"/>
      <c r="D20" s="10"/>
      <c r="E20" s="10"/>
      <c r="F20" s="10"/>
      <c r="G20" s="10"/>
      <c r="H20" s="10"/>
      <c r="I20" s="10"/>
      <c r="J20" s="10"/>
      <c r="K20" s="10"/>
      <c r="L20" s="10"/>
      <c r="M20" s="10"/>
      <c r="N20" s="10"/>
      <c r="O20" s="10"/>
      <c r="P20" s="10"/>
      <c r="R20" s="2257"/>
      <c r="S20" s="49" t="s">
        <v>59</v>
      </c>
      <c r="T20" s="2262"/>
      <c r="U20" s="2262"/>
      <c r="V20" s="2262"/>
      <c r="W20" s="2259"/>
    </row>
    <row r="21" spans="1:23" ht="33.75" customHeight="1" x14ac:dyDescent="0.25">
      <c r="A21" s="15"/>
      <c r="B21" s="10"/>
      <c r="C21" s="10"/>
      <c r="D21" s="10"/>
      <c r="E21" s="10"/>
      <c r="F21" s="10"/>
      <c r="G21" s="10"/>
      <c r="H21" s="10"/>
      <c r="I21" s="10"/>
      <c r="J21" s="10"/>
      <c r="K21" s="10"/>
      <c r="L21" s="10"/>
      <c r="M21" s="10"/>
      <c r="N21" s="10"/>
      <c r="O21" s="10"/>
      <c r="P21" s="10"/>
      <c r="R21" s="2251" t="s">
        <v>83</v>
      </c>
      <c r="S21" s="50" t="s">
        <v>60</v>
      </c>
      <c r="T21" s="2262">
        <v>107640</v>
      </c>
      <c r="U21" s="2262"/>
      <c r="V21" s="2262"/>
      <c r="W21" s="2259"/>
    </row>
    <row r="22" spans="1:23" ht="29.25" customHeight="1" x14ac:dyDescent="0.25">
      <c r="A22" s="10"/>
      <c r="B22" s="2258" t="s">
        <v>49</v>
      </c>
      <c r="C22" s="2265">
        <v>739743</v>
      </c>
      <c r="D22" s="2262">
        <v>107000</v>
      </c>
      <c r="E22" s="2262">
        <v>186563</v>
      </c>
      <c r="F22" s="2262">
        <f>C22-D22+E22</f>
        <v>819306</v>
      </c>
      <c r="G22" s="10"/>
      <c r="H22" s="10"/>
      <c r="I22" s="10"/>
      <c r="J22" s="10"/>
      <c r="K22" s="10"/>
      <c r="L22" s="10"/>
      <c r="M22" s="10"/>
      <c r="N22" s="10"/>
      <c r="O22" s="10"/>
      <c r="P22" s="10"/>
      <c r="R22" s="2252"/>
      <c r="S22" s="50" t="s">
        <v>61</v>
      </c>
      <c r="T22" s="2262">
        <v>107000</v>
      </c>
      <c r="U22" s="2262"/>
      <c r="V22" s="2262"/>
      <c r="W22" s="2259"/>
    </row>
    <row r="23" spans="1:23" ht="47.25" customHeight="1" x14ac:dyDescent="0.25">
      <c r="A23" s="10"/>
      <c r="B23" s="2258"/>
      <c r="C23" s="2266"/>
      <c r="D23" s="2262"/>
      <c r="E23" s="2262"/>
      <c r="F23" s="2262"/>
      <c r="G23" s="10"/>
      <c r="H23" s="10"/>
      <c r="I23" s="10"/>
      <c r="J23" s="10"/>
      <c r="K23" s="10"/>
      <c r="L23" s="10"/>
      <c r="M23" s="10"/>
      <c r="N23" s="10"/>
      <c r="O23" s="10"/>
      <c r="P23" s="10"/>
      <c r="R23" s="2235" t="s">
        <v>47</v>
      </c>
      <c r="S23" s="51" t="s">
        <v>62</v>
      </c>
      <c r="T23" s="2263">
        <f>T14+T16+T17-T18-T19-T20-T21+T22</f>
        <v>19101.260000000009</v>
      </c>
      <c r="U23" s="2263"/>
      <c r="V23" s="2263"/>
      <c r="W23" s="2259"/>
    </row>
    <row r="24" spans="1:23" ht="27" customHeight="1" x14ac:dyDescent="0.25">
      <c r="B24" s="2258"/>
      <c r="C24" s="76" t="s">
        <v>46</v>
      </c>
      <c r="D24" s="76" t="s">
        <v>50</v>
      </c>
      <c r="E24" s="76" t="s">
        <v>51</v>
      </c>
      <c r="F24" s="76" t="s">
        <v>52</v>
      </c>
      <c r="R24" s="2235"/>
      <c r="S24" s="51" t="s">
        <v>63</v>
      </c>
      <c r="T24" s="2262">
        <f>T15+T21-T22</f>
        <v>11871</v>
      </c>
      <c r="U24" s="2262"/>
      <c r="V24" s="2262"/>
    </row>
  </sheetData>
  <mergeCells count="47">
    <mergeCell ref="A1:W1"/>
    <mergeCell ref="A2:W2"/>
    <mergeCell ref="R3:W3"/>
    <mergeCell ref="A4:A5"/>
    <mergeCell ref="B4:B5"/>
    <mergeCell ref="C4:D4"/>
    <mergeCell ref="E4:F4"/>
    <mergeCell ref="G4:H4"/>
    <mergeCell ref="I4:J4"/>
    <mergeCell ref="K4:L4"/>
    <mergeCell ref="M4:N4"/>
    <mergeCell ref="O4:P4"/>
    <mergeCell ref="Q4:R4"/>
    <mergeCell ref="S4:T4"/>
    <mergeCell ref="U4:V4"/>
    <mergeCell ref="R14:R15"/>
    <mergeCell ref="T14:V14"/>
    <mergeCell ref="B15:C15"/>
    <mergeCell ref="T15:V15"/>
    <mergeCell ref="W4:W5"/>
    <mergeCell ref="D22:D23"/>
    <mergeCell ref="E22:E23"/>
    <mergeCell ref="F22:F23"/>
    <mergeCell ref="A12:B12"/>
    <mergeCell ref="B14:C14"/>
    <mergeCell ref="B16:C16"/>
    <mergeCell ref="R16:S16"/>
    <mergeCell ref="T16:V16"/>
    <mergeCell ref="B17:C17"/>
    <mergeCell ref="R17:S17"/>
    <mergeCell ref="T17:V17"/>
    <mergeCell ref="W18:W23"/>
    <mergeCell ref="B19:C19"/>
    <mergeCell ref="R19:R20"/>
    <mergeCell ref="T19:V19"/>
    <mergeCell ref="T20:V20"/>
    <mergeCell ref="R21:R22"/>
    <mergeCell ref="T21:V21"/>
    <mergeCell ref="T22:V22"/>
    <mergeCell ref="R23:R24"/>
    <mergeCell ref="T23:V23"/>
    <mergeCell ref="T24:V24"/>
    <mergeCell ref="B18:C18"/>
    <mergeCell ref="R18:S18"/>
    <mergeCell ref="T18:V18"/>
    <mergeCell ref="B22:B24"/>
    <mergeCell ref="C22:C23"/>
  </mergeCells>
  <pageMargins left="0.15748031496063" right="0.15748031496063" top="0" bottom="0" header="0" footer="0"/>
  <pageSetup paperSize="9" scale="54" orientation="landscape" r:id="rId1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B00-000000000000}">
  <sheetPr>
    <pageSetUpPr fitToPage="1"/>
  </sheetPr>
  <dimension ref="A1:W24"/>
  <sheetViews>
    <sheetView topLeftCell="B6" zoomScale="71" zoomScaleNormal="71" zoomScaleSheetLayoutView="100" workbookViewId="0">
      <selection activeCell="T18" sqref="T18:V18"/>
    </sheetView>
  </sheetViews>
  <sheetFormatPr defaultColWidth="9.140625" defaultRowHeight="15" x14ac:dyDescent="0.25"/>
  <cols>
    <col min="1" max="1" width="21.7109375" style="14" bestFit="1" customWidth="1"/>
    <col min="2" max="2" width="19.5703125" style="14" customWidth="1"/>
    <col min="3" max="3" width="10.42578125" style="14" customWidth="1"/>
    <col min="4" max="4" width="11" style="14" customWidth="1"/>
    <col min="5" max="5" width="12" style="14" customWidth="1"/>
    <col min="6" max="6" width="12.5703125" style="14" bestFit="1" customWidth="1"/>
    <col min="7" max="7" width="9.28515625" style="14" bestFit="1" customWidth="1"/>
    <col min="8" max="8" width="10.140625" style="14" bestFit="1" customWidth="1"/>
    <col min="9" max="9" width="10.5703125" style="14" bestFit="1" customWidth="1"/>
    <col min="10" max="10" width="10.5703125" style="14" customWidth="1"/>
    <col min="11" max="11" width="10.28515625" style="14" bestFit="1" customWidth="1"/>
    <col min="12" max="12" width="9.42578125" style="14" bestFit="1" customWidth="1"/>
    <col min="13" max="13" width="9.85546875" style="14" bestFit="1" customWidth="1"/>
    <col min="14" max="14" width="10.140625" style="14" bestFit="1" customWidth="1"/>
    <col min="15" max="15" width="14.42578125" style="14" customWidth="1"/>
    <col min="16" max="17" width="9.42578125" style="14" bestFit="1" customWidth="1"/>
    <col min="18" max="18" width="12.5703125" style="14" customWidth="1"/>
    <col min="19" max="19" width="16.7109375" style="14" customWidth="1"/>
    <col min="20" max="20" width="7.85546875" style="14" bestFit="1" customWidth="1"/>
    <col min="21" max="21" width="7.42578125" style="14" customWidth="1"/>
    <col min="22" max="22" width="7.28515625" style="14" customWidth="1"/>
    <col min="23" max="23" width="15" style="14" customWidth="1"/>
    <col min="24" max="16384" width="9.140625" style="14"/>
  </cols>
  <sheetData>
    <row r="1" spans="1:23" ht="46.15" customHeight="1" x14ac:dyDescent="0.25">
      <c r="A1" s="2240" t="s">
        <v>76</v>
      </c>
      <c r="B1" s="2240"/>
      <c r="C1" s="2240"/>
      <c r="D1" s="2240"/>
      <c r="E1" s="2240"/>
      <c r="F1" s="2240"/>
      <c r="G1" s="2240"/>
      <c r="H1" s="2240"/>
      <c r="I1" s="2240"/>
      <c r="J1" s="2240"/>
      <c r="K1" s="2240"/>
      <c r="L1" s="2240"/>
      <c r="M1" s="2240"/>
      <c r="N1" s="2240"/>
      <c r="O1" s="2240"/>
      <c r="P1" s="2240"/>
      <c r="Q1" s="2240"/>
      <c r="R1" s="2240"/>
      <c r="S1" s="2240"/>
      <c r="T1" s="2240"/>
      <c r="U1" s="2240"/>
      <c r="V1" s="2240"/>
      <c r="W1" s="2240"/>
    </row>
    <row r="2" spans="1:23" ht="21.6" customHeight="1" x14ac:dyDescent="0.25">
      <c r="A2" s="2241" t="s">
        <v>77</v>
      </c>
      <c r="B2" s="2241"/>
      <c r="C2" s="2241"/>
      <c r="D2" s="2241"/>
      <c r="E2" s="2241"/>
      <c r="F2" s="2241"/>
      <c r="G2" s="2241"/>
      <c r="H2" s="2241"/>
      <c r="I2" s="2241"/>
      <c r="J2" s="2241"/>
      <c r="K2" s="2241"/>
      <c r="L2" s="2241"/>
      <c r="M2" s="2241"/>
      <c r="N2" s="2241"/>
      <c r="O2" s="2241"/>
      <c r="P2" s="2241"/>
      <c r="Q2" s="2241"/>
      <c r="R2" s="2241"/>
      <c r="S2" s="2241"/>
      <c r="T2" s="2241"/>
      <c r="U2" s="2241"/>
      <c r="V2" s="2241"/>
      <c r="W2" s="2241"/>
    </row>
    <row r="3" spans="1:23" ht="21" customHeight="1" x14ac:dyDescent="0.25">
      <c r="A3" s="78"/>
      <c r="B3" s="78"/>
      <c r="C3" s="78"/>
      <c r="D3" s="78"/>
      <c r="E3" s="78"/>
      <c r="F3" s="78"/>
      <c r="G3" s="78"/>
      <c r="H3" s="78"/>
      <c r="I3" s="78"/>
      <c r="J3" s="78"/>
      <c r="K3" s="78"/>
      <c r="L3" s="78"/>
      <c r="M3" s="78"/>
      <c r="N3" s="78"/>
      <c r="O3" s="78"/>
      <c r="P3" s="78"/>
      <c r="Q3" s="78"/>
      <c r="R3" s="2242" t="s">
        <v>106</v>
      </c>
      <c r="S3" s="2242"/>
      <c r="T3" s="2242"/>
      <c r="U3" s="2242"/>
      <c r="V3" s="2242"/>
      <c r="W3" s="2242"/>
    </row>
    <row r="4" spans="1:23" s="78" customFormat="1" ht="18" customHeight="1" x14ac:dyDescent="0.25">
      <c r="A4" s="2243" t="s">
        <v>25</v>
      </c>
      <c r="B4" s="2243" t="s">
        <v>26</v>
      </c>
      <c r="C4" s="2244" t="s">
        <v>27</v>
      </c>
      <c r="D4" s="2244"/>
      <c r="E4" s="2244" t="s">
        <v>28</v>
      </c>
      <c r="F4" s="2244"/>
      <c r="G4" s="2244" t="s">
        <v>65</v>
      </c>
      <c r="H4" s="2244"/>
      <c r="I4" s="2244" t="s">
        <v>29</v>
      </c>
      <c r="J4" s="2244"/>
      <c r="K4" s="2245" t="s">
        <v>13</v>
      </c>
      <c r="L4" s="2246"/>
      <c r="M4" s="2245" t="s">
        <v>67</v>
      </c>
      <c r="N4" s="2246"/>
      <c r="O4" s="2245" t="s">
        <v>68</v>
      </c>
      <c r="P4" s="2246"/>
      <c r="Q4" s="2244" t="s">
        <v>35</v>
      </c>
      <c r="R4" s="2244"/>
      <c r="S4" s="2245" t="s">
        <v>17</v>
      </c>
      <c r="T4" s="2246"/>
      <c r="U4" s="2247" t="s">
        <v>36</v>
      </c>
      <c r="V4" s="2248"/>
      <c r="W4" s="2238" t="s">
        <v>30</v>
      </c>
    </row>
    <row r="5" spans="1:23" s="78" customFormat="1" ht="25.5" customHeight="1" x14ac:dyDescent="0.25">
      <c r="A5" s="2243"/>
      <c r="B5" s="2243"/>
      <c r="C5" s="77" t="s">
        <v>42</v>
      </c>
      <c r="D5" s="77" t="s">
        <v>43</v>
      </c>
      <c r="E5" s="77" t="s">
        <v>42</v>
      </c>
      <c r="F5" s="77" t="s">
        <v>43</v>
      </c>
      <c r="G5" s="77" t="s">
        <v>42</v>
      </c>
      <c r="H5" s="77" t="s">
        <v>43</v>
      </c>
      <c r="I5" s="77" t="s">
        <v>42</v>
      </c>
      <c r="J5" s="77" t="s">
        <v>43</v>
      </c>
      <c r="K5" s="77" t="s">
        <v>42</v>
      </c>
      <c r="L5" s="77" t="s">
        <v>43</v>
      </c>
      <c r="M5" s="77" t="s">
        <v>42</v>
      </c>
      <c r="N5" s="77" t="s">
        <v>43</v>
      </c>
      <c r="O5" s="77" t="s">
        <v>42</v>
      </c>
      <c r="P5" s="77" t="s">
        <v>43</v>
      </c>
      <c r="Q5" s="33" t="s">
        <v>42</v>
      </c>
      <c r="R5" s="33" t="s">
        <v>43</v>
      </c>
      <c r="S5" s="30" t="s">
        <v>42</v>
      </c>
      <c r="T5" s="30" t="s">
        <v>43</v>
      </c>
      <c r="U5" s="30" t="s">
        <v>42</v>
      </c>
      <c r="V5" s="30" t="s">
        <v>43</v>
      </c>
      <c r="W5" s="2239"/>
    </row>
    <row r="6" spans="1:23" ht="34.5" customHeight="1" x14ac:dyDescent="0.25">
      <c r="A6" s="12">
        <v>1409935200</v>
      </c>
      <c r="B6" s="76" t="s">
        <v>71</v>
      </c>
      <c r="C6" s="74">
        <v>34638</v>
      </c>
      <c r="D6" s="73">
        <f>0.9725*C6</f>
        <v>33685.455000000002</v>
      </c>
      <c r="E6" s="74"/>
      <c r="F6" s="74">
        <f>13.7*E6</f>
        <v>0</v>
      </c>
      <c r="G6" s="74"/>
      <c r="H6" s="74">
        <f>28.2*G6</f>
        <v>0</v>
      </c>
      <c r="I6" s="74"/>
      <c r="J6" s="74">
        <f>18.5*I6</f>
        <v>0</v>
      </c>
      <c r="K6" s="74"/>
      <c r="L6" s="74">
        <f>19.5*K6</f>
        <v>0</v>
      </c>
      <c r="M6" s="74"/>
      <c r="N6" s="73">
        <f>M6*9.75</f>
        <v>0</v>
      </c>
      <c r="O6" s="74"/>
      <c r="P6" s="73">
        <f>O6*48.62</f>
        <v>0</v>
      </c>
      <c r="Q6" s="74"/>
      <c r="R6" s="74">
        <f>241*Q6</f>
        <v>0</v>
      </c>
      <c r="S6" s="74"/>
      <c r="T6" s="74">
        <f>232*S6</f>
        <v>0</v>
      </c>
      <c r="U6" s="74"/>
      <c r="V6" s="19">
        <f>U6*100</f>
        <v>0</v>
      </c>
      <c r="W6" s="20">
        <f t="shared" ref="W6:W9" si="0">D6+F6+H6+J6+L6+N6+P6+R6+T6+V6</f>
        <v>33685.455000000002</v>
      </c>
    </row>
    <row r="7" spans="1:23" ht="31.5" customHeight="1" x14ac:dyDescent="0.25">
      <c r="A7" s="12">
        <v>1984225578</v>
      </c>
      <c r="B7" s="76" t="s">
        <v>72</v>
      </c>
      <c r="C7" s="74">
        <v>80104</v>
      </c>
      <c r="D7" s="73">
        <f t="shared" ref="D7:D11" si="1">0.9725*C7</f>
        <v>77901.14</v>
      </c>
      <c r="E7" s="74"/>
      <c r="F7" s="74">
        <f t="shared" ref="F7:F11" si="2">13.7*E7</f>
        <v>0</v>
      </c>
      <c r="G7" s="74"/>
      <c r="H7" s="74">
        <f t="shared" ref="H7:H11" si="3">28.2*G7</f>
        <v>0</v>
      </c>
      <c r="I7" s="74"/>
      <c r="J7" s="74">
        <f t="shared" ref="J7:J11" si="4">18.5*I7</f>
        <v>0</v>
      </c>
      <c r="K7" s="74"/>
      <c r="L7" s="74">
        <f t="shared" ref="L7:L11" si="5">19.5*K7</f>
        <v>0</v>
      </c>
      <c r="M7" s="74"/>
      <c r="N7" s="73">
        <f t="shared" ref="N7:N11" si="6">M7*9.75</f>
        <v>0</v>
      </c>
      <c r="O7" s="74"/>
      <c r="P7" s="73">
        <f t="shared" ref="P7:P11" si="7">O7*48.62</f>
        <v>0</v>
      </c>
      <c r="Q7" s="74"/>
      <c r="R7" s="74">
        <f t="shared" ref="R7:R11" si="8">241*Q7</f>
        <v>0</v>
      </c>
      <c r="S7" s="74">
        <v>10</v>
      </c>
      <c r="T7" s="74">
        <f t="shared" ref="T7:T11" si="9">232*S7</f>
        <v>2320</v>
      </c>
      <c r="U7" s="74"/>
      <c r="V7" s="19">
        <f t="shared" ref="V7:V11" si="10">U7*100</f>
        <v>0</v>
      </c>
      <c r="W7" s="20">
        <f t="shared" si="0"/>
        <v>80221.14</v>
      </c>
    </row>
    <row r="8" spans="1:23" ht="35.25" customHeight="1" x14ac:dyDescent="0.25">
      <c r="A8" s="12">
        <v>1967020280</v>
      </c>
      <c r="B8" s="76" t="s">
        <v>73</v>
      </c>
      <c r="C8" s="74">
        <v>34226</v>
      </c>
      <c r="D8" s="73">
        <f t="shared" si="1"/>
        <v>33284.785000000003</v>
      </c>
      <c r="E8" s="74"/>
      <c r="F8" s="74">
        <f t="shared" si="2"/>
        <v>0</v>
      </c>
      <c r="G8" s="74"/>
      <c r="H8" s="74">
        <f t="shared" si="3"/>
        <v>0</v>
      </c>
      <c r="I8" s="74"/>
      <c r="J8" s="74">
        <f t="shared" si="4"/>
        <v>0</v>
      </c>
      <c r="K8" s="74"/>
      <c r="L8" s="74">
        <f t="shared" si="5"/>
        <v>0</v>
      </c>
      <c r="M8" s="74"/>
      <c r="N8" s="73">
        <f t="shared" si="6"/>
        <v>0</v>
      </c>
      <c r="O8" s="74"/>
      <c r="P8" s="73">
        <f t="shared" si="7"/>
        <v>0</v>
      </c>
      <c r="Q8" s="74"/>
      <c r="R8" s="74">
        <f t="shared" si="8"/>
        <v>0</v>
      </c>
      <c r="S8" s="74">
        <v>5</v>
      </c>
      <c r="T8" s="74">
        <f t="shared" si="9"/>
        <v>1160</v>
      </c>
      <c r="U8" s="74"/>
      <c r="V8" s="19">
        <f t="shared" si="10"/>
        <v>0</v>
      </c>
      <c r="W8" s="20">
        <f t="shared" si="0"/>
        <v>34444.785000000003</v>
      </c>
    </row>
    <row r="9" spans="1:23" ht="38.25" customHeight="1" x14ac:dyDescent="0.25">
      <c r="A9" s="12">
        <v>1409935199</v>
      </c>
      <c r="B9" s="76" t="s">
        <v>74</v>
      </c>
      <c r="C9" s="74">
        <v>28674</v>
      </c>
      <c r="D9" s="73">
        <f t="shared" si="1"/>
        <v>27885.465</v>
      </c>
      <c r="E9" s="74"/>
      <c r="F9" s="74">
        <f t="shared" si="2"/>
        <v>0</v>
      </c>
      <c r="G9" s="74"/>
      <c r="H9" s="74">
        <f t="shared" si="3"/>
        <v>0</v>
      </c>
      <c r="I9" s="74"/>
      <c r="J9" s="74">
        <f t="shared" si="4"/>
        <v>0</v>
      </c>
      <c r="K9" s="74"/>
      <c r="L9" s="74">
        <f t="shared" si="5"/>
        <v>0</v>
      </c>
      <c r="M9" s="74"/>
      <c r="N9" s="73">
        <f t="shared" si="6"/>
        <v>0</v>
      </c>
      <c r="O9" s="74"/>
      <c r="P9" s="73">
        <f t="shared" si="7"/>
        <v>0</v>
      </c>
      <c r="Q9" s="74"/>
      <c r="R9" s="74">
        <f t="shared" si="8"/>
        <v>0</v>
      </c>
      <c r="S9" s="74"/>
      <c r="T9" s="74">
        <f t="shared" si="9"/>
        <v>0</v>
      </c>
      <c r="U9" s="74"/>
      <c r="V9" s="19">
        <f t="shared" si="10"/>
        <v>0</v>
      </c>
      <c r="W9" s="20">
        <f t="shared" si="0"/>
        <v>27885.465</v>
      </c>
    </row>
    <row r="10" spans="1:23" ht="35.25" customHeight="1" x14ac:dyDescent="0.25">
      <c r="A10" s="12">
        <v>1984225580</v>
      </c>
      <c r="B10" s="76" t="s">
        <v>75</v>
      </c>
      <c r="C10" s="74">
        <v>21074</v>
      </c>
      <c r="D10" s="73">
        <f t="shared" si="1"/>
        <v>20494.465</v>
      </c>
      <c r="E10" s="74"/>
      <c r="F10" s="74">
        <f t="shared" si="2"/>
        <v>0</v>
      </c>
      <c r="G10" s="74"/>
      <c r="H10" s="74">
        <f t="shared" si="3"/>
        <v>0</v>
      </c>
      <c r="I10" s="74"/>
      <c r="J10" s="74">
        <f t="shared" si="4"/>
        <v>0</v>
      </c>
      <c r="K10" s="74"/>
      <c r="L10" s="74">
        <f t="shared" si="5"/>
        <v>0</v>
      </c>
      <c r="M10" s="74"/>
      <c r="N10" s="73">
        <f t="shared" si="6"/>
        <v>0</v>
      </c>
      <c r="O10" s="74"/>
      <c r="P10" s="73">
        <f t="shared" si="7"/>
        <v>0</v>
      </c>
      <c r="Q10" s="74"/>
      <c r="R10" s="74">
        <f t="shared" si="8"/>
        <v>0</v>
      </c>
      <c r="S10" s="74"/>
      <c r="T10" s="74">
        <f t="shared" si="9"/>
        <v>0</v>
      </c>
      <c r="U10" s="74"/>
      <c r="V10" s="19">
        <f t="shared" si="10"/>
        <v>0</v>
      </c>
      <c r="W10" s="20">
        <f>D10+F10+H10+J10+L10+N10+P10+R10+T10+V10</f>
        <v>20494.465</v>
      </c>
    </row>
    <row r="11" spans="1:23" ht="37.5" customHeight="1" x14ac:dyDescent="0.25">
      <c r="A11" s="12"/>
      <c r="B11" s="75"/>
      <c r="C11" s="74"/>
      <c r="D11" s="22">
        <f t="shared" si="1"/>
        <v>0</v>
      </c>
      <c r="E11" s="74"/>
      <c r="F11" s="74">
        <f t="shared" si="2"/>
        <v>0</v>
      </c>
      <c r="G11" s="74"/>
      <c r="H11" s="74">
        <f t="shared" si="3"/>
        <v>0</v>
      </c>
      <c r="I11" s="74"/>
      <c r="J11" s="74">
        <f t="shared" si="4"/>
        <v>0</v>
      </c>
      <c r="K11" s="74"/>
      <c r="L11" s="74">
        <f t="shared" si="5"/>
        <v>0</v>
      </c>
      <c r="M11" s="74"/>
      <c r="N11" s="73">
        <f t="shared" si="6"/>
        <v>0</v>
      </c>
      <c r="O11" s="74"/>
      <c r="P11" s="73">
        <f t="shared" si="7"/>
        <v>0</v>
      </c>
      <c r="Q11" s="74">
        <v>16</v>
      </c>
      <c r="R11" s="74">
        <f t="shared" si="8"/>
        <v>3856</v>
      </c>
      <c r="S11" s="74"/>
      <c r="T11" s="74">
        <f t="shared" si="9"/>
        <v>0</v>
      </c>
      <c r="U11" s="74"/>
      <c r="V11" s="19">
        <f t="shared" si="10"/>
        <v>0</v>
      </c>
      <c r="W11" s="20">
        <f t="shared" ref="W11" si="11">D11+F11+H11+J11+L11+N11+P11+R11+T11+V11</f>
        <v>3856</v>
      </c>
    </row>
    <row r="12" spans="1:23" ht="29.25" customHeight="1" x14ac:dyDescent="0.25">
      <c r="A12" s="2235" t="s">
        <v>31</v>
      </c>
      <c r="B12" s="2235"/>
      <c r="C12" s="18">
        <f t="shared" ref="C12:W12" si="12">SUM(C6:C11)</f>
        <v>198716</v>
      </c>
      <c r="D12" s="18">
        <f t="shared" si="12"/>
        <v>193251.31</v>
      </c>
      <c r="E12" s="18">
        <f t="shared" si="12"/>
        <v>0</v>
      </c>
      <c r="F12" s="18">
        <f t="shared" si="12"/>
        <v>0</v>
      </c>
      <c r="G12" s="18">
        <f t="shared" si="12"/>
        <v>0</v>
      </c>
      <c r="H12" s="18">
        <f t="shared" si="12"/>
        <v>0</v>
      </c>
      <c r="I12" s="18">
        <f t="shared" si="12"/>
        <v>0</v>
      </c>
      <c r="J12" s="18">
        <f t="shared" si="12"/>
        <v>0</v>
      </c>
      <c r="K12" s="18">
        <f t="shared" si="12"/>
        <v>0</v>
      </c>
      <c r="L12" s="18">
        <f t="shared" si="12"/>
        <v>0</v>
      </c>
      <c r="M12" s="18">
        <f t="shared" si="12"/>
        <v>0</v>
      </c>
      <c r="N12" s="23">
        <f t="shared" si="12"/>
        <v>0</v>
      </c>
      <c r="O12" s="18">
        <f t="shared" si="12"/>
        <v>0</v>
      </c>
      <c r="P12" s="23">
        <f t="shared" si="12"/>
        <v>0</v>
      </c>
      <c r="Q12" s="18">
        <f t="shared" si="12"/>
        <v>16</v>
      </c>
      <c r="R12" s="18">
        <f t="shared" si="12"/>
        <v>3856</v>
      </c>
      <c r="S12" s="18">
        <f t="shared" si="12"/>
        <v>15</v>
      </c>
      <c r="T12" s="18">
        <f t="shared" si="12"/>
        <v>3480</v>
      </c>
      <c r="U12" s="18">
        <f t="shared" si="12"/>
        <v>0</v>
      </c>
      <c r="V12" s="18">
        <f t="shared" si="12"/>
        <v>0</v>
      </c>
      <c r="W12" s="18">
        <f t="shared" si="12"/>
        <v>200587.31</v>
      </c>
    </row>
    <row r="14" spans="1:23" ht="32.25" customHeight="1" x14ac:dyDescent="0.25">
      <c r="A14" s="30" t="s">
        <v>32</v>
      </c>
      <c r="B14" s="2236" t="s">
        <v>27</v>
      </c>
      <c r="C14" s="2236"/>
      <c r="D14" s="30" t="s">
        <v>33</v>
      </c>
      <c r="E14" s="30" t="s">
        <v>65</v>
      </c>
      <c r="F14" s="30" t="s">
        <v>34</v>
      </c>
      <c r="G14" s="30" t="s">
        <v>13</v>
      </c>
      <c r="H14" s="31" t="s">
        <v>45</v>
      </c>
      <c r="I14" s="30" t="s">
        <v>17</v>
      </c>
      <c r="J14" s="30" t="s">
        <v>66</v>
      </c>
      <c r="K14" s="30" t="s">
        <v>36</v>
      </c>
      <c r="L14" s="30" t="s">
        <v>37</v>
      </c>
      <c r="M14" s="30" t="s">
        <v>69</v>
      </c>
      <c r="N14" s="30" t="s">
        <v>70</v>
      </c>
      <c r="O14" s="86" t="s">
        <v>99</v>
      </c>
      <c r="P14" s="15"/>
      <c r="R14" s="2235" t="s">
        <v>46</v>
      </c>
      <c r="S14" s="76" t="s">
        <v>54</v>
      </c>
      <c r="T14" s="2260">
        <v>19101</v>
      </c>
      <c r="U14" s="2268"/>
      <c r="V14" s="2261"/>
    </row>
    <row r="15" spans="1:23" ht="22.5" customHeight="1" x14ac:dyDescent="0.25">
      <c r="A15" s="11" t="s">
        <v>38</v>
      </c>
      <c r="B15" s="2260">
        <v>272053</v>
      </c>
      <c r="C15" s="2261"/>
      <c r="D15" s="87">
        <v>0</v>
      </c>
      <c r="E15" s="87">
        <v>620</v>
      </c>
      <c r="F15" s="87">
        <v>6170</v>
      </c>
      <c r="G15" s="87">
        <v>100</v>
      </c>
      <c r="H15" s="87">
        <v>188</v>
      </c>
      <c r="I15" s="87">
        <v>15</v>
      </c>
      <c r="J15" s="87">
        <v>69</v>
      </c>
      <c r="K15" s="87">
        <v>30</v>
      </c>
      <c r="L15" s="87">
        <v>33</v>
      </c>
      <c r="M15" s="87">
        <v>50</v>
      </c>
      <c r="N15" s="87">
        <v>100</v>
      </c>
      <c r="O15" s="87">
        <v>1616</v>
      </c>
      <c r="P15" s="21"/>
      <c r="R15" s="2235"/>
      <c r="S15" s="76" t="s">
        <v>64</v>
      </c>
      <c r="T15" s="2262">
        <v>11871</v>
      </c>
      <c r="U15" s="2262"/>
      <c r="V15" s="2262"/>
    </row>
    <row r="16" spans="1:23" ht="24.75" customHeight="1" x14ac:dyDescent="0.25">
      <c r="A16" s="11" t="s">
        <v>39</v>
      </c>
      <c r="B16" s="2260">
        <v>397098</v>
      </c>
      <c r="C16" s="2261"/>
      <c r="D16" s="87"/>
      <c r="E16" s="87"/>
      <c r="F16" s="87">
        <v>4000</v>
      </c>
      <c r="G16" s="87"/>
      <c r="H16" s="87"/>
      <c r="I16" s="87"/>
      <c r="J16" s="87"/>
      <c r="K16" s="87"/>
      <c r="L16" s="87">
        <v>10</v>
      </c>
      <c r="M16" s="87"/>
      <c r="N16" s="87"/>
      <c r="O16" s="87"/>
      <c r="P16" s="21"/>
      <c r="R16" s="2254" t="s">
        <v>55</v>
      </c>
      <c r="S16" s="2254"/>
      <c r="T16" s="2267">
        <f>W12</f>
        <v>200587.31</v>
      </c>
      <c r="U16" s="2267"/>
      <c r="V16" s="2262"/>
    </row>
    <row r="17" spans="1:23" ht="24.75" customHeight="1" x14ac:dyDescent="0.25">
      <c r="A17" s="11" t="s">
        <v>44</v>
      </c>
      <c r="B17" s="2260">
        <v>75965</v>
      </c>
      <c r="C17" s="2261"/>
      <c r="D17" s="87"/>
      <c r="E17" s="87"/>
      <c r="F17" s="87"/>
      <c r="G17" s="87"/>
      <c r="H17" s="87"/>
      <c r="I17" s="87"/>
      <c r="J17" s="87"/>
      <c r="K17" s="87"/>
      <c r="L17" s="87"/>
      <c r="M17" s="87"/>
      <c r="N17" s="87"/>
      <c r="O17" s="87"/>
      <c r="P17" s="21"/>
      <c r="R17" s="2254" t="s">
        <v>107</v>
      </c>
      <c r="S17" s="2254"/>
      <c r="T17" s="2262">
        <v>25500</v>
      </c>
      <c r="U17" s="2262"/>
      <c r="V17" s="2262"/>
    </row>
    <row r="18" spans="1:23" ht="27" customHeight="1" x14ac:dyDescent="0.25">
      <c r="A18" s="11" t="s">
        <v>40</v>
      </c>
      <c r="B18" s="2264">
        <f>C12</f>
        <v>198716</v>
      </c>
      <c r="C18" s="2261"/>
      <c r="D18" s="88">
        <f>E12</f>
        <v>0</v>
      </c>
      <c r="E18" s="88">
        <f>G12</f>
        <v>0</v>
      </c>
      <c r="F18" s="88">
        <f>I12</f>
        <v>0</v>
      </c>
      <c r="G18" s="88">
        <f>K12</f>
        <v>0</v>
      </c>
      <c r="H18" s="87">
        <v>10</v>
      </c>
      <c r="I18" s="88">
        <f>S12</f>
        <v>15</v>
      </c>
      <c r="J18" s="87"/>
      <c r="K18" s="88">
        <f>U12</f>
        <v>0</v>
      </c>
      <c r="L18" s="87"/>
      <c r="M18" s="88">
        <f>M12</f>
        <v>0</v>
      </c>
      <c r="N18" s="88"/>
      <c r="O18" s="87">
        <v>16</v>
      </c>
      <c r="P18" s="21"/>
      <c r="R18" s="2254" t="s">
        <v>57</v>
      </c>
      <c r="S18" s="2254"/>
      <c r="T18" s="2262">
        <f>530+400+343+700+2060+29000</f>
        <v>33033</v>
      </c>
      <c r="U18" s="2262"/>
      <c r="V18" s="2262"/>
      <c r="W18" s="2259" t="s">
        <v>108</v>
      </c>
    </row>
    <row r="19" spans="1:23" ht="25.5" customHeight="1" x14ac:dyDescent="0.25">
      <c r="A19" s="11" t="s">
        <v>41</v>
      </c>
      <c r="B19" s="2260">
        <f>B15+B16+B17-B18</f>
        <v>546400</v>
      </c>
      <c r="C19" s="2261"/>
      <c r="D19" s="87">
        <f>D15+D16+D17-D18</f>
        <v>0</v>
      </c>
      <c r="E19" s="87">
        <f t="shared" ref="E19:O19" si="13">E15+E16+E17-E18</f>
        <v>620</v>
      </c>
      <c r="F19" s="87">
        <f t="shared" si="13"/>
        <v>10170</v>
      </c>
      <c r="G19" s="87">
        <f t="shared" si="13"/>
        <v>100</v>
      </c>
      <c r="H19" s="87">
        <f t="shared" si="13"/>
        <v>178</v>
      </c>
      <c r="I19" s="87">
        <f t="shared" si="13"/>
        <v>0</v>
      </c>
      <c r="J19" s="87">
        <f t="shared" si="13"/>
        <v>69</v>
      </c>
      <c r="K19" s="87">
        <f t="shared" si="13"/>
        <v>30</v>
      </c>
      <c r="L19" s="87">
        <f t="shared" si="13"/>
        <v>43</v>
      </c>
      <c r="M19" s="87">
        <f t="shared" si="13"/>
        <v>50</v>
      </c>
      <c r="N19" s="87">
        <f t="shared" si="13"/>
        <v>100</v>
      </c>
      <c r="O19" s="87">
        <f t="shared" si="13"/>
        <v>1600</v>
      </c>
      <c r="P19" s="21"/>
      <c r="R19" s="2256" t="s">
        <v>48</v>
      </c>
      <c r="S19" s="49" t="s">
        <v>58</v>
      </c>
      <c r="T19" s="2262">
        <v>198860</v>
      </c>
      <c r="U19" s="2262"/>
      <c r="V19" s="2262"/>
      <c r="W19" s="2259"/>
    </row>
    <row r="20" spans="1:23" ht="23.25" customHeight="1" x14ac:dyDescent="0.25">
      <c r="A20" s="15"/>
      <c r="B20" s="10"/>
      <c r="C20" s="10"/>
      <c r="D20" s="10"/>
      <c r="E20" s="10"/>
      <c r="F20" s="10"/>
      <c r="G20" s="10"/>
      <c r="H20" s="10"/>
      <c r="I20" s="10"/>
      <c r="J20" s="10"/>
      <c r="K20" s="10"/>
      <c r="L20" s="10"/>
      <c r="M20" s="10"/>
      <c r="N20" s="10"/>
      <c r="O20" s="10"/>
      <c r="P20" s="10"/>
      <c r="R20" s="2257"/>
      <c r="S20" s="49" t="s">
        <v>59</v>
      </c>
      <c r="T20" s="2262"/>
      <c r="U20" s="2262"/>
      <c r="V20" s="2262"/>
      <c r="W20" s="2259"/>
    </row>
    <row r="21" spans="1:23" ht="33.75" customHeight="1" x14ac:dyDescent="0.25">
      <c r="A21" s="15"/>
      <c r="B21" s="10"/>
      <c r="C21" s="10"/>
      <c r="D21" s="10"/>
      <c r="E21" s="10"/>
      <c r="F21" s="10"/>
      <c r="G21" s="10"/>
      <c r="H21" s="10"/>
      <c r="I21" s="10"/>
      <c r="J21" s="10"/>
      <c r="K21" s="10"/>
      <c r="L21" s="10"/>
      <c r="M21" s="10"/>
      <c r="N21" s="10"/>
      <c r="O21" s="10"/>
      <c r="P21" s="10"/>
      <c r="R21" s="2251" t="s">
        <v>83</v>
      </c>
      <c r="S21" s="50" t="s">
        <v>60</v>
      </c>
      <c r="T21" s="2262">
        <v>198860</v>
      </c>
      <c r="U21" s="2262"/>
      <c r="V21" s="2262"/>
      <c r="W21" s="2259"/>
    </row>
    <row r="22" spans="1:23" ht="29.25" customHeight="1" x14ac:dyDescent="0.25">
      <c r="A22" s="10"/>
      <c r="B22" s="2258" t="s">
        <v>49</v>
      </c>
      <c r="C22" s="2265">
        <v>819306</v>
      </c>
      <c r="D22" s="2262">
        <v>198860</v>
      </c>
      <c r="E22" s="2262">
        <v>455447</v>
      </c>
      <c r="F22" s="2262">
        <f>C22-D22+E22</f>
        <v>1075893</v>
      </c>
      <c r="G22" s="10"/>
      <c r="H22" s="10"/>
      <c r="I22" s="10"/>
      <c r="J22" s="10"/>
      <c r="K22" s="10"/>
      <c r="L22" s="10"/>
      <c r="M22" s="10"/>
      <c r="N22" s="10"/>
      <c r="O22" s="10"/>
      <c r="P22" s="10"/>
      <c r="R22" s="2252"/>
      <c r="S22" s="50" t="s">
        <v>61</v>
      </c>
      <c r="T22" s="2262">
        <v>198860</v>
      </c>
      <c r="U22" s="2262"/>
      <c r="V22" s="2262"/>
      <c r="W22" s="2259"/>
    </row>
    <row r="23" spans="1:23" ht="47.25" customHeight="1" x14ac:dyDescent="0.25">
      <c r="A23" s="10"/>
      <c r="B23" s="2258"/>
      <c r="C23" s="2266"/>
      <c r="D23" s="2262"/>
      <c r="E23" s="2262"/>
      <c r="F23" s="2262"/>
      <c r="G23" s="10"/>
      <c r="H23" s="10"/>
      <c r="I23" s="10"/>
      <c r="J23" s="10"/>
      <c r="K23" s="10"/>
      <c r="L23" s="10"/>
      <c r="M23" s="10"/>
      <c r="N23" s="10"/>
      <c r="O23" s="10"/>
      <c r="P23" s="10"/>
      <c r="R23" s="2235" t="s">
        <v>47</v>
      </c>
      <c r="S23" s="51" t="s">
        <v>62</v>
      </c>
      <c r="T23" s="2263">
        <f>T14+T16+T17-T18-T19-T20-T21+T22</f>
        <v>13295.309999999998</v>
      </c>
      <c r="U23" s="2263"/>
      <c r="V23" s="2263"/>
      <c r="W23" s="2259"/>
    </row>
    <row r="24" spans="1:23" ht="27" customHeight="1" x14ac:dyDescent="0.25">
      <c r="B24" s="2258"/>
      <c r="C24" s="76" t="s">
        <v>46</v>
      </c>
      <c r="D24" s="76" t="s">
        <v>50</v>
      </c>
      <c r="E24" s="76" t="s">
        <v>51</v>
      </c>
      <c r="F24" s="76" t="s">
        <v>52</v>
      </c>
      <c r="R24" s="2235"/>
      <c r="S24" s="51" t="s">
        <v>63</v>
      </c>
      <c r="T24" s="2262">
        <f>T15+T21-T22</f>
        <v>11871</v>
      </c>
      <c r="U24" s="2262"/>
      <c r="V24" s="2262"/>
    </row>
  </sheetData>
  <mergeCells count="47">
    <mergeCell ref="A1:W1"/>
    <mergeCell ref="A2:W2"/>
    <mergeCell ref="R3:W3"/>
    <mergeCell ref="A4:A5"/>
    <mergeCell ref="B4:B5"/>
    <mergeCell ref="C4:D4"/>
    <mergeCell ref="E4:F4"/>
    <mergeCell ref="G4:H4"/>
    <mergeCell ref="I4:J4"/>
    <mergeCell ref="K4:L4"/>
    <mergeCell ref="M4:N4"/>
    <mergeCell ref="O4:P4"/>
    <mergeCell ref="Q4:R4"/>
    <mergeCell ref="S4:T4"/>
    <mergeCell ref="U4:V4"/>
    <mergeCell ref="R14:R15"/>
    <mergeCell ref="T14:V14"/>
    <mergeCell ref="B15:C15"/>
    <mergeCell ref="T15:V15"/>
    <mergeCell ref="W4:W5"/>
    <mergeCell ref="D22:D23"/>
    <mergeCell ref="E22:E23"/>
    <mergeCell ref="F22:F23"/>
    <mergeCell ref="A12:B12"/>
    <mergeCell ref="B14:C14"/>
    <mergeCell ref="B16:C16"/>
    <mergeCell ref="R16:S16"/>
    <mergeCell ref="T16:V16"/>
    <mergeCell ref="B17:C17"/>
    <mergeCell ref="R17:S17"/>
    <mergeCell ref="T17:V17"/>
    <mergeCell ref="W18:W23"/>
    <mergeCell ref="B19:C19"/>
    <mergeCell ref="R19:R20"/>
    <mergeCell ref="T19:V19"/>
    <mergeCell ref="T20:V20"/>
    <mergeCell ref="R21:R22"/>
    <mergeCell ref="T21:V21"/>
    <mergeCell ref="T22:V22"/>
    <mergeCell ref="R23:R24"/>
    <mergeCell ref="T23:V23"/>
    <mergeCell ref="T24:V24"/>
    <mergeCell ref="B18:C18"/>
    <mergeCell ref="R18:S18"/>
    <mergeCell ref="T18:V18"/>
    <mergeCell ref="B22:B24"/>
    <mergeCell ref="C22:C23"/>
  </mergeCells>
  <pageMargins left="0.15748031496063" right="0.15748031496063" top="0" bottom="0" header="0" footer="0"/>
  <pageSetup paperSize="9" scale="53" orientation="landscape" r:id="rId1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C00-000000000000}">
  <sheetPr>
    <pageSetUpPr fitToPage="1"/>
  </sheetPr>
  <dimension ref="A1:W24"/>
  <sheetViews>
    <sheetView topLeftCell="B8" zoomScale="71" zoomScaleNormal="71" zoomScaleSheetLayoutView="100" workbookViewId="0">
      <selection activeCell="T18" sqref="T18:V18"/>
    </sheetView>
  </sheetViews>
  <sheetFormatPr defaultColWidth="9.140625" defaultRowHeight="15" x14ac:dyDescent="0.25"/>
  <cols>
    <col min="1" max="1" width="21.7109375" style="14" bestFit="1" customWidth="1"/>
    <col min="2" max="2" width="19.5703125" style="14" customWidth="1"/>
    <col min="3" max="3" width="12.28515625" style="14" bestFit="1" customWidth="1"/>
    <col min="4" max="4" width="11" style="14" customWidth="1"/>
    <col min="5" max="5" width="12" style="14" customWidth="1"/>
    <col min="6" max="6" width="12.5703125" style="14" bestFit="1" customWidth="1"/>
    <col min="7" max="7" width="9.28515625" style="14" bestFit="1" customWidth="1"/>
    <col min="8" max="8" width="10.140625" style="14" bestFit="1" customWidth="1"/>
    <col min="9" max="9" width="10.5703125" style="14" bestFit="1" customWidth="1"/>
    <col min="10" max="10" width="10.5703125" style="14" customWidth="1"/>
    <col min="11" max="11" width="10.28515625" style="14" bestFit="1" customWidth="1"/>
    <col min="12" max="12" width="9.42578125" style="14" bestFit="1" customWidth="1"/>
    <col min="13" max="13" width="9.85546875" style="14" bestFit="1" customWidth="1"/>
    <col min="14" max="14" width="10.140625" style="14" bestFit="1" customWidth="1"/>
    <col min="15" max="15" width="14.42578125" style="14" customWidth="1"/>
    <col min="16" max="17" width="9.42578125" style="14" bestFit="1" customWidth="1"/>
    <col min="18" max="18" width="12.5703125" style="14" customWidth="1"/>
    <col min="19" max="19" width="16.7109375" style="14" customWidth="1"/>
    <col min="20" max="20" width="9.85546875" style="14" bestFit="1" customWidth="1"/>
    <col min="21" max="21" width="10.140625" style="14" bestFit="1" customWidth="1"/>
    <col min="22" max="22" width="9.85546875" style="14" bestFit="1" customWidth="1"/>
    <col min="23" max="23" width="15" style="14" customWidth="1"/>
    <col min="24" max="16384" width="9.140625" style="14"/>
  </cols>
  <sheetData>
    <row r="1" spans="1:23" ht="46.15" customHeight="1" x14ac:dyDescent="0.25">
      <c r="A1" s="2240" t="s">
        <v>76</v>
      </c>
      <c r="B1" s="2240"/>
      <c r="C1" s="2240"/>
      <c r="D1" s="2240"/>
      <c r="E1" s="2240"/>
      <c r="F1" s="2240"/>
      <c r="G1" s="2240"/>
      <c r="H1" s="2240"/>
      <c r="I1" s="2240"/>
      <c r="J1" s="2240"/>
      <c r="K1" s="2240"/>
      <c r="L1" s="2240"/>
      <c r="M1" s="2240"/>
      <c r="N1" s="2240"/>
      <c r="O1" s="2240"/>
      <c r="P1" s="2240"/>
      <c r="Q1" s="2240"/>
      <c r="R1" s="2240"/>
      <c r="S1" s="2240"/>
      <c r="T1" s="2240"/>
      <c r="U1" s="2240"/>
      <c r="V1" s="2240"/>
      <c r="W1" s="2240"/>
    </row>
    <row r="2" spans="1:23" ht="21.6" customHeight="1" x14ac:dyDescent="0.25">
      <c r="A2" s="2241" t="s">
        <v>77</v>
      </c>
      <c r="B2" s="2241"/>
      <c r="C2" s="2241"/>
      <c r="D2" s="2241"/>
      <c r="E2" s="2241"/>
      <c r="F2" s="2241"/>
      <c r="G2" s="2241"/>
      <c r="H2" s="2241"/>
      <c r="I2" s="2241"/>
      <c r="J2" s="2241"/>
      <c r="K2" s="2241"/>
      <c r="L2" s="2241"/>
      <c r="M2" s="2241"/>
      <c r="N2" s="2241"/>
      <c r="O2" s="2241"/>
      <c r="P2" s="2241"/>
      <c r="Q2" s="2241"/>
      <c r="R2" s="2241"/>
      <c r="S2" s="2241"/>
      <c r="T2" s="2241"/>
      <c r="U2" s="2241"/>
      <c r="V2" s="2241"/>
      <c r="W2" s="2241"/>
    </row>
    <row r="3" spans="1:23" ht="21" customHeight="1" x14ac:dyDescent="0.25">
      <c r="A3" s="78"/>
      <c r="B3" s="78"/>
      <c r="C3" s="78"/>
      <c r="D3" s="78"/>
      <c r="E3" s="78"/>
      <c r="F3" s="78"/>
      <c r="G3" s="78"/>
      <c r="H3" s="78"/>
      <c r="I3" s="78"/>
      <c r="J3" s="78"/>
      <c r="K3" s="78"/>
      <c r="L3" s="78"/>
      <c r="M3" s="78"/>
      <c r="N3" s="78"/>
      <c r="O3" s="78"/>
      <c r="P3" s="78"/>
      <c r="Q3" s="78"/>
      <c r="R3" s="2242" t="s">
        <v>109</v>
      </c>
      <c r="S3" s="2242"/>
      <c r="T3" s="2242"/>
      <c r="U3" s="2242"/>
      <c r="V3" s="2242"/>
      <c r="W3" s="2242"/>
    </row>
    <row r="4" spans="1:23" s="78" customFormat="1" ht="18" customHeight="1" x14ac:dyDescent="0.25">
      <c r="A4" s="2243" t="s">
        <v>25</v>
      </c>
      <c r="B4" s="2243" t="s">
        <v>26</v>
      </c>
      <c r="C4" s="2244" t="s">
        <v>27</v>
      </c>
      <c r="D4" s="2244"/>
      <c r="E4" s="2244" t="s">
        <v>28</v>
      </c>
      <c r="F4" s="2244"/>
      <c r="G4" s="2244" t="s">
        <v>65</v>
      </c>
      <c r="H4" s="2244"/>
      <c r="I4" s="2244" t="s">
        <v>29</v>
      </c>
      <c r="J4" s="2244"/>
      <c r="K4" s="2245" t="s">
        <v>13</v>
      </c>
      <c r="L4" s="2246"/>
      <c r="M4" s="2245" t="s">
        <v>67</v>
      </c>
      <c r="N4" s="2246"/>
      <c r="O4" s="2245" t="s">
        <v>68</v>
      </c>
      <c r="P4" s="2246"/>
      <c r="Q4" s="2244" t="s">
        <v>35</v>
      </c>
      <c r="R4" s="2244"/>
      <c r="S4" s="2245" t="s">
        <v>17</v>
      </c>
      <c r="T4" s="2246"/>
      <c r="U4" s="2247" t="s">
        <v>36</v>
      </c>
      <c r="V4" s="2248"/>
      <c r="W4" s="2238" t="s">
        <v>30</v>
      </c>
    </row>
    <row r="5" spans="1:23" s="78" customFormat="1" ht="25.5" customHeight="1" x14ac:dyDescent="0.25">
      <c r="A5" s="2243"/>
      <c r="B5" s="2243"/>
      <c r="C5" s="77" t="s">
        <v>42</v>
      </c>
      <c r="D5" s="77" t="s">
        <v>43</v>
      </c>
      <c r="E5" s="77" t="s">
        <v>42</v>
      </c>
      <c r="F5" s="77" t="s">
        <v>43</v>
      </c>
      <c r="G5" s="77" t="s">
        <v>42</v>
      </c>
      <c r="H5" s="77" t="s">
        <v>43</v>
      </c>
      <c r="I5" s="77" t="s">
        <v>42</v>
      </c>
      <c r="J5" s="77" t="s">
        <v>43</v>
      </c>
      <c r="K5" s="77" t="s">
        <v>42</v>
      </c>
      <c r="L5" s="77" t="s">
        <v>43</v>
      </c>
      <c r="M5" s="77" t="s">
        <v>42</v>
      </c>
      <c r="N5" s="77" t="s">
        <v>43</v>
      </c>
      <c r="O5" s="77" t="s">
        <v>42</v>
      </c>
      <c r="P5" s="77" t="s">
        <v>43</v>
      </c>
      <c r="Q5" s="33" t="s">
        <v>42</v>
      </c>
      <c r="R5" s="33" t="s">
        <v>43</v>
      </c>
      <c r="S5" s="30" t="s">
        <v>42</v>
      </c>
      <c r="T5" s="30" t="s">
        <v>43</v>
      </c>
      <c r="U5" s="30" t="s">
        <v>42</v>
      </c>
      <c r="V5" s="30" t="s">
        <v>43</v>
      </c>
      <c r="W5" s="2239"/>
    </row>
    <row r="6" spans="1:23" ht="34.5" customHeight="1" x14ac:dyDescent="0.25">
      <c r="A6" s="12">
        <v>1409935200</v>
      </c>
      <c r="B6" s="76" t="s">
        <v>71</v>
      </c>
      <c r="C6" s="74">
        <v>144275</v>
      </c>
      <c r="D6" s="73">
        <f>0.9725*C6</f>
        <v>140307.4375</v>
      </c>
      <c r="E6" s="74"/>
      <c r="F6" s="74">
        <f>13.7*E6</f>
        <v>0</v>
      </c>
      <c r="G6" s="74">
        <v>90</v>
      </c>
      <c r="H6" s="74">
        <f>28.2*G6</f>
        <v>2538</v>
      </c>
      <c r="I6" s="74">
        <v>1230</v>
      </c>
      <c r="J6" s="74">
        <f>18.5*I6</f>
        <v>22755</v>
      </c>
      <c r="K6" s="74"/>
      <c r="L6" s="74">
        <f>19.5*K6</f>
        <v>0</v>
      </c>
      <c r="M6" s="74"/>
      <c r="N6" s="73">
        <f>M6*9.75</f>
        <v>0</v>
      </c>
      <c r="O6" s="74"/>
      <c r="P6" s="73">
        <f>O6*48.62</f>
        <v>0</v>
      </c>
      <c r="Q6" s="74"/>
      <c r="R6" s="74">
        <f>241*Q6</f>
        <v>0</v>
      </c>
      <c r="S6" s="74"/>
      <c r="T6" s="74">
        <f>232*S6</f>
        <v>0</v>
      </c>
      <c r="U6" s="74"/>
      <c r="V6" s="19">
        <f>U6*100</f>
        <v>0</v>
      </c>
      <c r="W6" s="20">
        <f t="shared" ref="W6:W9" si="0">D6+F6+H6+J6+L6+N6+P6+R6+T6+V6</f>
        <v>165600.4375</v>
      </c>
    </row>
    <row r="7" spans="1:23" ht="31.5" customHeight="1" x14ac:dyDescent="0.25">
      <c r="A7" s="12">
        <v>1984225578</v>
      </c>
      <c r="B7" s="76" t="s">
        <v>72</v>
      </c>
      <c r="C7" s="74">
        <v>2644</v>
      </c>
      <c r="D7" s="73">
        <f t="shared" ref="D7:D11" si="1">0.9725*C7</f>
        <v>2571.29</v>
      </c>
      <c r="E7" s="74"/>
      <c r="F7" s="74">
        <f t="shared" ref="F7:F11" si="2">13.7*E7</f>
        <v>0</v>
      </c>
      <c r="G7" s="74"/>
      <c r="H7" s="74">
        <f t="shared" ref="H7:H11" si="3">28.2*G7</f>
        <v>0</v>
      </c>
      <c r="I7" s="74"/>
      <c r="J7" s="74">
        <f t="shared" ref="J7:J11" si="4">18.5*I7</f>
        <v>0</v>
      </c>
      <c r="K7" s="74"/>
      <c r="L7" s="74">
        <f t="shared" ref="L7:L11" si="5">19.5*K7</f>
        <v>0</v>
      </c>
      <c r="M7" s="74"/>
      <c r="N7" s="73">
        <f t="shared" ref="N7:N11" si="6">M7*9.75</f>
        <v>0</v>
      </c>
      <c r="O7" s="74"/>
      <c r="P7" s="73">
        <f t="shared" ref="P7:P11" si="7">O7*48.62</f>
        <v>0</v>
      </c>
      <c r="Q7" s="74"/>
      <c r="R7" s="74">
        <f t="shared" ref="R7:R11" si="8">241*Q7</f>
        <v>0</v>
      </c>
      <c r="S7" s="74"/>
      <c r="T7" s="74">
        <f t="shared" ref="T7:T11" si="9">232*S7</f>
        <v>0</v>
      </c>
      <c r="U7" s="74"/>
      <c r="V7" s="19">
        <f t="shared" ref="V7:V11" si="10">U7*100</f>
        <v>0</v>
      </c>
      <c r="W7" s="20">
        <f t="shared" si="0"/>
        <v>2571.29</v>
      </c>
    </row>
    <row r="8" spans="1:23" ht="35.25" customHeight="1" x14ac:dyDescent="0.25">
      <c r="A8" s="12">
        <v>1967020280</v>
      </c>
      <c r="B8" s="76" t="s">
        <v>73</v>
      </c>
      <c r="C8" s="74">
        <v>45745</v>
      </c>
      <c r="D8" s="73">
        <f t="shared" si="1"/>
        <v>44487.012500000004</v>
      </c>
      <c r="E8" s="74"/>
      <c r="F8" s="74">
        <f t="shared" si="2"/>
        <v>0</v>
      </c>
      <c r="G8" s="74"/>
      <c r="H8" s="74">
        <f t="shared" si="3"/>
        <v>0</v>
      </c>
      <c r="I8" s="74">
        <v>1060</v>
      </c>
      <c r="J8" s="74">
        <f t="shared" si="4"/>
        <v>19610</v>
      </c>
      <c r="K8" s="74"/>
      <c r="L8" s="74">
        <f t="shared" si="5"/>
        <v>0</v>
      </c>
      <c r="M8" s="74"/>
      <c r="N8" s="73">
        <f t="shared" si="6"/>
        <v>0</v>
      </c>
      <c r="O8" s="74"/>
      <c r="P8" s="73">
        <f t="shared" si="7"/>
        <v>0</v>
      </c>
      <c r="Q8" s="74"/>
      <c r="R8" s="74">
        <f t="shared" si="8"/>
        <v>0</v>
      </c>
      <c r="S8" s="74"/>
      <c r="T8" s="74">
        <f t="shared" si="9"/>
        <v>0</v>
      </c>
      <c r="U8" s="74"/>
      <c r="V8" s="19">
        <f t="shared" si="10"/>
        <v>0</v>
      </c>
      <c r="W8" s="20">
        <f t="shared" si="0"/>
        <v>64097.012500000004</v>
      </c>
    </row>
    <row r="9" spans="1:23" ht="38.25" customHeight="1" x14ac:dyDescent="0.25">
      <c r="A9" s="12">
        <v>1409935199</v>
      </c>
      <c r="B9" s="76" t="s">
        <v>74</v>
      </c>
      <c r="C9" s="74">
        <v>21493</v>
      </c>
      <c r="D9" s="73">
        <f t="shared" si="1"/>
        <v>20901.942500000001</v>
      </c>
      <c r="E9" s="74"/>
      <c r="F9" s="74">
        <f t="shared" si="2"/>
        <v>0</v>
      </c>
      <c r="G9" s="74"/>
      <c r="H9" s="74">
        <f t="shared" si="3"/>
        <v>0</v>
      </c>
      <c r="I9" s="74"/>
      <c r="J9" s="74">
        <f t="shared" si="4"/>
        <v>0</v>
      </c>
      <c r="K9" s="74"/>
      <c r="L9" s="74">
        <f t="shared" si="5"/>
        <v>0</v>
      </c>
      <c r="M9" s="74"/>
      <c r="N9" s="73">
        <f t="shared" si="6"/>
        <v>0</v>
      </c>
      <c r="O9" s="74"/>
      <c r="P9" s="73">
        <f t="shared" si="7"/>
        <v>0</v>
      </c>
      <c r="Q9" s="74"/>
      <c r="R9" s="74">
        <f t="shared" si="8"/>
        <v>0</v>
      </c>
      <c r="S9" s="74"/>
      <c r="T9" s="74">
        <f t="shared" si="9"/>
        <v>0</v>
      </c>
      <c r="U9" s="74"/>
      <c r="V9" s="19">
        <f t="shared" si="10"/>
        <v>0</v>
      </c>
      <c r="W9" s="20">
        <f t="shared" si="0"/>
        <v>20901.942500000001</v>
      </c>
    </row>
    <row r="10" spans="1:23" ht="35.25" customHeight="1" x14ac:dyDescent="0.25">
      <c r="A10" s="12">
        <v>1984225580</v>
      </c>
      <c r="B10" s="76" t="s">
        <v>75</v>
      </c>
      <c r="C10" s="74">
        <v>75909</v>
      </c>
      <c r="D10" s="73">
        <f t="shared" si="1"/>
        <v>73821.502500000002</v>
      </c>
      <c r="E10" s="74"/>
      <c r="F10" s="74">
        <f t="shared" si="2"/>
        <v>0</v>
      </c>
      <c r="G10" s="74"/>
      <c r="H10" s="74">
        <f t="shared" si="3"/>
        <v>0</v>
      </c>
      <c r="I10" s="74">
        <v>2600</v>
      </c>
      <c r="J10" s="74">
        <f t="shared" si="4"/>
        <v>48100</v>
      </c>
      <c r="K10" s="74"/>
      <c r="L10" s="74">
        <f t="shared" si="5"/>
        <v>0</v>
      </c>
      <c r="M10" s="74"/>
      <c r="N10" s="73">
        <f t="shared" si="6"/>
        <v>0</v>
      </c>
      <c r="O10" s="74"/>
      <c r="P10" s="73">
        <f t="shared" si="7"/>
        <v>0</v>
      </c>
      <c r="Q10" s="74"/>
      <c r="R10" s="74">
        <f t="shared" si="8"/>
        <v>0</v>
      </c>
      <c r="S10" s="74"/>
      <c r="T10" s="74">
        <f t="shared" si="9"/>
        <v>0</v>
      </c>
      <c r="U10" s="74"/>
      <c r="V10" s="19">
        <f t="shared" si="10"/>
        <v>0</v>
      </c>
      <c r="W10" s="20">
        <f>D10+F10+H10+J10+L10+N10+P10+R10+T10+V10</f>
        <v>121921.5025</v>
      </c>
    </row>
    <row r="11" spans="1:23" ht="37.5" customHeight="1" x14ac:dyDescent="0.25">
      <c r="A11" s="12"/>
      <c r="B11" s="75"/>
      <c r="C11" s="74"/>
      <c r="D11" s="22">
        <f t="shared" si="1"/>
        <v>0</v>
      </c>
      <c r="E11" s="74"/>
      <c r="F11" s="74">
        <f t="shared" si="2"/>
        <v>0</v>
      </c>
      <c r="G11" s="74"/>
      <c r="H11" s="74">
        <f t="shared" si="3"/>
        <v>0</v>
      </c>
      <c r="I11" s="74"/>
      <c r="J11" s="74">
        <f t="shared" si="4"/>
        <v>0</v>
      </c>
      <c r="K11" s="74"/>
      <c r="L11" s="74">
        <f t="shared" si="5"/>
        <v>0</v>
      </c>
      <c r="M11" s="74"/>
      <c r="N11" s="73">
        <f t="shared" si="6"/>
        <v>0</v>
      </c>
      <c r="O11" s="74"/>
      <c r="P11" s="73">
        <f t="shared" si="7"/>
        <v>0</v>
      </c>
      <c r="Q11" s="74">
        <v>248</v>
      </c>
      <c r="R11" s="74">
        <f t="shared" si="8"/>
        <v>59768</v>
      </c>
      <c r="S11" s="74"/>
      <c r="T11" s="74">
        <f t="shared" si="9"/>
        <v>0</v>
      </c>
      <c r="U11" s="74"/>
      <c r="V11" s="19">
        <f t="shared" si="10"/>
        <v>0</v>
      </c>
      <c r="W11" s="20">
        <f t="shared" ref="W11" si="11">D11+F11+H11+J11+L11+N11+P11+R11+T11+V11</f>
        <v>59768</v>
      </c>
    </row>
    <row r="12" spans="1:23" ht="29.25" customHeight="1" x14ac:dyDescent="0.25">
      <c r="A12" s="2235" t="s">
        <v>31</v>
      </c>
      <c r="B12" s="2235"/>
      <c r="C12" s="18">
        <f t="shared" ref="C12:W12" si="12">SUM(C6:C11)</f>
        <v>290066</v>
      </c>
      <c r="D12" s="18">
        <f t="shared" si="12"/>
        <v>282089.18500000006</v>
      </c>
      <c r="E12" s="18">
        <f t="shared" si="12"/>
        <v>0</v>
      </c>
      <c r="F12" s="18">
        <f t="shared" si="12"/>
        <v>0</v>
      </c>
      <c r="G12" s="18">
        <f t="shared" si="12"/>
        <v>90</v>
      </c>
      <c r="H12" s="18">
        <f t="shared" si="12"/>
        <v>2538</v>
      </c>
      <c r="I12" s="18">
        <f t="shared" si="12"/>
        <v>4890</v>
      </c>
      <c r="J12" s="18">
        <f t="shared" si="12"/>
        <v>90465</v>
      </c>
      <c r="K12" s="18">
        <f t="shared" si="12"/>
        <v>0</v>
      </c>
      <c r="L12" s="18">
        <f t="shared" si="12"/>
        <v>0</v>
      </c>
      <c r="M12" s="18">
        <f t="shared" si="12"/>
        <v>0</v>
      </c>
      <c r="N12" s="23">
        <f t="shared" si="12"/>
        <v>0</v>
      </c>
      <c r="O12" s="18">
        <f t="shared" si="12"/>
        <v>0</v>
      </c>
      <c r="P12" s="23">
        <f t="shared" si="12"/>
        <v>0</v>
      </c>
      <c r="Q12" s="18">
        <f t="shared" si="12"/>
        <v>248</v>
      </c>
      <c r="R12" s="18">
        <f t="shared" si="12"/>
        <v>59768</v>
      </c>
      <c r="S12" s="18">
        <f t="shared" si="12"/>
        <v>0</v>
      </c>
      <c r="T12" s="18">
        <f t="shared" si="12"/>
        <v>0</v>
      </c>
      <c r="U12" s="18">
        <f t="shared" si="12"/>
        <v>0</v>
      </c>
      <c r="V12" s="18">
        <f t="shared" si="12"/>
        <v>0</v>
      </c>
      <c r="W12" s="18">
        <f t="shared" si="12"/>
        <v>434860.18500000006</v>
      </c>
    </row>
    <row r="14" spans="1:23" ht="32.25" customHeight="1" x14ac:dyDescent="0.25">
      <c r="A14" s="30" t="s">
        <v>32</v>
      </c>
      <c r="B14" s="2236" t="s">
        <v>27</v>
      </c>
      <c r="C14" s="2236"/>
      <c r="D14" s="30" t="s">
        <v>33</v>
      </c>
      <c r="E14" s="30" t="s">
        <v>65</v>
      </c>
      <c r="F14" s="30" t="s">
        <v>34</v>
      </c>
      <c r="G14" s="30" t="s">
        <v>13</v>
      </c>
      <c r="H14" s="31" t="s">
        <v>45</v>
      </c>
      <c r="I14" s="30" t="s">
        <v>17</v>
      </c>
      <c r="J14" s="30" t="s">
        <v>66</v>
      </c>
      <c r="K14" s="30" t="s">
        <v>36</v>
      </c>
      <c r="L14" s="30" t="s">
        <v>37</v>
      </c>
      <c r="M14" s="30" t="s">
        <v>69</v>
      </c>
      <c r="N14" s="30" t="s">
        <v>70</v>
      </c>
      <c r="O14" s="86" t="s">
        <v>99</v>
      </c>
      <c r="P14" s="15"/>
      <c r="R14" s="2235" t="s">
        <v>46</v>
      </c>
      <c r="S14" s="76" t="s">
        <v>54</v>
      </c>
      <c r="T14" s="2260">
        <v>13295</v>
      </c>
      <c r="U14" s="2268"/>
      <c r="V14" s="2261"/>
    </row>
    <row r="15" spans="1:23" ht="22.5" customHeight="1" x14ac:dyDescent="0.25">
      <c r="A15" s="11" t="s">
        <v>38</v>
      </c>
      <c r="B15" s="2260">
        <v>546400</v>
      </c>
      <c r="C15" s="2261"/>
      <c r="D15" s="87">
        <v>0</v>
      </c>
      <c r="E15" s="87">
        <v>620</v>
      </c>
      <c r="F15" s="87">
        <v>10170</v>
      </c>
      <c r="G15" s="87">
        <v>100</v>
      </c>
      <c r="H15" s="87">
        <v>178</v>
      </c>
      <c r="I15" s="87">
        <v>0</v>
      </c>
      <c r="J15" s="87">
        <v>69</v>
      </c>
      <c r="K15" s="87">
        <v>30</v>
      </c>
      <c r="L15" s="87">
        <v>43</v>
      </c>
      <c r="M15" s="87">
        <v>50</v>
      </c>
      <c r="N15" s="87">
        <v>100</v>
      </c>
      <c r="O15" s="87">
        <v>1600</v>
      </c>
      <c r="P15" s="21"/>
      <c r="R15" s="2235"/>
      <c r="S15" s="76" t="s">
        <v>64</v>
      </c>
      <c r="T15" s="2262">
        <v>11871</v>
      </c>
      <c r="U15" s="2262"/>
      <c r="V15" s="2262"/>
    </row>
    <row r="16" spans="1:23" ht="24.75" customHeight="1" x14ac:dyDescent="0.25">
      <c r="A16" s="11" t="s">
        <v>39</v>
      </c>
      <c r="B16" s="2260"/>
      <c r="C16" s="2261"/>
      <c r="D16" s="87"/>
      <c r="E16" s="87"/>
      <c r="F16" s="87"/>
      <c r="G16" s="87"/>
      <c r="H16" s="87"/>
      <c r="I16" s="87"/>
      <c r="J16" s="87"/>
      <c r="K16" s="87"/>
      <c r="L16" s="87"/>
      <c r="M16" s="87"/>
      <c r="N16" s="87"/>
      <c r="O16" s="87"/>
      <c r="P16" s="21"/>
      <c r="R16" s="2254" t="s">
        <v>55</v>
      </c>
      <c r="S16" s="2254"/>
      <c r="T16" s="2267">
        <f>W12</f>
        <v>434860.18500000006</v>
      </c>
      <c r="U16" s="2267"/>
      <c r="V16" s="2262"/>
    </row>
    <row r="17" spans="1:23" ht="24.75" customHeight="1" x14ac:dyDescent="0.25">
      <c r="A17" s="11" t="s">
        <v>44</v>
      </c>
      <c r="B17" s="2260"/>
      <c r="C17" s="2261"/>
      <c r="D17" s="87"/>
      <c r="E17" s="87"/>
      <c r="F17" s="87"/>
      <c r="G17" s="87"/>
      <c r="H17" s="87"/>
      <c r="I17" s="87"/>
      <c r="J17" s="87"/>
      <c r="K17" s="87"/>
      <c r="L17" s="87"/>
      <c r="M17" s="87"/>
      <c r="N17" s="87"/>
      <c r="O17" s="87"/>
      <c r="P17" s="21"/>
      <c r="R17" s="2254" t="s">
        <v>95</v>
      </c>
      <c r="S17" s="2254"/>
      <c r="T17" s="2262">
        <v>9221</v>
      </c>
      <c r="U17" s="2262"/>
      <c r="V17" s="2262"/>
    </row>
    <row r="18" spans="1:23" ht="27" customHeight="1" x14ac:dyDescent="0.25">
      <c r="A18" s="11" t="s">
        <v>40</v>
      </c>
      <c r="B18" s="2264">
        <f>C12</f>
        <v>290066</v>
      </c>
      <c r="C18" s="2261"/>
      <c r="D18" s="88">
        <f>E12</f>
        <v>0</v>
      </c>
      <c r="E18" s="88">
        <f>G12</f>
        <v>90</v>
      </c>
      <c r="F18" s="88">
        <f>I12</f>
        <v>4890</v>
      </c>
      <c r="G18" s="88">
        <f>K12</f>
        <v>0</v>
      </c>
      <c r="H18" s="87"/>
      <c r="I18" s="88">
        <f>S12</f>
        <v>0</v>
      </c>
      <c r="J18" s="87">
        <v>69</v>
      </c>
      <c r="K18" s="88">
        <f>U12</f>
        <v>0</v>
      </c>
      <c r="L18" s="87"/>
      <c r="M18" s="88">
        <f>M12</f>
        <v>0</v>
      </c>
      <c r="N18" s="88"/>
      <c r="O18" s="87">
        <v>179</v>
      </c>
      <c r="P18" s="21"/>
      <c r="R18" s="2254" t="s">
        <v>57</v>
      </c>
      <c r="S18" s="2254"/>
      <c r="T18" s="2262">
        <f>530+1350+1005+73117</f>
        <v>76002</v>
      </c>
      <c r="U18" s="2262"/>
      <c r="V18" s="2262"/>
      <c r="W18" s="2259" t="s">
        <v>110</v>
      </c>
    </row>
    <row r="19" spans="1:23" ht="25.5" customHeight="1" x14ac:dyDescent="0.25">
      <c r="A19" s="11" t="s">
        <v>41</v>
      </c>
      <c r="B19" s="2260">
        <f>B15+B16+B17-B18</f>
        <v>256334</v>
      </c>
      <c r="C19" s="2261"/>
      <c r="D19" s="87">
        <f>D15+D16+D17-D18</f>
        <v>0</v>
      </c>
      <c r="E19" s="87">
        <f t="shared" ref="E19:O19" si="13">E15+E16+E17-E18</f>
        <v>530</v>
      </c>
      <c r="F19" s="87">
        <f t="shared" si="13"/>
        <v>5280</v>
      </c>
      <c r="G19" s="87">
        <f t="shared" si="13"/>
        <v>100</v>
      </c>
      <c r="H19" s="87">
        <f t="shared" si="13"/>
        <v>178</v>
      </c>
      <c r="I19" s="87">
        <f t="shared" si="13"/>
        <v>0</v>
      </c>
      <c r="J19" s="87">
        <f t="shared" si="13"/>
        <v>0</v>
      </c>
      <c r="K19" s="87">
        <f t="shared" si="13"/>
        <v>30</v>
      </c>
      <c r="L19" s="87">
        <f t="shared" si="13"/>
        <v>43</v>
      </c>
      <c r="M19" s="87">
        <f t="shared" si="13"/>
        <v>50</v>
      </c>
      <c r="N19" s="87">
        <f t="shared" si="13"/>
        <v>100</v>
      </c>
      <c r="O19" s="87">
        <f t="shared" si="13"/>
        <v>1421</v>
      </c>
      <c r="P19" s="21"/>
      <c r="R19" s="2256" t="s">
        <v>48</v>
      </c>
      <c r="S19" s="49" t="s">
        <v>58</v>
      </c>
      <c r="T19" s="2262"/>
      <c r="U19" s="2262"/>
      <c r="V19" s="2262"/>
      <c r="W19" s="2259"/>
    </row>
    <row r="20" spans="1:23" ht="23.25" customHeight="1" x14ac:dyDescent="0.25">
      <c r="A20" s="15"/>
      <c r="B20" s="10"/>
      <c r="C20" s="10"/>
      <c r="D20" s="10"/>
      <c r="E20" s="10"/>
      <c r="F20" s="10"/>
      <c r="G20" s="10"/>
      <c r="H20" s="10"/>
      <c r="I20" s="10"/>
      <c r="J20" s="10"/>
      <c r="K20" s="10"/>
      <c r="L20" s="10"/>
      <c r="M20" s="10"/>
      <c r="N20" s="10"/>
      <c r="O20" s="10"/>
      <c r="P20" s="10"/>
      <c r="R20" s="2257"/>
      <c r="S20" s="49" t="s">
        <v>59</v>
      </c>
      <c r="T20" s="2262"/>
      <c r="U20" s="2262"/>
      <c r="V20" s="2262"/>
      <c r="W20" s="2259"/>
    </row>
    <row r="21" spans="1:23" ht="33.75" customHeight="1" x14ac:dyDescent="0.25">
      <c r="A21" s="15"/>
      <c r="B21" s="10"/>
      <c r="C21" s="10"/>
      <c r="D21" s="10"/>
      <c r="E21" s="10"/>
      <c r="F21" s="10"/>
      <c r="G21" s="10"/>
      <c r="H21" s="10"/>
      <c r="I21" s="10"/>
      <c r="J21" s="10"/>
      <c r="K21" s="10"/>
      <c r="L21" s="10"/>
      <c r="M21" s="10"/>
      <c r="N21" s="10"/>
      <c r="O21" s="10"/>
      <c r="P21" s="10"/>
      <c r="R21" s="2251" t="s">
        <v>83</v>
      </c>
      <c r="S21" s="50" t="s">
        <v>60</v>
      </c>
      <c r="T21" s="2262"/>
      <c r="U21" s="2262"/>
      <c r="V21" s="2262"/>
      <c r="W21" s="2259"/>
    </row>
    <row r="22" spans="1:23" ht="29.25" customHeight="1" x14ac:dyDescent="0.25">
      <c r="A22" s="10"/>
      <c r="B22" s="2258" t="s">
        <v>49</v>
      </c>
      <c r="C22" s="2265">
        <v>1075893</v>
      </c>
      <c r="D22" s="2262"/>
      <c r="E22" s="2262"/>
      <c r="F22" s="2262">
        <f>C22-D22+E22</f>
        <v>1075893</v>
      </c>
      <c r="G22" s="10"/>
      <c r="H22" s="10"/>
      <c r="I22" s="10"/>
      <c r="J22" s="10"/>
      <c r="K22" s="10"/>
      <c r="L22" s="10"/>
      <c r="M22" s="10"/>
      <c r="N22" s="10"/>
      <c r="O22" s="10"/>
      <c r="P22" s="10"/>
      <c r="R22" s="2252"/>
      <c r="S22" s="50" t="s">
        <v>61</v>
      </c>
      <c r="T22" s="2262"/>
      <c r="U22" s="2262"/>
      <c r="V22" s="2262"/>
      <c r="W22" s="2259"/>
    </row>
    <row r="23" spans="1:23" ht="47.25" customHeight="1" x14ac:dyDescent="0.25">
      <c r="A23" s="10"/>
      <c r="B23" s="2258"/>
      <c r="C23" s="2266"/>
      <c r="D23" s="2262"/>
      <c r="E23" s="2262"/>
      <c r="F23" s="2262"/>
      <c r="G23" s="10"/>
      <c r="H23" s="10"/>
      <c r="I23" s="10"/>
      <c r="J23" s="10"/>
      <c r="K23" s="10"/>
      <c r="L23" s="10"/>
      <c r="M23" s="10"/>
      <c r="N23" s="10"/>
      <c r="O23" s="10"/>
      <c r="P23" s="10"/>
      <c r="R23" s="2235" t="s">
        <v>47</v>
      </c>
      <c r="S23" s="51" t="s">
        <v>62</v>
      </c>
      <c r="T23" s="2263">
        <f>T14+T16+T17-T18-T19-T20-T21+T22</f>
        <v>381374.18500000006</v>
      </c>
      <c r="U23" s="2263"/>
      <c r="V23" s="2263"/>
      <c r="W23" s="2259"/>
    </row>
    <row r="24" spans="1:23" ht="27" customHeight="1" x14ac:dyDescent="0.25">
      <c r="B24" s="2258"/>
      <c r="C24" s="76" t="s">
        <v>46</v>
      </c>
      <c r="D24" s="76" t="s">
        <v>50</v>
      </c>
      <c r="E24" s="76" t="s">
        <v>51</v>
      </c>
      <c r="F24" s="76" t="s">
        <v>52</v>
      </c>
      <c r="R24" s="2235"/>
      <c r="S24" s="51" t="s">
        <v>63</v>
      </c>
      <c r="T24" s="2262">
        <f>T15+T21-T22</f>
        <v>11871</v>
      </c>
      <c r="U24" s="2262"/>
      <c r="V24" s="2262"/>
    </row>
  </sheetData>
  <mergeCells count="47">
    <mergeCell ref="A1:W1"/>
    <mergeCell ref="A2:W2"/>
    <mergeCell ref="R3:W3"/>
    <mergeCell ref="A4:A5"/>
    <mergeCell ref="B4:B5"/>
    <mergeCell ref="C4:D4"/>
    <mergeCell ref="E4:F4"/>
    <mergeCell ref="G4:H4"/>
    <mergeCell ref="I4:J4"/>
    <mergeCell ref="K4:L4"/>
    <mergeCell ref="M4:N4"/>
    <mergeCell ref="O4:P4"/>
    <mergeCell ref="Q4:R4"/>
    <mergeCell ref="S4:T4"/>
    <mergeCell ref="U4:V4"/>
    <mergeCell ref="R14:R15"/>
    <mergeCell ref="T14:V14"/>
    <mergeCell ref="B15:C15"/>
    <mergeCell ref="T15:V15"/>
    <mergeCell ref="W4:W5"/>
    <mergeCell ref="D22:D23"/>
    <mergeCell ref="E22:E23"/>
    <mergeCell ref="F22:F23"/>
    <mergeCell ref="A12:B12"/>
    <mergeCell ref="B14:C14"/>
    <mergeCell ref="B16:C16"/>
    <mergeCell ref="R16:S16"/>
    <mergeCell ref="T16:V16"/>
    <mergeCell ref="B17:C17"/>
    <mergeCell ref="R17:S17"/>
    <mergeCell ref="T17:V17"/>
    <mergeCell ref="W18:W23"/>
    <mergeCell ref="B19:C19"/>
    <mergeCell ref="R19:R20"/>
    <mergeCell ref="T19:V19"/>
    <mergeCell ref="T20:V20"/>
    <mergeCell ref="R21:R22"/>
    <mergeCell ref="T21:V21"/>
    <mergeCell ref="T22:V22"/>
    <mergeCell ref="R23:R24"/>
    <mergeCell ref="T23:V23"/>
    <mergeCell ref="T24:V24"/>
    <mergeCell ref="B18:C18"/>
    <mergeCell ref="R18:S18"/>
    <mergeCell ref="T18:V18"/>
    <mergeCell ref="B22:B24"/>
    <mergeCell ref="C22:C23"/>
  </mergeCells>
  <pageMargins left="0.15748031496063" right="0.15748031496063" top="0" bottom="0" header="0" footer="0"/>
  <pageSetup paperSize="9" scale="51" orientation="landscape" r:id="rId1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D00-000000000000}">
  <sheetPr>
    <pageSetUpPr fitToPage="1"/>
  </sheetPr>
  <dimension ref="A1:W24"/>
  <sheetViews>
    <sheetView topLeftCell="B6" zoomScale="71" zoomScaleNormal="71" zoomScaleSheetLayoutView="100" workbookViewId="0">
      <selection activeCell="T18" sqref="T18:V18"/>
    </sheetView>
  </sheetViews>
  <sheetFormatPr defaultColWidth="9.140625" defaultRowHeight="15" x14ac:dyDescent="0.25"/>
  <cols>
    <col min="1" max="1" width="21.7109375" style="14" bestFit="1" customWidth="1"/>
    <col min="2" max="2" width="19.5703125" style="14" customWidth="1"/>
    <col min="3" max="3" width="12.28515625" style="14" bestFit="1" customWidth="1"/>
    <col min="4" max="4" width="11" style="14" customWidth="1"/>
    <col min="5" max="5" width="12" style="14" customWidth="1"/>
    <col min="6" max="6" width="12.5703125" style="14" bestFit="1" customWidth="1"/>
    <col min="7" max="7" width="9.28515625" style="14" bestFit="1" customWidth="1"/>
    <col min="8" max="8" width="10.140625" style="14" bestFit="1" customWidth="1"/>
    <col min="9" max="9" width="10.5703125" style="14" bestFit="1" customWidth="1"/>
    <col min="10" max="10" width="10.5703125" style="14" customWidth="1"/>
    <col min="11" max="11" width="10.28515625" style="14" bestFit="1" customWidth="1"/>
    <col min="12" max="12" width="9.42578125" style="14" bestFit="1" customWidth="1"/>
    <col min="13" max="13" width="9.85546875" style="14" bestFit="1" customWidth="1"/>
    <col min="14" max="14" width="10.140625" style="14" bestFit="1" customWidth="1"/>
    <col min="15" max="15" width="14.42578125" style="14" customWidth="1"/>
    <col min="16" max="17" width="9.42578125" style="14" bestFit="1" customWidth="1"/>
    <col min="18" max="18" width="12.5703125" style="14" customWidth="1"/>
    <col min="19" max="19" width="16.7109375" style="14" customWidth="1"/>
    <col min="20" max="20" width="9.85546875" style="14" bestFit="1" customWidth="1"/>
    <col min="21" max="21" width="10.140625" style="14" bestFit="1" customWidth="1"/>
    <col min="22" max="22" width="9.85546875" style="14" bestFit="1" customWidth="1"/>
    <col min="23" max="23" width="15" style="14" customWidth="1"/>
    <col min="24" max="16384" width="9.140625" style="14"/>
  </cols>
  <sheetData>
    <row r="1" spans="1:23" ht="46.15" customHeight="1" x14ac:dyDescent="0.25">
      <c r="A1" s="2240" t="s">
        <v>76</v>
      </c>
      <c r="B1" s="2240"/>
      <c r="C1" s="2240"/>
      <c r="D1" s="2240"/>
      <c r="E1" s="2240"/>
      <c r="F1" s="2240"/>
      <c r="G1" s="2240"/>
      <c r="H1" s="2240"/>
      <c r="I1" s="2240"/>
      <c r="J1" s="2240"/>
      <c r="K1" s="2240"/>
      <c r="L1" s="2240"/>
      <c r="M1" s="2240"/>
      <c r="N1" s="2240"/>
      <c r="O1" s="2240"/>
      <c r="P1" s="2240"/>
      <c r="Q1" s="2240"/>
      <c r="R1" s="2240"/>
      <c r="S1" s="2240"/>
      <c r="T1" s="2240"/>
      <c r="U1" s="2240"/>
      <c r="V1" s="2240"/>
      <c r="W1" s="2240"/>
    </row>
    <row r="2" spans="1:23" ht="21.6" customHeight="1" x14ac:dyDescent="0.25">
      <c r="A2" s="2241" t="s">
        <v>77</v>
      </c>
      <c r="B2" s="2241"/>
      <c r="C2" s="2241"/>
      <c r="D2" s="2241"/>
      <c r="E2" s="2241"/>
      <c r="F2" s="2241"/>
      <c r="G2" s="2241"/>
      <c r="H2" s="2241"/>
      <c r="I2" s="2241"/>
      <c r="J2" s="2241"/>
      <c r="K2" s="2241"/>
      <c r="L2" s="2241"/>
      <c r="M2" s="2241"/>
      <c r="N2" s="2241"/>
      <c r="O2" s="2241"/>
      <c r="P2" s="2241"/>
      <c r="Q2" s="2241"/>
      <c r="R2" s="2241"/>
      <c r="S2" s="2241"/>
      <c r="T2" s="2241"/>
      <c r="U2" s="2241"/>
      <c r="V2" s="2241"/>
      <c r="W2" s="2241"/>
    </row>
    <row r="3" spans="1:23" ht="21" customHeight="1" x14ac:dyDescent="0.25">
      <c r="A3" s="78"/>
      <c r="B3" s="78"/>
      <c r="C3" s="78"/>
      <c r="D3" s="78"/>
      <c r="E3" s="78"/>
      <c r="F3" s="78"/>
      <c r="G3" s="78"/>
      <c r="H3" s="78"/>
      <c r="I3" s="78"/>
      <c r="J3" s="78"/>
      <c r="K3" s="78"/>
      <c r="L3" s="78"/>
      <c r="M3" s="78"/>
      <c r="N3" s="78"/>
      <c r="O3" s="78"/>
      <c r="P3" s="78"/>
      <c r="Q3" s="78"/>
      <c r="R3" s="2242" t="s">
        <v>111</v>
      </c>
      <c r="S3" s="2242"/>
      <c r="T3" s="2242"/>
      <c r="U3" s="2242"/>
      <c r="V3" s="2242"/>
      <c r="W3" s="2242"/>
    </row>
    <row r="4" spans="1:23" s="78" customFormat="1" ht="18" customHeight="1" x14ac:dyDescent="0.25">
      <c r="A4" s="2243" t="s">
        <v>25</v>
      </c>
      <c r="B4" s="2243" t="s">
        <v>26</v>
      </c>
      <c r="C4" s="2244" t="s">
        <v>27</v>
      </c>
      <c r="D4" s="2244"/>
      <c r="E4" s="2244" t="s">
        <v>28</v>
      </c>
      <c r="F4" s="2244"/>
      <c r="G4" s="2244" t="s">
        <v>65</v>
      </c>
      <c r="H4" s="2244"/>
      <c r="I4" s="2244" t="s">
        <v>29</v>
      </c>
      <c r="J4" s="2244"/>
      <c r="K4" s="2245" t="s">
        <v>13</v>
      </c>
      <c r="L4" s="2246"/>
      <c r="M4" s="2245" t="s">
        <v>67</v>
      </c>
      <c r="N4" s="2246"/>
      <c r="O4" s="2245" t="s">
        <v>68</v>
      </c>
      <c r="P4" s="2246"/>
      <c r="Q4" s="2244" t="s">
        <v>35</v>
      </c>
      <c r="R4" s="2244"/>
      <c r="S4" s="2245" t="s">
        <v>17</v>
      </c>
      <c r="T4" s="2246"/>
      <c r="U4" s="2247" t="s">
        <v>36</v>
      </c>
      <c r="V4" s="2248"/>
      <c r="W4" s="2238" t="s">
        <v>30</v>
      </c>
    </row>
    <row r="5" spans="1:23" s="78" customFormat="1" ht="25.5" customHeight="1" x14ac:dyDescent="0.25">
      <c r="A5" s="2243"/>
      <c r="B5" s="2243"/>
      <c r="C5" s="77" t="s">
        <v>42</v>
      </c>
      <c r="D5" s="77" t="s">
        <v>43</v>
      </c>
      <c r="E5" s="77" t="s">
        <v>42</v>
      </c>
      <c r="F5" s="77" t="s">
        <v>43</v>
      </c>
      <c r="G5" s="77" t="s">
        <v>42</v>
      </c>
      <c r="H5" s="77" t="s">
        <v>43</v>
      </c>
      <c r="I5" s="77" t="s">
        <v>42</v>
      </c>
      <c r="J5" s="77" t="s">
        <v>43</v>
      </c>
      <c r="K5" s="77" t="s">
        <v>42</v>
      </c>
      <c r="L5" s="77" t="s">
        <v>43</v>
      </c>
      <c r="M5" s="77" t="s">
        <v>42</v>
      </c>
      <c r="N5" s="77" t="s">
        <v>43</v>
      </c>
      <c r="O5" s="77" t="s">
        <v>42</v>
      </c>
      <c r="P5" s="77" t="s">
        <v>43</v>
      </c>
      <c r="Q5" s="33" t="s">
        <v>42</v>
      </c>
      <c r="R5" s="33" t="s">
        <v>43</v>
      </c>
      <c r="S5" s="30" t="s">
        <v>42</v>
      </c>
      <c r="T5" s="30" t="s">
        <v>43</v>
      </c>
      <c r="U5" s="30" t="s">
        <v>42</v>
      </c>
      <c r="V5" s="30" t="s">
        <v>43</v>
      </c>
      <c r="W5" s="2239"/>
    </row>
    <row r="6" spans="1:23" ht="34.5" customHeight="1" x14ac:dyDescent="0.25">
      <c r="A6" s="12">
        <v>1409935200</v>
      </c>
      <c r="B6" s="76" t="s">
        <v>71</v>
      </c>
      <c r="C6" s="74">
        <v>27137</v>
      </c>
      <c r="D6" s="73">
        <f>0.9725*C6</f>
        <v>26390.732500000002</v>
      </c>
      <c r="E6" s="74"/>
      <c r="F6" s="74">
        <f>13.7*E6</f>
        <v>0</v>
      </c>
      <c r="G6" s="74">
        <v>110</v>
      </c>
      <c r="H6" s="74">
        <f>28.2*G6</f>
        <v>3102</v>
      </c>
      <c r="I6" s="74">
        <v>950</v>
      </c>
      <c r="J6" s="74">
        <f>18.5*I6</f>
        <v>17575</v>
      </c>
      <c r="K6" s="74"/>
      <c r="L6" s="74">
        <f>19.5*K6</f>
        <v>0</v>
      </c>
      <c r="M6" s="74"/>
      <c r="N6" s="73">
        <f>M6*9.75</f>
        <v>0</v>
      </c>
      <c r="O6" s="74"/>
      <c r="P6" s="73">
        <f>O6*48.62</f>
        <v>0</v>
      </c>
      <c r="Q6" s="74"/>
      <c r="R6" s="74">
        <f>241*Q6</f>
        <v>0</v>
      </c>
      <c r="S6" s="74"/>
      <c r="T6" s="74">
        <f>232*S6</f>
        <v>0</v>
      </c>
      <c r="U6" s="74"/>
      <c r="V6" s="19">
        <f>U6*100</f>
        <v>0</v>
      </c>
      <c r="W6" s="20">
        <f t="shared" ref="W6:W9" si="0">D6+F6+H6+J6+L6+N6+P6+R6+T6+V6</f>
        <v>47067.732499999998</v>
      </c>
    </row>
    <row r="7" spans="1:23" ht="31.5" customHeight="1" x14ac:dyDescent="0.25">
      <c r="A7" s="12">
        <v>1984225578</v>
      </c>
      <c r="B7" s="76" t="s">
        <v>72</v>
      </c>
      <c r="C7" s="74">
        <v>41662</v>
      </c>
      <c r="D7" s="73">
        <f t="shared" ref="D7:D11" si="1">0.9725*C7</f>
        <v>40516.294999999998</v>
      </c>
      <c r="E7" s="74"/>
      <c r="F7" s="74">
        <f t="shared" ref="F7:F11" si="2">13.7*E7</f>
        <v>0</v>
      </c>
      <c r="G7" s="74">
        <v>140</v>
      </c>
      <c r="H7" s="74">
        <f t="shared" ref="H7:H11" si="3">28.2*G7</f>
        <v>3948</v>
      </c>
      <c r="I7" s="74">
        <v>1440</v>
      </c>
      <c r="J7" s="74">
        <f t="shared" ref="J7:J11" si="4">18.5*I7</f>
        <v>26640</v>
      </c>
      <c r="K7" s="74"/>
      <c r="L7" s="74">
        <f t="shared" ref="L7:L11" si="5">19.5*K7</f>
        <v>0</v>
      </c>
      <c r="M7" s="74"/>
      <c r="N7" s="73">
        <f t="shared" ref="N7:N11" si="6">M7*9.75</f>
        <v>0</v>
      </c>
      <c r="O7" s="74"/>
      <c r="P7" s="73">
        <f t="shared" ref="P7:P11" si="7">O7*48.62</f>
        <v>0</v>
      </c>
      <c r="Q7" s="74"/>
      <c r="R7" s="74">
        <f t="shared" ref="R7:R11" si="8">241*Q7</f>
        <v>0</v>
      </c>
      <c r="S7" s="74"/>
      <c r="T7" s="74">
        <f t="shared" ref="T7:T11" si="9">232*S7</f>
        <v>0</v>
      </c>
      <c r="U7" s="74"/>
      <c r="V7" s="19">
        <f t="shared" ref="V7:V11" si="10">U7*100</f>
        <v>0</v>
      </c>
      <c r="W7" s="20">
        <f t="shared" si="0"/>
        <v>71104.294999999998</v>
      </c>
    </row>
    <row r="8" spans="1:23" ht="35.25" customHeight="1" x14ac:dyDescent="0.25">
      <c r="A8" s="12">
        <v>1967020280</v>
      </c>
      <c r="B8" s="76" t="s">
        <v>73</v>
      </c>
      <c r="C8" s="74">
        <v>29223</v>
      </c>
      <c r="D8" s="73">
        <f t="shared" si="1"/>
        <v>28419.3675</v>
      </c>
      <c r="E8" s="74"/>
      <c r="F8" s="74">
        <f t="shared" si="2"/>
        <v>0</v>
      </c>
      <c r="G8" s="74"/>
      <c r="H8" s="74">
        <f t="shared" si="3"/>
        <v>0</v>
      </c>
      <c r="I8" s="74">
        <v>470</v>
      </c>
      <c r="J8" s="74">
        <f t="shared" si="4"/>
        <v>8695</v>
      </c>
      <c r="K8" s="74"/>
      <c r="L8" s="74">
        <f t="shared" si="5"/>
        <v>0</v>
      </c>
      <c r="M8" s="74"/>
      <c r="N8" s="73">
        <f t="shared" si="6"/>
        <v>0</v>
      </c>
      <c r="O8" s="74"/>
      <c r="P8" s="73">
        <f t="shared" si="7"/>
        <v>0</v>
      </c>
      <c r="Q8" s="74"/>
      <c r="R8" s="74">
        <f t="shared" si="8"/>
        <v>0</v>
      </c>
      <c r="S8" s="74"/>
      <c r="T8" s="74">
        <f t="shared" si="9"/>
        <v>0</v>
      </c>
      <c r="U8" s="74"/>
      <c r="V8" s="19">
        <f t="shared" si="10"/>
        <v>0</v>
      </c>
      <c r="W8" s="20">
        <f t="shared" si="0"/>
        <v>37114.3675</v>
      </c>
    </row>
    <row r="9" spans="1:23" ht="38.25" customHeight="1" x14ac:dyDescent="0.25">
      <c r="A9" s="12">
        <v>1409935199</v>
      </c>
      <c r="B9" s="76" t="s">
        <v>74</v>
      </c>
      <c r="C9" s="74">
        <v>16111</v>
      </c>
      <c r="D9" s="73">
        <f t="shared" si="1"/>
        <v>15667.9475</v>
      </c>
      <c r="E9" s="74"/>
      <c r="F9" s="74">
        <f t="shared" si="2"/>
        <v>0</v>
      </c>
      <c r="G9" s="74"/>
      <c r="H9" s="74">
        <f t="shared" si="3"/>
        <v>0</v>
      </c>
      <c r="I9" s="74">
        <v>370</v>
      </c>
      <c r="J9" s="74">
        <f t="shared" si="4"/>
        <v>6845</v>
      </c>
      <c r="K9" s="74"/>
      <c r="L9" s="74">
        <f t="shared" si="5"/>
        <v>0</v>
      </c>
      <c r="M9" s="74"/>
      <c r="N9" s="73">
        <f t="shared" si="6"/>
        <v>0</v>
      </c>
      <c r="O9" s="74"/>
      <c r="P9" s="73">
        <f t="shared" si="7"/>
        <v>0</v>
      </c>
      <c r="Q9" s="74"/>
      <c r="R9" s="74">
        <f t="shared" si="8"/>
        <v>0</v>
      </c>
      <c r="S9" s="74"/>
      <c r="T9" s="74">
        <f t="shared" si="9"/>
        <v>0</v>
      </c>
      <c r="U9" s="74"/>
      <c r="V9" s="19">
        <f t="shared" si="10"/>
        <v>0</v>
      </c>
      <c r="W9" s="20">
        <f t="shared" si="0"/>
        <v>22512.947500000002</v>
      </c>
    </row>
    <row r="10" spans="1:23" ht="35.25" customHeight="1" x14ac:dyDescent="0.25">
      <c r="A10" s="12">
        <v>1984225580</v>
      </c>
      <c r="B10" s="76" t="s">
        <v>75</v>
      </c>
      <c r="C10" s="74">
        <v>10279</v>
      </c>
      <c r="D10" s="73">
        <f t="shared" si="1"/>
        <v>9996.3274999999994</v>
      </c>
      <c r="E10" s="74"/>
      <c r="F10" s="74">
        <f t="shared" si="2"/>
        <v>0</v>
      </c>
      <c r="G10" s="74"/>
      <c r="H10" s="74">
        <f t="shared" si="3"/>
        <v>0</v>
      </c>
      <c r="I10" s="74"/>
      <c r="J10" s="74">
        <f t="shared" si="4"/>
        <v>0</v>
      </c>
      <c r="K10" s="74"/>
      <c r="L10" s="74">
        <f t="shared" si="5"/>
        <v>0</v>
      </c>
      <c r="M10" s="74"/>
      <c r="N10" s="73">
        <f t="shared" si="6"/>
        <v>0</v>
      </c>
      <c r="O10" s="74"/>
      <c r="P10" s="73">
        <f t="shared" si="7"/>
        <v>0</v>
      </c>
      <c r="Q10" s="74"/>
      <c r="R10" s="74">
        <f t="shared" si="8"/>
        <v>0</v>
      </c>
      <c r="S10" s="74"/>
      <c r="T10" s="74">
        <f t="shared" si="9"/>
        <v>0</v>
      </c>
      <c r="U10" s="74"/>
      <c r="V10" s="19">
        <f t="shared" si="10"/>
        <v>0</v>
      </c>
      <c r="W10" s="20">
        <f>D10+F10+H10+J10+L10+N10+P10+R10+T10+V10</f>
        <v>9996.3274999999994</v>
      </c>
    </row>
    <row r="11" spans="1:23" ht="37.5" customHeight="1" x14ac:dyDescent="0.25">
      <c r="A11" s="12"/>
      <c r="B11" s="75"/>
      <c r="C11" s="74"/>
      <c r="D11" s="22">
        <f t="shared" si="1"/>
        <v>0</v>
      </c>
      <c r="E11" s="74"/>
      <c r="F11" s="74">
        <f t="shared" si="2"/>
        <v>0</v>
      </c>
      <c r="G11" s="74"/>
      <c r="H11" s="74">
        <f t="shared" si="3"/>
        <v>0</v>
      </c>
      <c r="I11" s="74"/>
      <c r="J11" s="74">
        <f t="shared" si="4"/>
        <v>0</v>
      </c>
      <c r="K11" s="74"/>
      <c r="L11" s="74">
        <f t="shared" si="5"/>
        <v>0</v>
      </c>
      <c r="M11" s="74"/>
      <c r="N11" s="73">
        <f t="shared" si="6"/>
        <v>0</v>
      </c>
      <c r="O11" s="74"/>
      <c r="P11" s="73">
        <f t="shared" si="7"/>
        <v>0</v>
      </c>
      <c r="Q11" s="74">
        <v>14</v>
      </c>
      <c r="R11" s="74">
        <f t="shared" si="8"/>
        <v>3374</v>
      </c>
      <c r="S11" s="74"/>
      <c r="T11" s="74">
        <f t="shared" si="9"/>
        <v>0</v>
      </c>
      <c r="U11" s="74"/>
      <c r="V11" s="19">
        <f t="shared" si="10"/>
        <v>0</v>
      </c>
      <c r="W11" s="20">
        <f t="shared" ref="W11" si="11">D11+F11+H11+J11+L11+N11+P11+R11+T11+V11</f>
        <v>3374</v>
      </c>
    </row>
    <row r="12" spans="1:23" ht="29.25" customHeight="1" x14ac:dyDescent="0.25">
      <c r="A12" s="2235" t="s">
        <v>31</v>
      </c>
      <c r="B12" s="2235"/>
      <c r="C12" s="18">
        <f t="shared" ref="C12:W12" si="12">SUM(C6:C11)</f>
        <v>124412</v>
      </c>
      <c r="D12" s="18">
        <f t="shared" si="12"/>
        <v>120990.66999999998</v>
      </c>
      <c r="E12" s="18">
        <f t="shared" si="12"/>
        <v>0</v>
      </c>
      <c r="F12" s="18">
        <f t="shared" si="12"/>
        <v>0</v>
      </c>
      <c r="G12" s="18">
        <f t="shared" si="12"/>
        <v>250</v>
      </c>
      <c r="H12" s="18">
        <f t="shared" si="12"/>
        <v>7050</v>
      </c>
      <c r="I12" s="18">
        <f t="shared" si="12"/>
        <v>3230</v>
      </c>
      <c r="J12" s="18">
        <f t="shared" si="12"/>
        <v>59755</v>
      </c>
      <c r="K12" s="18">
        <f t="shared" si="12"/>
        <v>0</v>
      </c>
      <c r="L12" s="18">
        <f t="shared" si="12"/>
        <v>0</v>
      </c>
      <c r="M12" s="18">
        <f t="shared" si="12"/>
        <v>0</v>
      </c>
      <c r="N12" s="23">
        <f t="shared" si="12"/>
        <v>0</v>
      </c>
      <c r="O12" s="18">
        <f t="shared" si="12"/>
        <v>0</v>
      </c>
      <c r="P12" s="23">
        <f t="shared" si="12"/>
        <v>0</v>
      </c>
      <c r="Q12" s="18">
        <f t="shared" si="12"/>
        <v>14</v>
      </c>
      <c r="R12" s="18">
        <f t="shared" si="12"/>
        <v>3374</v>
      </c>
      <c r="S12" s="18">
        <f t="shared" si="12"/>
        <v>0</v>
      </c>
      <c r="T12" s="18">
        <f t="shared" si="12"/>
        <v>0</v>
      </c>
      <c r="U12" s="18">
        <f t="shared" si="12"/>
        <v>0</v>
      </c>
      <c r="V12" s="18">
        <f t="shared" si="12"/>
        <v>0</v>
      </c>
      <c r="W12" s="18">
        <f t="shared" si="12"/>
        <v>191169.66999999998</v>
      </c>
    </row>
    <row r="14" spans="1:23" ht="32.25" customHeight="1" x14ac:dyDescent="0.25">
      <c r="A14" s="30" t="s">
        <v>32</v>
      </c>
      <c r="B14" s="2236" t="s">
        <v>27</v>
      </c>
      <c r="C14" s="2236"/>
      <c r="D14" s="30" t="s">
        <v>33</v>
      </c>
      <c r="E14" s="30" t="s">
        <v>65</v>
      </c>
      <c r="F14" s="30" t="s">
        <v>34</v>
      </c>
      <c r="G14" s="30" t="s">
        <v>13</v>
      </c>
      <c r="H14" s="31" t="s">
        <v>45</v>
      </c>
      <c r="I14" s="30" t="s">
        <v>17</v>
      </c>
      <c r="J14" s="30" t="s">
        <v>66</v>
      </c>
      <c r="K14" s="30" t="s">
        <v>36</v>
      </c>
      <c r="L14" s="30" t="s">
        <v>37</v>
      </c>
      <c r="M14" s="30" t="s">
        <v>69</v>
      </c>
      <c r="N14" s="30" t="s">
        <v>70</v>
      </c>
      <c r="O14" s="86" t="s">
        <v>99</v>
      </c>
      <c r="P14" s="15"/>
      <c r="R14" s="2235" t="s">
        <v>46</v>
      </c>
      <c r="S14" s="76" t="s">
        <v>54</v>
      </c>
      <c r="T14" s="2260">
        <v>381374</v>
      </c>
      <c r="U14" s="2268"/>
      <c r="V14" s="2261"/>
    </row>
    <row r="15" spans="1:23" ht="22.5" customHeight="1" x14ac:dyDescent="0.25">
      <c r="A15" s="11" t="s">
        <v>38</v>
      </c>
      <c r="B15" s="2260">
        <v>256334</v>
      </c>
      <c r="C15" s="2261"/>
      <c r="D15" s="87">
        <v>0</v>
      </c>
      <c r="E15" s="87">
        <v>280</v>
      </c>
      <c r="F15" s="87">
        <v>5050</v>
      </c>
      <c r="G15" s="87">
        <v>100</v>
      </c>
      <c r="H15" s="87">
        <v>178</v>
      </c>
      <c r="I15" s="87">
        <v>0</v>
      </c>
      <c r="J15" s="87">
        <v>0</v>
      </c>
      <c r="K15" s="87">
        <v>30</v>
      </c>
      <c r="L15" s="87">
        <v>43</v>
      </c>
      <c r="M15" s="87">
        <v>50</v>
      </c>
      <c r="N15" s="87">
        <v>100</v>
      </c>
      <c r="O15" s="87">
        <v>1421</v>
      </c>
      <c r="P15" s="21"/>
      <c r="R15" s="2235"/>
      <c r="S15" s="76" t="s">
        <v>64</v>
      </c>
      <c r="T15" s="2262">
        <v>11871</v>
      </c>
      <c r="U15" s="2262"/>
      <c r="V15" s="2262"/>
    </row>
    <row r="16" spans="1:23" ht="24.75" customHeight="1" x14ac:dyDescent="0.25">
      <c r="A16" s="11" t="s">
        <v>39</v>
      </c>
      <c r="B16" s="2260">
        <v>215000</v>
      </c>
      <c r="C16" s="2261"/>
      <c r="D16" s="87"/>
      <c r="E16" s="87"/>
      <c r="F16" s="87"/>
      <c r="G16" s="87"/>
      <c r="H16" s="87">
        <v>2</v>
      </c>
      <c r="I16" s="87"/>
      <c r="J16" s="87">
        <v>25</v>
      </c>
      <c r="K16" s="87"/>
      <c r="L16" s="87"/>
      <c r="M16" s="87"/>
      <c r="N16" s="87"/>
      <c r="O16" s="87"/>
      <c r="P16" s="21"/>
      <c r="R16" s="2254" t="s">
        <v>55</v>
      </c>
      <c r="S16" s="2254"/>
      <c r="T16" s="2267">
        <f>W12</f>
        <v>191169.66999999998</v>
      </c>
      <c r="U16" s="2267"/>
      <c r="V16" s="2262"/>
    </row>
    <row r="17" spans="1:23" ht="24.75" customHeight="1" x14ac:dyDescent="0.25">
      <c r="A17" s="11" t="s">
        <v>44</v>
      </c>
      <c r="B17" s="2260"/>
      <c r="C17" s="2261"/>
      <c r="D17" s="87"/>
      <c r="E17" s="87"/>
      <c r="F17" s="87"/>
      <c r="G17" s="87"/>
      <c r="H17" s="87"/>
      <c r="I17" s="87"/>
      <c r="J17" s="87"/>
      <c r="K17" s="87"/>
      <c r="L17" s="87"/>
      <c r="M17" s="87"/>
      <c r="N17" s="87"/>
      <c r="O17" s="87"/>
      <c r="P17" s="21"/>
      <c r="R17" s="2254" t="s">
        <v>104</v>
      </c>
      <c r="S17" s="2254"/>
      <c r="T17" s="2262"/>
      <c r="U17" s="2262"/>
      <c r="V17" s="2262"/>
    </row>
    <row r="18" spans="1:23" ht="27" customHeight="1" x14ac:dyDescent="0.25">
      <c r="A18" s="11" t="s">
        <v>40</v>
      </c>
      <c r="B18" s="2264">
        <f>C12</f>
        <v>124412</v>
      </c>
      <c r="C18" s="2261"/>
      <c r="D18" s="88">
        <f>E12</f>
        <v>0</v>
      </c>
      <c r="E18" s="88">
        <f>G12</f>
        <v>250</v>
      </c>
      <c r="F18" s="88">
        <f>I12</f>
        <v>3230</v>
      </c>
      <c r="G18" s="88">
        <f>K12</f>
        <v>0</v>
      </c>
      <c r="H18" s="87">
        <v>25</v>
      </c>
      <c r="I18" s="88">
        <f>S12</f>
        <v>0</v>
      </c>
      <c r="J18" s="87"/>
      <c r="K18" s="88">
        <f>U12</f>
        <v>0</v>
      </c>
      <c r="L18" s="87"/>
      <c r="M18" s="88">
        <f>M12</f>
        <v>0</v>
      </c>
      <c r="N18" s="88"/>
      <c r="O18" s="87">
        <v>16</v>
      </c>
      <c r="P18" s="21"/>
      <c r="R18" s="2254" t="s">
        <v>57</v>
      </c>
      <c r="S18" s="2254"/>
      <c r="T18" s="2262">
        <f>530+10050</f>
        <v>10580</v>
      </c>
      <c r="U18" s="2262"/>
      <c r="V18" s="2262"/>
      <c r="W18" s="2259" t="s">
        <v>112</v>
      </c>
    </row>
    <row r="19" spans="1:23" ht="25.5" customHeight="1" x14ac:dyDescent="0.25">
      <c r="A19" s="11" t="s">
        <v>41</v>
      </c>
      <c r="B19" s="2260">
        <f>B15+B16+B17-B18</f>
        <v>346922</v>
      </c>
      <c r="C19" s="2261"/>
      <c r="D19" s="87">
        <f>D15+D16+D17-D18</f>
        <v>0</v>
      </c>
      <c r="E19" s="87">
        <f t="shared" ref="E19:O19" si="13">E15+E16+E17-E18</f>
        <v>30</v>
      </c>
      <c r="F19" s="87">
        <f t="shared" si="13"/>
        <v>1820</v>
      </c>
      <c r="G19" s="87">
        <f t="shared" si="13"/>
        <v>100</v>
      </c>
      <c r="H19" s="87">
        <f t="shared" si="13"/>
        <v>155</v>
      </c>
      <c r="I19" s="87">
        <f t="shared" si="13"/>
        <v>0</v>
      </c>
      <c r="J19" s="87">
        <f t="shared" si="13"/>
        <v>25</v>
      </c>
      <c r="K19" s="87">
        <f t="shared" si="13"/>
        <v>30</v>
      </c>
      <c r="L19" s="87">
        <f t="shared" si="13"/>
        <v>43</v>
      </c>
      <c r="M19" s="87">
        <f t="shared" si="13"/>
        <v>50</v>
      </c>
      <c r="N19" s="87">
        <f t="shared" si="13"/>
        <v>100</v>
      </c>
      <c r="O19" s="87">
        <f t="shared" si="13"/>
        <v>1405</v>
      </c>
      <c r="P19" s="21"/>
      <c r="R19" s="2256" t="s">
        <v>48</v>
      </c>
      <c r="S19" s="49" t="s">
        <v>58</v>
      </c>
      <c r="T19" s="2262">
        <v>529000</v>
      </c>
      <c r="U19" s="2262"/>
      <c r="V19" s="2262"/>
      <c r="W19" s="2259"/>
    </row>
    <row r="20" spans="1:23" ht="23.25" customHeight="1" x14ac:dyDescent="0.25">
      <c r="A20" s="15"/>
      <c r="B20" s="10"/>
      <c r="C20" s="10"/>
      <c r="D20" s="10"/>
      <c r="E20" s="10"/>
      <c r="F20" s="10"/>
      <c r="G20" s="10"/>
      <c r="H20" s="10"/>
      <c r="I20" s="10"/>
      <c r="J20" s="10"/>
      <c r="K20" s="10"/>
      <c r="L20" s="10"/>
      <c r="M20" s="10"/>
      <c r="N20" s="10"/>
      <c r="O20" s="10"/>
      <c r="P20" s="10"/>
      <c r="R20" s="2257"/>
      <c r="S20" s="49" t="s">
        <v>59</v>
      </c>
      <c r="T20" s="2262"/>
      <c r="U20" s="2262"/>
      <c r="V20" s="2262"/>
      <c r="W20" s="2259"/>
    </row>
    <row r="21" spans="1:23" ht="33.75" customHeight="1" x14ac:dyDescent="0.25">
      <c r="A21" s="15"/>
      <c r="B21" s="10"/>
      <c r="C21" s="10"/>
      <c r="D21" s="10"/>
      <c r="E21" s="10"/>
      <c r="F21" s="10"/>
      <c r="G21" s="10"/>
      <c r="H21" s="10"/>
      <c r="I21" s="10"/>
      <c r="J21" s="10"/>
      <c r="K21" s="10"/>
      <c r="L21" s="10"/>
      <c r="M21" s="10"/>
      <c r="N21" s="10"/>
      <c r="O21" s="10"/>
      <c r="P21" s="10"/>
      <c r="R21" s="2251" t="s">
        <v>83</v>
      </c>
      <c r="S21" s="50" t="s">
        <v>60</v>
      </c>
      <c r="T21" s="2262">
        <v>542540</v>
      </c>
      <c r="U21" s="2262"/>
      <c r="V21" s="2262"/>
      <c r="W21" s="2259"/>
    </row>
    <row r="22" spans="1:23" ht="29.25" customHeight="1" x14ac:dyDescent="0.25">
      <c r="A22" s="10"/>
      <c r="B22" s="2258" t="s">
        <v>49</v>
      </c>
      <c r="C22" s="2265">
        <v>1075893</v>
      </c>
      <c r="D22" s="2262">
        <v>529000</v>
      </c>
      <c r="E22" s="2262">
        <v>261868</v>
      </c>
      <c r="F22" s="2262">
        <f>C22-D22+E22</f>
        <v>808761</v>
      </c>
      <c r="G22" s="10"/>
      <c r="H22" s="10"/>
      <c r="I22" s="10"/>
      <c r="J22" s="10"/>
      <c r="K22" s="10"/>
      <c r="L22" s="10"/>
      <c r="M22" s="10"/>
      <c r="N22" s="10"/>
      <c r="O22" s="10"/>
      <c r="P22" s="10"/>
      <c r="R22" s="2252"/>
      <c r="S22" s="50" t="s">
        <v>61</v>
      </c>
      <c r="T22" s="2262">
        <v>529000</v>
      </c>
      <c r="U22" s="2262"/>
      <c r="V22" s="2262"/>
      <c r="W22" s="2259"/>
    </row>
    <row r="23" spans="1:23" ht="47.25" customHeight="1" x14ac:dyDescent="0.25">
      <c r="A23" s="10"/>
      <c r="B23" s="2258"/>
      <c r="C23" s="2266"/>
      <c r="D23" s="2262"/>
      <c r="E23" s="2262"/>
      <c r="F23" s="2262"/>
      <c r="G23" s="10"/>
      <c r="H23" s="10"/>
      <c r="I23" s="10"/>
      <c r="J23" s="10"/>
      <c r="K23" s="10"/>
      <c r="L23" s="10"/>
      <c r="M23" s="10"/>
      <c r="N23" s="10"/>
      <c r="O23" s="10"/>
      <c r="P23" s="10"/>
      <c r="R23" s="2235" t="s">
        <v>47</v>
      </c>
      <c r="S23" s="51" t="s">
        <v>62</v>
      </c>
      <c r="T23" s="2263">
        <f>T14+T16+T17-T18-T19-T20-T21+T22</f>
        <v>19423.669999999925</v>
      </c>
      <c r="U23" s="2263"/>
      <c r="V23" s="2263"/>
      <c r="W23" s="2259"/>
    </row>
    <row r="24" spans="1:23" ht="27" customHeight="1" x14ac:dyDescent="0.25">
      <c r="B24" s="2258"/>
      <c r="C24" s="76" t="s">
        <v>46</v>
      </c>
      <c r="D24" s="76" t="s">
        <v>50</v>
      </c>
      <c r="E24" s="76" t="s">
        <v>51</v>
      </c>
      <c r="F24" s="76" t="s">
        <v>52</v>
      </c>
      <c r="R24" s="2235"/>
      <c r="S24" s="51" t="s">
        <v>63</v>
      </c>
      <c r="T24" s="2262">
        <f>T15+T21-T22</f>
        <v>25411</v>
      </c>
      <c r="U24" s="2262"/>
      <c r="V24" s="2262"/>
    </row>
  </sheetData>
  <mergeCells count="47">
    <mergeCell ref="A1:W1"/>
    <mergeCell ref="A2:W2"/>
    <mergeCell ref="R3:W3"/>
    <mergeCell ref="A4:A5"/>
    <mergeCell ref="B4:B5"/>
    <mergeCell ref="C4:D4"/>
    <mergeCell ref="E4:F4"/>
    <mergeCell ref="G4:H4"/>
    <mergeCell ref="I4:J4"/>
    <mergeCell ref="K4:L4"/>
    <mergeCell ref="M4:N4"/>
    <mergeCell ref="O4:P4"/>
    <mergeCell ref="Q4:R4"/>
    <mergeCell ref="S4:T4"/>
    <mergeCell ref="U4:V4"/>
    <mergeCell ref="R14:R15"/>
    <mergeCell ref="T14:V14"/>
    <mergeCell ref="B15:C15"/>
    <mergeCell ref="T15:V15"/>
    <mergeCell ref="W4:W5"/>
    <mergeCell ref="D22:D23"/>
    <mergeCell ref="E22:E23"/>
    <mergeCell ref="F22:F23"/>
    <mergeCell ref="A12:B12"/>
    <mergeCell ref="B14:C14"/>
    <mergeCell ref="B16:C16"/>
    <mergeCell ref="R16:S16"/>
    <mergeCell ref="T16:V16"/>
    <mergeCell ref="B17:C17"/>
    <mergeCell ref="R17:S17"/>
    <mergeCell ref="T17:V17"/>
    <mergeCell ref="W18:W23"/>
    <mergeCell ref="B19:C19"/>
    <mergeCell ref="R19:R20"/>
    <mergeCell ref="T19:V19"/>
    <mergeCell ref="T20:V20"/>
    <mergeCell ref="R21:R22"/>
    <mergeCell ref="T21:V21"/>
    <mergeCell ref="T22:V22"/>
    <mergeCell ref="R23:R24"/>
    <mergeCell ref="T23:V23"/>
    <mergeCell ref="T24:V24"/>
    <mergeCell ref="B18:C18"/>
    <mergeCell ref="R18:S18"/>
    <mergeCell ref="T18:V18"/>
    <mergeCell ref="B22:B24"/>
    <mergeCell ref="C22:C23"/>
  </mergeCells>
  <pageMargins left="0.15748031496063" right="0.15748031496063" top="0" bottom="0" header="0" footer="0"/>
  <pageSetup paperSize="9" scale="51" orientation="landscape" r:id="rId1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E00-000000000000}">
  <sheetPr>
    <pageSetUpPr fitToPage="1"/>
  </sheetPr>
  <dimension ref="A1:Y24"/>
  <sheetViews>
    <sheetView topLeftCell="B6" zoomScale="71" zoomScaleNormal="71" zoomScaleSheetLayoutView="100" workbookViewId="0">
      <selection activeCell="V18" sqref="V18:X18"/>
    </sheetView>
  </sheetViews>
  <sheetFormatPr defaultColWidth="9.140625" defaultRowHeight="15" x14ac:dyDescent="0.25"/>
  <cols>
    <col min="1" max="1" width="18.85546875" style="14" customWidth="1"/>
    <col min="2" max="2" width="11.140625" style="14" customWidth="1"/>
    <col min="3" max="3" width="10.28515625" style="14" customWidth="1"/>
    <col min="4" max="4" width="11" style="14" customWidth="1"/>
    <col min="5" max="5" width="12" style="14" customWidth="1"/>
    <col min="6" max="6" width="12.5703125" style="14" bestFit="1" customWidth="1"/>
    <col min="7" max="7" width="9.28515625" style="14" bestFit="1" customWidth="1"/>
    <col min="8" max="8" width="10.140625" style="14" bestFit="1" customWidth="1"/>
    <col min="9" max="9" width="10.5703125" style="14" bestFit="1" customWidth="1"/>
    <col min="10" max="10" width="10.5703125" style="14" customWidth="1"/>
    <col min="11" max="11" width="10.28515625" style="14" bestFit="1" customWidth="1"/>
    <col min="12" max="12" width="9.42578125" style="14" bestFit="1" customWidth="1"/>
    <col min="13" max="13" width="9.85546875" style="14" bestFit="1" customWidth="1"/>
    <col min="14" max="14" width="10.140625" style="14" bestFit="1" customWidth="1"/>
    <col min="15" max="15" width="9" style="14" customWidth="1"/>
    <col min="16" max="16" width="12.85546875" style="14" bestFit="1" customWidth="1"/>
    <col min="17" max="18" width="9.42578125" style="14" customWidth="1"/>
    <col min="19" max="19" width="9.42578125" style="14" bestFit="1" customWidth="1"/>
    <col min="20" max="20" width="12.5703125" style="14" customWidth="1"/>
    <col min="21" max="21" width="16.7109375" style="14" customWidth="1"/>
    <col min="22" max="22" width="9.85546875" style="14" bestFit="1" customWidth="1"/>
    <col min="23" max="23" width="10.140625" style="14" bestFit="1" customWidth="1"/>
    <col min="24" max="24" width="9.85546875" style="14" bestFit="1" customWidth="1"/>
    <col min="25" max="25" width="15" style="14" customWidth="1"/>
    <col min="26" max="16384" width="9.140625" style="14"/>
  </cols>
  <sheetData>
    <row r="1" spans="1:25" ht="46.15" customHeight="1" x14ac:dyDescent="0.25">
      <c r="A1" s="2240" t="s">
        <v>76</v>
      </c>
      <c r="B1" s="2240"/>
      <c r="C1" s="2240"/>
      <c r="D1" s="2240"/>
      <c r="E1" s="2240"/>
      <c r="F1" s="2240"/>
      <c r="G1" s="2240"/>
      <c r="H1" s="2240"/>
      <c r="I1" s="2240"/>
      <c r="J1" s="2240"/>
      <c r="K1" s="2240"/>
      <c r="L1" s="2240"/>
      <c r="M1" s="2240"/>
      <c r="N1" s="2240"/>
      <c r="O1" s="2240"/>
      <c r="P1" s="2240"/>
      <c r="Q1" s="2240"/>
      <c r="R1" s="2240"/>
      <c r="S1" s="2240"/>
      <c r="T1" s="2240"/>
      <c r="U1" s="2240"/>
      <c r="V1" s="2240"/>
      <c r="W1" s="2240"/>
      <c r="X1" s="2240"/>
      <c r="Y1" s="2240"/>
    </row>
    <row r="2" spans="1:25" ht="21.6" customHeight="1" x14ac:dyDescent="0.25">
      <c r="A2" s="2241" t="s">
        <v>77</v>
      </c>
      <c r="B2" s="2241"/>
      <c r="C2" s="2241"/>
      <c r="D2" s="2241"/>
      <c r="E2" s="2241"/>
      <c r="F2" s="2241"/>
      <c r="G2" s="2241"/>
      <c r="H2" s="2241"/>
      <c r="I2" s="2241"/>
      <c r="J2" s="2241"/>
      <c r="K2" s="2241"/>
      <c r="L2" s="2241"/>
      <c r="M2" s="2241"/>
      <c r="N2" s="2241"/>
      <c r="O2" s="2241"/>
      <c r="P2" s="2241"/>
      <c r="Q2" s="2241"/>
      <c r="R2" s="2241"/>
      <c r="S2" s="2241"/>
      <c r="T2" s="2241"/>
      <c r="U2" s="2241"/>
      <c r="V2" s="2241"/>
      <c r="W2" s="2241"/>
      <c r="X2" s="2241"/>
      <c r="Y2" s="2241"/>
    </row>
    <row r="3" spans="1:25" ht="21" customHeight="1" x14ac:dyDescent="0.25">
      <c r="A3" s="78"/>
      <c r="B3" s="78"/>
      <c r="C3" s="78"/>
      <c r="D3" s="78"/>
      <c r="E3" s="78"/>
      <c r="F3" s="78"/>
      <c r="G3" s="78"/>
      <c r="H3" s="78"/>
      <c r="I3" s="78"/>
      <c r="J3" s="78"/>
      <c r="K3" s="78"/>
      <c r="L3" s="78"/>
      <c r="M3" s="78"/>
      <c r="N3" s="78"/>
      <c r="O3" s="78"/>
      <c r="P3" s="78"/>
      <c r="Q3" s="78"/>
      <c r="R3" s="78"/>
      <c r="S3" s="78"/>
      <c r="T3" s="2242" t="s">
        <v>113</v>
      </c>
      <c r="U3" s="2242"/>
      <c r="V3" s="2242"/>
      <c r="W3" s="2242"/>
      <c r="X3" s="2242"/>
      <c r="Y3" s="2242"/>
    </row>
    <row r="4" spans="1:25" s="78" customFormat="1" ht="18" customHeight="1" x14ac:dyDescent="0.25">
      <c r="A4" s="2243" t="s">
        <v>25</v>
      </c>
      <c r="B4" s="2243" t="s">
        <v>26</v>
      </c>
      <c r="C4" s="2244" t="s">
        <v>27</v>
      </c>
      <c r="D4" s="2244"/>
      <c r="E4" s="2244" t="s">
        <v>28</v>
      </c>
      <c r="F4" s="2244"/>
      <c r="G4" s="2244" t="s">
        <v>65</v>
      </c>
      <c r="H4" s="2244"/>
      <c r="I4" s="2244" t="s">
        <v>29</v>
      </c>
      <c r="J4" s="2244"/>
      <c r="K4" s="2245" t="s">
        <v>13</v>
      </c>
      <c r="L4" s="2246"/>
      <c r="M4" s="2245" t="s">
        <v>67</v>
      </c>
      <c r="N4" s="2246"/>
      <c r="O4" s="2245" t="s">
        <v>68</v>
      </c>
      <c r="P4" s="2246"/>
      <c r="Q4" s="2245" t="s">
        <v>114</v>
      </c>
      <c r="R4" s="2246"/>
      <c r="S4" s="2244" t="s">
        <v>35</v>
      </c>
      <c r="T4" s="2244"/>
      <c r="U4" s="2245" t="s">
        <v>17</v>
      </c>
      <c r="V4" s="2246"/>
      <c r="W4" s="2247" t="s">
        <v>36</v>
      </c>
      <c r="X4" s="2248"/>
      <c r="Y4" s="2238" t="s">
        <v>30</v>
      </c>
    </row>
    <row r="5" spans="1:25" s="78" customFormat="1" ht="25.5" customHeight="1" x14ac:dyDescent="0.25">
      <c r="A5" s="2243"/>
      <c r="B5" s="2243"/>
      <c r="C5" s="77" t="s">
        <v>42</v>
      </c>
      <c r="D5" s="77" t="s">
        <v>43</v>
      </c>
      <c r="E5" s="77" t="s">
        <v>42</v>
      </c>
      <c r="F5" s="77" t="s">
        <v>43</v>
      </c>
      <c r="G5" s="77" t="s">
        <v>42</v>
      </c>
      <c r="H5" s="77" t="s">
        <v>43</v>
      </c>
      <c r="I5" s="77" t="s">
        <v>42</v>
      </c>
      <c r="J5" s="77" t="s">
        <v>43</v>
      </c>
      <c r="K5" s="77" t="s">
        <v>42</v>
      </c>
      <c r="L5" s="77" t="s">
        <v>43</v>
      </c>
      <c r="M5" s="77" t="s">
        <v>42</v>
      </c>
      <c r="N5" s="77" t="s">
        <v>43</v>
      </c>
      <c r="O5" s="77" t="s">
        <v>42</v>
      </c>
      <c r="P5" s="77" t="s">
        <v>43</v>
      </c>
      <c r="Q5" s="77" t="s">
        <v>42</v>
      </c>
      <c r="R5" s="77" t="s">
        <v>43</v>
      </c>
      <c r="S5" s="33" t="s">
        <v>42</v>
      </c>
      <c r="T5" s="33" t="s">
        <v>43</v>
      </c>
      <c r="U5" s="30" t="s">
        <v>42</v>
      </c>
      <c r="V5" s="30" t="s">
        <v>43</v>
      </c>
      <c r="W5" s="30" t="s">
        <v>42</v>
      </c>
      <c r="X5" s="30" t="s">
        <v>43</v>
      </c>
      <c r="Y5" s="2239"/>
    </row>
    <row r="6" spans="1:25" ht="34.5" customHeight="1" x14ac:dyDescent="0.25">
      <c r="A6" s="12">
        <v>1409935200</v>
      </c>
      <c r="B6" s="76" t="s">
        <v>71</v>
      </c>
      <c r="C6" s="74">
        <v>64608</v>
      </c>
      <c r="D6" s="73">
        <f>0.9725*C6</f>
        <v>62831.28</v>
      </c>
      <c r="E6" s="74"/>
      <c r="F6" s="74">
        <f>13.7*E6</f>
        <v>0</v>
      </c>
      <c r="G6" s="74"/>
      <c r="H6" s="74">
        <f>28.2*G6</f>
        <v>0</v>
      </c>
      <c r="I6" s="74">
        <v>320</v>
      </c>
      <c r="J6" s="74">
        <f>18.5*I6</f>
        <v>5920</v>
      </c>
      <c r="K6" s="74"/>
      <c r="L6" s="74">
        <f>19.5*K6</f>
        <v>0</v>
      </c>
      <c r="M6" s="74"/>
      <c r="N6" s="73">
        <f>M6*9.75</f>
        <v>0</v>
      </c>
      <c r="O6" s="74"/>
      <c r="P6" s="73">
        <f>O6*48.62</f>
        <v>0</v>
      </c>
      <c r="Q6" s="73"/>
      <c r="R6" s="73">
        <f>241*Q6</f>
        <v>0</v>
      </c>
      <c r="S6" s="74">
        <v>5</v>
      </c>
      <c r="T6" s="74">
        <f>241*S6</f>
        <v>1205</v>
      </c>
      <c r="U6" s="74"/>
      <c r="V6" s="74">
        <f>232*U6</f>
        <v>0</v>
      </c>
      <c r="W6" s="74"/>
      <c r="X6" s="19">
        <f>W6*100</f>
        <v>0</v>
      </c>
      <c r="Y6" s="89">
        <f t="shared" ref="Y6:Y11" si="0">D6+F6+H6+J6+L6+N6+P6+R6+T6+V6+X6</f>
        <v>69956.28</v>
      </c>
    </row>
    <row r="7" spans="1:25" ht="31.5" customHeight="1" x14ac:dyDescent="0.25">
      <c r="A7" s="12">
        <v>1984225578</v>
      </c>
      <c r="B7" s="76" t="s">
        <v>72</v>
      </c>
      <c r="C7" s="74">
        <v>28404</v>
      </c>
      <c r="D7" s="73">
        <f t="shared" ref="D7:D11" si="1">0.9725*C7</f>
        <v>27622.89</v>
      </c>
      <c r="E7" s="74"/>
      <c r="F7" s="74">
        <f t="shared" ref="F7:F11" si="2">13.7*E7</f>
        <v>0</v>
      </c>
      <c r="G7" s="74">
        <v>70</v>
      </c>
      <c r="H7" s="74">
        <f t="shared" ref="H7:H11" si="3">28.2*G7</f>
        <v>1974</v>
      </c>
      <c r="I7" s="74">
        <v>400</v>
      </c>
      <c r="J7" s="74">
        <f t="shared" ref="J7:J11" si="4">18.5*I7</f>
        <v>7400</v>
      </c>
      <c r="K7" s="74"/>
      <c r="L7" s="74">
        <f t="shared" ref="L7:L11" si="5">19.5*K7</f>
        <v>0</v>
      </c>
      <c r="M7" s="74"/>
      <c r="N7" s="73">
        <f t="shared" ref="N7:N11" si="6">M7*9.75</f>
        <v>0</v>
      </c>
      <c r="O7" s="74"/>
      <c r="P7" s="73">
        <f t="shared" ref="P7:P11" si="7">O7*48.62</f>
        <v>0</v>
      </c>
      <c r="Q7" s="73"/>
      <c r="R7" s="73">
        <f t="shared" ref="R7:R11" si="8">241*Q7</f>
        <v>0</v>
      </c>
      <c r="S7" s="74">
        <v>11</v>
      </c>
      <c r="T7" s="74">
        <f t="shared" ref="T7:T11" si="9">241*S7</f>
        <v>2651</v>
      </c>
      <c r="U7" s="74"/>
      <c r="V7" s="74">
        <f t="shared" ref="V7:V11" si="10">232*U7</f>
        <v>0</v>
      </c>
      <c r="W7" s="74"/>
      <c r="X7" s="19">
        <f t="shared" ref="X7:X11" si="11">W7*100</f>
        <v>0</v>
      </c>
      <c r="Y7" s="89">
        <f t="shared" si="0"/>
        <v>39647.89</v>
      </c>
    </row>
    <row r="8" spans="1:25" ht="35.25" customHeight="1" x14ac:dyDescent="0.25">
      <c r="A8" s="12">
        <v>1967020280</v>
      </c>
      <c r="B8" s="76" t="s">
        <v>73</v>
      </c>
      <c r="C8" s="74">
        <v>20172</v>
      </c>
      <c r="D8" s="73">
        <f t="shared" si="1"/>
        <v>19617.27</v>
      </c>
      <c r="E8" s="74"/>
      <c r="F8" s="74">
        <f t="shared" si="2"/>
        <v>0</v>
      </c>
      <c r="G8" s="74"/>
      <c r="H8" s="74">
        <f t="shared" si="3"/>
        <v>0</v>
      </c>
      <c r="I8" s="74"/>
      <c r="J8" s="74">
        <f t="shared" si="4"/>
        <v>0</v>
      </c>
      <c r="K8" s="74"/>
      <c r="L8" s="74">
        <f t="shared" si="5"/>
        <v>0</v>
      </c>
      <c r="M8" s="74"/>
      <c r="N8" s="73">
        <f t="shared" si="6"/>
        <v>0</v>
      </c>
      <c r="O8" s="74"/>
      <c r="P8" s="73">
        <f t="shared" si="7"/>
        <v>0</v>
      </c>
      <c r="Q8" s="73"/>
      <c r="R8" s="73">
        <f t="shared" si="8"/>
        <v>0</v>
      </c>
      <c r="S8" s="74"/>
      <c r="T8" s="74">
        <f t="shared" si="9"/>
        <v>0</v>
      </c>
      <c r="U8" s="74"/>
      <c r="V8" s="74">
        <f t="shared" si="10"/>
        <v>0</v>
      </c>
      <c r="W8" s="74"/>
      <c r="X8" s="19">
        <f t="shared" si="11"/>
        <v>0</v>
      </c>
      <c r="Y8" s="89">
        <f t="shared" si="0"/>
        <v>19617.27</v>
      </c>
    </row>
    <row r="9" spans="1:25" ht="38.25" customHeight="1" x14ac:dyDescent="0.25">
      <c r="A9" s="12">
        <v>1409935199</v>
      </c>
      <c r="B9" s="76" t="s">
        <v>74</v>
      </c>
      <c r="C9" s="74">
        <v>114793</v>
      </c>
      <c r="D9" s="73">
        <f t="shared" si="1"/>
        <v>111636.1925</v>
      </c>
      <c r="E9" s="74"/>
      <c r="F9" s="74">
        <f t="shared" si="2"/>
        <v>0</v>
      </c>
      <c r="G9" s="74"/>
      <c r="H9" s="74">
        <f t="shared" si="3"/>
        <v>0</v>
      </c>
      <c r="I9" s="74">
        <v>130</v>
      </c>
      <c r="J9" s="74">
        <f t="shared" si="4"/>
        <v>2405</v>
      </c>
      <c r="K9" s="74"/>
      <c r="L9" s="74">
        <f t="shared" si="5"/>
        <v>0</v>
      </c>
      <c r="M9" s="74"/>
      <c r="N9" s="73">
        <f t="shared" si="6"/>
        <v>0</v>
      </c>
      <c r="O9" s="74"/>
      <c r="P9" s="73">
        <f t="shared" si="7"/>
        <v>0</v>
      </c>
      <c r="Q9" s="73"/>
      <c r="R9" s="73">
        <f t="shared" si="8"/>
        <v>0</v>
      </c>
      <c r="S9" s="74"/>
      <c r="T9" s="74">
        <f t="shared" si="9"/>
        <v>0</v>
      </c>
      <c r="U9" s="74"/>
      <c r="V9" s="74">
        <f t="shared" si="10"/>
        <v>0</v>
      </c>
      <c r="W9" s="74"/>
      <c r="X9" s="19">
        <f t="shared" si="11"/>
        <v>0</v>
      </c>
      <c r="Y9" s="89">
        <f t="shared" si="0"/>
        <v>114041.1925</v>
      </c>
    </row>
    <row r="10" spans="1:25" ht="35.25" customHeight="1" x14ac:dyDescent="0.25">
      <c r="A10" s="12">
        <v>1984225580</v>
      </c>
      <c r="B10" s="76" t="s">
        <v>75</v>
      </c>
      <c r="C10" s="74">
        <v>133072</v>
      </c>
      <c r="D10" s="73">
        <f t="shared" si="1"/>
        <v>129412.52</v>
      </c>
      <c r="E10" s="74"/>
      <c r="F10" s="74">
        <f t="shared" si="2"/>
        <v>0</v>
      </c>
      <c r="G10" s="74"/>
      <c r="H10" s="74">
        <f t="shared" si="3"/>
        <v>0</v>
      </c>
      <c r="I10" s="74">
        <v>290</v>
      </c>
      <c r="J10" s="74">
        <f t="shared" si="4"/>
        <v>5365</v>
      </c>
      <c r="K10" s="74"/>
      <c r="L10" s="74">
        <f t="shared" si="5"/>
        <v>0</v>
      </c>
      <c r="M10" s="74"/>
      <c r="N10" s="73">
        <f t="shared" si="6"/>
        <v>0</v>
      </c>
      <c r="O10" s="74"/>
      <c r="P10" s="73">
        <f t="shared" si="7"/>
        <v>0</v>
      </c>
      <c r="Q10" s="73"/>
      <c r="R10" s="73">
        <f t="shared" si="8"/>
        <v>0</v>
      </c>
      <c r="S10" s="74"/>
      <c r="T10" s="74">
        <f t="shared" si="9"/>
        <v>0</v>
      </c>
      <c r="U10" s="74"/>
      <c r="V10" s="74">
        <f t="shared" si="10"/>
        <v>0</v>
      </c>
      <c r="W10" s="74"/>
      <c r="X10" s="19">
        <f t="shared" si="11"/>
        <v>0</v>
      </c>
      <c r="Y10" s="89">
        <f t="shared" si="0"/>
        <v>134777.52000000002</v>
      </c>
    </row>
    <row r="11" spans="1:25" ht="37.5" customHeight="1" x14ac:dyDescent="0.25">
      <c r="A11" s="12"/>
      <c r="B11" s="75"/>
      <c r="C11" s="74"/>
      <c r="D11" s="22">
        <f t="shared" si="1"/>
        <v>0</v>
      </c>
      <c r="E11" s="74"/>
      <c r="F11" s="74">
        <f t="shared" si="2"/>
        <v>0</v>
      </c>
      <c r="G11" s="74"/>
      <c r="H11" s="74">
        <f t="shared" si="3"/>
        <v>0</v>
      </c>
      <c r="I11" s="74"/>
      <c r="J11" s="74">
        <f t="shared" si="4"/>
        <v>0</v>
      </c>
      <c r="K11" s="74"/>
      <c r="L11" s="74">
        <f t="shared" si="5"/>
        <v>0</v>
      </c>
      <c r="M11" s="74"/>
      <c r="N11" s="73">
        <f t="shared" si="6"/>
        <v>0</v>
      </c>
      <c r="O11" s="74"/>
      <c r="P11" s="73">
        <f t="shared" si="7"/>
        <v>0</v>
      </c>
      <c r="Q11" s="73">
        <v>10</v>
      </c>
      <c r="R11" s="73">
        <f t="shared" si="8"/>
        <v>2410</v>
      </c>
      <c r="S11" s="74">
        <v>30</v>
      </c>
      <c r="T11" s="74">
        <f t="shared" si="9"/>
        <v>7230</v>
      </c>
      <c r="U11" s="74">
        <v>15</v>
      </c>
      <c r="V11" s="74">
        <f t="shared" si="10"/>
        <v>3480</v>
      </c>
      <c r="W11" s="74"/>
      <c r="X11" s="19">
        <f t="shared" si="11"/>
        <v>0</v>
      </c>
      <c r="Y11" s="20">
        <f t="shared" si="0"/>
        <v>13120</v>
      </c>
    </row>
    <row r="12" spans="1:25" ht="29.25" customHeight="1" x14ac:dyDescent="0.25">
      <c r="A12" s="2235" t="s">
        <v>31</v>
      </c>
      <c r="B12" s="2235"/>
      <c r="C12" s="18">
        <f t="shared" ref="C12:Y12" si="12">SUM(C6:C11)</f>
        <v>361049</v>
      </c>
      <c r="D12" s="18">
        <f t="shared" si="12"/>
        <v>351120.15250000003</v>
      </c>
      <c r="E12" s="18">
        <f t="shared" si="12"/>
        <v>0</v>
      </c>
      <c r="F12" s="18">
        <f t="shared" si="12"/>
        <v>0</v>
      </c>
      <c r="G12" s="18">
        <f t="shared" si="12"/>
        <v>70</v>
      </c>
      <c r="H12" s="18">
        <f t="shared" si="12"/>
        <v>1974</v>
      </c>
      <c r="I12" s="18">
        <f t="shared" si="12"/>
        <v>1140</v>
      </c>
      <c r="J12" s="18">
        <f t="shared" si="12"/>
        <v>21090</v>
      </c>
      <c r="K12" s="18">
        <f t="shared" si="12"/>
        <v>0</v>
      </c>
      <c r="L12" s="18">
        <f t="shared" si="12"/>
        <v>0</v>
      </c>
      <c r="M12" s="18">
        <f t="shared" si="12"/>
        <v>0</v>
      </c>
      <c r="N12" s="23">
        <f t="shared" si="12"/>
        <v>0</v>
      </c>
      <c r="O12" s="18">
        <f t="shared" si="12"/>
        <v>0</v>
      </c>
      <c r="P12" s="23">
        <f t="shared" si="12"/>
        <v>0</v>
      </c>
      <c r="Q12" s="23">
        <f>SUM(Q6:Q11)</f>
        <v>10</v>
      </c>
      <c r="R12" s="23">
        <f>SUM(R6:R11)</f>
        <v>2410</v>
      </c>
      <c r="S12" s="18">
        <f t="shared" si="12"/>
        <v>46</v>
      </c>
      <c r="T12" s="18">
        <f t="shared" si="12"/>
        <v>11086</v>
      </c>
      <c r="U12" s="18">
        <f t="shared" si="12"/>
        <v>15</v>
      </c>
      <c r="V12" s="18">
        <f t="shared" si="12"/>
        <v>3480</v>
      </c>
      <c r="W12" s="18">
        <f t="shared" si="12"/>
        <v>0</v>
      </c>
      <c r="X12" s="18">
        <f t="shared" si="12"/>
        <v>0</v>
      </c>
      <c r="Y12" s="18">
        <f t="shared" si="12"/>
        <v>391160.15250000003</v>
      </c>
    </row>
    <row r="14" spans="1:25" ht="32.25" customHeight="1" x14ac:dyDescent="0.25">
      <c r="A14" s="30" t="s">
        <v>32</v>
      </c>
      <c r="B14" s="2236" t="s">
        <v>27</v>
      </c>
      <c r="C14" s="2236"/>
      <c r="D14" s="30" t="s">
        <v>33</v>
      </c>
      <c r="E14" s="30" t="s">
        <v>65</v>
      </c>
      <c r="F14" s="30" t="s">
        <v>34</v>
      </c>
      <c r="G14" s="30" t="s">
        <v>13</v>
      </c>
      <c r="H14" s="31" t="s">
        <v>45</v>
      </c>
      <c r="I14" s="30" t="s">
        <v>17</v>
      </c>
      <c r="J14" s="30" t="s">
        <v>66</v>
      </c>
      <c r="K14" s="30" t="s">
        <v>36</v>
      </c>
      <c r="L14" s="30" t="s">
        <v>37</v>
      </c>
      <c r="M14" s="30" t="s">
        <v>69</v>
      </c>
      <c r="N14" s="30" t="s">
        <v>70</v>
      </c>
      <c r="O14" s="86" t="s">
        <v>114</v>
      </c>
      <c r="P14" s="86" t="s">
        <v>99</v>
      </c>
      <c r="Q14" s="15"/>
      <c r="R14" s="15"/>
      <c r="T14" s="2235" t="s">
        <v>46</v>
      </c>
      <c r="U14" s="76" t="s">
        <v>54</v>
      </c>
      <c r="V14" s="2260">
        <v>19424</v>
      </c>
      <c r="W14" s="2268"/>
      <c r="X14" s="2261"/>
    </row>
    <row r="15" spans="1:25" ht="22.5" customHeight="1" x14ac:dyDescent="0.25">
      <c r="A15" s="11" t="s">
        <v>38</v>
      </c>
      <c r="B15" s="2260">
        <v>346922</v>
      </c>
      <c r="C15" s="2261"/>
      <c r="D15" s="87">
        <v>0</v>
      </c>
      <c r="E15" s="87">
        <v>280</v>
      </c>
      <c r="F15" s="87">
        <v>5050</v>
      </c>
      <c r="G15" s="87">
        <v>100</v>
      </c>
      <c r="H15" s="87">
        <v>155</v>
      </c>
      <c r="I15" s="87">
        <v>0</v>
      </c>
      <c r="J15" s="87">
        <v>25</v>
      </c>
      <c r="K15" s="87">
        <v>30</v>
      </c>
      <c r="L15" s="87">
        <v>43</v>
      </c>
      <c r="M15" s="87">
        <v>50</v>
      </c>
      <c r="N15" s="87">
        <v>100</v>
      </c>
      <c r="O15" s="87"/>
      <c r="P15" s="87">
        <v>1405</v>
      </c>
      <c r="Q15" s="21"/>
      <c r="R15" s="21"/>
      <c r="T15" s="2235"/>
      <c r="U15" s="76" t="s">
        <v>64</v>
      </c>
      <c r="V15" s="2262">
        <v>25411</v>
      </c>
      <c r="W15" s="2262"/>
      <c r="X15" s="2262"/>
    </row>
    <row r="16" spans="1:25" ht="24.75" customHeight="1" x14ac:dyDescent="0.25">
      <c r="A16" s="11" t="s">
        <v>39</v>
      </c>
      <c r="B16" s="2260">
        <v>290000</v>
      </c>
      <c r="C16" s="2261"/>
      <c r="D16" s="87"/>
      <c r="E16" s="87"/>
      <c r="F16" s="87"/>
      <c r="G16" s="87"/>
      <c r="H16" s="87">
        <v>3</v>
      </c>
      <c r="I16" s="87">
        <v>50</v>
      </c>
      <c r="J16" s="87"/>
      <c r="K16" s="87"/>
      <c r="L16" s="87">
        <v>15</v>
      </c>
      <c r="M16" s="87"/>
      <c r="N16" s="87"/>
      <c r="O16" s="87">
        <v>25</v>
      </c>
      <c r="P16" s="87"/>
      <c r="Q16" s="21"/>
      <c r="R16" s="21"/>
      <c r="T16" s="2254" t="s">
        <v>55</v>
      </c>
      <c r="U16" s="2254"/>
      <c r="V16" s="2267">
        <f>Y12</f>
        <v>391160.15250000003</v>
      </c>
      <c r="W16" s="2267"/>
      <c r="X16" s="2262"/>
    </row>
    <row r="17" spans="1:25" ht="33" customHeight="1" x14ac:dyDescent="0.25">
      <c r="A17" s="85" t="s">
        <v>44</v>
      </c>
      <c r="B17" s="2260"/>
      <c r="C17" s="2261"/>
      <c r="D17" s="87"/>
      <c r="E17" s="87"/>
      <c r="F17" s="87"/>
      <c r="G17" s="87"/>
      <c r="H17" s="87"/>
      <c r="I17" s="87"/>
      <c r="J17" s="87"/>
      <c r="K17" s="87"/>
      <c r="L17" s="87"/>
      <c r="M17" s="87"/>
      <c r="N17" s="87"/>
      <c r="O17" s="87"/>
      <c r="P17" s="87"/>
      <c r="Q17" s="21"/>
      <c r="R17" s="21"/>
      <c r="T17" s="2254" t="s">
        <v>104</v>
      </c>
      <c r="U17" s="2254"/>
      <c r="V17" s="2262"/>
      <c r="W17" s="2262"/>
      <c r="X17" s="2262"/>
    </row>
    <row r="18" spans="1:25" ht="27" customHeight="1" x14ac:dyDescent="0.25">
      <c r="A18" s="11" t="s">
        <v>40</v>
      </c>
      <c r="B18" s="2264">
        <f>C12</f>
        <v>361049</v>
      </c>
      <c r="C18" s="2261"/>
      <c r="D18" s="88">
        <f>E12</f>
        <v>0</v>
      </c>
      <c r="E18" s="88">
        <f>G12</f>
        <v>70</v>
      </c>
      <c r="F18" s="88">
        <f>I12</f>
        <v>1140</v>
      </c>
      <c r="G18" s="88">
        <f>K12</f>
        <v>0</v>
      </c>
      <c r="H18" s="87">
        <v>56</v>
      </c>
      <c r="I18" s="88">
        <f>U12</f>
        <v>15</v>
      </c>
      <c r="J18" s="87"/>
      <c r="K18" s="88">
        <f>W12</f>
        <v>0</v>
      </c>
      <c r="L18" s="87"/>
      <c r="M18" s="88">
        <f>M12</f>
        <v>0</v>
      </c>
      <c r="N18" s="88"/>
      <c r="O18" s="87">
        <v>10</v>
      </c>
      <c r="P18" s="87">
        <v>8</v>
      </c>
      <c r="Q18" s="21"/>
      <c r="R18" s="21"/>
      <c r="T18" s="2254" t="s">
        <v>57</v>
      </c>
      <c r="U18" s="2254"/>
      <c r="V18" s="2262">
        <f>530+2288</f>
        <v>2818</v>
      </c>
      <c r="W18" s="2262"/>
      <c r="X18" s="2262"/>
      <c r="Y18" s="2259" t="s">
        <v>115</v>
      </c>
    </row>
    <row r="19" spans="1:25" ht="25.5" customHeight="1" x14ac:dyDescent="0.25">
      <c r="A19" s="11" t="s">
        <v>41</v>
      </c>
      <c r="B19" s="2260">
        <f>B15+B16+B17-B18</f>
        <v>275873</v>
      </c>
      <c r="C19" s="2261"/>
      <c r="D19" s="87">
        <f>D15+D16+D17-D18</f>
        <v>0</v>
      </c>
      <c r="E19" s="87">
        <f t="shared" ref="E19:N19" si="13">E15+E16+E17-E18</f>
        <v>210</v>
      </c>
      <c r="F19" s="87">
        <f t="shared" si="13"/>
        <v>3910</v>
      </c>
      <c r="G19" s="87">
        <f t="shared" si="13"/>
        <v>100</v>
      </c>
      <c r="H19" s="87">
        <f t="shared" si="13"/>
        <v>102</v>
      </c>
      <c r="I19" s="87">
        <f t="shared" si="13"/>
        <v>35</v>
      </c>
      <c r="J19" s="87">
        <f t="shared" si="13"/>
        <v>25</v>
      </c>
      <c r="K19" s="87">
        <f t="shared" si="13"/>
        <v>30</v>
      </c>
      <c r="L19" s="87">
        <f t="shared" si="13"/>
        <v>58</v>
      </c>
      <c r="M19" s="87">
        <f t="shared" si="13"/>
        <v>50</v>
      </c>
      <c r="N19" s="87">
        <f t="shared" si="13"/>
        <v>100</v>
      </c>
      <c r="O19" s="87">
        <f>O15+O16+O17-O18</f>
        <v>15</v>
      </c>
      <c r="P19" s="87">
        <f>P15+P16+P17-P18</f>
        <v>1397</v>
      </c>
      <c r="Q19" s="21"/>
      <c r="R19" s="21"/>
      <c r="T19" s="2256" t="s">
        <v>48</v>
      </c>
      <c r="U19" s="49" t="s">
        <v>58</v>
      </c>
      <c r="V19" s="2262">
        <v>392740</v>
      </c>
      <c r="W19" s="2262"/>
      <c r="X19" s="2262"/>
      <c r="Y19" s="2259"/>
    </row>
    <row r="20" spans="1:25" ht="23.25" customHeight="1" x14ac:dyDescent="0.25">
      <c r="A20" s="15"/>
      <c r="B20" s="10"/>
      <c r="C20" s="10"/>
      <c r="D20" s="10"/>
      <c r="E20" s="10"/>
      <c r="F20" s="10"/>
      <c r="G20" s="10"/>
      <c r="H20" s="10"/>
      <c r="I20" s="10"/>
      <c r="J20" s="10"/>
      <c r="K20" s="10"/>
      <c r="L20" s="10"/>
      <c r="M20" s="10"/>
      <c r="N20" s="10"/>
      <c r="O20" s="10"/>
      <c r="P20" s="10"/>
      <c r="Q20" s="10"/>
      <c r="R20" s="10"/>
      <c r="T20" s="2257"/>
      <c r="U20" s="49" t="s">
        <v>59</v>
      </c>
      <c r="V20" s="2262"/>
      <c r="W20" s="2262"/>
      <c r="X20" s="2262"/>
      <c r="Y20" s="2259"/>
    </row>
    <row r="21" spans="1:25" ht="33.75" customHeight="1" x14ac:dyDescent="0.25">
      <c r="A21" s="15"/>
      <c r="B21" s="10"/>
      <c r="C21" s="10"/>
      <c r="D21" s="10"/>
      <c r="E21" s="10"/>
      <c r="F21" s="10"/>
      <c r="G21" s="10"/>
      <c r="H21" s="10"/>
      <c r="I21" s="10"/>
      <c r="J21" s="10"/>
      <c r="K21" s="10"/>
      <c r="L21" s="10"/>
      <c r="M21" s="10"/>
      <c r="N21" s="10"/>
      <c r="O21" s="10"/>
      <c r="P21" s="10"/>
      <c r="Q21" s="10"/>
      <c r="R21" s="10"/>
      <c r="T21" s="2251" t="s">
        <v>83</v>
      </c>
      <c r="U21" s="50" t="s">
        <v>60</v>
      </c>
      <c r="V21" s="2262">
        <v>379740</v>
      </c>
      <c r="W21" s="2262"/>
      <c r="X21" s="2262"/>
      <c r="Y21" s="2259"/>
    </row>
    <row r="22" spans="1:25" ht="29.25" customHeight="1" x14ac:dyDescent="0.25">
      <c r="A22" s="10"/>
      <c r="B22" s="2258" t="s">
        <v>49</v>
      </c>
      <c r="C22" s="2265">
        <v>808761</v>
      </c>
      <c r="D22" s="2262">
        <v>392740</v>
      </c>
      <c r="E22" s="2262">
        <v>296300</v>
      </c>
      <c r="F22" s="2262">
        <f>C22-D22+E22</f>
        <v>712321</v>
      </c>
      <c r="G22" s="10"/>
      <c r="H22" s="10"/>
      <c r="I22" s="10"/>
      <c r="J22" s="10"/>
      <c r="K22" s="10"/>
      <c r="L22" s="10"/>
      <c r="M22" s="10"/>
      <c r="N22" s="10"/>
      <c r="O22" s="10"/>
      <c r="P22" s="10"/>
      <c r="Q22" s="10"/>
      <c r="R22" s="10"/>
      <c r="T22" s="2252"/>
      <c r="U22" s="50" t="s">
        <v>61</v>
      </c>
      <c r="V22" s="2262">
        <v>392740</v>
      </c>
      <c r="W22" s="2262"/>
      <c r="X22" s="2262"/>
      <c r="Y22" s="2259"/>
    </row>
    <row r="23" spans="1:25" ht="47.25" customHeight="1" x14ac:dyDescent="0.25">
      <c r="A23" s="10"/>
      <c r="B23" s="2258"/>
      <c r="C23" s="2266"/>
      <c r="D23" s="2262"/>
      <c r="E23" s="2262"/>
      <c r="F23" s="2262"/>
      <c r="G23" s="10"/>
      <c r="H23" s="10"/>
      <c r="I23" s="10"/>
      <c r="J23" s="10"/>
      <c r="K23" s="10"/>
      <c r="L23" s="10"/>
      <c r="M23" s="10"/>
      <c r="N23" s="10"/>
      <c r="O23" s="10"/>
      <c r="P23" s="10"/>
      <c r="Q23" s="10"/>
      <c r="R23" s="10"/>
      <c r="T23" s="2235" t="s">
        <v>47</v>
      </c>
      <c r="U23" s="51" t="s">
        <v>62</v>
      </c>
      <c r="V23" s="2263">
        <f>V14+V16+V17-V18-V19-V20-V21+V22</f>
        <v>28026.152500000026</v>
      </c>
      <c r="W23" s="2263"/>
      <c r="X23" s="2263"/>
      <c r="Y23" s="2259"/>
    </row>
    <row r="24" spans="1:25" ht="27" customHeight="1" x14ac:dyDescent="0.25">
      <c r="B24" s="2258"/>
      <c r="C24" s="76" t="s">
        <v>46</v>
      </c>
      <c r="D24" s="76" t="s">
        <v>50</v>
      </c>
      <c r="E24" s="76" t="s">
        <v>51</v>
      </c>
      <c r="F24" s="76" t="s">
        <v>52</v>
      </c>
      <c r="T24" s="2235"/>
      <c r="U24" s="51" t="s">
        <v>63</v>
      </c>
      <c r="V24" s="2262">
        <f>V15+V21-V22</f>
        <v>12411</v>
      </c>
      <c r="W24" s="2262"/>
      <c r="X24" s="2262"/>
    </row>
  </sheetData>
  <mergeCells count="48">
    <mergeCell ref="Y4:Y5"/>
    <mergeCell ref="Q4:R4"/>
    <mergeCell ref="A1:Y1"/>
    <mergeCell ref="A2:Y2"/>
    <mergeCell ref="T3:Y3"/>
    <mergeCell ref="A4:A5"/>
    <mergeCell ref="B4:B5"/>
    <mergeCell ref="C4:D4"/>
    <mergeCell ref="E4:F4"/>
    <mergeCell ref="G4:H4"/>
    <mergeCell ref="I4:J4"/>
    <mergeCell ref="K4:L4"/>
    <mergeCell ref="M4:N4"/>
    <mergeCell ref="O4:P4"/>
    <mergeCell ref="S4:T4"/>
    <mergeCell ref="U4:V4"/>
    <mergeCell ref="D22:D23"/>
    <mergeCell ref="E22:E23"/>
    <mergeCell ref="F22:F23"/>
    <mergeCell ref="W4:X4"/>
    <mergeCell ref="A12:B12"/>
    <mergeCell ref="B14:C14"/>
    <mergeCell ref="T14:T15"/>
    <mergeCell ref="V14:X14"/>
    <mergeCell ref="B15:C15"/>
    <mergeCell ref="V15:X15"/>
    <mergeCell ref="B16:C16"/>
    <mergeCell ref="T16:U16"/>
    <mergeCell ref="V16:X16"/>
    <mergeCell ref="B17:C17"/>
    <mergeCell ref="T17:U17"/>
    <mergeCell ref="V17:X17"/>
    <mergeCell ref="Y18:Y23"/>
    <mergeCell ref="B19:C19"/>
    <mergeCell ref="T19:T20"/>
    <mergeCell ref="V19:X19"/>
    <mergeCell ref="V20:X20"/>
    <mergeCell ref="T21:T22"/>
    <mergeCell ref="V21:X21"/>
    <mergeCell ref="V22:X22"/>
    <mergeCell ref="T23:T24"/>
    <mergeCell ref="V23:X23"/>
    <mergeCell ref="V24:X24"/>
    <mergeCell ref="B18:C18"/>
    <mergeCell ref="T18:U18"/>
    <mergeCell ref="V18:X18"/>
    <mergeCell ref="B22:B24"/>
    <mergeCell ref="C22:C23"/>
  </mergeCells>
  <pageMargins left="0.15748031496063" right="0.15748031496063" top="0" bottom="0" header="0" footer="0"/>
  <pageSetup paperSize="9" scale="51" orientation="landscape" r:id="rId1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F00-000000000000}">
  <sheetPr>
    <pageSetUpPr fitToPage="1"/>
  </sheetPr>
  <dimension ref="A1:Y24"/>
  <sheetViews>
    <sheetView topLeftCell="A6" zoomScale="71" zoomScaleNormal="71" zoomScaleSheetLayoutView="100" workbookViewId="0">
      <selection activeCell="V18" sqref="V18:X18"/>
    </sheetView>
  </sheetViews>
  <sheetFormatPr defaultColWidth="9.140625" defaultRowHeight="15" x14ac:dyDescent="0.25"/>
  <cols>
    <col min="1" max="1" width="18.85546875" style="14" customWidth="1"/>
    <col min="2" max="2" width="11.140625" style="14" customWidth="1"/>
    <col min="3" max="3" width="10.28515625" style="14" customWidth="1"/>
    <col min="4" max="4" width="11" style="14" customWidth="1"/>
    <col min="5" max="5" width="12" style="14" customWidth="1"/>
    <col min="6" max="6" width="12.5703125" style="14" bestFit="1" customWidth="1"/>
    <col min="7" max="7" width="9.28515625" style="14" bestFit="1" customWidth="1"/>
    <col min="8" max="8" width="10.140625" style="14" bestFit="1" customWidth="1"/>
    <col min="9" max="9" width="10.5703125" style="14" bestFit="1" customWidth="1"/>
    <col min="10" max="10" width="10.5703125" style="14" customWidth="1"/>
    <col min="11" max="11" width="10.28515625" style="14" bestFit="1" customWidth="1"/>
    <col min="12" max="12" width="9.42578125" style="14" bestFit="1" customWidth="1"/>
    <col min="13" max="13" width="9.85546875" style="14" bestFit="1" customWidth="1"/>
    <col min="14" max="14" width="10.140625" style="14" bestFit="1" customWidth="1"/>
    <col min="15" max="15" width="9" style="14" customWidth="1"/>
    <col min="16" max="16" width="12.85546875" style="14" bestFit="1" customWidth="1"/>
    <col min="17" max="18" width="9.42578125" style="14" customWidth="1"/>
    <col min="19" max="19" width="9.42578125" style="14" bestFit="1" customWidth="1"/>
    <col min="20" max="20" width="12.5703125" style="14" customWidth="1"/>
    <col min="21" max="21" width="16.7109375" style="14" customWidth="1"/>
    <col min="22" max="22" width="9.85546875" style="14" bestFit="1" customWidth="1"/>
    <col min="23" max="23" width="10.140625" style="14" bestFit="1" customWidth="1"/>
    <col min="24" max="24" width="9.85546875" style="14" bestFit="1" customWidth="1"/>
    <col min="25" max="25" width="15" style="14" customWidth="1"/>
    <col min="26" max="16384" width="9.140625" style="14"/>
  </cols>
  <sheetData>
    <row r="1" spans="1:25" ht="46.15" customHeight="1" x14ac:dyDescent="0.25">
      <c r="A1" s="2240" t="s">
        <v>76</v>
      </c>
      <c r="B1" s="2240"/>
      <c r="C1" s="2240"/>
      <c r="D1" s="2240"/>
      <c r="E1" s="2240"/>
      <c r="F1" s="2240"/>
      <c r="G1" s="2240"/>
      <c r="H1" s="2240"/>
      <c r="I1" s="2240"/>
      <c r="J1" s="2240"/>
      <c r="K1" s="2240"/>
      <c r="L1" s="2240"/>
      <c r="M1" s="2240"/>
      <c r="N1" s="2240"/>
      <c r="O1" s="2240"/>
      <c r="P1" s="2240"/>
      <c r="Q1" s="2240"/>
      <c r="R1" s="2240"/>
      <c r="S1" s="2240"/>
      <c r="T1" s="2240"/>
      <c r="U1" s="2240"/>
      <c r="V1" s="2240"/>
      <c r="W1" s="2240"/>
      <c r="X1" s="2240"/>
      <c r="Y1" s="2240"/>
    </row>
    <row r="2" spans="1:25" ht="21.6" customHeight="1" x14ac:dyDescent="0.25">
      <c r="A2" s="2241" t="s">
        <v>77</v>
      </c>
      <c r="B2" s="2241"/>
      <c r="C2" s="2241"/>
      <c r="D2" s="2241"/>
      <c r="E2" s="2241"/>
      <c r="F2" s="2241"/>
      <c r="G2" s="2241"/>
      <c r="H2" s="2241"/>
      <c r="I2" s="2241"/>
      <c r="J2" s="2241"/>
      <c r="K2" s="2241"/>
      <c r="L2" s="2241"/>
      <c r="M2" s="2241"/>
      <c r="N2" s="2241"/>
      <c r="O2" s="2241"/>
      <c r="P2" s="2241"/>
      <c r="Q2" s="2241"/>
      <c r="R2" s="2241"/>
      <c r="S2" s="2241"/>
      <c r="T2" s="2241"/>
      <c r="U2" s="2241"/>
      <c r="V2" s="2241"/>
      <c r="W2" s="2241"/>
      <c r="X2" s="2241"/>
      <c r="Y2" s="2241"/>
    </row>
    <row r="3" spans="1:25" ht="21" customHeight="1" x14ac:dyDescent="0.25">
      <c r="A3" s="78"/>
      <c r="B3" s="78"/>
      <c r="C3" s="78"/>
      <c r="D3" s="78"/>
      <c r="E3" s="78"/>
      <c r="F3" s="78"/>
      <c r="G3" s="78"/>
      <c r="H3" s="78"/>
      <c r="I3" s="78"/>
      <c r="J3" s="78"/>
      <c r="K3" s="78"/>
      <c r="L3" s="78"/>
      <c r="M3" s="78"/>
      <c r="N3" s="78"/>
      <c r="O3" s="78"/>
      <c r="P3" s="78"/>
      <c r="Q3" s="78"/>
      <c r="R3" s="78"/>
      <c r="S3" s="78"/>
      <c r="T3" s="2242" t="s">
        <v>116</v>
      </c>
      <c r="U3" s="2242"/>
      <c r="V3" s="2242"/>
      <c r="W3" s="2242"/>
      <c r="X3" s="2242"/>
      <c r="Y3" s="2242"/>
    </row>
    <row r="4" spans="1:25" s="78" customFormat="1" ht="18" customHeight="1" x14ac:dyDescent="0.25">
      <c r="A4" s="2243" t="s">
        <v>25</v>
      </c>
      <c r="B4" s="2243" t="s">
        <v>26</v>
      </c>
      <c r="C4" s="2244" t="s">
        <v>27</v>
      </c>
      <c r="D4" s="2244"/>
      <c r="E4" s="2244" t="s">
        <v>28</v>
      </c>
      <c r="F4" s="2244"/>
      <c r="G4" s="2244" t="s">
        <v>65</v>
      </c>
      <c r="H4" s="2244"/>
      <c r="I4" s="2244" t="s">
        <v>29</v>
      </c>
      <c r="J4" s="2244"/>
      <c r="K4" s="2245" t="s">
        <v>13</v>
      </c>
      <c r="L4" s="2246"/>
      <c r="M4" s="2245" t="s">
        <v>67</v>
      </c>
      <c r="N4" s="2246"/>
      <c r="O4" s="2245" t="s">
        <v>68</v>
      </c>
      <c r="P4" s="2246"/>
      <c r="Q4" s="2245" t="s">
        <v>114</v>
      </c>
      <c r="R4" s="2246"/>
      <c r="S4" s="2244" t="s">
        <v>35</v>
      </c>
      <c r="T4" s="2244"/>
      <c r="U4" s="2245" t="s">
        <v>17</v>
      </c>
      <c r="V4" s="2246"/>
      <c r="W4" s="2247" t="s">
        <v>36</v>
      </c>
      <c r="X4" s="2248"/>
      <c r="Y4" s="2238" t="s">
        <v>30</v>
      </c>
    </row>
    <row r="5" spans="1:25" s="78" customFormat="1" ht="25.5" customHeight="1" x14ac:dyDescent="0.25">
      <c r="A5" s="2243"/>
      <c r="B5" s="2243"/>
      <c r="C5" s="77" t="s">
        <v>42</v>
      </c>
      <c r="D5" s="77" t="s">
        <v>43</v>
      </c>
      <c r="E5" s="77" t="s">
        <v>42</v>
      </c>
      <c r="F5" s="77" t="s">
        <v>43</v>
      </c>
      <c r="G5" s="77" t="s">
        <v>42</v>
      </c>
      <c r="H5" s="77" t="s">
        <v>43</v>
      </c>
      <c r="I5" s="77" t="s">
        <v>42</v>
      </c>
      <c r="J5" s="77" t="s">
        <v>43</v>
      </c>
      <c r="K5" s="77" t="s">
        <v>42</v>
      </c>
      <c r="L5" s="77" t="s">
        <v>43</v>
      </c>
      <c r="M5" s="77" t="s">
        <v>42</v>
      </c>
      <c r="N5" s="77" t="s">
        <v>43</v>
      </c>
      <c r="O5" s="77" t="s">
        <v>42</v>
      </c>
      <c r="P5" s="77" t="s">
        <v>43</v>
      </c>
      <c r="Q5" s="77" t="s">
        <v>42</v>
      </c>
      <c r="R5" s="77" t="s">
        <v>43</v>
      </c>
      <c r="S5" s="33" t="s">
        <v>42</v>
      </c>
      <c r="T5" s="33" t="s">
        <v>43</v>
      </c>
      <c r="U5" s="30" t="s">
        <v>42</v>
      </c>
      <c r="V5" s="30" t="s">
        <v>43</v>
      </c>
      <c r="W5" s="30" t="s">
        <v>42</v>
      </c>
      <c r="X5" s="30" t="s">
        <v>43</v>
      </c>
      <c r="Y5" s="2239"/>
    </row>
    <row r="6" spans="1:25" ht="34.5" customHeight="1" x14ac:dyDescent="0.25">
      <c r="A6" s="12">
        <v>1409935200</v>
      </c>
      <c r="B6" s="76" t="s">
        <v>71</v>
      </c>
      <c r="C6" s="74">
        <v>23213</v>
      </c>
      <c r="D6" s="73">
        <f>0.9725*C6</f>
        <v>22574.642500000002</v>
      </c>
      <c r="E6" s="74"/>
      <c r="F6" s="74">
        <f>13.7*E6</f>
        <v>0</v>
      </c>
      <c r="G6" s="74"/>
      <c r="H6" s="74">
        <f>28.2*G6</f>
        <v>0</v>
      </c>
      <c r="I6" s="74">
        <v>190</v>
      </c>
      <c r="J6" s="74">
        <f>18.5*I6</f>
        <v>3515</v>
      </c>
      <c r="K6" s="74"/>
      <c r="L6" s="74">
        <f>19.5*K6</f>
        <v>0</v>
      </c>
      <c r="M6" s="74"/>
      <c r="N6" s="73">
        <f>M6*9.75</f>
        <v>0</v>
      </c>
      <c r="O6" s="74"/>
      <c r="P6" s="73">
        <f>O6*48.62</f>
        <v>0</v>
      </c>
      <c r="Q6" s="73"/>
      <c r="R6" s="73">
        <f>241*Q6</f>
        <v>0</v>
      </c>
      <c r="S6" s="74">
        <v>18</v>
      </c>
      <c r="T6" s="74">
        <f>241*S6</f>
        <v>4338</v>
      </c>
      <c r="U6" s="74"/>
      <c r="V6" s="74">
        <f>232*U6</f>
        <v>0</v>
      </c>
      <c r="W6" s="74"/>
      <c r="X6" s="19">
        <f>W6*100</f>
        <v>0</v>
      </c>
      <c r="Y6" s="89">
        <f t="shared" ref="Y6:Y11" si="0">D6+F6+H6+J6+L6+N6+P6+R6+T6+V6+X6</f>
        <v>30427.642500000002</v>
      </c>
    </row>
    <row r="7" spans="1:25" ht="31.5" customHeight="1" x14ac:dyDescent="0.25">
      <c r="A7" s="12">
        <v>1984225578</v>
      </c>
      <c r="B7" s="76" t="s">
        <v>72</v>
      </c>
      <c r="C7" s="74">
        <v>29398</v>
      </c>
      <c r="D7" s="73">
        <f t="shared" ref="D7:D11" si="1">0.9725*C7</f>
        <v>28589.555</v>
      </c>
      <c r="E7" s="74"/>
      <c r="F7" s="74">
        <f t="shared" ref="F7:F11" si="2">13.7*E7</f>
        <v>0</v>
      </c>
      <c r="G7" s="74">
        <v>60</v>
      </c>
      <c r="H7" s="74">
        <f t="shared" ref="H7:H11" si="3">28.2*G7</f>
        <v>1692</v>
      </c>
      <c r="I7" s="74">
        <v>160</v>
      </c>
      <c r="J7" s="74">
        <f t="shared" ref="J7:J11" si="4">18.5*I7</f>
        <v>2960</v>
      </c>
      <c r="K7" s="74"/>
      <c r="L7" s="74">
        <f t="shared" ref="L7:L11" si="5">19.5*K7</f>
        <v>0</v>
      </c>
      <c r="M7" s="74"/>
      <c r="N7" s="73">
        <f t="shared" ref="N7:N11" si="6">M7*9.75</f>
        <v>0</v>
      </c>
      <c r="O7" s="74"/>
      <c r="P7" s="73">
        <f t="shared" ref="P7:P11" si="7">O7*48.62</f>
        <v>0</v>
      </c>
      <c r="Q7" s="73">
        <v>10</v>
      </c>
      <c r="R7" s="73">
        <f t="shared" ref="R7:R11" si="8">241*Q7</f>
        <v>2410</v>
      </c>
      <c r="S7" s="74"/>
      <c r="T7" s="74">
        <f t="shared" ref="T7:T11" si="9">241*S7</f>
        <v>0</v>
      </c>
      <c r="U7" s="74">
        <v>20</v>
      </c>
      <c r="V7" s="74">
        <f t="shared" ref="V7:V11" si="10">232*U7</f>
        <v>4640</v>
      </c>
      <c r="W7" s="74"/>
      <c r="X7" s="19">
        <f t="shared" ref="X7:X11" si="11">W7*100</f>
        <v>0</v>
      </c>
      <c r="Y7" s="89">
        <f t="shared" si="0"/>
        <v>40291.555</v>
      </c>
    </row>
    <row r="8" spans="1:25" ht="35.25" customHeight="1" x14ac:dyDescent="0.25">
      <c r="A8" s="12">
        <v>1967020280</v>
      </c>
      <c r="B8" s="76" t="s">
        <v>73</v>
      </c>
      <c r="C8" s="74">
        <v>20182</v>
      </c>
      <c r="D8" s="73">
        <f t="shared" si="1"/>
        <v>19626.994999999999</v>
      </c>
      <c r="E8" s="74"/>
      <c r="F8" s="74">
        <f t="shared" si="2"/>
        <v>0</v>
      </c>
      <c r="G8" s="74"/>
      <c r="H8" s="74">
        <f t="shared" si="3"/>
        <v>0</v>
      </c>
      <c r="I8" s="74">
        <v>1590</v>
      </c>
      <c r="J8" s="74">
        <f t="shared" si="4"/>
        <v>29415</v>
      </c>
      <c r="K8" s="74"/>
      <c r="L8" s="74">
        <f t="shared" si="5"/>
        <v>0</v>
      </c>
      <c r="M8" s="74"/>
      <c r="N8" s="73">
        <f t="shared" si="6"/>
        <v>0</v>
      </c>
      <c r="O8" s="74"/>
      <c r="P8" s="73">
        <f t="shared" si="7"/>
        <v>0</v>
      </c>
      <c r="Q8" s="73"/>
      <c r="R8" s="73">
        <f t="shared" si="8"/>
        <v>0</v>
      </c>
      <c r="S8" s="74">
        <v>10</v>
      </c>
      <c r="T8" s="74">
        <f t="shared" si="9"/>
        <v>2410</v>
      </c>
      <c r="U8" s="74">
        <v>10</v>
      </c>
      <c r="V8" s="74">
        <f t="shared" si="10"/>
        <v>2320</v>
      </c>
      <c r="W8" s="74"/>
      <c r="X8" s="19">
        <f t="shared" si="11"/>
        <v>0</v>
      </c>
      <c r="Y8" s="89">
        <f t="shared" si="0"/>
        <v>53771.994999999995</v>
      </c>
    </row>
    <row r="9" spans="1:25" ht="38.25" customHeight="1" x14ac:dyDescent="0.25">
      <c r="A9" s="12">
        <v>1409935199</v>
      </c>
      <c r="B9" s="76" t="s">
        <v>74</v>
      </c>
      <c r="C9" s="74">
        <v>13254</v>
      </c>
      <c r="D9" s="73">
        <f t="shared" si="1"/>
        <v>12889.515000000001</v>
      </c>
      <c r="E9" s="74"/>
      <c r="F9" s="74">
        <f t="shared" si="2"/>
        <v>0</v>
      </c>
      <c r="G9" s="74"/>
      <c r="H9" s="74">
        <f t="shared" si="3"/>
        <v>0</v>
      </c>
      <c r="I9" s="74"/>
      <c r="J9" s="74">
        <f t="shared" si="4"/>
        <v>0</v>
      </c>
      <c r="K9" s="74"/>
      <c r="L9" s="74">
        <f t="shared" si="5"/>
        <v>0</v>
      </c>
      <c r="M9" s="74"/>
      <c r="N9" s="73">
        <f t="shared" si="6"/>
        <v>0</v>
      </c>
      <c r="O9" s="74"/>
      <c r="P9" s="73">
        <f t="shared" si="7"/>
        <v>0</v>
      </c>
      <c r="Q9" s="73"/>
      <c r="R9" s="73">
        <f t="shared" si="8"/>
        <v>0</v>
      </c>
      <c r="S9" s="74"/>
      <c r="T9" s="74">
        <f t="shared" si="9"/>
        <v>0</v>
      </c>
      <c r="U9" s="74"/>
      <c r="V9" s="74">
        <f t="shared" si="10"/>
        <v>0</v>
      </c>
      <c r="W9" s="74"/>
      <c r="X9" s="19">
        <f t="shared" si="11"/>
        <v>0</v>
      </c>
      <c r="Y9" s="89">
        <f t="shared" si="0"/>
        <v>12889.515000000001</v>
      </c>
    </row>
    <row r="10" spans="1:25" ht="35.25" customHeight="1" x14ac:dyDescent="0.25">
      <c r="A10" s="12">
        <v>1984225580</v>
      </c>
      <c r="B10" s="76" t="s">
        <v>75</v>
      </c>
      <c r="C10" s="74">
        <v>10698</v>
      </c>
      <c r="D10" s="73">
        <f t="shared" si="1"/>
        <v>10403.805</v>
      </c>
      <c r="E10" s="74"/>
      <c r="F10" s="74">
        <f t="shared" si="2"/>
        <v>0</v>
      </c>
      <c r="G10" s="74"/>
      <c r="H10" s="74">
        <f t="shared" si="3"/>
        <v>0</v>
      </c>
      <c r="I10" s="74">
        <v>520</v>
      </c>
      <c r="J10" s="74">
        <f t="shared" si="4"/>
        <v>9620</v>
      </c>
      <c r="K10" s="74"/>
      <c r="L10" s="74">
        <f t="shared" si="5"/>
        <v>0</v>
      </c>
      <c r="M10" s="74"/>
      <c r="N10" s="73">
        <f t="shared" si="6"/>
        <v>0</v>
      </c>
      <c r="O10" s="74"/>
      <c r="P10" s="73">
        <f t="shared" si="7"/>
        <v>0</v>
      </c>
      <c r="Q10" s="73"/>
      <c r="R10" s="73">
        <f t="shared" si="8"/>
        <v>0</v>
      </c>
      <c r="S10" s="74"/>
      <c r="T10" s="74">
        <f t="shared" si="9"/>
        <v>0</v>
      </c>
      <c r="U10" s="74">
        <v>5</v>
      </c>
      <c r="V10" s="74">
        <f t="shared" si="10"/>
        <v>1160</v>
      </c>
      <c r="W10" s="74"/>
      <c r="X10" s="19">
        <f t="shared" si="11"/>
        <v>0</v>
      </c>
      <c r="Y10" s="89">
        <f t="shared" si="0"/>
        <v>21183.805</v>
      </c>
    </row>
    <row r="11" spans="1:25" ht="37.5" customHeight="1" x14ac:dyDescent="0.25">
      <c r="A11" s="12"/>
      <c r="B11" s="75"/>
      <c r="C11" s="74"/>
      <c r="D11" s="22">
        <f t="shared" si="1"/>
        <v>0</v>
      </c>
      <c r="E11" s="74"/>
      <c r="F11" s="74">
        <f t="shared" si="2"/>
        <v>0</v>
      </c>
      <c r="G11" s="74"/>
      <c r="H11" s="74">
        <f t="shared" si="3"/>
        <v>0</v>
      </c>
      <c r="I11" s="74"/>
      <c r="J11" s="74">
        <f t="shared" si="4"/>
        <v>0</v>
      </c>
      <c r="K11" s="74"/>
      <c r="L11" s="74">
        <f t="shared" si="5"/>
        <v>0</v>
      </c>
      <c r="M11" s="74"/>
      <c r="N11" s="73">
        <f t="shared" si="6"/>
        <v>0</v>
      </c>
      <c r="O11" s="74"/>
      <c r="P11" s="73">
        <f t="shared" si="7"/>
        <v>0</v>
      </c>
      <c r="Q11" s="73"/>
      <c r="R11" s="73">
        <f t="shared" si="8"/>
        <v>0</v>
      </c>
      <c r="S11" s="74"/>
      <c r="T11" s="74">
        <f t="shared" si="9"/>
        <v>0</v>
      </c>
      <c r="U11" s="74"/>
      <c r="V11" s="74">
        <f t="shared" si="10"/>
        <v>0</v>
      </c>
      <c r="W11" s="74"/>
      <c r="X11" s="19">
        <f t="shared" si="11"/>
        <v>0</v>
      </c>
      <c r="Y11" s="20">
        <f t="shared" si="0"/>
        <v>0</v>
      </c>
    </row>
    <row r="12" spans="1:25" ht="29.25" customHeight="1" x14ac:dyDescent="0.25">
      <c r="A12" s="2235" t="s">
        <v>31</v>
      </c>
      <c r="B12" s="2235"/>
      <c r="C12" s="18">
        <f t="shared" ref="C12:Y12" si="12">SUM(C6:C11)</f>
        <v>96745</v>
      </c>
      <c r="D12" s="18">
        <f t="shared" si="12"/>
        <v>94084.512500000012</v>
      </c>
      <c r="E12" s="18">
        <f t="shared" si="12"/>
        <v>0</v>
      </c>
      <c r="F12" s="18">
        <f t="shared" si="12"/>
        <v>0</v>
      </c>
      <c r="G12" s="18">
        <f t="shared" si="12"/>
        <v>60</v>
      </c>
      <c r="H12" s="18">
        <f t="shared" si="12"/>
        <v>1692</v>
      </c>
      <c r="I12" s="18">
        <f t="shared" si="12"/>
        <v>2460</v>
      </c>
      <c r="J12" s="18">
        <f t="shared" si="12"/>
        <v>45510</v>
      </c>
      <c r="K12" s="18">
        <f t="shared" si="12"/>
        <v>0</v>
      </c>
      <c r="L12" s="18">
        <f t="shared" si="12"/>
        <v>0</v>
      </c>
      <c r="M12" s="18">
        <f t="shared" si="12"/>
        <v>0</v>
      </c>
      <c r="N12" s="23">
        <f t="shared" si="12"/>
        <v>0</v>
      </c>
      <c r="O12" s="18">
        <f t="shared" si="12"/>
        <v>0</v>
      </c>
      <c r="P12" s="23">
        <f t="shared" si="12"/>
        <v>0</v>
      </c>
      <c r="Q12" s="23">
        <f>SUM(Q6:Q11)</f>
        <v>10</v>
      </c>
      <c r="R12" s="23">
        <f>SUM(R6:R11)</f>
        <v>2410</v>
      </c>
      <c r="S12" s="18">
        <f t="shared" si="12"/>
        <v>28</v>
      </c>
      <c r="T12" s="18">
        <f t="shared" si="12"/>
        <v>6748</v>
      </c>
      <c r="U12" s="18">
        <f t="shared" si="12"/>
        <v>35</v>
      </c>
      <c r="V12" s="18">
        <f t="shared" si="12"/>
        <v>8120</v>
      </c>
      <c r="W12" s="18">
        <f t="shared" si="12"/>
        <v>0</v>
      </c>
      <c r="X12" s="18">
        <f t="shared" si="12"/>
        <v>0</v>
      </c>
      <c r="Y12" s="18">
        <f t="shared" si="12"/>
        <v>158564.51250000001</v>
      </c>
    </row>
    <row r="14" spans="1:25" ht="32.25" customHeight="1" x14ac:dyDescent="0.25">
      <c r="A14" s="30" t="s">
        <v>32</v>
      </c>
      <c r="B14" s="2236" t="s">
        <v>27</v>
      </c>
      <c r="C14" s="2236"/>
      <c r="D14" s="30" t="s">
        <v>33</v>
      </c>
      <c r="E14" s="30" t="s">
        <v>65</v>
      </c>
      <c r="F14" s="30" t="s">
        <v>34</v>
      </c>
      <c r="G14" s="30" t="s">
        <v>13</v>
      </c>
      <c r="H14" s="31" t="s">
        <v>45</v>
      </c>
      <c r="I14" s="30" t="s">
        <v>17</v>
      </c>
      <c r="J14" s="30" t="s">
        <v>66</v>
      </c>
      <c r="K14" s="30" t="s">
        <v>36</v>
      </c>
      <c r="L14" s="30" t="s">
        <v>37</v>
      </c>
      <c r="M14" s="30" t="s">
        <v>69</v>
      </c>
      <c r="N14" s="30" t="s">
        <v>70</v>
      </c>
      <c r="O14" s="86" t="s">
        <v>114</v>
      </c>
      <c r="P14" s="86" t="s">
        <v>99</v>
      </c>
      <c r="Q14" s="15"/>
      <c r="R14" s="15"/>
      <c r="T14" s="2235" t="s">
        <v>46</v>
      </c>
      <c r="U14" s="76" t="s">
        <v>54</v>
      </c>
      <c r="V14" s="2260">
        <v>28026</v>
      </c>
      <c r="W14" s="2268"/>
      <c r="X14" s="2261"/>
    </row>
    <row r="15" spans="1:25" ht="22.5" customHeight="1" x14ac:dyDescent="0.25">
      <c r="A15" s="11" t="s">
        <v>38</v>
      </c>
      <c r="B15" s="2260">
        <v>275873</v>
      </c>
      <c r="C15" s="2261"/>
      <c r="D15" s="87">
        <v>0</v>
      </c>
      <c r="E15" s="87">
        <v>210</v>
      </c>
      <c r="F15" s="87">
        <v>3910</v>
      </c>
      <c r="G15" s="87">
        <v>100</v>
      </c>
      <c r="H15" s="87">
        <v>102</v>
      </c>
      <c r="I15" s="87">
        <v>35</v>
      </c>
      <c r="J15" s="87">
        <v>25</v>
      </c>
      <c r="K15" s="87">
        <v>30</v>
      </c>
      <c r="L15" s="87">
        <v>58</v>
      </c>
      <c r="M15" s="87">
        <v>50</v>
      </c>
      <c r="N15" s="87">
        <v>100</v>
      </c>
      <c r="O15" s="87">
        <v>15</v>
      </c>
      <c r="P15" s="87">
        <v>1397</v>
      </c>
      <c r="Q15" s="21"/>
      <c r="R15" s="21"/>
      <c r="T15" s="2235"/>
      <c r="U15" s="76" t="s">
        <v>64</v>
      </c>
      <c r="V15" s="2262">
        <v>12411</v>
      </c>
      <c r="W15" s="2262"/>
      <c r="X15" s="2262"/>
    </row>
    <row r="16" spans="1:25" ht="24.75" customHeight="1" x14ac:dyDescent="0.25">
      <c r="A16" s="11" t="s">
        <v>39</v>
      </c>
      <c r="B16" s="2260">
        <v>100000</v>
      </c>
      <c r="C16" s="2261"/>
      <c r="D16" s="87"/>
      <c r="E16" s="87"/>
      <c r="F16" s="87"/>
      <c r="G16" s="87"/>
      <c r="H16" s="87"/>
      <c r="I16" s="87"/>
      <c r="J16" s="87"/>
      <c r="K16" s="87"/>
      <c r="L16" s="87">
        <v>34</v>
      </c>
      <c r="M16" s="87"/>
      <c r="N16" s="87"/>
      <c r="O16" s="87"/>
      <c r="P16" s="87"/>
      <c r="Q16" s="21"/>
      <c r="R16" s="21"/>
      <c r="T16" s="2254" t="s">
        <v>55</v>
      </c>
      <c r="U16" s="2254"/>
      <c r="V16" s="2267">
        <f>Y12</f>
        <v>158564.51250000001</v>
      </c>
      <c r="W16" s="2267"/>
      <c r="X16" s="2262"/>
    </row>
    <row r="17" spans="1:25" ht="33" customHeight="1" x14ac:dyDescent="0.25">
      <c r="A17" s="85" t="s">
        <v>44</v>
      </c>
      <c r="B17" s="2260"/>
      <c r="C17" s="2261"/>
      <c r="D17" s="87"/>
      <c r="E17" s="87"/>
      <c r="F17" s="87"/>
      <c r="G17" s="87"/>
      <c r="H17" s="87"/>
      <c r="I17" s="87"/>
      <c r="J17" s="87"/>
      <c r="K17" s="87"/>
      <c r="L17" s="87"/>
      <c r="M17" s="87"/>
      <c r="N17" s="87"/>
      <c r="O17" s="87"/>
      <c r="P17" s="87"/>
      <c r="Q17" s="21"/>
      <c r="R17" s="21"/>
      <c r="T17" s="2254" t="s">
        <v>104</v>
      </c>
      <c r="U17" s="2254"/>
      <c r="V17" s="2262"/>
      <c r="W17" s="2262"/>
      <c r="X17" s="2262"/>
    </row>
    <row r="18" spans="1:25" ht="27" customHeight="1" x14ac:dyDescent="0.25">
      <c r="A18" s="11" t="s">
        <v>40</v>
      </c>
      <c r="B18" s="2264">
        <f>C12</f>
        <v>96745</v>
      </c>
      <c r="C18" s="2261"/>
      <c r="D18" s="88">
        <f>E12</f>
        <v>0</v>
      </c>
      <c r="E18" s="88">
        <f>G12</f>
        <v>60</v>
      </c>
      <c r="F18" s="88">
        <f>I12</f>
        <v>2460</v>
      </c>
      <c r="G18" s="88">
        <f>K12</f>
        <v>0</v>
      </c>
      <c r="H18" s="87">
        <v>62</v>
      </c>
      <c r="I18" s="88">
        <f>U12</f>
        <v>35</v>
      </c>
      <c r="J18" s="87"/>
      <c r="K18" s="88">
        <f>W12</f>
        <v>0</v>
      </c>
      <c r="L18" s="87"/>
      <c r="M18" s="88">
        <f>M12</f>
        <v>0</v>
      </c>
      <c r="N18" s="88"/>
      <c r="O18" s="90">
        <f>Q12</f>
        <v>10</v>
      </c>
      <c r="P18" s="87"/>
      <c r="Q18" s="21"/>
      <c r="R18" s="21"/>
      <c r="T18" s="2254" t="s">
        <v>57</v>
      </c>
      <c r="U18" s="2254"/>
      <c r="V18" s="2262">
        <f>530+100+100</f>
        <v>730</v>
      </c>
      <c r="W18" s="2262"/>
      <c r="X18" s="2262"/>
      <c r="Y18" s="2259" t="s">
        <v>117</v>
      </c>
    </row>
    <row r="19" spans="1:25" ht="25.5" customHeight="1" x14ac:dyDescent="0.25">
      <c r="A19" s="11" t="s">
        <v>41</v>
      </c>
      <c r="B19" s="2260">
        <f>B15+B16+B17-B18</f>
        <v>279128</v>
      </c>
      <c r="C19" s="2261"/>
      <c r="D19" s="87">
        <f>D15+D16+D17-D18</f>
        <v>0</v>
      </c>
      <c r="E19" s="87">
        <f t="shared" ref="E19:N19" si="13">E15+E16+E17-E18</f>
        <v>150</v>
      </c>
      <c r="F19" s="87">
        <f t="shared" si="13"/>
        <v>1450</v>
      </c>
      <c r="G19" s="87">
        <f t="shared" si="13"/>
        <v>100</v>
      </c>
      <c r="H19" s="87">
        <f t="shared" si="13"/>
        <v>40</v>
      </c>
      <c r="I19" s="87">
        <f t="shared" si="13"/>
        <v>0</v>
      </c>
      <c r="J19" s="87">
        <f t="shared" si="13"/>
        <v>25</v>
      </c>
      <c r="K19" s="87">
        <f t="shared" si="13"/>
        <v>30</v>
      </c>
      <c r="L19" s="87">
        <f t="shared" si="13"/>
        <v>92</v>
      </c>
      <c r="M19" s="87">
        <f t="shared" si="13"/>
        <v>50</v>
      </c>
      <c r="N19" s="87">
        <f t="shared" si="13"/>
        <v>100</v>
      </c>
      <c r="O19" s="87">
        <f>O15+O16+O17-O18</f>
        <v>5</v>
      </c>
      <c r="P19" s="87">
        <f>P15+P16+P17-P18</f>
        <v>1397</v>
      </c>
      <c r="Q19" s="21"/>
      <c r="R19" s="21"/>
      <c r="T19" s="2256" t="s">
        <v>48</v>
      </c>
      <c r="U19" s="49" t="s">
        <v>58</v>
      </c>
      <c r="V19" s="2262">
        <v>172500</v>
      </c>
      <c r="W19" s="2262"/>
      <c r="X19" s="2262"/>
      <c r="Y19" s="2259"/>
    </row>
    <row r="20" spans="1:25" ht="23.25" customHeight="1" x14ac:dyDescent="0.25">
      <c r="A20" s="15"/>
      <c r="B20" s="10"/>
      <c r="C20" s="10"/>
      <c r="D20" s="10"/>
      <c r="E20" s="10"/>
      <c r="F20" s="10"/>
      <c r="G20" s="10"/>
      <c r="H20" s="10"/>
      <c r="I20" s="10"/>
      <c r="J20" s="10"/>
      <c r="K20" s="10"/>
      <c r="L20" s="10"/>
      <c r="M20" s="10"/>
      <c r="N20" s="10"/>
      <c r="O20" s="10"/>
      <c r="P20" s="10"/>
      <c r="Q20" s="10"/>
      <c r="R20" s="10"/>
      <c r="T20" s="2257"/>
      <c r="U20" s="49" t="s">
        <v>59</v>
      </c>
      <c r="V20" s="2262"/>
      <c r="W20" s="2262"/>
      <c r="X20" s="2262"/>
      <c r="Y20" s="2259"/>
    </row>
    <row r="21" spans="1:25" ht="33.75" customHeight="1" x14ac:dyDescent="0.25">
      <c r="A21" s="15"/>
      <c r="B21" s="10"/>
      <c r="C21" s="10"/>
      <c r="D21" s="10"/>
      <c r="E21" s="10"/>
      <c r="F21" s="10"/>
      <c r="G21" s="10"/>
      <c r="H21" s="10"/>
      <c r="I21" s="10"/>
      <c r="J21" s="10"/>
      <c r="K21" s="10"/>
      <c r="L21" s="10"/>
      <c r="M21" s="10"/>
      <c r="N21" s="10"/>
      <c r="O21" s="10"/>
      <c r="P21" s="10"/>
      <c r="Q21" s="10"/>
      <c r="R21" s="10"/>
      <c r="T21" s="2251" t="s">
        <v>83</v>
      </c>
      <c r="U21" s="50" t="s">
        <v>60</v>
      </c>
      <c r="V21" s="2262">
        <v>172620</v>
      </c>
      <c r="W21" s="2262"/>
      <c r="X21" s="2262"/>
      <c r="Y21" s="2259"/>
    </row>
    <row r="22" spans="1:25" ht="29.25" customHeight="1" x14ac:dyDescent="0.25">
      <c r="A22" s="10"/>
      <c r="B22" s="2258" t="s">
        <v>49</v>
      </c>
      <c r="C22" s="2265">
        <v>712321</v>
      </c>
      <c r="D22" s="2262">
        <v>172500</v>
      </c>
      <c r="E22" s="2262">
        <v>96250</v>
      </c>
      <c r="F22" s="2262">
        <f>C22-D22+E22</f>
        <v>636071</v>
      </c>
      <c r="G22" s="10"/>
      <c r="H22" s="10"/>
      <c r="I22" s="10"/>
      <c r="J22" s="10"/>
      <c r="K22" s="10"/>
      <c r="L22" s="10"/>
      <c r="M22" s="10"/>
      <c r="N22" s="10"/>
      <c r="O22" s="10"/>
      <c r="P22" s="10"/>
      <c r="Q22" s="10"/>
      <c r="R22" s="10"/>
      <c r="T22" s="2252"/>
      <c r="U22" s="50" t="s">
        <v>61</v>
      </c>
      <c r="V22" s="2262">
        <v>172500</v>
      </c>
      <c r="W22" s="2262"/>
      <c r="X22" s="2262"/>
      <c r="Y22" s="2259"/>
    </row>
    <row r="23" spans="1:25" ht="47.25" customHeight="1" x14ac:dyDescent="0.25">
      <c r="A23" s="10"/>
      <c r="B23" s="2258"/>
      <c r="C23" s="2266"/>
      <c r="D23" s="2262"/>
      <c r="E23" s="2262"/>
      <c r="F23" s="2262"/>
      <c r="G23" s="10"/>
      <c r="H23" s="10"/>
      <c r="I23" s="10"/>
      <c r="J23" s="10"/>
      <c r="K23" s="10"/>
      <c r="L23" s="10"/>
      <c r="M23" s="10"/>
      <c r="N23" s="10"/>
      <c r="O23" s="10"/>
      <c r="P23" s="10"/>
      <c r="Q23" s="10"/>
      <c r="R23" s="10"/>
      <c r="T23" s="2235" t="s">
        <v>47</v>
      </c>
      <c r="U23" s="51" t="s">
        <v>62</v>
      </c>
      <c r="V23" s="2263">
        <f>V14+V16+V17-V18-V19-V20-V21+V22</f>
        <v>13240.512500000012</v>
      </c>
      <c r="W23" s="2263"/>
      <c r="X23" s="2263"/>
      <c r="Y23" s="2259"/>
    </row>
    <row r="24" spans="1:25" ht="27" customHeight="1" x14ac:dyDescent="0.25">
      <c r="B24" s="2258"/>
      <c r="C24" s="76" t="s">
        <v>46</v>
      </c>
      <c r="D24" s="76" t="s">
        <v>50</v>
      </c>
      <c r="E24" s="76" t="s">
        <v>51</v>
      </c>
      <c r="F24" s="76" t="s">
        <v>52</v>
      </c>
      <c r="T24" s="2235"/>
      <c r="U24" s="51" t="s">
        <v>63</v>
      </c>
      <c r="V24" s="2262">
        <f>V15+V21-V22</f>
        <v>12531</v>
      </c>
      <c r="W24" s="2262"/>
      <c r="X24" s="2262"/>
    </row>
  </sheetData>
  <mergeCells count="48">
    <mergeCell ref="A1:Y1"/>
    <mergeCell ref="A2:Y2"/>
    <mergeCell ref="T3:Y3"/>
    <mergeCell ref="A4:A5"/>
    <mergeCell ref="B4:B5"/>
    <mergeCell ref="C4:D4"/>
    <mergeCell ref="E4:F4"/>
    <mergeCell ref="G4:H4"/>
    <mergeCell ref="I4:J4"/>
    <mergeCell ref="K4:L4"/>
    <mergeCell ref="Y4:Y5"/>
    <mergeCell ref="M4:N4"/>
    <mergeCell ref="O4:P4"/>
    <mergeCell ref="Q4:R4"/>
    <mergeCell ref="S4:T4"/>
    <mergeCell ref="U4:V4"/>
    <mergeCell ref="V18:X18"/>
    <mergeCell ref="B22:B24"/>
    <mergeCell ref="C22:C23"/>
    <mergeCell ref="W4:X4"/>
    <mergeCell ref="B16:C16"/>
    <mergeCell ref="T16:U16"/>
    <mergeCell ref="V16:X16"/>
    <mergeCell ref="B17:C17"/>
    <mergeCell ref="T17:U17"/>
    <mergeCell ref="V17:X17"/>
    <mergeCell ref="A12:B12"/>
    <mergeCell ref="B14:C14"/>
    <mergeCell ref="T14:T15"/>
    <mergeCell ref="V14:X14"/>
    <mergeCell ref="B15:C15"/>
    <mergeCell ref="V15:X15"/>
    <mergeCell ref="D22:D23"/>
    <mergeCell ref="E22:E23"/>
    <mergeCell ref="F22:F23"/>
    <mergeCell ref="Y18:Y23"/>
    <mergeCell ref="B19:C19"/>
    <mergeCell ref="T19:T20"/>
    <mergeCell ref="V19:X19"/>
    <mergeCell ref="V20:X20"/>
    <mergeCell ref="T21:T22"/>
    <mergeCell ref="V21:X21"/>
    <mergeCell ref="V22:X22"/>
    <mergeCell ref="T23:T24"/>
    <mergeCell ref="V23:X23"/>
    <mergeCell ref="V24:X24"/>
    <mergeCell ref="B18:C18"/>
    <mergeCell ref="T18:U18"/>
  </mergeCells>
  <pageMargins left="0.15748031496063" right="0.15748031496063" top="0" bottom="0" header="0" footer="0"/>
  <pageSetup paperSize="9" scale="51" orientation="landscape" r:id="rId1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000-000000000000}">
  <sheetPr>
    <pageSetUpPr fitToPage="1"/>
  </sheetPr>
  <dimension ref="A1:Y24"/>
  <sheetViews>
    <sheetView topLeftCell="B7" zoomScale="71" zoomScaleNormal="71" zoomScaleSheetLayoutView="100" workbookViewId="0">
      <selection activeCell="Q21" sqref="Q21"/>
    </sheetView>
  </sheetViews>
  <sheetFormatPr defaultColWidth="9.140625" defaultRowHeight="15" x14ac:dyDescent="0.25"/>
  <cols>
    <col min="1" max="1" width="18.85546875" style="14" customWidth="1"/>
    <col min="2" max="2" width="11.140625" style="14" customWidth="1"/>
    <col min="3" max="3" width="10.28515625" style="14" customWidth="1"/>
    <col min="4" max="4" width="11" style="14" customWidth="1"/>
    <col min="5" max="5" width="12" style="14" customWidth="1"/>
    <col min="6" max="6" width="12.5703125" style="14" bestFit="1" customWidth="1"/>
    <col min="7" max="7" width="9.28515625" style="14" bestFit="1" customWidth="1"/>
    <col min="8" max="8" width="10.140625" style="14" bestFit="1" customWidth="1"/>
    <col min="9" max="9" width="10.5703125" style="14" bestFit="1" customWidth="1"/>
    <col min="10" max="10" width="10.5703125" style="14" customWidth="1"/>
    <col min="11" max="11" width="10.28515625" style="14" bestFit="1" customWidth="1"/>
    <col min="12" max="12" width="9.42578125" style="14" bestFit="1" customWidth="1"/>
    <col min="13" max="13" width="9.85546875" style="14" bestFit="1" customWidth="1"/>
    <col min="14" max="14" width="10.140625" style="14" bestFit="1" customWidth="1"/>
    <col min="15" max="15" width="9" style="14" customWidth="1"/>
    <col min="16" max="16" width="12.85546875" style="14" bestFit="1" customWidth="1"/>
    <col min="17" max="18" width="9.42578125" style="14" customWidth="1"/>
    <col min="19" max="19" width="9.42578125" style="14" bestFit="1" customWidth="1"/>
    <col min="20" max="20" width="12.5703125" style="14" customWidth="1"/>
    <col min="21" max="21" width="16.7109375" style="14" customWidth="1"/>
    <col min="22" max="22" width="9.85546875" style="14" bestFit="1" customWidth="1"/>
    <col min="23" max="23" width="10.140625" style="14" bestFit="1" customWidth="1"/>
    <col min="24" max="24" width="9.85546875" style="14" bestFit="1" customWidth="1"/>
    <col min="25" max="25" width="15" style="14" customWidth="1"/>
    <col min="26" max="16384" width="9.140625" style="14"/>
  </cols>
  <sheetData>
    <row r="1" spans="1:25" ht="46.15" customHeight="1" x14ac:dyDescent="0.25">
      <c r="A1" s="2240" t="s">
        <v>76</v>
      </c>
      <c r="B1" s="2240"/>
      <c r="C1" s="2240"/>
      <c r="D1" s="2240"/>
      <c r="E1" s="2240"/>
      <c r="F1" s="2240"/>
      <c r="G1" s="2240"/>
      <c r="H1" s="2240"/>
      <c r="I1" s="2240"/>
      <c r="J1" s="2240"/>
      <c r="K1" s="2240"/>
      <c r="L1" s="2240"/>
      <c r="M1" s="2240"/>
      <c r="N1" s="2240"/>
      <c r="O1" s="2240"/>
      <c r="P1" s="2240"/>
      <c r="Q1" s="2240"/>
      <c r="R1" s="2240"/>
      <c r="S1" s="2240"/>
      <c r="T1" s="2240"/>
      <c r="U1" s="2240"/>
      <c r="V1" s="2240"/>
      <c r="W1" s="2240"/>
      <c r="X1" s="2240"/>
      <c r="Y1" s="2240"/>
    </row>
    <row r="2" spans="1:25" ht="21.6" customHeight="1" x14ac:dyDescent="0.25">
      <c r="A2" s="2241" t="s">
        <v>77</v>
      </c>
      <c r="B2" s="2241"/>
      <c r="C2" s="2241"/>
      <c r="D2" s="2241"/>
      <c r="E2" s="2241"/>
      <c r="F2" s="2241"/>
      <c r="G2" s="2241"/>
      <c r="H2" s="2241"/>
      <c r="I2" s="2241"/>
      <c r="J2" s="2241"/>
      <c r="K2" s="2241"/>
      <c r="L2" s="2241"/>
      <c r="M2" s="2241"/>
      <c r="N2" s="2241"/>
      <c r="O2" s="2241"/>
      <c r="P2" s="2241"/>
      <c r="Q2" s="2241"/>
      <c r="R2" s="2241"/>
      <c r="S2" s="2241"/>
      <c r="T2" s="2241"/>
      <c r="U2" s="2241"/>
      <c r="V2" s="2241"/>
      <c r="W2" s="2241"/>
      <c r="X2" s="2241"/>
      <c r="Y2" s="2241"/>
    </row>
    <row r="3" spans="1:25" ht="21" customHeight="1" x14ac:dyDescent="0.25">
      <c r="A3" s="78"/>
      <c r="B3" s="78"/>
      <c r="C3" s="78"/>
      <c r="D3" s="78"/>
      <c r="E3" s="78"/>
      <c r="F3" s="78"/>
      <c r="G3" s="78"/>
      <c r="H3" s="78"/>
      <c r="I3" s="78"/>
      <c r="J3" s="78"/>
      <c r="K3" s="78"/>
      <c r="L3" s="78"/>
      <c r="M3" s="78"/>
      <c r="N3" s="78"/>
      <c r="O3" s="78"/>
      <c r="P3" s="78"/>
      <c r="Q3" s="78"/>
      <c r="R3" s="78"/>
      <c r="S3" s="78"/>
      <c r="T3" s="2242" t="s">
        <v>118</v>
      </c>
      <c r="U3" s="2242"/>
      <c r="V3" s="2242"/>
      <c r="W3" s="2242"/>
      <c r="X3" s="2242"/>
      <c r="Y3" s="2242"/>
    </row>
    <row r="4" spans="1:25" s="78" customFormat="1" ht="18" customHeight="1" x14ac:dyDescent="0.25">
      <c r="A4" s="2243" t="s">
        <v>25</v>
      </c>
      <c r="B4" s="2243" t="s">
        <v>26</v>
      </c>
      <c r="C4" s="2244" t="s">
        <v>27</v>
      </c>
      <c r="D4" s="2244"/>
      <c r="E4" s="2244" t="s">
        <v>28</v>
      </c>
      <c r="F4" s="2244"/>
      <c r="G4" s="2244" t="s">
        <v>65</v>
      </c>
      <c r="H4" s="2244"/>
      <c r="I4" s="2244" t="s">
        <v>29</v>
      </c>
      <c r="J4" s="2244"/>
      <c r="K4" s="2245" t="s">
        <v>13</v>
      </c>
      <c r="L4" s="2246"/>
      <c r="M4" s="2245" t="s">
        <v>67</v>
      </c>
      <c r="N4" s="2246"/>
      <c r="O4" s="2245" t="s">
        <v>68</v>
      </c>
      <c r="P4" s="2246"/>
      <c r="Q4" s="2245" t="s">
        <v>114</v>
      </c>
      <c r="R4" s="2246"/>
      <c r="S4" s="2244" t="s">
        <v>35</v>
      </c>
      <c r="T4" s="2244"/>
      <c r="U4" s="2245" t="s">
        <v>17</v>
      </c>
      <c r="V4" s="2246"/>
      <c r="W4" s="2247" t="s">
        <v>36</v>
      </c>
      <c r="X4" s="2248"/>
      <c r="Y4" s="2238" t="s">
        <v>30</v>
      </c>
    </row>
    <row r="5" spans="1:25" s="78" customFormat="1" ht="25.5" customHeight="1" x14ac:dyDescent="0.25">
      <c r="A5" s="2243"/>
      <c r="B5" s="2243"/>
      <c r="C5" s="77" t="s">
        <v>42</v>
      </c>
      <c r="D5" s="77" t="s">
        <v>43</v>
      </c>
      <c r="E5" s="77" t="s">
        <v>42</v>
      </c>
      <c r="F5" s="77" t="s">
        <v>43</v>
      </c>
      <c r="G5" s="77" t="s">
        <v>42</v>
      </c>
      <c r="H5" s="77" t="s">
        <v>43</v>
      </c>
      <c r="I5" s="77" t="s">
        <v>42</v>
      </c>
      <c r="J5" s="77" t="s">
        <v>43</v>
      </c>
      <c r="K5" s="77" t="s">
        <v>42</v>
      </c>
      <c r="L5" s="77" t="s">
        <v>43</v>
      </c>
      <c r="M5" s="77" t="s">
        <v>42</v>
      </c>
      <c r="N5" s="77" t="s">
        <v>43</v>
      </c>
      <c r="O5" s="77" t="s">
        <v>42</v>
      </c>
      <c r="P5" s="77" t="s">
        <v>43</v>
      </c>
      <c r="Q5" s="77" t="s">
        <v>42</v>
      </c>
      <c r="R5" s="77" t="s">
        <v>43</v>
      </c>
      <c r="S5" s="33" t="s">
        <v>42</v>
      </c>
      <c r="T5" s="33" t="s">
        <v>43</v>
      </c>
      <c r="U5" s="30" t="s">
        <v>42</v>
      </c>
      <c r="V5" s="30" t="s">
        <v>43</v>
      </c>
      <c r="W5" s="30" t="s">
        <v>42</v>
      </c>
      <c r="X5" s="30" t="s">
        <v>43</v>
      </c>
      <c r="Y5" s="2239"/>
    </row>
    <row r="6" spans="1:25" ht="34.5" customHeight="1" x14ac:dyDescent="0.25">
      <c r="A6" s="12">
        <v>1409935200</v>
      </c>
      <c r="B6" s="76" t="s">
        <v>71</v>
      </c>
      <c r="C6" s="74">
        <v>30423</v>
      </c>
      <c r="D6" s="73">
        <f>0.9725*C6</f>
        <v>29586.3675</v>
      </c>
      <c r="E6" s="74"/>
      <c r="F6" s="74">
        <f>13.7*E6</f>
        <v>0</v>
      </c>
      <c r="G6" s="74"/>
      <c r="H6" s="74">
        <f>28.2*G6</f>
        <v>0</v>
      </c>
      <c r="I6" s="74">
        <v>310</v>
      </c>
      <c r="J6" s="74">
        <f>18.5*I6</f>
        <v>5735</v>
      </c>
      <c r="K6" s="74"/>
      <c r="L6" s="74">
        <f>19.5*K6</f>
        <v>0</v>
      </c>
      <c r="M6" s="74"/>
      <c r="N6" s="73">
        <f>M6*9.75</f>
        <v>0</v>
      </c>
      <c r="O6" s="74"/>
      <c r="P6" s="73">
        <f>O6*48.62</f>
        <v>0</v>
      </c>
      <c r="Q6" s="73"/>
      <c r="R6" s="73">
        <f>241*Q6</f>
        <v>0</v>
      </c>
      <c r="S6" s="74"/>
      <c r="T6" s="74">
        <f>241*S6</f>
        <v>0</v>
      </c>
      <c r="U6" s="74"/>
      <c r="V6" s="74">
        <f>232*U6</f>
        <v>0</v>
      </c>
      <c r="W6" s="74"/>
      <c r="X6" s="19">
        <f>W6*100</f>
        <v>0</v>
      </c>
      <c r="Y6" s="89">
        <f t="shared" ref="Y6:Y11" si="0">D6+F6+H6+J6+L6+N6+P6+R6+T6+V6+X6</f>
        <v>35321.3675</v>
      </c>
    </row>
    <row r="7" spans="1:25" ht="31.5" customHeight="1" x14ac:dyDescent="0.25">
      <c r="A7" s="12">
        <v>1984225578</v>
      </c>
      <c r="B7" s="76" t="s">
        <v>72</v>
      </c>
      <c r="C7" s="74">
        <v>45941</v>
      </c>
      <c r="D7" s="73">
        <f t="shared" ref="D7:D11" si="1">0.9725*C7</f>
        <v>44677.622500000005</v>
      </c>
      <c r="E7" s="74"/>
      <c r="F7" s="74">
        <f t="shared" ref="F7:F11" si="2">13.7*E7</f>
        <v>0</v>
      </c>
      <c r="G7" s="74">
        <v>50</v>
      </c>
      <c r="H7" s="74">
        <f t="shared" ref="H7:H11" si="3">28.2*G7</f>
        <v>1410</v>
      </c>
      <c r="I7" s="74">
        <v>510</v>
      </c>
      <c r="J7" s="74">
        <f t="shared" ref="J7:J11" si="4">18.5*I7</f>
        <v>9435</v>
      </c>
      <c r="K7" s="74">
        <v>100</v>
      </c>
      <c r="L7" s="74">
        <f t="shared" ref="L7:L11" si="5">19.5*K7</f>
        <v>1950</v>
      </c>
      <c r="M7" s="74"/>
      <c r="N7" s="73">
        <f t="shared" ref="N7:N11" si="6">M7*9.75</f>
        <v>0</v>
      </c>
      <c r="O7" s="74"/>
      <c r="P7" s="73">
        <f t="shared" ref="P7:P11" si="7">O7*48.62</f>
        <v>0</v>
      </c>
      <c r="Q7" s="73"/>
      <c r="R7" s="73">
        <f t="shared" ref="R7:R11" si="8">241*Q7</f>
        <v>0</v>
      </c>
      <c r="S7" s="74"/>
      <c r="T7" s="74">
        <f t="shared" ref="T7:T11" si="9">241*S7</f>
        <v>0</v>
      </c>
      <c r="U7" s="74"/>
      <c r="V7" s="74">
        <f t="shared" ref="V7:V11" si="10">232*U7</f>
        <v>0</v>
      </c>
      <c r="W7" s="74"/>
      <c r="X7" s="19">
        <f t="shared" ref="X7:X11" si="11">W7*100</f>
        <v>0</v>
      </c>
      <c r="Y7" s="89">
        <f t="shared" si="0"/>
        <v>57472.622500000005</v>
      </c>
    </row>
    <row r="8" spans="1:25" ht="35.25" customHeight="1" x14ac:dyDescent="0.25">
      <c r="A8" s="12">
        <v>1967020280</v>
      </c>
      <c r="B8" s="76" t="s">
        <v>73</v>
      </c>
      <c r="C8" s="74">
        <v>29042</v>
      </c>
      <c r="D8" s="73">
        <f t="shared" si="1"/>
        <v>28243.345000000001</v>
      </c>
      <c r="E8" s="74"/>
      <c r="F8" s="74">
        <f t="shared" si="2"/>
        <v>0</v>
      </c>
      <c r="G8" s="74"/>
      <c r="H8" s="74">
        <f t="shared" si="3"/>
        <v>0</v>
      </c>
      <c r="I8" s="74">
        <v>410</v>
      </c>
      <c r="J8" s="74">
        <f t="shared" si="4"/>
        <v>7585</v>
      </c>
      <c r="K8" s="74"/>
      <c r="L8" s="74">
        <f t="shared" si="5"/>
        <v>0</v>
      </c>
      <c r="M8" s="74"/>
      <c r="N8" s="73">
        <f t="shared" si="6"/>
        <v>0</v>
      </c>
      <c r="O8" s="74"/>
      <c r="P8" s="73">
        <f t="shared" si="7"/>
        <v>0</v>
      </c>
      <c r="Q8" s="73"/>
      <c r="R8" s="73">
        <f t="shared" si="8"/>
        <v>0</v>
      </c>
      <c r="S8" s="74"/>
      <c r="T8" s="74">
        <f t="shared" si="9"/>
        <v>0</v>
      </c>
      <c r="U8" s="74"/>
      <c r="V8" s="74">
        <f t="shared" si="10"/>
        <v>0</v>
      </c>
      <c r="W8" s="74"/>
      <c r="X8" s="19">
        <f t="shared" si="11"/>
        <v>0</v>
      </c>
      <c r="Y8" s="89">
        <f t="shared" si="0"/>
        <v>35828.345000000001</v>
      </c>
    </row>
    <row r="9" spans="1:25" ht="38.25" customHeight="1" x14ac:dyDescent="0.25">
      <c r="A9" s="12">
        <v>1409935199</v>
      </c>
      <c r="B9" s="76" t="s">
        <v>74</v>
      </c>
      <c r="C9" s="74">
        <v>24769</v>
      </c>
      <c r="D9" s="73">
        <f t="shared" si="1"/>
        <v>24087.852500000001</v>
      </c>
      <c r="E9" s="74"/>
      <c r="F9" s="74">
        <f t="shared" si="2"/>
        <v>0</v>
      </c>
      <c r="G9" s="74"/>
      <c r="H9" s="74">
        <f t="shared" si="3"/>
        <v>0</v>
      </c>
      <c r="I9" s="74"/>
      <c r="J9" s="74">
        <f t="shared" si="4"/>
        <v>0</v>
      </c>
      <c r="K9" s="74"/>
      <c r="L9" s="74">
        <f t="shared" si="5"/>
        <v>0</v>
      </c>
      <c r="M9" s="74"/>
      <c r="N9" s="73">
        <f t="shared" si="6"/>
        <v>0</v>
      </c>
      <c r="O9" s="74"/>
      <c r="P9" s="73">
        <f t="shared" si="7"/>
        <v>0</v>
      </c>
      <c r="Q9" s="73"/>
      <c r="R9" s="73">
        <f t="shared" si="8"/>
        <v>0</v>
      </c>
      <c r="S9" s="74"/>
      <c r="T9" s="74">
        <f t="shared" si="9"/>
        <v>0</v>
      </c>
      <c r="U9" s="74"/>
      <c r="V9" s="74">
        <f t="shared" si="10"/>
        <v>0</v>
      </c>
      <c r="W9" s="74"/>
      <c r="X9" s="19">
        <f t="shared" si="11"/>
        <v>0</v>
      </c>
      <c r="Y9" s="89">
        <f t="shared" si="0"/>
        <v>24087.852500000001</v>
      </c>
    </row>
    <row r="10" spans="1:25" ht="35.25" customHeight="1" x14ac:dyDescent="0.25">
      <c r="A10" s="12">
        <v>1984225580</v>
      </c>
      <c r="B10" s="76" t="s">
        <v>75</v>
      </c>
      <c r="C10" s="74">
        <v>36718</v>
      </c>
      <c r="D10" s="73">
        <f t="shared" si="1"/>
        <v>35708.255000000005</v>
      </c>
      <c r="E10" s="74"/>
      <c r="F10" s="74">
        <f t="shared" si="2"/>
        <v>0</v>
      </c>
      <c r="G10" s="74"/>
      <c r="H10" s="74">
        <f t="shared" si="3"/>
        <v>0</v>
      </c>
      <c r="I10" s="74">
        <v>20</v>
      </c>
      <c r="J10" s="74">
        <f t="shared" si="4"/>
        <v>370</v>
      </c>
      <c r="K10" s="74"/>
      <c r="L10" s="74">
        <f t="shared" si="5"/>
        <v>0</v>
      </c>
      <c r="M10" s="74"/>
      <c r="N10" s="73">
        <f t="shared" si="6"/>
        <v>0</v>
      </c>
      <c r="O10" s="74"/>
      <c r="P10" s="73">
        <f t="shared" si="7"/>
        <v>0</v>
      </c>
      <c r="Q10" s="73"/>
      <c r="R10" s="73">
        <f t="shared" si="8"/>
        <v>0</v>
      </c>
      <c r="S10" s="74"/>
      <c r="T10" s="74">
        <f t="shared" si="9"/>
        <v>0</v>
      </c>
      <c r="U10" s="74"/>
      <c r="V10" s="74">
        <f t="shared" si="10"/>
        <v>0</v>
      </c>
      <c r="W10" s="74"/>
      <c r="X10" s="19">
        <f t="shared" si="11"/>
        <v>0</v>
      </c>
      <c r="Y10" s="89">
        <f t="shared" si="0"/>
        <v>36078.255000000005</v>
      </c>
    </row>
    <row r="11" spans="1:25" ht="37.5" customHeight="1" x14ac:dyDescent="0.25">
      <c r="A11" s="12"/>
      <c r="B11" s="75"/>
      <c r="C11" s="74"/>
      <c r="D11" s="22">
        <f t="shared" si="1"/>
        <v>0</v>
      </c>
      <c r="E11" s="74"/>
      <c r="F11" s="74">
        <f t="shared" si="2"/>
        <v>0</v>
      </c>
      <c r="G11" s="74"/>
      <c r="H11" s="74">
        <f t="shared" si="3"/>
        <v>0</v>
      </c>
      <c r="I11" s="74"/>
      <c r="J11" s="74">
        <f t="shared" si="4"/>
        <v>0</v>
      </c>
      <c r="K11" s="74"/>
      <c r="L11" s="74">
        <f t="shared" si="5"/>
        <v>0</v>
      </c>
      <c r="M11" s="74"/>
      <c r="N11" s="73">
        <f t="shared" si="6"/>
        <v>0</v>
      </c>
      <c r="O11" s="74"/>
      <c r="P11" s="73">
        <f t="shared" si="7"/>
        <v>0</v>
      </c>
      <c r="Q11" s="73"/>
      <c r="R11" s="73">
        <f t="shared" si="8"/>
        <v>0</v>
      </c>
      <c r="S11" s="74"/>
      <c r="T11" s="74">
        <f t="shared" si="9"/>
        <v>0</v>
      </c>
      <c r="U11" s="74"/>
      <c r="V11" s="74">
        <f t="shared" si="10"/>
        <v>0</v>
      </c>
      <c r="W11" s="74"/>
      <c r="X11" s="19">
        <f t="shared" si="11"/>
        <v>0</v>
      </c>
      <c r="Y11" s="20">
        <f t="shared" si="0"/>
        <v>0</v>
      </c>
    </row>
    <row r="12" spans="1:25" ht="29.25" customHeight="1" x14ac:dyDescent="0.25">
      <c r="A12" s="2235" t="s">
        <v>31</v>
      </c>
      <c r="B12" s="2235"/>
      <c r="C12" s="18">
        <f t="shared" ref="C12:Y12" si="12">SUM(C6:C11)</f>
        <v>166893</v>
      </c>
      <c r="D12" s="18">
        <f t="shared" si="12"/>
        <v>162303.4425</v>
      </c>
      <c r="E12" s="18">
        <f t="shared" si="12"/>
        <v>0</v>
      </c>
      <c r="F12" s="18">
        <f t="shared" si="12"/>
        <v>0</v>
      </c>
      <c r="G12" s="18">
        <f t="shared" si="12"/>
        <v>50</v>
      </c>
      <c r="H12" s="18">
        <f t="shared" si="12"/>
        <v>1410</v>
      </c>
      <c r="I12" s="18">
        <f t="shared" si="12"/>
        <v>1250</v>
      </c>
      <c r="J12" s="18">
        <f t="shared" si="12"/>
        <v>23125</v>
      </c>
      <c r="K12" s="18">
        <f t="shared" si="12"/>
        <v>100</v>
      </c>
      <c r="L12" s="18">
        <f t="shared" si="12"/>
        <v>1950</v>
      </c>
      <c r="M12" s="18">
        <f t="shared" si="12"/>
        <v>0</v>
      </c>
      <c r="N12" s="23">
        <f t="shared" si="12"/>
        <v>0</v>
      </c>
      <c r="O12" s="18">
        <f t="shared" si="12"/>
        <v>0</v>
      </c>
      <c r="P12" s="23">
        <f t="shared" si="12"/>
        <v>0</v>
      </c>
      <c r="Q12" s="23">
        <f t="shared" si="12"/>
        <v>0</v>
      </c>
      <c r="R12" s="23">
        <f>SUM(R6:R11)</f>
        <v>0</v>
      </c>
      <c r="S12" s="18">
        <f t="shared" si="12"/>
        <v>0</v>
      </c>
      <c r="T12" s="18">
        <f t="shared" si="12"/>
        <v>0</v>
      </c>
      <c r="U12" s="18">
        <f t="shared" si="12"/>
        <v>0</v>
      </c>
      <c r="V12" s="18">
        <f t="shared" si="12"/>
        <v>0</v>
      </c>
      <c r="W12" s="18">
        <f t="shared" si="12"/>
        <v>0</v>
      </c>
      <c r="X12" s="18">
        <f t="shared" si="12"/>
        <v>0</v>
      </c>
      <c r="Y12" s="18">
        <f t="shared" si="12"/>
        <v>188788.4425</v>
      </c>
    </row>
    <row r="14" spans="1:25" ht="32.25" customHeight="1" x14ac:dyDescent="0.25">
      <c r="A14" s="30" t="s">
        <v>32</v>
      </c>
      <c r="B14" s="2236" t="s">
        <v>27</v>
      </c>
      <c r="C14" s="2236"/>
      <c r="D14" s="30" t="s">
        <v>33</v>
      </c>
      <c r="E14" s="30" t="s">
        <v>65</v>
      </c>
      <c r="F14" s="30" t="s">
        <v>34</v>
      </c>
      <c r="G14" s="30" t="s">
        <v>13</v>
      </c>
      <c r="H14" s="31" t="s">
        <v>45</v>
      </c>
      <c r="I14" s="30" t="s">
        <v>17</v>
      </c>
      <c r="J14" s="30" t="s">
        <v>66</v>
      </c>
      <c r="K14" s="30" t="s">
        <v>36</v>
      </c>
      <c r="L14" s="30" t="s">
        <v>37</v>
      </c>
      <c r="M14" s="30" t="s">
        <v>69</v>
      </c>
      <c r="N14" s="30" t="s">
        <v>70</v>
      </c>
      <c r="O14" s="86" t="s">
        <v>114</v>
      </c>
      <c r="P14" s="86" t="s">
        <v>99</v>
      </c>
      <c r="Q14" s="15"/>
      <c r="R14" s="15"/>
      <c r="T14" s="2235" t="s">
        <v>46</v>
      </c>
      <c r="U14" s="76" t="s">
        <v>54</v>
      </c>
      <c r="V14" s="2260">
        <v>13241</v>
      </c>
      <c r="W14" s="2268"/>
      <c r="X14" s="2261"/>
    </row>
    <row r="15" spans="1:25" ht="22.5" customHeight="1" x14ac:dyDescent="0.25">
      <c r="A15" s="11" t="s">
        <v>38</v>
      </c>
      <c r="B15" s="2260">
        <v>279128</v>
      </c>
      <c r="C15" s="2261"/>
      <c r="D15" s="87">
        <v>0</v>
      </c>
      <c r="E15" s="87">
        <v>150</v>
      </c>
      <c r="F15" s="87">
        <v>1450</v>
      </c>
      <c r="G15" s="87">
        <v>100</v>
      </c>
      <c r="H15" s="87">
        <v>40</v>
      </c>
      <c r="I15" s="87">
        <v>0</v>
      </c>
      <c r="J15" s="87">
        <v>25</v>
      </c>
      <c r="K15" s="87">
        <v>30</v>
      </c>
      <c r="L15" s="87">
        <v>92</v>
      </c>
      <c r="M15" s="87">
        <v>50</v>
      </c>
      <c r="N15" s="87">
        <v>100</v>
      </c>
      <c r="O15" s="87">
        <v>5</v>
      </c>
      <c r="P15" s="87">
        <v>1397</v>
      </c>
      <c r="Q15" s="21"/>
      <c r="R15" s="21"/>
      <c r="T15" s="2235"/>
      <c r="U15" s="76" t="s">
        <v>64</v>
      </c>
      <c r="V15" s="2262">
        <v>12531</v>
      </c>
      <c r="W15" s="2262"/>
      <c r="X15" s="2262"/>
    </row>
    <row r="16" spans="1:25" ht="24.75" customHeight="1" x14ac:dyDescent="0.25">
      <c r="A16" s="11" t="s">
        <v>39</v>
      </c>
      <c r="B16" s="2260">
        <v>71186</v>
      </c>
      <c r="C16" s="2261"/>
      <c r="D16" s="87">
        <v>2500</v>
      </c>
      <c r="E16" s="87"/>
      <c r="F16" s="87"/>
      <c r="G16" s="87"/>
      <c r="H16" s="87"/>
      <c r="I16" s="87"/>
      <c r="J16" s="87"/>
      <c r="K16" s="87"/>
      <c r="L16" s="87">
        <v>10</v>
      </c>
      <c r="M16" s="87"/>
      <c r="N16" s="87"/>
      <c r="O16" s="87"/>
      <c r="P16" s="87"/>
      <c r="Q16" s="21"/>
      <c r="R16" s="21"/>
      <c r="T16" s="2254" t="s">
        <v>55</v>
      </c>
      <c r="U16" s="2254"/>
      <c r="V16" s="2267">
        <f>Y12</f>
        <v>188788.4425</v>
      </c>
      <c r="W16" s="2267"/>
      <c r="X16" s="2262"/>
    </row>
    <row r="17" spans="1:25" ht="33" customHeight="1" x14ac:dyDescent="0.25">
      <c r="A17" s="85" t="s">
        <v>44</v>
      </c>
      <c r="B17" s="2260"/>
      <c r="C17" s="2261"/>
      <c r="D17" s="87"/>
      <c r="E17" s="87"/>
      <c r="F17" s="87"/>
      <c r="G17" s="87"/>
      <c r="H17" s="87"/>
      <c r="I17" s="87"/>
      <c r="J17" s="87"/>
      <c r="K17" s="87"/>
      <c r="L17" s="87"/>
      <c r="M17" s="87"/>
      <c r="N17" s="87"/>
      <c r="O17" s="87"/>
      <c r="P17" s="87"/>
      <c r="Q17" s="21"/>
      <c r="R17" s="21"/>
      <c r="T17" s="2254" t="s">
        <v>104</v>
      </c>
      <c r="U17" s="2254"/>
      <c r="V17" s="2262"/>
      <c r="W17" s="2262"/>
      <c r="X17" s="2262"/>
    </row>
    <row r="18" spans="1:25" ht="27" customHeight="1" x14ac:dyDescent="0.25">
      <c r="A18" s="11" t="s">
        <v>40</v>
      </c>
      <c r="B18" s="2264">
        <f>C12</f>
        <v>166893</v>
      </c>
      <c r="C18" s="2261"/>
      <c r="D18" s="88">
        <f>E12</f>
        <v>0</v>
      </c>
      <c r="E18" s="88">
        <f>G12</f>
        <v>50</v>
      </c>
      <c r="F18" s="88">
        <f>I12</f>
        <v>1250</v>
      </c>
      <c r="G18" s="88">
        <f>K12</f>
        <v>100</v>
      </c>
      <c r="H18" s="87">
        <v>10</v>
      </c>
      <c r="I18" s="88">
        <f>U12</f>
        <v>0</v>
      </c>
      <c r="J18" s="87"/>
      <c r="K18" s="88">
        <f>W12</f>
        <v>0</v>
      </c>
      <c r="L18" s="87"/>
      <c r="M18" s="88">
        <f>M12</f>
        <v>0</v>
      </c>
      <c r="N18" s="88"/>
      <c r="O18" s="90">
        <f>Q12</f>
        <v>0</v>
      </c>
      <c r="P18" s="87"/>
      <c r="Q18" s="21"/>
      <c r="R18" s="21"/>
      <c r="T18" s="2254" t="s">
        <v>57</v>
      </c>
      <c r="U18" s="2254"/>
      <c r="V18" s="2262">
        <v>530</v>
      </c>
      <c r="W18" s="2262"/>
      <c r="X18" s="2262"/>
      <c r="Y18" s="2259" t="s">
        <v>103</v>
      </c>
    </row>
    <row r="19" spans="1:25" ht="25.5" customHeight="1" x14ac:dyDescent="0.25">
      <c r="A19" s="11" t="s">
        <v>41</v>
      </c>
      <c r="B19" s="2260">
        <f>B15+B16+B17-B18</f>
        <v>183421</v>
      </c>
      <c r="C19" s="2261"/>
      <c r="D19" s="87">
        <f>D15+D16+D17-D18</f>
        <v>2500</v>
      </c>
      <c r="E19" s="87">
        <f t="shared" ref="E19:N19" si="13">E15+E16+E17-E18</f>
        <v>100</v>
      </c>
      <c r="F19" s="87">
        <f t="shared" si="13"/>
        <v>200</v>
      </c>
      <c r="G19" s="87">
        <f t="shared" si="13"/>
        <v>0</v>
      </c>
      <c r="H19" s="87">
        <f t="shared" si="13"/>
        <v>30</v>
      </c>
      <c r="I19" s="87">
        <f t="shared" si="13"/>
        <v>0</v>
      </c>
      <c r="J19" s="87">
        <f t="shared" si="13"/>
        <v>25</v>
      </c>
      <c r="K19" s="87">
        <f t="shared" si="13"/>
        <v>30</v>
      </c>
      <c r="L19" s="87">
        <f t="shared" si="13"/>
        <v>102</v>
      </c>
      <c r="M19" s="87">
        <f t="shared" si="13"/>
        <v>50</v>
      </c>
      <c r="N19" s="87">
        <f t="shared" si="13"/>
        <v>100</v>
      </c>
      <c r="O19" s="87">
        <f>O15+O16+O17-O18</f>
        <v>5</v>
      </c>
      <c r="P19" s="87">
        <f>P15+P16+P17-P18</f>
        <v>1397</v>
      </c>
      <c r="Q19" s="21"/>
      <c r="R19" s="21"/>
      <c r="T19" s="2256" t="s">
        <v>48</v>
      </c>
      <c r="U19" s="49" t="s">
        <v>58</v>
      </c>
      <c r="V19" s="2262">
        <v>182500</v>
      </c>
      <c r="W19" s="2262"/>
      <c r="X19" s="2262"/>
      <c r="Y19" s="2259"/>
    </row>
    <row r="20" spans="1:25" ht="23.25" customHeight="1" x14ac:dyDescent="0.25">
      <c r="A20" s="15"/>
      <c r="B20" s="10"/>
      <c r="C20" s="10"/>
      <c r="D20" s="10"/>
      <c r="E20" s="10"/>
      <c r="F20" s="10"/>
      <c r="G20" s="10"/>
      <c r="H20" s="10"/>
      <c r="I20" s="10"/>
      <c r="J20" s="10"/>
      <c r="K20" s="10"/>
      <c r="L20" s="10"/>
      <c r="M20" s="10"/>
      <c r="N20" s="10"/>
      <c r="O20" s="10"/>
      <c r="P20" s="10"/>
      <c r="Q20" s="10"/>
      <c r="R20" s="10"/>
      <c r="T20" s="2257"/>
      <c r="U20" s="49" t="s">
        <v>59</v>
      </c>
      <c r="V20" s="2262"/>
      <c r="W20" s="2262"/>
      <c r="X20" s="2262"/>
      <c r="Y20" s="2259"/>
    </row>
    <row r="21" spans="1:25" ht="33.75" customHeight="1" x14ac:dyDescent="0.25">
      <c r="A21" s="15"/>
      <c r="B21" s="10"/>
      <c r="C21" s="10"/>
      <c r="D21" s="10"/>
      <c r="E21" s="10"/>
      <c r="F21" s="10"/>
      <c r="G21" s="10"/>
      <c r="H21" s="10"/>
      <c r="I21" s="10"/>
      <c r="J21" s="10"/>
      <c r="K21" s="10"/>
      <c r="L21" s="10"/>
      <c r="M21" s="10"/>
      <c r="N21" s="10"/>
      <c r="O21" s="10"/>
      <c r="P21" s="10"/>
      <c r="Q21" s="10"/>
      <c r="R21" s="10"/>
      <c r="T21" s="2251" t="s">
        <v>83</v>
      </c>
      <c r="U21" s="50" t="s">
        <v>60</v>
      </c>
      <c r="V21" s="2262">
        <v>182800</v>
      </c>
      <c r="W21" s="2262"/>
      <c r="X21" s="2262"/>
      <c r="Y21" s="2259"/>
    </row>
    <row r="22" spans="1:25" ht="29.25" customHeight="1" x14ac:dyDescent="0.25">
      <c r="A22" s="10"/>
      <c r="B22" s="2258" t="s">
        <v>49</v>
      </c>
      <c r="C22" s="2265">
        <v>636071</v>
      </c>
      <c r="D22" s="2262">
        <v>182500</v>
      </c>
      <c r="E22" s="2262">
        <v>102417</v>
      </c>
      <c r="F22" s="2262">
        <f>C22-D22+E22</f>
        <v>555988</v>
      </c>
      <c r="G22" s="10"/>
      <c r="H22" s="10"/>
      <c r="I22" s="10"/>
      <c r="J22" s="10"/>
      <c r="K22" s="10"/>
      <c r="L22" s="10"/>
      <c r="M22" s="10"/>
      <c r="N22" s="10"/>
      <c r="O22" s="10"/>
      <c r="P22" s="10"/>
      <c r="Q22" s="10"/>
      <c r="R22" s="10"/>
      <c r="T22" s="2252"/>
      <c r="U22" s="50" t="s">
        <v>61</v>
      </c>
      <c r="V22" s="2262">
        <v>182500</v>
      </c>
      <c r="W22" s="2262"/>
      <c r="X22" s="2262"/>
      <c r="Y22" s="2259"/>
    </row>
    <row r="23" spans="1:25" ht="47.25" customHeight="1" x14ac:dyDescent="0.25">
      <c r="A23" s="10"/>
      <c r="B23" s="2258"/>
      <c r="C23" s="2266"/>
      <c r="D23" s="2262"/>
      <c r="E23" s="2262"/>
      <c r="F23" s="2262"/>
      <c r="G23" s="10"/>
      <c r="H23" s="10"/>
      <c r="I23" s="10"/>
      <c r="J23" s="10"/>
      <c r="K23" s="10"/>
      <c r="L23" s="10"/>
      <c r="M23" s="10"/>
      <c r="N23" s="10"/>
      <c r="O23" s="10"/>
      <c r="P23" s="10"/>
      <c r="Q23" s="10"/>
      <c r="R23" s="10"/>
      <c r="T23" s="2235" t="s">
        <v>47</v>
      </c>
      <c r="U23" s="51" t="s">
        <v>62</v>
      </c>
      <c r="V23" s="2263">
        <f>V14+V16+V17-V18-V19-V20-V21+V22</f>
        <v>18699.442500000005</v>
      </c>
      <c r="W23" s="2263"/>
      <c r="X23" s="2263"/>
      <c r="Y23" s="2259"/>
    </row>
    <row r="24" spans="1:25" ht="27" customHeight="1" x14ac:dyDescent="0.25">
      <c r="B24" s="2258"/>
      <c r="C24" s="76" t="s">
        <v>46</v>
      </c>
      <c r="D24" s="76" t="s">
        <v>50</v>
      </c>
      <c r="E24" s="76" t="s">
        <v>51</v>
      </c>
      <c r="F24" s="76" t="s">
        <v>52</v>
      </c>
      <c r="T24" s="2235"/>
      <c r="U24" s="51" t="s">
        <v>63</v>
      </c>
      <c r="V24" s="2262">
        <f>V15+V21-V22</f>
        <v>12831</v>
      </c>
      <c r="W24" s="2262"/>
      <c r="X24" s="2262"/>
    </row>
  </sheetData>
  <mergeCells count="48">
    <mergeCell ref="A1:Y1"/>
    <mergeCell ref="A2:Y2"/>
    <mergeCell ref="T3:Y3"/>
    <mergeCell ref="A4:A5"/>
    <mergeCell ref="B4:B5"/>
    <mergeCell ref="C4:D4"/>
    <mergeCell ref="E4:F4"/>
    <mergeCell ref="G4:H4"/>
    <mergeCell ref="I4:J4"/>
    <mergeCell ref="K4:L4"/>
    <mergeCell ref="Y4:Y5"/>
    <mergeCell ref="M4:N4"/>
    <mergeCell ref="O4:P4"/>
    <mergeCell ref="Q4:R4"/>
    <mergeCell ref="S4:T4"/>
    <mergeCell ref="U4:V4"/>
    <mergeCell ref="V18:X18"/>
    <mergeCell ref="B22:B24"/>
    <mergeCell ref="C22:C23"/>
    <mergeCell ref="W4:X4"/>
    <mergeCell ref="B16:C16"/>
    <mergeCell ref="T16:U16"/>
    <mergeCell ref="V16:X16"/>
    <mergeCell ref="B17:C17"/>
    <mergeCell ref="T17:U17"/>
    <mergeCell ref="V17:X17"/>
    <mergeCell ref="A12:B12"/>
    <mergeCell ref="B14:C14"/>
    <mergeCell ref="T14:T15"/>
    <mergeCell ref="V14:X14"/>
    <mergeCell ref="B15:C15"/>
    <mergeCell ref="V15:X15"/>
    <mergeCell ref="D22:D23"/>
    <mergeCell ref="E22:E23"/>
    <mergeCell ref="F22:F23"/>
    <mergeCell ref="Y18:Y23"/>
    <mergeCell ref="B19:C19"/>
    <mergeCell ref="T19:T20"/>
    <mergeCell ref="V19:X19"/>
    <mergeCell ref="V20:X20"/>
    <mergeCell ref="T21:T22"/>
    <mergeCell ref="V21:X21"/>
    <mergeCell ref="V22:X22"/>
    <mergeCell ref="T23:T24"/>
    <mergeCell ref="V23:X23"/>
    <mergeCell ref="V24:X24"/>
    <mergeCell ref="B18:C18"/>
    <mergeCell ref="T18:U18"/>
  </mergeCells>
  <pageMargins left="0.15748031496063" right="0.15748031496063" top="0" bottom="0" header="0" footer="0"/>
  <pageSetup paperSize="9" scale="51" orientation="landscape" r:id="rId1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100-000000000000}">
  <sheetPr>
    <pageSetUpPr fitToPage="1"/>
  </sheetPr>
  <dimension ref="A1:Y24"/>
  <sheetViews>
    <sheetView topLeftCell="A6" zoomScale="71" zoomScaleNormal="71" zoomScaleSheetLayoutView="100" workbookViewId="0">
      <selection activeCell="K23" sqref="K23"/>
    </sheetView>
  </sheetViews>
  <sheetFormatPr defaultColWidth="9.140625" defaultRowHeight="15" x14ac:dyDescent="0.25"/>
  <cols>
    <col min="1" max="1" width="18.85546875" style="14" customWidth="1"/>
    <col min="2" max="2" width="11.140625" style="14" customWidth="1"/>
    <col min="3" max="3" width="10.28515625" style="14" customWidth="1"/>
    <col min="4" max="4" width="11" style="14" customWidth="1"/>
    <col min="5" max="5" width="12" style="14" customWidth="1"/>
    <col min="6" max="6" width="12.5703125" style="14" bestFit="1" customWidth="1"/>
    <col min="7" max="7" width="9.28515625" style="14" bestFit="1" customWidth="1"/>
    <col min="8" max="8" width="10.140625" style="14" bestFit="1" customWidth="1"/>
    <col min="9" max="9" width="10.5703125" style="14" bestFit="1" customWidth="1"/>
    <col min="10" max="10" width="10.5703125" style="14" customWidth="1"/>
    <col min="11" max="11" width="10.28515625" style="14" bestFit="1" customWidth="1"/>
    <col min="12" max="12" width="9.42578125" style="14" bestFit="1" customWidth="1"/>
    <col min="13" max="13" width="9.85546875" style="14" bestFit="1" customWidth="1"/>
    <col min="14" max="14" width="10.140625" style="14" bestFit="1" customWidth="1"/>
    <col min="15" max="15" width="9" style="14" customWidth="1"/>
    <col min="16" max="16" width="12.85546875" style="14" bestFit="1" customWidth="1"/>
    <col min="17" max="18" width="9.42578125" style="14" customWidth="1"/>
    <col min="19" max="19" width="9.42578125" style="14" bestFit="1" customWidth="1"/>
    <col min="20" max="20" width="12.5703125" style="14" customWidth="1"/>
    <col min="21" max="21" width="16.7109375" style="14" customWidth="1"/>
    <col min="22" max="22" width="9.85546875" style="14" bestFit="1" customWidth="1"/>
    <col min="23" max="23" width="10.140625" style="14" bestFit="1" customWidth="1"/>
    <col min="24" max="24" width="9.85546875" style="14" bestFit="1" customWidth="1"/>
    <col min="25" max="25" width="15" style="14" customWidth="1"/>
    <col min="26" max="16384" width="9.140625" style="14"/>
  </cols>
  <sheetData>
    <row r="1" spans="1:25" ht="46.15" customHeight="1" x14ac:dyDescent="0.25">
      <c r="A1" s="2240" t="s">
        <v>76</v>
      </c>
      <c r="B1" s="2240"/>
      <c r="C1" s="2240"/>
      <c r="D1" s="2240"/>
      <c r="E1" s="2240"/>
      <c r="F1" s="2240"/>
      <c r="G1" s="2240"/>
      <c r="H1" s="2240"/>
      <c r="I1" s="2240"/>
      <c r="J1" s="2240"/>
      <c r="K1" s="2240"/>
      <c r="L1" s="2240"/>
      <c r="M1" s="2240"/>
      <c r="N1" s="2240"/>
      <c r="O1" s="2240"/>
      <c r="P1" s="2240"/>
      <c r="Q1" s="2240"/>
      <c r="R1" s="2240"/>
      <c r="S1" s="2240"/>
      <c r="T1" s="2240"/>
      <c r="U1" s="2240"/>
      <c r="V1" s="2240"/>
      <c r="W1" s="2240"/>
      <c r="X1" s="2240"/>
      <c r="Y1" s="2240"/>
    </row>
    <row r="2" spans="1:25" ht="21.6" customHeight="1" x14ac:dyDescent="0.25">
      <c r="A2" s="2241" t="s">
        <v>77</v>
      </c>
      <c r="B2" s="2241"/>
      <c r="C2" s="2241"/>
      <c r="D2" s="2241"/>
      <c r="E2" s="2241"/>
      <c r="F2" s="2241"/>
      <c r="G2" s="2241"/>
      <c r="H2" s="2241"/>
      <c r="I2" s="2241"/>
      <c r="J2" s="2241"/>
      <c r="K2" s="2241"/>
      <c r="L2" s="2241"/>
      <c r="M2" s="2241"/>
      <c r="N2" s="2241"/>
      <c r="O2" s="2241"/>
      <c r="P2" s="2241"/>
      <c r="Q2" s="2241"/>
      <c r="R2" s="2241"/>
      <c r="S2" s="2241"/>
      <c r="T2" s="2241"/>
      <c r="U2" s="2241"/>
      <c r="V2" s="2241"/>
      <c r="W2" s="2241"/>
      <c r="X2" s="2241"/>
      <c r="Y2" s="2241"/>
    </row>
    <row r="3" spans="1:25" ht="21" customHeight="1" x14ac:dyDescent="0.25">
      <c r="A3" s="78"/>
      <c r="B3" s="78"/>
      <c r="C3" s="78"/>
      <c r="D3" s="78"/>
      <c r="E3" s="78"/>
      <c r="F3" s="78"/>
      <c r="G3" s="78"/>
      <c r="H3" s="78"/>
      <c r="I3" s="78"/>
      <c r="J3" s="78"/>
      <c r="K3" s="78"/>
      <c r="L3" s="78"/>
      <c r="M3" s="78"/>
      <c r="N3" s="78"/>
      <c r="O3" s="78"/>
      <c r="P3" s="78"/>
      <c r="Q3" s="78"/>
      <c r="R3" s="78"/>
      <c r="S3" s="78"/>
      <c r="T3" s="2242" t="s">
        <v>119</v>
      </c>
      <c r="U3" s="2242"/>
      <c r="V3" s="2242"/>
      <c r="W3" s="2242"/>
      <c r="X3" s="2242"/>
      <c r="Y3" s="2242"/>
    </row>
    <row r="4" spans="1:25" s="78" customFormat="1" ht="18" customHeight="1" x14ac:dyDescent="0.25">
      <c r="A4" s="2243" t="s">
        <v>25</v>
      </c>
      <c r="B4" s="2243" t="s">
        <v>26</v>
      </c>
      <c r="C4" s="2244" t="s">
        <v>27</v>
      </c>
      <c r="D4" s="2244"/>
      <c r="E4" s="2244" t="s">
        <v>28</v>
      </c>
      <c r="F4" s="2244"/>
      <c r="G4" s="2244" t="s">
        <v>65</v>
      </c>
      <c r="H4" s="2244"/>
      <c r="I4" s="2244" t="s">
        <v>29</v>
      </c>
      <c r="J4" s="2244"/>
      <c r="K4" s="2245" t="s">
        <v>13</v>
      </c>
      <c r="L4" s="2246"/>
      <c r="M4" s="2245" t="s">
        <v>67</v>
      </c>
      <c r="N4" s="2246"/>
      <c r="O4" s="2245" t="s">
        <v>68</v>
      </c>
      <c r="P4" s="2246"/>
      <c r="Q4" s="2245" t="s">
        <v>114</v>
      </c>
      <c r="R4" s="2246"/>
      <c r="S4" s="2244" t="s">
        <v>35</v>
      </c>
      <c r="T4" s="2244"/>
      <c r="U4" s="2245" t="s">
        <v>17</v>
      </c>
      <c r="V4" s="2246"/>
      <c r="W4" s="2247" t="s">
        <v>36</v>
      </c>
      <c r="X4" s="2248"/>
      <c r="Y4" s="2238" t="s">
        <v>30</v>
      </c>
    </row>
    <row r="5" spans="1:25" s="78" customFormat="1" ht="25.5" customHeight="1" x14ac:dyDescent="0.25">
      <c r="A5" s="2243"/>
      <c r="B5" s="2243"/>
      <c r="C5" s="77" t="s">
        <v>42</v>
      </c>
      <c r="D5" s="77" t="s">
        <v>43</v>
      </c>
      <c r="E5" s="77" t="s">
        <v>42</v>
      </c>
      <c r="F5" s="77" t="s">
        <v>43</v>
      </c>
      <c r="G5" s="77" t="s">
        <v>42</v>
      </c>
      <c r="H5" s="77" t="s">
        <v>43</v>
      </c>
      <c r="I5" s="77" t="s">
        <v>42</v>
      </c>
      <c r="J5" s="77" t="s">
        <v>43</v>
      </c>
      <c r="K5" s="77" t="s">
        <v>42</v>
      </c>
      <c r="L5" s="77" t="s">
        <v>43</v>
      </c>
      <c r="M5" s="77" t="s">
        <v>42</v>
      </c>
      <c r="N5" s="77" t="s">
        <v>43</v>
      </c>
      <c r="O5" s="77" t="s">
        <v>42</v>
      </c>
      <c r="P5" s="77" t="s">
        <v>43</v>
      </c>
      <c r="Q5" s="77" t="s">
        <v>42</v>
      </c>
      <c r="R5" s="77" t="s">
        <v>43</v>
      </c>
      <c r="S5" s="33" t="s">
        <v>42</v>
      </c>
      <c r="T5" s="33" t="s">
        <v>43</v>
      </c>
      <c r="U5" s="30" t="s">
        <v>42</v>
      </c>
      <c r="V5" s="30" t="s">
        <v>43</v>
      </c>
      <c r="W5" s="30" t="s">
        <v>42</v>
      </c>
      <c r="X5" s="30" t="s">
        <v>43</v>
      </c>
      <c r="Y5" s="2239"/>
    </row>
    <row r="6" spans="1:25" ht="34.5" customHeight="1" x14ac:dyDescent="0.25">
      <c r="A6" s="12">
        <v>1409935200</v>
      </c>
      <c r="B6" s="76" t="s">
        <v>71</v>
      </c>
      <c r="C6" s="74">
        <v>17733</v>
      </c>
      <c r="D6" s="73">
        <f>0.9725*C6</f>
        <v>17245.342499999999</v>
      </c>
      <c r="E6" s="74"/>
      <c r="F6" s="74">
        <f>13.7*E6</f>
        <v>0</v>
      </c>
      <c r="G6" s="74"/>
      <c r="H6" s="74">
        <f>28.2*G6</f>
        <v>0</v>
      </c>
      <c r="I6" s="74"/>
      <c r="J6" s="74">
        <f>18.5*I6</f>
        <v>0</v>
      </c>
      <c r="K6" s="74"/>
      <c r="L6" s="74">
        <f>19.5*K6</f>
        <v>0</v>
      </c>
      <c r="M6" s="74"/>
      <c r="N6" s="73">
        <f>M6*9.75</f>
        <v>0</v>
      </c>
      <c r="O6" s="74"/>
      <c r="P6" s="73">
        <f>O6*48.62</f>
        <v>0</v>
      </c>
      <c r="Q6" s="73"/>
      <c r="R6" s="73">
        <f>241*Q6</f>
        <v>0</v>
      </c>
      <c r="S6" s="74"/>
      <c r="T6" s="74">
        <f>241*S6</f>
        <v>0</v>
      </c>
      <c r="U6" s="74"/>
      <c r="V6" s="74">
        <f>232*U6</f>
        <v>0</v>
      </c>
      <c r="W6" s="74"/>
      <c r="X6" s="19">
        <f>W6*100</f>
        <v>0</v>
      </c>
      <c r="Y6" s="89">
        <f t="shared" ref="Y6:Y11" si="0">D6+F6+H6+J6+L6+N6+P6+R6+T6+V6+X6</f>
        <v>17245.342499999999</v>
      </c>
    </row>
    <row r="7" spans="1:25" ht="31.5" customHeight="1" x14ac:dyDescent="0.25">
      <c r="A7" s="12">
        <v>1984225578</v>
      </c>
      <c r="B7" s="76" t="s">
        <v>72</v>
      </c>
      <c r="C7" s="74">
        <v>31000</v>
      </c>
      <c r="D7" s="73">
        <f t="shared" ref="D7:D11" si="1">0.9725*C7</f>
        <v>30147.5</v>
      </c>
      <c r="E7" s="74"/>
      <c r="F7" s="74">
        <f t="shared" ref="F7:F11" si="2">13.7*E7</f>
        <v>0</v>
      </c>
      <c r="G7" s="74"/>
      <c r="H7" s="74">
        <f t="shared" ref="H7:H11" si="3">28.2*G7</f>
        <v>0</v>
      </c>
      <c r="I7" s="74"/>
      <c r="J7" s="74">
        <f t="shared" ref="J7:J11" si="4">18.5*I7</f>
        <v>0</v>
      </c>
      <c r="K7" s="74"/>
      <c r="L7" s="74">
        <f t="shared" ref="L7:L11" si="5">19.5*K7</f>
        <v>0</v>
      </c>
      <c r="M7" s="74"/>
      <c r="N7" s="73">
        <f t="shared" ref="N7:N11" si="6">M7*9.75</f>
        <v>0</v>
      </c>
      <c r="O7" s="74"/>
      <c r="P7" s="73">
        <f t="shared" ref="P7:P11" si="7">O7*48.62</f>
        <v>0</v>
      </c>
      <c r="Q7" s="73"/>
      <c r="R7" s="73">
        <f t="shared" ref="R7:R11" si="8">241*Q7</f>
        <v>0</v>
      </c>
      <c r="S7" s="74"/>
      <c r="T7" s="74">
        <f t="shared" ref="T7:T11" si="9">241*S7</f>
        <v>0</v>
      </c>
      <c r="U7" s="74"/>
      <c r="V7" s="74">
        <f t="shared" ref="V7:V11" si="10">232*U7</f>
        <v>0</v>
      </c>
      <c r="W7" s="74"/>
      <c r="X7" s="19">
        <f t="shared" ref="X7:X11" si="11">W7*100</f>
        <v>0</v>
      </c>
      <c r="Y7" s="89">
        <f t="shared" si="0"/>
        <v>30147.5</v>
      </c>
    </row>
    <row r="8" spans="1:25" ht="35.25" customHeight="1" x14ac:dyDescent="0.25">
      <c r="A8" s="12">
        <v>1967020280</v>
      </c>
      <c r="B8" s="76" t="s">
        <v>73</v>
      </c>
      <c r="C8" s="74">
        <v>18500</v>
      </c>
      <c r="D8" s="73">
        <f t="shared" si="1"/>
        <v>17991.25</v>
      </c>
      <c r="E8" s="74"/>
      <c r="F8" s="74">
        <f t="shared" si="2"/>
        <v>0</v>
      </c>
      <c r="G8" s="74"/>
      <c r="H8" s="74">
        <f t="shared" si="3"/>
        <v>0</v>
      </c>
      <c r="I8" s="74"/>
      <c r="J8" s="74">
        <f t="shared" si="4"/>
        <v>0</v>
      </c>
      <c r="K8" s="74"/>
      <c r="L8" s="74">
        <f t="shared" si="5"/>
        <v>0</v>
      </c>
      <c r="M8" s="74"/>
      <c r="N8" s="73">
        <f t="shared" si="6"/>
        <v>0</v>
      </c>
      <c r="O8" s="74"/>
      <c r="P8" s="73">
        <f t="shared" si="7"/>
        <v>0</v>
      </c>
      <c r="Q8" s="73"/>
      <c r="R8" s="73">
        <f t="shared" si="8"/>
        <v>0</v>
      </c>
      <c r="S8" s="74"/>
      <c r="T8" s="74">
        <f t="shared" si="9"/>
        <v>0</v>
      </c>
      <c r="U8" s="74"/>
      <c r="V8" s="74">
        <f t="shared" si="10"/>
        <v>0</v>
      </c>
      <c r="W8" s="74"/>
      <c r="X8" s="19">
        <f t="shared" si="11"/>
        <v>0</v>
      </c>
      <c r="Y8" s="89">
        <f t="shared" si="0"/>
        <v>17991.25</v>
      </c>
    </row>
    <row r="9" spans="1:25" ht="38.25" customHeight="1" x14ac:dyDescent="0.25">
      <c r="A9" s="12">
        <v>1409935199</v>
      </c>
      <c r="B9" s="76" t="s">
        <v>74</v>
      </c>
      <c r="C9" s="74">
        <v>18396</v>
      </c>
      <c r="D9" s="73">
        <f t="shared" si="1"/>
        <v>17890.11</v>
      </c>
      <c r="E9" s="74"/>
      <c r="F9" s="74">
        <f t="shared" si="2"/>
        <v>0</v>
      </c>
      <c r="G9" s="74"/>
      <c r="H9" s="74">
        <f t="shared" si="3"/>
        <v>0</v>
      </c>
      <c r="I9" s="74"/>
      <c r="J9" s="74">
        <f t="shared" si="4"/>
        <v>0</v>
      </c>
      <c r="K9" s="74"/>
      <c r="L9" s="74">
        <f t="shared" si="5"/>
        <v>0</v>
      </c>
      <c r="M9" s="74"/>
      <c r="N9" s="73">
        <f t="shared" si="6"/>
        <v>0</v>
      </c>
      <c r="O9" s="74"/>
      <c r="P9" s="73">
        <f t="shared" si="7"/>
        <v>0</v>
      </c>
      <c r="Q9" s="73"/>
      <c r="R9" s="73">
        <f t="shared" si="8"/>
        <v>0</v>
      </c>
      <c r="S9" s="74"/>
      <c r="T9" s="74">
        <f t="shared" si="9"/>
        <v>0</v>
      </c>
      <c r="U9" s="74"/>
      <c r="V9" s="74">
        <f t="shared" si="10"/>
        <v>0</v>
      </c>
      <c r="W9" s="74"/>
      <c r="X9" s="19">
        <f t="shared" si="11"/>
        <v>0</v>
      </c>
      <c r="Y9" s="89">
        <f t="shared" si="0"/>
        <v>17890.11</v>
      </c>
    </row>
    <row r="10" spans="1:25" ht="35.25" customHeight="1" x14ac:dyDescent="0.25">
      <c r="A10" s="12">
        <v>1984225580</v>
      </c>
      <c r="B10" s="76" t="s">
        <v>75</v>
      </c>
      <c r="C10" s="74">
        <v>14609</v>
      </c>
      <c r="D10" s="73">
        <f t="shared" si="1"/>
        <v>14207.252500000001</v>
      </c>
      <c r="E10" s="74"/>
      <c r="F10" s="74">
        <f t="shared" si="2"/>
        <v>0</v>
      </c>
      <c r="G10" s="74"/>
      <c r="H10" s="74">
        <f t="shared" si="3"/>
        <v>0</v>
      </c>
      <c r="I10" s="74"/>
      <c r="J10" s="74">
        <f t="shared" si="4"/>
        <v>0</v>
      </c>
      <c r="K10" s="74"/>
      <c r="L10" s="74">
        <f t="shared" si="5"/>
        <v>0</v>
      </c>
      <c r="M10" s="74"/>
      <c r="N10" s="73">
        <f t="shared" si="6"/>
        <v>0</v>
      </c>
      <c r="O10" s="74"/>
      <c r="P10" s="73">
        <f t="shared" si="7"/>
        <v>0</v>
      </c>
      <c r="Q10" s="73"/>
      <c r="R10" s="73">
        <f t="shared" si="8"/>
        <v>0</v>
      </c>
      <c r="S10" s="74"/>
      <c r="T10" s="74">
        <f t="shared" si="9"/>
        <v>0</v>
      </c>
      <c r="U10" s="74"/>
      <c r="V10" s="74">
        <f t="shared" si="10"/>
        <v>0</v>
      </c>
      <c r="W10" s="74"/>
      <c r="X10" s="19">
        <f t="shared" si="11"/>
        <v>0</v>
      </c>
      <c r="Y10" s="89">
        <f t="shared" si="0"/>
        <v>14207.252500000001</v>
      </c>
    </row>
    <row r="11" spans="1:25" ht="37.5" customHeight="1" x14ac:dyDescent="0.25">
      <c r="A11" s="12"/>
      <c r="B11" s="75"/>
      <c r="C11" s="74"/>
      <c r="D11" s="22">
        <f t="shared" si="1"/>
        <v>0</v>
      </c>
      <c r="E11" s="74"/>
      <c r="F11" s="74">
        <f t="shared" si="2"/>
        <v>0</v>
      </c>
      <c r="G11" s="74"/>
      <c r="H11" s="74">
        <f t="shared" si="3"/>
        <v>0</v>
      </c>
      <c r="I11" s="74"/>
      <c r="J11" s="74">
        <f t="shared" si="4"/>
        <v>0</v>
      </c>
      <c r="K11" s="74"/>
      <c r="L11" s="74">
        <f t="shared" si="5"/>
        <v>0</v>
      </c>
      <c r="M11" s="74"/>
      <c r="N11" s="73">
        <f t="shared" si="6"/>
        <v>0</v>
      </c>
      <c r="O11" s="74"/>
      <c r="P11" s="73">
        <f t="shared" si="7"/>
        <v>0</v>
      </c>
      <c r="Q11" s="73"/>
      <c r="R11" s="73">
        <f t="shared" si="8"/>
        <v>0</v>
      </c>
      <c r="S11" s="74">
        <v>9</v>
      </c>
      <c r="T11" s="74">
        <f t="shared" si="9"/>
        <v>2169</v>
      </c>
      <c r="U11" s="74"/>
      <c r="V11" s="74">
        <f t="shared" si="10"/>
        <v>0</v>
      </c>
      <c r="W11" s="74"/>
      <c r="X11" s="19">
        <f t="shared" si="11"/>
        <v>0</v>
      </c>
      <c r="Y11" s="20">
        <f t="shared" si="0"/>
        <v>2169</v>
      </c>
    </row>
    <row r="12" spans="1:25" ht="29.25" customHeight="1" x14ac:dyDescent="0.25">
      <c r="A12" s="2235" t="s">
        <v>31</v>
      </c>
      <c r="B12" s="2235"/>
      <c r="C12" s="18">
        <f t="shared" ref="C12:Y12" si="12">SUM(C6:C11)</f>
        <v>100238</v>
      </c>
      <c r="D12" s="18">
        <f t="shared" si="12"/>
        <v>97481.455000000002</v>
      </c>
      <c r="E12" s="18">
        <f t="shared" si="12"/>
        <v>0</v>
      </c>
      <c r="F12" s="18">
        <f t="shared" si="12"/>
        <v>0</v>
      </c>
      <c r="G12" s="18">
        <f t="shared" si="12"/>
        <v>0</v>
      </c>
      <c r="H12" s="18">
        <f t="shared" si="12"/>
        <v>0</v>
      </c>
      <c r="I12" s="18">
        <f t="shared" si="12"/>
        <v>0</v>
      </c>
      <c r="J12" s="18">
        <f t="shared" si="12"/>
        <v>0</v>
      </c>
      <c r="K12" s="18">
        <f t="shared" si="12"/>
        <v>0</v>
      </c>
      <c r="L12" s="18">
        <f t="shared" si="12"/>
        <v>0</v>
      </c>
      <c r="M12" s="18">
        <f t="shared" si="12"/>
        <v>0</v>
      </c>
      <c r="N12" s="23">
        <f t="shared" si="12"/>
        <v>0</v>
      </c>
      <c r="O12" s="18">
        <f t="shared" si="12"/>
        <v>0</v>
      </c>
      <c r="P12" s="23">
        <f t="shared" si="12"/>
        <v>0</v>
      </c>
      <c r="Q12" s="23">
        <f t="shared" si="12"/>
        <v>0</v>
      </c>
      <c r="R12" s="23">
        <f>SUM(R6:R11)</f>
        <v>0</v>
      </c>
      <c r="S12" s="18">
        <f t="shared" si="12"/>
        <v>9</v>
      </c>
      <c r="T12" s="18">
        <f t="shared" si="12"/>
        <v>2169</v>
      </c>
      <c r="U12" s="18">
        <f t="shared" si="12"/>
        <v>0</v>
      </c>
      <c r="V12" s="18">
        <f t="shared" si="12"/>
        <v>0</v>
      </c>
      <c r="W12" s="18">
        <f t="shared" si="12"/>
        <v>0</v>
      </c>
      <c r="X12" s="18">
        <f t="shared" si="12"/>
        <v>0</v>
      </c>
      <c r="Y12" s="18">
        <f t="shared" si="12"/>
        <v>99650.455000000002</v>
      </c>
    </row>
    <row r="14" spans="1:25" ht="32.25" customHeight="1" x14ac:dyDescent="0.25">
      <c r="A14" s="30" t="s">
        <v>32</v>
      </c>
      <c r="B14" s="2236" t="s">
        <v>27</v>
      </c>
      <c r="C14" s="2236"/>
      <c r="D14" s="30" t="s">
        <v>33</v>
      </c>
      <c r="E14" s="30" t="s">
        <v>65</v>
      </c>
      <c r="F14" s="30" t="s">
        <v>34</v>
      </c>
      <c r="G14" s="30" t="s">
        <v>13</v>
      </c>
      <c r="H14" s="31" t="s">
        <v>45</v>
      </c>
      <c r="I14" s="30" t="s">
        <v>17</v>
      </c>
      <c r="J14" s="30" t="s">
        <v>66</v>
      </c>
      <c r="K14" s="30" t="s">
        <v>36</v>
      </c>
      <c r="L14" s="30" t="s">
        <v>37</v>
      </c>
      <c r="M14" s="30" t="s">
        <v>69</v>
      </c>
      <c r="N14" s="30" t="s">
        <v>70</v>
      </c>
      <c r="O14" s="86" t="s">
        <v>114</v>
      </c>
      <c r="P14" s="86" t="s">
        <v>99</v>
      </c>
      <c r="Q14" s="15"/>
      <c r="R14" s="15"/>
      <c r="T14" s="2235" t="s">
        <v>46</v>
      </c>
      <c r="U14" s="76" t="s">
        <v>54</v>
      </c>
      <c r="V14" s="2260">
        <v>18699</v>
      </c>
      <c r="W14" s="2268"/>
      <c r="X14" s="2261"/>
    </row>
    <row r="15" spans="1:25" ht="22.5" customHeight="1" x14ac:dyDescent="0.25">
      <c r="A15" s="11" t="s">
        <v>38</v>
      </c>
      <c r="B15" s="2260">
        <v>183421</v>
      </c>
      <c r="C15" s="2261"/>
      <c r="D15" s="87">
        <v>2500</v>
      </c>
      <c r="E15" s="87">
        <v>100</v>
      </c>
      <c r="F15" s="87">
        <v>200</v>
      </c>
      <c r="G15" s="87">
        <v>0</v>
      </c>
      <c r="H15" s="87">
        <v>30</v>
      </c>
      <c r="I15" s="87">
        <v>0</v>
      </c>
      <c r="J15" s="87">
        <v>25</v>
      </c>
      <c r="K15" s="87">
        <v>30</v>
      </c>
      <c r="L15" s="87">
        <v>102</v>
      </c>
      <c r="M15" s="87">
        <v>50</v>
      </c>
      <c r="N15" s="87">
        <v>100</v>
      </c>
      <c r="O15" s="87">
        <v>5</v>
      </c>
      <c r="P15" s="87">
        <v>1397</v>
      </c>
      <c r="Q15" s="21"/>
      <c r="R15" s="21"/>
      <c r="T15" s="2235"/>
      <c r="U15" s="76" t="s">
        <v>64</v>
      </c>
      <c r="V15" s="2262">
        <v>12831</v>
      </c>
      <c r="W15" s="2262"/>
      <c r="X15" s="2262"/>
    </row>
    <row r="16" spans="1:25" ht="24.75" customHeight="1" x14ac:dyDescent="0.25">
      <c r="A16" s="11" t="s">
        <v>39</v>
      </c>
      <c r="B16" s="2260"/>
      <c r="C16" s="2261"/>
      <c r="D16" s="87"/>
      <c r="E16" s="87"/>
      <c r="F16" s="87"/>
      <c r="G16" s="87"/>
      <c r="H16" s="87"/>
      <c r="I16" s="87"/>
      <c r="J16" s="87"/>
      <c r="K16" s="87"/>
      <c r="L16" s="87"/>
      <c r="M16" s="87"/>
      <c r="N16" s="87"/>
      <c r="O16" s="87"/>
      <c r="P16" s="87"/>
      <c r="Q16" s="21"/>
      <c r="R16" s="21"/>
      <c r="T16" s="2254" t="s">
        <v>55</v>
      </c>
      <c r="U16" s="2254"/>
      <c r="V16" s="2267">
        <f>Y12</f>
        <v>99650.455000000002</v>
      </c>
      <c r="W16" s="2267"/>
      <c r="X16" s="2262"/>
    </row>
    <row r="17" spans="1:25" ht="33" customHeight="1" x14ac:dyDescent="0.25">
      <c r="A17" s="85" t="s">
        <v>44</v>
      </c>
      <c r="B17" s="2260">
        <v>157859</v>
      </c>
      <c r="C17" s="2261"/>
      <c r="D17" s="87"/>
      <c r="E17" s="87"/>
      <c r="F17" s="87"/>
      <c r="G17" s="87"/>
      <c r="H17" s="87"/>
      <c r="I17" s="87"/>
      <c r="J17" s="87"/>
      <c r="K17" s="87"/>
      <c r="L17" s="87"/>
      <c r="M17" s="87"/>
      <c r="N17" s="87"/>
      <c r="O17" s="87"/>
      <c r="P17" s="87"/>
      <c r="Q17" s="21"/>
      <c r="R17" s="21"/>
      <c r="T17" s="2254" t="s">
        <v>104</v>
      </c>
      <c r="U17" s="2254"/>
      <c r="V17" s="2262"/>
      <c r="W17" s="2262"/>
      <c r="X17" s="2262"/>
    </row>
    <row r="18" spans="1:25" ht="27" customHeight="1" x14ac:dyDescent="0.25">
      <c r="A18" s="11" t="s">
        <v>40</v>
      </c>
      <c r="B18" s="2264">
        <f>C12</f>
        <v>100238</v>
      </c>
      <c r="C18" s="2261"/>
      <c r="D18" s="88">
        <f>E12</f>
        <v>0</v>
      </c>
      <c r="E18" s="88">
        <f>G12</f>
        <v>0</v>
      </c>
      <c r="F18" s="88">
        <f>I12</f>
        <v>0</v>
      </c>
      <c r="G18" s="88">
        <f>K12</f>
        <v>0</v>
      </c>
      <c r="H18" s="87"/>
      <c r="I18" s="88">
        <f>U12</f>
        <v>0</v>
      </c>
      <c r="J18" s="87"/>
      <c r="K18" s="88">
        <f>W12</f>
        <v>0</v>
      </c>
      <c r="L18" s="87">
        <v>4</v>
      </c>
      <c r="M18" s="88">
        <f>M12</f>
        <v>0</v>
      </c>
      <c r="N18" s="88"/>
      <c r="O18" s="90">
        <f>Q12</f>
        <v>0</v>
      </c>
      <c r="P18" s="87">
        <v>5</v>
      </c>
      <c r="Q18" s="21"/>
      <c r="R18" s="21"/>
      <c r="T18" s="2254" t="s">
        <v>57</v>
      </c>
      <c r="U18" s="2254"/>
      <c r="V18" s="2262">
        <v>530</v>
      </c>
      <c r="W18" s="2262"/>
      <c r="X18" s="2262"/>
      <c r="Y18" s="2259" t="s">
        <v>103</v>
      </c>
    </row>
    <row r="19" spans="1:25" ht="25.5" customHeight="1" x14ac:dyDescent="0.25">
      <c r="A19" s="11" t="s">
        <v>41</v>
      </c>
      <c r="B19" s="2260">
        <f>B15+B16+B17-B18</f>
        <v>241042</v>
      </c>
      <c r="C19" s="2261"/>
      <c r="D19" s="87">
        <f>D15+D16+D17-D18</f>
        <v>2500</v>
      </c>
      <c r="E19" s="87">
        <f t="shared" ref="E19:N19" si="13">E15+E16+E17-E18</f>
        <v>100</v>
      </c>
      <c r="F19" s="87">
        <f t="shared" si="13"/>
        <v>200</v>
      </c>
      <c r="G19" s="87">
        <f t="shared" si="13"/>
        <v>0</v>
      </c>
      <c r="H19" s="87">
        <f t="shared" si="13"/>
        <v>30</v>
      </c>
      <c r="I19" s="87">
        <f t="shared" si="13"/>
        <v>0</v>
      </c>
      <c r="J19" s="87">
        <f t="shared" si="13"/>
        <v>25</v>
      </c>
      <c r="K19" s="87">
        <f t="shared" si="13"/>
        <v>30</v>
      </c>
      <c r="L19" s="87">
        <f t="shared" si="13"/>
        <v>98</v>
      </c>
      <c r="M19" s="87">
        <f t="shared" si="13"/>
        <v>50</v>
      </c>
      <c r="N19" s="87">
        <f t="shared" si="13"/>
        <v>100</v>
      </c>
      <c r="O19" s="87">
        <f>O15+O16+O17-O18</f>
        <v>5</v>
      </c>
      <c r="P19" s="87">
        <f>P15+P16+P17-P18</f>
        <v>1392</v>
      </c>
      <c r="Q19" s="21"/>
      <c r="R19" s="21"/>
      <c r="T19" s="2256" t="s">
        <v>48</v>
      </c>
      <c r="U19" s="49" t="s">
        <v>58</v>
      </c>
      <c r="V19" s="2262"/>
      <c r="W19" s="2262"/>
      <c r="X19" s="2262"/>
      <c r="Y19" s="2259"/>
    </row>
    <row r="20" spans="1:25" ht="23.25" customHeight="1" x14ac:dyDescent="0.25">
      <c r="A20" s="15"/>
      <c r="B20" s="10"/>
      <c r="C20" s="10"/>
      <c r="D20" s="10"/>
      <c r="E20" s="10"/>
      <c r="F20" s="10"/>
      <c r="G20" s="10"/>
      <c r="H20" s="10"/>
      <c r="I20" s="10"/>
      <c r="J20" s="10"/>
      <c r="K20" s="10"/>
      <c r="L20" s="10"/>
      <c r="M20" s="10"/>
      <c r="N20" s="10"/>
      <c r="O20" s="10"/>
      <c r="P20" s="10"/>
      <c r="Q20" s="10"/>
      <c r="R20" s="10"/>
      <c r="T20" s="2257"/>
      <c r="U20" s="49" t="s">
        <v>59</v>
      </c>
      <c r="V20" s="2262"/>
      <c r="W20" s="2262"/>
      <c r="X20" s="2262"/>
      <c r="Y20" s="2259"/>
    </row>
    <row r="21" spans="1:25" ht="33.75" customHeight="1" x14ac:dyDescent="0.25">
      <c r="A21" s="15"/>
      <c r="B21" s="10"/>
      <c r="C21" s="10"/>
      <c r="D21" s="10"/>
      <c r="E21" s="10"/>
      <c r="F21" s="10"/>
      <c r="G21" s="10"/>
      <c r="H21" s="10"/>
      <c r="I21" s="10"/>
      <c r="J21" s="10"/>
      <c r="K21" s="10"/>
      <c r="L21" s="10"/>
      <c r="M21" s="10"/>
      <c r="N21" s="10"/>
      <c r="O21" s="10"/>
      <c r="P21" s="10"/>
      <c r="Q21" s="10"/>
      <c r="R21" s="10"/>
      <c r="T21" s="2251" t="s">
        <v>83</v>
      </c>
      <c r="U21" s="50" t="s">
        <v>60</v>
      </c>
      <c r="V21" s="2262"/>
      <c r="W21" s="2262"/>
      <c r="X21" s="2262"/>
      <c r="Y21" s="2259"/>
    </row>
    <row r="22" spans="1:25" ht="29.25" customHeight="1" x14ac:dyDescent="0.25">
      <c r="A22" s="10"/>
      <c r="B22" s="2258" t="s">
        <v>49</v>
      </c>
      <c r="C22" s="2265">
        <v>555988</v>
      </c>
      <c r="D22" s="2262"/>
      <c r="E22" s="2262"/>
      <c r="F22" s="2262">
        <f>C22-D22+E22</f>
        <v>555988</v>
      </c>
      <c r="G22" s="10"/>
      <c r="H22" s="10"/>
      <c r="I22" s="10"/>
      <c r="J22" s="10"/>
      <c r="K22" s="10"/>
      <c r="L22" s="10"/>
      <c r="M22" s="10"/>
      <c r="N22" s="10"/>
      <c r="O22" s="10"/>
      <c r="P22" s="10"/>
      <c r="Q22" s="10"/>
      <c r="R22" s="10"/>
      <c r="T22" s="2252"/>
      <c r="U22" s="50" t="s">
        <v>61</v>
      </c>
      <c r="V22" s="2262"/>
      <c r="W22" s="2262"/>
      <c r="X22" s="2262"/>
      <c r="Y22" s="2259"/>
    </row>
    <row r="23" spans="1:25" ht="47.25" customHeight="1" x14ac:dyDescent="0.25">
      <c r="A23" s="10"/>
      <c r="B23" s="2258"/>
      <c r="C23" s="2266"/>
      <c r="D23" s="2262"/>
      <c r="E23" s="2262"/>
      <c r="F23" s="2262"/>
      <c r="G23" s="10"/>
      <c r="H23" s="10"/>
      <c r="I23" s="10"/>
      <c r="J23" s="10"/>
      <c r="K23" s="10"/>
      <c r="L23" s="10"/>
      <c r="M23" s="10"/>
      <c r="N23" s="10"/>
      <c r="O23" s="10"/>
      <c r="P23" s="10"/>
      <c r="Q23" s="10"/>
      <c r="R23" s="10"/>
      <c r="T23" s="2235" t="s">
        <v>47</v>
      </c>
      <c r="U23" s="51" t="s">
        <v>62</v>
      </c>
      <c r="V23" s="2263">
        <f>V14+V16+V17-V18-V19-V20-V21+V22</f>
        <v>117819.455</v>
      </c>
      <c r="W23" s="2263"/>
      <c r="X23" s="2263"/>
      <c r="Y23" s="2259"/>
    </row>
    <row r="24" spans="1:25" ht="27" customHeight="1" x14ac:dyDescent="0.25">
      <c r="B24" s="2258"/>
      <c r="C24" s="76" t="s">
        <v>46</v>
      </c>
      <c r="D24" s="76" t="s">
        <v>50</v>
      </c>
      <c r="E24" s="76" t="s">
        <v>51</v>
      </c>
      <c r="F24" s="76" t="s">
        <v>52</v>
      </c>
      <c r="T24" s="2235"/>
      <c r="U24" s="51" t="s">
        <v>63</v>
      </c>
      <c r="V24" s="2262">
        <f>V15+V21-V22</f>
        <v>12831</v>
      </c>
      <c r="W24" s="2262"/>
      <c r="X24" s="2262"/>
    </row>
  </sheetData>
  <mergeCells count="48">
    <mergeCell ref="A1:Y1"/>
    <mergeCell ref="A2:Y2"/>
    <mergeCell ref="T3:Y3"/>
    <mergeCell ref="A4:A5"/>
    <mergeCell ref="B4:B5"/>
    <mergeCell ref="C4:D4"/>
    <mergeCell ref="E4:F4"/>
    <mergeCell ref="G4:H4"/>
    <mergeCell ref="I4:J4"/>
    <mergeCell ref="K4:L4"/>
    <mergeCell ref="Y4:Y5"/>
    <mergeCell ref="M4:N4"/>
    <mergeCell ref="O4:P4"/>
    <mergeCell ref="Q4:R4"/>
    <mergeCell ref="S4:T4"/>
    <mergeCell ref="U4:V4"/>
    <mergeCell ref="V18:X18"/>
    <mergeCell ref="B22:B24"/>
    <mergeCell ref="C22:C23"/>
    <mergeCell ref="W4:X4"/>
    <mergeCell ref="B16:C16"/>
    <mergeCell ref="T16:U16"/>
    <mergeCell ref="V16:X16"/>
    <mergeCell ref="B17:C17"/>
    <mergeCell ref="T17:U17"/>
    <mergeCell ref="V17:X17"/>
    <mergeCell ref="A12:B12"/>
    <mergeCell ref="B14:C14"/>
    <mergeCell ref="T14:T15"/>
    <mergeCell ref="V14:X14"/>
    <mergeCell ref="B15:C15"/>
    <mergeCell ref="V15:X15"/>
    <mergeCell ref="D22:D23"/>
    <mergeCell ref="E22:E23"/>
    <mergeCell ref="F22:F23"/>
    <mergeCell ref="Y18:Y23"/>
    <mergeCell ref="B19:C19"/>
    <mergeCell ref="T19:T20"/>
    <mergeCell ref="V19:X19"/>
    <mergeCell ref="V20:X20"/>
    <mergeCell ref="T21:T22"/>
    <mergeCell ref="V21:X21"/>
    <mergeCell ref="V22:X22"/>
    <mergeCell ref="T23:T24"/>
    <mergeCell ref="V23:X23"/>
    <mergeCell ref="V24:X24"/>
    <mergeCell ref="B18:C18"/>
    <mergeCell ref="T18:U18"/>
  </mergeCells>
  <pageMargins left="0.15748031496063" right="0.15748031496063" top="0" bottom="0" header="0" footer="0"/>
  <pageSetup paperSize="9" scale="51" orientation="landscape" r:id="rId1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200-000000000000}">
  <sheetPr>
    <pageSetUpPr fitToPage="1"/>
  </sheetPr>
  <dimension ref="A1:Y24"/>
  <sheetViews>
    <sheetView topLeftCell="A3" zoomScale="67" zoomScaleNormal="67" zoomScaleSheetLayoutView="100" workbookViewId="0">
      <selection activeCell="Q17" sqref="Q17"/>
    </sheetView>
  </sheetViews>
  <sheetFormatPr defaultColWidth="9.140625" defaultRowHeight="15" x14ac:dyDescent="0.25"/>
  <cols>
    <col min="1" max="1" width="18.85546875" style="14" customWidth="1"/>
    <col min="2" max="2" width="11.140625" style="14" customWidth="1"/>
    <col min="3" max="3" width="10.28515625" style="14" customWidth="1"/>
    <col min="4" max="4" width="11" style="14" customWidth="1"/>
    <col min="5" max="5" width="12" style="14" customWidth="1"/>
    <col min="6" max="6" width="12.5703125" style="14" bestFit="1" customWidth="1"/>
    <col min="7" max="7" width="9.28515625" style="14" bestFit="1" customWidth="1"/>
    <col min="8" max="8" width="10.140625" style="14" bestFit="1" customWidth="1"/>
    <col min="9" max="9" width="10.5703125" style="14" bestFit="1" customWidth="1"/>
    <col min="10" max="10" width="10.5703125" style="14" customWidth="1"/>
    <col min="11" max="11" width="10.28515625" style="14" bestFit="1" customWidth="1"/>
    <col min="12" max="12" width="9.42578125" style="14" bestFit="1" customWidth="1"/>
    <col min="13" max="13" width="9.85546875" style="14" bestFit="1" customWidth="1"/>
    <col min="14" max="14" width="10.140625" style="14" bestFit="1" customWidth="1"/>
    <col min="15" max="15" width="9" style="14" customWidth="1"/>
    <col min="16" max="16" width="12.85546875" style="14" bestFit="1" customWidth="1"/>
    <col min="17" max="18" width="9.42578125" style="14" customWidth="1"/>
    <col min="19" max="19" width="9.42578125" style="14" bestFit="1" customWidth="1"/>
    <col min="20" max="20" width="12.5703125" style="14" customWidth="1"/>
    <col min="21" max="21" width="16.7109375" style="14" customWidth="1"/>
    <col min="22" max="22" width="9.85546875" style="14" bestFit="1" customWidth="1"/>
    <col min="23" max="23" width="10.140625" style="14" bestFit="1" customWidth="1"/>
    <col min="24" max="24" width="9.85546875" style="14" bestFit="1" customWidth="1"/>
    <col min="25" max="25" width="15" style="14" customWidth="1"/>
    <col min="26" max="16384" width="9.140625" style="14"/>
  </cols>
  <sheetData>
    <row r="1" spans="1:25" ht="46.15" customHeight="1" x14ac:dyDescent="0.25">
      <c r="A1" s="2240" t="s">
        <v>76</v>
      </c>
      <c r="B1" s="2240"/>
      <c r="C1" s="2240"/>
      <c r="D1" s="2240"/>
      <c r="E1" s="2240"/>
      <c r="F1" s="2240"/>
      <c r="G1" s="2240"/>
      <c r="H1" s="2240"/>
      <c r="I1" s="2240"/>
      <c r="J1" s="2240"/>
      <c r="K1" s="2240"/>
      <c r="L1" s="2240"/>
      <c r="M1" s="2240"/>
      <c r="N1" s="2240"/>
      <c r="O1" s="2240"/>
      <c r="P1" s="2240"/>
      <c r="Q1" s="2240"/>
      <c r="R1" s="2240"/>
      <c r="S1" s="2240"/>
      <c r="T1" s="2240"/>
      <c r="U1" s="2240"/>
      <c r="V1" s="2240"/>
      <c r="W1" s="2240"/>
      <c r="X1" s="2240"/>
      <c r="Y1" s="2240"/>
    </row>
    <row r="2" spans="1:25" ht="21.6" customHeight="1" x14ac:dyDescent="0.25">
      <c r="A2" s="2241" t="s">
        <v>77</v>
      </c>
      <c r="B2" s="2241"/>
      <c r="C2" s="2241"/>
      <c r="D2" s="2241"/>
      <c r="E2" s="2241"/>
      <c r="F2" s="2241"/>
      <c r="G2" s="2241"/>
      <c r="H2" s="2241"/>
      <c r="I2" s="2241"/>
      <c r="J2" s="2241"/>
      <c r="K2" s="2241"/>
      <c r="L2" s="2241"/>
      <c r="M2" s="2241"/>
      <c r="N2" s="2241"/>
      <c r="O2" s="2241"/>
      <c r="P2" s="2241"/>
      <c r="Q2" s="2241"/>
      <c r="R2" s="2241"/>
      <c r="S2" s="2241"/>
      <c r="T2" s="2241"/>
      <c r="U2" s="2241"/>
      <c r="V2" s="2241"/>
      <c r="W2" s="2241"/>
      <c r="X2" s="2241"/>
      <c r="Y2" s="2241"/>
    </row>
    <row r="3" spans="1:25" ht="21" customHeight="1" x14ac:dyDescent="0.25">
      <c r="A3" s="78"/>
      <c r="B3" s="78"/>
      <c r="C3" s="78"/>
      <c r="D3" s="78"/>
      <c r="E3" s="78"/>
      <c r="F3" s="78"/>
      <c r="G3" s="78"/>
      <c r="H3" s="78"/>
      <c r="I3" s="78"/>
      <c r="J3" s="78"/>
      <c r="K3" s="78"/>
      <c r="L3" s="78"/>
      <c r="M3" s="78"/>
      <c r="N3" s="78"/>
      <c r="O3" s="78"/>
      <c r="P3" s="78"/>
      <c r="Q3" s="78"/>
      <c r="R3" s="78"/>
      <c r="S3" s="78"/>
      <c r="T3" s="2242" t="s">
        <v>120</v>
      </c>
      <c r="U3" s="2242"/>
      <c r="V3" s="2242"/>
      <c r="W3" s="2242"/>
      <c r="X3" s="2242"/>
      <c r="Y3" s="2242"/>
    </row>
    <row r="4" spans="1:25" s="78" customFormat="1" ht="18" customHeight="1" x14ac:dyDescent="0.25">
      <c r="A4" s="2243" t="s">
        <v>25</v>
      </c>
      <c r="B4" s="2243" t="s">
        <v>26</v>
      </c>
      <c r="C4" s="2244" t="s">
        <v>27</v>
      </c>
      <c r="D4" s="2244"/>
      <c r="E4" s="2244" t="s">
        <v>28</v>
      </c>
      <c r="F4" s="2244"/>
      <c r="G4" s="2244" t="s">
        <v>65</v>
      </c>
      <c r="H4" s="2244"/>
      <c r="I4" s="2244" t="s">
        <v>29</v>
      </c>
      <c r="J4" s="2244"/>
      <c r="K4" s="2245" t="s">
        <v>13</v>
      </c>
      <c r="L4" s="2246"/>
      <c r="M4" s="2245" t="s">
        <v>67</v>
      </c>
      <c r="N4" s="2246"/>
      <c r="O4" s="2245" t="s">
        <v>68</v>
      </c>
      <c r="P4" s="2246"/>
      <c r="Q4" s="2245" t="s">
        <v>114</v>
      </c>
      <c r="R4" s="2246"/>
      <c r="S4" s="2244" t="s">
        <v>35</v>
      </c>
      <c r="T4" s="2244"/>
      <c r="U4" s="2245" t="s">
        <v>17</v>
      </c>
      <c r="V4" s="2246"/>
      <c r="W4" s="2247" t="s">
        <v>36</v>
      </c>
      <c r="X4" s="2248"/>
      <c r="Y4" s="2238" t="s">
        <v>30</v>
      </c>
    </row>
    <row r="5" spans="1:25" s="78" customFormat="1" ht="25.5" customHeight="1" x14ac:dyDescent="0.25">
      <c r="A5" s="2243"/>
      <c r="B5" s="2243"/>
      <c r="C5" s="77" t="s">
        <v>42</v>
      </c>
      <c r="D5" s="77" t="s">
        <v>43</v>
      </c>
      <c r="E5" s="77" t="s">
        <v>42</v>
      </c>
      <c r="F5" s="77" t="s">
        <v>43</v>
      </c>
      <c r="G5" s="77" t="s">
        <v>42</v>
      </c>
      <c r="H5" s="77" t="s">
        <v>43</v>
      </c>
      <c r="I5" s="77" t="s">
        <v>42</v>
      </c>
      <c r="J5" s="77" t="s">
        <v>43</v>
      </c>
      <c r="K5" s="77" t="s">
        <v>42</v>
      </c>
      <c r="L5" s="77" t="s">
        <v>43</v>
      </c>
      <c r="M5" s="77" t="s">
        <v>42</v>
      </c>
      <c r="N5" s="77" t="s">
        <v>43</v>
      </c>
      <c r="O5" s="77" t="s">
        <v>42</v>
      </c>
      <c r="P5" s="77" t="s">
        <v>43</v>
      </c>
      <c r="Q5" s="77" t="s">
        <v>42</v>
      </c>
      <c r="R5" s="77" t="s">
        <v>43</v>
      </c>
      <c r="S5" s="33" t="s">
        <v>42</v>
      </c>
      <c r="T5" s="33" t="s">
        <v>43</v>
      </c>
      <c r="U5" s="30" t="s">
        <v>42</v>
      </c>
      <c r="V5" s="30" t="s">
        <v>43</v>
      </c>
      <c r="W5" s="30" t="s">
        <v>42</v>
      </c>
      <c r="X5" s="30" t="s">
        <v>43</v>
      </c>
      <c r="Y5" s="2239"/>
    </row>
    <row r="6" spans="1:25" ht="34.5" customHeight="1" x14ac:dyDescent="0.25">
      <c r="A6" s="12">
        <v>1409935200</v>
      </c>
      <c r="B6" s="76" t="s">
        <v>71</v>
      </c>
      <c r="C6" s="74">
        <v>34646</v>
      </c>
      <c r="D6" s="73">
        <f>0.9725*C6</f>
        <v>33693.235000000001</v>
      </c>
      <c r="E6" s="74"/>
      <c r="F6" s="74">
        <f>13.7*E6</f>
        <v>0</v>
      </c>
      <c r="G6" s="74"/>
      <c r="H6" s="74">
        <f>28.2*G6</f>
        <v>0</v>
      </c>
      <c r="I6" s="74"/>
      <c r="J6" s="74">
        <f>18.5*I6</f>
        <v>0</v>
      </c>
      <c r="K6" s="74"/>
      <c r="L6" s="74">
        <f>19.5*K6</f>
        <v>0</v>
      </c>
      <c r="M6" s="74"/>
      <c r="N6" s="73">
        <f>M6*9.75</f>
        <v>0</v>
      </c>
      <c r="O6" s="74"/>
      <c r="P6" s="73">
        <f>O6*48.62</f>
        <v>0</v>
      </c>
      <c r="Q6" s="73"/>
      <c r="R6" s="73">
        <f>241*Q6</f>
        <v>0</v>
      </c>
      <c r="S6" s="74"/>
      <c r="T6" s="74">
        <f>241*S6</f>
        <v>0</v>
      </c>
      <c r="U6" s="74"/>
      <c r="V6" s="74">
        <f>232*U6</f>
        <v>0</v>
      </c>
      <c r="W6" s="74"/>
      <c r="X6" s="19">
        <f>W6*100</f>
        <v>0</v>
      </c>
      <c r="Y6" s="89">
        <f t="shared" ref="Y6:Y11" si="0">D6+F6+H6+J6+L6+N6+P6+R6+T6+V6+X6</f>
        <v>33693.235000000001</v>
      </c>
    </row>
    <row r="7" spans="1:25" ht="31.5" customHeight="1" x14ac:dyDescent="0.25">
      <c r="A7" s="12">
        <v>1984225578</v>
      </c>
      <c r="B7" s="76" t="s">
        <v>72</v>
      </c>
      <c r="C7" s="74">
        <v>40276</v>
      </c>
      <c r="D7" s="73">
        <f t="shared" ref="D7:D11" si="1">0.9725*C7</f>
        <v>39168.410000000003</v>
      </c>
      <c r="E7" s="74"/>
      <c r="F7" s="74">
        <f t="shared" ref="F7:F11" si="2">13.7*E7</f>
        <v>0</v>
      </c>
      <c r="G7" s="74"/>
      <c r="H7" s="74">
        <f t="shared" ref="H7:H11" si="3">28.2*G7</f>
        <v>0</v>
      </c>
      <c r="I7" s="74"/>
      <c r="J7" s="74">
        <f t="shared" ref="J7:J11" si="4">18.5*I7</f>
        <v>0</v>
      </c>
      <c r="K7" s="74"/>
      <c r="L7" s="74">
        <f t="shared" ref="L7:L11" si="5">19.5*K7</f>
        <v>0</v>
      </c>
      <c r="M7" s="74"/>
      <c r="N7" s="73">
        <f t="shared" ref="N7:N11" si="6">M7*9.75</f>
        <v>0</v>
      </c>
      <c r="O7" s="74"/>
      <c r="P7" s="73">
        <f t="shared" ref="P7:P11" si="7">O7*48.62</f>
        <v>0</v>
      </c>
      <c r="Q7" s="73"/>
      <c r="R7" s="73">
        <f t="shared" ref="R7:R11" si="8">241*Q7</f>
        <v>0</v>
      </c>
      <c r="S7" s="74"/>
      <c r="T7" s="74">
        <f t="shared" ref="T7:T11" si="9">241*S7</f>
        <v>0</v>
      </c>
      <c r="U7" s="74"/>
      <c r="V7" s="74">
        <f t="shared" ref="V7:V11" si="10">232*U7</f>
        <v>0</v>
      </c>
      <c r="W7" s="74"/>
      <c r="X7" s="19">
        <f t="shared" ref="X7:X11" si="11">W7*100</f>
        <v>0</v>
      </c>
      <c r="Y7" s="89">
        <f t="shared" si="0"/>
        <v>39168.410000000003</v>
      </c>
    </row>
    <row r="8" spans="1:25" ht="35.25" customHeight="1" x14ac:dyDescent="0.25">
      <c r="A8" s="12">
        <v>1967020280</v>
      </c>
      <c r="B8" s="76" t="s">
        <v>73</v>
      </c>
      <c r="C8" s="74">
        <v>23853</v>
      </c>
      <c r="D8" s="73">
        <f t="shared" si="1"/>
        <v>23197.0425</v>
      </c>
      <c r="E8" s="74"/>
      <c r="F8" s="74">
        <f t="shared" si="2"/>
        <v>0</v>
      </c>
      <c r="G8" s="74"/>
      <c r="H8" s="74">
        <f t="shared" si="3"/>
        <v>0</v>
      </c>
      <c r="I8" s="74"/>
      <c r="J8" s="74">
        <f t="shared" si="4"/>
        <v>0</v>
      </c>
      <c r="K8" s="74"/>
      <c r="L8" s="74">
        <f t="shared" si="5"/>
        <v>0</v>
      </c>
      <c r="M8" s="74"/>
      <c r="N8" s="73">
        <f t="shared" si="6"/>
        <v>0</v>
      </c>
      <c r="O8" s="74"/>
      <c r="P8" s="73">
        <f t="shared" si="7"/>
        <v>0</v>
      </c>
      <c r="Q8" s="73"/>
      <c r="R8" s="73">
        <f t="shared" si="8"/>
        <v>0</v>
      </c>
      <c r="S8" s="74"/>
      <c r="T8" s="74">
        <f t="shared" si="9"/>
        <v>0</v>
      </c>
      <c r="U8" s="74"/>
      <c r="V8" s="74">
        <f t="shared" si="10"/>
        <v>0</v>
      </c>
      <c r="W8" s="74"/>
      <c r="X8" s="19">
        <f t="shared" si="11"/>
        <v>0</v>
      </c>
      <c r="Y8" s="89">
        <f t="shared" si="0"/>
        <v>23197.0425</v>
      </c>
    </row>
    <row r="9" spans="1:25" ht="38.25" customHeight="1" x14ac:dyDescent="0.25">
      <c r="A9" s="12">
        <v>1409935199</v>
      </c>
      <c r="B9" s="76" t="s">
        <v>74</v>
      </c>
      <c r="C9" s="74">
        <v>13356</v>
      </c>
      <c r="D9" s="73">
        <f t="shared" si="1"/>
        <v>12988.710000000001</v>
      </c>
      <c r="E9" s="74"/>
      <c r="F9" s="74">
        <f t="shared" si="2"/>
        <v>0</v>
      </c>
      <c r="G9" s="74"/>
      <c r="H9" s="74">
        <f t="shared" si="3"/>
        <v>0</v>
      </c>
      <c r="I9" s="74"/>
      <c r="J9" s="74">
        <f t="shared" si="4"/>
        <v>0</v>
      </c>
      <c r="K9" s="74"/>
      <c r="L9" s="74">
        <f t="shared" si="5"/>
        <v>0</v>
      </c>
      <c r="M9" s="74"/>
      <c r="N9" s="73">
        <f t="shared" si="6"/>
        <v>0</v>
      </c>
      <c r="O9" s="74"/>
      <c r="P9" s="73">
        <f t="shared" si="7"/>
        <v>0</v>
      </c>
      <c r="Q9" s="73"/>
      <c r="R9" s="73">
        <f t="shared" si="8"/>
        <v>0</v>
      </c>
      <c r="S9" s="74"/>
      <c r="T9" s="74">
        <f t="shared" si="9"/>
        <v>0</v>
      </c>
      <c r="U9" s="74"/>
      <c r="V9" s="74">
        <f t="shared" si="10"/>
        <v>0</v>
      </c>
      <c r="W9" s="74"/>
      <c r="X9" s="19">
        <f t="shared" si="11"/>
        <v>0</v>
      </c>
      <c r="Y9" s="89">
        <f t="shared" si="0"/>
        <v>12988.710000000001</v>
      </c>
    </row>
    <row r="10" spans="1:25" ht="35.25" customHeight="1" x14ac:dyDescent="0.25">
      <c r="A10" s="12">
        <v>1984225580</v>
      </c>
      <c r="B10" s="76" t="s">
        <v>75</v>
      </c>
      <c r="C10" s="74">
        <v>11622</v>
      </c>
      <c r="D10" s="73">
        <f t="shared" si="1"/>
        <v>11302.395</v>
      </c>
      <c r="E10" s="74">
        <v>2500</v>
      </c>
      <c r="F10" s="74">
        <f t="shared" si="2"/>
        <v>34250</v>
      </c>
      <c r="G10" s="74"/>
      <c r="H10" s="74">
        <f t="shared" si="3"/>
        <v>0</v>
      </c>
      <c r="I10" s="74">
        <v>20</v>
      </c>
      <c r="J10" s="74">
        <f t="shared" si="4"/>
        <v>370</v>
      </c>
      <c r="K10" s="74"/>
      <c r="L10" s="74">
        <f t="shared" si="5"/>
        <v>0</v>
      </c>
      <c r="M10" s="74"/>
      <c r="N10" s="73">
        <f t="shared" si="6"/>
        <v>0</v>
      </c>
      <c r="O10" s="74"/>
      <c r="P10" s="73">
        <f t="shared" si="7"/>
        <v>0</v>
      </c>
      <c r="Q10" s="73"/>
      <c r="R10" s="73">
        <f t="shared" si="8"/>
        <v>0</v>
      </c>
      <c r="S10" s="74"/>
      <c r="T10" s="74">
        <f t="shared" si="9"/>
        <v>0</v>
      </c>
      <c r="U10" s="74"/>
      <c r="V10" s="74">
        <f t="shared" si="10"/>
        <v>0</v>
      </c>
      <c r="W10" s="74"/>
      <c r="X10" s="19">
        <f t="shared" si="11"/>
        <v>0</v>
      </c>
      <c r="Y10" s="89">
        <f t="shared" si="0"/>
        <v>45922.395000000004</v>
      </c>
    </row>
    <row r="11" spans="1:25" ht="37.5" customHeight="1" x14ac:dyDescent="0.25">
      <c r="A11" s="12"/>
      <c r="B11" s="75"/>
      <c r="C11" s="74"/>
      <c r="D11" s="22">
        <f t="shared" si="1"/>
        <v>0</v>
      </c>
      <c r="E11" s="74"/>
      <c r="F11" s="74">
        <f t="shared" si="2"/>
        <v>0</v>
      </c>
      <c r="G11" s="74"/>
      <c r="H11" s="74">
        <f t="shared" si="3"/>
        <v>0</v>
      </c>
      <c r="I11" s="74"/>
      <c r="J11" s="74">
        <f t="shared" si="4"/>
        <v>0</v>
      </c>
      <c r="K11" s="74"/>
      <c r="L11" s="74">
        <f t="shared" si="5"/>
        <v>0</v>
      </c>
      <c r="M11" s="74"/>
      <c r="N11" s="73">
        <f t="shared" si="6"/>
        <v>0</v>
      </c>
      <c r="O11" s="74"/>
      <c r="P11" s="73">
        <f t="shared" si="7"/>
        <v>0</v>
      </c>
      <c r="Q11" s="73"/>
      <c r="R11" s="73">
        <f t="shared" si="8"/>
        <v>0</v>
      </c>
      <c r="S11" s="74"/>
      <c r="T11" s="74">
        <f t="shared" si="9"/>
        <v>0</v>
      </c>
      <c r="U11" s="74"/>
      <c r="V11" s="74">
        <f t="shared" si="10"/>
        <v>0</v>
      </c>
      <c r="W11" s="74"/>
      <c r="X11" s="19">
        <f t="shared" si="11"/>
        <v>0</v>
      </c>
      <c r="Y11" s="20">
        <f t="shared" si="0"/>
        <v>0</v>
      </c>
    </row>
    <row r="12" spans="1:25" ht="29.25" customHeight="1" x14ac:dyDescent="0.25">
      <c r="A12" s="2235" t="s">
        <v>31</v>
      </c>
      <c r="B12" s="2235"/>
      <c r="C12" s="18">
        <f t="shared" ref="C12:Y12" si="12">SUM(C6:C11)</f>
        <v>123753</v>
      </c>
      <c r="D12" s="18">
        <f t="shared" si="12"/>
        <v>120349.79250000001</v>
      </c>
      <c r="E12" s="18">
        <f t="shared" si="12"/>
        <v>2500</v>
      </c>
      <c r="F12" s="18">
        <f t="shared" si="12"/>
        <v>34250</v>
      </c>
      <c r="G12" s="18">
        <f t="shared" si="12"/>
        <v>0</v>
      </c>
      <c r="H12" s="18">
        <f t="shared" si="12"/>
        <v>0</v>
      </c>
      <c r="I12" s="18">
        <f t="shared" si="12"/>
        <v>20</v>
      </c>
      <c r="J12" s="18">
        <f t="shared" si="12"/>
        <v>370</v>
      </c>
      <c r="K12" s="18">
        <f t="shared" si="12"/>
        <v>0</v>
      </c>
      <c r="L12" s="18">
        <f t="shared" si="12"/>
        <v>0</v>
      </c>
      <c r="M12" s="18">
        <f t="shared" si="12"/>
        <v>0</v>
      </c>
      <c r="N12" s="23">
        <f t="shared" si="12"/>
        <v>0</v>
      </c>
      <c r="O12" s="18">
        <f t="shared" si="12"/>
        <v>0</v>
      </c>
      <c r="P12" s="23">
        <f t="shared" si="12"/>
        <v>0</v>
      </c>
      <c r="Q12" s="23">
        <f t="shared" si="12"/>
        <v>0</v>
      </c>
      <c r="R12" s="23">
        <f>SUM(R6:R11)</f>
        <v>0</v>
      </c>
      <c r="S12" s="18">
        <f t="shared" si="12"/>
        <v>0</v>
      </c>
      <c r="T12" s="18">
        <f t="shared" si="12"/>
        <v>0</v>
      </c>
      <c r="U12" s="18">
        <f t="shared" si="12"/>
        <v>0</v>
      </c>
      <c r="V12" s="18">
        <f t="shared" si="12"/>
        <v>0</v>
      </c>
      <c r="W12" s="18">
        <f t="shared" si="12"/>
        <v>0</v>
      </c>
      <c r="X12" s="18">
        <f t="shared" si="12"/>
        <v>0</v>
      </c>
      <c r="Y12" s="18">
        <f t="shared" si="12"/>
        <v>154969.79250000001</v>
      </c>
    </row>
    <row r="14" spans="1:25" ht="32.25" customHeight="1" x14ac:dyDescent="0.25">
      <c r="A14" s="30" t="s">
        <v>32</v>
      </c>
      <c r="B14" s="2236" t="s">
        <v>27</v>
      </c>
      <c r="C14" s="2236"/>
      <c r="D14" s="30" t="s">
        <v>33</v>
      </c>
      <c r="E14" s="30" t="s">
        <v>65</v>
      </c>
      <c r="F14" s="30" t="s">
        <v>34</v>
      </c>
      <c r="G14" s="30" t="s">
        <v>13</v>
      </c>
      <c r="H14" s="31" t="s">
        <v>45</v>
      </c>
      <c r="I14" s="30" t="s">
        <v>17</v>
      </c>
      <c r="J14" s="30" t="s">
        <v>66</v>
      </c>
      <c r="K14" s="30" t="s">
        <v>36</v>
      </c>
      <c r="L14" s="30" t="s">
        <v>37</v>
      </c>
      <c r="M14" s="30" t="s">
        <v>69</v>
      </c>
      <c r="N14" s="30" t="s">
        <v>70</v>
      </c>
      <c r="O14" s="86" t="s">
        <v>114</v>
      </c>
      <c r="P14" s="86" t="s">
        <v>99</v>
      </c>
      <c r="Q14" s="15"/>
      <c r="R14" s="15"/>
      <c r="T14" s="2235" t="s">
        <v>46</v>
      </c>
      <c r="U14" s="76" t="s">
        <v>54</v>
      </c>
      <c r="V14" s="2260">
        <v>117819</v>
      </c>
      <c r="W14" s="2268"/>
      <c r="X14" s="2261"/>
    </row>
    <row r="15" spans="1:25" ht="22.5" customHeight="1" x14ac:dyDescent="0.25">
      <c r="A15" s="11" t="s">
        <v>38</v>
      </c>
      <c r="B15" s="2260">
        <v>241042</v>
      </c>
      <c r="C15" s="2261"/>
      <c r="D15" s="87">
        <v>2500</v>
      </c>
      <c r="E15" s="87">
        <v>100</v>
      </c>
      <c r="F15" s="87">
        <v>200</v>
      </c>
      <c r="G15" s="87">
        <v>0</v>
      </c>
      <c r="H15" s="87">
        <v>30</v>
      </c>
      <c r="I15" s="87">
        <v>0</v>
      </c>
      <c r="J15" s="87">
        <v>25</v>
      </c>
      <c r="K15" s="87">
        <v>30</v>
      </c>
      <c r="L15" s="87">
        <v>98</v>
      </c>
      <c r="M15" s="87">
        <v>50</v>
      </c>
      <c r="N15" s="87">
        <v>100</v>
      </c>
      <c r="O15" s="87">
        <v>5</v>
      </c>
      <c r="P15" s="87">
        <v>1392</v>
      </c>
      <c r="Q15" s="21"/>
      <c r="R15" s="21"/>
      <c r="T15" s="2235"/>
      <c r="U15" s="76" t="s">
        <v>64</v>
      </c>
      <c r="V15" s="2262">
        <v>12831</v>
      </c>
      <c r="W15" s="2262"/>
      <c r="X15" s="2262"/>
    </row>
    <row r="16" spans="1:25" ht="24.75" customHeight="1" x14ac:dyDescent="0.25">
      <c r="A16" s="11" t="s">
        <v>39</v>
      </c>
      <c r="B16" s="2260">
        <v>230000</v>
      </c>
      <c r="C16" s="2261"/>
      <c r="D16" s="87"/>
      <c r="E16" s="87"/>
      <c r="F16" s="87"/>
      <c r="G16" s="87"/>
      <c r="H16" s="87">
        <v>300</v>
      </c>
      <c r="I16" s="87"/>
      <c r="J16" s="87">
        <v>25</v>
      </c>
      <c r="K16" s="87"/>
      <c r="L16" s="87"/>
      <c r="M16" s="87"/>
      <c r="N16" s="87"/>
      <c r="O16" s="87"/>
      <c r="P16" s="87"/>
      <c r="Q16" s="21"/>
      <c r="R16" s="21"/>
      <c r="T16" s="2254" t="s">
        <v>55</v>
      </c>
      <c r="U16" s="2254"/>
      <c r="V16" s="2267">
        <f>Y12</f>
        <v>154969.79250000001</v>
      </c>
      <c r="W16" s="2267"/>
      <c r="X16" s="2262"/>
    </row>
    <row r="17" spans="1:25" ht="33" customHeight="1" x14ac:dyDescent="0.25">
      <c r="A17" s="85" t="s">
        <v>44</v>
      </c>
      <c r="B17" s="2260"/>
      <c r="C17" s="2261"/>
      <c r="D17" s="87"/>
      <c r="E17" s="87"/>
      <c r="F17" s="87"/>
      <c r="G17" s="87"/>
      <c r="H17" s="87"/>
      <c r="I17" s="87"/>
      <c r="J17" s="87"/>
      <c r="K17" s="87"/>
      <c r="L17" s="87"/>
      <c r="M17" s="87"/>
      <c r="N17" s="87"/>
      <c r="O17" s="87"/>
      <c r="P17" s="87"/>
      <c r="Q17" s="21"/>
      <c r="R17" s="21"/>
      <c r="T17" s="2254" t="s">
        <v>104</v>
      </c>
      <c r="U17" s="2254"/>
      <c r="V17" s="2262"/>
      <c r="W17" s="2262"/>
      <c r="X17" s="2262"/>
    </row>
    <row r="18" spans="1:25" ht="27" customHeight="1" x14ac:dyDescent="0.25">
      <c r="A18" s="11" t="s">
        <v>40</v>
      </c>
      <c r="B18" s="2264">
        <f>C12</f>
        <v>123753</v>
      </c>
      <c r="C18" s="2261"/>
      <c r="D18" s="88">
        <f>E12</f>
        <v>2500</v>
      </c>
      <c r="E18" s="88">
        <f>G12</f>
        <v>0</v>
      </c>
      <c r="F18" s="88">
        <f>I12</f>
        <v>20</v>
      </c>
      <c r="G18" s="88">
        <f>K12</f>
        <v>0</v>
      </c>
      <c r="H18" s="87">
        <v>25</v>
      </c>
      <c r="I18" s="88">
        <f>U12</f>
        <v>0</v>
      </c>
      <c r="J18" s="87"/>
      <c r="K18" s="88">
        <f>W12</f>
        <v>0</v>
      </c>
      <c r="L18" s="87"/>
      <c r="M18" s="88">
        <f>M12</f>
        <v>0</v>
      </c>
      <c r="N18" s="88"/>
      <c r="O18" s="90">
        <f>Q12</f>
        <v>0</v>
      </c>
      <c r="P18" s="87"/>
      <c r="Q18" s="21"/>
      <c r="R18" s="21"/>
      <c r="T18" s="2254" t="s">
        <v>57</v>
      </c>
      <c r="U18" s="2254"/>
      <c r="V18" s="2262">
        <v>380</v>
      </c>
      <c r="W18" s="2262"/>
      <c r="X18" s="2262"/>
      <c r="Y18" s="2259" t="s">
        <v>103</v>
      </c>
    </row>
    <row r="19" spans="1:25" ht="25.5" customHeight="1" x14ac:dyDescent="0.25">
      <c r="A19" s="11" t="s">
        <v>41</v>
      </c>
      <c r="B19" s="2260">
        <f>B15+B16+B17-B18</f>
        <v>347289</v>
      </c>
      <c r="C19" s="2261"/>
      <c r="D19" s="87">
        <f>D15+D16+D17-D18</f>
        <v>0</v>
      </c>
      <c r="E19" s="87">
        <f t="shared" ref="E19:N19" si="13">E15+E16+E17-E18</f>
        <v>100</v>
      </c>
      <c r="F19" s="87">
        <f t="shared" si="13"/>
        <v>180</v>
      </c>
      <c r="G19" s="87">
        <f t="shared" si="13"/>
        <v>0</v>
      </c>
      <c r="H19" s="87">
        <f t="shared" si="13"/>
        <v>305</v>
      </c>
      <c r="I19" s="87">
        <f t="shared" si="13"/>
        <v>0</v>
      </c>
      <c r="J19" s="87">
        <f t="shared" si="13"/>
        <v>50</v>
      </c>
      <c r="K19" s="87">
        <f t="shared" si="13"/>
        <v>30</v>
      </c>
      <c r="L19" s="87">
        <f t="shared" si="13"/>
        <v>98</v>
      </c>
      <c r="M19" s="87">
        <f t="shared" si="13"/>
        <v>50</v>
      </c>
      <c r="N19" s="87">
        <f t="shared" si="13"/>
        <v>100</v>
      </c>
      <c r="O19" s="87">
        <f>O15+O16+O17-O18</f>
        <v>5</v>
      </c>
      <c r="P19" s="87">
        <f>P15+P16+P17-P18</f>
        <v>1392</v>
      </c>
      <c r="Q19" s="21"/>
      <c r="R19" s="21"/>
      <c r="T19" s="2256" t="s">
        <v>48</v>
      </c>
      <c r="U19" s="49" t="s">
        <v>58</v>
      </c>
      <c r="V19" s="2262">
        <v>257000</v>
      </c>
      <c r="W19" s="2262"/>
      <c r="X19" s="2262"/>
      <c r="Y19" s="2259"/>
    </row>
    <row r="20" spans="1:25" ht="23.25" customHeight="1" x14ac:dyDescent="0.25">
      <c r="A20" s="15"/>
      <c r="B20" s="10"/>
      <c r="C20" s="10"/>
      <c r="D20" s="10"/>
      <c r="E20" s="10"/>
      <c r="F20" s="10"/>
      <c r="G20" s="10"/>
      <c r="H20" s="10"/>
      <c r="I20" s="10"/>
      <c r="J20" s="10"/>
      <c r="K20" s="10"/>
      <c r="L20" s="10"/>
      <c r="M20" s="10"/>
      <c r="N20" s="10"/>
      <c r="O20" s="10"/>
      <c r="P20" s="10"/>
      <c r="Q20" s="10"/>
      <c r="R20" s="10"/>
      <c r="T20" s="2257"/>
      <c r="U20" s="49" t="s">
        <v>59</v>
      </c>
      <c r="V20" s="2262"/>
      <c r="W20" s="2262"/>
      <c r="X20" s="2262"/>
      <c r="Y20" s="2259"/>
    </row>
    <row r="21" spans="1:25" ht="33.75" customHeight="1" x14ac:dyDescent="0.25">
      <c r="A21" s="15"/>
      <c r="B21" s="10"/>
      <c r="C21" s="10"/>
      <c r="D21" s="10"/>
      <c r="E21" s="10"/>
      <c r="F21" s="10"/>
      <c r="G21" s="10"/>
      <c r="H21" s="10"/>
      <c r="I21" s="10"/>
      <c r="J21" s="10"/>
      <c r="K21" s="10"/>
      <c r="L21" s="10"/>
      <c r="M21" s="10"/>
      <c r="N21" s="10"/>
      <c r="O21" s="10"/>
      <c r="P21" s="10"/>
      <c r="Q21" s="10"/>
      <c r="R21" s="10"/>
      <c r="T21" s="2251" t="s">
        <v>83</v>
      </c>
      <c r="U21" s="50" t="s">
        <v>60</v>
      </c>
      <c r="V21" s="2262">
        <v>257250</v>
      </c>
      <c r="W21" s="2262"/>
      <c r="X21" s="2262"/>
      <c r="Y21" s="2259"/>
    </row>
    <row r="22" spans="1:25" ht="29.25" customHeight="1" x14ac:dyDescent="0.25">
      <c r="A22" s="10"/>
      <c r="B22" s="2258" t="s">
        <v>49</v>
      </c>
      <c r="C22" s="2265">
        <v>555988</v>
      </c>
      <c r="D22" s="2262">
        <v>257000</v>
      </c>
      <c r="E22" s="2262">
        <v>293675</v>
      </c>
      <c r="F22" s="2262">
        <f>C22-D22+E22</f>
        <v>592663</v>
      </c>
      <c r="G22" s="10"/>
      <c r="H22" s="10"/>
      <c r="I22" s="10"/>
      <c r="J22" s="10"/>
      <c r="K22" s="10"/>
      <c r="L22" s="10"/>
      <c r="M22" s="10"/>
      <c r="N22" s="10"/>
      <c r="O22" s="10"/>
      <c r="P22" s="10"/>
      <c r="Q22" s="10"/>
      <c r="R22" s="10"/>
      <c r="T22" s="2252"/>
      <c r="U22" s="50" t="s">
        <v>61</v>
      </c>
      <c r="V22" s="2262">
        <v>257000</v>
      </c>
      <c r="W22" s="2262"/>
      <c r="X22" s="2262"/>
      <c r="Y22" s="2259"/>
    </row>
    <row r="23" spans="1:25" ht="47.25" customHeight="1" x14ac:dyDescent="0.25">
      <c r="A23" s="10"/>
      <c r="B23" s="2258"/>
      <c r="C23" s="2266"/>
      <c r="D23" s="2262"/>
      <c r="E23" s="2262"/>
      <c r="F23" s="2262"/>
      <c r="G23" s="10"/>
      <c r="H23" s="10"/>
      <c r="I23" s="10"/>
      <c r="J23" s="10"/>
      <c r="K23" s="10"/>
      <c r="L23" s="10"/>
      <c r="M23" s="10"/>
      <c r="N23" s="10"/>
      <c r="O23" s="10"/>
      <c r="P23" s="10"/>
      <c r="Q23" s="10"/>
      <c r="R23" s="10"/>
      <c r="T23" s="2235" t="s">
        <v>47</v>
      </c>
      <c r="U23" s="51" t="s">
        <v>62</v>
      </c>
      <c r="V23" s="2263">
        <f>V14+V16+V17-V18-V19-V20-V21+V22</f>
        <v>15158.792499999981</v>
      </c>
      <c r="W23" s="2263"/>
      <c r="X23" s="2263"/>
      <c r="Y23" s="2259"/>
    </row>
    <row r="24" spans="1:25" ht="27" customHeight="1" x14ac:dyDescent="0.25">
      <c r="B24" s="2258"/>
      <c r="C24" s="76" t="s">
        <v>46</v>
      </c>
      <c r="D24" s="76" t="s">
        <v>50</v>
      </c>
      <c r="E24" s="76" t="s">
        <v>51</v>
      </c>
      <c r="F24" s="76" t="s">
        <v>52</v>
      </c>
      <c r="T24" s="2235"/>
      <c r="U24" s="51" t="s">
        <v>63</v>
      </c>
      <c r="V24" s="2262">
        <f>V15+V21-V22</f>
        <v>13081</v>
      </c>
      <c r="W24" s="2262"/>
      <c r="X24" s="2262"/>
    </row>
  </sheetData>
  <mergeCells count="48">
    <mergeCell ref="A1:Y1"/>
    <mergeCell ref="A2:Y2"/>
    <mergeCell ref="T3:Y3"/>
    <mergeCell ref="A4:A5"/>
    <mergeCell ref="B4:B5"/>
    <mergeCell ref="C4:D4"/>
    <mergeCell ref="E4:F4"/>
    <mergeCell ref="G4:H4"/>
    <mergeCell ref="I4:J4"/>
    <mergeCell ref="K4:L4"/>
    <mergeCell ref="Y4:Y5"/>
    <mergeCell ref="M4:N4"/>
    <mergeCell ref="O4:P4"/>
    <mergeCell ref="Q4:R4"/>
    <mergeCell ref="S4:T4"/>
    <mergeCell ref="U4:V4"/>
    <mergeCell ref="V18:X18"/>
    <mergeCell ref="B22:B24"/>
    <mergeCell ref="C22:C23"/>
    <mergeCell ref="W4:X4"/>
    <mergeCell ref="B16:C16"/>
    <mergeCell ref="T16:U16"/>
    <mergeCell ref="V16:X16"/>
    <mergeCell ref="B17:C17"/>
    <mergeCell ref="T17:U17"/>
    <mergeCell ref="V17:X17"/>
    <mergeCell ref="A12:B12"/>
    <mergeCell ref="B14:C14"/>
    <mergeCell ref="T14:T15"/>
    <mergeCell ref="V14:X14"/>
    <mergeCell ref="B15:C15"/>
    <mergeCell ref="V15:X15"/>
    <mergeCell ref="D22:D23"/>
    <mergeCell ref="E22:E23"/>
    <mergeCell ref="F22:F23"/>
    <mergeCell ref="Y18:Y23"/>
    <mergeCell ref="B19:C19"/>
    <mergeCell ref="T19:T20"/>
    <mergeCell ref="V19:X19"/>
    <mergeCell ref="V20:X20"/>
    <mergeCell ref="T21:T22"/>
    <mergeCell ref="V21:X21"/>
    <mergeCell ref="V22:X22"/>
    <mergeCell ref="T23:T24"/>
    <mergeCell ref="V23:X23"/>
    <mergeCell ref="V24:X24"/>
    <mergeCell ref="B18:C18"/>
    <mergeCell ref="T18:U18"/>
  </mergeCells>
  <pageMargins left="0.15748031496063" right="0.15748031496063" top="0" bottom="0" header="0" footer="0"/>
  <pageSetup paperSize="9" scale="51" orientation="landscape" r:id="rId1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300-000000000000}">
  <sheetPr>
    <pageSetUpPr fitToPage="1"/>
  </sheetPr>
  <dimension ref="A1:Y24"/>
  <sheetViews>
    <sheetView topLeftCell="A3" zoomScale="67" zoomScaleNormal="67" zoomScaleSheetLayoutView="100" workbookViewId="0">
      <selection activeCell="P22" sqref="P22"/>
    </sheetView>
  </sheetViews>
  <sheetFormatPr defaultColWidth="9.140625" defaultRowHeight="15" x14ac:dyDescent="0.25"/>
  <cols>
    <col min="1" max="1" width="18.85546875" style="14" customWidth="1"/>
    <col min="2" max="2" width="11.140625" style="14" customWidth="1"/>
    <col min="3" max="3" width="10.28515625" style="14" customWidth="1"/>
    <col min="4" max="4" width="11" style="14" customWidth="1"/>
    <col min="5" max="5" width="12" style="14" customWidth="1"/>
    <col min="6" max="6" width="12.5703125" style="14" bestFit="1" customWidth="1"/>
    <col min="7" max="7" width="9.28515625" style="14" bestFit="1" customWidth="1"/>
    <col min="8" max="8" width="10.140625" style="14" bestFit="1" customWidth="1"/>
    <col min="9" max="9" width="10.5703125" style="14" bestFit="1" customWidth="1"/>
    <col min="10" max="10" width="10.5703125" style="14" customWidth="1"/>
    <col min="11" max="11" width="10.28515625" style="14" bestFit="1" customWidth="1"/>
    <col min="12" max="12" width="9.42578125" style="14" bestFit="1" customWidth="1"/>
    <col min="13" max="13" width="9.85546875" style="14" bestFit="1" customWidth="1"/>
    <col min="14" max="14" width="10.140625" style="14" bestFit="1" customWidth="1"/>
    <col min="15" max="15" width="9" style="14" customWidth="1"/>
    <col min="16" max="16" width="12.85546875" style="14" bestFit="1" customWidth="1"/>
    <col min="17" max="18" width="9.42578125" style="14" customWidth="1"/>
    <col min="19" max="19" width="9.42578125" style="14" bestFit="1" customWidth="1"/>
    <col min="20" max="20" width="12.5703125" style="14" customWidth="1"/>
    <col min="21" max="21" width="16.7109375" style="14" customWidth="1"/>
    <col min="22" max="22" width="9.85546875" style="14" bestFit="1" customWidth="1"/>
    <col min="23" max="23" width="10.140625" style="14" bestFit="1" customWidth="1"/>
    <col min="24" max="24" width="9.85546875" style="14" bestFit="1" customWidth="1"/>
    <col min="25" max="25" width="15" style="14" customWidth="1"/>
    <col min="26" max="16384" width="9.140625" style="14"/>
  </cols>
  <sheetData>
    <row r="1" spans="1:25" ht="46.15" customHeight="1" x14ac:dyDescent="0.25">
      <c r="A1" s="2240" t="s">
        <v>76</v>
      </c>
      <c r="B1" s="2240"/>
      <c r="C1" s="2240"/>
      <c r="D1" s="2240"/>
      <c r="E1" s="2240"/>
      <c r="F1" s="2240"/>
      <c r="G1" s="2240"/>
      <c r="H1" s="2240"/>
      <c r="I1" s="2240"/>
      <c r="J1" s="2240"/>
      <c r="K1" s="2240"/>
      <c r="L1" s="2240"/>
      <c r="M1" s="2240"/>
      <c r="N1" s="2240"/>
      <c r="O1" s="2240"/>
      <c r="P1" s="2240"/>
      <c r="Q1" s="2240"/>
      <c r="R1" s="2240"/>
      <c r="S1" s="2240"/>
      <c r="T1" s="2240"/>
      <c r="U1" s="2240"/>
      <c r="V1" s="2240"/>
      <c r="W1" s="2240"/>
      <c r="X1" s="2240"/>
      <c r="Y1" s="2240"/>
    </row>
    <row r="2" spans="1:25" ht="21.6" customHeight="1" x14ac:dyDescent="0.25">
      <c r="A2" s="2241" t="s">
        <v>77</v>
      </c>
      <c r="B2" s="2241"/>
      <c r="C2" s="2241"/>
      <c r="D2" s="2241"/>
      <c r="E2" s="2241"/>
      <c r="F2" s="2241"/>
      <c r="G2" s="2241"/>
      <c r="H2" s="2241"/>
      <c r="I2" s="2241"/>
      <c r="J2" s="2241"/>
      <c r="K2" s="2241"/>
      <c r="L2" s="2241"/>
      <c r="M2" s="2241"/>
      <c r="N2" s="2241"/>
      <c r="O2" s="2241"/>
      <c r="P2" s="2241"/>
      <c r="Q2" s="2241"/>
      <c r="R2" s="2241"/>
      <c r="S2" s="2241"/>
      <c r="T2" s="2241"/>
      <c r="U2" s="2241"/>
      <c r="V2" s="2241"/>
      <c r="W2" s="2241"/>
      <c r="X2" s="2241"/>
      <c r="Y2" s="2241"/>
    </row>
    <row r="3" spans="1:25" ht="21" customHeight="1" x14ac:dyDescent="0.25">
      <c r="A3" s="78"/>
      <c r="B3" s="78"/>
      <c r="C3" s="78"/>
      <c r="D3" s="78"/>
      <c r="E3" s="78"/>
      <c r="F3" s="78"/>
      <c r="G3" s="78"/>
      <c r="H3" s="78"/>
      <c r="I3" s="78"/>
      <c r="J3" s="78"/>
      <c r="K3" s="78"/>
      <c r="L3" s="78"/>
      <c r="M3" s="78"/>
      <c r="N3" s="78"/>
      <c r="O3" s="78"/>
      <c r="P3" s="78"/>
      <c r="Q3" s="78"/>
      <c r="R3" s="78"/>
      <c r="S3" s="78"/>
      <c r="T3" s="2242" t="s">
        <v>121</v>
      </c>
      <c r="U3" s="2242"/>
      <c r="V3" s="2242"/>
      <c r="W3" s="2242"/>
      <c r="X3" s="2242"/>
      <c r="Y3" s="2242"/>
    </row>
    <row r="4" spans="1:25" s="78" customFormat="1" ht="18" customHeight="1" x14ac:dyDescent="0.25">
      <c r="A4" s="2243" t="s">
        <v>25</v>
      </c>
      <c r="B4" s="2243" t="s">
        <v>26</v>
      </c>
      <c r="C4" s="2244" t="s">
        <v>27</v>
      </c>
      <c r="D4" s="2244"/>
      <c r="E4" s="2244" t="s">
        <v>28</v>
      </c>
      <c r="F4" s="2244"/>
      <c r="G4" s="2244" t="s">
        <v>65</v>
      </c>
      <c r="H4" s="2244"/>
      <c r="I4" s="2244" t="s">
        <v>29</v>
      </c>
      <c r="J4" s="2244"/>
      <c r="K4" s="2245" t="s">
        <v>13</v>
      </c>
      <c r="L4" s="2246"/>
      <c r="M4" s="2245" t="s">
        <v>67</v>
      </c>
      <c r="N4" s="2246"/>
      <c r="O4" s="2245" t="s">
        <v>68</v>
      </c>
      <c r="P4" s="2246"/>
      <c r="Q4" s="2245" t="s">
        <v>114</v>
      </c>
      <c r="R4" s="2246"/>
      <c r="S4" s="2244" t="s">
        <v>35</v>
      </c>
      <c r="T4" s="2244"/>
      <c r="U4" s="2245" t="s">
        <v>17</v>
      </c>
      <c r="V4" s="2246"/>
      <c r="W4" s="2247" t="s">
        <v>36</v>
      </c>
      <c r="X4" s="2248"/>
      <c r="Y4" s="2238" t="s">
        <v>30</v>
      </c>
    </row>
    <row r="5" spans="1:25" s="78" customFormat="1" ht="25.5" customHeight="1" x14ac:dyDescent="0.25">
      <c r="A5" s="2243"/>
      <c r="B5" s="2243"/>
      <c r="C5" s="77" t="s">
        <v>42</v>
      </c>
      <c r="D5" s="77" t="s">
        <v>43</v>
      </c>
      <c r="E5" s="77" t="s">
        <v>42</v>
      </c>
      <c r="F5" s="77" t="s">
        <v>43</v>
      </c>
      <c r="G5" s="77" t="s">
        <v>42</v>
      </c>
      <c r="H5" s="77" t="s">
        <v>43</v>
      </c>
      <c r="I5" s="77" t="s">
        <v>42</v>
      </c>
      <c r="J5" s="77" t="s">
        <v>43</v>
      </c>
      <c r="K5" s="77" t="s">
        <v>42</v>
      </c>
      <c r="L5" s="77" t="s">
        <v>43</v>
      </c>
      <c r="M5" s="77" t="s">
        <v>42</v>
      </c>
      <c r="N5" s="77" t="s">
        <v>43</v>
      </c>
      <c r="O5" s="77" t="s">
        <v>42</v>
      </c>
      <c r="P5" s="77" t="s">
        <v>43</v>
      </c>
      <c r="Q5" s="77" t="s">
        <v>42</v>
      </c>
      <c r="R5" s="77" t="s">
        <v>43</v>
      </c>
      <c r="S5" s="33" t="s">
        <v>42</v>
      </c>
      <c r="T5" s="33" t="s">
        <v>43</v>
      </c>
      <c r="U5" s="30" t="s">
        <v>42</v>
      </c>
      <c r="V5" s="30" t="s">
        <v>43</v>
      </c>
      <c r="W5" s="30" t="s">
        <v>42</v>
      </c>
      <c r="X5" s="30" t="s">
        <v>43</v>
      </c>
      <c r="Y5" s="2239"/>
    </row>
    <row r="6" spans="1:25" ht="34.5" customHeight="1" x14ac:dyDescent="0.25">
      <c r="A6" s="12">
        <v>1409935200</v>
      </c>
      <c r="B6" s="76" t="s">
        <v>71</v>
      </c>
      <c r="C6" s="74">
        <v>20704</v>
      </c>
      <c r="D6" s="73">
        <f>0.9725*C6</f>
        <v>20134.64</v>
      </c>
      <c r="E6" s="74"/>
      <c r="F6" s="74">
        <f>13.7*E6</f>
        <v>0</v>
      </c>
      <c r="G6" s="74">
        <v>40</v>
      </c>
      <c r="H6" s="74">
        <f>28.2*G6</f>
        <v>1128</v>
      </c>
      <c r="I6" s="74">
        <v>1210</v>
      </c>
      <c r="J6" s="74">
        <f>18.5*I6</f>
        <v>22385</v>
      </c>
      <c r="K6" s="74"/>
      <c r="L6" s="74">
        <f>19.5*K6</f>
        <v>0</v>
      </c>
      <c r="M6" s="74"/>
      <c r="N6" s="73">
        <f>M6*9.75</f>
        <v>0</v>
      </c>
      <c r="O6" s="74"/>
      <c r="P6" s="73">
        <f>O6*48.62</f>
        <v>0</v>
      </c>
      <c r="Q6" s="73"/>
      <c r="R6" s="73">
        <f>241*Q6</f>
        <v>0</v>
      </c>
      <c r="S6" s="74"/>
      <c r="T6" s="74">
        <f>241*S6</f>
        <v>0</v>
      </c>
      <c r="U6" s="74"/>
      <c r="V6" s="74">
        <f>232*U6</f>
        <v>0</v>
      </c>
      <c r="W6" s="74"/>
      <c r="X6" s="19">
        <f>W6*100</f>
        <v>0</v>
      </c>
      <c r="Y6" s="89">
        <f t="shared" ref="Y6:Y11" si="0">D6+F6+H6+J6+L6+N6+P6+R6+T6+V6+X6</f>
        <v>43647.64</v>
      </c>
    </row>
    <row r="7" spans="1:25" ht="31.5" customHeight="1" x14ac:dyDescent="0.25">
      <c r="A7" s="12">
        <v>1984225578</v>
      </c>
      <c r="B7" s="76" t="s">
        <v>72</v>
      </c>
      <c r="C7" s="74">
        <v>18902</v>
      </c>
      <c r="D7" s="73">
        <f t="shared" ref="D7:D11" si="1">0.9725*C7</f>
        <v>18382.195</v>
      </c>
      <c r="E7" s="74"/>
      <c r="F7" s="74">
        <f t="shared" ref="F7:F11" si="2">13.7*E7</f>
        <v>0</v>
      </c>
      <c r="G7" s="74">
        <v>30</v>
      </c>
      <c r="H7" s="74">
        <f t="shared" ref="H7:H11" si="3">28.2*G7</f>
        <v>846</v>
      </c>
      <c r="I7" s="74">
        <v>2230</v>
      </c>
      <c r="J7" s="74">
        <f t="shared" ref="J7:J11" si="4">18.5*I7</f>
        <v>41255</v>
      </c>
      <c r="K7" s="74"/>
      <c r="L7" s="74">
        <f t="shared" ref="L7:L11" si="5">19.5*K7</f>
        <v>0</v>
      </c>
      <c r="M7" s="74"/>
      <c r="N7" s="73">
        <f t="shared" ref="N7:N11" si="6">M7*9.75</f>
        <v>0</v>
      </c>
      <c r="O7" s="74"/>
      <c r="P7" s="73">
        <f t="shared" ref="P7:P11" si="7">O7*48.62</f>
        <v>0</v>
      </c>
      <c r="Q7" s="73"/>
      <c r="R7" s="73">
        <f t="shared" ref="R7:R11" si="8">241*Q7</f>
        <v>0</v>
      </c>
      <c r="S7" s="74"/>
      <c r="T7" s="74">
        <f t="shared" ref="T7:T11" si="9">241*S7</f>
        <v>0</v>
      </c>
      <c r="U7" s="74"/>
      <c r="V7" s="74">
        <f t="shared" ref="V7:V11" si="10">232*U7</f>
        <v>0</v>
      </c>
      <c r="W7" s="74"/>
      <c r="X7" s="19">
        <f t="shared" ref="X7:X11" si="11">W7*100</f>
        <v>0</v>
      </c>
      <c r="Y7" s="89">
        <f t="shared" si="0"/>
        <v>60483.195</v>
      </c>
    </row>
    <row r="8" spans="1:25" ht="35.25" customHeight="1" x14ac:dyDescent="0.25">
      <c r="A8" s="12">
        <v>1967020280</v>
      </c>
      <c r="B8" s="76" t="s">
        <v>73</v>
      </c>
      <c r="C8" s="74">
        <v>32472</v>
      </c>
      <c r="D8" s="73">
        <f t="shared" si="1"/>
        <v>31579.02</v>
      </c>
      <c r="E8" s="74"/>
      <c r="F8" s="74">
        <f t="shared" si="2"/>
        <v>0</v>
      </c>
      <c r="G8" s="74">
        <v>100</v>
      </c>
      <c r="H8" s="74">
        <f t="shared" si="3"/>
        <v>2820</v>
      </c>
      <c r="I8" s="74">
        <v>150</v>
      </c>
      <c r="J8" s="74">
        <f t="shared" si="4"/>
        <v>2775</v>
      </c>
      <c r="K8" s="74"/>
      <c r="L8" s="74">
        <f t="shared" si="5"/>
        <v>0</v>
      </c>
      <c r="M8" s="74"/>
      <c r="N8" s="73">
        <f t="shared" si="6"/>
        <v>0</v>
      </c>
      <c r="O8" s="74"/>
      <c r="P8" s="73">
        <f t="shared" si="7"/>
        <v>0</v>
      </c>
      <c r="Q8" s="73">
        <v>5</v>
      </c>
      <c r="R8" s="73">
        <f t="shared" si="8"/>
        <v>1205</v>
      </c>
      <c r="S8" s="74"/>
      <c r="T8" s="74">
        <f t="shared" si="9"/>
        <v>0</v>
      </c>
      <c r="U8" s="74"/>
      <c r="V8" s="74">
        <f t="shared" si="10"/>
        <v>0</v>
      </c>
      <c r="W8" s="74"/>
      <c r="X8" s="19">
        <f t="shared" si="11"/>
        <v>0</v>
      </c>
      <c r="Y8" s="89">
        <f t="shared" si="0"/>
        <v>38379.020000000004</v>
      </c>
    </row>
    <row r="9" spans="1:25" ht="38.25" customHeight="1" x14ac:dyDescent="0.25">
      <c r="A9" s="12">
        <v>1409935199</v>
      </c>
      <c r="B9" s="76" t="s">
        <v>74</v>
      </c>
      <c r="C9" s="74">
        <v>9297</v>
      </c>
      <c r="D9" s="73">
        <f t="shared" si="1"/>
        <v>9041.3325000000004</v>
      </c>
      <c r="E9" s="74"/>
      <c r="F9" s="74">
        <f t="shared" si="2"/>
        <v>0</v>
      </c>
      <c r="G9" s="74"/>
      <c r="H9" s="74">
        <f t="shared" si="3"/>
        <v>0</v>
      </c>
      <c r="I9" s="74">
        <v>780</v>
      </c>
      <c r="J9" s="74">
        <f t="shared" si="4"/>
        <v>14430</v>
      </c>
      <c r="K9" s="74"/>
      <c r="L9" s="74">
        <f t="shared" si="5"/>
        <v>0</v>
      </c>
      <c r="M9" s="74"/>
      <c r="N9" s="73">
        <f t="shared" si="6"/>
        <v>0</v>
      </c>
      <c r="O9" s="74"/>
      <c r="P9" s="73">
        <f t="shared" si="7"/>
        <v>0</v>
      </c>
      <c r="Q9" s="73"/>
      <c r="R9" s="73">
        <f t="shared" si="8"/>
        <v>0</v>
      </c>
      <c r="S9" s="74"/>
      <c r="T9" s="74">
        <f t="shared" si="9"/>
        <v>0</v>
      </c>
      <c r="U9" s="74"/>
      <c r="V9" s="74">
        <f t="shared" si="10"/>
        <v>0</v>
      </c>
      <c r="W9" s="74"/>
      <c r="X9" s="19">
        <f t="shared" si="11"/>
        <v>0</v>
      </c>
      <c r="Y9" s="89">
        <f t="shared" si="0"/>
        <v>23471.3325</v>
      </c>
    </row>
    <row r="10" spans="1:25" ht="35.25" customHeight="1" x14ac:dyDescent="0.25">
      <c r="A10" s="12">
        <v>1984225580</v>
      </c>
      <c r="B10" s="76" t="s">
        <v>75</v>
      </c>
      <c r="C10" s="74">
        <v>24266</v>
      </c>
      <c r="D10" s="73">
        <f t="shared" si="1"/>
        <v>23598.685000000001</v>
      </c>
      <c r="E10" s="74"/>
      <c r="F10" s="74">
        <f t="shared" si="2"/>
        <v>0</v>
      </c>
      <c r="G10" s="74">
        <v>50</v>
      </c>
      <c r="H10" s="74">
        <f t="shared" si="3"/>
        <v>1410</v>
      </c>
      <c r="I10" s="74">
        <v>1330</v>
      </c>
      <c r="J10" s="74">
        <f t="shared" si="4"/>
        <v>24605</v>
      </c>
      <c r="K10" s="74"/>
      <c r="L10" s="74">
        <f t="shared" si="5"/>
        <v>0</v>
      </c>
      <c r="M10" s="74"/>
      <c r="N10" s="73">
        <f t="shared" si="6"/>
        <v>0</v>
      </c>
      <c r="O10" s="74"/>
      <c r="P10" s="73">
        <f t="shared" si="7"/>
        <v>0</v>
      </c>
      <c r="Q10" s="73"/>
      <c r="R10" s="73">
        <f t="shared" si="8"/>
        <v>0</v>
      </c>
      <c r="S10" s="74"/>
      <c r="T10" s="74">
        <f t="shared" si="9"/>
        <v>0</v>
      </c>
      <c r="U10" s="74"/>
      <c r="V10" s="74">
        <f t="shared" si="10"/>
        <v>0</v>
      </c>
      <c r="W10" s="74"/>
      <c r="X10" s="19">
        <f t="shared" si="11"/>
        <v>0</v>
      </c>
      <c r="Y10" s="89">
        <f t="shared" si="0"/>
        <v>49613.684999999998</v>
      </c>
    </row>
    <row r="11" spans="1:25" ht="37.5" customHeight="1" x14ac:dyDescent="0.25">
      <c r="A11" s="12"/>
      <c r="B11" s="75"/>
      <c r="C11" s="74"/>
      <c r="D11" s="22">
        <f t="shared" si="1"/>
        <v>0</v>
      </c>
      <c r="E11" s="74"/>
      <c r="F11" s="74">
        <f t="shared" si="2"/>
        <v>0</v>
      </c>
      <c r="G11" s="74"/>
      <c r="H11" s="74">
        <f t="shared" si="3"/>
        <v>0</v>
      </c>
      <c r="I11" s="74"/>
      <c r="J11" s="74">
        <f t="shared" si="4"/>
        <v>0</v>
      </c>
      <c r="K11" s="74"/>
      <c r="L11" s="74">
        <f t="shared" si="5"/>
        <v>0</v>
      </c>
      <c r="M11" s="74"/>
      <c r="N11" s="73">
        <f t="shared" si="6"/>
        <v>0</v>
      </c>
      <c r="O11" s="74"/>
      <c r="P11" s="73">
        <f t="shared" si="7"/>
        <v>0</v>
      </c>
      <c r="Q11" s="73"/>
      <c r="R11" s="73">
        <f t="shared" si="8"/>
        <v>0</v>
      </c>
      <c r="S11" s="74"/>
      <c r="T11" s="74">
        <f t="shared" si="9"/>
        <v>0</v>
      </c>
      <c r="U11" s="74"/>
      <c r="V11" s="74">
        <f t="shared" si="10"/>
        <v>0</v>
      </c>
      <c r="W11" s="74"/>
      <c r="X11" s="19">
        <f t="shared" si="11"/>
        <v>0</v>
      </c>
      <c r="Y11" s="20">
        <f t="shared" si="0"/>
        <v>0</v>
      </c>
    </row>
    <row r="12" spans="1:25" ht="29.25" customHeight="1" x14ac:dyDescent="0.25">
      <c r="A12" s="2235" t="s">
        <v>31</v>
      </c>
      <c r="B12" s="2235"/>
      <c r="C12" s="18">
        <f t="shared" ref="C12:Y12" si="12">SUM(C6:C11)</f>
        <v>105641</v>
      </c>
      <c r="D12" s="18">
        <f t="shared" si="12"/>
        <v>102735.8725</v>
      </c>
      <c r="E12" s="18">
        <f t="shared" si="12"/>
        <v>0</v>
      </c>
      <c r="F12" s="18">
        <f t="shared" si="12"/>
        <v>0</v>
      </c>
      <c r="G12" s="18">
        <f t="shared" si="12"/>
        <v>220</v>
      </c>
      <c r="H12" s="18">
        <f t="shared" si="12"/>
        <v>6204</v>
      </c>
      <c r="I12" s="18">
        <f t="shared" si="12"/>
        <v>5700</v>
      </c>
      <c r="J12" s="18">
        <f t="shared" si="12"/>
        <v>105450</v>
      </c>
      <c r="K12" s="18">
        <f t="shared" si="12"/>
        <v>0</v>
      </c>
      <c r="L12" s="18">
        <f t="shared" si="12"/>
        <v>0</v>
      </c>
      <c r="M12" s="18">
        <f t="shared" si="12"/>
        <v>0</v>
      </c>
      <c r="N12" s="23">
        <f t="shared" si="12"/>
        <v>0</v>
      </c>
      <c r="O12" s="18">
        <f t="shared" si="12"/>
        <v>0</v>
      </c>
      <c r="P12" s="23">
        <f t="shared" si="12"/>
        <v>0</v>
      </c>
      <c r="Q12" s="23">
        <f t="shared" si="12"/>
        <v>5</v>
      </c>
      <c r="R12" s="23">
        <f>SUM(R6:R11)</f>
        <v>1205</v>
      </c>
      <c r="S12" s="18">
        <f t="shared" si="12"/>
        <v>0</v>
      </c>
      <c r="T12" s="18">
        <f t="shared" si="12"/>
        <v>0</v>
      </c>
      <c r="U12" s="18">
        <f t="shared" si="12"/>
        <v>0</v>
      </c>
      <c r="V12" s="18">
        <f t="shared" si="12"/>
        <v>0</v>
      </c>
      <c r="W12" s="18">
        <f t="shared" si="12"/>
        <v>0</v>
      </c>
      <c r="X12" s="18">
        <f t="shared" si="12"/>
        <v>0</v>
      </c>
      <c r="Y12" s="18">
        <f t="shared" si="12"/>
        <v>215594.87249999997</v>
      </c>
    </row>
    <row r="14" spans="1:25" ht="32.25" customHeight="1" x14ac:dyDescent="0.25">
      <c r="A14" s="30" t="s">
        <v>32</v>
      </c>
      <c r="B14" s="2236" t="s">
        <v>27</v>
      </c>
      <c r="C14" s="2236"/>
      <c r="D14" s="30" t="s">
        <v>33</v>
      </c>
      <c r="E14" s="30" t="s">
        <v>65</v>
      </c>
      <c r="F14" s="30" t="s">
        <v>34</v>
      </c>
      <c r="G14" s="30" t="s">
        <v>13</v>
      </c>
      <c r="H14" s="31" t="s">
        <v>45</v>
      </c>
      <c r="I14" s="30" t="s">
        <v>17</v>
      </c>
      <c r="J14" s="30" t="s">
        <v>66</v>
      </c>
      <c r="K14" s="30" t="s">
        <v>36</v>
      </c>
      <c r="L14" s="30" t="s">
        <v>37</v>
      </c>
      <c r="M14" s="30" t="s">
        <v>69</v>
      </c>
      <c r="N14" s="30" t="s">
        <v>70</v>
      </c>
      <c r="O14" s="86" t="s">
        <v>114</v>
      </c>
      <c r="P14" s="86" t="s">
        <v>99</v>
      </c>
      <c r="Q14" s="15"/>
      <c r="R14" s="15"/>
      <c r="T14" s="2235" t="s">
        <v>46</v>
      </c>
      <c r="U14" s="76" t="s">
        <v>54</v>
      </c>
      <c r="V14" s="2260">
        <v>15159</v>
      </c>
      <c r="W14" s="2268"/>
      <c r="X14" s="2261"/>
    </row>
    <row r="15" spans="1:25" ht="22.5" customHeight="1" x14ac:dyDescent="0.25">
      <c r="A15" s="11" t="s">
        <v>38</v>
      </c>
      <c r="B15" s="2260">
        <v>347289</v>
      </c>
      <c r="C15" s="2261"/>
      <c r="D15" s="87">
        <v>0</v>
      </c>
      <c r="E15" s="87">
        <v>100</v>
      </c>
      <c r="F15" s="87">
        <v>180</v>
      </c>
      <c r="G15" s="87">
        <v>0</v>
      </c>
      <c r="H15" s="87">
        <v>305</v>
      </c>
      <c r="I15" s="87">
        <v>0</v>
      </c>
      <c r="J15" s="87">
        <v>50</v>
      </c>
      <c r="K15" s="87">
        <v>30</v>
      </c>
      <c r="L15" s="87">
        <v>98</v>
      </c>
      <c r="M15" s="87">
        <v>50</v>
      </c>
      <c r="N15" s="87">
        <v>100</v>
      </c>
      <c r="O15" s="87">
        <v>5</v>
      </c>
      <c r="P15" s="87">
        <v>1392</v>
      </c>
      <c r="Q15" s="21"/>
      <c r="R15" s="21"/>
      <c r="T15" s="2235"/>
      <c r="U15" s="76" t="s">
        <v>64</v>
      </c>
      <c r="V15" s="2262">
        <v>13081</v>
      </c>
      <c r="W15" s="2262"/>
      <c r="X15" s="2262"/>
    </row>
    <row r="16" spans="1:25" ht="24.75" customHeight="1" x14ac:dyDescent="0.25">
      <c r="A16" s="11" t="s">
        <v>39</v>
      </c>
      <c r="B16" s="2260">
        <v>30000</v>
      </c>
      <c r="C16" s="2261"/>
      <c r="D16" s="87"/>
      <c r="E16" s="87">
        <v>1000</v>
      </c>
      <c r="F16" s="87">
        <v>15000</v>
      </c>
      <c r="G16" s="87"/>
      <c r="H16" s="87"/>
      <c r="I16" s="87">
        <v>25</v>
      </c>
      <c r="J16" s="87"/>
      <c r="K16" s="87"/>
      <c r="L16" s="87">
        <v>10</v>
      </c>
      <c r="M16" s="87"/>
      <c r="N16" s="87"/>
      <c r="O16" s="87"/>
      <c r="P16" s="87"/>
      <c r="Q16" s="21"/>
      <c r="R16" s="21"/>
      <c r="T16" s="2254" t="s">
        <v>55</v>
      </c>
      <c r="U16" s="2254"/>
      <c r="V16" s="2267">
        <f>Y12</f>
        <v>215594.87249999997</v>
      </c>
      <c r="W16" s="2267"/>
      <c r="X16" s="2262"/>
    </row>
    <row r="17" spans="1:25" ht="33" customHeight="1" x14ac:dyDescent="0.25">
      <c r="A17" s="85" t="s">
        <v>44</v>
      </c>
      <c r="B17" s="2260"/>
      <c r="C17" s="2261"/>
      <c r="D17" s="87"/>
      <c r="E17" s="87"/>
      <c r="F17" s="87"/>
      <c r="G17" s="87"/>
      <c r="H17" s="87"/>
      <c r="I17" s="87"/>
      <c r="J17" s="87"/>
      <c r="K17" s="87"/>
      <c r="L17" s="87"/>
      <c r="M17" s="87"/>
      <c r="N17" s="87"/>
      <c r="O17" s="87"/>
      <c r="P17" s="87"/>
      <c r="Q17" s="21"/>
      <c r="R17" s="21"/>
      <c r="T17" s="2254" t="s">
        <v>104</v>
      </c>
      <c r="U17" s="2254"/>
      <c r="V17" s="2262"/>
      <c r="W17" s="2262"/>
      <c r="X17" s="2262"/>
    </row>
    <row r="18" spans="1:25" ht="27" customHeight="1" x14ac:dyDescent="0.25">
      <c r="A18" s="11" t="s">
        <v>40</v>
      </c>
      <c r="B18" s="2264">
        <f>C12</f>
        <v>105641</v>
      </c>
      <c r="C18" s="2261"/>
      <c r="D18" s="88">
        <f>E12</f>
        <v>0</v>
      </c>
      <c r="E18" s="88">
        <f>G12</f>
        <v>220</v>
      </c>
      <c r="F18" s="88">
        <f>I12</f>
        <v>5700</v>
      </c>
      <c r="G18" s="88">
        <f>K12</f>
        <v>0</v>
      </c>
      <c r="H18" s="87">
        <v>10</v>
      </c>
      <c r="I18" s="88">
        <f>U12</f>
        <v>0</v>
      </c>
      <c r="J18" s="87"/>
      <c r="K18" s="88">
        <f>W12</f>
        <v>0</v>
      </c>
      <c r="L18" s="87"/>
      <c r="M18" s="88">
        <f>M12</f>
        <v>0</v>
      </c>
      <c r="N18" s="88"/>
      <c r="O18" s="90">
        <f>Q12</f>
        <v>5</v>
      </c>
      <c r="P18" s="87"/>
      <c r="Q18" s="21"/>
      <c r="R18" s="21"/>
      <c r="T18" s="2254" t="s">
        <v>57</v>
      </c>
      <c r="U18" s="2254"/>
      <c r="V18" s="2262">
        <f>680+6772</f>
        <v>7452</v>
      </c>
      <c r="W18" s="2262"/>
      <c r="X18" s="2262"/>
      <c r="Y18" s="2269" t="s">
        <v>122</v>
      </c>
    </row>
    <row r="19" spans="1:25" ht="25.5" customHeight="1" x14ac:dyDescent="0.25">
      <c r="A19" s="11" t="s">
        <v>41</v>
      </c>
      <c r="B19" s="2260">
        <f>B15+B16+B17-B18</f>
        <v>271648</v>
      </c>
      <c r="C19" s="2261"/>
      <c r="D19" s="87">
        <f>D15+D16+D17-D18</f>
        <v>0</v>
      </c>
      <c r="E19" s="87">
        <f t="shared" ref="E19:N19" si="13">E15+E16+E17-E18</f>
        <v>880</v>
      </c>
      <c r="F19" s="87">
        <f t="shared" si="13"/>
        <v>9480</v>
      </c>
      <c r="G19" s="87">
        <f t="shared" si="13"/>
        <v>0</v>
      </c>
      <c r="H19" s="87">
        <f t="shared" si="13"/>
        <v>295</v>
      </c>
      <c r="I19" s="87">
        <f t="shared" si="13"/>
        <v>25</v>
      </c>
      <c r="J19" s="87">
        <f t="shared" si="13"/>
        <v>50</v>
      </c>
      <c r="K19" s="87">
        <f t="shared" si="13"/>
        <v>30</v>
      </c>
      <c r="L19" s="87">
        <f t="shared" si="13"/>
        <v>108</v>
      </c>
      <c r="M19" s="87">
        <f t="shared" si="13"/>
        <v>50</v>
      </c>
      <c r="N19" s="87">
        <f t="shared" si="13"/>
        <v>100</v>
      </c>
      <c r="O19" s="87">
        <f>O15+O16+O17-O18</f>
        <v>0</v>
      </c>
      <c r="P19" s="87">
        <f>P15+P16+P17-P18</f>
        <v>1392</v>
      </c>
      <c r="Q19" s="21"/>
      <c r="R19" s="21"/>
      <c r="T19" s="2256" t="s">
        <v>48</v>
      </c>
      <c r="U19" s="49" t="s">
        <v>58</v>
      </c>
      <c r="V19" s="2262">
        <v>209000</v>
      </c>
      <c r="W19" s="2262"/>
      <c r="X19" s="2262"/>
      <c r="Y19" s="2269"/>
    </row>
    <row r="20" spans="1:25" ht="23.25" customHeight="1" x14ac:dyDescent="0.25">
      <c r="A20" s="15"/>
      <c r="B20" s="10"/>
      <c r="C20" s="10"/>
      <c r="D20" s="10"/>
      <c r="E20" s="10"/>
      <c r="F20" s="10"/>
      <c r="G20" s="10"/>
      <c r="H20" s="10"/>
      <c r="I20" s="10"/>
      <c r="J20" s="10"/>
      <c r="K20" s="10"/>
      <c r="L20" s="10"/>
      <c r="M20" s="10"/>
      <c r="N20" s="10"/>
      <c r="O20" s="10"/>
      <c r="P20" s="10"/>
      <c r="Q20" s="10"/>
      <c r="R20" s="10"/>
      <c r="T20" s="2257"/>
      <c r="U20" s="49" t="s">
        <v>59</v>
      </c>
      <c r="V20" s="2262"/>
      <c r="W20" s="2262"/>
      <c r="X20" s="2262"/>
      <c r="Y20" s="2269"/>
    </row>
    <row r="21" spans="1:25" ht="33.75" customHeight="1" x14ac:dyDescent="0.25">
      <c r="A21" s="15"/>
      <c r="B21" s="10"/>
      <c r="C21" s="10"/>
      <c r="D21" s="10"/>
      <c r="E21" s="10"/>
      <c r="F21" s="10"/>
      <c r="G21" s="10"/>
      <c r="H21" s="10"/>
      <c r="I21" s="10"/>
      <c r="J21" s="10"/>
      <c r="K21" s="10"/>
      <c r="L21" s="10"/>
      <c r="M21" s="10"/>
      <c r="N21" s="10"/>
      <c r="O21" s="10"/>
      <c r="P21" s="10"/>
      <c r="Q21" s="10"/>
      <c r="R21" s="10"/>
      <c r="T21" s="2251" t="s">
        <v>83</v>
      </c>
      <c r="U21" s="50" t="s">
        <v>60</v>
      </c>
      <c r="V21" s="2262">
        <v>209380</v>
      </c>
      <c r="W21" s="2262"/>
      <c r="X21" s="2262"/>
      <c r="Y21" s="2269"/>
    </row>
    <row r="22" spans="1:25" ht="29.25" customHeight="1" x14ac:dyDescent="0.25">
      <c r="A22" s="10"/>
      <c r="B22" s="2258" t="s">
        <v>49</v>
      </c>
      <c r="C22" s="2265">
        <v>592663</v>
      </c>
      <c r="D22" s="2262">
        <v>209000</v>
      </c>
      <c r="E22" s="2262">
        <v>337013</v>
      </c>
      <c r="F22" s="2262">
        <f>C22-D22+E22</f>
        <v>720676</v>
      </c>
      <c r="G22" s="10"/>
      <c r="H22" s="10"/>
      <c r="I22" s="10"/>
      <c r="J22" s="10"/>
      <c r="K22" s="10"/>
      <c r="L22" s="10"/>
      <c r="M22" s="10"/>
      <c r="N22" s="10"/>
      <c r="O22" s="10"/>
      <c r="P22" s="10"/>
      <c r="Q22" s="10"/>
      <c r="R22" s="10"/>
      <c r="T22" s="2252"/>
      <c r="U22" s="50" t="s">
        <v>61</v>
      </c>
      <c r="V22" s="2262">
        <v>215772</v>
      </c>
      <c r="W22" s="2262"/>
      <c r="X22" s="2262"/>
      <c r="Y22" s="2269"/>
    </row>
    <row r="23" spans="1:25" ht="47.25" customHeight="1" x14ac:dyDescent="0.25">
      <c r="A23" s="10"/>
      <c r="B23" s="2258"/>
      <c r="C23" s="2266"/>
      <c r="D23" s="2262"/>
      <c r="E23" s="2262"/>
      <c r="F23" s="2262"/>
      <c r="G23" s="10"/>
      <c r="H23" s="10"/>
      <c r="I23" s="10"/>
      <c r="J23" s="10"/>
      <c r="K23" s="10"/>
      <c r="L23" s="10"/>
      <c r="M23" s="10"/>
      <c r="N23" s="10"/>
      <c r="O23" s="10"/>
      <c r="P23" s="10"/>
      <c r="Q23" s="10"/>
      <c r="R23" s="10"/>
      <c r="T23" s="2235" t="s">
        <v>47</v>
      </c>
      <c r="U23" s="51" t="s">
        <v>62</v>
      </c>
      <c r="V23" s="2263">
        <f>V14+V16+V17-V18-V19-V20-V21+V22</f>
        <v>20693.872499999969</v>
      </c>
      <c r="W23" s="2263"/>
      <c r="X23" s="2263"/>
      <c r="Y23" s="2269"/>
    </row>
    <row r="24" spans="1:25" ht="27" customHeight="1" x14ac:dyDescent="0.25">
      <c r="B24" s="2258"/>
      <c r="C24" s="76" t="s">
        <v>46</v>
      </c>
      <c r="D24" s="76" t="s">
        <v>50</v>
      </c>
      <c r="E24" s="76" t="s">
        <v>51</v>
      </c>
      <c r="F24" s="76" t="s">
        <v>52</v>
      </c>
      <c r="T24" s="2235"/>
      <c r="U24" s="51" t="s">
        <v>63</v>
      </c>
      <c r="V24" s="2262">
        <f>V15+V21-V22</f>
        <v>6689</v>
      </c>
      <c r="W24" s="2262"/>
      <c r="X24" s="2262"/>
    </row>
  </sheetData>
  <mergeCells count="48">
    <mergeCell ref="A1:Y1"/>
    <mergeCell ref="A2:Y2"/>
    <mergeCell ref="T3:Y3"/>
    <mergeCell ref="A4:A5"/>
    <mergeCell ref="B4:B5"/>
    <mergeCell ref="C4:D4"/>
    <mergeCell ref="E4:F4"/>
    <mergeCell ref="G4:H4"/>
    <mergeCell ref="I4:J4"/>
    <mergeCell ref="K4:L4"/>
    <mergeCell ref="Y4:Y5"/>
    <mergeCell ref="M4:N4"/>
    <mergeCell ref="O4:P4"/>
    <mergeCell ref="Q4:R4"/>
    <mergeCell ref="S4:T4"/>
    <mergeCell ref="U4:V4"/>
    <mergeCell ref="V18:X18"/>
    <mergeCell ref="B22:B24"/>
    <mergeCell ref="C22:C23"/>
    <mergeCell ref="W4:X4"/>
    <mergeCell ref="B16:C16"/>
    <mergeCell ref="T16:U16"/>
    <mergeCell ref="V16:X16"/>
    <mergeCell ref="B17:C17"/>
    <mergeCell ref="T17:U17"/>
    <mergeCell ref="V17:X17"/>
    <mergeCell ref="A12:B12"/>
    <mergeCell ref="B14:C14"/>
    <mergeCell ref="T14:T15"/>
    <mergeCell ref="V14:X14"/>
    <mergeCell ref="B15:C15"/>
    <mergeCell ref="V15:X15"/>
    <mergeCell ref="D22:D23"/>
    <mergeCell ref="E22:E23"/>
    <mergeCell ref="F22:F23"/>
    <mergeCell ref="Y18:Y23"/>
    <mergeCell ref="B19:C19"/>
    <mergeCell ref="T19:T20"/>
    <mergeCell ref="V19:X19"/>
    <mergeCell ref="V20:X20"/>
    <mergeCell ref="T21:T22"/>
    <mergeCell ref="V21:X21"/>
    <mergeCell ref="V22:X22"/>
    <mergeCell ref="T23:T24"/>
    <mergeCell ref="V23:X23"/>
    <mergeCell ref="V24:X24"/>
    <mergeCell ref="B18:C18"/>
    <mergeCell ref="T18:U18"/>
  </mergeCells>
  <pageMargins left="0.15748031496063" right="0.15748031496063" top="0" bottom="0" header="0" footer="0"/>
  <pageSetup paperSize="9" scale="51" orientation="landscape" r:id="rId1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400-000000000000}">
  <sheetPr>
    <pageSetUpPr fitToPage="1"/>
  </sheetPr>
  <dimension ref="A1:Y24"/>
  <sheetViews>
    <sheetView topLeftCell="A6" zoomScale="67" zoomScaleNormal="67" zoomScaleSheetLayoutView="100" workbookViewId="0">
      <selection activeCell="J26" sqref="J26"/>
    </sheetView>
  </sheetViews>
  <sheetFormatPr defaultColWidth="9.140625" defaultRowHeight="15" x14ac:dyDescent="0.25"/>
  <cols>
    <col min="1" max="1" width="18.85546875" style="14" customWidth="1"/>
    <col min="2" max="2" width="11.140625" style="14" customWidth="1"/>
    <col min="3" max="3" width="10.28515625" style="14" customWidth="1"/>
    <col min="4" max="4" width="11" style="14" customWidth="1"/>
    <col min="5" max="5" width="12" style="14" customWidth="1"/>
    <col min="6" max="6" width="12.5703125" style="14" bestFit="1" customWidth="1"/>
    <col min="7" max="7" width="9.28515625" style="14" bestFit="1" customWidth="1"/>
    <col min="8" max="8" width="10.140625" style="14" bestFit="1" customWidth="1"/>
    <col min="9" max="9" width="10.5703125" style="14" bestFit="1" customWidth="1"/>
    <col min="10" max="10" width="10.5703125" style="14" customWidth="1"/>
    <col min="11" max="11" width="10.28515625" style="14" bestFit="1" customWidth="1"/>
    <col min="12" max="12" width="9.42578125" style="14" bestFit="1" customWidth="1"/>
    <col min="13" max="13" width="9.85546875" style="14" bestFit="1" customWidth="1"/>
    <col min="14" max="14" width="10.140625" style="14" bestFit="1" customWidth="1"/>
    <col min="15" max="15" width="9" style="14" customWidth="1"/>
    <col min="16" max="16" width="12.85546875" style="14" bestFit="1" customWidth="1"/>
    <col min="17" max="18" width="9.42578125" style="14" customWidth="1"/>
    <col min="19" max="19" width="9.42578125" style="14" bestFit="1" customWidth="1"/>
    <col min="20" max="20" width="12.5703125" style="14" customWidth="1"/>
    <col min="21" max="21" width="16.7109375" style="14" customWidth="1"/>
    <col min="22" max="22" width="9.85546875" style="14" bestFit="1" customWidth="1"/>
    <col min="23" max="23" width="10.140625" style="14" bestFit="1" customWidth="1"/>
    <col min="24" max="24" width="9.85546875" style="14" bestFit="1" customWidth="1"/>
    <col min="25" max="25" width="15" style="14" customWidth="1"/>
    <col min="26" max="16384" width="9.140625" style="14"/>
  </cols>
  <sheetData>
    <row r="1" spans="1:25" ht="46.15" customHeight="1" x14ac:dyDescent="0.25">
      <c r="A1" s="2240" t="s">
        <v>76</v>
      </c>
      <c r="B1" s="2240"/>
      <c r="C1" s="2240"/>
      <c r="D1" s="2240"/>
      <c r="E1" s="2240"/>
      <c r="F1" s="2240"/>
      <c r="G1" s="2240"/>
      <c r="H1" s="2240"/>
      <c r="I1" s="2240"/>
      <c r="J1" s="2240"/>
      <c r="K1" s="2240"/>
      <c r="L1" s="2240"/>
      <c r="M1" s="2240"/>
      <c r="N1" s="2240"/>
      <c r="O1" s="2240"/>
      <c r="P1" s="2240"/>
      <c r="Q1" s="2240"/>
      <c r="R1" s="2240"/>
      <c r="S1" s="2240"/>
      <c r="T1" s="2240"/>
      <c r="U1" s="2240"/>
      <c r="V1" s="2240"/>
      <c r="W1" s="2240"/>
      <c r="X1" s="2240"/>
      <c r="Y1" s="2240"/>
    </row>
    <row r="2" spans="1:25" ht="21.6" customHeight="1" x14ac:dyDescent="0.25">
      <c r="A2" s="2241" t="s">
        <v>77</v>
      </c>
      <c r="B2" s="2241"/>
      <c r="C2" s="2241"/>
      <c r="D2" s="2241"/>
      <c r="E2" s="2241"/>
      <c r="F2" s="2241"/>
      <c r="G2" s="2241"/>
      <c r="H2" s="2241"/>
      <c r="I2" s="2241"/>
      <c r="J2" s="2241"/>
      <c r="K2" s="2241"/>
      <c r="L2" s="2241"/>
      <c r="M2" s="2241"/>
      <c r="N2" s="2241"/>
      <c r="O2" s="2241"/>
      <c r="P2" s="2241"/>
      <c r="Q2" s="2241"/>
      <c r="R2" s="2241"/>
      <c r="S2" s="2241"/>
      <c r="T2" s="2241"/>
      <c r="U2" s="2241"/>
      <c r="V2" s="2241"/>
      <c r="W2" s="2241"/>
      <c r="X2" s="2241"/>
      <c r="Y2" s="2241"/>
    </row>
    <row r="3" spans="1:25" ht="21" customHeight="1" x14ac:dyDescent="0.25">
      <c r="A3" s="78"/>
      <c r="B3" s="78"/>
      <c r="C3" s="78"/>
      <c r="D3" s="78"/>
      <c r="E3" s="78"/>
      <c r="F3" s="78"/>
      <c r="G3" s="78"/>
      <c r="H3" s="78"/>
      <c r="I3" s="78"/>
      <c r="J3" s="78"/>
      <c r="K3" s="78"/>
      <c r="L3" s="78"/>
      <c r="M3" s="78"/>
      <c r="N3" s="78"/>
      <c r="O3" s="78"/>
      <c r="P3" s="78"/>
      <c r="Q3" s="78"/>
      <c r="R3" s="78"/>
      <c r="S3" s="78"/>
      <c r="T3" s="2242" t="s">
        <v>123</v>
      </c>
      <c r="U3" s="2242"/>
      <c r="V3" s="2242"/>
      <c r="W3" s="2242"/>
      <c r="X3" s="2242"/>
      <c r="Y3" s="2242"/>
    </row>
    <row r="4" spans="1:25" s="78" customFormat="1" ht="18" customHeight="1" x14ac:dyDescent="0.25">
      <c r="A4" s="2243" t="s">
        <v>25</v>
      </c>
      <c r="B4" s="2243" t="s">
        <v>26</v>
      </c>
      <c r="C4" s="2244" t="s">
        <v>27</v>
      </c>
      <c r="D4" s="2244"/>
      <c r="E4" s="2244" t="s">
        <v>28</v>
      </c>
      <c r="F4" s="2244"/>
      <c r="G4" s="2244" t="s">
        <v>65</v>
      </c>
      <c r="H4" s="2244"/>
      <c r="I4" s="2244" t="s">
        <v>29</v>
      </c>
      <c r="J4" s="2244"/>
      <c r="K4" s="2245" t="s">
        <v>13</v>
      </c>
      <c r="L4" s="2246"/>
      <c r="M4" s="2245" t="s">
        <v>67</v>
      </c>
      <c r="N4" s="2246"/>
      <c r="O4" s="2245" t="s">
        <v>68</v>
      </c>
      <c r="P4" s="2246"/>
      <c r="Q4" s="2245" t="s">
        <v>114</v>
      </c>
      <c r="R4" s="2246"/>
      <c r="S4" s="2244" t="s">
        <v>35</v>
      </c>
      <c r="T4" s="2244"/>
      <c r="U4" s="2245" t="s">
        <v>17</v>
      </c>
      <c r="V4" s="2246"/>
      <c r="W4" s="2247" t="s">
        <v>36</v>
      </c>
      <c r="X4" s="2248"/>
      <c r="Y4" s="2238" t="s">
        <v>30</v>
      </c>
    </row>
    <row r="5" spans="1:25" s="78" customFormat="1" ht="25.5" customHeight="1" x14ac:dyDescent="0.25">
      <c r="A5" s="2243"/>
      <c r="B5" s="2243"/>
      <c r="C5" s="77" t="s">
        <v>42</v>
      </c>
      <c r="D5" s="77" t="s">
        <v>43</v>
      </c>
      <c r="E5" s="77" t="s">
        <v>42</v>
      </c>
      <c r="F5" s="77" t="s">
        <v>43</v>
      </c>
      <c r="G5" s="77" t="s">
        <v>42</v>
      </c>
      <c r="H5" s="77" t="s">
        <v>43</v>
      </c>
      <c r="I5" s="77" t="s">
        <v>42</v>
      </c>
      <c r="J5" s="77" t="s">
        <v>43</v>
      </c>
      <c r="K5" s="77" t="s">
        <v>42</v>
      </c>
      <c r="L5" s="77" t="s">
        <v>43</v>
      </c>
      <c r="M5" s="77" t="s">
        <v>42</v>
      </c>
      <c r="N5" s="77" t="s">
        <v>43</v>
      </c>
      <c r="O5" s="77" t="s">
        <v>42</v>
      </c>
      <c r="P5" s="77" t="s">
        <v>43</v>
      </c>
      <c r="Q5" s="77" t="s">
        <v>42</v>
      </c>
      <c r="R5" s="77" t="s">
        <v>43</v>
      </c>
      <c r="S5" s="33" t="s">
        <v>42</v>
      </c>
      <c r="T5" s="33" t="s">
        <v>43</v>
      </c>
      <c r="U5" s="30" t="s">
        <v>42</v>
      </c>
      <c r="V5" s="30" t="s">
        <v>43</v>
      </c>
      <c r="W5" s="30" t="s">
        <v>42</v>
      </c>
      <c r="X5" s="30" t="s">
        <v>43</v>
      </c>
      <c r="Y5" s="2239"/>
    </row>
    <row r="6" spans="1:25" ht="34.5" customHeight="1" x14ac:dyDescent="0.25">
      <c r="A6" s="12">
        <v>1409935200</v>
      </c>
      <c r="B6" s="76" t="s">
        <v>71</v>
      </c>
      <c r="C6" s="74">
        <v>18228</v>
      </c>
      <c r="D6" s="73">
        <f>0.9725*C6</f>
        <v>17726.73</v>
      </c>
      <c r="E6" s="74"/>
      <c r="F6" s="74">
        <f>13.7*E6</f>
        <v>0</v>
      </c>
      <c r="G6" s="74">
        <v>170</v>
      </c>
      <c r="H6" s="74">
        <f>28.2*G6</f>
        <v>4794</v>
      </c>
      <c r="I6" s="74">
        <v>790</v>
      </c>
      <c r="J6" s="74">
        <f>18.5*I6</f>
        <v>14615</v>
      </c>
      <c r="K6" s="74"/>
      <c r="L6" s="74">
        <f>19.5*K6</f>
        <v>0</v>
      </c>
      <c r="M6" s="74"/>
      <c r="N6" s="73">
        <f>M6*9.75</f>
        <v>0</v>
      </c>
      <c r="O6" s="74"/>
      <c r="P6" s="73">
        <f>O6*48.62</f>
        <v>0</v>
      </c>
      <c r="Q6" s="73"/>
      <c r="R6" s="73">
        <f>241*Q6</f>
        <v>0</v>
      </c>
      <c r="S6" s="74"/>
      <c r="T6" s="74">
        <f>241*S6</f>
        <v>0</v>
      </c>
      <c r="U6" s="74"/>
      <c r="V6" s="74">
        <f>232*U6</f>
        <v>0</v>
      </c>
      <c r="W6" s="74"/>
      <c r="X6" s="19">
        <f>W6*100</f>
        <v>0</v>
      </c>
      <c r="Y6" s="89">
        <f t="shared" ref="Y6:Y11" si="0">D6+F6+H6+J6+L6+N6+P6+R6+T6+V6+X6</f>
        <v>37135.729999999996</v>
      </c>
    </row>
    <row r="7" spans="1:25" ht="31.5" customHeight="1" x14ac:dyDescent="0.25">
      <c r="A7" s="12">
        <v>1984225578</v>
      </c>
      <c r="B7" s="76" t="s">
        <v>72</v>
      </c>
      <c r="C7" s="74">
        <v>63064</v>
      </c>
      <c r="D7" s="73">
        <f t="shared" ref="D7:D11" si="1">0.9725*C7</f>
        <v>61329.740000000005</v>
      </c>
      <c r="E7" s="74"/>
      <c r="F7" s="74">
        <f t="shared" ref="F7:F11" si="2">13.7*E7</f>
        <v>0</v>
      </c>
      <c r="G7" s="74"/>
      <c r="H7" s="74">
        <f t="shared" ref="H7:H11" si="3">28.2*G7</f>
        <v>0</v>
      </c>
      <c r="I7" s="74">
        <v>180</v>
      </c>
      <c r="J7" s="74">
        <f t="shared" ref="J7:J11" si="4">18.5*I7</f>
        <v>3330</v>
      </c>
      <c r="K7" s="74"/>
      <c r="L7" s="74">
        <f t="shared" ref="L7:L11" si="5">19.5*K7</f>
        <v>0</v>
      </c>
      <c r="M7" s="74"/>
      <c r="N7" s="73">
        <f t="shared" ref="N7:N11" si="6">M7*9.75</f>
        <v>0</v>
      </c>
      <c r="O7" s="74"/>
      <c r="P7" s="73">
        <f t="shared" ref="P7:P11" si="7">O7*48.62</f>
        <v>0</v>
      </c>
      <c r="Q7" s="73"/>
      <c r="R7" s="73">
        <f t="shared" ref="R7:R11" si="8">241*Q7</f>
        <v>0</v>
      </c>
      <c r="S7" s="74">
        <v>6</v>
      </c>
      <c r="T7" s="74">
        <f t="shared" ref="T7:T11" si="9">241*S7</f>
        <v>1446</v>
      </c>
      <c r="U7" s="74"/>
      <c r="V7" s="74">
        <f t="shared" ref="V7:V11" si="10">232*U7</f>
        <v>0</v>
      </c>
      <c r="W7" s="74"/>
      <c r="X7" s="19">
        <f t="shared" ref="X7:X11" si="11">W7*100</f>
        <v>0</v>
      </c>
      <c r="Y7" s="89">
        <f t="shared" si="0"/>
        <v>66105.740000000005</v>
      </c>
    </row>
    <row r="8" spans="1:25" ht="35.25" customHeight="1" x14ac:dyDescent="0.25">
      <c r="A8" s="12">
        <v>1967020280</v>
      </c>
      <c r="B8" s="76" t="s">
        <v>73</v>
      </c>
      <c r="C8" s="74">
        <v>15258</v>
      </c>
      <c r="D8" s="73">
        <f t="shared" si="1"/>
        <v>14838.405000000001</v>
      </c>
      <c r="E8" s="74"/>
      <c r="F8" s="74">
        <f t="shared" si="2"/>
        <v>0</v>
      </c>
      <c r="G8" s="74">
        <v>150</v>
      </c>
      <c r="H8" s="74">
        <f t="shared" si="3"/>
        <v>4230</v>
      </c>
      <c r="I8" s="74">
        <v>840</v>
      </c>
      <c r="J8" s="74">
        <f t="shared" si="4"/>
        <v>15540</v>
      </c>
      <c r="K8" s="74"/>
      <c r="L8" s="74">
        <f t="shared" si="5"/>
        <v>0</v>
      </c>
      <c r="M8" s="74"/>
      <c r="N8" s="73">
        <f t="shared" si="6"/>
        <v>0</v>
      </c>
      <c r="O8" s="74"/>
      <c r="P8" s="73">
        <f t="shared" si="7"/>
        <v>0</v>
      </c>
      <c r="Q8" s="73"/>
      <c r="R8" s="73">
        <f t="shared" si="8"/>
        <v>0</v>
      </c>
      <c r="S8" s="74"/>
      <c r="T8" s="74">
        <f t="shared" si="9"/>
        <v>0</v>
      </c>
      <c r="U8" s="74"/>
      <c r="V8" s="74">
        <f t="shared" si="10"/>
        <v>0</v>
      </c>
      <c r="W8" s="74"/>
      <c r="X8" s="19">
        <f t="shared" si="11"/>
        <v>0</v>
      </c>
      <c r="Y8" s="89">
        <f t="shared" si="0"/>
        <v>34608.404999999999</v>
      </c>
    </row>
    <row r="9" spans="1:25" ht="38.25" customHeight="1" x14ac:dyDescent="0.25">
      <c r="A9" s="12">
        <v>1409935199</v>
      </c>
      <c r="B9" s="76" t="s">
        <v>74</v>
      </c>
      <c r="C9" s="74">
        <v>13267</v>
      </c>
      <c r="D9" s="73">
        <f t="shared" si="1"/>
        <v>12902.157500000001</v>
      </c>
      <c r="E9" s="74"/>
      <c r="F9" s="74">
        <f t="shared" si="2"/>
        <v>0</v>
      </c>
      <c r="G9" s="74"/>
      <c r="H9" s="74">
        <f t="shared" si="3"/>
        <v>0</v>
      </c>
      <c r="I9" s="74">
        <v>170</v>
      </c>
      <c r="J9" s="74">
        <f t="shared" si="4"/>
        <v>3145</v>
      </c>
      <c r="K9" s="74"/>
      <c r="L9" s="74">
        <f t="shared" si="5"/>
        <v>0</v>
      </c>
      <c r="M9" s="74"/>
      <c r="N9" s="73">
        <f t="shared" si="6"/>
        <v>0</v>
      </c>
      <c r="O9" s="74"/>
      <c r="P9" s="73">
        <f t="shared" si="7"/>
        <v>0</v>
      </c>
      <c r="Q9" s="73"/>
      <c r="R9" s="73">
        <f t="shared" si="8"/>
        <v>0</v>
      </c>
      <c r="S9" s="74"/>
      <c r="T9" s="74">
        <f t="shared" si="9"/>
        <v>0</v>
      </c>
      <c r="U9" s="74"/>
      <c r="V9" s="74">
        <f t="shared" si="10"/>
        <v>0</v>
      </c>
      <c r="W9" s="74"/>
      <c r="X9" s="19">
        <f t="shared" si="11"/>
        <v>0</v>
      </c>
      <c r="Y9" s="89">
        <f t="shared" si="0"/>
        <v>16047.157500000001</v>
      </c>
    </row>
    <row r="10" spans="1:25" ht="35.25" customHeight="1" x14ac:dyDescent="0.25">
      <c r="A10" s="12">
        <v>1984225580</v>
      </c>
      <c r="B10" s="76" t="s">
        <v>75</v>
      </c>
      <c r="C10" s="74">
        <v>25389</v>
      </c>
      <c r="D10" s="73">
        <f t="shared" si="1"/>
        <v>24690.802500000002</v>
      </c>
      <c r="E10" s="74"/>
      <c r="F10" s="74">
        <f t="shared" si="2"/>
        <v>0</v>
      </c>
      <c r="G10" s="74">
        <v>200</v>
      </c>
      <c r="H10" s="74">
        <f t="shared" si="3"/>
        <v>5640</v>
      </c>
      <c r="I10" s="74">
        <v>1170</v>
      </c>
      <c r="J10" s="74">
        <f t="shared" si="4"/>
        <v>21645</v>
      </c>
      <c r="K10" s="74"/>
      <c r="L10" s="74">
        <f t="shared" si="5"/>
        <v>0</v>
      </c>
      <c r="M10" s="74"/>
      <c r="N10" s="73">
        <f t="shared" si="6"/>
        <v>0</v>
      </c>
      <c r="O10" s="74"/>
      <c r="P10" s="73">
        <f t="shared" si="7"/>
        <v>0</v>
      </c>
      <c r="Q10" s="73"/>
      <c r="R10" s="73">
        <f t="shared" si="8"/>
        <v>0</v>
      </c>
      <c r="S10" s="74"/>
      <c r="T10" s="74">
        <f t="shared" si="9"/>
        <v>0</v>
      </c>
      <c r="U10" s="74"/>
      <c r="V10" s="74">
        <f t="shared" si="10"/>
        <v>0</v>
      </c>
      <c r="W10" s="74"/>
      <c r="X10" s="19">
        <f t="shared" si="11"/>
        <v>0</v>
      </c>
      <c r="Y10" s="89">
        <f t="shared" si="0"/>
        <v>51975.802500000005</v>
      </c>
    </row>
    <row r="11" spans="1:25" ht="37.5" customHeight="1" x14ac:dyDescent="0.25">
      <c r="A11" s="12"/>
      <c r="B11" s="75"/>
      <c r="C11" s="74"/>
      <c r="D11" s="22">
        <f t="shared" si="1"/>
        <v>0</v>
      </c>
      <c r="E11" s="74"/>
      <c r="F11" s="74">
        <f t="shared" si="2"/>
        <v>0</v>
      </c>
      <c r="G11" s="74"/>
      <c r="H11" s="74">
        <f t="shared" si="3"/>
        <v>0</v>
      </c>
      <c r="I11" s="74"/>
      <c r="J11" s="74">
        <f t="shared" si="4"/>
        <v>0</v>
      </c>
      <c r="K11" s="74"/>
      <c r="L11" s="74">
        <f t="shared" si="5"/>
        <v>0</v>
      </c>
      <c r="M11" s="74"/>
      <c r="N11" s="73">
        <f t="shared" si="6"/>
        <v>0</v>
      </c>
      <c r="O11" s="74"/>
      <c r="P11" s="73">
        <f t="shared" si="7"/>
        <v>0</v>
      </c>
      <c r="Q11" s="73"/>
      <c r="R11" s="73">
        <f t="shared" si="8"/>
        <v>0</v>
      </c>
      <c r="S11" s="74"/>
      <c r="T11" s="74">
        <f t="shared" si="9"/>
        <v>0</v>
      </c>
      <c r="U11" s="74"/>
      <c r="V11" s="74">
        <f t="shared" si="10"/>
        <v>0</v>
      </c>
      <c r="W11" s="74"/>
      <c r="X11" s="19">
        <f t="shared" si="11"/>
        <v>0</v>
      </c>
      <c r="Y11" s="20">
        <f t="shared" si="0"/>
        <v>0</v>
      </c>
    </row>
    <row r="12" spans="1:25" ht="29.25" customHeight="1" x14ac:dyDescent="0.25">
      <c r="A12" s="2235" t="s">
        <v>31</v>
      </c>
      <c r="B12" s="2235"/>
      <c r="C12" s="18">
        <f t="shared" ref="C12:Y12" si="12">SUM(C6:C11)</f>
        <v>135206</v>
      </c>
      <c r="D12" s="18">
        <f t="shared" si="12"/>
        <v>131487.83499999999</v>
      </c>
      <c r="E12" s="18">
        <f t="shared" si="12"/>
        <v>0</v>
      </c>
      <c r="F12" s="18">
        <f t="shared" si="12"/>
        <v>0</v>
      </c>
      <c r="G12" s="18">
        <f t="shared" si="12"/>
        <v>520</v>
      </c>
      <c r="H12" s="18">
        <f t="shared" si="12"/>
        <v>14664</v>
      </c>
      <c r="I12" s="18">
        <f t="shared" si="12"/>
        <v>3150</v>
      </c>
      <c r="J12" s="18">
        <f t="shared" si="12"/>
        <v>58275</v>
      </c>
      <c r="K12" s="18">
        <f t="shared" si="12"/>
        <v>0</v>
      </c>
      <c r="L12" s="18">
        <f t="shared" si="12"/>
        <v>0</v>
      </c>
      <c r="M12" s="18">
        <f t="shared" si="12"/>
        <v>0</v>
      </c>
      <c r="N12" s="23">
        <f t="shared" si="12"/>
        <v>0</v>
      </c>
      <c r="O12" s="18">
        <f t="shared" si="12"/>
        <v>0</v>
      </c>
      <c r="P12" s="23">
        <f t="shared" si="12"/>
        <v>0</v>
      </c>
      <c r="Q12" s="23">
        <f t="shared" si="12"/>
        <v>0</v>
      </c>
      <c r="R12" s="23">
        <f>SUM(R6:R11)</f>
        <v>0</v>
      </c>
      <c r="S12" s="18">
        <f t="shared" si="12"/>
        <v>6</v>
      </c>
      <c r="T12" s="18">
        <f t="shared" si="12"/>
        <v>1446</v>
      </c>
      <c r="U12" s="18">
        <f t="shared" si="12"/>
        <v>0</v>
      </c>
      <c r="V12" s="18">
        <f t="shared" si="12"/>
        <v>0</v>
      </c>
      <c r="W12" s="18">
        <f t="shared" si="12"/>
        <v>0</v>
      </c>
      <c r="X12" s="18">
        <f t="shared" si="12"/>
        <v>0</v>
      </c>
      <c r="Y12" s="18">
        <f t="shared" si="12"/>
        <v>205872.83500000002</v>
      </c>
    </row>
    <row r="14" spans="1:25" ht="32.25" customHeight="1" x14ac:dyDescent="0.25">
      <c r="A14" s="30" t="s">
        <v>32</v>
      </c>
      <c r="B14" s="2236" t="s">
        <v>27</v>
      </c>
      <c r="C14" s="2236"/>
      <c r="D14" s="30" t="s">
        <v>33</v>
      </c>
      <c r="E14" s="30" t="s">
        <v>65</v>
      </c>
      <c r="F14" s="30" t="s">
        <v>34</v>
      </c>
      <c r="G14" s="30" t="s">
        <v>13</v>
      </c>
      <c r="H14" s="31" t="s">
        <v>45</v>
      </c>
      <c r="I14" s="30" t="s">
        <v>17</v>
      </c>
      <c r="J14" s="30" t="s">
        <v>66</v>
      </c>
      <c r="K14" s="30" t="s">
        <v>36</v>
      </c>
      <c r="L14" s="30" t="s">
        <v>37</v>
      </c>
      <c r="M14" s="30" t="s">
        <v>69</v>
      </c>
      <c r="N14" s="30" t="s">
        <v>70</v>
      </c>
      <c r="O14" s="86" t="s">
        <v>114</v>
      </c>
      <c r="P14" s="86" t="s">
        <v>99</v>
      </c>
      <c r="Q14" s="15"/>
      <c r="R14" s="15"/>
      <c r="T14" s="2235" t="s">
        <v>46</v>
      </c>
      <c r="U14" s="76" t="s">
        <v>54</v>
      </c>
      <c r="V14" s="2260">
        <v>20694</v>
      </c>
      <c r="W14" s="2268"/>
      <c r="X14" s="2261"/>
    </row>
    <row r="15" spans="1:25" ht="22.5" customHeight="1" x14ac:dyDescent="0.25">
      <c r="A15" s="11" t="s">
        <v>38</v>
      </c>
      <c r="B15" s="2260">
        <v>271648</v>
      </c>
      <c r="C15" s="2261"/>
      <c r="D15" s="87">
        <v>0</v>
      </c>
      <c r="E15" s="87">
        <v>880</v>
      </c>
      <c r="F15" s="87">
        <v>9480</v>
      </c>
      <c r="G15" s="87">
        <v>0</v>
      </c>
      <c r="H15" s="87">
        <v>295</v>
      </c>
      <c r="I15" s="87">
        <v>25</v>
      </c>
      <c r="J15" s="87">
        <v>50</v>
      </c>
      <c r="K15" s="87">
        <v>30</v>
      </c>
      <c r="L15" s="87">
        <v>108</v>
      </c>
      <c r="M15" s="87">
        <v>50</v>
      </c>
      <c r="N15" s="87">
        <v>100</v>
      </c>
      <c r="O15" s="87">
        <v>0</v>
      </c>
      <c r="P15" s="87">
        <v>1392</v>
      </c>
      <c r="Q15" s="21"/>
      <c r="R15" s="21"/>
      <c r="T15" s="2235"/>
      <c r="U15" s="76" t="s">
        <v>64</v>
      </c>
      <c r="V15" s="2262">
        <v>6689</v>
      </c>
      <c r="W15" s="2262"/>
      <c r="X15" s="2262"/>
    </row>
    <row r="16" spans="1:25" ht="24.75" customHeight="1" x14ac:dyDescent="0.25">
      <c r="A16" s="11" t="s">
        <v>39</v>
      </c>
      <c r="B16" s="2260">
        <v>160000</v>
      </c>
      <c r="C16" s="2261"/>
      <c r="D16" s="87"/>
      <c r="E16" s="87"/>
      <c r="F16" s="87"/>
      <c r="G16" s="87"/>
      <c r="H16" s="87"/>
      <c r="I16" s="87"/>
      <c r="J16" s="87"/>
      <c r="K16" s="87"/>
      <c r="L16" s="87">
        <v>15</v>
      </c>
      <c r="M16" s="87"/>
      <c r="N16" s="87"/>
      <c r="O16" s="87"/>
      <c r="P16" s="87"/>
      <c r="Q16" s="21"/>
      <c r="R16" s="21"/>
      <c r="T16" s="2254" t="s">
        <v>55</v>
      </c>
      <c r="U16" s="2254"/>
      <c r="V16" s="2267">
        <f>Y12</f>
        <v>205872.83500000002</v>
      </c>
      <c r="W16" s="2267"/>
      <c r="X16" s="2262"/>
    </row>
    <row r="17" spans="1:25" ht="33" customHeight="1" x14ac:dyDescent="0.25">
      <c r="A17" s="85" t="s">
        <v>44</v>
      </c>
      <c r="B17" s="2260"/>
      <c r="C17" s="2261"/>
      <c r="D17" s="87"/>
      <c r="E17" s="87"/>
      <c r="F17" s="87"/>
      <c r="G17" s="87"/>
      <c r="H17" s="87"/>
      <c r="I17" s="87"/>
      <c r="J17" s="87"/>
      <c r="K17" s="87"/>
      <c r="L17" s="87"/>
      <c r="M17" s="87"/>
      <c r="N17" s="87"/>
      <c r="O17" s="87"/>
      <c r="P17" s="87"/>
      <c r="Q17" s="21"/>
      <c r="R17" s="21"/>
      <c r="T17" s="2254" t="s">
        <v>104</v>
      </c>
      <c r="U17" s="2254"/>
      <c r="V17" s="2262"/>
      <c r="W17" s="2262"/>
      <c r="X17" s="2262"/>
    </row>
    <row r="18" spans="1:25" ht="27" customHeight="1" x14ac:dyDescent="0.25">
      <c r="A18" s="11" t="s">
        <v>40</v>
      </c>
      <c r="B18" s="2264">
        <f>C12</f>
        <v>135206</v>
      </c>
      <c r="C18" s="2261"/>
      <c r="D18" s="88">
        <f>E12</f>
        <v>0</v>
      </c>
      <c r="E18" s="88">
        <f>G12</f>
        <v>520</v>
      </c>
      <c r="F18" s="88">
        <f>I12</f>
        <v>3150</v>
      </c>
      <c r="G18" s="88">
        <f>K12</f>
        <v>0</v>
      </c>
      <c r="H18" s="87">
        <v>21</v>
      </c>
      <c r="I18" s="88">
        <f>U12</f>
        <v>0</v>
      </c>
      <c r="J18" s="87"/>
      <c r="K18" s="88">
        <f>W12</f>
        <v>0</v>
      </c>
      <c r="L18" s="87"/>
      <c r="M18" s="88">
        <f>M12</f>
        <v>0</v>
      </c>
      <c r="N18" s="88"/>
      <c r="O18" s="90">
        <f>Q12</f>
        <v>0</v>
      </c>
      <c r="P18" s="87"/>
      <c r="Q18" s="21"/>
      <c r="R18" s="21"/>
      <c r="T18" s="2254" t="s">
        <v>57</v>
      </c>
      <c r="U18" s="2254"/>
      <c r="V18" s="2262">
        <v>530</v>
      </c>
      <c r="W18" s="2262"/>
      <c r="X18" s="2262"/>
      <c r="Y18" s="2269" t="s">
        <v>103</v>
      </c>
    </row>
    <row r="19" spans="1:25" ht="25.5" customHeight="1" x14ac:dyDescent="0.25">
      <c r="A19" s="11" t="s">
        <v>41</v>
      </c>
      <c r="B19" s="2260">
        <f>B15+B16+B17-B18</f>
        <v>296442</v>
      </c>
      <c r="C19" s="2261"/>
      <c r="D19" s="87">
        <f>D15+D16+D17-D18</f>
        <v>0</v>
      </c>
      <c r="E19" s="87">
        <f t="shared" ref="E19:N19" si="13">E15+E16+E17-E18</f>
        <v>360</v>
      </c>
      <c r="F19" s="87">
        <f t="shared" si="13"/>
        <v>6330</v>
      </c>
      <c r="G19" s="87">
        <f t="shared" si="13"/>
        <v>0</v>
      </c>
      <c r="H19" s="87">
        <f t="shared" si="13"/>
        <v>274</v>
      </c>
      <c r="I19" s="87">
        <f t="shared" si="13"/>
        <v>25</v>
      </c>
      <c r="J19" s="87">
        <f t="shared" si="13"/>
        <v>50</v>
      </c>
      <c r="K19" s="87">
        <f t="shared" si="13"/>
        <v>30</v>
      </c>
      <c r="L19" s="87">
        <f t="shared" si="13"/>
        <v>123</v>
      </c>
      <c r="M19" s="87">
        <f t="shared" si="13"/>
        <v>50</v>
      </c>
      <c r="N19" s="87">
        <f t="shared" si="13"/>
        <v>100</v>
      </c>
      <c r="O19" s="87">
        <f>O15+O16+O17-O18</f>
        <v>0</v>
      </c>
      <c r="P19" s="87">
        <f>P15+P16+P17-P18</f>
        <v>1392</v>
      </c>
      <c r="Q19" s="21"/>
      <c r="R19" s="21"/>
      <c r="T19" s="2256" t="s">
        <v>48</v>
      </c>
      <c r="U19" s="49" t="s">
        <v>58</v>
      </c>
      <c r="V19" s="2262">
        <v>202600</v>
      </c>
      <c r="W19" s="2262"/>
      <c r="X19" s="2262"/>
      <c r="Y19" s="2269"/>
    </row>
    <row r="20" spans="1:25" ht="23.25" customHeight="1" x14ac:dyDescent="0.25">
      <c r="A20" s="15"/>
      <c r="B20" s="10"/>
      <c r="C20" s="10"/>
      <c r="D20" s="10"/>
      <c r="E20" s="10"/>
      <c r="F20" s="10"/>
      <c r="G20" s="10"/>
      <c r="H20" s="10"/>
      <c r="I20" s="10"/>
      <c r="J20" s="10"/>
      <c r="K20" s="10"/>
      <c r="L20" s="10"/>
      <c r="M20" s="10"/>
      <c r="N20" s="10"/>
      <c r="O20" s="10"/>
      <c r="P20" s="10"/>
      <c r="Q20" s="10"/>
      <c r="R20" s="10"/>
      <c r="T20" s="2257"/>
      <c r="U20" s="49" t="s">
        <v>59</v>
      </c>
      <c r="V20" s="2262"/>
      <c r="W20" s="2262"/>
      <c r="X20" s="2262"/>
      <c r="Y20" s="2269"/>
    </row>
    <row r="21" spans="1:25" ht="33.75" customHeight="1" x14ac:dyDescent="0.25">
      <c r="A21" s="15"/>
      <c r="B21" s="10"/>
      <c r="C21" s="10"/>
      <c r="D21" s="10"/>
      <c r="E21" s="10"/>
      <c r="F21" s="10"/>
      <c r="G21" s="10"/>
      <c r="H21" s="10"/>
      <c r="I21" s="10"/>
      <c r="J21" s="10"/>
      <c r="K21" s="10"/>
      <c r="L21" s="10"/>
      <c r="M21" s="10"/>
      <c r="N21" s="10"/>
      <c r="O21" s="10"/>
      <c r="P21" s="10"/>
      <c r="Q21" s="10"/>
      <c r="R21" s="10"/>
      <c r="T21" s="2251" t="s">
        <v>83</v>
      </c>
      <c r="U21" s="50" t="s">
        <v>60</v>
      </c>
      <c r="V21" s="2262">
        <v>202670</v>
      </c>
      <c r="W21" s="2262"/>
      <c r="X21" s="2262"/>
      <c r="Y21" s="2269"/>
    </row>
    <row r="22" spans="1:25" ht="29.25" customHeight="1" x14ac:dyDescent="0.25">
      <c r="A22" s="10"/>
      <c r="B22" s="2258" t="s">
        <v>49</v>
      </c>
      <c r="C22" s="2265">
        <v>720676</v>
      </c>
      <c r="D22" s="2262">
        <v>202600</v>
      </c>
      <c r="E22" s="2262">
        <v>154000</v>
      </c>
      <c r="F22" s="2262">
        <f>C22-D22+E22</f>
        <v>672076</v>
      </c>
      <c r="G22" s="10"/>
      <c r="H22" s="10"/>
      <c r="I22" s="10"/>
      <c r="J22" s="10"/>
      <c r="K22" s="10"/>
      <c r="L22" s="10"/>
      <c r="M22" s="10"/>
      <c r="N22" s="10"/>
      <c r="O22" s="10"/>
      <c r="P22" s="10"/>
      <c r="Q22" s="10"/>
      <c r="R22" s="10"/>
      <c r="T22" s="2252"/>
      <c r="U22" s="50" t="s">
        <v>61</v>
      </c>
      <c r="V22" s="2262">
        <v>202600</v>
      </c>
      <c r="W22" s="2262"/>
      <c r="X22" s="2262"/>
      <c r="Y22" s="2269"/>
    </row>
    <row r="23" spans="1:25" ht="47.25" customHeight="1" x14ac:dyDescent="0.25">
      <c r="A23" s="10"/>
      <c r="B23" s="2258"/>
      <c r="C23" s="2266"/>
      <c r="D23" s="2262"/>
      <c r="E23" s="2262"/>
      <c r="F23" s="2262"/>
      <c r="G23" s="10"/>
      <c r="H23" s="10"/>
      <c r="I23" s="10"/>
      <c r="J23" s="10"/>
      <c r="K23" s="10"/>
      <c r="L23" s="10"/>
      <c r="M23" s="10"/>
      <c r="N23" s="10"/>
      <c r="O23" s="10"/>
      <c r="P23" s="10"/>
      <c r="Q23" s="10"/>
      <c r="R23" s="10"/>
      <c r="T23" s="2235" t="s">
        <v>47</v>
      </c>
      <c r="U23" s="51" t="s">
        <v>62</v>
      </c>
      <c r="V23" s="2263">
        <f>V14+V16+V17-V18-V19-V20-V21+V22</f>
        <v>23366.835000000021</v>
      </c>
      <c r="W23" s="2263"/>
      <c r="X23" s="2263"/>
      <c r="Y23" s="2269"/>
    </row>
    <row r="24" spans="1:25" ht="27" customHeight="1" x14ac:dyDescent="0.25">
      <c r="B24" s="2258"/>
      <c r="C24" s="76" t="s">
        <v>46</v>
      </c>
      <c r="D24" s="76" t="s">
        <v>50</v>
      </c>
      <c r="E24" s="76" t="s">
        <v>51</v>
      </c>
      <c r="F24" s="76" t="s">
        <v>52</v>
      </c>
      <c r="T24" s="2235"/>
      <c r="U24" s="51" t="s">
        <v>63</v>
      </c>
      <c r="V24" s="2262">
        <f>V15+V21-V22</f>
        <v>6759</v>
      </c>
      <c r="W24" s="2262"/>
      <c r="X24" s="2262"/>
    </row>
  </sheetData>
  <mergeCells count="48">
    <mergeCell ref="A1:Y1"/>
    <mergeCell ref="A2:Y2"/>
    <mergeCell ref="T3:Y3"/>
    <mergeCell ref="A4:A5"/>
    <mergeCell ref="B4:B5"/>
    <mergeCell ref="C4:D4"/>
    <mergeCell ref="E4:F4"/>
    <mergeCell ref="G4:H4"/>
    <mergeCell ref="I4:J4"/>
    <mergeCell ref="K4:L4"/>
    <mergeCell ref="Y4:Y5"/>
    <mergeCell ref="M4:N4"/>
    <mergeCell ref="O4:P4"/>
    <mergeCell ref="Q4:R4"/>
    <mergeCell ref="S4:T4"/>
    <mergeCell ref="U4:V4"/>
    <mergeCell ref="V18:X18"/>
    <mergeCell ref="B22:B24"/>
    <mergeCell ref="C22:C23"/>
    <mergeCell ref="W4:X4"/>
    <mergeCell ref="B16:C16"/>
    <mergeCell ref="T16:U16"/>
    <mergeCell ref="V16:X16"/>
    <mergeCell ref="B17:C17"/>
    <mergeCell ref="T17:U17"/>
    <mergeCell ref="V17:X17"/>
    <mergeCell ref="A12:B12"/>
    <mergeCell ref="B14:C14"/>
    <mergeCell ref="T14:T15"/>
    <mergeCell ref="V14:X14"/>
    <mergeCell ref="B15:C15"/>
    <mergeCell ref="V15:X15"/>
    <mergeCell ref="D22:D23"/>
    <mergeCell ref="E22:E23"/>
    <mergeCell ref="F22:F23"/>
    <mergeCell ref="Y18:Y23"/>
    <mergeCell ref="B19:C19"/>
    <mergeCell ref="T19:T20"/>
    <mergeCell ref="V19:X19"/>
    <mergeCell ref="V20:X20"/>
    <mergeCell ref="T21:T22"/>
    <mergeCell ref="V21:X21"/>
    <mergeCell ref="V22:X22"/>
    <mergeCell ref="T23:T24"/>
    <mergeCell ref="V23:X23"/>
    <mergeCell ref="V24:X24"/>
    <mergeCell ref="B18:C18"/>
    <mergeCell ref="T18:U18"/>
  </mergeCells>
  <pageMargins left="0.15748031496063" right="0.15748031496063" top="0" bottom="0" header="0" footer="0"/>
  <pageSetup paperSize="9" scale="51" orientation="landscape" r:id="rId1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500-000000000000}">
  <sheetPr>
    <pageSetUpPr fitToPage="1"/>
  </sheetPr>
  <dimension ref="A1:Y24"/>
  <sheetViews>
    <sheetView topLeftCell="A6" zoomScale="67" zoomScaleNormal="67" zoomScaleSheetLayoutView="100" workbookViewId="0">
      <selection activeCell="N22" sqref="N22"/>
    </sheetView>
  </sheetViews>
  <sheetFormatPr defaultColWidth="9.140625" defaultRowHeight="15" x14ac:dyDescent="0.25"/>
  <cols>
    <col min="1" max="1" width="18.85546875" style="14" customWidth="1"/>
    <col min="2" max="2" width="11.140625" style="14" customWidth="1"/>
    <col min="3" max="3" width="10.28515625" style="14" customWidth="1"/>
    <col min="4" max="4" width="11" style="14" customWidth="1"/>
    <col min="5" max="5" width="12" style="14" customWidth="1"/>
    <col min="6" max="6" width="12.5703125" style="14" bestFit="1" customWidth="1"/>
    <col min="7" max="7" width="9.28515625" style="14" bestFit="1" customWidth="1"/>
    <col min="8" max="8" width="10.140625" style="14" bestFit="1" customWidth="1"/>
    <col min="9" max="9" width="10.5703125" style="14" bestFit="1" customWidth="1"/>
    <col min="10" max="10" width="10.5703125" style="14" customWidth="1"/>
    <col min="11" max="11" width="10.28515625" style="14" bestFit="1" customWidth="1"/>
    <col min="12" max="12" width="9.42578125" style="14" bestFit="1" customWidth="1"/>
    <col min="13" max="13" width="9.85546875" style="14" bestFit="1" customWidth="1"/>
    <col min="14" max="14" width="10.140625" style="14" bestFit="1" customWidth="1"/>
    <col min="15" max="15" width="9" style="14" customWidth="1"/>
    <col min="16" max="16" width="12.85546875" style="14" bestFit="1" customWidth="1"/>
    <col min="17" max="18" width="9.42578125" style="14" customWidth="1"/>
    <col min="19" max="19" width="7.5703125" style="14" customWidth="1"/>
    <col min="20" max="20" width="13.42578125" style="14" customWidth="1"/>
    <col min="21" max="21" width="17.28515625" style="14" customWidth="1"/>
    <col min="22" max="22" width="9.85546875" style="14" bestFit="1" customWidth="1"/>
    <col min="23" max="23" width="10.140625" style="14" bestFit="1" customWidth="1"/>
    <col min="24" max="24" width="9.85546875" style="14" bestFit="1" customWidth="1"/>
    <col min="25" max="25" width="15" style="14" customWidth="1"/>
    <col min="26" max="16384" width="9.140625" style="14"/>
  </cols>
  <sheetData>
    <row r="1" spans="1:25" ht="46.15" customHeight="1" x14ac:dyDescent="0.25">
      <c r="A1" s="2240" t="s">
        <v>76</v>
      </c>
      <c r="B1" s="2240"/>
      <c r="C1" s="2240"/>
      <c r="D1" s="2240"/>
      <c r="E1" s="2240"/>
      <c r="F1" s="2240"/>
      <c r="G1" s="2240"/>
      <c r="H1" s="2240"/>
      <c r="I1" s="2240"/>
      <c r="J1" s="2240"/>
      <c r="K1" s="2240"/>
      <c r="L1" s="2240"/>
      <c r="M1" s="2240"/>
      <c r="N1" s="2240"/>
      <c r="O1" s="2240"/>
      <c r="P1" s="2240"/>
      <c r="Q1" s="2240"/>
      <c r="R1" s="2240"/>
      <c r="S1" s="2240"/>
      <c r="T1" s="2240"/>
      <c r="U1" s="2240"/>
      <c r="V1" s="2240"/>
      <c r="W1" s="2240"/>
      <c r="X1" s="2240"/>
      <c r="Y1" s="2240"/>
    </row>
    <row r="2" spans="1:25" ht="21.6" customHeight="1" x14ac:dyDescent="0.25">
      <c r="A2" s="2241" t="s">
        <v>77</v>
      </c>
      <c r="B2" s="2241"/>
      <c r="C2" s="2241"/>
      <c r="D2" s="2241"/>
      <c r="E2" s="2241"/>
      <c r="F2" s="2241"/>
      <c r="G2" s="2241"/>
      <c r="H2" s="2241"/>
      <c r="I2" s="2241"/>
      <c r="J2" s="2241"/>
      <c r="K2" s="2241"/>
      <c r="L2" s="2241"/>
      <c r="M2" s="2241"/>
      <c r="N2" s="2241"/>
      <c r="O2" s="2241"/>
      <c r="P2" s="2241"/>
      <c r="Q2" s="2241"/>
      <c r="R2" s="2241"/>
      <c r="S2" s="2241"/>
      <c r="T2" s="2241"/>
      <c r="U2" s="2241"/>
      <c r="V2" s="2241"/>
      <c r="W2" s="2241"/>
      <c r="X2" s="2241"/>
      <c r="Y2" s="2241"/>
    </row>
    <row r="3" spans="1:25" ht="21" customHeight="1" x14ac:dyDescent="0.25">
      <c r="A3" s="78"/>
      <c r="B3" s="78"/>
      <c r="C3" s="78"/>
      <c r="D3" s="78"/>
      <c r="E3" s="78"/>
      <c r="F3" s="78"/>
      <c r="G3" s="78"/>
      <c r="H3" s="78"/>
      <c r="I3" s="78"/>
      <c r="J3" s="78"/>
      <c r="K3" s="78"/>
      <c r="L3" s="78"/>
      <c r="M3" s="78"/>
      <c r="N3" s="78"/>
      <c r="O3" s="78"/>
      <c r="P3" s="78"/>
      <c r="Q3" s="78"/>
      <c r="R3" s="78"/>
      <c r="S3" s="78"/>
      <c r="T3" s="2242" t="s">
        <v>124</v>
      </c>
      <c r="U3" s="2242"/>
      <c r="V3" s="2242"/>
      <c r="W3" s="2242"/>
      <c r="X3" s="2242"/>
      <c r="Y3" s="2242"/>
    </row>
    <row r="4" spans="1:25" s="78" customFormat="1" ht="18" customHeight="1" x14ac:dyDescent="0.25">
      <c r="A4" s="2243" t="s">
        <v>25</v>
      </c>
      <c r="B4" s="2243" t="s">
        <v>26</v>
      </c>
      <c r="C4" s="2244" t="s">
        <v>27</v>
      </c>
      <c r="D4" s="2244"/>
      <c r="E4" s="2244" t="s">
        <v>28</v>
      </c>
      <c r="F4" s="2244"/>
      <c r="G4" s="2244" t="s">
        <v>65</v>
      </c>
      <c r="H4" s="2244"/>
      <c r="I4" s="2244" t="s">
        <v>29</v>
      </c>
      <c r="J4" s="2244"/>
      <c r="K4" s="2245" t="s">
        <v>13</v>
      </c>
      <c r="L4" s="2246"/>
      <c r="M4" s="2245" t="s">
        <v>67</v>
      </c>
      <c r="N4" s="2246"/>
      <c r="O4" s="2245" t="s">
        <v>68</v>
      </c>
      <c r="P4" s="2246"/>
      <c r="Q4" s="2245" t="s">
        <v>114</v>
      </c>
      <c r="R4" s="2246"/>
      <c r="S4" s="2244" t="s">
        <v>35</v>
      </c>
      <c r="T4" s="2244"/>
      <c r="U4" s="2245" t="s">
        <v>17</v>
      </c>
      <c r="V4" s="2246"/>
      <c r="W4" s="2247" t="s">
        <v>36</v>
      </c>
      <c r="X4" s="2248"/>
      <c r="Y4" s="2238" t="s">
        <v>30</v>
      </c>
    </row>
    <row r="5" spans="1:25" s="78" customFormat="1" ht="25.5" customHeight="1" x14ac:dyDescent="0.25">
      <c r="A5" s="2243"/>
      <c r="B5" s="2243"/>
      <c r="C5" s="77" t="s">
        <v>42</v>
      </c>
      <c r="D5" s="77" t="s">
        <v>43</v>
      </c>
      <c r="E5" s="77" t="s">
        <v>42</v>
      </c>
      <c r="F5" s="77" t="s">
        <v>43</v>
      </c>
      <c r="G5" s="77" t="s">
        <v>42</v>
      </c>
      <c r="H5" s="77" t="s">
        <v>43</v>
      </c>
      <c r="I5" s="77" t="s">
        <v>42</v>
      </c>
      <c r="J5" s="77" t="s">
        <v>43</v>
      </c>
      <c r="K5" s="77" t="s">
        <v>42</v>
      </c>
      <c r="L5" s="77" t="s">
        <v>43</v>
      </c>
      <c r="M5" s="77" t="s">
        <v>42</v>
      </c>
      <c r="N5" s="77" t="s">
        <v>43</v>
      </c>
      <c r="O5" s="77" t="s">
        <v>42</v>
      </c>
      <c r="P5" s="77" t="s">
        <v>43</v>
      </c>
      <c r="Q5" s="77" t="s">
        <v>42</v>
      </c>
      <c r="R5" s="77" t="s">
        <v>43</v>
      </c>
      <c r="S5" s="33" t="s">
        <v>42</v>
      </c>
      <c r="T5" s="33" t="s">
        <v>43</v>
      </c>
      <c r="U5" s="30" t="s">
        <v>42</v>
      </c>
      <c r="V5" s="30" t="s">
        <v>43</v>
      </c>
      <c r="W5" s="30" t="s">
        <v>42</v>
      </c>
      <c r="X5" s="30" t="s">
        <v>43</v>
      </c>
      <c r="Y5" s="2239"/>
    </row>
    <row r="6" spans="1:25" ht="34.5" customHeight="1" x14ac:dyDescent="0.25">
      <c r="A6" s="12">
        <v>1409935200</v>
      </c>
      <c r="B6" s="76" t="s">
        <v>71</v>
      </c>
      <c r="C6" s="74">
        <v>31692</v>
      </c>
      <c r="D6" s="73">
        <f>0.9725*C6</f>
        <v>30820.47</v>
      </c>
      <c r="E6" s="74"/>
      <c r="F6" s="74">
        <f>13.7*E6</f>
        <v>0</v>
      </c>
      <c r="G6" s="74">
        <v>230</v>
      </c>
      <c r="H6" s="74">
        <f>28.2*G6</f>
        <v>6486</v>
      </c>
      <c r="I6" s="74">
        <v>500</v>
      </c>
      <c r="J6" s="74">
        <f>18.5*I6</f>
        <v>9250</v>
      </c>
      <c r="K6" s="74"/>
      <c r="L6" s="74">
        <f>19.5*K6</f>
        <v>0</v>
      </c>
      <c r="M6" s="74"/>
      <c r="N6" s="73">
        <f>M6*9.75</f>
        <v>0</v>
      </c>
      <c r="O6" s="74"/>
      <c r="P6" s="73">
        <f>O6*48.62</f>
        <v>0</v>
      </c>
      <c r="Q6" s="73"/>
      <c r="R6" s="73">
        <f>241*Q6</f>
        <v>0</v>
      </c>
      <c r="S6" s="74"/>
      <c r="T6" s="74">
        <f>241*S6</f>
        <v>0</v>
      </c>
      <c r="U6" s="74">
        <v>10</v>
      </c>
      <c r="V6" s="74">
        <f>232*U6</f>
        <v>2320</v>
      </c>
      <c r="W6" s="74"/>
      <c r="X6" s="19">
        <f>W6*100</f>
        <v>0</v>
      </c>
      <c r="Y6" s="89">
        <f t="shared" ref="Y6:Y11" si="0">D6+F6+H6+J6+L6+N6+P6+R6+T6+V6+X6</f>
        <v>48876.47</v>
      </c>
    </row>
    <row r="7" spans="1:25" ht="31.5" customHeight="1" x14ac:dyDescent="0.25">
      <c r="A7" s="12">
        <v>1984225578</v>
      </c>
      <c r="B7" s="76" t="s">
        <v>72</v>
      </c>
      <c r="C7" s="74">
        <v>25256</v>
      </c>
      <c r="D7" s="73">
        <f t="shared" ref="D7:D11" si="1">0.9725*C7</f>
        <v>24561.46</v>
      </c>
      <c r="E7" s="74"/>
      <c r="F7" s="74">
        <f t="shared" ref="F7:F11" si="2">13.7*E7</f>
        <v>0</v>
      </c>
      <c r="G7" s="74"/>
      <c r="H7" s="74">
        <f t="shared" ref="H7:H11" si="3">28.2*G7</f>
        <v>0</v>
      </c>
      <c r="I7" s="74"/>
      <c r="J7" s="74">
        <f t="shared" ref="J7:J11" si="4">18.5*I7</f>
        <v>0</v>
      </c>
      <c r="K7" s="74"/>
      <c r="L7" s="74">
        <f t="shared" ref="L7:L11" si="5">19.5*K7</f>
        <v>0</v>
      </c>
      <c r="M7" s="74"/>
      <c r="N7" s="73">
        <f t="shared" ref="N7:N11" si="6">M7*9.75</f>
        <v>0</v>
      </c>
      <c r="O7" s="74"/>
      <c r="P7" s="73">
        <f t="shared" ref="P7:P11" si="7">O7*48.62</f>
        <v>0</v>
      </c>
      <c r="Q7" s="73"/>
      <c r="R7" s="73">
        <f t="shared" ref="R7:R11" si="8">241*Q7</f>
        <v>0</v>
      </c>
      <c r="S7" s="74"/>
      <c r="T7" s="74">
        <f t="shared" ref="T7:T11" si="9">241*S7</f>
        <v>0</v>
      </c>
      <c r="U7" s="74">
        <v>15</v>
      </c>
      <c r="V7" s="74">
        <f t="shared" ref="V7:V11" si="10">232*U7</f>
        <v>3480</v>
      </c>
      <c r="W7" s="74"/>
      <c r="X7" s="19">
        <f t="shared" ref="X7:X11" si="11">W7*100</f>
        <v>0</v>
      </c>
      <c r="Y7" s="89">
        <f t="shared" si="0"/>
        <v>28041.46</v>
      </c>
    </row>
    <row r="8" spans="1:25" ht="35.25" customHeight="1" x14ac:dyDescent="0.25">
      <c r="A8" s="12">
        <v>1967020280</v>
      </c>
      <c r="B8" s="76" t="s">
        <v>73</v>
      </c>
      <c r="C8" s="74">
        <v>19813</v>
      </c>
      <c r="D8" s="73">
        <f t="shared" si="1"/>
        <v>19268.142500000002</v>
      </c>
      <c r="E8" s="74"/>
      <c r="F8" s="74">
        <f t="shared" si="2"/>
        <v>0</v>
      </c>
      <c r="G8" s="74"/>
      <c r="H8" s="74">
        <f t="shared" si="3"/>
        <v>0</v>
      </c>
      <c r="I8" s="74">
        <v>1300</v>
      </c>
      <c r="J8" s="74">
        <f t="shared" si="4"/>
        <v>24050</v>
      </c>
      <c r="K8" s="74"/>
      <c r="L8" s="74">
        <f t="shared" si="5"/>
        <v>0</v>
      </c>
      <c r="M8" s="74">
        <v>50</v>
      </c>
      <c r="N8" s="73">
        <f t="shared" si="6"/>
        <v>487.5</v>
      </c>
      <c r="O8" s="74"/>
      <c r="P8" s="73">
        <f t="shared" si="7"/>
        <v>0</v>
      </c>
      <c r="Q8" s="73"/>
      <c r="R8" s="73">
        <f t="shared" si="8"/>
        <v>0</v>
      </c>
      <c r="S8" s="74"/>
      <c r="T8" s="74">
        <f t="shared" si="9"/>
        <v>0</v>
      </c>
      <c r="U8" s="74"/>
      <c r="V8" s="74">
        <f t="shared" si="10"/>
        <v>0</v>
      </c>
      <c r="W8" s="74"/>
      <c r="X8" s="19">
        <f t="shared" si="11"/>
        <v>0</v>
      </c>
      <c r="Y8" s="89">
        <f t="shared" si="0"/>
        <v>43805.642500000002</v>
      </c>
    </row>
    <row r="9" spans="1:25" ht="38.25" customHeight="1" x14ac:dyDescent="0.25">
      <c r="A9" s="12">
        <v>1409935199</v>
      </c>
      <c r="B9" s="76" t="s">
        <v>74</v>
      </c>
      <c r="C9" s="74">
        <v>14282</v>
      </c>
      <c r="D9" s="73">
        <f t="shared" si="1"/>
        <v>13889.245000000001</v>
      </c>
      <c r="E9" s="74"/>
      <c r="F9" s="74">
        <f t="shared" si="2"/>
        <v>0</v>
      </c>
      <c r="G9" s="74"/>
      <c r="H9" s="74">
        <f t="shared" si="3"/>
        <v>0</v>
      </c>
      <c r="I9" s="74">
        <v>180</v>
      </c>
      <c r="J9" s="74">
        <f t="shared" si="4"/>
        <v>3330</v>
      </c>
      <c r="K9" s="74"/>
      <c r="L9" s="74">
        <f t="shared" si="5"/>
        <v>0</v>
      </c>
      <c r="M9" s="74"/>
      <c r="N9" s="73">
        <f t="shared" si="6"/>
        <v>0</v>
      </c>
      <c r="O9" s="74"/>
      <c r="P9" s="73">
        <f t="shared" si="7"/>
        <v>0</v>
      </c>
      <c r="Q9" s="73"/>
      <c r="R9" s="73">
        <f t="shared" si="8"/>
        <v>0</v>
      </c>
      <c r="S9" s="74"/>
      <c r="T9" s="74">
        <f t="shared" si="9"/>
        <v>0</v>
      </c>
      <c r="U9" s="74"/>
      <c r="V9" s="74">
        <f t="shared" si="10"/>
        <v>0</v>
      </c>
      <c r="W9" s="74"/>
      <c r="X9" s="19">
        <f t="shared" si="11"/>
        <v>0</v>
      </c>
      <c r="Y9" s="89">
        <f t="shared" si="0"/>
        <v>17219.245000000003</v>
      </c>
    </row>
    <row r="10" spans="1:25" ht="35.25" customHeight="1" x14ac:dyDescent="0.25">
      <c r="A10" s="12">
        <v>1984225580</v>
      </c>
      <c r="B10" s="76" t="s">
        <v>75</v>
      </c>
      <c r="C10" s="74">
        <v>12550</v>
      </c>
      <c r="D10" s="73">
        <f t="shared" si="1"/>
        <v>12204.875</v>
      </c>
      <c r="E10" s="74"/>
      <c r="F10" s="74">
        <f t="shared" si="2"/>
        <v>0</v>
      </c>
      <c r="G10" s="74"/>
      <c r="H10" s="74">
        <f t="shared" si="3"/>
        <v>0</v>
      </c>
      <c r="I10" s="74"/>
      <c r="J10" s="74">
        <f t="shared" si="4"/>
        <v>0</v>
      </c>
      <c r="K10" s="74"/>
      <c r="L10" s="74">
        <f t="shared" si="5"/>
        <v>0</v>
      </c>
      <c r="M10" s="74"/>
      <c r="N10" s="73">
        <f t="shared" si="6"/>
        <v>0</v>
      </c>
      <c r="O10" s="74"/>
      <c r="P10" s="73">
        <f t="shared" si="7"/>
        <v>0</v>
      </c>
      <c r="Q10" s="73"/>
      <c r="R10" s="73">
        <f t="shared" si="8"/>
        <v>0</v>
      </c>
      <c r="S10" s="74"/>
      <c r="T10" s="74">
        <f t="shared" si="9"/>
        <v>0</v>
      </c>
      <c r="U10" s="74"/>
      <c r="V10" s="74">
        <f t="shared" si="10"/>
        <v>0</v>
      </c>
      <c r="W10" s="74"/>
      <c r="X10" s="19">
        <f t="shared" si="11"/>
        <v>0</v>
      </c>
      <c r="Y10" s="89">
        <f t="shared" si="0"/>
        <v>12204.875</v>
      </c>
    </row>
    <row r="11" spans="1:25" ht="37.5" customHeight="1" x14ac:dyDescent="0.25">
      <c r="A11" s="12"/>
      <c r="B11" s="75"/>
      <c r="C11" s="74"/>
      <c r="D11" s="22">
        <f t="shared" si="1"/>
        <v>0</v>
      </c>
      <c r="E11" s="74"/>
      <c r="F11" s="74">
        <f t="shared" si="2"/>
        <v>0</v>
      </c>
      <c r="G11" s="74"/>
      <c r="H11" s="74">
        <f t="shared" si="3"/>
        <v>0</v>
      </c>
      <c r="I11" s="74"/>
      <c r="J11" s="74">
        <f t="shared" si="4"/>
        <v>0</v>
      </c>
      <c r="K11" s="74"/>
      <c r="L11" s="74">
        <f t="shared" si="5"/>
        <v>0</v>
      </c>
      <c r="M11" s="74"/>
      <c r="N11" s="73">
        <f t="shared" si="6"/>
        <v>0</v>
      </c>
      <c r="O11" s="74"/>
      <c r="P11" s="73">
        <f t="shared" si="7"/>
        <v>0</v>
      </c>
      <c r="Q11" s="73"/>
      <c r="R11" s="73">
        <f t="shared" si="8"/>
        <v>0</v>
      </c>
      <c r="S11" s="74">
        <v>612</v>
      </c>
      <c r="T11" s="74">
        <f t="shared" si="9"/>
        <v>147492</v>
      </c>
      <c r="U11" s="74"/>
      <c r="V11" s="74">
        <f t="shared" si="10"/>
        <v>0</v>
      </c>
      <c r="W11" s="74"/>
      <c r="X11" s="19">
        <f t="shared" si="11"/>
        <v>0</v>
      </c>
      <c r="Y11" s="20">
        <f t="shared" si="0"/>
        <v>147492</v>
      </c>
    </row>
    <row r="12" spans="1:25" ht="29.25" customHeight="1" x14ac:dyDescent="0.25">
      <c r="A12" s="2235" t="s">
        <v>31</v>
      </c>
      <c r="B12" s="2235"/>
      <c r="C12" s="18">
        <f t="shared" ref="C12:Y12" si="12">SUM(C6:C11)</f>
        <v>103593</v>
      </c>
      <c r="D12" s="18">
        <f t="shared" si="12"/>
        <v>100744.1925</v>
      </c>
      <c r="E12" s="18">
        <f t="shared" si="12"/>
        <v>0</v>
      </c>
      <c r="F12" s="18">
        <f t="shared" si="12"/>
        <v>0</v>
      </c>
      <c r="G12" s="18">
        <f t="shared" si="12"/>
        <v>230</v>
      </c>
      <c r="H12" s="18">
        <f t="shared" si="12"/>
        <v>6486</v>
      </c>
      <c r="I12" s="18">
        <f t="shared" si="12"/>
        <v>1980</v>
      </c>
      <c r="J12" s="18">
        <f t="shared" si="12"/>
        <v>36630</v>
      </c>
      <c r="K12" s="18">
        <f t="shared" si="12"/>
        <v>0</v>
      </c>
      <c r="L12" s="18">
        <f t="shared" si="12"/>
        <v>0</v>
      </c>
      <c r="M12" s="18">
        <f t="shared" si="12"/>
        <v>50</v>
      </c>
      <c r="N12" s="23">
        <f t="shared" si="12"/>
        <v>487.5</v>
      </c>
      <c r="O12" s="18">
        <f t="shared" si="12"/>
        <v>0</v>
      </c>
      <c r="P12" s="23">
        <f t="shared" si="12"/>
        <v>0</v>
      </c>
      <c r="Q12" s="23">
        <f t="shared" si="12"/>
        <v>0</v>
      </c>
      <c r="R12" s="23">
        <f>SUM(R6:R11)</f>
        <v>0</v>
      </c>
      <c r="S12" s="18">
        <f t="shared" si="12"/>
        <v>612</v>
      </c>
      <c r="T12" s="18">
        <f t="shared" si="12"/>
        <v>147492</v>
      </c>
      <c r="U12" s="18">
        <f t="shared" si="12"/>
        <v>25</v>
      </c>
      <c r="V12" s="18">
        <f t="shared" si="12"/>
        <v>5800</v>
      </c>
      <c r="W12" s="18">
        <f t="shared" si="12"/>
        <v>0</v>
      </c>
      <c r="X12" s="18">
        <f t="shared" si="12"/>
        <v>0</v>
      </c>
      <c r="Y12" s="18">
        <f t="shared" si="12"/>
        <v>297639.6925</v>
      </c>
    </row>
    <row r="14" spans="1:25" ht="32.25" customHeight="1" x14ac:dyDescent="0.25">
      <c r="A14" s="30" t="s">
        <v>32</v>
      </c>
      <c r="B14" s="2236" t="s">
        <v>27</v>
      </c>
      <c r="C14" s="2236"/>
      <c r="D14" s="30" t="s">
        <v>33</v>
      </c>
      <c r="E14" s="30" t="s">
        <v>65</v>
      </c>
      <c r="F14" s="30" t="s">
        <v>34</v>
      </c>
      <c r="G14" s="30" t="s">
        <v>13</v>
      </c>
      <c r="H14" s="31" t="s">
        <v>45</v>
      </c>
      <c r="I14" s="30" t="s">
        <v>17</v>
      </c>
      <c r="J14" s="30" t="s">
        <v>66</v>
      </c>
      <c r="K14" s="30" t="s">
        <v>36</v>
      </c>
      <c r="L14" s="30" t="s">
        <v>37</v>
      </c>
      <c r="M14" s="30" t="s">
        <v>69</v>
      </c>
      <c r="N14" s="30" t="s">
        <v>70</v>
      </c>
      <c r="O14" s="86" t="s">
        <v>114</v>
      </c>
      <c r="P14" s="86" t="s">
        <v>99</v>
      </c>
      <c r="Q14" s="15"/>
      <c r="R14" s="15"/>
      <c r="T14" s="2235" t="s">
        <v>46</v>
      </c>
      <c r="U14" s="76" t="s">
        <v>54</v>
      </c>
      <c r="V14" s="2260">
        <v>23367</v>
      </c>
      <c r="W14" s="2268"/>
      <c r="X14" s="2261"/>
    </row>
    <row r="15" spans="1:25" ht="22.5" customHeight="1" x14ac:dyDescent="0.25">
      <c r="A15" s="11" t="s">
        <v>38</v>
      </c>
      <c r="B15" s="2260">
        <v>296442</v>
      </c>
      <c r="C15" s="2261"/>
      <c r="D15" s="87">
        <v>0</v>
      </c>
      <c r="E15" s="87">
        <v>360</v>
      </c>
      <c r="F15" s="87">
        <v>6330</v>
      </c>
      <c r="G15" s="87">
        <v>0</v>
      </c>
      <c r="H15" s="87">
        <v>274</v>
      </c>
      <c r="I15" s="87">
        <v>25</v>
      </c>
      <c r="J15" s="87">
        <v>50</v>
      </c>
      <c r="K15" s="87">
        <v>30</v>
      </c>
      <c r="L15" s="87">
        <v>123</v>
      </c>
      <c r="M15" s="87">
        <v>50</v>
      </c>
      <c r="N15" s="87">
        <v>100</v>
      </c>
      <c r="O15" s="87">
        <v>0</v>
      </c>
      <c r="P15" s="87">
        <v>1392</v>
      </c>
      <c r="Q15" s="21"/>
      <c r="R15" s="21"/>
      <c r="T15" s="2235"/>
      <c r="U15" s="76" t="s">
        <v>64</v>
      </c>
      <c r="V15" s="2262">
        <v>6759</v>
      </c>
      <c r="W15" s="2262"/>
      <c r="X15" s="2262"/>
    </row>
    <row r="16" spans="1:25" ht="24.75" customHeight="1" x14ac:dyDescent="0.25">
      <c r="A16" s="11" t="s">
        <v>39</v>
      </c>
      <c r="B16" s="2260">
        <v>100000</v>
      </c>
      <c r="C16" s="2261"/>
      <c r="D16" s="87"/>
      <c r="E16" s="87"/>
      <c r="F16" s="87"/>
      <c r="G16" s="87"/>
      <c r="H16" s="87"/>
      <c r="I16" s="87"/>
      <c r="J16" s="87"/>
      <c r="K16" s="87"/>
      <c r="L16" s="87">
        <v>22</v>
      </c>
      <c r="M16" s="87"/>
      <c r="N16" s="87"/>
      <c r="O16" s="87"/>
      <c r="P16" s="87"/>
      <c r="Q16" s="21"/>
      <c r="R16" s="21"/>
      <c r="T16" s="2254" t="s">
        <v>55</v>
      </c>
      <c r="U16" s="2254"/>
      <c r="V16" s="2267">
        <f>Y12</f>
        <v>297639.6925</v>
      </c>
      <c r="W16" s="2267"/>
      <c r="X16" s="2262"/>
    </row>
    <row r="17" spans="1:25" ht="33" customHeight="1" x14ac:dyDescent="0.25">
      <c r="A17" s="85" t="s">
        <v>44</v>
      </c>
      <c r="B17" s="2260"/>
      <c r="C17" s="2261"/>
      <c r="D17" s="87"/>
      <c r="E17" s="87"/>
      <c r="F17" s="87"/>
      <c r="G17" s="87"/>
      <c r="H17" s="87"/>
      <c r="I17" s="87"/>
      <c r="J17" s="87"/>
      <c r="K17" s="87"/>
      <c r="L17" s="87"/>
      <c r="M17" s="87"/>
      <c r="N17" s="87"/>
      <c r="O17" s="87"/>
      <c r="P17" s="87"/>
      <c r="Q17" s="21"/>
      <c r="R17" s="21"/>
      <c r="T17" s="2254" t="s">
        <v>95</v>
      </c>
      <c r="U17" s="2254"/>
      <c r="V17" s="2262">
        <v>1350</v>
      </c>
      <c r="W17" s="2262"/>
      <c r="X17" s="2262"/>
    </row>
    <row r="18" spans="1:25" ht="27" customHeight="1" x14ac:dyDescent="0.25">
      <c r="A18" s="11" t="s">
        <v>40</v>
      </c>
      <c r="B18" s="2264">
        <f>C12</f>
        <v>103593</v>
      </c>
      <c r="C18" s="2261"/>
      <c r="D18" s="88">
        <f>E12</f>
        <v>0</v>
      </c>
      <c r="E18" s="88">
        <f>G12</f>
        <v>230</v>
      </c>
      <c r="F18" s="88">
        <f>I12</f>
        <v>1980</v>
      </c>
      <c r="G18" s="88">
        <f>K12</f>
        <v>0</v>
      </c>
      <c r="H18" s="87">
        <v>22</v>
      </c>
      <c r="I18" s="88">
        <f>U12</f>
        <v>25</v>
      </c>
      <c r="J18" s="87"/>
      <c r="K18" s="88">
        <f>W12</f>
        <v>0</v>
      </c>
      <c r="L18" s="87">
        <v>13</v>
      </c>
      <c r="M18" s="88">
        <f>M12</f>
        <v>50</v>
      </c>
      <c r="N18" s="88"/>
      <c r="O18" s="90">
        <f>Q12</f>
        <v>0</v>
      </c>
      <c r="P18" s="87">
        <v>524</v>
      </c>
      <c r="Q18" s="21"/>
      <c r="R18" s="21"/>
      <c r="T18" s="2254" t="s">
        <v>57</v>
      </c>
      <c r="U18" s="2254"/>
      <c r="V18" s="2262">
        <f>530+151940</f>
        <v>152470</v>
      </c>
      <c r="W18" s="2262"/>
      <c r="X18" s="2262"/>
      <c r="Y18" s="2269" t="s">
        <v>125</v>
      </c>
    </row>
    <row r="19" spans="1:25" ht="25.5" customHeight="1" x14ac:dyDescent="0.25">
      <c r="A19" s="11" t="s">
        <v>41</v>
      </c>
      <c r="B19" s="2260">
        <f>B15+B16+B17-B18</f>
        <v>292849</v>
      </c>
      <c r="C19" s="2261"/>
      <c r="D19" s="87">
        <f>D15+D16+D17-D18</f>
        <v>0</v>
      </c>
      <c r="E19" s="87">
        <f t="shared" ref="E19:N19" si="13">E15+E16+E17-E18</f>
        <v>130</v>
      </c>
      <c r="F19" s="87">
        <f t="shared" si="13"/>
        <v>4350</v>
      </c>
      <c r="G19" s="87">
        <f t="shared" si="13"/>
        <v>0</v>
      </c>
      <c r="H19" s="87">
        <f t="shared" si="13"/>
        <v>252</v>
      </c>
      <c r="I19" s="87">
        <f t="shared" si="13"/>
        <v>0</v>
      </c>
      <c r="J19" s="87">
        <f t="shared" si="13"/>
        <v>50</v>
      </c>
      <c r="K19" s="87">
        <f t="shared" si="13"/>
        <v>30</v>
      </c>
      <c r="L19" s="87">
        <f t="shared" si="13"/>
        <v>132</v>
      </c>
      <c r="M19" s="87">
        <f t="shared" si="13"/>
        <v>0</v>
      </c>
      <c r="N19" s="87">
        <f t="shared" si="13"/>
        <v>100</v>
      </c>
      <c r="O19" s="87">
        <f>O15+O16+O17-O18</f>
        <v>0</v>
      </c>
      <c r="P19" s="87">
        <f>P15+P16+P17-P18</f>
        <v>868</v>
      </c>
      <c r="Q19" s="21"/>
      <c r="R19" s="21"/>
      <c r="T19" s="2256" t="s">
        <v>48</v>
      </c>
      <c r="U19" s="49" t="s">
        <v>58</v>
      </c>
      <c r="V19" s="2262">
        <v>148800</v>
      </c>
      <c r="W19" s="2262"/>
      <c r="X19" s="2262"/>
      <c r="Y19" s="2269"/>
    </row>
    <row r="20" spans="1:25" ht="23.25" customHeight="1" x14ac:dyDescent="0.25">
      <c r="A20" s="15"/>
      <c r="B20" s="10"/>
      <c r="C20" s="10"/>
      <c r="D20" s="10"/>
      <c r="E20" s="10"/>
      <c r="F20" s="10"/>
      <c r="G20" s="10"/>
      <c r="H20" s="10"/>
      <c r="I20" s="10"/>
      <c r="J20" s="10"/>
      <c r="K20" s="10"/>
      <c r="L20" s="10"/>
      <c r="M20" s="10"/>
      <c r="N20" s="10"/>
      <c r="O20" s="10"/>
      <c r="P20" s="10"/>
      <c r="Q20" s="10"/>
      <c r="R20" s="10"/>
      <c r="T20" s="2257"/>
      <c r="U20" s="49" t="s">
        <v>59</v>
      </c>
      <c r="V20" s="2262"/>
      <c r="W20" s="2262"/>
      <c r="X20" s="2262"/>
      <c r="Y20" s="2269"/>
    </row>
    <row r="21" spans="1:25" ht="33.75" customHeight="1" x14ac:dyDescent="0.25">
      <c r="A21" s="15"/>
      <c r="B21" s="10"/>
      <c r="C21" s="10"/>
      <c r="D21" s="10"/>
      <c r="E21" s="10"/>
      <c r="F21" s="10"/>
      <c r="G21" s="10"/>
      <c r="H21" s="10"/>
      <c r="I21" s="10"/>
      <c r="J21" s="10"/>
      <c r="K21" s="10"/>
      <c r="L21" s="10"/>
      <c r="M21" s="10"/>
      <c r="N21" s="10"/>
      <c r="O21" s="10"/>
      <c r="P21" s="10"/>
      <c r="Q21" s="10"/>
      <c r="R21" s="10"/>
      <c r="T21" s="2251" t="s">
        <v>83</v>
      </c>
      <c r="U21" s="50" t="s">
        <v>60</v>
      </c>
      <c r="V21" s="2262">
        <v>148800</v>
      </c>
      <c r="W21" s="2262"/>
      <c r="X21" s="2262"/>
      <c r="Y21" s="2269"/>
    </row>
    <row r="22" spans="1:25" ht="29.25" customHeight="1" x14ac:dyDescent="0.25">
      <c r="A22" s="10"/>
      <c r="B22" s="2258" t="s">
        <v>49</v>
      </c>
      <c r="C22" s="2265">
        <v>672076</v>
      </c>
      <c r="D22" s="2262">
        <v>148800</v>
      </c>
      <c r="E22" s="2262">
        <v>96250</v>
      </c>
      <c r="F22" s="2262">
        <f>C22-D22+E22</f>
        <v>619526</v>
      </c>
      <c r="G22" s="10"/>
      <c r="H22" s="10"/>
      <c r="I22" s="10"/>
      <c r="J22" s="10"/>
      <c r="K22" s="10"/>
      <c r="L22" s="10"/>
      <c r="M22" s="10"/>
      <c r="N22" s="10"/>
      <c r="O22" s="10"/>
      <c r="P22" s="10"/>
      <c r="Q22" s="10"/>
      <c r="R22" s="10"/>
      <c r="T22" s="2252"/>
      <c r="U22" s="50" t="s">
        <v>61</v>
      </c>
      <c r="V22" s="2262">
        <v>148800</v>
      </c>
      <c r="W22" s="2262"/>
      <c r="X22" s="2262"/>
      <c r="Y22" s="2269"/>
    </row>
    <row r="23" spans="1:25" ht="47.25" customHeight="1" x14ac:dyDescent="0.25">
      <c r="A23" s="10"/>
      <c r="B23" s="2258"/>
      <c r="C23" s="2266"/>
      <c r="D23" s="2262"/>
      <c r="E23" s="2262"/>
      <c r="F23" s="2262"/>
      <c r="G23" s="10"/>
      <c r="H23" s="10"/>
      <c r="I23" s="10"/>
      <c r="J23" s="10"/>
      <c r="K23" s="10"/>
      <c r="L23" s="10"/>
      <c r="M23" s="10"/>
      <c r="N23" s="10"/>
      <c r="O23" s="10"/>
      <c r="P23" s="10"/>
      <c r="Q23" s="10"/>
      <c r="R23" s="10"/>
      <c r="T23" s="2235" t="s">
        <v>47</v>
      </c>
      <c r="U23" s="51" t="s">
        <v>62</v>
      </c>
      <c r="V23" s="2263">
        <f>V14+V16+V17-V18-V19-V20-V21+V22</f>
        <v>21086.692500000005</v>
      </c>
      <c r="W23" s="2263"/>
      <c r="X23" s="2263"/>
      <c r="Y23" s="2269"/>
    </row>
    <row r="24" spans="1:25" ht="27" customHeight="1" x14ac:dyDescent="0.25">
      <c r="B24" s="2258"/>
      <c r="C24" s="76" t="s">
        <v>46</v>
      </c>
      <c r="D24" s="76" t="s">
        <v>50</v>
      </c>
      <c r="E24" s="76" t="s">
        <v>51</v>
      </c>
      <c r="F24" s="76" t="s">
        <v>52</v>
      </c>
      <c r="T24" s="2235"/>
      <c r="U24" s="51" t="s">
        <v>63</v>
      </c>
      <c r="V24" s="2262">
        <f>V15+V21-V22</f>
        <v>6759</v>
      </c>
      <c r="W24" s="2262"/>
      <c r="X24" s="2262"/>
    </row>
  </sheetData>
  <mergeCells count="48">
    <mergeCell ref="A1:Y1"/>
    <mergeCell ref="A2:Y2"/>
    <mergeCell ref="T3:Y3"/>
    <mergeCell ref="A4:A5"/>
    <mergeCell ref="B4:B5"/>
    <mergeCell ref="C4:D4"/>
    <mergeCell ref="E4:F4"/>
    <mergeCell ref="G4:H4"/>
    <mergeCell ref="I4:J4"/>
    <mergeCell ref="K4:L4"/>
    <mergeCell ref="Y4:Y5"/>
    <mergeCell ref="M4:N4"/>
    <mergeCell ref="O4:P4"/>
    <mergeCell ref="Q4:R4"/>
    <mergeCell ref="S4:T4"/>
    <mergeCell ref="U4:V4"/>
    <mergeCell ref="V18:X18"/>
    <mergeCell ref="B22:B24"/>
    <mergeCell ref="C22:C23"/>
    <mergeCell ref="W4:X4"/>
    <mergeCell ref="B16:C16"/>
    <mergeCell ref="T16:U16"/>
    <mergeCell ref="V16:X16"/>
    <mergeCell ref="B17:C17"/>
    <mergeCell ref="T17:U17"/>
    <mergeCell ref="V17:X17"/>
    <mergeCell ref="A12:B12"/>
    <mergeCell ref="B14:C14"/>
    <mergeCell ref="T14:T15"/>
    <mergeCell ref="V14:X14"/>
    <mergeCell ref="B15:C15"/>
    <mergeCell ref="V15:X15"/>
    <mergeCell ref="D22:D23"/>
    <mergeCell ref="E22:E23"/>
    <mergeCell ref="F22:F23"/>
    <mergeCell ref="Y18:Y23"/>
    <mergeCell ref="B19:C19"/>
    <mergeCell ref="T19:T20"/>
    <mergeCell ref="V19:X19"/>
    <mergeCell ref="V20:X20"/>
    <mergeCell ref="T21:T22"/>
    <mergeCell ref="V21:X21"/>
    <mergeCell ref="V22:X22"/>
    <mergeCell ref="T23:T24"/>
    <mergeCell ref="V23:X23"/>
    <mergeCell ref="V24:X24"/>
    <mergeCell ref="B18:C18"/>
    <mergeCell ref="T18:U18"/>
  </mergeCells>
  <pageMargins left="0.15748031496063" right="0.15748031496063" top="0" bottom="0" header="0" footer="0"/>
  <pageSetup paperSize="9" scale="51" orientation="landscape" r:id="rId1"/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600-000000000000}">
  <sheetPr>
    <pageSetUpPr fitToPage="1"/>
  </sheetPr>
  <dimension ref="A1:Y24"/>
  <sheetViews>
    <sheetView topLeftCell="A6" zoomScale="67" zoomScaleNormal="67" zoomScaleSheetLayoutView="100" workbookViewId="0">
      <selection activeCell="G22" sqref="G22"/>
    </sheetView>
  </sheetViews>
  <sheetFormatPr defaultColWidth="9.140625" defaultRowHeight="15" x14ac:dyDescent="0.25"/>
  <cols>
    <col min="1" max="1" width="17.140625" style="14" customWidth="1"/>
    <col min="2" max="2" width="11.140625" style="14" customWidth="1"/>
    <col min="3" max="3" width="13" style="14" customWidth="1"/>
    <col min="4" max="4" width="11" style="14" customWidth="1"/>
    <col min="5" max="5" width="12" style="14" customWidth="1"/>
    <col min="6" max="6" width="12.5703125" style="14" bestFit="1" customWidth="1"/>
    <col min="7" max="7" width="9.28515625" style="14" bestFit="1" customWidth="1"/>
    <col min="8" max="8" width="10.140625" style="14" bestFit="1" customWidth="1"/>
    <col min="9" max="9" width="10.5703125" style="14" bestFit="1" customWidth="1"/>
    <col min="10" max="10" width="10.5703125" style="14" customWidth="1"/>
    <col min="11" max="11" width="10.28515625" style="14" bestFit="1" customWidth="1"/>
    <col min="12" max="12" width="9.42578125" style="14" bestFit="1" customWidth="1"/>
    <col min="13" max="13" width="9.85546875" style="14" bestFit="1" customWidth="1"/>
    <col min="14" max="14" width="10.140625" style="14" bestFit="1" customWidth="1"/>
    <col min="15" max="15" width="9" style="14" customWidth="1"/>
    <col min="16" max="16" width="12.85546875" style="14" bestFit="1" customWidth="1"/>
    <col min="17" max="18" width="9.42578125" style="14" customWidth="1"/>
    <col min="19" max="19" width="7.5703125" style="14" customWidth="1"/>
    <col min="20" max="20" width="13.42578125" style="14" customWidth="1"/>
    <col min="21" max="21" width="17.28515625" style="14" customWidth="1"/>
    <col min="22" max="22" width="9.85546875" style="14" bestFit="1" customWidth="1"/>
    <col min="23" max="23" width="10.140625" style="14" bestFit="1" customWidth="1"/>
    <col min="24" max="24" width="9.85546875" style="14" bestFit="1" customWidth="1"/>
    <col min="25" max="25" width="15" style="14" customWidth="1"/>
    <col min="26" max="16384" width="9.140625" style="14"/>
  </cols>
  <sheetData>
    <row r="1" spans="1:25" ht="46.15" customHeight="1" x14ac:dyDescent="0.25">
      <c r="A1" s="2240" t="s">
        <v>76</v>
      </c>
      <c r="B1" s="2240"/>
      <c r="C1" s="2240"/>
      <c r="D1" s="2240"/>
      <c r="E1" s="2240"/>
      <c r="F1" s="2240"/>
      <c r="G1" s="2240"/>
      <c r="H1" s="2240"/>
      <c r="I1" s="2240"/>
      <c r="J1" s="2240"/>
      <c r="K1" s="2240"/>
      <c r="L1" s="2240"/>
      <c r="M1" s="2240"/>
      <c r="N1" s="2240"/>
      <c r="O1" s="2240"/>
      <c r="P1" s="2240"/>
      <c r="Q1" s="2240"/>
      <c r="R1" s="2240"/>
      <c r="S1" s="2240"/>
      <c r="T1" s="2240"/>
      <c r="U1" s="2240"/>
      <c r="V1" s="2240"/>
      <c r="W1" s="2240"/>
      <c r="X1" s="2240"/>
      <c r="Y1" s="2240"/>
    </row>
    <row r="2" spans="1:25" ht="21.6" customHeight="1" x14ac:dyDescent="0.25">
      <c r="A2" s="2241" t="s">
        <v>77</v>
      </c>
      <c r="B2" s="2241"/>
      <c r="C2" s="2241"/>
      <c r="D2" s="2241"/>
      <c r="E2" s="2241"/>
      <c r="F2" s="2241"/>
      <c r="G2" s="2241"/>
      <c r="H2" s="2241"/>
      <c r="I2" s="2241"/>
      <c r="J2" s="2241"/>
      <c r="K2" s="2241"/>
      <c r="L2" s="2241"/>
      <c r="M2" s="2241"/>
      <c r="N2" s="2241"/>
      <c r="O2" s="2241"/>
      <c r="P2" s="2241"/>
      <c r="Q2" s="2241"/>
      <c r="R2" s="2241"/>
      <c r="S2" s="2241"/>
      <c r="T2" s="2241"/>
      <c r="U2" s="2241"/>
      <c r="V2" s="2241"/>
      <c r="W2" s="2241"/>
      <c r="X2" s="2241"/>
      <c r="Y2" s="2241"/>
    </row>
    <row r="3" spans="1:25" ht="21" customHeight="1" x14ac:dyDescent="0.25">
      <c r="A3" s="78"/>
      <c r="B3" s="78"/>
      <c r="C3" s="78"/>
      <c r="D3" s="78"/>
      <c r="E3" s="78"/>
      <c r="F3" s="78"/>
      <c r="G3" s="78"/>
      <c r="H3" s="78"/>
      <c r="I3" s="78"/>
      <c r="J3" s="78"/>
      <c r="K3" s="78"/>
      <c r="L3" s="78"/>
      <c r="M3" s="78"/>
      <c r="N3" s="78"/>
      <c r="O3" s="78"/>
      <c r="P3" s="78"/>
      <c r="Q3" s="78"/>
      <c r="R3" s="78"/>
      <c r="S3" s="78"/>
      <c r="T3" s="2242" t="s">
        <v>126</v>
      </c>
      <c r="U3" s="2242"/>
      <c r="V3" s="2242"/>
      <c r="W3" s="2242"/>
      <c r="X3" s="2242"/>
      <c r="Y3" s="2242"/>
    </row>
    <row r="4" spans="1:25" s="78" customFormat="1" ht="18" customHeight="1" x14ac:dyDescent="0.25">
      <c r="A4" s="2243" t="s">
        <v>25</v>
      </c>
      <c r="B4" s="2243" t="s">
        <v>26</v>
      </c>
      <c r="C4" s="2244" t="s">
        <v>27</v>
      </c>
      <c r="D4" s="2244"/>
      <c r="E4" s="2244" t="s">
        <v>28</v>
      </c>
      <c r="F4" s="2244"/>
      <c r="G4" s="2244" t="s">
        <v>65</v>
      </c>
      <c r="H4" s="2244"/>
      <c r="I4" s="2244" t="s">
        <v>29</v>
      </c>
      <c r="J4" s="2244"/>
      <c r="K4" s="2245" t="s">
        <v>13</v>
      </c>
      <c r="L4" s="2246"/>
      <c r="M4" s="2245" t="s">
        <v>67</v>
      </c>
      <c r="N4" s="2246"/>
      <c r="O4" s="2245" t="s">
        <v>68</v>
      </c>
      <c r="P4" s="2246"/>
      <c r="Q4" s="2245" t="s">
        <v>114</v>
      </c>
      <c r="R4" s="2246"/>
      <c r="S4" s="2244" t="s">
        <v>35</v>
      </c>
      <c r="T4" s="2244"/>
      <c r="U4" s="2245" t="s">
        <v>17</v>
      </c>
      <c r="V4" s="2246"/>
      <c r="W4" s="2247" t="s">
        <v>36</v>
      </c>
      <c r="X4" s="2248"/>
      <c r="Y4" s="2238" t="s">
        <v>30</v>
      </c>
    </row>
    <row r="5" spans="1:25" s="78" customFormat="1" ht="25.5" customHeight="1" x14ac:dyDescent="0.25">
      <c r="A5" s="2243"/>
      <c r="B5" s="2243"/>
      <c r="C5" s="77" t="s">
        <v>42</v>
      </c>
      <c r="D5" s="77" t="s">
        <v>43</v>
      </c>
      <c r="E5" s="77" t="s">
        <v>42</v>
      </c>
      <c r="F5" s="77" t="s">
        <v>43</v>
      </c>
      <c r="G5" s="77" t="s">
        <v>42</v>
      </c>
      <c r="H5" s="77" t="s">
        <v>43</v>
      </c>
      <c r="I5" s="77" t="s">
        <v>42</v>
      </c>
      <c r="J5" s="77" t="s">
        <v>43</v>
      </c>
      <c r="K5" s="77" t="s">
        <v>42</v>
      </c>
      <c r="L5" s="77" t="s">
        <v>43</v>
      </c>
      <c r="M5" s="77" t="s">
        <v>42</v>
      </c>
      <c r="N5" s="77" t="s">
        <v>43</v>
      </c>
      <c r="O5" s="77" t="s">
        <v>42</v>
      </c>
      <c r="P5" s="77" t="s">
        <v>43</v>
      </c>
      <c r="Q5" s="77" t="s">
        <v>42</v>
      </c>
      <c r="R5" s="77" t="s">
        <v>43</v>
      </c>
      <c r="S5" s="33" t="s">
        <v>42</v>
      </c>
      <c r="T5" s="33" t="s">
        <v>43</v>
      </c>
      <c r="U5" s="30" t="s">
        <v>42</v>
      </c>
      <c r="V5" s="30" t="s">
        <v>43</v>
      </c>
      <c r="W5" s="30" t="s">
        <v>42</v>
      </c>
      <c r="X5" s="30" t="s">
        <v>43</v>
      </c>
      <c r="Y5" s="2239"/>
    </row>
    <row r="6" spans="1:25" ht="34.5" customHeight="1" x14ac:dyDescent="0.25">
      <c r="A6" s="12">
        <v>1409935200</v>
      </c>
      <c r="B6" s="76" t="s">
        <v>71</v>
      </c>
      <c r="C6" s="74">
        <v>29785</v>
      </c>
      <c r="D6" s="73">
        <f>0.9725*C6</f>
        <v>28965.912500000002</v>
      </c>
      <c r="E6" s="74"/>
      <c r="F6" s="74">
        <f>13.7*E6</f>
        <v>0</v>
      </c>
      <c r="G6" s="74"/>
      <c r="H6" s="74">
        <f>28.2*G6</f>
        <v>0</v>
      </c>
      <c r="I6" s="74">
        <v>530</v>
      </c>
      <c r="J6" s="74">
        <f>18.5*I6</f>
        <v>9805</v>
      </c>
      <c r="K6" s="74"/>
      <c r="L6" s="74">
        <f>19.5*K6</f>
        <v>0</v>
      </c>
      <c r="M6" s="74"/>
      <c r="N6" s="73">
        <f>M6*9.75</f>
        <v>0</v>
      </c>
      <c r="O6" s="74"/>
      <c r="P6" s="73">
        <f>O6*48.62</f>
        <v>0</v>
      </c>
      <c r="Q6" s="73"/>
      <c r="R6" s="73">
        <f>241*Q6</f>
        <v>0</v>
      </c>
      <c r="S6" s="74"/>
      <c r="T6" s="74">
        <f>241*S6</f>
        <v>0</v>
      </c>
      <c r="U6" s="74"/>
      <c r="V6" s="74">
        <f>232*U6</f>
        <v>0</v>
      </c>
      <c r="W6" s="74"/>
      <c r="X6" s="19">
        <f>W6*100</f>
        <v>0</v>
      </c>
      <c r="Y6" s="89">
        <f t="shared" ref="Y6:Y11" si="0">D6+F6+H6+J6+L6+N6+P6+R6+T6+V6+X6</f>
        <v>38770.912500000006</v>
      </c>
    </row>
    <row r="7" spans="1:25" ht="31.5" customHeight="1" x14ac:dyDescent="0.25">
      <c r="A7" s="12">
        <v>1984225578</v>
      </c>
      <c r="B7" s="76" t="s">
        <v>72</v>
      </c>
      <c r="C7" s="74">
        <v>44197</v>
      </c>
      <c r="D7" s="73">
        <f t="shared" ref="D7:D11" si="1">0.9725*C7</f>
        <v>42981.582500000004</v>
      </c>
      <c r="E7" s="74"/>
      <c r="F7" s="74">
        <f t="shared" ref="F7:F11" si="2">13.7*E7</f>
        <v>0</v>
      </c>
      <c r="G7" s="74"/>
      <c r="H7" s="74">
        <f t="shared" ref="H7:H11" si="3">28.2*G7</f>
        <v>0</v>
      </c>
      <c r="I7" s="74">
        <v>250</v>
      </c>
      <c r="J7" s="74">
        <f t="shared" ref="J7:J11" si="4">18.5*I7</f>
        <v>4625</v>
      </c>
      <c r="K7" s="74"/>
      <c r="L7" s="74">
        <f t="shared" ref="L7:L11" si="5">19.5*K7</f>
        <v>0</v>
      </c>
      <c r="M7" s="74"/>
      <c r="N7" s="73">
        <f t="shared" ref="N7:N11" si="6">M7*9.75</f>
        <v>0</v>
      </c>
      <c r="O7" s="74"/>
      <c r="P7" s="73">
        <f t="shared" ref="P7:P11" si="7">O7*48.62</f>
        <v>0</v>
      </c>
      <c r="Q7" s="73"/>
      <c r="R7" s="73">
        <f t="shared" ref="R7:R11" si="8">241*Q7</f>
        <v>0</v>
      </c>
      <c r="S7" s="74"/>
      <c r="T7" s="74">
        <f t="shared" ref="T7:T11" si="9">241*S7</f>
        <v>0</v>
      </c>
      <c r="U7" s="74"/>
      <c r="V7" s="74">
        <f t="shared" ref="V7:V11" si="10">232*U7</f>
        <v>0</v>
      </c>
      <c r="W7" s="74"/>
      <c r="X7" s="19">
        <f t="shared" ref="X7:X11" si="11">W7*100</f>
        <v>0</v>
      </c>
      <c r="Y7" s="89">
        <f t="shared" si="0"/>
        <v>47606.582500000004</v>
      </c>
    </row>
    <row r="8" spans="1:25" ht="35.25" customHeight="1" x14ac:dyDescent="0.25">
      <c r="A8" s="12">
        <v>1967020280</v>
      </c>
      <c r="B8" s="76" t="s">
        <v>73</v>
      </c>
      <c r="C8" s="74">
        <v>38221</v>
      </c>
      <c r="D8" s="73">
        <f t="shared" si="1"/>
        <v>37169.922500000001</v>
      </c>
      <c r="E8" s="74"/>
      <c r="F8" s="74">
        <f t="shared" si="2"/>
        <v>0</v>
      </c>
      <c r="G8" s="74"/>
      <c r="H8" s="74">
        <f t="shared" si="3"/>
        <v>0</v>
      </c>
      <c r="I8" s="74">
        <v>210</v>
      </c>
      <c r="J8" s="74">
        <f t="shared" si="4"/>
        <v>3885</v>
      </c>
      <c r="K8" s="74"/>
      <c r="L8" s="74">
        <f t="shared" si="5"/>
        <v>0</v>
      </c>
      <c r="M8" s="74"/>
      <c r="N8" s="73">
        <f t="shared" si="6"/>
        <v>0</v>
      </c>
      <c r="O8" s="74"/>
      <c r="P8" s="73">
        <f t="shared" si="7"/>
        <v>0</v>
      </c>
      <c r="Q8" s="73"/>
      <c r="R8" s="73">
        <f t="shared" si="8"/>
        <v>0</v>
      </c>
      <c r="S8" s="74"/>
      <c r="T8" s="74">
        <f t="shared" si="9"/>
        <v>0</v>
      </c>
      <c r="U8" s="74"/>
      <c r="V8" s="74">
        <f t="shared" si="10"/>
        <v>0</v>
      </c>
      <c r="W8" s="74"/>
      <c r="X8" s="19">
        <f t="shared" si="11"/>
        <v>0</v>
      </c>
      <c r="Y8" s="89">
        <f t="shared" si="0"/>
        <v>41054.922500000001</v>
      </c>
    </row>
    <row r="9" spans="1:25" ht="38.25" customHeight="1" x14ac:dyDescent="0.25">
      <c r="A9" s="12">
        <v>1409935199</v>
      </c>
      <c r="B9" s="76" t="s">
        <v>74</v>
      </c>
      <c r="C9" s="74">
        <v>19100</v>
      </c>
      <c r="D9" s="73">
        <f t="shared" si="1"/>
        <v>18574.75</v>
      </c>
      <c r="E9" s="74"/>
      <c r="F9" s="74">
        <f t="shared" si="2"/>
        <v>0</v>
      </c>
      <c r="G9" s="74">
        <v>20</v>
      </c>
      <c r="H9" s="74">
        <f t="shared" si="3"/>
        <v>564</v>
      </c>
      <c r="I9" s="74">
        <v>320</v>
      </c>
      <c r="J9" s="74">
        <f t="shared" si="4"/>
        <v>5920</v>
      </c>
      <c r="K9" s="74"/>
      <c r="L9" s="74">
        <f t="shared" si="5"/>
        <v>0</v>
      </c>
      <c r="M9" s="74"/>
      <c r="N9" s="73">
        <f t="shared" si="6"/>
        <v>0</v>
      </c>
      <c r="O9" s="74"/>
      <c r="P9" s="73">
        <f t="shared" si="7"/>
        <v>0</v>
      </c>
      <c r="Q9" s="73"/>
      <c r="R9" s="73">
        <f t="shared" si="8"/>
        <v>0</v>
      </c>
      <c r="S9" s="74"/>
      <c r="T9" s="74">
        <f t="shared" si="9"/>
        <v>0</v>
      </c>
      <c r="U9" s="74"/>
      <c r="V9" s="74">
        <f t="shared" si="10"/>
        <v>0</v>
      </c>
      <c r="W9" s="74"/>
      <c r="X9" s="19">
        <f t="shared" si="11"/>
        <v>0</v>
      </c>
      <c r="Y9" s="89">
        <f t="shared" si="0"/>
        <v>25058.75</v>
      </c>
    </row>
    <row r="10" spans="1:25" ht="35.25" customHeight="1" x14ac:dyDescent="0.25">
      <c r="A10" s="12">
        <v>1984225580</v>
      </c>
      <c r="B10" s="76" t="s">
        <v>75</v>
      </c>
      <c r="C10" s="74">
        <v>44922</v>
      </c>
      <c r="D10" s="73">
        <f t="shared" si="1"/>
        <v>43686.645000000004</v>
      </c>
      <c r="E10" s="74"/>
      <c r="F10" s="74">
        <f t="shared" si="2"/>
        <v>0</v>
      </c>
      <c r="G10" s="74"/>
      <c r="H10" s="74">
        <f t="shared" si="3"/>
        <v>0</v>
      </c>
      <c r="I10" s="74">
        <v>710</v>
      </c>
      <c r="J10" s="74">
        <f t="shared" si="4"/>
        <v>13135</v>
      </c>
      <c r="K10" s="74"/>
      <c r="L10" s="74">
        <f t="shared" si="5"/>
        <v>0</v>
      </c>
      <c r="M10" s="74"/>
      <c r="N10" s="73">
        <f t="shared" si="6"/>
        <v>0</v>
      </c>
      <c r="O10" s="74"/>
      <c r="P10" s="73">
        <f t="shared" si="7"/>
        <v>0</v>
      </c>
      <c r="Q10" s="73"/>
      <c r="R10" s="73">
        <f t="shared" si="8"/>
        <v>0</v>
      </c>
      <c r="S10" s="74"/>
      <c r="T10" s="74">
        <f t="shared" si="9"/>
        <v>0</v>
      </c>
      <c r="U10" s="74"/>
      <c r="V10" s="74">
        <f t="shared" si="10"/>
        <v>0</v>
      </c>
      <c r="W10" s="74"/>
      <c r="X10" s="19">
        <f t="shared" si="11"/>
        <v>0</v>
      </c>
      <c r="Y10" s="89">
        <f t="shared" si="0"/>
        <v>56821.645000000004</v>
      </c>
    </row>
    <row r="11" spans="1:25" ht="37.5" customHeight="1" x14ac:dyDescent="0.25">
      <c r="A11" s="12"/>
      <c r="B11" s="75"/>
      <c r="C11" s="74"/>
      <c r="D11" s="22">
        <f t="shared" si="1"/>
        <v>0</v>
      </c>
      <c r="E11" s="74"/>
      <c r="F11" s="74">
        <f t="shared" si="2"/>
        <v>0</v>
      </c>
      <c r="G11" s="74"/>
      <c r="H11" s="74">
        <f t="shared" si="3"/>
        <v>0</v>
      </c>
      <c r="I11" s="74"/>
      <c r="J11" s="74">
        <f t="shared" si="4"/>
        <v>0</v>
      </c>
      <c r="K11" s="74"/>
      <c r="L11" s="74">
        <f t="shared" si="5"/>
        <v>0</v>
      </c>
      <c r="M11" s="74"/>
      <c r="N11" s="73">
        <f t="shared" si="6"/>
        <v>0</v>
      </c>
      <c r="O11" s="74"/>
      <c r="P11" s="73">
        <f t="shared" si="7"/>
        <v>0</v>
      </c>
      <c r="Q11" s="73"/>
      <c r="R11" s="73">
        <f t="shared" si="8"/>
        <v>0</v>
      </c>
      <c r="S11" s="74"/>
      <c r="T11" s="74">
        <f t="shared" si="9"/>
        <v>0</v>
      </c>
      <c r="U11" s="74"/>
      <c r="V11" s="74">
        <f t="shared" si="10"/>
        <v>0</v>
      </c>
      <c r="W11" s="74"/>
      <c r="X11" s="19">
        <f t="shared" si="11"/>
        <v>0</v>
      </c>
      <c r="Y11" s="20">
        <f t="shared" si="0"/>
        <v>0</v>
      </c>
    </row>
    <row r="12" spans="1:25" ht="29.25" customHeight="1" x14ac:dyDescent="0.25">
      <c r="A12" s="2235" t="s">
        <v>31</v>
      </c>
      <c r="B12" s="2235"/>
      <c r="C12" s="18">
        <f t="shared" ref="C12:Y12" si="12">SUM(C6:C11)</f>
        <v>176225</v>
      </c>
      <c r="D12" s="18">
        <f t="shared" si="12"/>
        <v>171378.8125</v>
      </c>
      <c r="E12" s="18">
        <f t="shared" si="12"/>
        <v>0</v>
      </c>
      <c r="F12" s="18">
        <f t="shared" si="12"/>
        <v>0</v>
      </c>
      <c r="G12" s="18">
        <f t="shared" si="12"/>
        <v>20</v>
      </c>
      <c r="H12" s="18">
        <f t="shared" si="12"/>
        <v>564</v>
      </c>
      <c r="I12" s="18">
        <f t="shared" si="12"/>
        <v>2020</v>
      </c>
      <c r="J12" s="18">
        <f t="shared" si="12"/>
        <v>37370</v>
      </c>
      <c r="K12" s="18">
        <f t="shared" si="12"/>
        <v>0</v>
      </c>
      <c r="L12" s="18">
        <f t="shared" si="12"/>
        <v>0</v>
      </c>
      <c r="M12" s="18">
        <f t="shared" si="12"/>
        <v>0</v>
      </c>
      <c r="N12" s="23">
        <f t="shared" si="12"/>
        <v>0</v>
      </c>
      <c r="O12" s="18">
        <f t="shared" si="12"/>
        <v>0</v>
      </c>
      <c r="P12" s="23">
        <f t="shared" si="12"/>
        <v>0</v>
      </c>
      <c r="Q12" s="23">
        <f t="shared" si="12"/>
        <v>0</v>
      </c>
      <c r="R12" s="23">
        <f>SUM(R6:R11)</f>
        <v>0</v>
      </c>
      <c r="S12" s="18">
        <f t="shared" si="12"/>
        <v>0</v>
      </c>
      <c r="T12" s="18">
        <f t="shared" si="12"/>
        <v>0</v>
      </c>
      <c r="U12" s="18">
        <f t="shared" si="12"/>
        <v>0</v>
      </c>
      <c r="V12" s="18">
        <f t="shared" si="12"/>
        <v>0</v>
      </c>
      <c r="W12" s="18">
        <f t="shared" si="12"/>
        <v>0</v>
      </c>
      <c r="X12" s="18">
        <f t="shared" si="12"/>
        <v>0</v>
      </c>
      <c r="Y12" s="18">
        <f t="shared" si="12"/>
        <v>209312.8125</v>
      </c>
    </row>
    <row r="14" spans="1:25" ht="32.25" customHeight="1" x14ac:dyDescent="0.25">
      <c r="A14" s="30" t="s">
        <v>32</v>
      </c>
      <c r="B14" s="2236" t="s">
        <v>27</v>
      </c>
      <c r="C14" s="2236"/>
      <c r="D14" s="30" t="s">
        <v>33</v>
      </c>
      <c r="E14" s="30" t="s">
        <v>65</v>
      </c>
      <c r="F14" s="30" t="s">
        <v>34</v>
      </c>
      <c r="G14" s="30" t="s">
        <v>13</v>
      </c>
      <c r="H14" s="31" t="s">
        <v>45</v>
      </c>
      <c r="I14" s="30" t="s">
        <v>17</v>
      </c>
      <c r="J14" s="30" t="s">
        <v>66</v>
      </c>
      <c r="K14" s="30" t="s">
        <v>36</v>
      </c>
      <c r="L14" s="30" t="s">
        <v>37</v>
      </c>
      <c r="M14" s="30" t="s">
        <v>69</v>
      </c>
      <c r="N14" s="30" t="s">
        <v>70</v>
      </c>
      <c r="O14" s="86" t="s">
        <v>114</v>
      </c>
      <c r="P14" s="86" t="s">
        <v>99</v>
      </c>
      <c r="Q14" s="15"/>
      <c r="R14" s="15"/>
      <c r="T14" s="2235" t="s">
        <v>46</v>
      </c>
      <c r="U14" s="76" t="s">
        <v>54</v>
      </c>
      <c r="V14" s="2260">
        <v>21087</v>
      </c>
      <c r="W14" s="2268"/>
      <c r="X14" s="2261"/>
    </row>
    <row r="15" spans="1:25" ht="22.5" customHeight="1" x14ac:dyDescent="0.25">
      <c r="A15" s="11" t="s">
        <v>38</v>
      </c>
      <c r="B15" s="2260">
        <v>292849</v>
      </c>
      <c r="C15" s="2261"/>
      <c r="D15" s="87">
        <v>0</v>
      </c>
      <c r="E15" s="87">
        <v>130</v>
      </c>
      <c r="F15" s="87">
        <v>4350</v>
      </c>
      <c r="G15" s="87">
        <v>0</v>
      </c>
      <c r="H15" s="87">
        <v>252</v>
      </c>
      <c r="I15" s="87">
        <v>0</v>
      </c>
      <c r="J15" s="87">
        <v>50</v>
      </c>
      <c r="K15" s="87">
        <v>30</v>
      </c>
      <c r="L15" s="87">
        <v>132</v>
      </c>
      <c r="M15" s="87">
        <v>0</v>
      </c>
      <c r="N15" s="87">
        <v>100</v>
      </c>
      <c r="O15" s="87">
        <v>0</v>
      </c>
      <c r="P15" s="87">
        <v>868</v>
      </c>
      <c r="Q15" s="21"/>
      <c r="R15" s="21"/>
      <c r="T15" s="2235"/>
      <c r="U15" s="76" t="s">
        <v>64</v>
      </c>
      <c r="V15" s="2262">
        <v>6759</v>
      </c>
      <c r="W15" s="2262"/>
      <c r="X15" s="2262"/>
    </row>
    <row r="16" spans="1:25" ht="24.75" customHeight="1" x14ac:dyDescent="0.25">
      <c r="A16" s="11" t="s">
        <v>39</v>
      </c>
      <c r="B16" s="2260">
        <v>330000</v>
      </c>
      <c r="C16" s="2261"/>
      <c r="D16" s="87"/>
      <c r="E16" s="87"/>
      <c r="F16" s="87"/>
      <c r="G16" s="87"/>
      <c r="H16" s="87"/>
      <c r="I16" s="87"/>
      <c r="J16" s="87">
        <v>26</v>
      </c>
      <c r="K16" s="87"/>
      <c r="L16" s="87">
        <v>15</v>
      </c>
      <c r="M16" s="87"/>
      <c r="N16" s="87"/>
      <c r="O16" s="87"/>
      <c r="P16" s="87"/>
      <c r="Q16" s="21"/>
      <c r="R16" s="21"/>
      <c r="T16" s="2254" t="s">
        <v>55</v>
      </c>
      <c r="U16" s="2254"/>
      <c r="V16" s="2267">
        <f>Y12</f>
        <v>209312.8125</v>
      </c>
      <c r="W16" s="2267"/>
      <c r="X16" s="2262"/>
    </row>
    <row r="17" spans="1:25" ht="33" customHeight="1" x14ac:dyDescent="0.25">
      <c r="A17" s="85" t="s">
        <v>44</v>
      </c>
      <c r="B17" s="2260"/>
      <c r="C17" s="2261"/>
      <c r="D17" s="87"/>
      <c r="E17" s="87"/>
      <c r="F17" s="87"/>
      <c r="G17" s="87"/>
      <c r="H17" s="87"/>
      <c r="I17" s="87"/>
      <c r="J17" s="87"/>
      <c r="K17" s="87"/>
      <c r="L17" s="87"/>
      <c r="M17" s="87"/>
      <c r="N17" s="87"/>
      <c r="O17" s="87"/>
      <c r="P17" s="87"/>
      <c r="Q17" s="21"/>
      <c r="R17" s="21"/>
      <c r="T17" s="2254" t="s">
        <v>104</v>
      </c>
      <c r="U17" s="2254"/>
      <c r="V17" s="2262"/>
      <c r="W17" s="2262"/>
      <c r="X17" s="2262"/>
    </row>
    <row r="18" spans="1:25" ht="27" customHeight="1" x14ac:dyDescent="0.25">
      <c r="A18" s="11" t="s">
        <v>40</v>
      </c>
      <c r="B18" s="2264">
        <f>C12</f>
        <v>176225</v>
      </c>
      <c r="C18" s="2261"/>
      <c r="D18" s="88">
        <f>E12</f>
        <v>0</v>
      </c>
      <c r="E18" s="88">
        <f>G12</f>
        <v>20</v>
      </c>
      <c r="F18" s="88">
        <f>I12</f>
        <v>2020</v>
      </c>
      <c r="G18" s="88">
        <f>K12</f>
        <v>0</v>
      </c>
      <c r="H18" s="87">
        <v>41</v>
      </c>
      <c r="I18" s="88">
        <f>U12</f>
        <v>0</v>
      </c>
      <c r="J18" s="87"/>
      <c r="K18" s="88">
        <f>W12</f>
        <v>0</v>
      </c>
      <c r="L18" s="87"/>
      <c r="M18" s="88">
        <f>M12</f>
        <v>0</v>
      </c>
      <c r="N18" s="88"/>
      <c r="O18" s="90">
        <f>Q12</f>
        <v>0</v>
      </c>
      <c r="P18" s="87"/>
      <c r="Q18" s="21"/>
      <c r="R18" s="21"/>
      <c r="T18" s="2254" t="s">
        <v>57</v>
      </c>
      <c r="U18" s="2254"/>
      <c r="V18" s="2262">
        <v>530</v>
      </c>
      <c r="W18" s="2262"/>
      <c r="X18" s="2262"/>
      <c r="Y18" s="2269" t="s">
        <v>100</v>
      </c>
    </row>
    <row r="19" spans="1:25" ht="25.5" customHeight="1" x14ac:dyDescent="0.25">
      <c r="A19" s="11" t="s">
        <v>41</v>
      </c>
      <c r="B19" s="2260">
        <f>B15+B16+B17-B18</f>
        <v>446624</v>
      </c>
      <c r="C19" s="2261"/>
      <c r="D19" s="87">
        <f>D15+D16+D17-D18</f>
        <v>0</v>
      </c>
      <c r="E19" s="87">
        <f t="shared" ref="E19:N19" si="13">E15+E16+E17-E18</f>
        <v>110</v>
      </c>
      <c r="F19" s="87">
        <f t="shared" si="13"/>
        <v>2330</v>
      </c>
      <c r="G19" s="87">
        <f t="shared" si="13"/>
        <v>0</v>
      </c>
      <c r="H19" s="87">
        <f t="shared" si="13"/>
        <v>211</v>
      </c>
      <c r="I19" s="87">
        <f t="shared" si="13"/>
        <v>0</v>
      </c>
      <c r="J19" s="87">
        <f t="shared" si="13"/>
        <v>76</v>
      </c>
      <c r="K19" s="87">
        <f t="shared" si="13"/>
        <v>30</v>
      </c>
      <c r="L19" s="87">
        <f t="shared" si="13"/>
        <v>147</v>
      </c>
      <c r="M19" s="87">
        <f t="shared" si="13"/>
        <v>0</v>
      </c>
      <c r="N19" s="87">
        <f t="shared" si="13"/>
        <v>100</v>
      </c>
      <c r="O19" s="87">
        <f>O15+O16+O17-O18</f>
        <v>0</v>
      </c>
      <c r="P19" s="87">
        <f>P15+P16+P17-P18</f>
        <v>868</v>
      </c>
      <c r="Q19" s="21"/>
      <c r="R19" s="21"/>
      <c r="T19" s="2256" t="s">
        <v>48</v>
      </c>
      <c r="U19" s="49" t="s">
        <v>58</v>
      </c>
      <c r="V19" s="2262">
        <v>205900</v>
      </c>
      <c r="W19" s="2262"/>
      <c r="X19" s="2262"/>
      <c r="Y19" s="2269"/>
    </row>
    <row r="20" spans="1:25" ht="23.25" customHeight="1" x14ac:dyDescent="0.25">
      <c r="A20" s="15"/>
      <c r="B20" s="10"/>
      <c r="C20" s="10"/>
      <c r="D20" s="10"/>
      <c r="E20" s="10"/>
      <c r="F20" s="10"/>
      <c r="G20" s="10"/>
      <c r="H20" s="10"/>
      <c r="I20" s="10"/>
      <c r="J20" s="10"/>
      <c r="K20" s="10"/>
      <c r="L20" s="10"/>
      <c r="M20" s="10"/>
      <c r="N20" s="10"/>
      <c r="O20" s="10"/>
      <c r="P20" s="10"/>
      <c r="Q20" s="10"/>
      <c r="R20" s="10"/>
      <c r="T20" s="2257"/>
      <c r="U20" s="49" t="s">
        <v>59</v>
      </c>
      <c r="V20" s="2262"/>
      <c r="W20" s="2262"/>
      <c r="X20" s="2262"/>
      <c r="Y20" s="2269"/>
    </row>
    <row r="21" spans="1:25" ht="33.75" customHeight="1" x14ac:dyDescent="0.25">
      <c r="A21" s="15"/>
      <c r="B21" s="10"/>
      <c r="C21" s="10"/>
      <c r="D21" s="10"/>
      <c r="E21" s="10"/>
      <c r="F21" s="10"/>
      <c r="G21" s="10"/>
      <c r="H21" s="10"/>
      <c r="I21" s="10"/>
      <c r="J21" s="10"/>
      <c r="K21" s="10"/>
      <c r="L21" s="10"/>
      <c r="M21" s="10"/>
      <c r="N21" s="10"/>
      <c r="O21" s="10"/>
      <c r="P21" s="10"/>
      <c r="Q21" s="10"/>
      <c r="R21" s="10"/>
      <c r="T21" s="2251" t="s">
        <v>83</v>
      </c>
      <c r="U21" s="50" t="s">
        <v>60</v>
      </c>
      <c r="V21" s="2262">
        <v>205960</v>
      </c>
      <c r="W21" s="2262"/>
      <c r="X21" s="2262"/>
      <c r="Y21" s="2269"/>
    </row>
    <row r="22" spans="1:25" ht="29.25" customHeight="1" x14ac:dyDescent="0.25">
      <c r="A22" s="10"/>
      <c r="B22" s="2258" t="s">
        <v>49</v>
      </c>
      <c r="C22" s="2265">
        <v>619526</v>
      </c>
      <c r="D22" s="2262">
        <v>205900</v>
      </c>
      <c r="E22" s="2262">
        <v>317625</v>
      </c>
      <c r="F22" s="2262">
        <f>C22-D22+E22</f>
        <v>731251</v>
      </c>
      <c r="G22" s="10"/>
      <c r="H22" s="10"/>
      <c r="I22" s="10"/>
      <c r="J22" s="10"/>
      <c r="K22" s="10"/>
      <c r="L22" s="10"/>
      <c r="M22" s="10"/>
      <c r="N22" s="10"/>
      <c r="O22" s="10"/>
      <c r="P22" s="10"/>
      <c r="Q22" s="10"/>
      <c r="R22" s="10"/>
      <c r="T22" s="2252"/>
      <c r="U22" s="50" t="s">
        <v>61</v>
      </c>
      <c r="V22" s="2262">
        <v>205900</v>
      </c>
      <c r="W22" s="2262"/>
      <c r="X22" s="2262"/>
      <c r="Y22" s="2269"/>
    </row>
    <row r="23" spans="1:25" ht="47.25" customHeight="1" x14ac:dyDescent="0.25">
      <c r="A23" s="10"/>
      <c r="B23" s="2258"/>
      <c r="C23" s="2266"/>
      <c r="D23" s="2262"/>
      <c r="E23" s="2262"/>
      <c r="F23" s="2262"/>
      <c r="G23" s="10"/>
      <c r="H23" s="10"/>
      <c r="I23" s="10"/>
      <c r="J23" s="10"/>
      <c r="K23" s="10"/>
      <c r="L23" s="10"/>
      <c r="M23" s="10"/>
      <c r="N23" s="10"/>
      <c r="O23" s="10"/>
      <c r="P23" s="10"/>
      <c r="Q23" s="10"/>
      <c r="R23" s="10"/>
      <c r="T23" s="2235" t="s">
        <v>47</v>
      </c>
      <c r="U23" s="51" t="s">
        <v>62</v>
      </c>
      <c r="V23" s="2263">
        <f>V14+V16+V17-V18-V19-V20-V21+V22</f>
        <v>23909.8125</v>
      </c>
      <c r="W23" s="2263"/>
      <c r="X23" s="2263"/>
      <c r="Y23" s="2269"/>
    </row>
    <row r="24" spans="1:25" ht="27" customHeight="1" x14ac:dyDescent="0.25">
      <c r="B24" s="2258"/>
      <c r="C24" s="76" t="s">
        <v>46</v>
      </c>
      <c r="D24" s="76" t="s">
        <v>50</v>
      </c>
      <c r="E24" s="76" t="s">
        <v>51</v>
      </c>
      <c r="F24" s="76" t="s">
        <v>52</v>
      </c>
      <c r="T24" s="2235"/>
      <c r="U24" s="51" t="s">
        <v>63</v>
      </c>
      <c r="V24" s="2262">
        <f>V15+V21-V22</f>
        <v>6819</v>
      </c>
      <c r="W24" s="2262"/>
      <c r="X24" s="2262"/>
    </row>
  </sheetData>
  <mergeCells count="48">
    <mergeCell ref="A1:Y1"/>
    <mergeCell ref="A2:Y2"/>
    <mergeCell ref="T3:Y3"/>
    <mergeCell ref="A4:A5"/>
    <mergeCell ref="B4:B5"/>
    <mergeCell ref="C4:D4"/>
    <mergeCell ref="E4:F4"/>
    <mergeCell ref="G4:H4"/>
    <mergeCell ref="I4:J4"/>
    <mergeCell ref="K4:L4"/>
    <mergeCell ref="Y4:Y5"/>
    <mergeCell ref="M4:N4"/>
    <mergeCell ref="O4:P4"/>
    <mergeCell ref="Q4:R4"/>
    <mergeCell ref="S4:T4"/>
    <mergeCell ref="U4:V4"/>
    <mergeCell ref="V18:X18"/>
    <mergeCell ref="B22:B24"/>
    <mergeCell ref="C22:C23"/>
    <mergeCell ref="W4:X4"/>
    <mergeCell ref="B16:C16"/>
    <mergeCell ref="T16:U16"/>
    <mergeCell ref="V16:X16"/>
    <mergeCell ref="B17:C17"/>
    <mergeCell ref="T17:U17"/>
    <mergeCell ref="V17:X17"/>
    <mergeCell ref="A12:B12"/>
    <mergeCell ref="B14:C14"/>
    <mergeCell ref="T14:T15"/>
    <mergeCell ref="V14:X14"/>
    <mergeCell ref="B15:C15"/>
    <mergeCell ref="V15:X15"/>
    <mergeCell ref="D22:D23"/>
    <mergeCell ref="E22:E23"/>
    <mergeCell ref="F22:F23"/>
    <mergeCell ref="Y18:Y23"/>
    <mergeCell ref="B19:C19"/>
    <mergeCell ref="T19:T20"/>
    <mergeCell ref="V19:X19"/>
    <mergeCell ref="V20:X20"/>
    <mergeCell ref="T21:T22"/>
    <mergeCell ref="V21:X21"/>
    <mergeCell ref="V22:X22"/>
    <mergeCell ref="T23:T24"/>
    <mergeCell ref="V23:X23"/>
    <mergeCell ref="V24:X24"/>
    <mergeCell ref="B18:C18"/>
    <mergeCell ref="T18:U18"/>
  </mergeCells>
  <pageMargins left="0.15748031496063" right="0.15748031496063" top="0" bottom="0" header="0" footer="0"/>
  <pageSetup paperSize="9" scale="51" orientation="landscape" r:id="rId1"/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700-000000000000}">
  <sheetPr>
    <pageSetUpPr fitToPage="1"/>
  </sheetPr>
  <dimension ref="A1:Y24"/>
  <sheetViews>
    <sheetView topLeftCell="A5" zoomScale="67" zoomScaleNormal="67" zoomScaleSheetLayoutView="100" workbookViewId="0">
      <selection activeCell="R14" sqref="R14"/>
    </sheetView>
  </sheetViews>
  <sheetFormatPr defaultColWidth="9.140625" defaultRowHeight="15" x14ac:dyDescent="0.25"/>
  <cols>
    <col min="1" max="1" width="17.42578125" style="14" customWidth="1"/>
    <col min="2" max="2" width="10.7109375" style="14" customWidth="1"/>
    <col min="3" max="3" width="12.28515625" style="14" customWidth="1"/>
    <col min="4" max="4" width="11" style="14" customWidth="1"/>
    <col min="5" max="5" width="12" style="14" customWidth="1"/>
    <col min="6" max="6" width="12.5703125" style="14" bestFit="1" customWidth="1"/>
    <col min="7" max="7" width="9.28515625" style="14" bestFit="1" customWidth="1"/>
    <col min="8" max="8" width="10.140625" style="14" bestFit="1" customWidth="1"/>
    <col min="9" max="9" width="10.5703125" style="14" bestFit="1" customWidth="1"/>
    <col min="10" max="10" width="10.5703125" style="14" customWidth="1"/>
    <col min="11" max="11" width="10.28515625" style="14" bestFit="1" customWidth="1"/>
    <col min="12" max="12" width="9.42578125" style="14" bestFit="1" customWidth="1"/>
    <col min="13" max="13" width="9.85546875" style="14" bestFit="1" customWidth="1"/>
    <col min="14" max="14" width="10.140625" style="14" bestFit="1" customWidth="1"/>
    <col min="15" max="15" width="9" style="14" customWidth="1"/>
    <col min="16" max="16" width="12.85546875" style="14" bestFit="1" customWidth="1"/>
    <col min="17" max="18" width="9.42578125" style="14" customWidth="1"/>
    <col min="19" max="19" width="7.5703125" style="14" customWidth="1"/>
    <col min="20" max="20" width="13.42578125" style="14" customWidth="1"/>
    <col min="21" max="21" width="17.28515625" style="14" customWidth="1"/>
    <col min="22" max="22" width="9.85546875" style="14" bestFit="1" customWidth="1"/>
    <col min="23" max="23" width="10.140625" style="14" bestFit="1" customWidth="1"/>
    <col min="24" max="24" width="9.85546875" style="14" bestFit="1" customWidth="1"/>
    <col min="25" max="25" width="15" style="14" customWidth="1"/>
    <col min="26" max="16384" width="9.140625" style="14"/>
  </cols>
  <sheetData>
    <row r="1" spans="1:25" ht="46.15" customHeight="1" x14ac:dyDescent="0.25">
      <c r="A1" s="2240" t="s">
        <v>76</v>
      </c>
      <c r="B1" s="2240"/>
      <c r="C1" s="2240"/>
      <c r="D1" s="2240"/>
      <c r="E1" s="2240"/>
      <c r="F1" s="2240"/>
      <c r="G1" s="2240"/>
      <c r="H1" s="2240"/>
      <c r="I1" s="2240"/>
      <c r="J1" s="2240"/>
      <c r="K1" s="2240"/>
      <c r="L1" s="2240"/>
      <c r="M1" s="2240"/>
      <c r="N1" s="2240"/>
      <c r="O1" s="2240"/>
      <c r="P1" s="2240"/>
      <c r="Q1" s="2240"/>
      <c r="R1" s="2240"/>
      <c r="S1" s="2240"/>
      <c r="T1" s="2240"/>
      <c r="U1" s="2240"/>
      <c r="V1" s="2240"/>
      <c r="W1" s="2240"/>
      <c r="X1" s="2240"/>
      <c r="Y1" s="2240"/>
    </row>
    <row r="2" spans="1:25" ht="21.6" customHeight="1" x14ac:dyDescent="0.25">
      <c r="A2" s="2241" t="s">
        <v>77</v>
      </c>
      <c r="B2" s="2241"/>
      <c r="C2" s="2241"/>
      <c r="D2" s="2241"/>
      <c r="E2" s="2241"/>
      <c r="F2" s="2241"/>
      <c r="G2" s="2241"/>
      <c r="H2" s="2241"/>
      <c r="I2" s="2241"/>
      <c r="J2" s="2241"/>
      <c r="K2" s="2241"/>
      <c r="L2" s="2241"/>
      <c r="M2" s="2241"/>
      <c r="N2" s="2241"/>
      <c r="O2" s="2241"/>
      <c r="P2" s="2241"/>
      <c r="Q2" s="2241"/>
      <c r="R2" s="2241"/>
      <c r="S2" s="2241"/>
      <c r="T2" s="2241"/>
      <c r="U2" s="2241"/>
      <c r="V2" s="2241"/>
      <c r="W2" s="2241"/>
      <c r="X2" s="2241"/>
      <c r="Y2" s="2241"/>
    </row>
    <row r="3" spans="1:25" ht="21" customHeight="1" x14ac:dyDescent="0.25">
      <c r="A3" s="79"/>
      <c r="B3" s="79"/>
      <c r="C3" s="79"/>
      <c r="D3" s="79"/>
      <c r="E3" s="79"/>
      <c r="F3" s="79"/>
      <c r="G3" s="79"/>
      <c r="H3" s="79"/>
      <c r="I3" s="79"/>
      <c r="J3" s="79"/>
      <c r="K3" s="79"/>
      <c r="L3" s="79"/>
      <c r="M3" s="79"/>
      <c r="N3" s="79"/>
      <c r="O3" s="79"/>
      <c r="P3" s="79"/>
      <c r="Q3" s="79"/>
      <c r="R3" s="79"/>
      <c r="S3" s="79"/>
      <c r="T3" s="2242" t="s">
        <v>127</v>
      </c>
      <c r="U3" s="2242"/>
      <c r="V3" s="2242"/>
      <c r="W3" s="2242"/>
      <c r="X3" s="2242"/>
      <c r="Y3" s="2242"/>
    </row>
    <row r="4" spans="1:25" s="79" customFormat="1" ht="18" customHeight="1" x14ac:dyDescent="0.25">
      <c r="A4" s="2243" t="s">
        <v>25</v>
      </c>
      <c r="B4" s="2243" t="s">
        <v>26</v>
      </c>
      <c r="C4" s="2244" t="s">
        <v>27</v>
      </c>
      <c r="D4" s="2244"/>
      <c r="E4" s="2244" t="s">
        <v>28</v>
      </c>
      <c r="F4" s="2244"/>
      <c r="G4" s="2244" t="s">
        <v>65</v>
      </c>
      <c r="H4" s="2244"/>
      <c r="I4" s="2244" t="s">
        <v>29</v>
      </c>
      <c r="J4" s="2244"/>
      <c r="K4" s="2245" t="s">
        <v>13</v>
      </c>
      <c r="L4" s="2246"/>
      <c r="M4" s="2245" t="s">
        <v>67</v>
      </c>
      <c r="N4" s="2246"/>
      <c r="O4" s="2245" t="s">
        <v>68</v>
      </c>
      <c r="P4" s="2246"/>
      <c r="Q4" s="2245" t="s">
        <v>114</v>
      </c>
      <c r="R4" s="2246"/>
      <c r="S4" s="2244" t="s">
        <v>35</v>
      </c>
      <c r="T4" s="2244"/>
      <c r="U4" s="2245" t="s">
        <v>17</v>
      </c>
      <c r="V4" s="2246"/>
      <c r="W4" s="2247" t="s">
        <v>36</v>
      </c>
      <c r="X4" s="2248"/>
      <c r="Y4" s="2238" t="s">
        <v>30</v>
      </c>
    </row>
    <row r="5" spans="1:25" s="79" customFormat="1" ht="25.5" customHeight="1" x14ac:dyDescent="0.25">
      <c r="A5" s="2243"/>
      <c r="B5" s="2243"/>
      <c r="C5" s="81" t="s">
        <v>42</v>
      </c>
      <c r="D5" s="81" t="s">
        <v>43</v>
      </c>
      <c r="E5" s="81" t="s">
        <v>42</v>
      </c>
      <c r="F5" s="81" t="s">
        <v>43</v>
      </c>
      <c r="G5" s="81" t="s">
        <v>42</v>
      </c>
      <c r="H5" s="81" t="s">
        <v>43</v>
      </c>
      <c r="I5" s="81" t="s">
        <v>42</v>
      </c>
      <c r="J5" s="81" t="s">
        <v>43</v>
      </c>
      <c r="K5" s="81" t="s">
        <v>42</v>
      </c>
      <c r="L5" s="81" t="s">
        <v>43</v>
      </c>
      <c r="M5" s="81" t="s">
        <v>42</v>
      </c>
      <c r="N5" s="81" t="s">
        <v>43</v>
      </c>
      <c r="O5" s="81" t="s">
        <v>42</v>
      </c>
      <c r="P5" s="81" t="s">
        <v>43</v>
      </c>
      <c r="Q5" s="81" t="s">
        <v>42</v>
      </c>
      <c r="R5" s="81" t="s">
        <v>43</v>
      </c>
      <c r="S5" s="33" t="s">
        <v>42</v>
      </c>
      <c r="T5" s="33" t="s">
        <v>43</v>
      </c>
      <c r="U5" s="30" t="s">
        <v>42</v>
      </c>
      <c r="V5" s="30" t="s">
        <v>43</v>
      </c>
      <c r="W5" s="30" t="s">
        <v>42</v>
      </c>
      <c r="X5" s="30" t="s">
        <v>43</v>
      </c>
      <c r="Y5" s="2239"/>
    </row>
    <row r="6" spans="1:25" ht="34.5" customHeight="1" x14ac:dyDescent="0.25">
      <c r="A6" s="12">
        <v>1409935200</v>
      </c>
      <c r="B6" s="80" t="s">
        <v>71</v>
      </c>
      <c r="C6" s="83">
        <v>31460</v>
      </c>
      <c r="D6" s="84">
        <f>0.9725*C6</f>
        <v>30594.850000000002</v>
      </c>
      <c r="E6" s="83"/>
      <c r="F6" s="83">
        <f>13.7*E6</f>
        <v>0</v>
      </c>
      <c r="G6" s="83"/>
      <c r="H6" s="83">
        <f>28.2*G6</f>
        <v>0</v>
      </c>
      <c r="I6" s="83">
        <v>310</v>
      </c>
      <c r="J6" s="83">
        <f>18.5*I6</f>
        <v>5735</v>
      </c>
      <c r="K6" s="83"/>
      <c r="L6" s="83">
        <f>19.5*K6</f>
        <v>0</v>
      </c>
      <c r="M6" s="83"/>
      <c r="N6" s="84">
        <f>M6*9.75</f>
        <v>0</v>
      </c>
      <c r="O6" s="83"/>
      <c r="P6" s="84">
        <f>O6*48.62</f>
        <v>0</v>
      </c>
      <c r="Q6" s="84"/>
      <c r="R6" s="84">
        <f>241*Q6</f>
        <v>0</v>
      </c>
      <c r="S6" s="83"/>
      <c r="T6" s="83">
        <f>241*S6</f>
        <v>0</v>
      </c>
      <c r="U6" s="83"/>
      <c r="V6" s="83">
        <f>232*U6</f>
        <v>0</v>
      </c>
      <c r="W6" s="83"/>
      <c r="X6" s="19">
        <f>W6*100</f>
        <v>0</v>
      </c>
      <c r="Y6" s="89">
        <f t="shared" ref="Y6:Y11" si="0">D6+F6+H6+J6+L6+N6+P6+R6+T6+V6+X6</f>
        <v>36329.850000000006</v>
      </c>
    </row>
    <row r="7" spans="1:25" ht="31.5" customHeight="1" x14ac:dyDescent="0.25">
      <c r="A7" s="12">
        <v>1984225578</v>
      </c>
      <c r="B7" s="80" t="s">
        <v>72</v>
      </c>
      <c r="C7" s="83">
        <v>20032</v>
      </c>
      <c r="D7" s="84">
        <f t="shared" ref="D7:D11" si="1">0.9725*C7</f>
        <v>19481.12</v>
      </c>
      <c r="E7" s="83"/>
      <c r="F7" s="83">
        <f t="shared" ref="F7:F11" si="2">13.7*E7</f>
        <v>0</v>
      </c>
      <c r="G7" s="83"/>
      <c r="H7" s="83">
        <f t="shared" ref="H7:H11" si="3">28.2*G7</f>
        <v>0</v>
      </c>
      <c r="I7" s="83"/>
      <c r="J7" s="83">
        <f t="shared" ref="J7:J11" si="4">18.5*I7</f>
        <v>0</v>
      </c>
      <c r="K7" s="83"/>
      <c r="L7" s="83">
        <f t="shared" ref="L7:L11" si="5">19.5*K7</f>
        <v>0</v>
      </c>
      <c r="M7" s="83"/>
      <c r="N7" s="84">
        <f t="shared" ref="N7:N11" si="6">M7*9.75</f>
        <v>0</v>
      </c>
      <c r="O7" s="83"/>
      <c r="P7" s="84">
        <f t="shared" ref="P7:P11" si="7">O7*48.62</f>
        <v>0</v>
      </c>
      <c r="Q7" s="84"/>
      <c r="R7" s="84">
        <f t="shared" ref="R7:R11" si="8">241*Q7</f>
        <v>0</v>
      </c>
      <c r="S7" s="83"/>
      <c r="T7" s="83">
        <f t="shared" ref="T7:T11" si="9">241*S7</f>
        <v>0</v>
      </c>
      <c r="U7" s="83"/>
      <c r="V7" s="83">
        <f t="shared" ref="V7:V11" si="10">232*U7</f>
        <v>0</v>
      </c>
      <c r="W7" s="83"/>
      <c r="X7" s="19">
        <f t="shared" ref="X7:X11" si="11">W7*100</f>
        <v>0</v>
      </c>
      <c r="Y7" s="89">
        <f t="shared" si="0"/>
        <v>19481.12</v>
      </c>
    </row>
    <row r="8" spans="1:25" ht="35.25" customHeight="1" x14ac:dyDescent="0.25">
      <c r="A8" s="12">
        <v>1967020280</v>
      </c>
      <c r="B8" s="80" t="s">
        <v>73</v>
      </c>
      <c r="C8" s="83">
        <v>40686</v>
      </c>
      <c r="D8" s="84">
        <f t="shared" si="1"/>
        <v>39567.135000000002</v>
      </c>
      <c r="E8" s="83"/>
      <c r="F8" s="83">
        <f t="shared" si="2"/>
        <v>0</v>
      </c>
      <c r="G8" s="83"/>
      <c r="H8" s="83">
        <f t="shared" si="3"/>
        <v>0</v>
      </c>
      <c r="I8" s="83"/>
      <c r="J8" s="83">
        <f t="shared" si="4"/>
        <v>0</v>
      </c>
      <c r="K8" s="83"/>
      <c r="L8" s="83">
        <f t="shared" si="5"/>
        <v>0</v>
      </c>
      <c r="M8" s="83"/>
      <c r="N8" s="84">
        <f t="shared" si="6"/>
        <v>0</v>
      </c>
      <c r="O8" s="83"/>
      <c r="P8" s="84">
        <f t="shared" si="7"/>
        <v>0</v>
      </c>
      <c r="Q8" s="84"/>
      <c r="R8" s="84">
        <f t="shared" si="8"/>
        <v>0</v>
      </c>
      <c r="S8" s="83"/>
      <c r="T8" s="83">
        <f t="shared" si="9"/>
        <v>0</v>
      </c>
      <c r="U8" s="83"/>
      <c r="V8" s="83">
        <f t="shared" si="10"/>
        <v>0</v>
      </c>
      <c r="W8" s="83"/>
      <c r="X8" s="19">
        <f t="shared" si="11"/>
        <v>0</v>
      </c>
      <c r="Y8" s="89">
        <f t="shared" si="0"/>
        <v>39567.135000000002</v>
      </c>
    </row>
    <row r="9" spans="1:25" ht="38.25" customHeight="1" x14ac:dyDescent="0.25">
      <c r="A9" s="12">
        <v>1409935199</v>
      </c>
      <c r="B9" s="80" t="s">
        <v>74</v>
      </c>
      <c r="C9" s="83">
        <v>11816</v>
      </c>
      <c r="D9" s="84">
        <f t="shared" si="1"/>
        <v>11491.06</v>
      </c>
      <c r="E9" s="83"/>
      <c r="F9" s="83">
        <f t="shared" si="2"/>
        <v>0</v>
      </c>
      <c r="G9" s="83">
        <v>20</v>
      </c>
      <c r="H9" s="83">
        <f t="shared" si="3"/>
        <v>564</v>
      </c>
      <c r="I9" s="83">
        <v>130</v>
      </c>
      <c r="J9" s="83">
        <f t="shared" si="4"/>
        <v>2405</v>
      </c>
      <c r="K9" s="83"/>
      <c r="L9" s="83">
        <f t="shared" si="5"/>
        <v>0</v>
      </c>
      <c r="M9" s="83"/>
      <c r="N9" s="84">
        <f t="shared" si="6"/>
        <v>0</v>
      </c>
      <c r="O9" s="83"/>
      <c r="P9" s="84">
        <f t="shared" si="7"/>
        <v>0</v>
      </c>
      <c r="Q9" s="84"/>
      <c r="R9" s="84">
        <f t="shared" si="8"/>
        <v>0</v>
      </c>
      <c r="S9" s="83"/>
      <c r="T9" s="83">
        <f t="shared" si="9"/>
        <v>0</v>
      </c>
      <c r="U9" s="83"/>
      <c r="V9" s="83">
        <f t="shared" si="10"/>
        <v>0</v>
      </c>
      <c r="W9" s="83"/>
      <c r="X9" s="19">
        <f t="shared" si="11"/>
        <v>0</v>
      </c>
      <c r="Y9" s="89">
        <f t="shared" si="0"/>
        <v>14460.06</v>
      </c>
    </row>
    <row r="10" spans="1:25" ht="35.25" customHeight="1" x14ac:dyDescent="0.25">
      <c r="A10" s="12">
        <v>1984225580</v>
      </c>
      <c r="B10" s="80" t="s">
        <v>75</v>
      </c>
      <c r="C10" s="83">
        <v>19847</v>
      </c>
      <c r="D10" s="84">
        <f t="shared" si="1"/>
        <v>19301.2075</v>
      </c>
      <c r="E10" s="83"/>
      <c r="F10" s="83">
        <f t="shared" si="2"/>
        <v>0</v>
      </c>
      <c r="G10" s="83"/>
      <c r="H10" s="83">
        <f t="shared" si="3"/>
        <v>0</v>
      </c>
      <c r="I10" s="83">
        <v>90</v>
      </c>
      <c r="J10" s="83">
        <f t="shared" si="4"/>
        <v>1665</v>
      </c>
      <c r="K10" s="83"/>
      <c r="L10" s="83">
        <f t="shared" si="5"/>
        <v>0</v>
      </c>
      <c r="M10" s="83"/>
      <c r="N10" s="84">
        <f t="shared" si="6"/>
        <v>0</v>
      </c>
      <c r="O10" s="83"/>
      <c r="P10" s="84">
        <f t="shared" si="7"/>
        <v>0</v>
      </c>
      <c r="Q10" s="84"/>
      <c r="R10" s="84">
        <f t="shared" si="8"/>
        <v>0</v>
      </c>
      <c r="S10" s="83"/>
      <c r="T10" s="83">
        <f t="shared" si="9"/>
        <v>0</v>
      </c>
      <c r="U10" s="83"/>
      <c r="V10" s="83">
        <f t="shared" si="10"/>
        <v>0</v>
      </c>
      <c r="W10" s="83"/>
      <c r="X10" s="19">
        <f t="shared" si="11"/>
        <v>0</v>
      </c>
      <c r="Y10" s="89">
        <f t="shared" si="0"/>
        <v>20966.2075</v>
      </c>
    </row>
    <row r="11" spans="1:25" ht="37.5" customHeight="1" x14ac:dyDescent="0.25">
      <c r="A11" s="12"/>
      <c r="B11" s="82"/>
      <c r="C11" s="83"/>
      <c r="D11" s="22">
        <f t="shared" si="1"/>
        <v>0</v>
      </c>
      <c r="E11" s="83"/>
      <c r="F11" s="83">
        <f t="shared" si="2"/>
        <v>0</v>
      </c>
      <c r="G11" s="83"/>
      <c r="H11" s="83">
        <f t="shared" si="3"/>
        <v>0</v>
      </c>
      <c r="I11" s="83"/>
      <c r="J11" s="83">
        <f t="shared" si="4"/>
        <v>0</v>
      </c>
      <c r="K11" s="83"/>
      <c r="L11" s="83">
        <f t="shared" si="5"/>
        <v>0</v>
      </c>
      <c r="M11" s="83"/>
      <c r="N11" s="84">
        <f t="shared" si="6"/>
        <v>0</v>
      </c>
      <c r="O11" s="83"/>
      <c r="P11" s="84">
        <f t="shared" si="7"/>
        <v>0</v>
      </c>
      <c r="Q11" s="84"/>
      <c r="R11" s="84">
        <f t="shared" si="8"/>
        <v>0</v>
      </c>
      <c r="S11" s="83">
        <v>69</v>
      </c>
      <c r="T11" s="83">
        <f t="shared" si="9"/>
        <v>16629</v>
      </c>
      <c r="U11" s="83"/>
      <c r="V11" s="83">
        <f t="shared" si="10"/>
        <v>0</v>
      </c>
      <c r="W11" s="83"/>
      <c r="X11" s="19">
        <f t="shared" si="11"/>
        <v>0</v>
      </c>
      <c r="Y11" s="20">
        <f t="shared" si="0"/>
        <v>16629</v>
      </c>
    </row>
    <row r="12" spans="1:25" ht="29.25" customHeight="1" x14ac:dyDescent="0.25">
      <c r="A12" s="2235" t="s">
        <v>31</v>
      </c>
      <c r="B12" s="2235"/>
      <c r="C12" s="18">
        <f t="shared" ref="C12:Y12" si="12">SUM(C6:C11)</f>
        <v>123841</v>
      </c>
      <c r="D12" s="18">
        <f t="shared" si="12"/>
        <v>120435.37250000001</v>
      </c>
      <c r="E12" s="18">
        <f t="shared" si="12"/>
        <v>0</v>
      </c>
      <c r="F12" s="18">
        <f t="shared" si="12"/>
        <v>0</v>
      </c>
      <c r="G12" s="18">
        <f t="shared" si="12"/>
        <v>20</v>
      </c>
      <c r="H12" s="18">
        <f t="shared" si="12"/>
        <v>564</v>
      </c>
      <c r="I12" s="18">
        <f t="shared" si="12"/>
        <v>530</v>
      </c>
      <c r="J12" s="18">
        <f t="shared" si="12"/>
        <v>9805</v>
      </c>
      <c r="K12" s="18">
        <f t="shared" si="12"/>
        <v>0</v>
      </c>
      <c r="L12" s="18">
        <f t="shared" si="12"/>
        <v>0</v>
      </c>
      <c r="M12" s="18">
        <f t="shared" si="12"/>
        <v>0</v>
      </c>
      <c r="N12" s="23">
        <f t="shared" si="12"/>
        <v>0</v>
      </c>
      <c r="O12" s="18">
        <f t="shared" si="12"/>
        <v>0</v>
      </c>
      <c r="P12" s="23">
        <f t="shared" si="12"/>
        <v>0</v>
      </c>
      <c r="Q12" s="23">
        <f t="shared" si="12"/>
        <v>0</v>
      </c>
      <c r="R12" s="23">
        <f>SUM(R6:R11)</f>
        <v>0</v>
      </c>
      <c r="S12" s="18">
        <f t="shared" si="12"/>
        <v>69</v>
      </c>
      <c r="T12" s="18">
        <f t="shared" si="12"/>
        <v>16629</v>
      </c>
      <c r="U12" s="18">
        <f t="shared" si="12"/>
        <v>0</v>
      </c>
      <c r="V12" s="18">
        <f t="shared" si="12"/>
        <v>0</v>
      </c>
      <c r="W12" s="18">
        <f t="shared" si="12"/>
        <v>0</v>
      </c>
      <c r="X12" s="18">
        <f t="shared" si="12"/>
        <v>0</v>
      </c>
      <c r="Y12" s="18">
        <f t="shared" si="12"/>
        <v>147433.3725</v>
      </c>
    </row>
    <row r="14" spans="1:25" ht="32.25" customHeight="1" x14ac:dyDescent="0.25">
      <c r="A14" s="30" t="s">
        <v>32</v>
      </c>
      <c r="B14" s="2236" t="s">
        <v>27</v>
      </c>
      <c r="C14" s="2236"/>
      <c r="D14" s="30" t="s">
        <v>33</v>
      </c>
      <c r="E14" s="30" t="s">
        <v>65</v>
      </c>
      <c r="F14" s="30" t="s">
        <v>34</v>
      </c>
      <c r="G14" s="30" t="s">
        <v>13</v>
      </c>
      <c r="H14" s="31" t="s">
        <v>45</v>
      </c>
      <c r="I14" s="30" t="s">
        <v>17</v>
      </c>
      <c r="J14" s="30" t="s">
        <v>66</v>
      </c>
      <c r="K14" s="30" t="s">
        <v>36</v>
      </c>
      <c r="L14" s="30" t="s">
        <v>37</v>
      </c>
      <c r="M14" s="30" t="s">
        <v>69</v>
      </c>
      <c r="N14" s="30" t="s">
        <v>70</v>
      </c>
      <c r="O14" s="86" t="s">
        <v>114</v>
      </c>
      <c r="P14" s="86" t="s">
        <v>99</v>
      </c>
      <c r="Q14" s="15"/>
      <c r="R14" s="15"/>
      <c r="T14" s="2235" t="s">
        <v>46</v>
      </c>
      <c r="U14" s="80" t="s">
        <v>54</v>
      </c>
      <c r="V14" s="2260">
        <v>23910</v>
      </c>
      <c r="W14" s="2268"/>
      <c r="X14" s="2261"/>
    </row>
    <row r="15" spans="1:25" ht="22.5" customHeight="1" x14ac:dyDescent="0.25">
      <c r="A15" s="11" t="s">
        <v>38</v>
      </c>
      <c r="B15" s="2260">
        <v>446624</v>
      </c>
      <c r="C15" s="2261"/>
      <c r="D15" s="87">
        <v>0</v>
      </c>
      <c r="E15" s="87">
        <v>110</v>
      </c>
      <c r="F15" s="87">
        <v>2330</v>
      </c>
      <c r="G15" s="87">
        <v>0</v>
      </c>
      <c r="H15" s="87">
        <v>211</v>
      </c>
      <c r="I15" s="87">
        <v>0</v>
      </c>
      <c r="J15" s="87">
        <v>76</v>
      </c>
      <c r="K15" s="87">
        <v>30</v>
      </c>
      <c r="L15" s="87">
        <v>147</v>
      </c>
      <c r="M15" s="87">
        <v>0</v>
      </c>
      <c r="N15" s="87">
        <v>100</v>
      </c>
      <c r="O15" s="87">
        <v>0</v>
      </c>
      <c r="P15" s="87">
        <v>868</v>
      </c>
      <c r="Q15" s="21"/>
      <c r="R15" s="21"/>
      <c r="T15" s="2235"/>
      <c r="U15" s="80" t="s">
        <v>64</v>
      </c>
      <c r="V15" s="2262">
        <v>6819</v>
      </c>
      <c r="W15" s="2262"/>
      <c r="X15" s="2262"/>
    </row>
    <row r="16" spans="1:25" ht="24.75" customHeight="1" x14ac:dyDescent="0.25">
      <c r="A16" s="11" t="s">
        <v>39</v>
      </c>
      <c r="B16" s="2260"/>
      <c r="C16" s="2261"/>
      <c r="D16" s="87"/>
      <c r="E16" s="87"/>
      <c r="F16" s="87"/>
      <c r="G16" s="87"/>
      <c r="H16" s="87"/>
      <c r="I16" s="87"/>
      <c r="J16" s="87"/>
      <c r="K16" s="87"/>
      <c r="L16" s="87">
        <v>13</v>
      </c>
      <c r="M16" s="87"/>
      <c r="N16" s="87"/>
      <c r="O16" s="87"/>
      <c r="P16" s="87"/>
      <c r="Q16" s="21"/>
      <c r="R16" s="21"/>
      <c r="T16" s="2254" t="s">
        <v>55</v>
      </c>
      <c r="U16" s="2254"/>
      <c r="V16" s="2267">
        <f>Y12</f>
        <v>147433.3725</v>
      </c>
      <c r="W16" s="2267"/>
      <c r="X16" s="2262"/>
    </row>
    <row r="17" spans="1:25" ht="49.5" customHeight="1" x14ac:dyDescent="0.25">
      <c r="A17" s="85" t="s">
        <v>44</v>
      </c>
      <c r="B17" s="2260">
        <v>62075</v>
      </c>
      <c r="C17" s="2261"/>
      <c r="D17" s="87"/>
      <c r="E17" s="87"/>
      <c r="F17" s="87"/>
      <c r="G17" s="87"/>
      <c r="H17" s="87"/>
      <c r="I17" s="87"/>
      <c r="J17" s="87"/>
      <c r="K17" s="87"/>
      <c r="L17" s="87"/>
      <c r="M17" s="87"/>
      <c r="N17" s="87"/>
      <c r="O17" s="87"/>
      <c r="P17" s="87"/>
      <c r="Q17" s="21"/>
      <c r="R17" s="21"/>
      <c r="T17" s="2270" t="s">
        <v>128</v>
      </c>
      <c r="U17" s="2271"/>
      <c r="V17" s="2262">
        <v>41265</v>
      </c>
      <c r="W17" s="2262"/>
      <c r="X17" s="2262"/>
    </row>
    <row r="18" spans="1:25" ht="27" customHeight="1" x14ac:dyDescent="0.25">
      <c r="A18" s="11" t="s">
        <v>40</v>
      </c>
      <c r="B18" s="2264">
        <f>C12</f>
        <v>123841</v>
      </c>
      <c r="C18" s="2261"/>
      <c r="D18" s="88">
        <f>E12</f>
        <v>0</v>
      </c>
      <c r="E18" s="88">
        <f>G12</f>
        <v>20</v>
      </c>
      <c r="F18" s="88">
        <f>I12</f>
        <v>530</v>
      </c>
      <c r="G18" s="88">
        <f>K12</f>
        <v>0</v>
      </c>
      <c r="H18" s="87">
        <v>13</v>
      </c>
      <c r="I18" s="88">
        <f>U12</f>
        <v>0</v>
      </c>
      <c r="J18" s="87">
        <v>46</v>
      </c>
      <c r="K18" s="88">
        <f>W12</f>
        <v>0</v>
      </c>
      <c r="L18" s="87">
        <v>18</v>
      </c>
      <c r="M18" s="88">
        <f>M12</f>
        <v>0</v>
      </c>
      <c r="N18" s="88"/>
      <c r="O18" s="90">
        <f>Q12</f>
        <v>0</v>
      </c>
      <c r="P18" s="87">
        <v>5</v>
      </c>
      <c r="Q18" s="21"/>
      <c r="R18" s="21"/>
      <c r="T18" s="2254" t="s">
        <v>57</v>
      </c>
      <c r="U18" s="2254"/>
      <c r="V18" s="2262">
        <f>530+10000+59747</f>
        <v>70277</v>
      </c>
      <c r="W18" s="2262"/>
      <c r="X18" s="2262"/>
      <c r="Y18" s="2269" t="s">
        <v>129</v>
      </c>
    </row>
    <row r="19" spans="1:25" ht="25.5" customHeight="1" x14ac:dyDescent="0.25">
      <c r="A19" s="11" t="s">
        <v>41</v>
      </c>
      <c r="B19" s="2260">
        <f>B15+B16+B17-B18</f>
        <v>384858</v>
      </c>
      <c r="C19" s="2261"/>
      <c r="D19" s="87">
        <f>D15+D16+D17-D18</f>
        <v>0</v>
      </c>
      <c r="E19" s="87">
        <f t="shared" ref="E19:N19" si="13">E15+E16+E17-E18</f>
        <v>90</v>
      </c>
      <c r="F19" s="87">
        <f t="shared" si="13"/>
        <v>1800</v>
      </c>
      <c r="G19" s="87">
        <f t="shared" si="13"/>
        <v>0</v>
      </c>
      <c r="H19" s="87">
        <f t="shared" si="13"/>
        <v>198</v>
      </c>
      <c r="I19" s="87">
        <f t="shared" si="13"/>
        <v>0</v>
      </c>
      <c r="J19" s="87">
        <f t="shared" si="13"/>
        <v>30</v>
      </c>
      <c r="K19" s="87">
        <f t="shared" si="13"/>
        <v>30</v>
      </c>
      <c r="L19" s="87">
        <f t="shared" si="13"/>
        <v>142</v>
      </c>
      <c r="M19" s="87">
        <f t="shared" si="13"/>
        <v>0</v>
      </c>
      <c r="N19" s="87">
        <f t="shared" si="13"/>
        <v>100</v>
      </c>
      <c r="O19" s="87">
        <f>O15+O16+O17-O18</f>
        <v>0</v>
      </c>
      <c r="P19" s="87">
        <f>P15+P16+P17-P18</f>
        <v>863</v>
      </c>
      <c r="Q19" s="21"/>
      <c r="R19" s="21"/>
      <c r="T19" s="2256" t="s">
        <v>48</v>
      </c>
      <c r="U19" s="49" t="s">
        <v>58</v>
      </c>
      <c r="V19" s="2262"/>
      <c r="W19" s="2262"/>
      <c r="X19" s="2262"/>
      <c r="Y19" s="2269"/>
    </row>
    <row r="20" spans="1:25" ht="23.25" customHeight="1" x14ac:dyDescent="0.25">
      <c r="A20" s="15"/>
      <c r="B20" s="10"/>
      <c r="C20" s="10"/>
      <c r="D20" s="10"/>
      <c r="E20" s="10"/>
      <c r="F20" s="10"/>
      <c r="G20" s="10"/>
      <c r="H20" s="10"/>
      <c r="I20" s="10"/>
      <c r="J20" s="10"/>
      <c r="K20" s="10"/>
      <c r="L20" s="10"/>
      <c r="M20" s="10"/>
      <c r="N20" s="10"/>
      <c r="O20" s="10"/>
      <c r="P20" s="10"/>
      <c r="Q20" s="10"/>
      <c r="R20" s="10"/>
      <c r="T20" s="2257"/>
      <c r="U20" s="49" t="s">
        <v>59</v>
      </c>
      <c r="V20" s="2262"/>
      <c r="W20" s="2262"/>
      <c r="X20" s="2262"/>
      <c r="Y20" s="2269"/>
    </row>
    <row r="21" spans="1:25" ht="33.75" customHeight="1" x14ac:dyDescent="0.25">
      <c r="A21" s="15"/>
      <c r="B21" s="10"/>
      <c r="C21" s="10"/>
      <c r="D21" s="10"/>
      <c r="E21" s="10"/>
      <c r="F21" s="10"/>
      <c r="G21" s="10"/>
      <c r="H21" s="10"/>
      <c r="I21" s="10"/>
      <c r="J21" s="10"/>
      <c r="K21" s="10"/>
      <c r="L21" s="10"/>
      <c r="M21" s="10"/>
      <c r="N21" s="10"/>
      <c r="O21" s="10"/>
      <c r="P21" s="10"/>
      <c r="Q21" s="10"/>
      <c r="R21" s="10"/>
      <c r="T21" s="2251" t="s">
        <v>83</v>
      </c>
      <c r="U21" s="50" t="s">
        <v>60</v>
      </c>
      <c r="V21" s="2262"/>
      <c r="W21" s="2262"/>
      <c r="X21" s="2262"/>
      <c r="Y21" s="2269"/>
    </row>
    <row r="22" spans="1:25" ht="29.25" customHeight="1" x14ac:dyDescent="0.25">
      <c r="A22" s="10"/>
      <c r="B22" s="2258" t="s">
        <v>49</v>
      </c>
      <c r="C22" s="2265">
        <v>731251</v>
      </c>
      <c r="D22" s="2262"/>
      <c r="E22" s="2262"/>
      <c r="F22" s="2262">
        <f>C22-D22+E22</f>
        <v>731251</v>
      </c>
      <c r="G22" s="10"/>
      <c r="H22" s="10"/>
      <c r="I22" s="10"/>
      <c r="J22" s="10"/>
      <c r="K22" s="10"/>
      <c r="L22" s="10"/>
      <c r="M22" s="10"/>
      <c r="N22" s="10"/>
      <c r="O22" s="10"/>
      <c r="P22" s="10"/>
      <c r="Q22" s="10"/>
      <c r="R22" s="10"/>
      <c r="T22" s="2252"/>
      <c r="U22" s="50" t="s">
        <v>61</v>
      </c>
      <c r="V22" s="2262"/>
      <c r="W22" s="2262"/>
      <c r="X22" s="2262"/>
      <c r="Y22" s="2269"/>
    </row>
    <row r="23" spans="1:25" ht="47.25" customHeight="1" x14ac:dyDescent="0.25">
      <c r="A23" s="10"/>
      <c r="B23" s="2258"/>
      <c r="C23" s="2266"/>
      <c r="D23" s="2262"/>
      <c r="E23" s="2262"/>
      <c r="F23" s="2262"/>
      <c r="G23" s="10"/>
      <c r="H23" s="10"/>
      <c r="I23" s="10"/>
      <c r="J23" s="10"/>
      <c r="K23" s="10"/>
      <c r="L23" s="10"/>
      <c r="M23" s="10"/>
      <c r="N23" s="10"/>
      <c r="O23" s="10"/>
      <c r="P23" s="10"/>
      <c r="Q23" s="10"/>
      <c r="R23" s="10"/>
      <c r="T23" s="2235" t="s">
        <v>47</v>
      </c>
      <c r="U23" s="51" t="s">
        <v>62</v>
      </c>
      <c r="V23" s="2263">
        <f>V14+V16+V17-V18-V19-V20-V21+V22</f>
        <v>142331.3725</v>
      </c>
      <c r="W23" s="2263"/>
      <c r="X23" s="2263"/>
      <c r="Y23" s="2269"/>
    </row>
    <row r="24" spans="1:25" ht="27" customHeight="1" x14ac:dyDescent="0.25">
      <c r="B24" s="2258"/>
      <c r="C24" s="80" t="s">
        <v>46</v>
      </c>
      <c r="D24" s="80" t="s">
        <v>50</v>
      </c>
      <c r="E24" s="80" t="s">
        <v>51</v>
      </c>
      <c r="F24" s="80" t="s">
        <v>52</v>
      </c>
      <c r="T24" s="2235"/>
      <c r="U24" s="51" t="s">
        <v>63</v>
      </c>
      <c r="V24" s="2262">
        <f>V15+V21-V22</f>
        <v>6819</v>
      </c>
      <c r="W24" s="2262"/>
      <c r="X24" s="2262"/>
    </row>
  </sheetData>
  <mergeCells count="48">
    <mergeCell ref="D22:D23"/>
    <mergeCell ref="E22:E23"/>
    <mergeCell ref="F22:F23"/>
    <mergeCell ref="Y18:Y23"/>
    <mergeCell ref="B19:C19"/>
    <mergeCell ref="T19:T20"/>
    <mergeCell ref="V19:X19"/>
    <mergeCell ref="V20:X20"/>
    <mergeCell ref="T21:T22"/>
    <mergeCell ref="V21:X21"/>
    <mergeCell ref="V22:X22"/>
    <mergeCell ref="T23:T24"/>
    <mergeCell ref="V23:X23"/>
    <mergeCell ref="V24:X24"/>
    <mergeCell ref="B18:C18"/>
    <mergeCell ref="T18:U18"/>
    <mergeCell ref="V18:X18"/>
    <mergeCell ref="B22:B24"/>
    <mergeCell ref="C22:C23"/>
    <mergeCell ref="W4:X4"/>
    <mergeCell ref="B16:C16"/>
    <mergeCell ref="T16:U16"/>
    <mergeCell ref="V16:X16"/>
    <mergeCell ref="B17:C17"/>
    <mergeCell ref="T17:U17"/>
    <mergeCell ref="V17:X17"/>
    <mergeCell ref="A12:B12"/>
    <mergeCell ref="B14:C14"/>
    <mergeCell ref="T14:T15"/>
    <mergeCell ref="V14:X14"/>
    <mergeCell ref="B15:C15"/>
    <mergeCell ref="V15:X15"/>
    <mergeCell ref="A1:Y1"/>
    <mergeCell ref="A2:Y2"/>
    <mergeCell ref="T3:Y3"/>
    <mergeCell ref="A4:A5"/>
    <mergeCell ref="B4:B5"/>
    <mergeCell ref="C4:D4"/>
    <mergeCell ref="E4:F4"/>
    <mergeCell ref="G4:H4"/>
    <mergeCell ref="I4:J4"/>
    <mergeCell ref="K4:L4"/>
    <mergeCell ref="Y4:Y5"/>
    <mergeCell ref="M4:N4"/>
    <mergeCell ref="O4:P4"/>
    <mergeCell ref="Q4:R4"/>
    <mergeCell ref="S4:T4"/>
    <mergeCell ref="U4:V4"/>
  </mergeCells>
  <pageMargins left="0.15748031496063" right="0.15748031496063" top="0" bottom="0" header="0" footer="0"/>
  <pageSetup paperSize="9" scale="51" orientation="landscape" r:id="rId1"/>
</worksheet>
</file>

<file path=xl/worksheets/sheet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800-000000000000}">
  <sheetPr>
    <pageSetUpPr fitToPage="1"/>
  </sheetPr>
  <dimension ref="A1:Y24"/>
  <sheetViews>
    <sheetView topLeftCell="A4" zoomScale="67" zoomScaleNormal="67" zoomScaleSheetLayoutView="100" workbookViewId="0">
      <selection activeCell="M22" sqref="M22"/>
    </sheetView>
  </sheetViews>
  <sheetFormatPr defaultColWidth="9.140625" defaultRowHeight="15" x14ac:dyDescent="0.25"/>
  <cols>
    <col min="1" max="1" width="18.28515625" style="14" customWidth="1"/>
    <col min="2" max="2" width="10.7109375" style="14" customWidth="1"/>
    <col min="3" max="3" width="12.28515625" style="14" customWidth="1"/>
    <col min="4" max="4" width="11" style="14" customWidth="1"/>
    <col min="5" max="5" width="12" style="14" customWidth="1"/>
    <col min="6" max="6" width="12.5703125" style="14" bestFit="1" customWidth="1"/>
    <col min="7" max="7" width="9.28515625" style="14" bestFit="1" customWidth="1"/>
    <col min="8" max="8" width="10.140625" style="14" bestFit="1" customWidth="1"/>
    <col min="9" max="9" width="10.5703125" style="14" bestFit="1" customWidth="1"/>
    <col min="10" max="10" width="10.5703125" style="14" customWidth="1"/>
    <col min="11" max="11" width="10.28515625" style="14" bestFit="1" customWidth="1"/>
    <col min="12" max="12" width="9.42578125" style="14" bestFit="1" customWidth="1"/>
    <col min="13" max="13" width="9.85546875" style="14" bestFit="1" customWidth="1"/>
    <col min="14" max="14" width="10.140625" style="14" bestFit="1" customWidth="1"/>
    <col min="15" max="15" width="9" style="14" customWidth="1"/>
    <col min="16" max="16" width="12.85546875" style="14" bestFit="1" customWidth="1"/>
    <col min="17" max="18" width="9.42578125" style="14" customWidth="1"/>
    <col min="19" max="19" width="7.5703125" style="14" customWidth="1"/>
    <col min="20" max="20" width="13.42578125" style="14" customWidth="1"/>
    <col min="21" max="21" width="17.28515625" style="14" customWidth="1"/>
    <col min="22" max="22" width="9.85546875" style="14" bestFit="1" customWidth="1"/>
    <col min="23" max="23" width="10.140625" style="14" bestFit="1" customWidth="1"/>
    <col min="24" max="24" width="9.85546875" style="14" bestFit="1" customWidth="1"/>
    <col min="25" max="25" width="15" style="14" customWidth="1"/>
    <col min="26" max="16384" width="9.140625" style="14"/>
  </cols>
  <sheetData>
    <row r="1" spans="1:25" ht="46.15" customHeight="1" x14ac:dyDescent="0.25">
      <c r="A1" s="2240" t="s">
        <v>76</v>
      </c>
      <c r="B1" s="2240"/>
      <c r="C1" s="2240"/>
      <c r="D1" s="2240"/>
      <c r="E1" s="2240"/>
      <c r="F1" s="2240"/>
      <c r="G1" s="2240"/>
      <c r="H1" s="2240"/>
      <c r="I1" s="2240"/>
      <c r="J1" s="2240"/>
      <c r="K1" s="2240"/>
      <c r="L1" s="2240"/>
      <c r="M1" s="2240"/>
      <c r="N1" s="2240"/>
      <c r="O1" s="2240"/>
      <c r="P1" s="2240"/>
      <c r="Q1" s="2240"/>
      <c r="R1" s="2240"/>
      <c r="S1" s="2240"/>
      <c r="T1" s="2240"/>
      <c r="U1" s="2240"/>
      <c r="V1" s="2240"/>
      <c r="W1" s="2240"/>
      <c r="X1" s="2240"/>
      <c r="Y1" s="2240"/>
    </row>
    <row r="2" spans="1:25" ht="21.6" customHeight="1" x14ac:dyDescent="0.25">
      <c r="A2" s="2241" t="s">
        <v>77</v>
      </c>
      <c r="B2" s="2241"/>
      <c r="C2" s="2241"/>
      <c r="D2" s="2241"/>
      <c r="E2" s="2241"/>
      <c r="F2" s="2241"/>
      <c r="G2" s="2241"/>
      <c r="H2" s="2241"/>
      <c r="I2" s="2241"/>
      <c r="J2" s="2241"/>
      <c r="K2" s="2241"/>
      <c r="L2" s="2241"/>
      <c r="M2" s="2241"/>
      <c r="N2" s="2241"/>
      <c r="O2" s="2241"/>
      <c r="P2" s="2241"/>
      <c r="Q2" s="2241"/>
      <c r="R2" s="2241"/>
      <c r="S2" s="2241"/>
      <c r="T2" s="2241"/>
      <c r="U2" s="2241"/>
      <c r="V2" s="2241"/>
      <c r="W2" s="2241"/>
      <c r="X2" s="2241"/>
      <c r="Y2" s="2241"/>
    </row>
    <row r="3" spans="1:25" ht="21" customHeight="1" x14ac:dyDescent="0.25">
      <c r="A3" s="79"/>
      <c r="B3" s="79"/>
      <c r="C3" s="79"/>
      <c r="D3" s="79"/>
      <c r="E3" s="79"/>
      <c r="F3" s="79"/>
      <c r="G3" s="79"/>
      <c r="H3" s="79"/>
      <c r="I3" s="79"/>
      <c r="J3" s="79"/>
      <c r="K3" s="79"/>
      <c r="L3" s="79"/>
      <c r="M3" s="79"/>
      <c r="N3" s="79"/>
      <c r="O3" s="79"/>
      <c r="P3" s="79"/>
      <c r="Q3" s="79"/>
      <c r="R3" s="79"/>
      <c r="S3" s="79"/>
      <c r="T3" s="2242" t="s">
        <v>130</v>
      </c>
      <c r="U3" s="2242"/>
      <c r="V3" s="2242"/>
      <c r="W3" s="2242"/>
      <c r="X3" s="2242"/>
      <c r="Y3" s="2242"/>
    </row>
    <row r="4" spans="1:25" s="79" customFormat="1" ht="18" customHeight="1" x14ac:dyDescent="0.25">
      <c r="A4" s="2243" t="s">
        <v>25</v>
      </c>
      <c r="B4" s="2243" t="s">
        <v>26</v>
      </c>
      <c r="C4" s="2244" t="s">
        <v>27</v>
      </c>
      <c r="D4" s="2244"/>
      <c r="E4" s="2244" t="s">
        <v>28</v>
      </c>
      <c r="F4" s="2244"/>
      <c r="G4" s="2244" t="s">
        <v>65</v>
      </c>
      <c r="H4" s="2244"/>
      <c r="I4" s="2244" t="s">
        <v>29</v>
      </c>
      <c r="J4" s="2244"/>
      <c r="K4" s="2245" t="s">
        <v>13</v>
      </c>
      <c r="L4" s="2246"/>
      <c r="M4" s="2245" t="s">
        <v>67</v>
      </c>
      <c r="N4" s="2246"/>
      <c r="O4" s="2245" t="s">
        <v>68</v>
      </c>
      <c r="P4" s="2246"/>
      <c r="Q4" s="2245" t="s">
        <v>114</v>
      </c>
      <c r="R4" s="2246"/>
      <c r="S4" s="2244" t="s">
        <v>35</v>
      </c>
      <c r="T4" s="2244"/>
      <c r="U4" s="2245" t="s">
        <v>17</v>
      </c>
      <c r="V4" s="2246"/>
      <c r="W4" s="2247" t="s">
        <v>36</v>
      </c>
      <c r="X4" s="2248"/>
      <c r="Y4" s="2238" t="s">
        <v>30</v>
      </c>
    </row>
    <row r="5" spans="1:25" s="79" customFormat="1" ht="25.5" customHeight="1" x14ac:dyDescent="0.25">
      <c r="A5" s="2243"/>
      <c r="B5" s="2243"/>
      <c r="C5" s="81" t="s">
        <v>42</v>
      </c>
      <c r="D5" s="81" t="s">
        <v>43</v>
      </c>
      <c r="E5" s="81" t="s">
        <v>42</v>
      </c>
      <c r="F5" s="81" t="s">
        <v>43</v>
      </c>
      <c r="G5" s="81" t="s">
        <v>42</v>
      </c>
      <c r="H5" s="81" t="s">
        <v>43</v>
      </c>
      <c r="I5" s="81" t="s">
        <v>42</v>
      </c>
      <c r="J5" s="81" t="s">
        <v>43</v>
      </c>
      <c r="K5" s="81" t="s">
        <v>42</v>
      </c>
      <c r="L5" s="81" t="s">
        <v>43</v>
      </c>
      <c r="M5" s="81" t="s">
        <v>42</v>
      </c>
      <c r="N5" s="81" t="s">
        <v>43</v>
      </c>
      <c r="O5" s="81" t="s">
        <v>42</v>
      </c>
      <c r="P5" s="81" t="s">
        <v>43</v>
      </c>
      <c r="Q5" s="81" t="s">
        <v>42</v>
      </c>
      <c r="R5" s="81" t="s">
        <v>43</v>
      </c>
      <c r="S5" s="33" t="s">
        <v>42</v>
      </c>
      <c r="T5" s="33" t="s">
        <v>43</v>
      </c>
      <c r="U5" s="30" t="s">
        <v>42</v>
      </c>
      <c r="V5" s="30" t="s">
        <v>43</v>
      </c>
      <c r="W5" s="30" t="s">
        <v>42</v>
      </c>
      <c r="X5" s="30" t="s">
        <v>43</v>
      </c>
      <c r="Y5" s="2239"/>
    </row>
    <row r="6" spans="1:25" ht="34.5" customHeight="1" x14ac:dyDescent="0.25">
      <c r="A6" s="12">
        <v>1409935200</v>
      </c>
      <c r="B6" s="80" t="s">
        <v>71</v>
      </c>
      <c r="C6" s="83">
        <v>23844</v>
      </c>
      <c r="D6" s="84">
        <f>0.9725*C6</f>
        <v>23188.29</v>
      </c>
      <c r="E6" s="83"/>
      <c r="F6" s="83">
        <f>13.7*E6</f>
        <v>0</v>
      </c>
      <c r="G6" s="83"/>
      <c r="H6" s="83">
        <f>28.2*G6</f>
        <v>0</v>
      </c>
      <c r="I6" s="83">
        <v>160</v>
      </c>
      <c r="J6" s="83">
        <f>18.5*I6</f>
        <v>2960</v>
      </c>
      <c r="K6" s="83"/>
      <c r="L6" s="83">
        <f>19.5*K6</f>
        <v>0</v>
      </c>
      <c r="M6" s="83"/>
      <c r="N6" s="84">
        <f>M6*9.75</f>
        <v>0</v>
      </c>
      <c r="O6" s="83"/>
      <c r="P6" s="84">
        <f>O6*48.62</f>
        <v>0</v>
      </c>
      <c r="Q6" s="84"/>
      <c r="R6" s="84">
        <f>241*Q6</f>
        <v>0</v>
      </c>
      <c r="S6" s="83"/>
      <c r="T6" s="83">
        <f>241*S6</f>
        <v>0</v>
      </c>
      <c r="U6" s="83"/>
      <c r="V6" s="83">
        <f>232*U6</f>
        <v>0</v>
      </c>
      <c r="W6" s="83"/>
      <c r="X6" s="19">
        <f>W6*100</f>
        <v>0</v>
      </c>
      <c r="Y6" s="89">
        <f t="shared" ref="Y6:Y11" si="0">D6+F6+H6+J6+L6+N6+P6+R6+T6+V6+X6</f>
        <v>26148.29</v>
      </c>
    </row>
    <row r="7" spans="1:25" ht="31.5" customHeight="1" x14ac:dyDescent="0.25">
      <c r="A7" s="12">
        <v>1984225578</v>
      </c>
      <c r="B7" s="80" t="s">
        <v>72</v>
      </c>
      <c r="C7" s="83">
        <v>30508</v>
      </c>
      <c r="D7" s="84">
        <f t="shared" ref="D7:D11" si="1">0.9725*C7</f>
        <v>29669.030000000002</v>
      </c>
      <c r="E7" s="83"/>
      <c r="F7" s="83">
        <f t="shared" ref="F7:F11" si="2">13.7*E7</f>
        <v>0</v>
      </c>
      <c r="G7" s="83">
        <v>30</v>
      </c>
      <c r="H7" s="83">
        <f t="shared" ref="H7:H11" si="3">28.2*G7</f>
        <v>846</v>
      </c>
      <c r="I7" s="83">
        <v>840</v>
      </c>
      <c r="J7" s="83">
        <f t="shared" ref="J7:J11" si="4">18.5*I7</f>
        <v>15540</v>
      </c>
      <c r="K7" s="83"/>
      <c r="L7" s="83">
        <f t="shared" ref="L7:L11" si="5">19.5*K7</f>
        <v>0</v>
      </c>
      <c r="M7" s="83"/>
      <c r="N7" s="84">
        <f t="shared" ref="N7:N11" si="6">M7*9.75</f>
        <v>0</v>
      </c>
      <c r="O7" s="83"/>
      <c r="P7" s="84">
        <f t="shared" ref="P7:P11" si="7">O7*48.62</f>
        <v>0</v>
      </c>
      <c r="Q7" s="84"/>
      <c r="R7" s="84">
        <f t="shared" ref="R7:R11" si="8">241*Q7</f>
        <v>0</v>
      </c>
      <c r="S7" s="83">
        <v>10</v>
      </c>
      <c r="T7" s="83">
        <f t="shared" ref="T7:T11" si="9">241*S7</f>
        <v>2410</v>
      </c>
      <c r="U7" s="83"/>
      <c r="V7" s="83">
        <f t="shared" ref="V7:V11" si="10">232*U7</f>
        <v>0</v>
      </c>
      <c r="W7" s="83"/>
      <c r="X7" s="19">
        <f t="shared" ref="X7:X11" si="11">W7*100</f>
        <v>0</v>
      </c>
      <c r="Y7" s="89">
        <f t="shared" si="0"/>
        <v>48465.03</v>
      </c>
    </row>
    <row r="8" spans="1:25" ht="35.25" customHeight="1" x14ac:dyDescent="0.25">
      <c r="A8" s="12">
        <v>1967020280</v>
      </c>
      <c r="B8" s="80" t="s">
        <v>73</v>
      </c>
      <c r="C8" s="83">
        <v>28023</v>
      </c>
      <c r="D8" s="84">
        <f t="shared" si="1"/>
        <v>27252.3675</v>
      </c>
      <c r="E8" s="83"/>
      <c r="F8" s="83">
        <f t="shared" si="2"/>
        <v>0</v>
      </c>
      <c r="G8" s="83"/>
      <c r="H8" s="83">
        <f t="shared" si="3"/>
        <v>0</v>
      </c>
      <c r="I8" s="83"/>
      <c r="J8" s="83">
        <f t="shared" si="4"/>
        <v>0</v>
      </c>
      <c r="K8" s="83"/>
      <c r="L8" s="83">
        <f t="shared" si="5"/>
        <v>0</v>
      </c>
      <c r="M8" s="83"/>
      <c r="N8" s="84">
        <f t="shared" si="6"/>
        <v>0</v>
      </c>
      <c r="O8" s="83"/>
      <c r="P8" s="84">
        <f t="shared" si="7"/>
        <v>0</v>
      </c>
      <c r="Q8" s="84"/>
      <c r="R8" s="84">
        <f t="shared" si="8"/>
        <v>0</v>
      </c>
      <c r="S8" s="83"/>
      <c r="T8" s="83">
        <f t="shared" si="9"/>
        <v>0</v>
      </c>
      <c r="U8" s="83"/>
      <c r="V8" s="83">
        <f t="shared" si="10"/>
        <v>0</v>
      </c>
      <c r="W8" s="83"/>
      <c r="X8" s="19">
        <f t="shared" si="11"/>
        <v>0</v>
      </c>
      <c r="Y8" s="89">
        <f t="shared" si="0"/>
        <v>27252.3675</v>
      </c>
    </row>
    <row r="9" spans="1:25" ht="38.25" customHeight="1" x14ac:dyDescent="0.25">
      <c r="A9" s="12">
        <v>1409935199</v>
      </c>
      <c r="B9" s="80" t="s">
        <v>74</v>
      </c>
      <c r="C9" s="83">
        <v>12326</v>
      </c>
      <c r="D9" s="84">
        <f t="shared" si="1"/>
        <v>11987.035</v>
      </c>
      <c r="E9" s="83"/>
      <c r="F9" s="83">
        <f t="shared" si="2"/>
        <v>0</v>
      </c>
      <c r="G9" s="83"/>
      <c r="H9" s="83">
        <f t="shared" si="3"/>
        <v>0</v>
      </c>
      <c r="I9" s="83">
        <v>20</v>
      </c>
      <c r="J9" s="83">
        <f t="shared" si="4"/>
        <v>370</v>
      </c>
      <c r="K9" s="83"/>
      <c r="L9" s="83">
        <f t="shared" si="5"/>
        <v>0</v>
      </c>
      <c r="M9" s="83"/>
      <c r="N9" s="84">
        <f t="shared" si="6"/>
        <v>0</v>
      </c>
      <c r="O9" s="83"/>
      <c r="P9" s="84">
        <f t="shared" si="7"/>
        <v>0</v>
      </c>
      <c r="Q9" s="84"/>
      <c r="R9" s="84">
        <f t="shared" si="8"/>
        <v>0</v>
      </c>
      <c r="S9" s="83"/>
      <c r="T9" s="83">
        <f t="shared" si="9"/>
        <v>0</v>
      </c>
      <c r="U9" s="83"/>
      <c r="V9" s="83">
        <f t="shared" si="10"/>
        <v>0</v>
      </c>
      <c r="W9" s="83"/>
      <c r="X9" s="19">
        <f t="shared" si="11"/>
        <v>0</v>
      </c>
      <c r="Y9" s="89">
        <f t="shared" si="0"/>
        <v>12357.035</v>
      </c>
    </row>
    <row r="10" spans="1:25" ht="35.25" customHeight="1" x14ac:dyDescent="0.25">
      <c r="A10" s="12">
        <v>1984225580</v>
      </c>
      <c r="B10" s="80" t="s">
        <v>75</v>
      </c>
      <c r="C10" s="83">
        <v>22831</v>
      </c>
      <c r="D10" s="84">
        <f t="shared" si="1"/>
        <v>22203.147499999999</v>
      </c>
      <c r="E10" s="83"/>
      <c r="F10" s="83">
        <f t="shared" si="2"/>
        <v>0</v>
      </c>
      <c r="G10" s="83"/>
      <c r="H10" s="83">
        <f t="shared" si="3"/>
        <v>0</v>
      </c>
      <c r="I10" s="83">
        <v>200</v>
      </c>
      <c r="J10" s="83">
        <f t="shared" si="4"/>
        <v>3700</v>
      </c>
      <c r="K10" s="83"/>
      <c r="L10" s="83">
        <f t="shared" si="5"/>
        <v>0</v>
      </c>
      <c r="M10" s="83"/>
      <c r="N10" s="84">
        <f t="shared" si="6"/>
        <v>0</v>
      </c>
      <c r="O10" s="83"/>
      <c r="P10" s="84">
        <f t="shared" si="7"/>
        <v>0</v>
      </c>
      <c r="Q10" s="84"/>
      <c r="R10" s="84">
        <f t="shared" si="8"/>
        <v>0</v>
      </c>
      <c r="S10" s="83"/>
      <c r="T10" s="83">
        <f t="shared" si="9"/>
        <v>0</v>
      </c>
      <c r="U10" s="83"/>
      <c r="V10" s="83">
        <f t="shared" si="10"/>
        <v>0</v>
      </c>
      <c r="W10" s="83"/>
      <c r="X10" s="19">
        <f t="shared" si="11"/>
        <v>0</v>
      </c>
      <c r="Y10" s="89">
        <f t="shared" si="0"/>
        <v>25903.147499999999</v>
      </c>
    </row>
    <row r="11" spans="1:25" ht="37.5" customHeight="1" x14ac:dyDescent="0.25">
      <c r="A11" s="12"/>
      <c r="B11" s="82"/>
      <c r="C11" s="83"/>
      <c r="D11" s="22">
        <f t="shared" si="1"/>
        <v>0</v>
      </c>
      <c r="E11" s="83"/>
      <c r="F11" s="83">
        <f t="shared" si="2"/>
        <v>0</v>
      </c>
      <c r="G11" s="83"/>
      <c r="H11" s="83">
        <f t="shared" si="3"/>
        <v>0</v>
      </c>
      <c r="I11" s="83"/>
      <c r="J11" s="83">
        <f t="shared" si="4"/>
        <v>0</v>
      </c>
      <c r="K11" s="83"/>
      <c r="L11" s="83">
        <f t="shared" si="5"/>
        <v>0</v>
      </c>
      <c r="M11" s="83"/>
      <c r="N11" s="84">
        <f t="shared" si="6"/>
        <v>0</v>
      </c>
      <c r="O11" s="83"/>
      <c r="P11" s="84">
        <f t="shared" si="7"/>
        <v>0</v>
      </c>
      <c r="Q11" s="84"/>
      <c r="R11" s="84">
        <f t="shared" si="8"/>
        <v>0</v>
      </c>
      <c r="S11" s="83">
        <v>56</v>
      </c>
      <c r="T11" s="83">
        <f t="shared" si="9"/>
        <v>13496</v>
      </c>
      <c r="U11" s="83"/>
      <c r="V11" s="83">
        <f t="shared" si="10"/>
        <v>0</v>
      </c>
      <c r="W11" s="83"/>
      <c r="X11" s="19">
        <f t="shared" si="11"/>
        <v>0</v>
      </c>
      <c r="Y11" s="20">
        <f t="shared" si="0"/>
        <v>13496</v>
      </c>
    </row>
    <row r="12" spans="1:25" ht="29.25" customHeight="1" x14ac:dyDescent="0.25">
      <c r="A12" s="2235" t="s">
        <v>31</v>
      </c>
      <c r="B12" s="2235"/>
      <c r="C12" s="18">
        <f t="shared" ref="C12:Y12" si="12">SUM(C6:C11)</f>
        <v>117532</v>
      </c>
      <c r="D12" s="18">
        <f t="shared" si="12"/>
        <v>114299.87</v>
      </c>
      <c r="E12" s="18">
        <f t="shared" si="12"/>
        <v>0</v>
      </c>
      <c r="F12" s="18">
        <f t="shared" si="12"/>
        <v>0</v>
      </c>
      <c r="G12" s="18">
        <f t="shared" si="12"/>
        <v>30</v>
      </c>
      <c r="H12" s="18">
        <f t="shared" si="12"/>
        <v>846</v>
      </c>
      <c r="I12" s="18">
        <f t="shared" si="12"/>
        <v>1220</v>
      </c>
      <c r="J12" s="18">
        <f t="shared" si="12"/>
        <v>22570</v>
      </c>
      <c r="K12" s="18">
        <f t="shared" si="12"/>
        <v>0</v>
      </c>
      <c r="L12" s="18">
        <f t="shared" si="12"/>
        <v>0</v>
      </c>
      <c r="M12" s="18">
        <f t="shared" si="12"/>
        <v>0</v>
      </c>
      <c r="N12" s="23">
        <f t="shared" si="12"/>
        <v>0</v>
      </c>
      <c r="O12" s="18">
        <f t="shared" si="12"/>
        <v>0</v>
      </c>
      <c r="P12" s="23">
        <f t="shared" si="12"/>
        <v>0</v>
      </c>
      <c r="Q12" s="23">
        <f t="shared" si="12"/>
        <v>0</v>
      </c>
      <c r="R12" s="23">
        <f>SUM(R6:R11)</f>
        <v>0</v>
      </c>
      <c r="S12" s="18">
        <f t="shared" si="12"/>
        <v>66</v>
      </c>
      <c r="T12" s="18">
        <f t="shared" si="12"/>
        <v>15906</v>
      </c>
      <c r="U12" s="18">
        <f t="shared" si="12"/>
        <v>0</v>
      </c>
      <c r="V12" s="18">
        <f t="shared" si="12"/>
        <v>0</v>
      </c>
      <c r="W12" s="18">
        <f t="shared" si="12"/>
        <v>0</v>
      </c>
      <c r="X12" s="18">
        <f t="shared" si="12"/>
        <v>0</v>
      </c>
      <c r="Y12" s="18">
        <f t="shared" si="12"/>
        <v>153621.87</v>
      </c>
    </row>
    <row r="14" spans="1:25" ht="32.25" customHeight="1" x14ac:dyDescent="0.25">
      <c r="A14" s="30" t="s">
        <v>32</v>
      </c>
      <c r="B14" s="2236" t="s">
        <v>27</v>
      </c>
      <c r="C14" s="2236"/>
      <c r="D14" s="30" t="s">
        <v>33</v>
      </c>
      <c r="E14" s="30" t="s">
        <v>65</v>
      </c>
      <c r="F14" s="30" t="s">
        <v>34</v>
      </c>
      <c r="G14" s="30" t="s">
        <v>13</v>
      </c>
      <c r="H14" s="31" t="s">
        <v>45</v>
      </c>
      <c r="I14" s="30" t="s">
        <v>17</v>
      </c>
      <c r="J14" s="30" t="s">
        <v>66</v>
      </c>
      <c r="K14" s="30" t="s">
        <v>36</v>
      </c>
      <c r="L14" s="30" t="s">
        <v>37</v>
      </c>
      <c r="M14" s="30" t="s">
        <v>69</v>
      </c>
      <c r="N14" s="30" t="s">
        <v>70</v>
      </c>
      <c r="O14" s="86" t="s">
        <v>114</v>
      </c>
      <c r="P14" s="86" t="s">
        <v>99</v>
      </c>
      <c r="Q14" s="15"/>
      <c r="R14" s="15"/>
      <c r="T14" s="2235" t="s">
        <v>46</v>
      </c>
      <c r="U14" s="80" t="s">
        <v>54</v>
      </c>
      <c r="V14" s="2260">
        <v>142331</v>
      </c>
      <c r="W14" s="2268"/>
      <c r="X14" s="2261"/>
    </row>
    <row r="15" spans="1:25" ht="22.5" customHeight="1" x14ac:dyDescent="0.25">
      <c r="A15" s="100" t="s">
        <v>38</v>
      </c>
      <c r="B15" s="2260">
        <v>384858</v>
      </c>
      <c r="C15" s="2261"/>
      <c r="D15" s="87">
        <v>0</v>
      </c>
      <c r="E15" s="87">
        <v>90</v>
      </c>
      <c r="F15" s="87">
        <v>1800</v>
      </c>
      <c r="G15" s="87">
        <v>0</v>
      </c>
      <c r="H15" s="87">
        <v>198</v>
      </c>
      <c r="I15" s="87">
        <v>0</v>
      </c>
      <c r="J15" s="87">
        <v>30</v>
      </c>
      <c r="K15" s="87">
        <v>30</v>
      </c>
      <c r="L15" s="87">
        <v>142</v>
      </c>
      <c r="M15" s="87">
        <v>0</v>
      </c>
      <c r="N15" s="87">
        <v>100</v>
      </c>
      <c r="O15" s="87">
        <v>0</v>
      </c>
      <c r="P15" s="87">
        <v>863</v>
      </c>
      <c r="Q15" s="21"/>
      <c r="R15" s="21"/>
      <c r="T15" s="2235"/>
      <c r="U15" s="80" t="s">
        <v>64</v>
      </c>
      <c r="V15" s="2262">
        <v>6819</v>
      </c>
      <c r="W15" s="2262"/>
      <c r="X15" s="2262"/>
    </row>
    <row r="16" spans="1:25" ht="24.75" customHeight="1" x14ac:dyDescent="0.25">
      <c r="A16" s="100" t="s">
        <v>39</v>
      </c>
      <c r="B16" s="2260">
        <v>50000</v>
      </c>
      <c r="C16" s="2261"/>
      <c r="D16" s="87">
        <v>5000</v>
      </c>
      <c r="E16" s="87">
        <v>500</v>
      </c>
      <c r="F16" s="87">
        <v>4500</v>
      </c>
      <c r="G16" s="87"/>
      <c r="H16" s="87"/>
      <c r="I16" s="87">
        <v>40</v>
      </c>
      <c r="J16" s="87"/>
      <c r="K16" s="87"/>
      <c r="L16" s="87">
        <v>6</v>
      </c>
      <c r="M16" s="87"/>
      <c r="N16" s="87"/>
      <c r="O16" s="87"/>
      <c r="P16" s="87"/>
      <c r="Q16" s="21"/>
      <c r="R16" s="21"/>
      <c r="T16" s="2254" t="s">
        <v>55</v>
      </c>
      <c r="U16" s="2254"/>
      <c r="V16" s="2267">
        <f>Y12</f>
        <v>153621.87</v>
      </c>
      <c r="W16" s="2267"/>
      <c r="X16" s="2262"/>
    </row>
    <row r="17" spans="1:25" ht="28.5" customHeight="1" x14ac:dyDescent="0.25">
      <c r="A17" s="101" t="s">
        <v>44</v>
      </c>
      <c r="B17" s="2260"/>
      <c r="C17" s="2261"/>
      <c r="D17" s="87"/>
      <c r="E17" s="87"/>
      <c r="F17" s="87"/>
      <c r="G17" s="87"/>
      <c r="H17" s="87"/>
      <c r="I17" s="87"/>
      <c r="J17" s="87"/>
      <c r="K17" s="87"/>
      <c r="L17" s="87"/>
      <c r="M17" s="87"/>
      <c r="N17" s="87"/>
      <c r="O17" s="87"/>
      <c r="P17" s="87"/>
      <c r="Q17" s="21"/>
      <c r="R17" s="21"/>
      <c r="T17" s="2270" t="s">
        <v>104</v>
      </c>
      <c r="U17" s="2271"/>
      <c r="V17" s="2262"/>
      <c r="W17" s="2262"/>
      <c r="X17" s="2262"/>
    </row>
    <row r="18" spans="1:25" ht="27" customHeight="1" x14ac:dyDescent="0.25">
      <c r="A18" s="100" t="s">
        <v>40</v>
      </c>
      <c r="B18" s="2264">
        <f>C12</f>
        <v>117532</v>
      </c>
      <c r="C18" s="2261"/>
      <c r="D18" s="88">
        <f>E12</f>
        <v>0</v>
      </c>
      <c r="E18" s="88">
        <f>G12</f>
        <v>30</v>
      </c>
      <c r="F18" s="88">
        <f>I12</f>
        <v>1220</v>
      </c>
      <c r="G18" s="88">
        <f>K12</f>
        <v>0</v>
      </c>
      <c r="H18" s="87">
        <v>41</v>
      </c>
      <c r="I18" s="88">
        <f>U12</f>
        <v>0</v>
      </c>
      <c r="J18" s="87"/>
      <c r="K18" s="88">
        <f>W12</f>
        <v>0</v>
      </c>
      <c r="L18" s="87">
        <v>4</v>
      </c>
      <c r="M18" s="88">
        <f>M12</f>
        <v>0</v>
      </c>
      <c r="N18" s="88"/>
      <c r="O18" s="90">
        <f>Q12</f>
        <v>0</v>
      </c>
      <c r="P18" s="87">
        <v>27</v>
      </c>
      <c r="Q18" s="21"/>
      <c r="R18" s="21"/>
      <c r="T18" s="2254" t="s">
        <v>57</v>
      </c>
      <c r="U18" s="2254"/>
      <c r="V18" s="2262">
        <f>530+353</f>
        <v>883</v>
      </c>
      <c r="W18" s="2262"/>
      <c r="X18" s="2262"/>
      <c r="Y18" s="2269" t="s">
        <v>131</v>
      </c>
    </row>
    <row r="19" spans="1:25" ht="25.5" customHeight="1" x14ac:dyDescent="0.25">
      <c r="A19" s="100" t="s">
        <v>41</v>
      </c>
      <c r="B19" s="2260">
        <f>B15+B16+B17-B18</f>
        <v>317326</v>
      </c>
      <c r="C19" s="2261"/>
      <c r="D19" s="87">
        <f>D15+D16+D17-D18</f>
        <v>5000</v>
      </c>
      <c r="E19" s="87">
        <f t="shared" ref="E19:N19" si="13">E15+E16+E17-E18</f>
        <v>560</v>
      </c>
      <c r="F19" s="87">
        <f t="shared" si="13"/>
        <v>5080</v>
      </c>
      <c r="G19" s="87">
        <f t="shared" si="13"/>
        <v>0</v>
      </c>
      <c r="H19" s="87">
        <f t="shared" si="13"/>
        <v>157</v>
      </c>
      <c r="I19" s="87">
        <f t="shared" si="13"/>
        <v>40</v>
      </c>
      <c r="J19" s="87">
        <f t="shared" si="13"/>
        <v>30</v>
      </c>
      <c r="K19" s="87">
        <f t="shared" si="13"/>
        <v>30</v>
      </c>
      <c r="L19" s="87">
        <f t="shared" si="13"/>
        <v>144</v>
      </c>
      <c r="M19" s="87">
        <f t="shared" si="13"/>
        <v>0</v>
      </c>
      <c r="N19" s="87">
        <f t="shared" si="13"/>
        <v>100</v>
      </c>
      <c r="O19" s="87">
        <f>O15+O16+O17-O18</f>
        <v>0</v>
      </c>
      <c r="P19" s="87">
        <f>P15+P16+P17-P18</f>
        <v>836</v>
      </c>
      <c r="Q19" s="21"/>
      <c r="R19" s="21"/>
      <c r="T19" s="2256" t="s">
        <v>48</v>
      </c>
      <c r="U19" s="49" t="s">
        <v>58</v>
      </c>
      <c r="V19" s="2262">
        <v>277000</v>
      </c>
      <c r="W19" s="2262"/>
      <c r="X19" s="2262"/>
      <c r="Y19" s="2269"/>
    </row>
    <row r="20" spans="1:25" ht="23.25" customHeight="1" x14ac:dyDescent="0.25">
      <c r="A20" s="15"/>
      <c r="B20" s="10"/>
      <c r="C20" s="10"/>
      <c r="D20" s="10"/>
      <c r="E20" s="10"/>
      <c r="F20" s="10"/>
      <c r="G20" s="10"/>
      <c r="H20" s="10"/>
      <c r="I20" s="10"/>
      <c r="J20" s="10"/>
      <c r="K20" s="10"/>
      <c r="L20" s="10"/>
      <c r="M20" s="10"/>
      <c r="N20" s="10"/>
      <c r="O20" s="10"/>
      <c r="P20" s="10"/>
      <c r="Q20" s="10"/>
      <c r="R20" s="10"/>
      <c r="T20" s="2257"/>
      <c r="U20" s="49" t="s">
        <v>59</v>
      </c>
      <c r="V20" s="2262"/>
      <c r="W20" s="2262"/>
      <c r="X20" s="2262"/>
      <c r="Y20" s="2269"/>
    </row>
    <row r="21" spans="1:25" ht="33.75" customHeight="1" x14ac:dyDescent="0.25">
      <c r="A21" s="15"/>
      <c r="B21" s="10"/>
      <c r="C21" s="10"/>
      <c r="D21" s="10"/>
      <c r="E21" s="10"/>
      <c r="F21" s="10"/>
      <c r="G21" s="10"/>
      <c r="H21" s="10"/>
      <c r="I21" s="10"/>
      <c r="J21" s="10"/>
      <c r="K21" s="10"/>
      <c r="L21" s="10"/>
      <c r="M21" s="10"/>
      <c r="N21" s="10"/>
      <c r="O21" s="10"/>
      <c r="P21" s="10"/>
      <c r="Q21" s="10"/>
      <c r="R21" s="10"/>
      <c r="T21" s="2251" t="s">
        <v>83</v>
      </c>
      <c r="U21" s="50" t="s">
        <v>60</v>
      </c>
      <c r="V21" s="2262">
        <v>277330</v>
      </c>
      <c r="W21" s="2262"/>
      <c r="X21" s="2262"/>
      <c r="Y21" s="2269"/>
    </row>
    <row r="22" spans="1:25" ht="29.25" customHeight="1" x14ac:dyDescent="0.25">
      <c r="A22" s="10"/>
      <c r="B22" s="2258" t="s">
        <v>49</v>
      </c>
      <c r="C22" s="2265">
        <v>731251</v>
      </c>
      <c r="D22" s="2262">
        <v>277000</v>
      </c>
      <c r="E22" s="2262">
        <v>221196</v>
      </c>
      <c r="F22" s="2262">
        <f>C22-D22+E22</f>
        <v>675447</v>
      </c>
      <c r="G22" s="10"/>
      <c r="H22" s="10"/>
      <c r="I22" s="10"/>
      <c r="J22" s="10"/>
      <c r="K22" s="10"/>
      <c r="L22" s="10"/>
      <c r="M22" s="10"/>
      <c r="N22" s="10"/>
      <c r="O22" s="10"/>
      <c r="P22" s="10"/>
      <c r="Q22" s="10"/>
      <c r="R22" s="10"/>
      <c r="T22" s="2252"/>
      <c r="U22" s="50" t="s">
        <v>61</v>
      </c>
      <c r="V22" s="2262">
        <v>277000</v>
      </c>
      <c r="W22" s="2262"/>
      <c r="X22" s="2262"/>
      <c r="Y22" s="2269"/>
    </row>
    <row r="23" spans="1:25" ht="47.25" customHeight="1" x14ac:dyDescent="0.25">
      <c r="A23" s="10"/>
      <c r="B23" s="2258"/>
      <c r="C23" s="2266"/>
      <c r="D23" s="2262"/>
      <c r="E23" s="2262"/>
      <c r="F23" s="2262"/>
      <c r="G23" s="10"/>
      <c r="H23" s="10"/>
      <c r="I23" s="10"/>
      <c r="J23" s="10"/>
      <c r="K23" s="10"/>
      <c r="L23" s="10"/>
      <c r="M23" s="10"/>
      <c r="N23" s="10"/>
      <c r="O23" s="10"/>
      <c r="P23" s="10"/>
      <c r="Q23" s="10"/>
      <c r="R23" s="10"/>
      <c r="T23" s="2235" t="s">
        <v>47</v>
      </c>
      <c r="U23" s="51" t="s">
        <v>62</v>
      </c>
      <c r="V23" s="2263">
        <f>V14+V16+V17-V18-V19-V20-V21+V22</f>
        <v>17739.869999999995</v>
      </c>
      <c r="W23" s="2263"/>
      <c r="X23" s="2263"/>
      <c r="Y23" s="2269"/>
    </row>
    <row r="24" spans="1:25" ht="27" customHeight="1" x14ac:dyDescent="0.25">
      <c r="B24" s="2258"/>
      <c r="C24" s="80" t="s">
        <v>46</v>
      </c>
      <c r="D24" s="80" t="s">
        <v>50</v>
      </c>
      <c r="E24" s="80" t="s">
        <v>51</v>
      </c>
      <c r="F24" s="80" t="s">
        <v>52</v>
      </c>
      <c r="T24" s="2235"/>
      <c r="U24" s="51" t="s">
        <v>63</v>
      </c>
      <c r="V24" s="2262">
        <f>V15+V21-V22</f>
        <v>7149</v>
      </c>
      <c r="W24" s="2262"/>
      <c r="X24" s="2262"/>
    </row>
  </sheetData>
  <mergeCells count="48">
    <mergeCell ref="D22:D23"/>
    <mergeCell ref="E22:E23"/>
    <mergeCell ref="F22:F23"/>
    <mergeCell ref="Y18:Y23"/>
    <mergeCell ref="B19:C19"/>
    <mergeCell ref="T19:T20"/>
    <mergeCell ref="V19:X19"/>
    <mergeCell ref="V20:X20"/>
    <mergeCell ref="T21:T22"/>
    <mergeCell ref="V21:X21"/>
    <mergeCell ref="V22:X22"/>
    <mergeCell ref="T23:T24"/>
    <mergeCell ref="V23:X23"/>
    <mergeCell ref="V24:X24"/>
    <mergeCell ref="B18:C18"/>
    <mergeCell ref="T18:U18"/>
    <mergeCell ref="V18:X18"/>
    <mergeCell ref="B22:B24"/>
    <mergeCell ref="C22:C23"/>
    <mergeCell ref="W4:X4"/>
    <mergeCell ref="B16:C16"/>
    <mergeCell ref="T16:U16"/>
    <mergeCell ref="V16:X16"/>
    <mergeCell ref="B17:C17"/>
    <mergeCell ref="T17:U17"/>
    <mergeCell ref="V17:X17"/>
    <mergeCell ref="A12:B12"/>
    <mergeCell ref="B14:C14"/>
    <mergeCell ref="T14:T15"/>
    <mergeCell ref="V14:X14"/>
    <mergeCell ref="B15:C15"/>
    <mergeCell ref="V15:X15"/>
    <mergeCell ref="A1:Y1"/>
    <mergeCell ref="A2:Y2"/>
    <mergeCell ref="T3:Y3"/>
    <mergeCell ref="A4:A5"/>
    <mergeCell ref="B4:B5"/>
    <mergeCell ref="C4:D4"/>
    <mergeCell ref="E4:F4"/>
    <mergeCell ref="G4:H4"/>
    <mergeCell ref="I4:J4"/>
    <mergeCell ref="K4:L4"/>
    <mergeCell ref="Y4:Y5"/>
    <mergeCell ref="M4:N4"/>
    <mergeCell ref="O4:P4"/>
    <mergeCell ref="Q4:R4"/>
    <mergeCell ref="S4:T4"/>
    <mergeCell ref="U4:V4"/>
  </mergeCells>
  <pageMargins left="0.15748031496063" right="0.15748031496063" top="0" bottom="0" header="0" footer="0"/>
  <pageSetup paperSize="9" scale="51" orientation="landscape" r:id="rId1"/>
</worksheet>
</file>

<file path=xl/worksheets/sheet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900-000000000000}">
  <sheetPr>
    <pageSetUpPr fitToPage="1"/>
  </sheetPr>
  <dimension ref="A1:Y24"/>
  <sheetViews>
    <sheetView topLeftCell="A8" zoomScale="67" zoomScaleNormal="67" zoomScaleSheetLayoutView="100" workbookViewId="0">
      <selection activeCell="V18" sqref="V18:X18"/>
    </sheetView>
  </sheetViews>
  <sheetFormatPr defaultColWidth="9.140625" defaultRowHeight="15" x14ac:dyDescent="0.25"/>
  <cols>
    <col min="1" max="1" width="18.28515625" style="14" customWidth="1"/>
    <col min="2" max="2" width="10.7109375" style="14" customWidth="1"/>
    <col min="3" max="3" width="12.28515625" style="14" customWidth="1"/>
    <col min="4" max="4" width="11" style="14" customWidth="1"/>
    <col min="5" max="5" width="12" style="14" customWidth="1"/>
    <col min="6" max="6" width="12.5703125" style="14" bestFit="1" customWidth="1"/>
    <col min="7" max="7" width="9.28515625" style="14" bestFit="1" customWidth="1"/>
    <col min="8" max="8" width="10.140625" style="14" bestFit="1" customWidth="1"/>
    <col min="9" max="9" width="10.5703125" style="14" bestFit="1" customWidth="1"/>
    <col min="10" max="10" width="10.5703125" style="14" customWidth="1"/>
    <col min="11" max="11" width="10.28515625" style="14" bestFit="1" customWidth="1"/>
    <col min="12" max="12" width="9.42578125" style="14" bestFit="1" customWidth="1"/>
    <col min="13" max="13" width="9.85546875" style="14" bestFit="1" customWidth="1"/>
    <col min="14" max="14" width="10.140625" style="14" bestFit="1" customWidth="1"/>
    <col min="15" max="15" width="9" style="14" customWidth="1"/>
    <col min="16" max="16" width="12.85546875" style="14" bestFit="1" customWidth="1"/>
    <col min="17" max="18" width="9.42578125" style="14" customWidth="1"/>
    <col min="19" max="19" width="7.5703125" style="14" customWidth="1"/>
    <col min="20" max="20" width="13.42578125" style="14" customWidth="1"/>
    <col min="21" max="21" width="17.28515625" style="14" customWidth="1"/>
    <col min="22" max="22" width="9.85546875" style="14" bestFit="1" customWidth="1"/>
    <col min="23" max="23" width="10.140625" style="14" bestFit="1" customWidth="1"/>
    <col min="24" max="24" width="9.85546875" style="14" bestFit="1" customWidth="1"/>
    <col min="25" max="25" width="15" style="14" customWidth="1"/>
    <col min="26" max="16384" width="9.140625" style="14"/>
  </cols>
  <sheetData>
    <row r="1" spans="1:25" ht="46.15" customHeight="1" x14ac:dyDescent="0.25">
      <c r="A1" s="2240" t="s">
        <v>76</v>
      </c>
      <c r="B1" s="2240"/>
      <c r="C1" s="2240"/>
      <c r="D1" s="2240"/>
      <c r="E1" s="2240"/>
      <c r="F1" s="2240"/>
      <c r="G1" s="2240"/>
      <c r="H1" s="2240"/>
      <c r="I1" s="2240"/>
      <c r="J1" s="2240"/>
      <c r="K1" s="2240"/>
      <c r="L1" s="2240"/>
      <c r="M1" s="2240"/>
      <c r="N1" s="2240"/>
      <c r="O1" s="2240"/>
      <c r="P1" s="2240"/>
      <c r="Q1" s="2240"/>
      <c r="R1" s="2240"/>
      <c r="S1" s="2240"/>
      <c r="T1" s="2240"/>
      <c r="U1" s="2240"/>
      <c r="V1" s="2240"/>
      <c r="W1" s="2240"/>
      <c r="X1" s="2240"/>
      <c r="Y1" s="2240"/>
    </row>
    <row r="2" spans="1:25" ht="21.6" customHeight="1" x14ac:dyDescent="0.25">
      <c r="A2" s="2241" t="s">
        <v>77</v>
      </c>
      <c r="B2" s="2241"/>
      <c r="C2" s="2241"/>
      <c r="D2" s="2241"/>
      <c r="E2" s="2241"/>
      <c r="F2" s="2241"/>
      <c r="G2" s="2241"/>
      <c r="H2" s="2241"/>
      <c r="I2" s="2241"/>
      <c r="J2" s="2241"/>
      <c r="K2" s="2241"/>
      <c r="L2" s="2241"/>
      <c r="M2" s="2241"/>
      <c r="N2" s="2241"/>
      <c r="O2" s="2241"/>
      <c r="P2" s="2241"/>
      <c r="Q2" s="2241"/>
      <c r="R2" s="2241"/>
      <c r="S2" s="2241"/>
      <c r="T2" s="2241"/>
      <c r="U2" s="2241"/>
      <c r="V2" s="2241"/>
      <c r="W2" s="2241"/>
      <c r="X2" s="2241"/>
      <c r="Y2" s="2241"/>
    </row>
    <row r="3" spans="1:25" ht="21" customHeight="1" x14ac:dyDescent="0.25">
      <c r="A3" s="96"/>
      <c r="B3" s="96"/>
      <c r="C3" s="96"/>
      <c r="D3" s="96"/>
      <c r="E3" s="96"/>
      <c r="F3" s="96"/>
      <c r="G3" s="96"/>
      <c r="H3" s="96"/>
      <c r="I3" s="96"/>
      <c r="J3" s="96"/>
      <c r="K3" s="96"/>
      <c r="L3" s="96"/>
      <c r="M3" s="96"/>
      <c r="N3" s="96"/>
      <c r="O3" s="96"/>
      <c r="P3" s="96"/>
      <c r="Q3" s="96"/>
      <c r="R3" s="96"/>
      <c r="S3" s="96"/>
      <c r="T3" s="2242" t="s">
        <v>132</v>
      </c>
      <c r="U3" s="2242"/>
      <c r="V3" s="2242"/>
      <c r="W3" s="2242"/>
      <c r="X3" s="2242"/>
      <c r="Y3" s="2242"/>
    </row>
    <row r="4" spans="1:25" s="96" customFormat="1" ht="18" customHeight="1" x14ac:dyDescent="0.25">
      <c r="A4" s="2243" t="s">
        <v>25</v>
      </c>
      <c r="B4" s="2243" t="s">
        <v>26</v>
      </c>
      <c r="C4" s="2244" t="s">
        <v>27</v>
      </c>
      <c r="D4" s="2244"/>
      <c r="E4" s="2244" t="s">
        <v>28</v>
      </c>
      <c r="F4" s="2244"/>
      <c r="G4" s="2244" t="s">
        <v>65</v>
      </c>
      <c r="H4" s="2244"/>
      <c r="I4" s="2244" t="s">
        <v>29</v>
      </c>
      <c r="J4" s="2244"/>
      <c r="K4" s="2245" t="s">
        <v>13</v>
      </c>
      <c r="L4" s="2246"/>
      <c r="M4" s="2245" t="s">
        <v>67</v>
      </c>
      <c r="N4" s="2246"/>
      <c r="O4" s="2245" t="s">
        <v>68</v>
      </c>
      <c r="P4" s="2246"/>
      <c r="Q4" s="2245" t="s">
        <v>114</v>
      </c>
      <c r="R4" s="2246"/>
      <c r="S4" s="2244" t="s">
        <v>35</v>
      </c>
      <c r="T4" s="2244"/>
      <c r="U4" s="2245" t="s">
        <v>17</v>
      </c>
      <c r="V4" s="2246"/>
      <c r="W4" s="2247" t="s">
        <v>36</v>
      </c>
      <c r="X4" s="2248"/>
      <c r="Y4" s="2238" t="s">
        <v>30</v>
      </c>
    </row>
    <row r="5" spans="1:25" s="96" customFormat="1" ht="25.5" customHeight="1" x14ac:dyDescent="0.25">
      <c r="A5" s="2243"/>
      <c r="B5" s="2243"/>
      <c r="C5" s="95" t="s">
        <v>42</v>
      </c>
      <c r="D5" s="95" t="s">
        <v>43</v>
      </c>
      <c r="E5" s="95" t="s">
        <v>42</v>
      </c>
      <c r="F5" s="95" t="s">
        <v>43</v>
      </c>
      <c r="G5" s="95" t="s">
        <v>42</v>
      </c>
      <c r="H5" s="95" t="s">
        <v>43</v>
      </c>
      <c r="I5" s="95" t="s">
        <v>42</v>
      </c>
      <c r="J5" s="95" t="s">
        <v>43</v>
      </c>
      <c r="K5" s="95" t="s">
        <v>42</v>
      </c>
      <c r="L5" s="95" t="s">
        <v>43</v>
      </c>
      <c r="M5" s="95" t="s">
        <v>42</v>
      </c>
      <c r="N5" s="95" t="s">
        <v>43</v>
      </c>
      <c r="O5" s="95" t="s">
        <v>42</v>
      </c>
      <c r="P5" s="95" t="s">
        <v>43</v>
      </c>
      <c r="Q5" s="95" t="s">
        <v>42</v>
      </c>
      <c r="R5" s="95" t="s">
        <v>43</v>
      </c>
      <c r="S5" s="33" t="s">
        <v>42</v>
      </c>
      <c r="T5" s="33" t="s">
        <v>43</v>
      </c>
      <c r="U5" s="30" t="s">
        <v>42</v>
      </c>
      <c r="V5" s="30" t="s">
        <v>43</v>
      </c>
      <c r="W5" s="30" t="s">
        <v>42</v>
      </c>
      <c r="X5" s="30" t="s">
        <v>43</v>
      </c>
      <c r="Y5" s="2239"/>
    </row>
    <row r="6" spans="1:25" ht="34.5" customHeight="1" x14ac:dyDescent="0.25">
      <c r="A6" s="12">
        <v>1409935200</v>
      </c>
      <c r="B6" s="94" t="s">
        <v>71</v>
      </c>
      <c r="C6" s="92">
        <v>21305</v>
      </c>
      <c r="D6" s="91">
        <f>0.9725*C6</f>
        <v>20719.112499999999</v>
      </c>
      <c r="E6" s="92"/>
      <c r="F6" s="92">
        <f>13.7*E6</f>
        <v>0</v>
      </c>
      <c r="G6" s="92">
        <v>20</v>
      </c>
      <c r="H6" s="92">
        <f>28.2*G6</f>
        <v>564</v>
      </c>
      <c r="I6" s="92">
        <v>200</v>
      </c>
      <c r="J6" s="92">
        <f>18.5*I6</f>
        <v>3700</v>
      </c>
      <c r="K6" s="92"/>
      <c r="L6" s="92">
        <f>19.5*K6</f>
        <v>0</v>
      </c>
      <c r="M6" s="92"/>
      <c r="N6" s="91">
        <f>M6*9.75</f>
        <v>0</v>
      </c>
      <c r="O6" s="92"/>
      <c r="P6" s="91">
        <f>O6*48.62</f>
        <v>0</v>
      </c>
      <c r="Q6" s="91"/>
      <c r="R6" s="91">
        <f>241*Q6</f>
        <v>0</v>
      </c>
      <c r="S6" s="92"/>
      <c r="T6" s="92">
        <f>241*S6</f>
        <v>0</v>
      </c>
      <c r="U6" s="92"/>
      <c r="V6" s="92">
        <f>232*U6</f>
        <v>0</v>
      </c>
      <c r="W6" s="92"/>
      <c r="X6" s="19">
        <f>W6*100</f>
        <v>0</v>
      </c>
      <c r="Y6" s="89">
        <f t="shared" ref="Y6:Y11" si="0">D6+F6+H6+J6+L6+N6+P6+R6+T6+V6+X6</f>
        <v>24983.112499999999</v>
      </c>
    </row>
    <row r="7" spans="1:25" ht="31.5" customHeight="1" x14ac:dyDescent="0.25">
      <c r="A7" s="12">
        <v>1984225578</v>
      </c>
      <c r="B7" s="94" t="s">
        <v>72</v>
      </c>
      <c r="C7" s="92">
        <v>29663</v>
      </c>
      <c r="D7" s="91">
        <f t="shared" ref="D7:D11" si="1">0.9725*C7</f>
        <v>28847.267500000002</v>
      </c>
      <c r="E7" s="92"/>
      <c r="F7" s="92">
        <f t="shared" ref="F7:F11" si="2">13.7*E7</f>
        <v>0</v>
      </c>
      <c r="G7" s="92"/>
      <c r="H7" s="92">
        <f t="shared" ref="H7:H11" si="3">28.2*G7</f>
        <v>0</v>
      </c>
      <c r="I7" s="92"/>
      <c r="J7" s="92">
        <f t="shared" ref="J7:J11" si="4">18.5*I7</f>
        <v>0</v>
      </c>
      <c r="K7" s="92"/>
      <c r="L7" s="92">
        <f t="shared" ref="L7:L11" si="5">19.5*K7</f>
        <v>0</v>
      </c>
      <c r="M7" s="92"/>
      <c r="N7" s="91">
        <f t="shared" ref="N7:N11" si="6">M7*9.75</f>
        <v>0</v>
      </c>
      <c r="O7" s="92"/>
      <c r="P7" s="91">
        <f t="shared" ref="P7:P11" si="7">O7*48.62</f>
        <v>0</v>
      </c>
      <c r="Q7" s="91"/>
      <c r="R7" s="91">
        <f t="shared" ref="R7:R11" si="8">241*Q7</f>
        <v>0</v>
      </c>
      <c r="S7" s="92"/>
      <c r="T7" s="92">
        <f t="shared" ref="T7:T11" si="9">241*S7</f>
        <v>0</v>
      </c>
      <c r="U7" s="92"/>
      <c r="V7" s="92">
        <f t="shared" ref="V7:V11" si="10">232*U7</f>
        <v>0</v>
      </c>
      <c r="W7" s="92"/>
      <c r="X7" s="19">
        <f t="shared" ref="X7:X11" si="11">W7*100</f>
        <v>0</v>
      </c>
      <c r="Y7" s="89">
        <f t="shared" si="0"/>
        <v>28847.267500000002</v>
      </c>
    </row>
    <row r="8" spans="1:25" ht="35.25" customHeight="1" x14ac:dyDescent="0.25">
      <c r="A8" s="12">
        <v>1967020280</v>
      </c>
      <c r="B8" s="94" t="s">
        <v>73</v>
      </c>
      <c r="C8" s="92">
        <v>12536</v>
      </c>
      <c r="D8" s="91">
        <f t="shared" si="1"/>
        <v>12191.26</v>
      </c>
      <c r="E8" s="92"/>
      <c r="F8" s="92">
        <f t="shared" si="2"/>
        <v>0</v>
      </c>
      <c r="G8" s="92"/>
      <c r="H8" s="92">
        <f t="shared" si="3"/>
        <v>0</v>
      </c>
      <c r="I8" s="92"/>
      <c r="J8" s="92">
        <f t="shared" si="4"/>
        <v>0</v>
      </c>
      <c r="K8" s="92"/>
      <c r="L8" s="92">
        <f t="shared" si="5"/>
        <v>0</v>
      </c>
      <c r="M8" s="92"/>
      <c r="N8" s="91">
        <f t="shared" si="6"/>
        <v>0</v>
      </c>
      <c r="O8" s="92"/>
      <c r="P8" s="91">
        <f t="shared" si="7"/>
        <v>0</v>
      </c>
      <c r="Q8" s="91"/>
      <c r="R8" s="91">
        <f t="shared" si="8"/>
        <v>0</v>
      </c>
      <c r="S8" s="92"/>
      <c r="T8" s="92">
        <f t="shared" si="9"/>
        <v>0</v>
      </c>
      <c r="U8" s="92"/>
      <c r="V8" s="92">
        <f t="shared" si="10"/>
        <v>0</v>
      </c>
      <c r="W8" s="92"/>
      <c r="X8" s="19">
        <f t="shared" si="11"/>
        <v>0</v>
      </c>
      <c r="Y8" s="89">
        <f t="shared" si="0"/>
        <v>12191.26</v>
      </c>
    </row>
    <row r="9" spans="1:25" ht="38.25" customHeight="1" x14ac:dyDescent="0.25">
      <c r="A9" s="12">
        <v>1409935199</v>
      </c>
      <c r="B9" s="94" t="s">
        <v>74</v>
      </c>
      <c r="C9" s="92">
        <v>10478</v>
      </c>
      <c r="D9" s="91">
        <f t="shared" si="1"/>
        <v>10189.855</v>
      </c>
      <c r="E9" s="92"/>
      <c r="F9" s="92">
        <f t="shared" si="2"/>
        <v>0</v>
      </c>
      <c r="G9" s="92"/>
      <c r="H9" s="92">
        <f t="shared" si="3"/>
        <v>0</v>
      </c>
      <c r="I9" s="92">
        <v>200</v>
      </c>
      <c r="J9" s="92">
        <f t="shared" si="4"/>
        <v>3700</v>
      </c>
      <c r="K9" s="92"/>
      <c r="L9" s="92">
        <f t="shared" si="5"/>
        <v>0</v>
      </c>
      <c r="M9" s="92"/>
      <c r="N9" s="91">
        <f t="shared" si="6"/>
        <v>0</v>
      </c>
      <c r="O9" s="92"/>
      <c r="P9" s="91">
        <f t="shared" si="7"/>
        <v>0</v>
      </c>
      <c r="Q9" s="91"/>
      <c r="R9" s="91">
        <f t="shared" si="8"/>
        <v>0</v>
      </c>
      <c r="S9" s="92"/>
      <c r="T9" s="92">
        <f t="shared" si="9"/>
        <v>0</v>
      </c>
      <c r="U9" s="92"/>
      <c r="V9" s="92">
        <f t="shared" si="10"/>
        <v>0</v>
      </c>
      <c r="W9" s="92"/>
      <c r="X9" s="19">
        <f t="shared" si="11"/>
        <v>0</v>
      </c>
      <c r="Y9" s="89">
        <f t="shared" si="0"/>
        <v>13889.855</v>
      </c>
    </row>
    <row r="10" spans="1:25" ht="35.25" customHeight="1" x14ac:dyDescent="0.25">
      <c r="A10" s="12">
        <v>1984225580</v>
      </c>
      <c r="B10" s="94" t="s">
        <v>75</v>
      </c>
      <c r="C10" s="92">
        <v>27559</v>
      </c>
      <c r="D10" s="91">
        <f t="shared" si="1"/>
        <v>26801.127500000002</v>
      </c>
      <c r="E10" s="92"/>
      <c r="F10" s="92">
        <f t="shared" si="2"/>
        <v>0</v>
      </c>
      <c r="G10" s="92"/>
      <c r="H10" s="92">
        <f t="shared" si="3"/>
        <v>0</v>
      </c>
      <c r="I10" s="92"/>
      <c r="J10" s="92">
        <f t="shared" si="4"/>
        <v>0</v>
      </c>
      <c r="K10" s="92"/>
      <c r="L10" s="92">
        <f t="shared" si="5"/>
        <v>0</v>
      </c>
      <c r="M10" s="92"/>
      <c r="N10" s="91">
        <f t="shared" si="6"/>
        <v>0</v>
      </c>
      <c r="O10" s="92"/>
      <c r="P10" s="91">
        <f t="shared" si="7"/>
        <v>0</v>
      </c>
      <c r="Q10" s="91"/>
      <c r="R10" s="91">
        <f t="shared" si="8"/>
        <v>0</v>
      </c>
      <c r="S10" s="92"/>
      <c r="T10" s="92">
        <f t="shared" si="9"/>
        <v>0</v>
      </c>
      <c r="U10" s="92"/>
      <c r="V10" s="92">
        <f t="shared" si="10"/>
        <v>0</v>
      </c>
      <c r="W10" s="92"/>
      <c r="X10" s="19">
        <f t="shared" si="11"/>
        <v>0</v>
      </c>
      <c r="Y10" s="89">
        <f t="shared" si="0"/>
        <v>26801.127500000002</v>
      </c>
    </row>
    <row r="11" spans="1:25" ht="37.5" customHeight="1" x14ac:dyDescent="0.25">
      <c r="A11" s="12"/>
      <c r="B11" s="93"/>
      <c r="C11" s="92"/>
      <c r="D11" s="22">
        <f t="shared" si="1"/>
        <v>0</v>
      </c>
      <c r="E11" s="92"/>
      <c r="F11" s="92">
        <f t="shared" si="2"/>
        <v>0</v>
      </c>
      <c r="G11" s="92"/>
      <c r="H11" s="92">
        <f t="shared" si="3"/>
        <v>0</v>
      </c>
      <c r="I11" s="92"/>
      <c r="J11" s="92">
        <f t="shared" si="4"/>
        <v>0</v>
      </c>
      <c r="K11" s="92"/>
      <c r="L11" s="92">
        <f t="shared" si="5"/>
        <v>0</v>
      </c>
      <c r="M11" s="92"/>
      <c r="N11" s="91">
        <f t="shared" si="6"/>
        <v>0</v>
      </c>
      <c r="O11" s="92"/>
      <c r="P11" s="91">
        <f t="shared" si="7"/>
        <v>0</v>
      </c>
      <c r="Q11" s="91"/>
      <c r="R11" s="91">
        <f t="shared" si="8"/>
        <v>0</v>
      </c>
      <c r="S11" s="92"/>
      <c r="T11" s="92">
        <f t="shared" si="9"/>
        <v>0</v>
      </c>
      <c r="U11" s="92"/>
      <c r="V11" s="92">
        <f t="shared" si="10"/>
        <v>0</v>
      </c>
      <c r="W11" s="92"/>
      <c r="X11" s="19">
        <f t="shared" si="11"/>
        <v>0</v>
      </c>
      <c r="Y11" s="20">
        <f t="shared" si="0"/>
        <v>0</v>
      </c>
    </row>
    <row r="12" spans="1:25" ht="29.25" customHeight="1" x14ac:dyDescent="0.25">
      <c r="A12" s="2235" t="s">
        <v>31</v>
      </c>
      <c r="B12" s="2235"/>
      <c r="C12" s="18">
        <f t="shared" ref="C12:Y12" si="12">SUM(C6:C11)</f>
        <v>101541</v>
      </c>
      <c r="D12" s="18">
        <f t="shared" si="12"/>
        <v>98748.622500000012</v>
      </c>
      <c r="E12" s="18">
        <f t="shared" si="12"/>
        <v>0</v>
      </c>
      <c r="F12" s="18">
        <f t="shared" si="12"/>
        <v>0</v>
      </c>
      <c r="G12" s="18">
        <f t="shared" si="12"/>
        <v>20</v>
      </c>
      <c r="H12" s="18">
        <f t="shared" si="12"/>
        <v>564</v>
      </c>
      <c r="I12" s="18">
        <f t="shared" si="12"/>
        <v>400</v>
      </c>
      <c r="J12" s="18">
        <f t="shared" si="12"/>
        <v>7400</v>
      </c>
      <c r="K12" s="18">
        <f t="shared" si="12"/>
        <v>0</v>
      </c>
      <c r="L12" s="18">
        <f t="shared" si="12"/>
        <v>0</v>
      </c>
      <c r="M12" s="18">
        <f t="shared" si="12"/>
        <v>0</v>
      </c>
      <c r="N12" s="23">
        <f t="shared" si="12"/>
        <v>0</v>
      </c>
      <c r="O12" s="18">
        <f t="shared" si="12"/>
        <v>0</v>
      </c>
      <c r="P12" s="23">
        <f t="shared" si="12"/>
        <v>0</v>
      </c>
      <c r="Q12" s="23">
        <f t="shared" si="12"/>
        <v>0</v>
      </c>
      <c r="R12" s="23">
        <f>SUM(R6:R11)</f>
        <v>0</v>
      </c>
      <c r="S12" s="18">
        <f t="shared" si="12"/>
        <v>0</v>
      </c>
      <c r="T12" s="18">
        <f t="shared" si="12"/>
        <v>0</v>
      </c>
      <c r="U12" s="18">
        <f t="shared" si="12"/>
        <v>0</v>
      </c>
      <c r="V12" s="18">
        <f t="shared" si="12"/>
        <v>0</v>
      </c>
      <c r="W12" s="18">
        <f t="shared" si="12"/>
        <v>0</v>
      </c>
      <c r="X12" s="18">
        <f t="shared" si="12"/>
        <v>0</v>
      </c>
      <c r="Y12" s="18">
        <f t="shared" si="12"/>
        <v>106712.6225</v>
      </c>
    </row>
    <row r="14" spans="1:25" ht="32.25" customHeight="1" x14ac:dyDescent="0.25">
      <c r="A14" s="30" t="s">
        <v>32</v>
      </c>
      <c r="B14" s="2236" t="s">
        <v>27</v>
      </c>
      <c r="C14" s="2236"/>
      <c r="D14" s="30" t="s">
        <v>33</v>
      </c>
      <c r="E14" s="30" t="s">
        <v>65</v>
      </c>
      <c r="F14" s="30" t="s">
        <v>34</v>
      </c>
      <c r="G14" s="30" t="s">
        <v>13</v>
      </c>
      <c r="H14" s="31" t="s">
        <v>45</v>
      </c>
      <c r="I14" s="30" t="s">
        <v>17</v>
      </c>
      <c r="J14" s="30" t="s">
        <v>66</v>
      </c>
      <c r="K14" s="30" t="s">
        <v>36</v>
      </c>
      <c r="L14" s="30" t="s">
        <v>37</v>
      </c>
      <c r="M14" s="30" t="s">
        <v>69</v>
      </c>
      <c r="N14" s="30" t="s">
        <v>70</v>
      </c>
      <c r="O14" s="86" t="s">
        <v>114</v>
      </c>
      <c r="P14" s="86" t="s">
        <v>99</v>
      </c>
      <c r="Q14" s="15"/>
      <c r="R14" s="15"/>
      <c r="T14" s="2235" t="s">
        <v>46</v>
      </c>
      <c r="U14" s="94" t="s">
        <v>54</v>
      </c>
      <c r="V14" s="2260">
        <v>17740</v>
      </c>
      <c r="W14" s="2268"/>
      <c r="X14" s="2261"/>
    </row>
    <row r="15" spans="1:25" ht="22.5" customHeight="1" x14ac:dyDescent="0.25">
      <c r="A15" s="100" t="s">
        <v>38</v>
      </c>
      <c r="B15" s="2260">
        <v>317326</v>
      </c>
      <c r="C15" s="2261"/>
      <c r="D15" s="97">
        <v>5000</v>
      </c>
      <c r="E15" s="97">
        <v>560</v>
      </c>
      <c r="F15" s="97">
        <v>5080</v>
      </c>
      <c r="G15" s="97">
        <v>0</v>
      </c>
      <c r="H15" s="97">
        <v>157</v>
      </c>
      <c r="I15" s="97">
        <v>40</v>
      </c>
      <c r="J15" s="97">
        <v>30</v>
      </c>
      <c r="K15" s="97">
        <v>30</v>
      </c>
      <c r="L15" s="97">
        <v>144</v>
      </c>
      <c r="M15" s="97">
        <v>0</v>
      </c>
      <c r="N15" s="97">
        <v>100</v>
      </c>
      <c r="O15" s="97">
        <v>0</v>
      </c>
      <c r="P15" s="97">
        <v>836</v>
      </c>
      <c r="Q15" s="21"/>
      <c r="R15" s="21"/>
      <c r="T15" s="2235"/>
      <c r="U15" s="94" t="s">
        <v>64</v>
      </c>
      <c r="V15" s="2262">
        <v>7149</v>
      </c>
      <c r="W15" s="2262"/>
      <c r="X15" s="2262"/>
    </row>
    <row r="16" spans="1:25" ht="24.75" customHeight="1" x14ac:dyDescent="0.25">
      <c r="A16" s="100" t="s">
        <v>39</v>
      </c>
      <c r="B16" s="2260">
        <v>107013</v>
      </c>
      <c r="C16" s="2261"/>
      <c r="D16" s="97"/>
      <c r="E16" s="97"/>
      <c r="F16" s="97"/>
      <c r="G16" s="97"/>
      <c r="H16" s="97"/>
      <c r="I16" s="97"/>
      <c r="J16" s="97"/>
      <c r="K16" s="97"/>
      <c r="L16" s="97"/>
      <c r="M16" s="97"/>
      <c r="N16" s="97"/>
      <c r="O16" s="97"/>
      <c r="P16" s="97"/>
      <c r="Q16" s="21"/>
      <c r="R16" s="21"/>
      <c r="T16" s="2254" t="s">
        <v>55</v>
      </c>
      <c r="U16" s="2254"/>
      <c r="V16" s="2267">
        <f>Y12</f>
        <v>106712.6225</v>
      </c>
      <c r="W16" s="2267"/>
      <c r="X16" s="2262"/>
    </row>
    <row r="17" spans="1:25" ht="28.5" customHeight="1" x14ac:dyDescent="0.25">
      <c r="A17" s="101" t="s">
        <v>44</v>
      </c>
      <c r="B17" s="2260"/>
      <c r="C17" s="2261"/>
      <c r="D17" s="97"/>
      <c r="E17" s="97"/>
      <c r="F17" s="97"/>
      <c r="G17" s="97"/>
      <c r="H17" s="97"/>
      <c r="I17" s="97"/>
      <c r="J17" s="97"/>
      <c r="K17" s="97"/>
      <c r="L17" s="97"/>
      <c r="M17" s="97"/>
      <c r="N17" s="97"/>
      <c r="O17" s="97"/>
      <c r="P17" s="97"/>
      <c r="Q17" s="21"/>
      <c r="R17" s="21"/>
      <c r="T17" s="2270" t="s">
        <v>104</v>
      </c>
      <c r="U17" s="2271"/>
      <c r="V17" s="2262"/>
      <c r="W17" s="2262"/>
      <c r="X17" s="2262"/>
    </row>
    <row r="18" spans="1:25" ht="27" customHeight="1" x14ac:dyDescent="0.25">
      <c r="A18" s="100" t="s">
        <v>40</v>
      </c>
      <c r="B18" s="2264">
        <f>C12</f>
        <v>101541</v>
      </c>
      <c r="C18" s="2261"/>
      <c r="D18" s="99">
        <f>E12</f>
        <v>0</v>
      </c>
      <c r="E18" s="99">
        <f>G12</f>
        <v>20</v>
      </c>
      <c r="F18" s="99">
        <f>I12</f>
        <v>400</v>
      </c>
      <c r="G18" s="99">
        <f>K12</f>
        <v>0</v>
      </c>
      <c r="H18" s="97"/>
      <c r="I18" s="99">
        <f>U12</f>
        <v>0</v>
      </c>
      <c r="J18" s="97"/>
      <c r="K18" s="99">
        <f>W12</f>
        <v>0</v>
      </c>
      <c r="L18" s="97"/>
      <c r="M18" s="99">
        <f>M12</f>
        <v>0</v>
      </c>
      <c r="N18" s="99"/>
      <c r="O18" s="98">
        <f>Q12</f>
        <v>0</v>
      </c>
      <c r="P18" s="97"/>
      <c r="Q18" s="21"/>
      <c r="R18" s="21"/>
      <c r="T18" s="2254" t="s">
        <v>57</v>
      </c>
      <c r="U18" s="2254"/>
      <c r="V18" s="2262">
        <f>530+1800</f>
        <v>2330</v>
      </c>
      <c r="W18" s="2262"/>
      <c r="X18" s="2262"/>
      <c r="Y18" s="2269" t="s">
        <v>133</v>
      </c>
    </row>
    <row r="19" spans="1:25" ht="25.5" customHeight="1" x14ac:dyDescent="0.25">
      <c r="A19" s="100" t="s">
        <v>41</v>
      </c>
      <c r="B19" s="2260">
        <f>B15+B16+B17-B18</f>
        <v>322798</v>
      </c>
      <c r="C19" s="2261"/>
      <c r="D19" s="97">
        <f>D15+D16+D17-D18</f>
        <v>5000</v>
      </c>
      <c r="E19" s="97">
        <f t="shared" ref="E19:N19" si="13">E15+E16+E17-E18</f>
        <v>540</v>
      </c>
      <c r="F19" s="97">
        <f t="shared" si="13"/>
        <v>4680</v>
      </c>
      <c r="G19" s="97">
        <f t="shared" si="13"/>
        <v>0</v>
      </c>
      <c r="H19" s="97">
        <f t="shared" si="13"/>
        <v>157</v>
      </c>
      <c r="I19" s="97">
        <f t="shared" si="13"/>
        <v>40</v>
      </c>
      <c r="J19" s="97">
        <f t="shared" si="13"/>
        <v>30</v>
      </c>
      <c r="K19" s="97">
        <f t="shared" si="13"/>
        <v>30</v>
      </c>
      <c r="L19" s="97">
        <f t="shared" si="13"/>
        <v>144</v>
      </c>
      <c r="M19" s="97">
        <f t="shared" si="13"/>
        <v>0</v>
      </c>
      <c r="N19" s="97">
        <f t="shared" si="13"/>
        <v>100</v>
      </c>
      <c r="O19" s="97">
        <f>O15+O16+O17-O18</f>
        <v>0</v>
      </c>
      <c r="P19" s="97">
        <f>P15+P16+P17-P18</f>
        <v>836</v>
      </c>
      <c r="Q19" s="21"/>
      <c r="R19" s="21"/>
      <c r="T19" s="2256" t="s">
        <v>48</v>
      </c>
      <c r="U19" s="49" t="s">
        <v>58</v>
      </c>
      <c r="V19" s="2262">
        <v>103000</v>
      </c>
      <c r="W19" s="2262"/>
      <c r="X19" s="2262"/>
      <c r="Y19" s="2269"/>
    </row>
    <row r="20" spans="1:25" ht="23.25" customHeight="1" x14ac:dyDescent="0.25">
      <c r="A20" s="15"/>
      <c r="B20" s="10"/>
      <c r="C20" s="10"/>
      <c r="D20" s="10"/>
      <c r="E20" s="10"/>
      <c r="F20" s="10"/>
      <c r="G20" s="10"/>
      <c r="H20" s="10"/>
      <c r="I20" s="10"/>
      <c r="J20" s="10"/>
      <c r="K20" s="10"/>
      <c r="L20" s="10"/>
      <c r="M20" s="10"/>
      <c r="N20" s="10"/>
      <c r="O20" s="10"/>
      <c r="P20" s="10"/>
      <c r="Q20" s="10"/>
      <c r="R20" s="10"/>
      <c r="T20" s="2257"/>
      <c r="U20" s="49" t="s">
        <v>59</v>
      </c>
      <c r="V20" s="2262"/>
      <c r="W20" s="2262"/>
      <c r="X20" s="2262"/>
      <c r="Y20" s="2269"/>
    </row>
    <row r="21" spans="1:25" ht="33.75" customHeight="1" x14ac:dyDescent="0.25">
      <c r="A21" s="15"/>
      <c r="B21" s="10"/>
      <c r="C21" s="10"/>
      <c r="D21" s="10"/>
      <c r="E21" s="10"/>
      <c r="F21" s="10"/>
      <c r="G21" s="10"/>
      <c r="H21" s="10"/>
      <c r="I21" s="10"/>
      <c r="J21" s="10"/>
      <c r="K21" s="10"/>
      <c r="L21" s="10"/>
      <c r="M21" s="10"/>
      <c r="N21" s="10"/>
      <c r="O21" s="10"/>
      <c r="P21" s="10"/>
      <c r="Q21" s="10" t="s">
        <v>139</v>
      </c>
      <c r="R21" s="10"/>
      <c r="T21" s="2251" t="s">
        <v>83</v>
      </c>
      <c r="U21" s="50" t="s">
        <v>60</v>
      </c>
      <c r="V21" s="2262">
        <v>103150</v>
      </c>
      <c r="W21" s="2262"/>
      <c r="X21" s="2262"/>
      <c r="Y21" s="2269"/>
    </row>
    <row r="22" spans="1:25" ht="29.25" customHeight="1" x14ac:dyDescent="0.25">
      <c r="A22" s="10"/>
      <c r="B22" s="2258" t="s">
        <v>49</v>
      </c>
      <c r="C22" s="2265">
        <v>675447</v>
      </c>
      <c r="D22" s="2262">
        <v>103000</v>
      </c>
      <c r="E22" s="2262">
        <v>103000</v>
      </c>
      <c r="F22" s="2262">
        <f>C22-D22+E22</f>
        <v>675447</v>
      </c>
      <c r="G22" s="10"/>
      <c r="H22" s="10"/>
      <c r="I22" s="10"/>
      <c r="J22" s="10"/>
      <c r="K22" s="10"/>
      <c r="L22" s="10"/>
      <c r="M22" s="10"/>
      <c r="N22" s="10"/>
      <c r="O22" s="10"/>
      <c r="P22" s="10"/>
      <c r="Q22" s="10"/>
      <c r="R22" s="10"/>
      <c r="T22" s="2252"/>
      <c r="U22" s="50" t="s">
        <v>61</v>
      </c>
      <c r="V22" s="2262">
        <v>103000</v>
      </c>
      <c r="W22" s="2262"/>
      <c r="X22" s="2262"/>
      <c r="Y22" s="2269"/>
    </row>
    <row r="23" spans="1:25" ht="47.25" customHeight="1" x14ac:dyDescent="0.25">
      <c r="A23" s="10"/>
      <c r="B23" s="2258"/>
      <c r="C23" s="2266"/>
      <c r="D23" s="2262"/>
      <c r="E23" s="2262"/>
      <c r="F23" s="2262"/>
      <c r="G23" s="10"/>
      <c r="H23" s="10"/>
      <c r="I23" s="10"/>
      <c r="J23" s="10"/>
      <c r="K23" s="10"/>
      <c r="L23" s="10"/>
      <c r="M23" s="10"/>
      <c r="N23" s="10"/>
      <c r="O23" s="10"/>
      <c r="P23" s="10"/>
      <c r="Q23" s="10"/>
      <c r="R23" s="10"/>
      <c r="T23" s="2235" t="s">
        <v>47</v>
      </c>
      <c r="U23" s="51" t="s">
        <v>62</v>
      </c>
      <c r="V23" s="2263">
        <f>V14+V16+V17-V18-V19-V20-V21+V22</f>
        <v>18972.622499999998</v>
      </c>
      <c r="W23" s="2263"/>
      <c r="X23" s="2263"/>
      <c r="Y23" s="2269"/>
    </row>
    <row r="24" spans="1:25" ht="27" customHeight="1" x14ac:dyDescent="0.25">
      <c r="B24" s="2258"/>
      <c r="C24" s="94" t="s">
        <v>46</v>
      </c>
      <c r="D24" s="94" t="s">
        <v>50</v>
      </c>
      <c r="E24" s="94" t="s">
        <v>51</v>
      </c>
      <c r="F24" s="94" t="s">
        <v>52</v>
      </c>
      <c r="T24" s="2235"/>
      <c r="U24" s="51" t="s">
        <v>63</v>
      </c>
      <c r="V24" s="2262">
        <f>V15+V21-V22</f>
        <v>7299</v>
      </c>
      <c r="W24" s="2262"/>
      <c r="X24" s="2262"/>
    </row>
  </sheetData>
  <mergeCells count="48">
    <mergeCell ref="A1:Y1"/>
    <mergeCell ref="A2:Y2"/>
    <mergeCell ref="T3:Y3"/>
    <mergeCell ref="A4:A5"/>
    <mergeCell ref="B4:B5"/>
    <mergeCell ref="C4:D4"/>
    <mergeCell ref="E4:F4"/>
    <mergeCell ref="G4:H4"/>
    <mergeCell ref="I4:J4"/>
    <mergeCell ref="K4:L4"/>
    <mergeCell ref="Y4:Y5"/>
    <mergeCell ref="M4:N4"/>
    <mergeCell ref="O4:P4"/>
    <mergeCell ref="Q4:R4"/>
    <mergeCell ref="S4:T4"/>
    <mergeCell ref="U4:V4"/>
    <mergeCell ref="V18:X18"/>
    <mergeCell ref="B22:B24"/>
    <mergeCell ref="C22:C23"/>
    <mergeCell ref="W4:X4"/>
    <mergeCell ref="B16:C16"/>
    <mergeCell ref="T16:U16"/>
    <mergeCell ref="V16:X16"/>
    <mergeCell ref="B17:C17"/>
    <mergeCell ref="T17:U17"/>
    <mergeCell ref="V17:X17"/>
    <mergeCell ref="A12:B12"/>
    <mergeCell ref="B14:C14"/>
    <mergeCell ref="T14:T15"/>
    <mergeCell ref="V14:X14"/>
    <mergeCell ref="B15:C15"/>
    <mergeCell ref="V15:X15"/>
    <mergeCell ref="D22:D23"/>
    <mergeCell ref="E22:E23"/>
    <mergeCell ref="F22:F23"/>
    <mergeCell ref="Y18:Y23"/>
    <mergeCell ref="B19:C19"/>
    <mergeCell ref="T19:T20"/>
    <mergeCell ref="V19:X19"/>
    <mergeCell ref="V20:X20"/>
    <mergeCell ref="T21:T22"/>
    <mergeCell ref="V21:X21"/>
    <mergeCell ref="V22:X22"/>
    <mergeCell ref="T23:T24"/>
    <mergeCell ref="V23:X23"/>
    <mergeCell ref="V24:X24"/>
    <mergeCell ref="B18:C18"/>
    <mergeCell ref="T18:U18"/>
  </mergeCells>
  <pageMargins left="0.15748031496063" right="0.15748031496063" top="0" bottom="0" header="0" footer="0"/>
  <pageSetup paperSize="9" scale="51" orientation="landscape" r:id="rId1"/>
</worksheet>
</file>

<file path=xl/worksheets/sheet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A00-000000000000}">
  <sheetPr>
    <pageSetUpPr fitToPage="1"/>
  </sheetPr>
  <dimension ref="A1:Y24"/>
  <sheetViews>
    <sheetView topLeftCell="A10" zoomScale="67" zoomScaleNormal="67" zoomScaleSheetLayoutView="100" workbookViewId="0">
      <selection activeCell="V18" sqref="V18:X18"/>
    </sheetView>
  </sheetViews>
  <sheetFormatPr defaultColWidth="9.140625" defaultRowHeight="15" x14ac:dyDescent="0.25"/>
  <cols>
    <col min="1" max="1" width="18.28515625" style="14" customWidth="1"/>
    <col min="2" max="2" width="10.7109375" style="14" customWidth="1"/>
    <col min="3" max="3" width="12.28515625" style="14" customWidth="1"/>
    <col min="4" max="4" width="11" style="14" customWidth="1"/>
    <col min="5" max="5" width="12" style="14" customWidth="1"/>
    <col min="6" max="6" width="12.5703125" style="14" bestFit="1" customWidth="1"/>
    <col min="7" max="7" width="9.28515625" style="14" bestFit="1" customWidth="1"/>
    <col min="8" max="8" width="10.140625" style="14" bestFit="1" customWidth="1"/>
    <col min="9" max="9" width="10.5703125" style="14" bestFit="1" customWidth="1"/>
    <col min="10" max="10" width="10.5703125" style="14" customWidth="1"/>
    <col min="11" max="11" width="10.28515625" style="14" bestFit="1" customWidth="1"/>
    <col min="12" max="12" width="9.42578125" style="14" bestFit="1" customWidth="1"/>
    <col min="13" max="13" width="9.85546875" style="14" bestFit="1" customWidth="1"/>
    <col min="14" max="14" width="10.140625" style="14" bestFit="1" customWidth="1"/>
    <col min="15" max="15" width="9" style="14" customWidth="1"/>
    <col min="16" max="16" width="12.85546875" style="14" bestFit="1" customWidth="1"/>
    <col min="17" max="18" width="9.42578125" style="14" customWidth="1"/>
    <col min="19" max="19" width="7.5703125" style="14" customWidth="1"/>
    <col min="20" max="20" width="12.5703125" style="14" customWidth="1"/>
    <col min="21" max="21" width="17.28515625" style="14" customWidth="1"/>
    <col min="22" max="22" width="9.85546875" style="14" bestFit="1" customWidth="1"/>
    <col min="23" max="23" width="10.140625" style="14" bestFit="1" customWidth="1"/>
    <col min="24" max="24" width="9.85546875" style="14" bestFit="1" customWidth="1"/>
    <col min="25" max="25" width="15.85546875" style="14" customWidth="1"/>
    <col min="26" max="16384" width="9.140625" style="14"/>
  </cols>
  <sheetData>
    <row r="1" spans="1:25" ht="46.15" customHeight="1" x14ac:dyDescent="0.25">
      <c r="A1" s="2240" t="s">
        <v>76</v>
      </c>
      <c r="B1" s="2240"/>
      <c r="C1" s="2240"/>
      <c r="D1" s="2240"/>
      <c r="E1" s="2240"/>
      <c r="F1" s="2240"/>
      <c r="G1" s="2240"/>
      <c r="H1" s="2240"/>
      <c r="I1" s="2240"/>
      <c r="J1" s="2240"/>
      <c r="K1" s="2240"/>
      <c r="L1" s="2240"/>
      <c r="M1" s="2240"/>
      <c r="N1" s="2240"/>
      <c r="O1" s="2240"/>
      <c r="P1" s="2240"/>
      <c r="Q1" s="2240"/>
      <c r="R1" s="2240"/>
      <c r="S1" s="2240"/>
      <c r="T1" s="2240"/>
      <c r="U1" s="2240"/>
      <c r="V1" s="2240"/>
      <c r="W1" s="2240"/>
      <c r="X1" s="2240"/>
      <c r="Y1" s="2240"/>
    </row>
    <row r="2" spans="1:25" ht="21.6" customHeight="1" x14ac:dyDescent="0.25">
      <c r="A2" s="2241" t="s">
        <v>77</v>
      </c>
      <c r="B2" s="2241"/>
      <c r="C2" s="2241"/>
      <c r="D2" s="2241"/>
      <c r="E2" s="2241"/>
      <c r="F2" s="2241"/>
      <c r="G2" s="2241"/>
      <c r="H2" s="2241"/>
      <c r="I2" s="2241"/>
      <c r="J2" s="2241"/>
      <c r="K2" s="2241"/>
      <c r="L2" s="2241"/>
      <c r="M2" s="2241"/>
      <c r="N2" s="2241"/>
      <c r="O2" s="2241"/>
      <c r="P2" s="2241"/>
      <c r="Q2" s="2241"/>
      <c r="R2" s="2241"/>
      <c r="S2" s="2241"/>
      <c r="T2" s="2241"/>
      <c r="U2" s="2241"/>
      <c r="V2" s="2241"/>
      <c r="W2" s="2241"/>
      <c r="X2" s="2241"/>
      <c r="Y2" s="2241"/>
    </row>
    <row r="3" spans="1:25" ht="21" customHeight="1" x14ac:dyDescent="0.25">
      <c r="A3" s="96"/>
      <c r="B3" s="96"/>
      <c r="C3" s="96"/>
      <c r="D3" s="96"/>
      <c r="E3" s="96"/>
      <c r="F3" s="96"/>
      <c r="G3" s="96"/>
      <c r="H3" s="96"/>
      <c r="I3" s="96"/>
      <c r="J3" s="96"/>
      <c r="K3" s="96"/>
      <c r="L3" s="96"/>
      <c r="M3" s="96"/>
      <c r="N3" s="96"/>
      <c r="O3" s="96"/>
      <c r="P3" s="96"/>
      <c r="Q3" s="96"/>
      <c r="R3" s="96"/>
      <c r="S3" s="96"/>
      <c r="T3" s="2242" t="s">
        <v>134</v>
      </c>
      <c r="U3" s="2242"/>
      <c r="V3" s="2242"/>
      <c r="W3" s="2242"/>
      <c r="X3" s="2242"/>
      <c r="Y3" s="2242"/>
    </row>
    <row r="4" spans="1:25" s="96" customFormat="1" ht="18" customHeight="1" x14ac:dyDescent="0.25">
      <c r="A4" s="2243" t="s">
        <v>25</v>
      </c>
      <c r="B4" s="2243" t="s">
        <v>26</v>
      </c>
      <c r="C4" s="2244" t="s">
        <v>27</v>
      </c>
      <c r="D4" s="2244"/>
      <c r="E4" s="2244" t="s">
        <v>28</v>
      </c>
      <c r="F4" s="2244"/>
      <c r="G4" s="2244" t="s">
        <v>65</v>
      </c>
      <c r="H4" s="2244"/>
      <c r="I4" s="2244" t="s">
        <v>29</v>
      </c>
      <c r="J4" s="2244"/>
      <c r="K4" s="2245" t="s">
        <v>13</v>
      </c>
      <c r="L4" s="2246"/>
      <c r="M4" s="2245" t="s">
        <v>67</v>
      </c>
      <c r="N4" s="2246"/>
      <c r="O4" s="2245" t="s">
        <v>68</v>
      </c>
      <c r="P4" s="2246"/>
      <c r="Q4" s="2245" t="s">
        <v>114</v>
      </c>
      <c r="R4" s="2246"/>
      <c r="S4" s="2244" t="s">
        <v>35</v>
      </c>
      <c r="T4" s="2244"/>
      <c r="U4" s="2245" t="s">
        <v>17</v>
      </c>
      <c r="V4" s="2246"/>
      <c r="W4" s="2247" t="s">
        <v>36</v>
      </c>
      <c r="X4" s="2248"/>
      <c r="Y4" s="2238" t="s">
        <v>30</v>
      </c>
    </row>
    <row r="5" spans="1:25" s="96" customFormat="1" ht="25.5" customHeight="1" x14ac:dyDescent="0.25">
      <c r="A5" s="2243"/>
      <c r="B5" s="2243"/>
      <c r="C5" s="95" t="s">
        <v>42</v>
      </c>
      <c r="D5" s="95" t="s">
        <v>43</v>
      </c>
      <c r="E5" s="95" t="s">
        <v>42</v>
      </c>
      <c r="F5" s="95" t="s">
        <v>43</v>
      </c>
      <c r="G5" s="95" t="s">
        <v>42</v>
      </c>
      <c r="H5" s="95" t="s">
        <v>43</v>
      </c>
      <c r="I5" s="95" t="s">
        <v>42</v>
      </c>
      <c r="J5" s="95" t="s">
        <v>43</v>
      </c>
      <c r="K5" s="95" t="s">
        <v>42</v>
      </c>
      <c r="L5" s="95" t="s">
        <v>43</v>
      </c>
      <c r="M5" s="95" t="s">
        <v>42</v>
      </c>
      <c r="N5" s="95" t="s">
        <v>43</v>
      </c>
      <c r="O5" s="95" t="s">
        <v>42</v>
      </c>
      <c r="P5" s="95" t="s">
        <v>43</v>
      </c>
      <c r="Q5" s="95" t="s">
        <v>42</v>
      </c>
      <c r="R5" s="95" t="s">
        <v>43</v>
      </c>
      <c r="S5" s="33" t="s">
        <v>42</v>
      </c>
      <c r="T5" s="33" t="s">
        <v>43</v>
      </c>
      <c r="U5" s="30" t="s">
        <v>42</v>
      </c>
      <c r="V5" s="30" t="s">
        <v>43</v>
      </c>
      <c r="W5" s="30" t="s">
        <v>42</v>
      </c>
      <c r="X5" s="30" t="s">
        <v>43</v>
      </c>
      <c r="Y5" s="2239"/>
    </row>
    <row r="6" spans="1:25" ht="34.5" customHeight="1" x14ac:dyDescent="0.25">
      <c r="A6" s="12">
        <v>1409935200</v>
      </c>
      <c r="B6" s="94" t="s">
        <v>71</v>
      </c>
      <c r="C6" s="92">
        <v>17788</v>
      </c>
      <c r="D6" s="91">
        <f>0.9725*C6</f>
        <v>17298.830000000002</v>
      </c>
      <c r="E6" s="92"/>
      <c r="F6" s="92">
        <f>13.7*E6</f>
        <v>0</v>
      </c>
      <c r="G6" s="92"/>
      <c r="H6" s="92">
        <f>28.2*G6</f>
        <v>0</v>
      </c>
      <c r="I6" s="92"/>
      <c r="J6" s="92">
        <f>18.5*I6</f>
        <v>0</v>
      </c>
      <c r="K6" s="92"/>
      <c r="L6" s="92">
        <f>19.5*K6</f>
        <v>0</v>
      </c>
      <c r="M6" s="92"/>
      <c r="N6" s="91">
        <f>M6*9.75</f>
        <v>0</v>
      </c>
      <c r="O6" s="92"/>
      <c r="P6" s="91">
        <f>O6*48.62</f>
        <v>0</v>
      </c>
      <c r="Q6" s="91"/>
      <c r="R6" s="91">
        <f>241*Q6</f>
        <v>0</v>
      </c>
      <c r="S6" s="92"/>
      <c r="T6" s="92">
        <f>241*S6</f>
        <v>0</v>
      </c>
      <c r="U6" s="92"/>
      <c r="V6" s="92">
        <f>232*U6</f>
        <v>0</v>
      </c>
      <c r="W6" s="92"/>
      <c r="X6" s="19">
        <f>W6*100</f>
        <v>0</v>
      </c>
      <c r="Y6" s="89">
        <f t="shared" ref="Y6:Y11" si="0">D6+F6+H6+J6+L6+N6+P6+R6+T6+V6+X6</f>
        <v>17298.830000000002</v>
      </c>
    </row>
    <row r="7" spans="1:25" ht="31.5" customHeight="1" x14ac:dyDescent="0.25">
      <c r="A7" s="12">
        <v>1984225578</v>
      </c>
      <c r="B7" s="94" t="s">
        <v>72</v>
      </c>
      <c r="C7" s="92">
        <v>30019</v>
      </c>
      <c r="D7" s="91">
        <f t="shared" ref="D7:D11" si="1">0.9725*C7</f>
        <v>29193.477500000001</v>
      </c>
      <c r="E7" s="92"/>
      <c r="F7" s="92">
        <f t="shared" ref="F7:F11" si="2">13.7*E7</f>
        <v>0</v>
      </c>
      <c r="G7" s="92">
        <v>40</v>
      </c>
      <c r="H7" s="92">
        <f t="shared" ref="H7:H11" si="3">28.2*G7</f>
        <v>1128</v>
      </c>
      <c r="I7" s="92">
        <v>880</v>
      </c>
      <c r="J7" s="92">
        <f t="shared" ref="J7:J11" si="4">18.5*I7</f>
        <v>16280</v>
      </c>
      <c r="K7" s="92"/>
      <c r="L7" s="92">
        <f t="shared" ref="L7:L11" si="5">19.5*K7</f>
        <v>0</v>
      </c>
      <c r="M7" s="92"/>
      <c r="N7" s="91">
        <f t="shared" ref="N7:N11" si="6">M7*9.75</f>
        <v>0</v>
      </c>
      <c r="O7" s="92"/>
      <c r="P7" s="91">
        <f t="shared" ref="P7:P11" si="7">O7*48.62</f>
        <v>0</v>
      </c>
      <c r="Q7" s="91"/>
      <c r="R7" s="91">
        <f t="shared" ref="R7:R11" si="8">241*Q7</f>
        <v>0</v>
      </c>
      <c r="S7" s="92"/>
      <c r="T7" s="92">
        <f t="shared" ref="T7:T11" si="9">241*S7</f>
        <v>0</v>
      </c>
      <c r="U7" s="92"/>
      <c r="V7" s="92">
        <f t="shared" ref="V7:V11" si="10">232*U7</f>
        <v>0</v>
      </c>
      <c r="W7" s="92"/>
      <c r="X7" s="19">
        <f t="shared" ref="X7:X11" si="11">W7*100</f>
        <v>0</v>
      </c>
      <c r="Y7" s="89">
        <f t="shared" si="0"/>
        <v>46601.477500000001</v>
      </c>
    </row>
    <row r="8" spans="1:25" ht="35.25" customHeight="1" x14ac:dyDescent="0.25">
      <c r="A8" s="12">
        <v>1967020280</v>
      </c>
      <c r="B8" s="94" t="s">
        <v>73</v>
      </c>
      <c r="C8" s="92">
        <v>19341</v>
      </c>
      <c r="D8" s="91">
        <f t="shared" si="1"/>
        <v>18809.122500000001</v>
      </c>
      <c r="E8" s="92"/>
      <c r="F8" s="92">
        <f t="shared" si="2"/>
        <v>0</v>
      </c>
      <c r="G8" s="92"/>
      <c r="H8" s="92">
        <f t="shared" si="3"/>
        <v>0</v>
      </c>
      <c r="I8" s="92">
        <v>740</v>
      </c>
      <c r="J8" s="92">
        <f t="shared" si="4"/>
        <v>13690</v>
      </c>
      <c r="K8" s="92"/>
      <c r="L8" s="92">
        <f t="shared" si="5"/>
        <v>0</v>
      </c>
      <c r="M8" s="92"/>
      <c r="N8" s="91">
        <f t="shared" si="6"/>
        <v>0</v>
      </c>
      <c r="O8" s="92"/>
      <c r="P8" s="91">
        <f t="shared" si="7"/>
        <v>0</v>
      </c>
      <c r="Q8" s="91"/>
      <c r="R8" s="91">
        <f t="shared" si="8"/>
        <v>0</v>
      </c>
      <c r="S8" s="92"/>
      <c r="T8" s="92">
        <f t="shared" si="9"/>
        <v>0</v>
      </c>
      <c r="U8" s="92"/>
      <c r="V8" s="92">
        <f t="shared" si="10"/>
        <v>0</v>
      </c>
      <c r="W8" s="92"/>
      <c r="X8" s="19">
        <f t="shared" si="11"/>
        <v>0</v>
      </c>
      <c r="Y8" s="89">
        <f t="shared" si="0"/>
        <v>32499.122500000001</v>
      </c>
    </row>
    <row r="9" spans="1:25" ht="38.25" customHeight="1" x14ac:dyDescent="0.25">
      <c r="A9" s="12">
        <v>1409935199</v>
      </c>
      <c r="B9" s="94" t="s">
        <v>74</v>
      </c>
      <c r="C9" s="92">
        <v>12227</v>
      </c>
      <c r="D9" s="91">
        <f t="shared" si="1"/>
        <v>11890.7575</v>
      </c>
      <c r="E9" s="92"/>
      <c r="F9" s="92">
        <f t="shared" si="2"/>
        <v>0</v>
      </c>
      <c r="G9" s="92"/>
      <c r="H9" s="92">
        <f t="shared" si="3"/>
        <v>0</v>
      </c>
      <c r="I9" s="92"/>
      <c r="J9" s="92">
        <f t="shared" si="4"/>
        <v>0</v>
      </c>
      <c r="K9" s="92"/>
      <c r="L9" s="92">
        <f t="shared" si="5"/>
        <v>0</v>
      </c>
      <c r="M9" s="92"/>
      <c r="N9" s="91">
        <f t="shared" si="6"/>
        <v>0</v>
      </c>
      <c r="O9" s="92"/>
      <c r="P9" s="91">
        <f t="shared" si="7"/>
        <v>0</v>
      </c>
      <c r="Q9" s="91"/>
      <c r="R9" s="91">
        <f t="shared" si="8"/>
        <v>0</v>
      </c>
      <c r="S9" s="92"/>
      <c r="T9" s="92">
        <f t="shared" si="9"/>
        <v>0</v>
      </c>
      <c r="U9" s="92"/>
      <c r="V9" s="92">
        <f t="shared" si="10"/>
        <v>0</v>
      </c>
      <c r="W9" s="92"/>
      <c r="X9" s="19">
        <f t="shared" si="11"/>
        <v>0</v>
      </c>
      <c r="Y9" s="89">
        <f t="shared" si="0"/>
        <v>11890.7575</v>
      </c>
    </row>
    <row r="10" spans="1:25" ht="35.25" customHeight="1" x14ac:dyDescent="0.25">
      <c r="A10" s="12">
        <v>1984225580</v>
      </c>
      <c r="B10" s="94" t="s">
        <v>75</v>
      </c>
      <c r="C10" s="92">
        <v>15938</v>
      </c>
      <c r="D10" s="91">
        <f t="shared" si="1"/>
        <v>15499.705</v>
      </c>
      <c r="E10" s="92">
        <v>5000</v>
      </c>
      <c r="F10" s="92">
        <f t="shared" si="2"/>
        <v>68500</v>
      </c>
      <c r="G10" s="92"/>
      <c r="H10" s="92">
        <f t="shared" si="3"/>
        <v>0</v>
      </c>
      <c r="I10" s="92"/>
      <c r="J10" s="92">
        <f t="shared" si="4"/>
        <v>0</v>
      </c>
      <c r="K10" s="92"/>
      <c r="L10" s="92">
        <f t="shared" si="5"/>
        <v>0</v>
      </c>
      <c r="M10" s="92"/>
      <c r="N10" s="91">
        <f t="shared" si="6"/>
        <v>0</v>
      </c>
      <c r="O10" s="92"/>
      <c r="P10" s="91">
        <f t="shared" si="7"/>
        <v>0</v>
      </c>
      <c r="Q10" s="91"/>
      <c r="R10" s="91">
        <f t="shared" si="8"/>
        <v>0</v>
      </c>
      <c r="S10" s="92"/>
      <c r="T10" s="92">
        <f t="shared" si="9"/>
        <v>0</v>
      </c>
      <c r="U10" s="92"/>
      <c r="V10" s="92">
        <f t="shared" si="10"/>
        <v>0</v>
      </c>
      <c r="W10" s="92"/>
      <c r="X10" s="19">
        <f t="shared" si="11"/>
        <v>0</v>
      </c>
      <c r="Y10" s="89">
        <f t="shared" si="0"/>
        <v>83999.705000000002</v>
      </c>
    </row>
    <row r="11" spans="1:25" ht="37.5" customHeight="1" x14ac:dyDescent="0.25">
      <c r="A11" s="12"/>
      <c r="B11" s="93"/>
      <c r="C11" s="92"/>
      <c r="D11" s="22">
        <f t="shared" si="1"/>
        <v>0</v>
      </c>
      <c r="E11" s="92"/>
      <c r="F11" s="92">
        <f t="shared" si="2"/>
        <v>0</v>
      </c>
      <c r="G11" s="92"/>
      <c r="H11" s="92">
        <f t="shared" si="3"/>
        <v>0</v>
      </c>
      <c r="I11" s="92"/>
      <c r="J11" s="92">
        <f t="shared" si="4"/>
        <v>0</v>
      </c>
      <c r="K11" s="92"/>
      <c r="L11" s="92">
        <f t="shared" si="5"/>
        <v>0</v>
      </c>
      <c r="M11" s="92"/>
      <c r="N11" s="91">
        <f t="shared" si="6"/>
        <v>0</v>
      </c>
      <c r="O11" s="92"/>
      <c r="P11" s="91">
        <f t="shared" si="7"/>
        <v>0</v>
      </c>
      <c r="Q11" s="91"/>
      <c r="R11" s="91">
        <f t="shared" si="8"/>
        <v>0</v>
      </c>
      <c r="S11" s="92"/>
      <c r="T11" s="92">
        <f t="shared" si="9"/>
        <v>0</v>
      </c>
      <c r="U11" s="92">
        <v>25</v>
      </c>
      <c r="V11" s="92">
        <f t="shared" si="10"/>
        <v>5800</v>
      </c>
      <c r="W11" s="92"/>
      <c r="X11" s="19">
        <f t="shared" si="11"/>
        <v>0</v>
      </c>
      <c r="Y11" s="20">
        <f t="shared" si="0"/>
        <v>5800</v>
      </c>
    </row>
    <row r="12" spans="1:25" ht="29.25" customHeight="1" x14ac:dyDescent="0.25">
      <c r="A12" s="2235" t="s">
        <v>31</v>
      </c>
      <c r="B12" s="2235"/>
      <c r="C12" s="18">
        <f t="shared" ref="C12:Y12" si="12">SUM(C6:C11)</f>
        <v>95313</v>
      </c>
      <c r="D12" s="18">
        <f t="shared" si="12"/>
        <v>92691.892500000002</v>
      </c>
      <c r="E12" s="18">
        <f t="shared" si="12"/>
        <v>5000</v>
      </c>
      <c r="F12" s="18">
        <f t="shared" si="12"/>
        <v>68500</v>
      </c>
      <c r="G12" s="18">
        <f t="shared" si="12"/>
        <v>40</v>
      </c>
      <c r="H12" s="18">
        <f t="shared" si="12"/>
        <v>1128</v>
      </c>
      <c r="I12" s="18">
        <f t="shared" si="12"/>
        <v>1620</v>
      </c>
      <c r="J12" s="18">
        <f t="shared" si="12"/>
        <v>29970</v>
      </c>
      <c r="K12" s="18">
        <f t="shared" si="12"/>
        <v>0</v>
      </c>
      <c r="L12" s="18">
        <f t="shared" si="12"/>
        <v>0</v>
      </c>
      <c r="M12" s="18">
        <f t="shared" si="12"/>
        <v>0</v>
      </c>
      <c r="N12" s="23">
        <f t="shared" si="12"/>
        <v>0</v>
      </c>
      <c r="O12" s="18">
        <f t="shared" si="12"/>
        <v>0</v>
      </c>
      <c r="P12" s="23">
        <f t="shared" si="12"/>
        <v>0</v>
      </c>
      <c r="Q12" s="23">
        <f t="shared" si="12"/>
        <v>0</v>
      </c>
      <c r="R12" s="23">
        <f>SUM(R6:R11)</f>
        <v>0</v>
      </c>
      <c r="S12" s="18">
        <f t="shared" si="12"/>
        <v>0</v>
      </c>
      <c r="T12" s="18">
        <f t="shared" si="12"/>
        <v>0</v>
      </c>
      <c r="U12" s="18">
        <f t="shared" si="12"/>
        <v>25</v>
      </c>
      <c r="V12" s="18">
        <f t="shared" si="12"/>
        <v>5800</v>
      </c>
      <c r="W12" s="18">
        <f t="shared" si="12"/>
        <v>0</v>
      </c>
      <c r="X12" s="18">
        <f t="shared" si="12"/>
        <v>0</v>
      </c>
      <c r="Y12" s="18">
        <f t="shared" si="12"/>
        <v>198089.89250000002</v>
      </c>
    </row>
    <row r="14" spans="1:25" ht="32.25" customHeight="1" x14ac:dyDescent="0.25">
      <c r="A14" s="30" t="s">
        <v>32</v>
      </c>
      <c r="B14" s="2236" t="s">
        <v>27</v>
      </c>
      <c r="C14" s="2236"/>
      <c r="D14" s="30" t="s">
        <v>33</v>
      </c>
      <c r="E14" s="30" t="s">
        <v>65</v>
      </c>
      <c r="F14" s="30" t="s">
        <v>34</v>
      </c>
      <c r="G14" s="30" t="s">
        <v>13</v>
      </c>
      <c r="H14" s="31" t="s">
        <v>45</v>
      </c>
      <c r="I14" s="30" t="s">
        <v>17</v>
      </c>
      <c r="J14" s="30" t="s">
        <v>66</v>
      </c>
      <c r="K14" s="30" t="s">
        <v>36</v>
      </c>
      <c r="L14" s="30" t="s">
        <v>37</v>
      </c>
      <c r="M14" s="30" t="s">
        <v>69</v>
      </c>
      <c r="N14" s="30" t="s">
        <v>70</v>
      </c>
      <c r="O14" s="86" t="s">
        <v>114</v>
      </c>
      <c r="P14" s="86" t="s">
        <v>99</v>
      </c>
      <c r="Q14" s="15"/>
      <c r="R14" s="15"/>
      <c r="T14" s="2235" t="s">
        <v>46</v>
      </c>
      <c r="U14" s="94" t="s">
        <v>54</v>
      </c>
      <c r="V14" s="2260">
        <v>18973</v>
      </c>
      <c r="W14" s="2268"/>
      <c r="X14" s="2261"/>
    </row>
    <row r="15" spans="1:25" ht="22.5" customHeight="1" x14ac:dyDescent="0.25">
      <c r="A15" s="100" t="s">
        <v>38</v>
      </c>
      <c r="B15" s="2260">
        <v>322798</v>
      </c>
      <c r="C15" s="2261"/>
      <c r="D15" s="97">
        <v>5000</v>
      </c>
      <c r="E15" s="97">
        <v>540</v>
      </c>
      <c r="F15" s="97">
        <v>4680</v>
      </c>
      <c r="G15" s="97">
        <v>0</v>
      </c>
      <c r="H15" s="97">
        <v>157</v>
      </c>
      <c r="I15" s="97">
        <v>40</v>
      </c>
      <c r="J15" s="97">
        <v>30</v>
      </c>
      <c r="K15" s="97">
        <v>30</v>
      </c>
      <c r="L15" s="97">
        <v>144</v>
      </c>
      <c r="M15" s="97">
        <v>0</v>
      </c>
      <c r="N15" s="97">
        <v>100</v>
      </c>
      <c r="O15" s="97">
        <v>0</v>
      </c>
      <c r="P15" s="97">
        <v>836</v>
      </c>
      <c r="Q15" s="21"/>
      <c r="R15" s="21"/>
      <c r="T15" s="2235"/>
      <c r="U15" s="94" t="s">
        <v>64</v>
      </c>
      <c r="V15" s="2262">
        <v>7299</v>
      </c>
      <c r="W15" s="2262"/>
      <c r="X15" s="2262"/>
    </row>
    <row r="16" spans="1:25" ht="24.75" customHeight="1" x14ac:dyDescent="0.25">
      <c r="A16" s="100" t="s">
        <v>39</v>
      </c>
      <c r="B16" s="2260">
        <v>100000</v>
      </c>
      <c r="C16" s="2261"/>
      <c r="D16" s="97"/>
      <c r="E16" s="97">
        <v>500</v>
      </c>
      <c r="F16" s="97">
        <v>4000</v>
      </c>
      <c r="G16" s="97"/>
      <c r="H16" s="97"/>
      <c r="I16" s="97">
        <v>65</v>
      </c>
      <c r="J16" s="97"/>
      <c r="K16" s="97"/>
      <c r="L16" s="97"/>
      <c r="M16" s="97"/>
      <c r="N16" s="97"/>
      <c r="O16" s="97"/>
      <c r="P16" s="97"/>
      <c r="Q16" s="21"/>
      <c r="R16" s="21"/>
      <c r="T16" s="2254" t="s">
        <v>55</v>
      </c>
      <c r="U16" s="2254"/>
      <c r="V16" s="2267">
        <f>Y12</f>
        <v>198089.89250000002</v>
      </c>
      <c r="W16" s="2267"/>
      <c r="X16" s="2262"/>
    </row>
    <row r="17" spans="1:25" ht="28.5" customHeight="1" x14ac:dyDescent="0.25">
      <c r="A17" s="101" t="s">
        <v>44</v>
      </c>
      <c r="B17" s="2260"/>
      <c r="C17" s="2261"/>
      <c r="D17" s="97"/>
      <c r="E17" s="97"/>
      <c r="F17" s="97"/>
      <c r="G17" s="97"/>
      <c r="H17" s="97"/>
      <c r="I17" s="97"/>
      <c r="J17" s="97"/>
      <c r="K17" s="97"/>
      <c r="L17" s="97"/>
      <c r="M17" s="97"/>
      <c r="N17" s="97"/>
      <c r="O17" s="97"/>
      <c r="P17" s="97"/>
      <c r="Q17" s="21"/>
      <c r="R17" s="21"/>
      <c r="T17" s="2270" t="s">
        <v>104</v>
      </c>
      <c r="U17" s="2271"/>
      <c r="V17" s="2262"/>
      <c r="W17" s="2262"/>
      <c r="X17" s="2262"/>
    </row>
    <row r="18" spans="1:25" ht="27" customHeight="1" x14ac:dyDescent="0.25">
      <c r="A18" s="100" t="s">
        <v>40</v>
      </c>
      <c r="B18" s="2264">
        <f>C12</f>
        <v>95313</v>
      </c>
      <c r="C18" s="2261"/>
      <c r="D18" s="99">
        <f>E12</f>
        <v>5000</v>
      </c>
      <c r="E18" s="99">
        <f>G12</f>
        <v>40</v>
      </c>
      <c r="F18" s="99">
        <f>I12</f>
        <v>1620</v>
      </c>
      <c r="G18" s="99">
        <f>K12</f>
        <v>0</v>
      </c>
      <c r="H18" s="97"/>
      <c r="I18" s="99">
        <f>U12</f>
        <v>25</v>
      </c>
      <c r="J18" s="97"/>
      <c r="K18" s="99">
        <f>W12</f>
        <v>0</v>
      </c>
      <c r="L18" s="97"/>
      <c r="M18" s="99">
        <f>M12</f>
        <v>0</v>
      </c>
      <c r="N18" s="99"/>
      <c r="O18" s="98">
        <f>Q12</f>
        <v>0</v>
      </c>
      <c r="P18" s="97"/>
      <c r="Q18" s="21"/>
      <c r="R18" s="21"/>
      <c r="T18" s="2254" t="s">
        <v>57</v>
      </c>
      <c r="U18" s="2254"/>
      <c r="V18" s="2262">
        <f>530+100</f>
        <v>630</v>
      </c>
      <c r="W18" s="2262"/>
      <c r="X18" s="2262"/>
      <c r="Y18" s="2269" t="s">
        <v>135</v>
      </c>
    </row>
    <row r="19" spans="1:25" ht="25.5" customHeight="1" x14ac:dyDescent="0.25">
      <c r="A19" s="100" t="s">
        <v>41</v>
      </c>
      <c r="B19" s="2260">
        <f>B15+B16+B17-B18</f>
        <v>327485</v>
      </c>
      <c r="C19" s="2261"/>
      <c r="D19" s="97">
        <f>D15+D16+D17-D18</f>
        <v>0</v>
      </c>
      <c r="E19" s="97">
        <f t="shared" ref="E19:N19" si="13">E15+E16+E17-E18</f>
        <v>1000</v>
      </c>
      <c r="F19" s="97">
        <f t="shared" si="13"/>
        <v>7060</v>
      </c>
      <c r="G19" s="97">
        <f t="shared" si="13"/>
        <v>0</v>
      </c>
      <c r="H19" s="97">
        <f t="shared" si="13"/>
        <v>157</v>
      </c>
      <c r="I19" s="97">
        <f t="shared" si="13"/>
        <v>80</v>
      </c>
      <c r="J19" s="97">
        <f t="shared" si="13"/>
        <v>30</v>
      </c>
      <c r="K19" s="97">
        <f t="shared" si="13"/>
        <v>30</v>
      </c>
      <c r="L19" s="97">
        <f t="shared" si="13"/>
        <v>144</v>
      </c>
      <c r="M19" s="97">
        <f t="shared" si="13"/>
        <v>0</v>
      </c>
      <c r="N19" s="97">
        <f t="shared" si="13"/>
        <v>100</v>
      </c>
      <c r="O19" s="97">
        <f>O15+O16+O17-O18</f>
        <v>0</v>
      </c>
      <c r="P19" s="97">
        <f>P15+P16+P17-P18</f>
        <v>836</v>
      </c>
      <c r="Q19" s="21"/>
      <c r="R19" s="21"/>
      <c r="T19" s="2256" t="s">
        <v>48</v>
      </c>
      <c r="U19" s="49" t="s">
        <v>58</v>
      </c>
      <c r="V19" s="2262">
        <v>195000</v>
      </c>
      <c r="W19" s="2262"/>
      <c r="X19" s="2262"/>
      <c r="Y19" s="2269"/>
    </row>
    <row r="20" spans="1:25" ht="23.25" customHeight="1" x14ac:dyDescent="0.25">
      <c r="A20" s="15"/>
      <c r="B20" s="10"/>
      <c r="C20" s="10"/>
      <c r="D20" s="10"/>
      <c r="E20" s="10"/>
      <c r="F20" s="10"/>
      <c r="G20" s="10"/>
      <c r="H20" s="10"/>
      <c r="I20" s="10"/>
      <c r="J20" s="10"/>
      <c r="K20" s="10"/>
      <c r="L20" s="10"/>
      <c r="M20" s="10"/>
      <c r="N20" s="10"/>
      <c r="O20" s="10"/>
      <c r="P20" s="10"/>
      <c r="Q20" s="10"/>
      <c r="R20" s="10"/>
      <c r="T20" s="2257"/>
      <c r="U20" s="49" t="s">
        <v>59</v>
      </c>
      <c r="V20" s="2262"/>
      <c r="W20" s="2262"/>
      <c r="X20" s="2262"/>
      <c r="Y20" s="2269"/>
    </row>
    <row r="21" spans="1:25" ht="33.75" customHeight="1" x14ac:dyDescent="0.25">
      <c r="A21" s="15"/>
      <c r="B21" s="10"/>
      <c r="C21" s="10"/>
      <c r="D21" s="10"/>
      <c r="E21" s="10"/>
      <c r="F21" s="10"/>
      <c r="G21" s="10"/>
      <c r="H21" s="10"/>
      <c r="I21" s="10"/>
      <c r="J21" s="10"/>
      <c r="K21" s="10"/>
      <c r="L21" s="10"/>
      <c r="M21" s="10"/>
      <c r="N21" s="10"/>
      <c r="O21" s="10"/>
      <c r="P21" s="10"/>
      <c r="Q21" s="10"/>
      <c r="R21" s="10"/>
      <c r="T21" s="2251" t="s">
        <v>83</v>
      </c>
      <c r="U21" s="50" t="s">
        <v>60</v>
      </c>
      <c r="V21" s="2262">
        <v>195520</v>
      </c>
      <c r="W21" s="2262"/>
      <c r="X21" s="2262"/>
      <c r="Y21" s="2269"/>
    </row>
    <row r="22" spans="1:25" ht="29.25" customHeight="1" x14ac:dyDescent="0.25">
      <c r="A22" s="10"/>
      <c r="B22" s="2258" t="s">
        <v>49</v>
      </c>
      <c r="C22" s="2265">
        <v>675447</v>
      </c>
      <c r="D22" s="2262">
        <v>195000</v>
      </c>
      <c r="E22" s="2262">
        <v>197941</v>
      </c>
      <c r="F22" s="2262">
        <f>C22-D22+E22</f>
        <v>678388</v>
      </c>
      <c r="G22" s="10"/>
      <c r="H22" s="10"/>
      <c r="I22" s="10"/>
      <c r="J22" s="10"/>
      <c r="K22" s="10"/>
      <c r="L22" s="10"/>
      <c r="M22" s="10"/>
      <c r="N22" s="10"/>
      <c r="O22" s="10"/>
      <c r="P22" s="10"/>
      <c r="Q22" s="10"/>
      <c r="R22" s="10"/>
      <c r="T22" s="2252"/>
      <c r="U22" s="50" t="s">
        <v>61</v>
      </c>
      <c r="V22" s="2262">
        <v>195000</v>
      </c>
      <c r="W22" s="2262"/>
      <c r="X22" s="2262"/>
      <c r="Y22" s="2269"/>
    </row>
    <row r="23" spans="1:25" ht="47.25" customHeight="1" x14ac:dyDescent="0.25">
      <c r="A23" s="10"/>
      <c r="B23" s="2258"/>
      <c r="C23" s="2266"/>
      <c r="D23" s="2262"/>
      <c r="E23" s="2262"/>
      <c r="F23" s="2262"/>
      <c r="G23" s="10"/>
      <c r="H23" s="10"/>
      <c r="I23" s="10"/>
      <c r="J23" s="10"/>
      <c r="K23" s="10"/>
      <c r="L23" s="10"/>
      <c r="M23" s="10"/>
      <c r="N23" s="10"/>
      <c r="O23" s="10"/>
      <c r="P23" s="10"/>
      <c r="Q23" s="10"/>
      <c r="R23" s="10"/>
      <c r="T23" s="2235" t="s">
        <v>47</v>
      </c>
      <c r="U23" s="51" t="s">
        <v>62</v>
      </c>
      <c r="V23" s="2263">
        <f>V14+V16+V17-V18-V19-V20-V21+V22</f>
        <v>20912.892500000016</v>
      </c>
      <c r="W23" s="2263"/>
      <c r="X23" s="2263"/>
      <c r="Y23" s="2269"/>
    </row>
    <row r="24" spans="1:25" ht="27" customHeight="1" x14ac:dyDescent="0.25">
      <c r="B24" s="2258"/>
      <c r="C24" s="94" t="s">
        <v>46</v>
      </c>
      <c r="D24" s="94" t="s">
        <v>50</v>
      </c>
      <c r="E24" s="94" t="s">
        <v>51</v>
      </c>
      <c r="F24" s="94" t="s">
        <v>52</v>
      </c>
      <c r="T24" s="2235"/>
      <c r="U24" s="51" t="s">
        <v>63</v>
      </c>
      <c r="V24" s="2262">
        <f>V15+V21-V22</f>
        <v>7819</v>
      </c>
      <c r="W24" s="2262"/>
      <c r="X24" s="2262"/>
    </row>
  </sheetData>
  <mergeCells count="48">
    <mergeCell ref="A1:Y1"/>
    <mergeCell ref="A2:Y2"/>
    <mergeCell ref="T3:Y3"/>
    <mergeCell ref="A4:A5"/>
    <mergeCell ref="B4:B5"/>
    <mergeCell ref="C4:D4"/>
    <mergeCell ref="E4:F4"/>
    <mergeCell ref="G4:H4"/>
    <mergeCell ref="I4:J4"/>
    <mergeCell ref="K4:L4"/>
    <mergeCell ref="Y4:Y5"/>
    <mergeCell ref="M4:N4"/>
    <mergeCell ref="O4:P4"/>
    <mergeCell ref="Q4:R4"/>
    <mergeCell ref="S4:T4"/>
    <mergeCell ref="U4:V4"/>
    <mergeCell ref="V18:X18"/>
    <mergeCell ref="B22:B24"/>
    <mergeCell ref="C22:C23"/>
    <mergeCell ref="W4:X4"/>
    <mergeCell ref="B16:C16"/>
    <mergeCell ref="T16:U16"/>
    <mergeCell ref="V16:X16"/>
    <mergeCell ref="B17:C17"/>
    <mergeCell ref="T17:U17"/>
    <mergeCell ref="V17:X17"/>
    <mergeCell ref="A12:B12"/>
    <mergeCell ref="B14:C14"/>
    <mergeCell ref="T14:T15"/>
    <mergeCell ref="V14:X14"/>
    <mergeCell ref="B15:C15"/>
    <mergeCell ref="V15:X15"/>
    <mergeCell ref="D22:D23"/>
    <mergeCell ref="E22:E23"/>
    <mergeCell ref="F22:F23"/>
    <mergeCell ref="Y18:Y23"/>
    <mergeCell ref="B19:C19"/>
    <mergeCell ref="T19:T20"/>
    <mergeCell ref="V19:X19"/>
    <mergeCell ref="V20:X20"/>
    <mergeCell ref="T21:T22"/>
    <mergeCell ref="V21:X21"/>
    <mergeCell ref="V22:X22"/>
    <mergeCell ref="T23:T24"/>
    <mergeCell ref="V23:X23"/>
    <mergeCell ref="V24:X24"/>
    <mergeCell ref="B18:C18"/>
    <mergeCell ref="T18:U18"/>
  </mergeCells>
  <pageMargins left="0.15748031496063" right="0.15748031496063" top="0" bottom="0" header="0" footer="0"/>
  <pageSetup paperSize="9" scale="51" orientation="landscape" r:id="rId1"/>
</worksheet>
</file>

<file path=xl/worksheets/sheet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B00-000000000000}">
  <sheetPr>
    <pageSetUpPr fitToPage="1"/>
  </sheetPr>
  <dimension ref="A1:Y24"/>
  <sheetViews>
    <sheetView topLeftCell="A6" zoomScale="67" zoomScaleNormal="67" zoomScaleSheetLayoutView="100" workbookViewId="0">
      <selection activeCell="P21" sqref="P21"/>
    </sheetView>
  </sheetViews>
  <sheetFormatPr defaultColWidth="9.140625" defaultRowHeight="15" x14ac:dyDescent="0.25"/>
  <cols>
    <col min="1" max="1" width="18.28515625" style="14" customWidth="1"/>
    <col min="2" max="2" width="10.7109375" style="14" customWidth="1"/>
    <col min="3" max="3" width="12.28515625" style="14" customWidth="1"/>
    <col min="4" max="4" width="11" style="14" customWidth="1"/>
    <col min="5" max="5" width="12" style="14" customWidth="1"/>
    <col min="6" max="6" width="12.5703125" style="14" bestFit="1" customWidth="1"/>
    <col min="7" max="7" width="9.28515625" style="14" bestFit="1" customWidth="1"/>
    <col min="8" max="8" width="10.140625" style="14" bestFit="1" customWidth="1"/>
    <col min="9" max="9" width="10.5703125" style="14" bestFit="1" customWidth="1"/>
    <col min="10" max="10" width="10.5703125" style="14" customWidth="1"/>
    <col min="11" max="11" width="10.28515625" style="14" bestFit="1" customWidth="1"/>
    <col min="12" max="12" width="9.42578125" style="14" bestFit="1" customWidth="1"/>
    <col min="13" max="13" width="9.85546875" style="14" bestFit="1" customWidth="1"/>
    <col min="14" max="14" width="10.140625" style="14" bestFit="1" customWidth="1"/>
    <col min="15" max="15" width="9" style="14" customWidth="1"/>
    <col min="16" max="16" width="12.85546875" style="14" bestFit="1" customWidth="1"/>
    <col min="17" max="18" width="9.42578125" style="14" customWidth="1"/>
    <col min="19" max="19" width="7.5703125" style="14" customWidth="1"/>
    <col min="20" max="20" width="12.5703125" style="14" customWidth="1"/>
    <col min="21" max="21" width="17.28515625" style="14" customWidth="1"/>
    <col min="22" max="22" width="9.85546875" style="14" bestFit="1" customWidth="1"/>
    <col min="23" max="23" width="10.140625" style="14" bestFit="1" customWidth="1"/>
    <col min="24" max="24" width="9.85546875" style="14" bestFit="1" customWidth="1"/>
    <col min="25" max="25" width="15.85546875" style="14" customWidth="1"/>
    <col min="26" max="16384" width="9.140625" style="14"/>
  </cols>
  <sheetData>
    <row r="1" spans="1:25" ht="46.15" customHeight="1" x14ac:dyDescent="0.25">
      <c r="A1" s="2240" t="s">
        <v>76</v>
      </c>
      <c r="B1" s="2240"/>
      <c r="C1" s="2240"/>
      <c r="D1" s="2240"/>
      <c r="E1" s="2240"/>
      <c r="F1" s="2240"/>
      <c r="G1" s="2240"/>
      <c r="H1" s="2240"/>
      <c r="I1" s="2240"/>
      <c r="J1" s="2240"/>
      <c r="K1" s="2240"/>
      <c r="L1" s="2240"/>
      <c r="M1" s="2240"/>
      <c r="N1" s="2240"/>
      <c r="O1" s="2240"/>
      <c r="P1" s="2240"/>
      <c r="Q1" s="2240"/>
      <c r="R1" s="2240"/>
      <c r="S1" s="2240"/>
      <c r="T1" s="2240"/>
      <c r="U1" s="2240"/>
      <c r="V1" s="2240"/>
      <c r="W1" s="2240"/>
      <c r="X1" s="2240"/>
      <c r="Y1" s="2240"/>
    </row>
    <row r="2" spans="1:25" ht="21.6" customHeight="1" x14ac:dyDescent="0.25">
      <c r="A2" s="2241" t="s">
        <v>77</v>
      </c>
      <c r="B2" s="2241"/>
      <c r="C2" s="2241"/>
      <c r="D2" s="2241"/>
      <c r="E2" s="2241"/>
      <c r="F2" s="2241"/>
      <c r="G2" s="2241"/>
      <c r="H2" s="2241"/>
      <c r="I2" s="2241"/>
      <c r="J2" s="2241"/>
      <c r="K2" s="2241"/>
      <c r="L2" s="2241"/>
      <c r="M2" s="2241"/>
      <c r="N2" s="2241"/>
      <c r="O2" s="2241"/>
      <c r="P2" s="2241"/>
      <c r="Q2" s="2241"/>
      <c r="R2" s="2241"/>
      <c r="S2" s="2241"/>
      <c r="T2" s="2241"/>
      <c r="U2" s="2241"/>
      <c r="V2" s="2241"/>
      <c r="W2" s="2241"/>
      <c r="X2" s="2241"/>
      <c r="Y2" s="2241"/>
    </row>
    <row r="3" spans="1:25" ht="21" customHeight="1" x14ac:dyDescent="0.25">
      <c r="A3" s="102"/>
      <c r="B3" s="102"/>
      <c r="C3" s="102"/>
      <c r="D3" s="102"/>
      <c r="E3" s="102"/>
      <c r="F3" s="102"/>
      <c r="G3" s="102"/>
      <c r="H3" s="102"/>
      <c r="I3" s="102"/>
      <c r="J3" s="102"/>
      <c r="K3" s="102"/>
      <c r="L3" s="102"/>
      <c r="M3" s="102"/>
      <c r="N3" s="102"/>
      <c r="O3" s="102"/>
      <c r="P3" s="102"/>
      <c r="Q3" s="102"/>
      <c r="R3" s="102"/>
      <c r="S3" s="102"/>
      <c r="T3" s="2242" t="s">
        <v>136</v>
      </c>
      <c r="U3" s="2242"/>
      <c r="V3" s="2242"/>
      <c r="W3" s="2242"/>
      <c r="X3" s="2242"/>
      <c r="Y3" s="2242"/>
    </row>
    <row r="4" spans="1:25" s="102" customFormat="1" ht="18" customHeight="1" x14ac:dyDescent="0.25">
      <c r="A4" s="2243" t="s">
        <v>25</v>
      </c>
      <c r="B4" s="2243" t="s">
        <v>26</v>
      </c>
      <c r="C4" s="2244" t="s">
        <v>27</v>
      </c>
      <c r="D4" s="2244"/>
      <c r="E4" s="2244" t="s">
        <v>28</v>
      </c>
      <c r="F4" s="2244"/>
      <c r="G4" s="2244" t="s">
        <v>65</v>
      </c>
      <c r="H4" s="2244"/>
      <c r="I4" s="2244" t="s">
        <v>29</v>
      </c>
      <c r="J4" s="2244"/>
      <c r="K4" s="2245" t="s">
        <v>13</v>
      </c>
      <c r="L4" s="2246"/>
      <c r="M4" s="2245" t="s">
        <v>67</v>
      </c>
      <c r="N4" s="2246"/>
      <c r="O4" s="2245" t="s">
        <v>68</v>
      </c>
      <c r="P4" s="2246"/>
      <c r="Q4" s="2245" t="s">
        <v>114</v>
      </c>
      <c r="R4" s="2246"/>
      <c r="S4" s="2244" t="s">
        <v>35</v>
      </c>
      <c r="T4" s="2244"/>
      <c r="U4" s="2245" t="s">
        <v>17</v>
      </c>
      <c r="V4" s="2246"/>
      <c r="W4" s="2247" t="s">
        <v>36</v>
      </c>
      <c r="X4" s="2248"/>
      <c r="Y4" s="2238" t="s">
        <v>30</v>
      </c>
    </row>
    <row r="5" spans="1:25" s="102" customFormat="1" ht="25.5" customHeight="1" x14ac:dyDescent="0.25">
      <c r="A5" s="2243"/>
      <c r="B5" s="2243"/>
      <c r="C5" s="104" t="s">
        <v>42</v>
      </c>
      <c r="D5" s="104" t="s">
        <v>43</v>
      </c>
      <c r="E5" s="104" t="s">
        <v>42</v>
      </c>
      <c r="F5" s="104" t="s">
        <v>43</v>
      </c>
      <c r="G5" s="104" t="s">
        <v>42</v>
      </c>
      <c r="H5" s="104" t="s">
        <v>43</v>
      </c>
      <c r="I5" s="104" t="s">
        <v>42</v>
      </c>
      <c r="J5" s="104" t="s">
        <v>43</v>
      </c>
      <c r="K5" s="104" t="s">
        <v>42</v>
      </c>
      <c r="L5" s="104" t="s">
        <v>43</v>
      </c>
      <c r="M5" s="104" t="s">
        <v>42</v>
      </c>
      <c r="N5" s="104" t="s">
        <v>43</v>
      </c>
      <c r="O5" s="104" t="s">
        <v>42</v>
      </c>
      <c r="P5" s="104" t="s">
        <v>43</v>
      </c>
      <c r="Q5" s="104" t="s">
        <v>42</v>
      </c>
      <c r="R5" s="104" t="s">
        <v>43</v>
      </c>
      <c r="S5" s="33" t="s">
        <v>42</v>
      </c>
      <c r="T5" s="33" t="s">
        <v>43</v>
      </c>
      <c r="U5" s="30" t="s">
        <v>42</v>
      </c>
      <c r="V5" s="30" t="s">
        <v>43</v>
      </c>
      <c r="W5" s="30" t="s">
        <v>42</v>
      </c>
      <c r="X5" s="30" t="s">
        <v>43</v>
      </c>
      <c r="Y5" s="2239"/>
    </row>
    <row r="6" spans="1:25" ht="34.5" customHeight="1" x14ac:dyDescent="0.25">
      <c r="A6" s="12">
        <v>1409935200</v>
      </c>
      <c r="B6" s="103" t="s">
        <v>71</v>
      </c>
      <c r="C6" s="106">
        <v>46483</v>
      </c>
      <c r="D6" s="107">
        <f>0.9725*C6</f>
        <v>45204.717499999999</v>
      </c>
      <c r="E6" s="106"/>
      <c r="F6" s="106">
        <f>13.7*E6</f>
        <v>0</v>
      </c>
      <c r="G6" s="106"/>
      <c r="H6" s="106">
        <f>28.2*G6</f>
        <v>0</v>
      </c>
      <c r="I6" s="106">
        <v>660</v>
      </c>
      <c r="J6" s="106">
        <f>18.5*I6</f>
        <v>12210</v>
      </c>
      <c r="K6" s="106"/>
      <c r="L6" s="106">
        <f>19.5*K6</f>
        <v>0</v>
      </c>
      <c r="M6" s="106"/>
      <c r="N6" s="107">
        <f>M6*9.75</f>
        <v>0</v>
      </c>
      <c r="O6" s="106"/>
      <c r="P6" s="107">
        <f>O6*48.62</f>
        <v>0</v>
      </c>
      <c r="Q6" s="107"/>
      <c r="R6" s="107">
        <f>241*Q6</f>
        <v>0</v>
      </c>
      <c r="S6" s="106">
        <v>4</v>
      </c>
      <c r="T6" s="106">
        <f>241*S6</f>
        <v>964</v>
      </c>
      <c r="U6" s="106">
        <v>5</v>
      </c>
      <c r="V6" s="106">
        <f>232*U6</f>
        <v>1160</v>
      </c>
      <c r="W6" s="106"/>
      <c r="X6" s="19">
        <f>W6*100</f>
        <v>0</v>
      </c>
      <c r="Y6" s="89">
        <f t="shared" ref="Y6:Y11" si="0">D6+F6+H6+J6+L6+N6+P6+R6+T6+V6+X6</f>
        <v>59538.717499999999</v>
      </c>
    </row>
    <row r="7" spans="1:25" ht="31.5" customHeight="1" x14ac:dyDescent="0.25">
      <c r="A7" s="12">
        <v>1984225578</v>
      </c>
      <c r="B7" s="103" t="s">
        <v>72</v>
      </c>
      <c r="C7" s="106">
        <v>31551</v>
      </c>
      <c r="D7" s="107">
        <f t="shared" ref="D7:D11" si="1">0.9725*C7</f>
        <v>30683.3475</v>
      </c>
      <c r="E7" s="106"/>
      <c r="F7" s="106">
        <f t="shared" ref="F7:F11" si="2">13.7*E7</f>
        <v>0</v>
      </c>
      <c r="G7" s="106"/>
      <c r="H7" s="106">
        <f t="shared" ref="H7:H11" si="3">28.2*G7</f>
        <v>0</v>
      </c>
      <c r="I7" s="106">
        <v>620</v>
      </c>
      <c r="J7" s="106">
        <f t="shared" ref="J7:J11" si="4">18.5*I7</f>
        <v>11470</v>
      </c>
      <c r="K7" s="106"/>
      <c r="L7" s="106">
        <f t="shared" ref="L7:L11" si="5">19.5*K7</f>
        <v>0</v>
      </c>
      <c r="M7" s="106"/>
      <c r="N7" s="107">
        <f t="shared" ref="N7:N11" si="6">M7*9.75</f>
        <v>0</v>
      </c>
      <c r="O7" s="106"/>
      <c r="P7" s="107">
        <f t="shared" ref="P7:P11" si="7">O7*48.62</f>
        <v>0</v>
      </c>
      <c r="Q7" s="107"/>
      <c r="R7" s="107">
        <f t="shared" ref="R7:R11" si="8">241*Q7</f>
        <v>0</v>
      </c>
      <c r="S7" s="106">
        <v>18</v>
      </c>
      <c r="T7" s="106">
        <f t="shared" ref="T7:T11" si="9">241*S7</f>
        <v>4338</v>
      </c>
      <c r="U7" s="106">
        <v>5</v>
      </c>
      <c r="V7" s="106">
        <f t="shared" ref="V7:V11" si="10">232*U7</f>
        <v>1160</v>
      </c>
      <c r="W7" s="106"/>
      <c r="X7" s="19">
        <f t="shared" ref="X7:X11" si="11">W7*100</f>
        <v>0</v>
      </c>
      <c r="Y7" s="89">
        <f t="shared" si="0"/>
        <v>47651.347500000003</v>
      </c>
    </row>
    <row r="8" spans="1:25" ht="35.25" customHeight="1" x14ac:dyDescent="0.25">
      <c r="A8" s="12">
        <v>1967020280</v>
      </c>
      <c r="B8" s="103" t="s">
        <v>73</v>
      </c>
      <c r="C8" s="106">
        <v>17572</v>
      </c>
      <c r="D8" s="107">
        <f t="shared" si="1"/>
        <v>17088.77</v>
      </c>
      <c r="E8" s="106"/>
      <c r="F8" s="106">
        <f t="shared" si="2"/>
        <v>0</v>
      </c>
      <c r="G8" s="106"/>
      <c r="H8" s="106">
        <f t="shared" si="3"/>
        <v>0</v>
      </c>
      <c r="I8" s="106">
        <v>740</v>
      </c>
      <c r="J8" s="106">
        <f t="shared" si="4"/>
        <v>13690</v>
      </c>
      <c r="K8" s="106"/>
      <c r="L8" s="106">
        <f t="shared" si="5"/>
        <v>0</v>
      </c>
      <c r="M8" s="106"/>
      <c r="N8" s="107">
        <f t="shared" si="6"/>
        <v>0</v>
      </c>
      <c r="O8" s="106"/>
      <c r="P8" s="107">
        <f t="shared" si="7"/>
        <v>0</v>
      </c>
      <c r="Q8" s="107"/>
      <c r="R8" s="107">
        <f t="shared" si="8"/>
        <v>0</v>
      </c>
      <c r="S8" s="106"/>
      <c r="T8" s="106">
        <f t="shared" si="9"/>
        <v>0</v>
      </c>
      <c r="U8" s="106"/>
      <c r="V8" s="106">
        <f t="shared" si="10"/>
        <v>0</v>
      </c>
      <c r="W8" s="106"/>
      <c r="X8" s="19">
        <f t="shared" si="11"/>
        <v>0</v>
      </c>
      <c r="Y8" s="89">
        <f t="shared" si="0"/>
        <v>30778.77</v>
      </c>
    </row>
    <row r="9" spans="1:25" ht="38.25" customHeight="1" x14ac:dyDescent="0.25">
      <c r="A9" s="12">
        <v>1409935199</v>
      </c>
      <c r="B9" s="103" t="s">
        <v>74</v>
      </c>
      <c r="C9" s="106">
        <v>15001</v>
      </c>
      <c r="D9" s="107">
        <f t="shared" si="1"/>
        <v>14588.4725</v>
      </c>
      <c r="E9" s="106"/>
      <c r="F9" s="106">
        <f t="shared" si="2"/>
        <v>0</v>
      </c>
      <c r="G9" s="106"/>
      <c r="H9" s="106">
        <f t="shared" si="3"/>
        <v>0</v>
      </c>
      <c r="I9" s="106">
        <v>330</v>
      </c>
      <c r="J9" s="106">
        <f t="shared" si="4"/>
        <v>6105</v>
      </c>
      <c r="K9" s="106"/>
      <c r="L9" s="106">
        <f t="shared" si="5"/>
        <v>0</v>
      </c>
      <c r="M9" s="106"/>
      <c r="N9" s="107">
        <f t="shared" si="6"/>
        <v>0</v>
      </c>
      <c r="O9" s="106"/>
      <c r="P9" s="107">
        <f t="shared" si="7"/>
        <v>0</v>
      </c>
      <c r="Q9" s="107"/>
      <c r="R9" s="107">
        <f t="shared" si="8"/>
        <v>0</v>
      </c>
      <c r="S9" s="106"/>
      <c r="T9" s="106">
        <f t="shared" si="9"/>
        <v>0</v>
      </c>
      <c r="U9" s="106"/>
      <c r="V9" s="106">
        <f t="shared" si="10"/>
        <v>0</v>
      </c>
      <c r="W9" s="106"/>
      <c r="X9" s="19">
        <f t="shared" si="11"/>
        <v>0</v>
      </c>
      <c r="Y9" s="89">
        <f t="shared" si="0"/>
        <v>20693.4725</v>
      </c>
    </row>
    <row r="10" spans="1:25" ht="35.25" customHeight="1" x14ac:dyDescent="0.25">
      <c r="A10" s="12">
        <v>1984225580</v>
      </c>
      <c r="B10" s="103" t="s">
        <v>75</v>
      </c>
      <c r="C10" s="106">
        <v>16658</v>
      </c>
      <c r="D10" s="107">
        <f t="shared" si="1"/>
        <v>16199.905000000001</v>
      </c>
      <c r="E10" s="106"/>
      <c r="F10" s="106">
        <f t="shared" si="2"/>
        <v>0</v>
      </c>
      <c r="G10" s="106">
        <v>340</v>
      </c>
      <c r="H10" s="106">
        <f t="shared" si="3"/>
        <v>9588</v>
      </c>
      <c r="I10" s="106"/>
      <c r="J10" s="106">
        <f t="shared" si="4"/>
        <v>0</v>
      </c>
      <c r="K10" s="106"/>
      <c r="L10" s="106">
        <f t="shared" si="5"/>
        <v>0</v>
      </c>
      <c r="M10" s="106"/>
      <c r="N10" s="107">
        <f t="shared" si="6"/>
        <v>0</v>
      </c>
      <c r="O10" s="106"/>
      <c r="P10" s="107">
        <f t="shared" si="7"/>
        <v>0</v>
      </c>
      <c r="Q10" s="107"/>
      <c r="R10" s="107">
        <f t="shared" si="8"/>
        <v>0</v>
      </c>
      <c r="S10" s="106"/>
      <c r="T10" s="106">
        <f t="shared" si="9"/>
        <v>0</v>
      </c>
      <c r="U10" s="106"/>
      <c r="V10" s="106">
        <f t="shared" si="10"/>
        <v>0</v>
      </c>
      <c r="W10" s="106"/>
      <c r="X10" s="19">
        <f t="shared" si="11"/>
        <v>0</v>
      </c>
      <c r="Y10" s="89">
        <f t="shared" si="0"/>
        <v>25787.904999999999</v>
      </c>
    </row>
    <row r="11" spans="1:25" ht="37.5" customHeight="1" x14ac:dyDescent="0.25">
      <c r="A11" s="12"/>
      <c r="B11" s="105"/>
      <c r="C11" s="106"/>
      <c r="D11" s="22">
        <f t="shared" si="1"/>
        <v>0</v>
      </c>
      <c r="E11" s="106"/>
      <c r="F11" s="106">
        <f t="shared" si="2"/>
        <v>0</v>
      </c>
      <c r="G11" s="106"/>
      <c r="H11" s="106">
        <f t="shared" si="3"/>
        <v>0</v>
      </c>
      <c r="I11" s="106"/>
      <c r="J11" s="106">
        <f t="shared" si="4"/>
        <v>0</v>
      </c>
      <c r="K11" s="106"/>
      <c r="L11" s="106">
        <f t="shared" si="5"/>
        <v>0</v>
      </c>
      <c r="M11" s="106"/>
      <c r="N11" s="107">
        <f t="shared" si="6"/>
        <v>0</v>
      </c>
      <c r="O11" s="106"/>
      <c r="P11" s="107">
        <f t="shared" si="7"/>
        <v>0</v>
      </c>
      <c r="Q11" s="107"/>
      <c r="R11" s="107">
        <f t="shared" si="8"/>
        <v>0</v>
      </c>
      <c r="S11" s="106"/>
      <c r="T11" s="106">
        <f t="shared" si="9"/>
        <v>0</v>
      </c>
      <c r="U11" s="106"/>
      <c r="V11" s="106">
        <f t="shared" si="10"/>
        <v>0</v>
      </c>
      <c r="W11" s="106"/>
      <c r="X11" s="19">
        <f t="shared" si="11"/>
        <v>0</v>
      </c>
      <c r="Y11" s="20">
        <f t="shared" si="0"/>
        <v>0</v>
      </c>
    </row>
    <row r="12" spans="1:25" ht="29.25" customHeight="1" x14ac:dyDescent="0.25">
      <c r="A12" s="2235" t="s">
        <v>31</v>
      </c>
      <c r="B12" s="2235"/>
      <c r="C12" s="18">
        <f t="shared" ref="C12:Y12" si="12">SUM(C6:C11)</f>
        <v>127265</v>
      </c>
      <c r="D12" s="18">
        <f t="shared" si="12"/>
        <v>123765.21250000001</v>
      </c>
      <c r="E12" s="18">
        <f t="shared" si="12"/>
        <v>0</v>
      </c>
      <c r="F12" s="18">
        <f t="shared" si="12"/>
        <v>0</v>
      </c>
      <c r="G12" s="18">
        <f t="shared" si="12"/>
        <v>340</v>
      </c>
      <c r="H12" s="18">
        <f t="shared" si="12"/>
        <v>9588</v>
      </c>
      <c r="I12" s="18">
        <f t="shared" si="12"/>
        <v>2350</v>
      </c>
      <c r="J12" s="18">
        <f t="shared" si="12"/>
        <v>43475</v>
      </c>
      <c r="K12" s="18">
        <f t="shared" si="12"/>
        <v>0</v>
      </c>
      <c r="L12" s="18">
        <f t="shared" si="12"/>
        <v>0</v>
      </c>
      <c r="M12" s="18">
        <f t="shared" si="12"/>
        <v>0</v>
      </c>
      <c r="N12" s="23">
        <f t="shared" si="12"/>
        <v>0</v>
      </c>
      <c r="O12" s="18">
        <f t="shared" si="12"/>
        <v>0</v>
      </c>
      <c r="P12" s="23">
        <f t="shared" si="12"/>
        <v>0</v>
      </c>
      <c r="Q12" s="23">
        <f t="shared" si="12"/>
        <v>0</v>
      </c>
      <c r="R12" s="23">
        <f>SUM(R6:R11)</f>
        <v>0</v>
      </c>
      <c r="S12" s="18">
        <f t="shared" si="12"/>
        <v>22</v>
      </c>
      <c r="T12" s="18">
        <f t="shared" si="12"/>
        <v>5302</v>
      </c>
      <c r="U12" s="18">
        <f t="shared" si="12"/>
        <v>10</v>
      </c>
      <c r="V12" s="18">
        <f t="shared" si="12"/>
        <v>2320</v>
      </c>
      <c r="W12" s="18">
        <f t="shared" si="12"/>
        <v>0</v>
      </c>
      <c r="X12" s="18">
        <f t="shared" si="12"/>
        <v>0</v>
      </c>
      <c r="Y12" s="18">
        <f t="shared" si="12"/>
        <v>184450.21249999999</v>
      </c>
    </row>
    <row r="14" spans="1:25" ht="32.25" customHeight="1" x14ac:dyDescent="0.25">
      <c r="A14" s="30" t="s">
        <v>32</v>
      </c>
      <c r="B14" s="2236" t="s">
        <v>27</v>
      </c>
      <c r="C14" s="2236"/>
      <c r="D14" s="30" t="s">
        <v>33</v>
      </c>
      <c r="E14" s="30" t="s">
        <v>65</v>
      </c>
      <c r="F14" s="30" t="s">
        <v>34</v>
      </c>
      <c r="G14" s="30" t="s">
        <v>13</v>
      </c>
      <c r="H14" s="31" t="s">
        <v>45</v>
      </c>
      <c r="I14" s="30" t="s">
        <v>17</v>
      </c>
      <c r="J14" s="30" t="s">
        <v>66</v>
      </c>
      <c r="K14" s="30" t="s">
        <v>36</v>
      </c>
      <c r="L14" s="30" t="s">
        <v>37</v>
      </c>
      <c r="M14" s="30" t="s">
        <v>69</v>
      </c>
      <c r="N14" s="30" t="s">
        <v>70</v>
      </c>
      <c r="O14" s="86" t="s">
        <v>114</v>
      </c>
      <c r="P14" s="86" t="s">
        <v>99</v>
      </c>
      <c r="Q14" s="15"/>
      <c r="R14" s="15"/>
      <c r="T14" s="2235" t="s">
        <v>46</v>
      </c>
      <c r="U14" s="103" t="s">
        <v>54</v>
      </c>
      <c r="V14" s="2260">
        <v>20913</v>
      </c>
      <c r="W14" s="2268"/>
      <c r="X14" s="2261"/>
    </row>
    <row r="15" spans="1:25" ht="22.5" customHeight="1" x14ac:dyDescent="0.25">
      <c r="A15" s="100" t="s">
        <v>38</v>
      </c>
      <c r="B15" s="2260">
        <v>327485</v>
      </c>
      <c r="C15" s="2261"/>
      <c r="D15" s="108">
        <v>0</v>
      </c>
      <c r="E15" s="108">
        <v>1000</v>
      </c>
      <c r="F15" s="108">
        <v>7060</v>
      </c>
      <c r="G15" s="108">
        <v>0</v>
      </c>
      <c r="H15" s="108">
        <v>157</v>
      </c>
      <c r="I15" s="108">
        <v>80</v>
      </c>
      <c r="J15" s="108">
        <v>30</v>
      </c>
      <c r="K15" s="108">
        <v>30</v>
      </c>
      <c r="L15" s="108">
        <v>144</v>
      </c>
      <c r="M15" s="108">
        <v>0</v>
      </c>
      <c r="N15" s="108">
        <v>100</v>
      </c>
      <c r="O15" s="108">
        <v>0</v>
      </c>
      <c r="P15" s="108">
        <v>836</v>
      </c>
      <c r="Q15" s="21"/>
      <c r="R15" s="21"/>
      <c r="T15" s="2235"/>
      <c r="U15" s="103" t="s">
        <v>64</v>
      </c>
      <c r="V15" s="2262">
        <v>7819</v>
      </c>
      <c r="W15" s="2262"/>
      <c r="X15" s="2262"/>
    </row>
    <row r="16" spans="1:25" ht="24.75" customHeight="1" x14ac:dyDescent="0.25">
      <c r="A16" s="100" t="s">
        <v>39</v>
      </c>
      <c r="B16" s="2260">
        <v>100000</v>
      </c>
      <c r="C16" s="2261"/>
      <c r="D16" s="108"/>
      <c r="E16" s="108"/>
      <c r="F16" s="108"/>
      <c r="G16" s="108"/>
      <c r="H16" s="108"/>
      <c r="I16" s="108"/>
      <c r="J16" s="108"/>
      <c r="K16" s="108"/>
      <c r="L16" s="108">
        <v>10</v>
      </c>
      <c r="M16" s="108"/>
      <c r="N16" s="108"/>
      <c r="O16" s="108"/>
      <c r="P16" s="108"/>
      <c r="Q16" s="21"/>
      <c r="R16" s="21"/>
      <c r="T16" s="2254" t="s">
        <v>55</v>
      </c>
      <c r="U16" s="2254"/>
      <c r="V16" s="2267">
        <f>Y12</f>
        <v>184450.21249999999</v>
      </c>
      <c r="W16" s="2267"/>
      <c r="X16" s="2262"/>
    </row>
    <row r="17" spans="1:25" ht="28.5" customHeight="1" x14ac:dyDescent="0.25">
      <c r="A17" s="101" t="s">
        <v>44</v>
      </c>
      <c r="B17" s="2260"/>
      <c r="C17" s="2261"/>
      <c r="D17" s="108"/>
      <c r="E17" s="108"/>
      <c r="F17" s="108"/>
      <c r="G17" s="108"/>
      <c r="H17" s="108"/>
      <c r="I17" s="108"/>
      <c r="J17" s="108"/>
      <c r="K17" s="108"/>
      <c r="L17" s="108"/>
      <c r="M17" s="108"/>
      <c r="N17" s="108"/>
      <c r="O17" s="108"/>
      <c r="P17" s="108"/>
      <c r="Q17" s="21"/>
      <c r="R17" s="21"/>
      <c r="T17" s="2270" t="s">
        <v>104</v>
      </c>
      <c r="U17" s="2271"/>
      <c r="V17" s="2262"/>
      <c r="W17" s="2262"/>
      <c r="X17" s="2262"/>
    </row>
    <row r="18" spans="1:25" ht="27" customHeight="1" x14ac:dyDescent="0.25">
      <c r="A18" s="100" t="s">
        <v>40</v>
      </c>
      <c r="B18" s="2264">
        <f>C12</f>
        <v>127265</v>
      </c>
      <c r="C18" s="2261"/>
      <c r="D18" s="109">
        <f>E12</f>
        <v>0</v>
      </c>
      <c r="E18" s="109">
        <f>G12</f>
        <v>340</v>
      </c>
      <c r="F18" s="109">
        <f>I12</f>
        <v>2350</v>
      </c>
      <c r="G18" s="109">
        <f>K12</f>
        <v>0</v>
      </c>
      <c r="H18" s="108">
        <v>32</v>
      </c>
      <c r="I18" s="109">
        <f>U12</f>
        <v>10</v>
      </c>
      <c r="J18" s="108"/>
      <c r="K18" s="109">
        <f>W12</f>
        <v>0</v>
      </c>
      <c r="L18" s="108"/>
      <c r="M18" s="109">
        <f>M12</f>
        <v>0</v>
      </c>
      <c r="N18" s="109"/>
      <c r="O18" s="110">
        <f>Q12</f>
        <v>0</v>
      </c>
      <c r="P18" s="108"/>
      <c r="Q18" s="21"/>
      <c r="R18" s="21"/>
      <c r="T18" s="2254" t="s">
        <v>57</v>
      </c>
      <c r="U18" s="2254"/>
      <c r="V18" s="2262">
        <f>530+100</f>
        <v>630</v>
      </c>
      <c r="W18" s="2262"/>
      <c r="X18" s="2262"/>
      <c r="Y18" s="2269" t="s">
        <v>137</v>
      </c>
    </row>
    <row r="19" spans="1:25" ht="25.5" customHeight="1" x14ac:dyDescent="0.25">
      <c r="A19" s="100" t="s">
        <v>41</v>
      </c>
      <c r="B19" s="2260">
        <f>B15+B16+B17-B18</f>
        <v>300220</v>
      </c>
      <c r="C19" s="2261"/>
      <c r="D19" s="108">
        <f>D15+D16+D17-D18</f>
        <v>0</v>
      </c>
      <c r="E19" s="108">
        <f t="shared" ref="E19:N19" si="13">E15+E16+E17-E18</f>
        <v>660</v>
      </c>
      <c r="F19" s="108">
        <f t="shared" si="13"/>
        <v>4710</v>
      </c>
      <c r="G19" s="108">
        <f t="shared" si="13"/>
        <v>0</v>
      </c>
      <c r="H19" s="108">
        <f t="shared" si="13"/>
        <v>125</v>
      </c>
      <c r="I19" s="108">
        <f t="shared" si="13"/>
        <v>70</v>
      </c>
      <c r="J19" s="108">
        <f t="shared" si="13"/>
        <v>30</v>
      </c>
      <c r="K19" s="108">
        <f t="shared" si="13"/>
        <v>30</v>
      </c>
      <c r="L19" s="108">
        <f t="shared" si="13"/>
        <v>154</v>
      </c>
      <c r="M19" s="108">
        <f t="shared" si="13"/>
        <v>0</v>
      </c>
      <c r="N19" s="108">
        <f t="shared" si="13"/>
        <v>100</v>
      </c>
      <c r="O19" s="108">
        <f>O15+O16+O17-O18</f>
        <v>0</v>
      </c>
      <c r="P19" s="108">
        <f>P15+P16+P17-P18</f>
        <v>836</v>
      </c>
      <c r="Q19" s="21"/>
      <c r="R19" s="21"/>
      <c r="T19" s="2256" t="s">
        <v>48</v>
      </c>
      <c r="U19" s="49" t="s">
        <v>58</v>
      </c>
      <c r="V19" s="2262">
        <v>185000</v>
      </c>
      <c r="W19" s="2262"/>
      <c r="X19" s="2262"/>
      <c r="Y19" s="2269"/>
    </row>
    <row r="20" spans="1:25" ht="23.25" customHeight="1" x14ac:dyDescent="0.25">
      <c r="A20" s="15"/>
      <c r="B20" s="10"/>
      <c r="C20" s="10"/>
      <c r="D20" s="10"/>
      <c r="E20" s="10"/>
      <c r="F20" s="10"/>
      <c r="G20" s="10"/>
      <c r="H20" s="10"/>
      <c r="I20" s="10"/>
      <c r="J20" s="10"/>
      <c r="K20" s="10"/>
      <c r="L20" s="10"/>
      <c r="M20" s="10"/>
      <c r="N20" s="10"/>
      <c r="O20" s="10"/>
      <c r="P20" s="10"/>
      <c r="Q20" s="10"/>
      <c r="R20" s="10"/>
      <c r="T20" s="2257"/>
      <c r="U20" s="49" t="s">
        <v>59</v>
      </c>
      <c r="V20" s="2262"/>
      <c r="W20" s="2262"/>
      <c r="X20" s="2262"/>
      <c r="Y20" s="2269"/>
    </row>
    <row r="21" spans="1:25" ht="33.75" customHeight="1" x14ac:dyDescent="0.25">
      <c r="A21" s="15"/>
      <c r="B21" s="10"/>
      <c r="C21" s="10"/>
      <c r="D21" s="10"/>
      <c r="E21" s="10"/>
      <c r="F21" s="10"/>
      <c r="G21" s="10"/>
      <c r="H21" s="10"/>
      <c r="I21" s="10"/>
      <c r="J21" s="10"/>
      <c r="K21" s="10"/>
      <c r="L21" s="10"/>
      <c r="M21" s="10"/>
      <c r="N21" s="10"/>
      <c r="O21" s="10"/>
      <c r="P21" s="10"/>
      <c r="Q21" s="10"/>
      <c r="R21" s="10"/>
      <c r="T21" s="2251" t="s">
        <v>83</v>
      </c>
      <c r="U21" s="50" t="s">
        <v>60</v>
      </c>
      <c r="V21" s="2262">
        <v>185180</v>
      </c>
      <c r="W21" s="2262"/>
      <c r="X21" s="2262"/>
      <c r="Y21" s="2269"/>
    </row>
    <row r="22" spans="1:25" ht="29.25" customHeight="1" x14ac:dyDescent="0.25">
      <c r="A22" s="10"/>
      <c r="B22" s="2258" t="s">
        <v>49</v>
      </c>
      <c r="C22" s="2265">
        <v>678388</v>
      </c>
      <c r="D22" s="2262">
        <v>185000</v>
      </c>
      <c r="E22" s="2262">
        <v>96250</v>
      </c>
      <c r="F22" s="2262">
        <f>C22-D22+E22</f>
        <v>589638</v>
      </c>
      <c r="G22" s="10"/>
      <c r="H22" s="10"/>
      <c r="I22" s="10"/>
      <c r="J22" s="10"/>
      <c r="K22" s="10"/>
      <c r="L22" s="10"/>
      <c r="M22" s="10"/>
      <c r="N22" s="10"/>
      <c r="O22" s="10"/>
      <c r="P22" s="10"/>
      <c r="Q22" s="10"/>
      <c r="R22" s="10"/>
      <c r="T22" s="2252"/>
      <c r="U22" s="50" t="s">
        <v>61</v>
      </c>
      <c r="V22" s="2262">
        <v>185000</v>
      </c>
      <c r="W22" s="2262"/>
      <c r="X22" s="2262"/>
      <c r="Y22" s="2269"/>
    </row>
    <row r="23" spans="1:25" ht="47.25" customHeight="1" x14ac:dyDescent="0.25">
      <c r="A23" s="10"/>
      <c r="B23" s="2258"/>
      <c r="C23" s="2266"/>
      <c r="D23" s="2262"/>
      <c r="E23" s="2262"/>
      <c r="F23" s="2262"/>
      <c r="G23" s="10"/>
      <c r="H23" s="10"/>
      <c r="I23" s="10"/>
      <c r="J23" s="10"/>
      <c r="K23" s="10"/>
      <c r="L23" s="10"/>
      <c r="M23" s="10"/>
      <c r="N23" s="10"/>
      <c r="O23" s="10"/>
      <c r="P23" s="10"/>
      <c r="Q23" s="10"/>
      <c r="R23" s="10"/>
      <c r="T23" s="2235" t="s">
        <v>47</v>
      </c>
      <c r="U23" s="51" t="s">
        <v>62</v>
      </c>
      <c r="V23" s="2263">
        <f>V14+V16+V17-V18-V19-V20-V21+V22</f>
        <v>19553.212499999994</v>
      </c>
      <c r="W23" s="2263"/>
      <c r="X23" s="2263"/>
      <c r="Y23" s="2269"/>
    </row>
    <row r="24" spans="1:25" ht="27" customHeight="1" x14ac:dyDescent="0.25">
      <c r="B24" s="2258"/>
      <c r="C24" s="103" t="s">
        <v>46</v>
      </c>
      <c r="D24" s="103" t="s">
        <v>50</v>
      </c>
      <c r="E24" s="103" t="s">
        <v>51</v>
      </c>
      <c r="F24" s="103" t="s">
        <v>52</v>
      </c>
      <c r="T24" s="2235"/>
      <c r="U24" s="51" t="s">
        <v>63</v>
      </c>
      <c r="V24" s="2262">
        <f>V15+V21-V22</f>
        <v>7999</v>
      </c>
      <c r="W24" s="2262"/>
      <c r="X24" s="2262"/>
    </row>
  </sheetData>
  <mergeCells count="48">
    <mergeCell ref="D22:D23"/>
    <mergeCell ref="E22:E23"/>
    <mergeCell ref="F22:F23"/>
    <mergeCell ref="Y18:Y23"/>
    <mergeCell ref="B19:C19"/>
    <mergeCell ref="T19:T20"/>
    <mergeCell ref="V19:X19"/>
    <mergeCell ref="V20:X20"/>
    <mergeCell ref="T21:T22"/>
    <mergeCell ref="V21:X21"/>
    <mergeCell ref="V22:X22"/>
    <mergeCell ref="T23:T24"/>
    <mergeCell ref="V23:X23"/>
    <mergeCell ref="V24:X24"/>
    <mergeCell ref="B18:C18"/>
    <mergeCell ref="T18:U18"/>
    <mergeCell ref="V18:X18"/>
    <mergeCell ref="B22:B24"/>
    <mergeCell ref="C22:C23"/>
    <mergeCell ref="W4:X4"/>
    <mergeCell ref="B16:C16"/>
    <mergeCell ref="T16:U16"/>
    <mergeCell ref="V16:X16"/>
    <mergeCell ref="B17:C17"/>
    <mergeCell ref="T17:U17"/>
    <mergeCell ref="V17:X17"/>
    <mergeCell ref="A12:B12"/>
    <mergeCell ref="B14:C14"/>
    <mergeCell ref="T14:T15"/>
    <mergeCell ref="V14:X14"/>
    <mergeCell ref="B15:C15"/>
    <mergeCell ref="V15:X15"/>
    <mergeCell ref="A1:Y1"/>
    <mergeCell ref="A2:Y2"/>
    <mergeCell ref="T3:Y3"/>
    <mergeCell ref="A4:A5"/>
    <mergeCell ref="B4:B5"/>
    <mergeCell ref="C4:D4"/>
    <mergeCell ref="E4:F4"/>
    <mergeCell ref="G4:H4"/>
    <mergeCell ref="I4:J4"/>
    <mergeCell ref="K4:L4"/>
    <mergeCell ref="Y4:Y5"/>
    <mergeCell ref="M4:N4"/>
    <mergeCell ref="O4:P4"/>
    <mergeCell ref="Q4:R4"/>
    <mergeCell ref="S4:T4"/>
    <mergeCell ref="U4:V4"/>
  </mergeCells>
  <pageMargins left="0.15748031496063" right="0.15748031496063" top="0" bottom="0" header="0" footer="0"/>
  <pageSetup paperSize="9" scale="51" orientation="landscape" r:id="rId1"/>
</worksheet>
</file>

<file path=xl/worksheets/sheet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C00-000000000000}">
  <sheetPr>
    <pageSetUpPr fitToPage="1"/>
  </sheetPr>
  <dimension ref="A1:Y24"/>
  <sheetViews>
    <sheetView topLeftCell="A5" zoomScale="67" zoomScaleNormal="67" zoomScaleSheetLayoutView="100" workbookViewId="0">
      <selection activeCell="P21" sqref="P21"/>
    </sheetView>
  </sheetViews>
  <sheetFormatPr defaultColWidth="9.140625" defaultRowHeight="15" x14ac:dyDescent="0.25"/>
  <cols>
    <col min="1" max="1" width="18.28515625" style="14" customWidth="1"/>
    <col min="2" max="2" width="10.7109375" style="14" customWidth="1"/>
    <col min="3" max="3" width="12.28515625" style="14" customWidth="1"/>
    <col min="4" max="4" width="11" style="14" customWidth="1"/>
    <col min="5" max="5" width="12" style="14" customWidth="1"/>
    <col min="6" max="6" width="12.5703125" style="14" bestFit="1" customWidth="1"/>
    <col min="7" max="7" width="9.28515625" style="14" bestFit="1" customWidth="1"/>
    <col min="8" max="8" width="10.140625" style="14" bestFit="1" customWidth="1"/>
    <col min="9" max="9" width="10.5703125" style="14" bestFit="1" customWidth="1"/>
    <col min="10" max="10" width="10.5703125" style="14" customWidth="1"/>
    <col min="11" max="11" width="10.28515625" style="14" bestFit="1" customWidth="1"/>
    <col min="12" max="12" width="9.42578125" style="14" bestFit="1" customWidth="1"/>
    <col min="13" max="13" width="9.85546875" style="14" bestFit="1" customWidth="1"/>
    <col min="14" max="14" width="10.140625" style="14" bestFit="1" customWidth="1"/>
    <col min="15" max="15" width="9" style="14" customWidth="1"/>
    <col min="16" max="16" width="12.85546875" style="14" bestFit="1" customWidth="1"/>
    <col min="17" max="18" width="9.42578125" style="14" customWidth="1"/>
    <col min="19" max="19" width="7.5703125" style="14" customWidth="1"/>
    <col min="20" max="20" width="12.5703125" style="14" customWidth="1"/>
    <col min="21" max="21" width="17.28515625" style="14" customWidth="1"/>
    <col min="22" max="22" width="9.85546875" style="14" bestFit="1" customWidth="1"/>
    <col min="23" max="23" width="10.140625" style="14" bestFit="1" customWidth="1"/>
    <col min="24" max="24" width="9.85546875" style="14" bestFit="1" customWidth="1"/>
    <col min="25" max="25" width="15.85546875" style="14" customWidth="1"/>
    <col min="26" max="16384" width="9.140625" style="14"/>
  </cols>
  <sheetData>
    <row r="1" spans="1:25" ht="46.15" customHeight="1" x14ac:dyDescent="0.25">
      <c r="A1" s="2240" t="s">
        <v>76</v>
      </c>
      <c r="B1" s="2240"/>
      <c r="C1" s="2240"/>
      <c r="D1" s="2240"/>
      <c r="E1" s="2240"/>
      <c r="F1" s="2240"/>
      <c r="G1" s="2240"/>
      <c r="H1" s="2240"/>
      <c r="I1" s="2240"/>
      <c r="J1" s="2240"/>
      <c r="K1" s="2240"/>
      <c r="L1" s="2240"/>
      <c r="M1" s="2240"/>
      <c r="N1" s="2240"/>
      <c r="O1" s="2240"/>
      <c r="P1" s="2240"/>
      <c r="Q1" s="2240"/>
      <c r="R1" s="2240"/>
      <c r="S1" s="2240"/>
      <c r="T1" s="2240"/>
      <c r="U1" s="2240"/>
      <c r="V1" s="2240"/>
      <c r="W1" s="2240"/>
      <c r="X1" s="2240"/>
      <c r="Y1" s="2240"/>
    </row>
    <row r="2" spans="1:25" ht="21.6" customHeight="1" x14ac:dyDescent="0.25">
      <c r="A2" s="2241" t="s">
        <v>77</v>
      </c>
      <c r="B2" s="2241"/>
      <c r="C2" s="2241"/>
      <c r="D2" s="2241"/>
      <c r="E2" s="2241"/>
      <c r="F2" s="2241"/>
      <c r="G2" s="2241"/>
      <c r="H2" s="2241"/>
      <c r="I2" s="2241"/>
      <c r="J2" s="2241"/>
      <c r="K2" s="2241"/>
      <c r="L2" s="2241"/>
      <c r="M2" s="2241"/>
      <c r="N2" s="2241"/>
      <c r="O2" s="2241"/>
      <c r="P2" s="2241"/>
      <c r="Q2" s="2241"/>
      <c r="R2" s="2241"/>
      <c r="S2" s="2241"/>
      <c r="T2" s="2241"/>
      <c r="U2" s="2241"/>
      <c r="V2" s="2241"/>
      <c r="W2" s="2241"/>
      <c r="X2" s="2241"/>
      <c r="Y2" s="2241"/>
    </row>
    <row r="3" spans="1:25" ht="21" customHeight="1" x14ac:dyDescent="0.25">
      <c r="A3" s="116"/>
      <c r="B3" s="116"/>
      <c r="C3" s="116"/>
      <c r="D3" s="116"/>
      <c r="E3" s="116"/>
      <c r="F3" s="116"/>
      <c r="G3" s="116"/>
      <c r="H3" s="116"/>
      <c r="I3" s="116"/>
      <c r="J3" s="116"/>
      <c r="K3" s="116"/>
      <c r="L3" s="116"/>
      <c r="M3" s="116"/>
      <c r="N3" s="116"/>
      <c r="O3" s="116"/>
      <c r="P3" s="116"/>
      <c r="Q3" s="116"/>
      <c r="R3" s="116"/>
      <c r="S3" s="116"/>
      <c r="T3" s="2242" t="s">
        <v>138</v>
      </c>
      <c r="U3" s="2242"/>
      <c r="V3" s="2242"/>
      <c r="W3" s="2242"/>
      <c r="X3" s="2242"/>
      <c r="Y3" s="2242"/>
    </row>
    <row r="4" spans="1:25" s="116" customFormat="1" ht="18" customHeight="1" x14ac:dyDescent="0.25">
      <c r="A4" s="2243" t="s">
        <v>25</v>
      </c>
      <c r="B4" s="2243" t="s">
        <v>26</v>
      </c>
      <c r="C4" s="2244" t="s">
        <v>27</v>
      </c>
      <c r="D4" s="2244"/>
      <c r="E4" s="2244" t="s">
        <v>28</v>
      </c>
      <c r="F4" s="2244"/>
      <c r="G4" s="2244" t="s">
        <v>65</v>
      </c>
      <c r="H4" s="2244"/>
      <c r="I4" s="2244" t="s">
        <v>29</v>
      </c>
      <c r="J4" s="2244"/>
      <c r="K4" s="2245" t="s">
        <v>13</v>
      </c>
      <c r="L4" s="2246"/>
      <c r="M4" s="2245" t="s">
        <v>67</v>
      </c>
      <c r="N4" s="2246"/>
      <c r="O4" s="2245" t="s">
        <v>68</v>
      </c>
      <c r="P4" s="2246"/>
      <c r="Q4" s="2245" t="s">
        <v>114</v>
      </c>
      <c r="R4" s="2246"/>
      <c r="S4" s="2244" t="s">
        <v>35</v>
      </c>
      <c r="T4" s="2244"/>
      <c r="U4" s="2245" t="s">
        <v>17</v>
      </c>
      <c r="V4" s="2246"/>
      <c r="W4" s="2247" t="s">
        <v>36</v>
      </c>
      <c r="X4" s="2248"/>
      <c r="Y4" s="2238" t="s">
        <v>30</v>
      </c>
    </row>
    <row r="5" spans="1:25" s="116" customFormat="1" ht="25.5" customHeight="1" x14ac:dyDescent="0.25">
      <c r="A5" s="2243"/>
      <c r="B5" s="2243"/>
      <c r="C5" s="115" t="s">
        <v>42</v>
      </c>
      <c r="D5" s="115" t="s">
        <v>43</v>
      </c>
      <c r="E5" s="115" t="s">
        <v>42</v>
      </c>
      <c r="F5" s="115" t="s">
        <v>43</v>
      </c>
      <c r="G5" s="115" t="s">
        <v>42</v>
      </c>
      <c r="H5" s="115" t="s">
        <v>43</v>
      </c>
      <c r="I5" s="115" t="s">
        <v>42</v>
      </c>
      <c r="J5" s="115" t="s">
        <v>43</v>
      </c>
      <c r="K5" s="115" t="s">
        <v>42</v>
      </c>
      <c r="L5" s="115" t="s">
        <v>43</v>
      </c>
      <c r="M5" s="115" t="s">
        <v>42</v>
      </c>
      <c r="N5" s="115" t="s">
        <v>43</v>
      </c>
      <c r="O5" s="115" t="s">
        <v>42</v>
      </c>
      <c r="P5" s="115" t="s">
        <v>43</v>
      </c>
      <c r="Q5" s="115" t="s">
        <v>42</v>
      </c>
      <c r="R5" s="115" t="s">
        <v>43</v>
      </c>
      <c r="S5" s="33" t="s">
        <v>42</v>
      </c>
      <c r="T5" s="33" t="s">
        <v>43</v>
      </c>
      <c r="U5" s="30" t="s">
        <v>42</v>
      </c>
      <c r="V5" s="30" t="s">
        <v>43</v>
      </c>
      <c r="W5" s="30" t="s">
        <v>42</v>
      </c>
      <c r="X5" s="30" t="s">
        <v>43</v>
      </c>
      <c r="Y5" s="2239"/>
    </row>
    <row r="6" spans="1:25" ht="34.5" customHeight="1" x14ac:dyDescent="0.25">
      <c r="A6" s="12">
        <v>1409935200</v>
      </c>
      <c r="B6" s="114" t="s">
        <v>71</v>
      </c>
      <c r="C6" s="112">
        <v>46105</v>
      </c>
      <c r="D6" s="111">
        <f>0.9725*C6</f>
        <v>44837.112500000003</v>
      </c>
      <c r="E6" s="112"/>
      <c r="F6" s="112">
        <f>13.7*E6</f>
        <v>0</v>
      </c>
      <c r="G6" s="112"/>
      <c r="H6" s="112">
        <f>28.2*G6</f>
        <v>0</v>
      </c>
      <c r="I6" s="112">
        <v>260</v>
      </c>
      <c r="J6" s="112">
        <f>18.5*I6</f>
        <v>4810</v>
      </c>
      <c r="K6" s="112"/>
      <c r="L6" s="112">
        <f>19.5*K6</f>
        <v>0</v>
      </c>
      <c r="M6" s="112"/>
      <c r="N6" s="111">
        <f>M6*9.75</f>
        <v>0</v>
      </c>
      <c r="O6" s="112"/>
      <c r="P6" s="111">
        <f>O6*48.62</f>
        <v>0</v>
      </c>
      <c r="Q6" s="111"/>
      <c r="R6" s="111">
        <f>241*Q6</f>
        <v>0</v>
      </c>
      <c r="S6" s="112">
        <v>25</v>
      </c>
      <c r="T6" s="112">
        <f>241*S6</f>
        <v>6025</v>
      </c>
      <c r="U6" s="112">
        <v>4</v>
      </c>
      <c r="V6" s="112">
        <f>232*U6</f>
        <v>928</v>
      </c>
      <c r="W6" s="112"/>
      <c r="X6" s="19">
        <f>W6*100</f>
        <v>0</v>
      </c>
      <c r="Y6" s="89">
        <f t="shared" ref="Y6:Y11" si="0">D6+F6+H6+J6+L6+N6+P6+R6+T6+V6+X6</f>
        <v>56600.112500000003</v>
      </c>
    </row>
    <row r="7" spans="1:25" ht="31.5" customHeight="1" x14ac:dyDescent="0.25">
      <c r="A7" s="12">
        <v>1984225578</v>
      </c>
      <c r="B7" s="114" t="s">
        <v>72</v>
      </c>
      <c r="C7" s="112">
        <v>48497</v>
      </c>
      <c r="D7" s="111">
        <f t="shared" ref="D7:D11" si="1">0.9725*C7</f>
        <v>47163.332500000004</v>
      </c>
      <c r="E7" s="112"/>
      <c r="F7" s="112">
        <f t="shared" ref="F7:F11" si="2">13.7*E7</f>
        <v>0</v>
      </c>
      <c r="G7" s="112">
        <v>90</v>
      </c>
      <c r="H7" s="112">
        <f t="shared" ref="H7:H11" si="3">28.2*G7</f>
        <v>2538</v>
      </c>
      <c r="I7" s="112">
        <v>330</v>
      </c>
      <c r="J7" s="112">
        <f t="shared" ref="J7:J11" si="4">18.5*I7</f>
        <v>6105</v>
      </c>
      <c r="K7" s="112"/>
      <c r="L7" s="112">
        <f t="shared" ref="L7:L11" si="5">19.5*K7</f>
        <v>0</v>
      </c>
      <c r="M7" s="112"/>
      <c r="N7" s="111">
        <f t="shared" ref="N7:N11" si="6">M7*9.75</f>
        <v>0</v>
      </c>
      <c r="O7" s="112"/>
      <c r="P7" s="111">
        <f t="shared" ref="P7:P11" si="7">O7*48.62</f>
        <v>0</v>
      </c>
      <c r="Q7" s="111"/>
      <c r="R7" s="111">
        <f t="shared" ref="R7:R11" si="8">241*Q7</f>
        <v>0</v>
      </c>
      <c r="S7" s="112">
        <v>15</v>
      </c>
      <c r="T7" s="112">
        <f t="shared" ref="T7:T11" si="9">241*S7</f>
        <v>3615</v>
      </c>
      <c r="U7" s="112">
        <v>42</v>
      </c>
      <c r="V7" s="112">
        <f t="shared" ref="V7:V11" si="10">232*U7</f>
        <v>9744</v>
      </c>
      <c r="W7" s="112"/>
      <c r="X7" s="19">
        <f t="shared" ref="X7:X11" si="11">W7*100</f>
        <v>0</v>
      </c>
      <c r="Y7" s="89">
        <f t="shared" si="0"/>
        <v>69165.332500000004</v>
      </c>
    </row>
    <row r="8" spans="1:25" ht="35.25" customHeight="1" x14ac:dyDescent="0.25">
      <c r="A8" s="12">
        <v>1967020280</v>
      </c>
      <c r="B8" s="114" t="s">
        <v>73</v>
      </c>
      <c r="C8" s="112">
        <v>43288</v>
      </c>
      <c r="D8" s="111">
        <f t="shared" si="1"/>
        <v>42097.58</v>
      </c>
      <c r="E8" s="112"/>
      <c r="F8" s="112">
        <f t="shared" si="2"/>
        <v>0</v>
      </c>
      <c r="G8" s="112">
        <v>130</v>
      </c>
      <c r="H8" s="112">
        <f t="shared" si="3"/>
        <v>3666</v>
      </c>
      <c r="I8" s="112">
        <v>170</v>
      </c>
      <c r="J8" s="112">
        <f t="shared" si="4"/>
        <v>3145</v>
      </c>
      <c r="K8" s="112"/>
      <c r="L8" s="112">
        <f t="shared" si="5"/>
        <v>0</v>
      </c>
      <c r="M8" s="112"/>
      <c r="N8" s="111">
        <f t="shared" si="6"/>
        <v>0</v>
      </c>
      <c r="O8" s="112"/>
      <c r="P8" s="111">
        <f t="shared" si="7"/>
        <v>0</v>
      </c>
      <c r="Q8" s="111"/>
      <c r="R8" s="111">
        <f t="shared" si="8"/>
        <v>0</v>
      </c>
      <c r="S8" s="112"/>
      <c r="T8" s="112">
        <f t="shared" si="9"/>
        <v>0</v>
      </c>
      <c r="U8" s="112"/>
      <c r="V8" s="112">
        <f t="shared" si="10"/>
        <v>0</v>
      </c>
      <c r="W8" s="112"/>
      <c r="X8" s="19">
        <f t="shared" si="11"/>
        <v>0</v>
      </c>
      <c r="Y8" s="89">
        <f t="shared" si="0"/>
        <v>48908.58</v>
      </c>
    </row>
    <row r="9" spans="1:25" ht="38.25" customHeight="1" x14ac:dyDescent="0.25">
      <c r="A9" s="12">
        <v>1409935199</v>
      </c>
      <c r="B9" s="114" t="s">
        <v>74</v>
      </c>
      <c r="C9" s="112">
        <v>20410</v>
      </c>
      <c r="D9" s="111">
        <f t="shared" si="1"/>
        <v>19848.725000000002</v>
      </c>
      <c r="E9" s="112"/>
      <c r="F9" s="112">
        <f t="shared" si="2"/>
        <v>0</v>
      </c>
      <c r="G9" s="112"/>
      <c r="H9" s="112">
        <f t="shared" si="3"/>
        <v>0</v>
      </c>
      <c r="I9" s="112">
        <v>170</v>
      </c>
      <c r="J9" s="112">
        <f t="shared" si="4"/>
        <v>3145</v>
      </c>
      <c r="K9" s="112"/>
      <c r="L9" s="112">
        <f t="shared" si="5"/>
        <v>0</v>
      </c>
      <c r="M9" s="112"/>
      <c r="N9" s="111">
        <f t="shared" si="6"/>
        <v>0</v>
      </c>
      <c r="O9" s="112"/>
      <c r="P9" s="111">
        <f t="shared" si="7"/>
        <v>0</v>
      </c>
      <c r="Q9" s="111"/>
      <c r="R9" s="111">
        <f t="shared" si="8"/>
        <v>0</v>
      </c>
      <c r="S9" s="112"/>
      <c r="T9" s="112">
        <f t="shared" si="9"/>
        <v>0</v>
      </c>
      <c r="U9" s="112"/>
      <c r="V9" s="112">
        <f t="shared" si="10"/>
        <v>0</v>
      </c>
      <c r="W9" s="112"/>
      <c r="X9" s="19">
        <f t="shared" si="11"/>
        <v>0</v>
      </c>
      <c r="Y9" s="89">
        <f t="shared" si="0"/>
        <v>22993.725000000002</v>
      </c>
    </row>
    <row r="10" spans="1:25" ht="35.25" customHeight="1" x14ac:dyDescent="0.25">
      <c r="A10" s="12">
        <v>1984225580</v>
      </c>
      <c r="B10" s="114" t="s">
        <v>75</v>
      </c>
      <c r="C10" s="112">
        <v>40734</v>
      </c>
      <c r="D10" s="111">
        <f t="shared" si="1"/>
        <v>39613.815000000002</v>
      </c>
      <c r="E10" s="112"/>
      <c r="F10" s="112">
        <f t="shared" si="2"/>
        <v>0</v>
      </c>
      <c r="G10" s="112">
        <v>160</v>
      </c>
      <c r="H10" s="112">
        <f t="shared" si="3"/>
        <v>4512</v>
      </c>
      <c r="I10" s="112">
        <v>1000</v>
      </c>
      <c r="J10" s="112">
        <f t="shared" si="4"/>
        <v>18500</v>
      </c>
      <c r="K10" s="112"/>
      <c r="L10" s="112">
        <f t="shared" si="5"/>
        <v>0</v>
      </c>
      <c r="M10" s="112"/>
      <c r="N10" s="111">
        <f t="shared" si="6"/>
        <v>0</v>
      </c>
      <c r="O10" s="112"/>
      <c r="P10" s="111">
        <f t="shared" si="7"/>
        <v>0</v>
      </c>
      <c r="Q10" s="111"/>
      <c r="R10" s="111">
        <f t="shared" si="8"/>
        <v>0</v>
      </c>
      <c r="S10" s="112"/>
      <c r="T10" s="112">
        <f t="shared" si="9"/>
        <v>0</v>
      </c>
      <c r="U10" s="112"/>
      <c r="V10" s="112">
        <f t="shared" si="10"/>
        <v>0</v>
      </c>
      <c r="W10" s="112"/>
      <c r="X10" s="19">
        <f t="shared" si="11"/>
        <v>0</v>
      </c>
      <c r="Y10" s="89">
        <f t="shared" si="0"/>
        <v>62625.815000000002</v>
      </c>
    </row>
    <row r="11" spans="1:25" ht="37.5" customHeight="1" x14ac:dyDescent="0.25">
      <c r="A11" s="12"/>
      <c r="B11" s="113"/>
      <c r="C11" s="112"/>
      <c r="D11" s="22">
        <f t="shared" si="1"/>
        <v>0</v>
      </c>
      <c r="E11" s="112"/>
      <c r="F11" s="112">
        <f t="shared" si="2"/>
        <v>0</v>
      </c>
      <c r="G11" s="112"/>
      <c r="H11" s="112">
        <f t="shared" si="3"/>
        <v>0</v>
      </c>
      <c r="I11" s="112"/>
      <c r="J11" s="112">
        <f t="shared" si="4"/>
        <v>0</v>
      </c>
      <c r="K11" s="112"/>
      <c r="L11" s="112">
        <f t="shared" si="5"/>
        <v>0</v>
      </c>
      <c r="M11" s="112"/>
      <c r="N11" s="111">
        <f t="shared" si="6"/>
        <v>0</v>
      </c>
      <c r="O11" s="112"/>
      <c r="P11" s="111">
        <f t="shared" si="7"/>
        <v>0</v>
      </c>
      <c r="Q11" s="111"/>
      <c r="R11" s="111">
        <f t="shared" si="8"/>
        <v>0</v>
      </c>
      <c r="S11" s="112">
        <v>86</v>
      </c>
      <c r="T11" s="112">
        <f t="shared" si="9"/>
        <v>20726</v>
      </c>
      <c r="U11" s="112"/>
      <c r="V11" s="112">
        <f t="shared" si="10"/>
        <v>0</v>
      </c>
      <c r="W11" s="112"/>
      <c r="X11" s="19">
        <f t="shared" si="11"/>
        <v>0</v>
      </c>
      <c r="Y11" s="20">
        <f t="shared" si="0"/>
        <v>20726</v>
      </c>
    </row>
    <row r="12" spans="1:25" ht="29.25" customHeight="1" x14ac:dyDescent="0.25">
      <c r="A12" s="2235" t="s">
        <v>31</v>
      </c>
      <c r="B12" s="2235"/>
      <c r="C12" s="18">
        <f t="shared" ref="C12:Y12" si="12">SUM(C6:C11)</f>
        <v>199034</v>
      </c>
      <c r="D12" s="18">
        <f t="shared" si="12"/>
        <v>193560.56500000003</v>
      </c>
      <c r="E12" s="18">
        <f t="shared" si="12"/>
        <v>0</v>
      </c>
      <c r="F12" s="18">
        <f t="shared" si="12"/>
        <v>0</v>
      </c>
      <c r="G12" s="18">
        <f t="shared" si="12"/>
        <v>380</v>
      </c>
      <c r="H12" s="18">
        <f t="shared" si="12"/>
        <v>10716</v>
      </c>
      <c r="I12" s="18">
        <f t="shared" si="12"/>
        <v>1930</v>
      </c>
      <c r="J12" s="18">
        <f t="shared" si="12"/>
        <v>35705</v>
      </c>
      <c r="K12" s="18">
        <f t="shared" si="12"/>
        <v>0</v>
      </c>
      <c r="L12" s="18">
        <f t="shared" si="12"/>
        <v>0</v>
      </c>
      <c r="M12" s="18">
        <f t="shared" si="12"/>
        <v>0</v>
      </c>
      <c r="N12" s="23">
        <f t="shared" si="12"/>
        <v>0</v>
      </c>
      <c r="O12" s="18">
        <f t="shared" si="12"/>
        <v>0</v>
      </c>
      <c r="P12" s="23">
        <f t="shared" si="12"/>
        <v>0</v>
      </c>
      <c r="Q12" s="23">
        <f t="shared" si="12"/>
        <v>0</v>
      </c>
      <c r="R12" s="23">
        <f>SUM(R6:R11)</f>
        <v>0</v>
      </c>
      <c r="S12" s="18">
        <f t="shared" si="12"/>
        <v>126</v>
      </c>
      <c r="T12" s="18">
        <f t="shared" si="12"/>
        <v>30366</v>
      </c>
      <c r="U12" s="18">
        <f t="shared" si="12"/>
        <v>46</v>
      </c>
      <c r="V12" s="18">
        <f t="shared" si="12"/>
        <v>10672</v>
      </c>
      <c r="W12" s="18">
        <f t="shared" si="12"/>
        <v>0</v>
      </c>
      <c r="X12" s="18">
        <f t="shared" si="12"/>
        <v>0</v>
      </c>
      <c r="Y12" s="18">
        <f t="shared" si="12"/>
        <v>281019.56500000006</v>
      </c>
    </row>
    <row r="14" spans="1:25" ht="32.25" customHeight="1" x14ac:dyDescent="0.25">
      <c r="A14" s="30" t="s">
        <v>32</v>
      </c>
      <c r="B14" s="2236" t="s">
        <v>27</v>
      </c>
      <c r="C14" s="2236"/>
      <c r="D14" s="30" t="s">
        <v>33</v>
      </c>
      <c r="E14" s="30" t="s">
        <v>65</v>
      </c>
      <c r="F14" s="30" t="s">
        <v>34</v>
      </c>
      <c r="G14" s="30" t="s">
        <v>13</v>
      </c>
      <c r="H14" s="31" t="s">
        <v>45</v>
      </c>
      <c r="I14" s="30" t="s">
        <v>17</v>
      </c>
      <c r="J14" s="30" t="s">
        <v>66</v>
      </c>
      <c r="K14" s="30" t="s">
        <v>36</v>
      </c>
      <c r="L14" s="30" t="s">
        <v>37</v>
      </c>
      <c r="M14" s="30" t="s">
        <v>69</v>
      </c>
      <c r="N14" s="30" t="s">
        <v>70</v>
      </c>
      <c r="O14" s="86" t="s">
        <v>114</v>
      </c>
      <c r="P14" s="86" t="s">
        <v>99</v>
      </c>
      <c r="Q14" s="15"/>
      <c r="R14" s="15"/>
      <c r="T14" s="2235" t="s">
        <v>46</v>
      </c>
      <c r="U14" s="114" t="s">
        <v>54</v>
      </c>
      <c r="V14" s="2260">
        <v>19553</v>
      </c>
      <c r="W14" s="2268"/>
      <c r="X14" s="2261"/>
    </row>
    <row r="15" spans="1:25" ht="22.5" customHeight="1" x14ac:dyDescent="0.25">
      <c r="A15" s="100" t="s">
        <v>38</v>
      </c>
      <c r="B15" s="2260">
        <v>300220</v>
      </c>
      <c r="C15" s="2261"/>
      <c r="D15" s="117">
        <v>0</v>
      </c>
      <c r="E15" s="117">
        <v>660</v>
      </c>
      <c r="F15" s="117">
        <v>4710</v>
      </c>
      <c r="G15" s="117">
        <v>0</v>
      </c>
      <c r="H15" s="117">
        <v>125</v>
      </c>
      <c r="I15" s="117">
        <v>70</v>
      </c>
      <c r="J15" s="117">
        <v>30</v>
      </c>
      <c r="K15" s="117">
        <v>30</v>
      </c>
      <c r="L15" s="117">
        <v>154</v>
      </c>
      <c r="M15" s="117">
        <v>0</v>
      </c>
      <c r="N15" s="117">
        <v>100</v>
      </c>
      <c r="O15" s="117">
        <v>0</v>
      </c>
      <c r="P15" s="117">
        <v>836</v>
      </c>
      <c r="Q15" s="21"/>
      <c r="R15" s="21"/>
      <c r="T15" s="2235"/>
      <c r="U15" s="114" t="s">
        <v>64</v>
      </c>
      <c r="V15" s="2262">
        <v>7999</v>
      </c>
      <c r="W15" s="2262"/>
      <c r="X15" s="2262"/>
    </row>
    <row r="16" spans="1:25" ht="24.75" customHeight="1" x14ac:dyDescent="0.25">
      <c r="A16" s="100" t="s">
        <v>39</v>
      </c>
      <c r="B16" s="2260">
        <v>281481</v>
      </c>
      <c r="C16" s="2261"/>
      <c r="D16" s="117"/>
      <c r="E16" s="117"/>
      <c r="F16" s="117"/>
      <c r="G16" s="117"/>
      <c r="H16" s="117"/>
      <c r="I16" s="117"/>
      <c r="J16" s="117"/>
      <c r="K16" s="117"/>
      <c r="L16" s="117"/>
      <c r="M16" s="117"/>
      <c r="N16" s="117"/>
      <c r="O16" s="117"/>
      <c r="P16" s="117"/>
      <c r="Q16" s="21"/>
      <c r="R16" s="21"/>
      <c r="T16" s="2254" t="s">
        <v>55</v>
      </c>
      <c r="U16" s="2254"/>
      <c r="V16" s="2267">
        <f>Y12</f>
        <v>281019.56500000006</v>
      </c>
      <c r="W16" s="2267"/>
      <c r="X16" s="2262"/>
    </row>
    <row r="17" spans="1:25" ht="28.5" customHeight="1" x14ac:dyDescent="0.25">
      <c r="A17" s="101" t="s">
        <v>44</v>
      </c>
      <c r="B17" s="2260">
        <v>10065</v>
      </c>
      <c r="C17" s="2261"/>
      <c r="D17" s="117"/>
      <c r="E17" s="117"/>
      <c r="F17" s="117"/>
      <c r="G17" s="117"/>
      <c r="H17" s="117"/>
      <c r="I17" s="117"/>
      <c r="J17" s="117"/>
      <c r="K17" s="117"/>
      <c r="L17" s="117"/>
      <c r="M17" s="117"/>
      <c r="N17" s="117"/>
      <c r="O17" s="117"/>
      <c r="P17" s="117"/>
      <c r="Q17" s="21"/>
      <c r="R17" s="21"/>
      <c r="T17" s="2270" t="s">
        <v>104</v>
      </c>
      <c r="U17" s="2271"/>
      <c r="V17" s="2262"/>
      <c r="W17" s="2262"/>
      <c r="X17" s="2262"/>
    </row>
    <row r="18" spans="1:25" ht="27" customHeight="1" x14ac:dyDescent="0.25">
      <c r="A18" s="100" t="s">
        <v>40</v>
      </c>
      <c r="B18" s="2264">
        <f>C12</f>
        <v>199034</v>
      </c>
      <c r="C18" s="2261"/>
      <c r="D18" s="119">
        <f>E12</f>
        <v>0</v>
      </c>
      <c r="E18" s="119">
        <f>G12</f>
        <v>380</v>
      </c>
      <c r="F18" s="119">
        <f>I12</f>
        <v>1930</v>
      </c>
      <c r="G18" s="119">
        <f>K12</f>
        <v>0</v>
      </c>
      <c r="H18" s="117">
        <v>40</v>
      </c>
      <c r="I18" s="119">
        <f>U12</f>
        <v>46</v>
      </c>
      <c r="J18" s="117"/>
      <c r="K18" s="119">
        <f>W12</f>
        <v>0</v>
      </c>
      <c r="L18" s="117">
        <v>36</v>
      </c>
      <c r="M18" s="119">
        <f>M12</f>
        <v>0</v>
      </c>
      <c r="N18" s="119"/>
      <c r="O18" s="118">
        <f>Q12</f>
        <v>0</v>
      </c>
      <c r="P18" s="117">
        <v>50</v>
      </c>
      <c r="Q18" s="21"/>
      <c r="R18" s="21"/>
      <c r="T18" s="2254" t="s">
        <v>57</v>
      </c>
      <c r="U18" s="2254"/>
      <c r="V18" s="2262">
        <f>530+9688</f>
        <v>10218</v>
      </c>
      <c r="W18" s="2262"/>
      <c r="X18" s="2262"/>
      <c r="Y18" s="2269" t="s">
        <v>125</v>
      </c>
    </row>
    <row r="19" spans="1:25" ht="25.5" customHeight="1" x14ac:dyDescent="0.25">
      <c r="A19" s="100" t="s">
        <v>41</v>
      </c>
      <c r="B19" s="2260">
        <f>B15+B16+B17-B18</f>
        <v>392732</v>
      </c>
      <c r="C19" s="2261"/>
      <c r="D19" s="117">
        <f>D15+D16+D17-D18</f>
        <v>0</v>
      </c>
      <c r="E19" s="117">
        <f t="shared" ref="E19:N19" si="13">E15+E16+E17-E18</f>
        <v>280</v>
      </c>
      <c r="F19" s="117">
        <f t="shared" si="13"/>
        <v>2780</v>
      </c>
      <c r="G19" s="117">
        <f t="shared" si="13"/>
        <v>0</v>
      </c>
      <c r="H19" s="117">
        <f t="shared" si="13"/>
        <v>85</v>
      </c>
      <c r="I19" s="117">
        <f t="shared" si="13"/>
        <v>24</v>
      </c>
      <c r="J19" s="117">
        <f t="shared" si="13"/>
        <v>30</v>
      </c>
      <c r="K19" s="117">
        <f t="shared" si="13"/>
        <v>30</v>
      </c>
      <c r="L19" s="117">
        <f t="shared" si="13"/>
        <v>118</v>
      </c>
      <c r="M19" s="117">
        <f t="shared" si="13"/>
        <v>0</v>
      </c>
      <c r="N19" s="117">
        <f t="shared" si="13"/>
        <v>100</v>
      </c>
      <c r="O19" s="117">
        <f>O15+O16+O17-O18</f>
        <v>0</v>
      </c>
      <c r="P19" s="117">
        <f>P15+P16+P17-P18</f>
        <v>786</v>
      </c>
      <c r="Q19" s="21"/>
      <c r="R19" s="21"/>
      <c r="T19" s="2256" t="s">
        <v>48</v>
      </c>
      <c r="U19" s="49" t="s">
        <v>58</v>
      </c>
      <c r="V19" s="2262">
        <v>271000</v>
      </c>
      <c r="W19" s="2262"/>
      <c r="X19" s="2262"/>
      <c r="Y19" s="2269"/>
    </row>
    <row r="20" spans="1:25" ht="23.25" customHeight="1" x14ac:dyDescent="0.25">
      <c r="A20" s="15"/>
      <c r="B20" s="10"/>
      <c r="C20" s="10"/>
      <c r="D20" s="10"/>
      <c r="E20" s="10"/>
      <c r="F20" s="10"/>
      <c r="G20" s="10"/>
      <c r="H20" s="10"/>
      <c r="I20" s="10"/>
      <c r="J20" s="10"/>
      <c r="K20" s="10"/>
      <c r="L20" s="10"/>
      <c r="M20" s="10"/>
      <c r="N20" s="10"/>
      <c r="O20" s="10"/>
      <c r="P20" s="10"/>
      <c r="Q20" s="10"/>
      <c r="R20" s="10"/>
      <c r="T20" s="2257"/>
      <c r="U20" s="49" t="s">
        <v>59</v>
      </c>
      <c r="V20" s="2262"/>
      <c r="W20" s="2262"/>
      <c r="X20" s="2262"/>
      <c r="Y20" s="2269"/>
    </row>
    <row r="21" spans="1:25" ht="33.75" customHeight="1" x14ac:dyDescent="0.25">
      <c r="A21" s="15"/>
      <c r="B21" s="10"/>
      <c r="C21" s="10"/>
      <c r="D21" s="10"/>
      <c r="E21" s="10"/>
      <c r="F21" s="10"/>
      <c r="G21" s="10"/>
      <c r="H21" s="10"/>
      <c r="I21" s="10"/>
      <c r="J21" s="10"/>
      <c r="K21" s="10"/>
      <c r="L21" s="10"/>
      <c r="M21" s="10"/>
      <c r="N21" s="10"/>
      <c r="O21" s="10"/>
      <c r="P21" s="10"/>
      <c r="Q21" s="10"/>
      <c r="R21" s="10"/>
      <c r="T21" s="2251" t="s">
        <v>83</v>
      </c>
      <c r="U21" s="50" t="s">
        <v>60</v>
      </c>
      <c r="V21" s="2262">
        <v>272130</v>
      </c>
      <c r="W21" s="2262"/>
      <c r="X21" s="2262"/>
      <c r="Y21" s="2269"/>
    </row>
    <row r="22" spans="1:25" ht="29.25" customHeight="1" x14ac:dyDescent="0.25">
      <c r="A22" s="10"/>
      <c r="B22" s="2258" t="s">
        <v>49</v>
      </c>
      <c r="C22" s="2265">
        <v>589638</v>
      </c>
      <c r="D22" s="2262">
        <v>271000</v>
      </c>
      <c r="E22" s="2262">
        <v>270925</v>
      </c>
      <c r="F22" s="2262">
        <f>C22-D22+E22</f>
        <v>589563</v>
      </c>
      <c r="G22" s="10"/>
      <c r="H22" s="10"/>
      <c r="I22" s="10"/>
      <c r="J22" s="10"/>
      <c r="K22" s="10"/>
      <c r="L22" s="10"/>
      <c r="M22" s="10" t="s">
        <v>140</v>
      </c>
      <c r="N22" s="10"/>
      <c r="O22" s="10"/>
      <c r="P22" s="10"/>
      <c r="Q22" s="10"/>
      <c r="R22" s="10"/>
      <c r="T22" s="2252"/>
      <c r="U22" s="50" t="s">
        <v>61</v>
      </c>
      <c r="V22" s="2262">
        <v>271000</v>
      </c>
      <c r="W22" s="2262"/>
      <c r="X22" s="2262"/>
      <c r="Y22" s="2269"/>
    </row>
    <row r="23" spans="1:25" ht="47.25" customHeight="1" x14ac:dyDescent="0.25">
      <c r="A23" s="10"/>
      <c r="B23" s="2258"/>
      <c r="C23" s="2266"/>
      <c r="D23" s="2262"/>
      <c r="E23" s="2262"/>
      <c r="F23" s="2262"/>
      <c r="G23" s="10"/>
      <c r="H23" s="10"/>
      <c r="I23" s="10"/>
      <c r="J23" s="10"/>
      <c r="K23" s="10"/>
      <c r="L23" s="10"/>
      <c r="M23" s="10"/>
      <c r="N23" s="10"/>
      <c r="O23" s="10"/>
      <c r="P23" s="10"/>
      <c r="Q23" s="10"/>
      <c r="R23" s="10"/>
      <c r="T23" s="2235" t="s">
        <v>47</v>
      </c>
      <c r="U23" s="51" t="s">
        <v>62</v>
      </c>
      <c r="V23" s="2263">
        <f>V14+V16+V17-V18-V19-V20-V21+V22</f>
        <v>18224.565000000061</v>
      </c>
      <c r="W23" s="2263"/>
      <c r="X23" s="2263"/>
      <c r="Y23" s="2269"/>
    </row>
    <row r="24" spans="1:25" ht="27" customHeight="1" x14ac:dyDescent="0.25">
      <c r="B24" s="2258"/>
      <c r="C24" s="114" t="s">
        <v>46</v>
      </c>
      <c r="D24" s="114" t="s">
        <v>50</v>
      </c>
      <c r="E24" s="114" t="s">
        <v>51</v>
      </c>
      <c r="F24" s="114" t="s">
        <v>52</v>
      </c>
      <c r="T24" s="2235"/>
      <c r="U24" s="51" t="s">
        <v>63</v>
      </c>
      <c r="V24" s="2262">
        <f>V15+V21-V22</f>
        <v>9129</v>
      </c>
      <c r="W24" s="2262"/>
      <c r="X24" s="2262"/>
    </row>
  </sheetData>
  <mergeCells count="48">
    <mergeCell ref="A1:Y1"/>
    <mergeCell ref="A2:Y2"/>
    <mergeCell ref="T3:Y3"/>
    <mergeCell ref="A4:A5"/>
    <mergeCell ref="B4:B5"/>
    <mergeCell ref="C4:D4"/>
    <mergeCell ref="E4:F4"/>
    <mergeCell ref="G4:H4"/>
    <mergeCell ref="I4:J4"/>
    <mergeCell ref="K4:L4"/>
    <mergeCell ref="Y4:Y5"/>
    <mergeCell ref="M4:N4"/>
    <mergeCell ref="O4:P4"/>
    <mergeCell ref="Q4:R4"/>
    <mergeCell ref="S4:T4"/>
    <mergeCell ref="U4:V4"/>
    <mergeCell ref="V18:X18"/>
    <mergeCell ref="B22:B24"/>
    <mergeCell ref="C22:C23"/>
    <mergeCell ref="W4:X4"/>
    <mergeCell ref="B16:C16"/>
    <mergeCell ref="T16:U16"/>
    <mergeCell ref="V16:X16"/>
    <mergeCell ref="B17:C17"/>
    <mergeCell ref="T17:U17"/>
    <mergeCell ref="V17:X17"/>
    <mergeCell ref="A12:B12"/>
    <mergeCell ref="B14:C14"/>
    <mergeCell ref="T14:T15"/>
    <mergeCell ref="V14:X14"/>
    <mergeCell ref="B15:C15"/>
    <mergeCell ref="V15:X15"/>
    <mergeCell ref="D22:D23"/>
    <mergeCell ref="E22:E23"/>
    <mergeCell ref="F22:F23"/>
    <mergeCell ref="Y18:Y23"/>
    <mergeCell ref="B19:C19"/>
    <mergeCell ref="T19:T20"/>
    <mergeCell ref="V19:X19"/>
    <mergeCell ref="V20:X20"/>
    <mergeCell ref="T21:T22"/>
    <mergeCell ref="V21:X21"/>
    <mergeCell ref="V22:X22"/>
    <mergeCell ref="T23:T24"/>
    <mergeCell ref="V23:X23"/>
    <mergeCell ref="V24:X24"/>
    <mergeCell ref="B18:C18"/>
    <mergeCell ref="T18:U18"/>
  </mergeCells>
  <pageMargins left="0.15748031496063" right="0.15748031496063" top="0" bottom="0" header="0" footer="0"/>
  <pageSetup paperSize="9" scale="51" orientation="landscape" r:id="rId1"/>
</worksheet>
</file>

<file path=xl/worksheets/sheet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D00-000000000000}">
  <sheetPr>
    <pageSetUpPr fitToPage="1"/>
  </sheetPr>
  <dimension ref="A1:Y24"/>
  <sheetViews>
    <sheetView topLeftCell="A6" zoomScale="67" zoomScaleNormal="67" zoomScaleSheetLayoutView="100" workbookViewId="0">
      <selection activeCell="J17" sqref="J17"/>
    </sheetView>
  </sheetViews>
  <sheetFormatPr defaultColWidth="9.140625" defaultRowHeight="15" x14ac:dyDescent="0.25"/>
  <cols>
    <col min="1" max="1" width="18.28515625" style="14" customWidth="1"/>
    <col min="2" max="2" width="10.7109375" style="14" customWidth="1"/>
    <col min="3" max="3" width="12.28515625" style="14" customWidth="1"/>
    <col min="4" max="4" width="11" style="14" customWidth="1"/>
    <col min="5" max="5" width="12" style="14" customWidth="1"/>
    <col min="6" max="6" width="12.5703125" style="14" bestFit="1" customWidth="1"/>
    <col min="7" max="7" width="9.28515625" style="14" bestFit="1" customWidth="1"/>
    <col min="8" max="8" width="10.140625" style="14" bestFit="1" customWidth="1"/>
    <col min="9" max="9" width="10.5703125" style="14" bestFit="1" customWidth="1"/>
    <col min="10" max="10" width="10.5703125" style="14" customWidth="1"/>
    <col min="11" max="11" width="10.28515625" style="14" bestFit="1" customWidth="1"/>
    <col min="12" max="12" width="9.42578125" style="14" bestFit="1" customWidth="1"/>
    <col min="13" max="13" width="9.85546875" style="14" bestFit="1" customWidth="1"/>
    <col min="14" max="14" width="10.140625" style="14" bestFit="1" customWidth="1"/>
    <col min="15" max="15" width="9" style="14" customWidth="1"/>
    <col min="16" max="16" width="12.85546875" style="14" bestFit="1" customWidth="1"/>
    <col min="17" max="18" width="9.42578125" style="14" customWidth="1"/>
    <col min="19" max="19" width="7.5703125" style="14" customWidth="1"/>
    <col min="20" max="20" width="12.5703125" style="14" customWidth="1"/>
    <col min="21" max="21" width="17.28515625" style="14" customWidth="1"/>
    <col min="22" max="22" width="9.85546875" style="14" bestFit="1" customWidth="1"/>
    <col min="23" max="23" width="10.140625" style="14" bestFit="1" customWidth="1"/>
    <col min="24" max="24" width="9.85546875" style="14" bestFit="1" customWidth="1"/>
    <col min="25" max="25" width="15.85546875" style="14" customWidth="1"/>
    <col min="26" max="16384" width="9.140625" style="14"/>
  </cols>
  <sheetData>
    <row r="1" spans="1:25" ht="46.15" customHeight="1" x14ac:dyDescent="0.25">
      <c r="A1" s="2240" t="s">
        <v>76</v>
      </c>
      <c r="B1" s="2240"/>
      <c r="C1" s="2240"/>
      <c r="D1" s="2240"/>
      <c r="E1" s="2240"/>
      <c r="F1" s="2240"/>
      <c r="G1" s="2240"/>
      <c r="H1" s="2240"/>
      <c r="I1" s="2240"/>
      <c r="J1" s="2240"/>
      <c r="K1" s="2240"/>
      <c r="L1" s="2240"/>
      <c r="M1" s="2240"/>
      <c r="N1" s="2240"/>
      <c r="O1" s="2240"/>
      <c r="P1" s="2240"/>
      <c r="Q1" s="2240"/>
      <c r="R1" s="2240"/>
      <c r="S1" s="2240"/>
      <c r="T1" s="2240"/>
      <c r="U1" s="2240"/>
      <c r="V1" s="2240"/>
      <c r="W1" s="2240"/>
      <c r="X1" s="2240"/>
      <c r="Y1" s="2240"/>
    </row>
    <row r="2" spans="1:25" ht="21.6" customHeight="1" x14ac:dyDescent="0.25">
      <c r="A2" s="2241" t="s">
        <v>77</v>
      </c>
      <c r="B2" s="2241"/>
      <c r="C2" s="2241"/>
      <c r="D2" s="2241"/>
      <c r="E2" s="2241"/>
      <c r="F2" s="2241"/>
      <c r="G2" s="2241"/>
      <c r="H2" s="2241"/>
      <c r="I2" s="2241"/>
      <c r="J2" s="2241"/>
      <c r="K2" s="2241"/>
      <c r="L2" s="2241"/>
      <c r="M2" s="2241"/>
      <c r="N2" s="2241"/>
      <c r="O2" s="2241"/>
      <c r="P2" s="2241"/>
      <c r="Q2" s="2241"/>
      <c r="R2" s="2241"/>
      <c r="S2" s="2241"/>
      <c r="T2" s="2241"/>
      <c r="U2" s="2241"/>
      <c r="V2" s="2241"/>
      <c r="W2" s="2241"/>
      <c r="X2" s="2241"/>
      <c r="Y2" s="2241"/>
    </row>
    <row r="3" spans="1:25" ht="21" customHeight="1" x14ac:dyDescent="0.25">
      <c r="A3" s="116"/>
      <c r="B3" s="116"/>
      <c r="C3" s="116"/>
      <c r="D3" s="116"/>
      <c r="E3" s="116"/>
      <c r="F3" s="116"/>
      <c r="G3" s="116"/>
      <c r="H3" s="116"/>
      <c r="I3" s="116"/>
      <c r="J3" s="116"/>
      <c r="K3" s="116"/>
      <c r="L3" s="116"/>
      <c r="M3" s="116"/>
      <c r="N3" s="116"/>
      <c r="O3" s="116"/>
      <c r="P3" s="116"/>
      <c r="Q3" s="116"/>
      <c r="R3" s="116"/>
      <c r="S3" s="116"/>
      <c r="T3" s="2242" t="s">
        <v>141</v>
      </c>
      <c r="U3" s="2242"/>
      <c r="V3" s="2242"/>
      <c r="W3" s="2242"/>
      <c r="X3" s="2242"/>
      <c r="Y3" s="2242"/>
    </row>
    <row r="4" spans="1:25" s="116" customFormat="1" ht="18" customHeight="1" x14ac:dyDescent="0.25">
      <c r="A4" s="2243" t="s">
        <v>25</v>
      </c>
      <c r="B4" s="2243" t="s">
        <v>26</v>
      </c>
      <c r="C4" s="2244" t="s">
        <v>27</v>
      </c>
      <c r="D4" s="2244"/>
      <c r="E4" s="2244" t="s">
        <v>28</v>
      </c>
      <c r="F4" s="2244"/>
      <c r="G4" s="2244" t="s">
        <v>65</v>
      </c>
      <c r="H4" s="2244"/>
      <c r="I4" s="2244" t="s">
        <v>29</v>
      </c>
      <c r="J4" s="2244"/>
      <c r="K4" s="2245" t="s">
        <v>13</v>
      </c>
      <c r="L4" s="2246"/>
      <c r="M4" s="2245" t="s">
        <v>67</v>
      </c>
      <c r="N4" s="2246"/>
      <c r="O4" s="2245" t="s">
        <v>68</v>
      </c>
      <c r="P4" s="2246"/>
      <c r="Q4" s="2245" t="s">
        <v>114</v>
      </c>
      <c r="R4" s="2246"/>
      <c r="S4" s="2244" t="s">
        <v>35</v>
      </c>
      <c r="T4" s="2244"/>
      <c r="U4" s="2245" t="s">
        <v>17</v>
      </c>
      <c r="V4" s="2246"/>
      <c r="W4" s="2247" t="s">
        <v>36</v>
      </c>
      <c r="X4" s="2248"/>
      <c r="Y4" s="2238" t="s">
        <v>30</v>
      </c>
    </row>
    <row r="5" spans="1:25" s="116" customFormat="1" ht="25.5" customHeight="1" x14ac:dyDescent="0.25">
      <c r="A5" s="2243"/>
      <c r="B5" s="2243"/>
      <c r="C5" s="115" t="s">
        <v>42</v>
      </c>
      <c r="D5" s="115" t="s">
        <v>43</v>
      </c>
      <c r="E5" s="115" t="s">
        <v>42</v>
      </c>
      <c r="F5" s="115" t="s">
        <v>43</v>
      </c>
      <c r="G5" s="115" t="s">
        <v>42</v>
      </c>
      <c r="H5" s="115" t="s">
        <v>43</v>
      </c>
      <c r="I5" s="115" t="s">
        <v>42</v>
      </c>
      <c r="J5" s="115" t="s">
        <v>43</v>
      </c>
      <c r="K5" s="115" t="s">
        <v>42</v>
      </c>
      <c r="L5" s="115" t="s">
        <v>43</v>
      </c>
      <c r="M5" s="115" t="s">
        <v>42</v>
      </c>
      <c r="N5" s="115" t="s">
        <v>43</v>
      </c>
      <c r="O5" s="115" t="s">
        <v>42</v>
      </c>
      <c r="P5" s="115" t="s">
        <v>43</v>
      </c>
      <c r="Q5" s="115" t="s">
        <v>42</v>
      </c>
      <c r="R5" s="115" t="s">
        <v>43</v>
      </c>
      <c r="S5" s="33" t="s">
        <v>42</v>
      </c>
      <c r="T5" s="33" t="s">
        <v>43</v>
      </c>
      <c r="U5" s="30" t="s">
        <v>42</v>
      </c>
      <c r="V5" s="30" t="s">
        <v>43</v>
      </c>
      <c r="W5" s="30" t="s">
        <v>42</v>
      </c>
      <c r="X5" s="30" t="s">
        <v>43</v>
      </c>
      <c r="Y5" s="2239"/>
    </row>
    <row r="6" spans="1:25" ht="34.5" customHeight="1" x14ac:dyDescent="0.25">
      <c r="A6" s="12">
        <v>1409935200</v>
      </c>
      <c r="B6" s="114" t="s">
        <v>71</v>
      </c>
      <c r="C6" s="112">
        <v>16238</v>
      </c>
      <c r="D6" s="111">
        <f>0.9725*C6</f>
        <v>15791.455</v>
      </c>
      <c r="E6" s="112"/>
      <c r="F6" s="112">
        <f>13.7*E6</f>
        <v>0</v>
      </c>
      <c r="G6" s="112"/>
      <c r="H6" s="112">
        <f>28.2*G6</f>
        <v>0</v>
      </c>
      <c r="I6" s="112">
        <v>80</v>
      </c>
      <c r="J6" s="112">
        <f>18.5*I6</f>
        <v>1480</v>
      </c>
      <c r="K6" s="112"/>
      <c r="L6" s="112">
        <f>19.5*K6</f>
        <v>0</v>
      </c>
      <c r="M6" s="112"/>
      <c r="N6" s="111">
        <f>M6*9.75</f>
        <v>0</v>
      </c>
      <c r="O6" s="112"/>
      <c r="P6" s="111">
        <f>O6*48.62</f>
        <v>0</v>
      </c>
      <c r="Q6" s="111"/>
      <c r="R6" s="111">
        <f>241*Q6</f>
        <v>0</v>
      </c>
      <c r="S6" s="112"/>
      <c r="T6" s="112">
        <f>241*S6</f>
        <v>0</v>
      </c>
      <c r="U6" s="112">
        <v>1</v>
      </c>
      <c r="V6" s="112">
        <f>232*U6</f>
        <v>232</v>
      </c>
      <c r="W6" s="112"/>
      <c r="X6" s="19">
        <f>W6*100</f>
        <v>0</v>
      </c>
      <c r="Y6" s="89">
        <f t="shared" ref="Y6:Y11" si="0">D6+F6+H6+J6+L6+N6+P6+R6+T6+V6+X6</f>
        <v>17503.455000000002</v>
      </c>
    </row>
    <row r="7" spans="1:25" ht="31.5" customHeight="1" x14ac:dyDescent="0.25">
      <c r="A7" s="12">
        <v>1984225578</v>
      </c>
      <c r="B7" s="114" t="s">
        <v>72</v>
      </c>
      <c r="C7" s="112">
        <v>26055</v>
      </c>
      <c r="D7" s="111">
        <f t="shared" ref="D7:D11" si="1">0.9725*C7</f>
        <v>25338.487499999999</v>
      </c>
      <c r="E7" s="112"/>
      <c r="F7" s="112">
        <f t="shared" ref="F7:F11" si="2">13.7*E7</f>
        <v>0</v>
      </c>
      <c r="G7" s="112">
        <v>50</v>
      </c>
      <c r="H7" s="112">
        <f t="shared" ref="H7:H11" si="3">28.2*G7</f>
        <v>1410</v>
      </c>
      <c r="I7" s="112">
        <v>590</v>
      </c>
      <c r="J7" s="112">
        <f t="shared" ref="J7:J11" si="4">18.5*I7</f>
        <v>10915</v>
      </c>
      <c r="K7" s="112"/>
      <c r="L7" s="112">
        <f t="shared" ref="L7:L11" si="5">19.5*K7</f>
        <v>0</v>
      </c>
      <c r="M7" s="112"/>
      <c r="N7" s="111">
        <f t="shared" ref="N7:N11" si="6">M7*9.75</f>
        <v>0</v>
      </c>
      <c r="O7" s="112"/>
      <c r="P7" s="111">
        <f t="shared" ref="P7:P11" si="7">O7*48.62</f>
        <v>0</v>
      </c>
      <c r="Q7" s="111"/>
      <c r="R7" s="111">
        <f t="shared" ref="R7:R11" si="8">241*Q7</f>
        <v>0</v>
      </c>
      <c r="S7" s="112"/>
      <c r="T7" s="112">
        <f t="shared" ref="T7:T11" si="9">241*S7</f>
        <v>0</v>
      </c>
      <c r="U7" s="112"/>
      <c r="V7" s="112">
        <f t="shared" ref="V7:V11" si="10">232*U7</f>
        <v>0</v>
      </c>
      <c r="W7" s="112"/>
      <c r="X7" s="19">
        <f t="shared" ref="X7:X11" si="11">W7*100</f>
        <v>0</v>
      </c>
      <c r="Y7" s="89">
        <f t="shared" si="0"/>
        <v>37663.487500000003</v>
      </c>
    </row>
    <row r="8" spans="1:25" ht="35.25" customHeight="1" x14ac:dyDescent="0.25">
      <c r="A8" s="12">
        <v>1967020280</v>
      </c>
      <c r="B8" s="114" t="s">
        <v>73</v>
      </c>
      <c r="C8" s="112">
        <v>24044</v>
      </c>
      <c r="D8" s="111">
        <f t="shared" si="1"/>
        <v>23382.79</v>
      </c>
      <c r="E8" s="112"/>
      <c r="F8" s="112">
        <f t="shared" si="2"/>
        <v>0</v>
      </c>
      <c r="G8" s="112">
        <v>120</v>
      </c>
      <c r="H8" s="112">
        <f t="shared" si="3"/>
        <v>3384</v>
      </c>
      <c r="I8" s="112">
        <v>510</v>
      </c>
      <c r="J8" s="112">
        <f t="shared" si="4"/>
        <v>9435</v>
      </c>
      <c r="K8" s="112"/>
      <c r="L8" s="112">
        <f t="shared" si="5"/>
        <v>0</v>
      </c>
      <c r="M8" s="112"/>
      <c r="N8" s="111">
        <f t="shared" si="6"/>
        <v>0</v>
      </c>
      <c r="O8" s="112"/>
      <c r="P8" s="111">
        <f t="shared" si="7"/>
        <v>0</v>
      </c>
      <c r="Q8" s="111"/>
      <c r="R8" s="111">
        <f t="shared" si="8"/>
        <v>0</v>
      </c>
      <c r="S8" s="112"/>
      <c r="T8" s="112">
        <f t="shared" si="9"/>
        <v>0</v>
      </c>
      <c r="U8" s="112"/>
      <c r="V8" s="112">
        <f t="shared" si="10"/>
        <v>0</v>
      </c>
      <c r="W8" s="112"/>
      <c r="X8" s="19">
        <f t="shared" si="11"/>
        <v>0</v>
      </c>
      <c r="Y8" s="89">
        <f t="shared" si="0"/>
        <v>36201.79</v>
      </c>
    </row>
    <row r="9" spans="1:25" ht="38.25" customHeight="1" x14ac:dyDescent="0.25">
      <c r="A9" s="12">
        <v>1409935199</v>
      </c>
      <c r="B9" s="114" t="s">
        <v>74</v>
      </c>
      <c r="C9" s="112">
        <v>15209</v>
      </c>
      <c r="D9" s="111">
        <f t="shared" si="1"/>
        <v>14790.752500000001</v>
      </c>
      <c r="E9" s="112"/>
      <c r="F9" s="112">
        <f t="shared" si="2"/>
        <v>0</v>
      </c>
      <c r="G9" s="112"/>
      <c r="H9" s="112">
        <f t="shared" si="3"/>
        <v>0</v>
      </c>
      <c r="I9" s="112"/>
      <c r="J9" s="112">
        <f t="shared" si="4"/>
        <v>0</v>
      </c>
      <c r="K9" s="112"/>
      <c r="L9" s="112">
        <f t="shared" si="5"/>
        <v>0</v>
      </c>
      <c r="M9" s="112"/>
      <c r="N9" s="111">
        <f t="shared" si="6"/>
        <v>0</v>
      </c>
      <c r="O9" s="112"/>
      <c r="P9" s="111">
        <f t="shared" si="7"/>
        <v>0</v>
      </c>
      <c r="Q9" s="111"/>
      <c r="R9" s="111">
        <f t="shared" si="8"/>
        <v>0</v>
      </c>
      <c r="S9" s="112"/>
      <c r="T9" s="112">
        <f t="shared" si="9"/>
        <v>0</v>
      </c>
      <c r="U9" s="112"/>
      <c r="V9" s="112">
        <f t="shared" si="10"/>
        <v>0</v>
      </c>
      <c r="W9" s="112"/>
      <c r="X9" s="19">
        <f t="shared" si="11"/>
        <v>0</v>
      </c>
      <c r="Y9" s="89">
        <f t="shared" si="0"/>
        <v>14790.752500000001</v>
      </c>
    </row>
    <row r="10" spans="1:25" ht="35.25" customHeight="1" x14ac:dyDescent="0.25">
      <c r="A10" s="12">
        <v>1984225580</v>
      </c>
      <c r="B10" s="114" t="s">
        <v>75</v>
      </c>
      <c r="C10" s="112">
        <v>15424</v>
      </c>
      <c r="D10" s="111">
        <f t="shared" si="1"/>
        <v>14999.84</v>
      </c>
      <c r="E10" s="112"/>
      <c r="F10" s="112">
        <f t="shared" si="2"/>
        <v>0</v>
      </c>
      <c r="G10" s="112"/>
      <c r="H10" s="112">
        <f t="shared" si="3"/>
        <v>0</v>
      </c>
      <c r="I10" s="112">
        <v>500</v>
      </c>
      <c r="J10" s="112">
        <f t="shared" si="4"/>
        <v>9250</v>
      </c>
      <c r="K10" s="112"/>
      <c r="L10" s="112">
        <f t="shared" si="5"/>
        <v>0</v>
      </c>
      <c r="M10" s="112"/>
      <c r="N10" s="111">
        <f t="shared" si="6"/>
        <v>0</v>
      </c>
      <c r="O10" s="112"/>
      <c r="P10" s="111">
        <f t="shared" si="7"/>
        <v>0</v>
      </c>
      <c r="Q10" s="111"/>
      <c r="R10" s="111">
        <f t="shared" si="8"/>
        <v>0</v>
      </c>
      <c r="S10" s="112"/>
      <c r="T10" s="112">
        <f t="shared" si="9"/>
        <v>0</v>
      </c>
      <c r="U10" s="112">
        <v>5</v>
      </c>
      <c r="V10" s="112">
        <f t="shared" si="10"/>
        <v>1160</v>
      </c>
      <c r="W10" s="112"/>
      <c r="X10" s="19">
        <f t="shared" si="11"/>
        <v>0</v>
      </c>
      <c r="Y10" s="89">
        <f t="shared" si="0"/>
        <v>25409.84</v>
      </c>
    </row>
    <row r="11" spans="1:25" ht="37.5" customHeight="1" x14ac:dyDescent="0.25">
      <c r="A11" s="12"/>
      <c r="B11" s="113"/>
      <c r="C11" s="112"/>
      <c r="D11" s="22">
        <f t="shared" si="1"/>
        <v>0</v>
      </c>
      <c r="E11" s="112"/>
      <c r="F11" s="112">
        <f t="shared" si="2"/>
        <v>0</v>
      </c>
      <c r="G11" s="112"/>
      <c r="H11" s="112">
        <f t="shared" si="3"/>
        <v>0</v>
      </c>
      <c r="I11" s="112"/>
      <c r="J11" s="112">
        <f t="shared" si="4"/>
        <v>0</v>
      </c>
      <c r="K11" s="112"/>
      <c r="L11" s="112">
        <f t="shared" si="5"/>
        <v>0</v>
      </c>
      <c r="M11" s="112"/>
      <c r="N11" s="111">
        <f t="shared" si="6"/>
        <v>0</v>
      </c>
      <c r="O11" s="112"/>
      <c r="P11" s="111">
        <f t="shared" si="7"/>
        <v>0</v>
      </c>
      <c r="Q11" s="111"/>
      <c r="R11" s="111">
        <f t="shared" si="8"/>
        <v>0</v>
      </c>
      <c r="S11" s="112">
        <v>6</v>
      </c>
      <c r="T11" s="112">
        <f t="shared" si="9"/>
        <v>1446</v>
      </c>
      <c r="U11" s="112"/>
      <c r="V11" s="112">
        <f t="shared" si="10"/>
        <v>0</v>
      </c>
      <c r="W11" s="112"/>
      <c r="X11" s="19">
        <f t="shared" si="11"/>
        <v>0</v>
      </c>
      <c r="Y11" s="20">
        <f t="shared" si="0"/>
        <v>1446</v>
      </c>
    </row>
    <row r="12" spans="1:25" ht="29.25" customHeight="1" x14ac:dyDescent="0.25">
      <c r="A12" s="2235" t="s">
        <v>31</v>
      </c>
      <c r="B12" s="2235"/>
      <c r="C12" s="18">
        <f t="shared" ref="C12:Y12" si="12">SUM(C6:C11)</f>
        <v>96970</v>
      </c>
      <c r="D12" s="18">
        <f t="shared" si="12"/>
        <v>94303.324999999997</v>
      </c>
      <c r="E12" s="18">
        <f t="shared" si="12"/>
        <v>0</v>
      </c>
      <c r="F12" s="18">
        <f t="shared" si="12"/>
        <v>0</v>
      </c>
      <c r="G12" s="18">
        <f t="shared" si="12"/>
        <v>170</v>
      </c>
      <c r="H12" s="18">
        <f t="shared" si="12"/>
        <v>4794</v>
      </c>
      <c r="I12" s="18">
        <f t="shared" si="12"/>
        <v>1680</v>
      </c>
      <c r="J12" s="18">
        <f t="shared" si="12"/>
        <v>31080</v>
      </c>
      <c r="K12" s="18">
        <f t="shared" si="12"/>
        <v>0</v>
      </c>
      <c r="L12" s="18">
        <f t="shared" si="12"/>
        <v>0</v>
      </c>
      <c r="M12" s="18">
        <f t="shared" si="12"/>
        <v>0</v>
      </c>
      <c r="N12" s="23">
        <f t="shared" si="12"/>
        <v>0</v>
      </c>
      <c r="O12" s="18">
        <f t="shared" si="12"/>
        <v>0</v>
      </c>
      <c r="P12" s="23">
        <f t="shared" si="12"/>
        <v>0</v>
      </c>
      <c r="Q12" s="23">
        <f t="shared" si="12"/>
        <v>0</v>
      </c>
      <c r="R12" s="23">
        <f>SUM(R6:R11)</f>
        <v>0</v>
      </c>
      <c r="S12" s="18">
        <f t="shared" si="12"/>
        <v>6</v>
      </c>
      <c r="T12" s="18">
        <f t="shared" si="12"/>
        <v>1446</v>
      </c>
      <c r="U12" s="18">
        <f t="shared" si="12"/>
        <v>6</v>
      </c>
      <c r="V12" s="18">
        <f t="shared" si="12"/>
        <v>1392</v>
      </c>
      <c r="W12" s="18">
        <f t="shared" si="12"/>
        <v>0</v>
      </c>
      <c r="X12" s="18">
        <f t="shared" si="12"/>
        <v>0</v>
      </c>
      <c r="Y12" s="18">
        <f t="shared" si="12"/>
        <v>133015.32500000001</v>
      </c>
    </row>
    <row r="14" spans="1:25" ht="32.25" customHeight="1" x14ac:dyDescent="0.25">
      <c r="A14" s="30" t="s">
        <v>32</v>
      </c>
      <c r="B14" s="2236" t="s">
        <v>27</v>
      </c>
      <c r="C14" s="2236"/>
      <c r="D14" s="30" t="s">
        <v>33</v>
      </c>
      <c r="E14" s="30" t="s">
        <v>65</v>
      </c>
      <c r="F14" s="30" t="s">
        <v>34</v>
      </c>
      <c r="G14" s="30" t="s">
        <v>13</v>
      </c>
      <c r="H14" s="31" t="s">
        <v>45</v>
      </c>
      <c r="I14" s="30" t="s">
        <v>17</v>
      </c>
      <c r="J14" s="30" t="s">
        <v>66</v>
      </c>
      <c r="K14" s="30" t="s">
        <v>36</v>
      </c>
      <c r="L14" s="30" t="s">
        <v>37</v>
      </c>
      <c r="M14" s="30" t="s">
        <v>69</v>
      </c>
      <c r="N14" s="30" t="s">
        <v>70</v>
      </c>
      <c r="O14" s="86" t="s">
        <v>114</v>
      </c>
      <c r="P14" s="86" t="s">
        <v>99</v>
      </c>
      <c r="Q14" s="15"/>
      <c r="R14" s="15"/>
      <c r="T14" s="2235" t="s">
        <v>46</v>
      </c>
      <c r="U14" s="114" t="s">
        <v>54</v>
      </c>
      <c r="V14" s="2260">
        <v>18225</v>
      </c>
      <c r="W14" s="2268"/>
      <c r="X14" s="2261"/>
    </row>
    <row r="15" spans="1:25" ht="22.5" customHeight="1" x14ac:dyDescent="0.25">
      <c r="A15" s="100" t="s">
        <v>38</v>
      </c>
      <c r="B15" s="2260">
        <v>392732</v>
      </c>
      <c r="C15" s="2261"/>
      <c r="D15" s="117">
        <v>0</v>
      </c>
      <c r="E15" s="117">
        <v>280</v>
      </c>
      <c r="F15" s="117">
        <v>2780</v>
      </c>
      <c r="G15" s="117">
        <v>0</v>
      </c>
      <c r="H15" s="117">
        <v>85</v>
      </c>
      <c r="I15" s="117">
        <v>24</v>
      </c>
      <c r="J15" s="117">
        <v>30</v>
      </c>
      <c r="K15" s="117">
        <v>30</v>
      </c>
      <c r="L15" s="117">
        <v>118</v>
      </c>
      <c r="M15" s="117">
        <v>0</v>
      </c>
      <c r="N15" s="117">
        <v>100</v>
      </c>
      <c r="O15" s="117">
        <v>0</v>
      </c>
      <c r="P15" s="117">
        <v>786</v>
      </c>
      <c r="Q15" s="21"/>
      <c r="R15" s="21"/>
      <c r="T15" s="2235"/>
      <c r="U15" s="114" t="s">
        <v>64</v>
      </c>
      <c r="V15" s="2262">
        <v>9129</v>
      </c>
      <c r="W15" s="2262"/>
      <c r="X15" s="2262"/>
    </row>
    <row r="16" spans="1:25" ht="24.75" customHeight="1" x14ac:dyDescent="0.25">
      <c r="A16" s="100" t="s">
        <v>39</v>
      </c>
      <c r="B16" s="2260"/>
      <c r="C16" s="2261"/>
      <c r="D16" s="117"/>
      <c r="E16" s="117"/>
      <c r="F16" s="117"/>
      <c r="G16" s="117"/>
      <c r="H16" s="117"/>
      <c r="I16" s="117"/>
      <c r="J16" s="117">
        <v>25</v>
      </c>
      <c r="K16" s="117"/>
      <c r="L16" s="117">
        <v>13</v>
      </c>
      <c r="M16" s="117"/>
      <c r="N16" s="117"/>
      <c r="O16" s="117"/>
      <c r="P16" s="117"/>
      <c r="Q16" s="21"/>
      <c r="R16" s="21"/>
      <c r="T16" s="2254" t="s">
        <v>55</v>
      </c>
      <c r="U16" s="2254"/>
      <c r="V16" s="2267">
        <f>Y12</f>
        <v>133015.32500000001</v>
      </c>
      <c r="W16" s="2267"/>
      <c r="X16" s="2262"/>
    </row>
    <row r="17" spans="1:25" ht="28.5" customHeight="1" x14ac:dyDescent="0.25">
      <c r="A17" s="101" t="s">
        <v>44</v>
      </c>
      <c r="B17" s="2260"/>
      <c r="C17" s="2261"/>
      <c r="D17" s="117"/>
      <c r="E17" s="117"/>
      <c r="F17" s="117"/>
      <c r="G17" s="117"/>
      <c r="H17" s="117"/>
      <c r="I17" s="117"/>
      <c r="J17" s="117"/>
      <c r="K17" s="117"/>
      <c r="L17" s="117"/>
      <c r="M17" s="117"/>
      <c r="N17" s="117"/>
      <c r="O17" s="117"/>
      <c r="P17" s="117"/>
      <c r="Q17" s="21"/>
      <c r="R17" s="21"/>
      <c r="T17" s="2270" t="s">
        <v>104</v>
      </c>
      <c r="U17" s="2271"/>
      <c r="V17" s="2262"/>
      <c r="W17" s="2262"/>
      <c r="X17" s="2262"/>
    </row>
    <row r="18" spans="1:25" ht="27" customHeight="1" x14ac:dyDescent="0.25">
      <c r="A18" s="100" t="s">
        <v>40</v>
      </c>
      <c r="B18" s="2264">
        <f>C12</f>
        <v>96970</v>
      </c>
      <c r="C18" s="2261"/>
      <c r="D18" s="119">
        <f>E12</f>
        <v>0</v>
      </c>
      <c r="E18" s="119">
        <f>G12</f>
        <v>170</v>
      </c>
      <c r="F18" s="119">
        <f>I12</f>
        <v>1680</v>
      </c>
      <c r="G18" s="119">
        <f>K12</f>
        <v>0</v>
      </c>
      <c r="H18" s="117">
        <v>38</v>
      </c>
      <c r="I18" s="119">
        <f>U12</f>
        <v>6</v>
      </c>
      <c r="J18" s="117"/>
      <c r="K18" s="119">
        <f>W12</f>
        <v>0</v>
      </c>
      <c r="L18" s="117">
        <v>6</v>
      </c>
      <c r="M18" s="119">
        <f>M12</f>
        <v>0</v>
      </c>
      <c r="N18" s="119"/>
      <c r="O18" s="118">
        <f>Q12</f>
        <v>0</v>
      </c>
      <c r="P18" s="117"/>
      <c r="Q18" s="21"/>
      <c r="R18" s="21"/>
      <c r="T18" s="2254" t="s">
        <v>57</v>
      </c>
      <c r="U18" s="2254"/>
      <c r="V18" s="2262">
        <v>530</v>
      </c>
      <c r="W18" s="2262"/>
      <c r="X18" s="2262"/>
      <c r="Y18" s="2269" t="s">
        <v>103</v>
      </c>
    </row>
    <row r="19" spans="1:25" ht="25.5" customHeight="1" x14ac:dyDescent="0.25">
      <c r="A19" s="100" t="s">
        <v>41</v>
      </c>
      <c r="B19" s="2260">
        <f>B15+B16+B17-B18</f>
        <v>295762</v>
      </c>
      <c r="C19" s="2261"/>
      <c r="D19" s="117">
        <f>D15+D16+D17-D18</f>
        <v>0</v>
      </c>
      <c r="E19" s="117">
        <f t="shared" ref="E19:N19" si="13">E15+E16+E17-E18</f>
        <v>110</v>
      </c>
      <c r="F19" s="117">
        <f t="shared" si="13"/>
        <v>1100</v>
      </c>
      <c r="G19" s="117">
        <f t="shared" si="13"/>
        <v>0</v>
      </c>
      <c r="H19" s="117">
        <f t="shared" si="13"/>
        <v>47</v>
      </c>
      <c r="I19" s="117">
        <f t="shared" si="13"/>
        <v>18</v>
      </c>
      <c r="J19" s="117">
        <f t="shared" si="13"/>
        <v>55</v>
      </c>
      <c r="K19" s="117">
        <f t="shared" si="13"/>
        <v>30</v>
      </c>
      <c r="L19" s="117">
        <f t="shared" si="13"/>
        <v>125</v>
      </c>
      <c r="M19" s="117">
        <f t="shared" si="13"/>
        <v>0</v>
      </c>
      <c r="N19" s="117">
        <f t="shared" si="13"/>
        <v>100</v>
      </c>
      <c r="O19" s="117">
        <f>O15+O16+O17-O18</f>
        <v>0</v>
      </c>
      <c r="P19" s="117">
        <f>P15+P16+P17-P18</f>
        <v>786</v>
      </c>
      <c r="Q19" s="21"/>
      <c r="R19" s="21"/>
      <c r="T19" s="2256" t="s">
        <v>48</v>
      </c>
      <c r="U19" s="49" t="s">
        <v>58</v>
      </c>
      <c r="V19" s="2262"/>
      <c r="W19" s="2262"/>
      <c r="X19" s="2262"/>
      <c r="Y19" s="2269"/>
    </row>
    <row r="20" spans="1:25" ht="23.25" customHeight="1" x14ac:dyDescent="0.25">
      <c r="A20" s="15"/>
      <c r="B20" s="10"/>
      <c r="C20" s="10"/>
      <c r="D20" s="10"/>
      <c r="E20" s="10"/>
      <c r="F20" s="10"/>
      <c r="G20" s="10"/>
      <c r="H20" s="10"/>
      <c r="I20" s="10"/>
      <c r="J20" s="10"/>
      <c r="K20" s="10"/>
      <c r="L20" s="10"/>
      <c r="M20" s="10"/>
      <c r="N20" s="10"/>
      <c r="O20" s="10"/>
      <c r="P20" s="10"/>
      <c r="Q20" s="10"/>
      <c r="R20" s="10"/>
      <c r="T20" s="2257"/>
      <c r="U20" s="49" t="s">
        <v>59</v>
      </c>
      <c r="V20" s="2262"/>
      <c r="W20" s="2262"/>
      <c r="X20" s="2262"/>
      <c r="Y20" s="2269"/>
    </row>
    <row r="21" spans="1:25" ht="33.75" customHeight="1" x14ac:dyDescent="0.25">
      <c r="A21" s="15"/>
      <c r="B21" s="10"/>
      <c r="C21" s="10"/>
      <c r="D21" s="10"/>
      <c r="E21" s="10"/>
      <c r="F21" s="10"/>
      <c r="G21" s="10"/>
      <c r="H21" s="10"/>
      <c r="I21" s="10"/>
      <c r="J21" s="10"/>
      <c r="K21" s="10"/>
      <c r="L21" s="10"/>
      <c r="M21" s="10"/>
      <c r="N21" s="10"/>
      <c r="O21" s="10"/>
      <c r="P21" s="10"/>
      <c r="Q21" s="10"/>
      <c r="R21" s="10"/>
      <c r="T21" s="2251" t="s">
        <v>83</v>
      </c>
      <c r="U21" s="50" t="s">
        <v>60</v>
      </c>
      <c r="V21" s="2262"/>
      <c r="W21" s="2262"/>
      <c r="X21" s="2262"/>
      <c r="Y21" s="2269"/>
    </row>
    <row r="22" spans="1:25" ht="29.25" customHeight="1" x14ac:dyDescent="0.25">
      <c r="A22" s="10"/>
      <c r="B22" s="2258" t="s">
        <v>49</v>
      </c>
      <c r="C22" s="2265">
        <v>589563</v>
      </c>
      <c r="D22" s="2262"/>
      <c r="E22" s="2262"/>
      <c r="F22" s="2262">
        <f>C22-D22+E22</f>
        <v>589563</v>
      </c>
      <c r="G22" s="10"/>
      <c r="H22" s="10"/>
      <c r="I22" s="10"/>
      <c r="J22" s="10"/>
      <c r="K22" s="10"/>
      <c r="L22" s="10"/>
      <c r="M22" s="10" t="s">
        <v>140</v>
      </c>
      <c r="N22" s="10"/>
      <c r="O22" s="10"/>
      <c r="P22" s="10"/>
      <c r="Q22" s="10"/>
      <c r="R22" s="10"/>
      <c r="T22" s="2252"/>
      <c r="U22" s="50" t="s">
        <v>61</v>
      </c>
      <c r="V22" s="2262"/>
      <c r="W22" s="2262"/>
      <c r="X22" s="2262"/>
      <c r="Y22" s="2269"/>
    </row>
    <row r="23" spans="1:25" ht="47.25" customHeight="1" x14ac:dyDescent="0.25">
      <c r="A23" s="10"/>
      <c r="B23" s="2258"/>
      <c r="C23" s="2266"/>
      <c r="D23" s="2262"/>
      <c r="E23" s="2262"/>
      <c r="F23" s="2262"/>
      <c r="G23" s="10"/>
      <c r="H23" s="10"/>
      <c r="I23" s="10"/>
      <c r="J23" s="10"/>
      <c r="K23" s="10"/>
      <c r="L23" s="10"/>
      <c r="M23" s="10"/>
      <c r="N23" s="10"/>
      <c r="O23" s="10"/>
      <c r="P23" s="10"/>
      <c r="Q23" s="10"/>
      <c r="R23" s="10"/>
      <c r="T23" s="2235" t="s">
        <v>47</v>
      </c>
      <c r="U23" s="51" t="s">
        <v>62</v>
      </c>
      <c r="V23" s="2263">
        <f>V14+V16+V17-V18-V19-V20-V21+V22</f>
        <v>150710.32500000001</v>
      </c>
      <c r="W23" s="2263"/>
      <c r="X23" s="2263"/>
      <c r="Y23" s="2269"/>
    </row>
    <row r="24" spans="1:25" ht="27" customHeight="1" x14ac:dyDescent="0.25">
      <c r="B24" s="2258"/>
      <c r="C24" s="114" t="s">
        <v>46</v>
      </c>
      <c r="D24" s="114" t="s">
        <v>50</v>
      </c>
      <c r="E24" s="114" t="s">
        <v>51</v>
      </c>
      <c r="F24" s="114" t="s">
        <v>52</v>
      </c>
      <c r="T24" s="2235"/>
      <c r="U24" s="51" t="s">
        <v>63</v>
      </c>
      <c r="V24" s="2262">
        <f>V15+V21-V22</f>
        <v>9129</v>
      </c>
      <c r="W24" s="2262"/>
      <c r="X24" s="2262"/>
    </row>
  </sheetData>
  <mergeCells count="48">
    <mergeCell ref="A1:Y1"/>
    <mergeCell ref="A2:Y2"/>
    <mergeCell ref="T3:Y3"/>
    <mergeCell ref="A4:A5"/>
    <mergeCell ref="B4:B5"/>
    <mergeCell ref="C4:D4"/>
    <mergeCell ref="E4:F4"/>
    <mergeCell ref="G4:H4"/>
    <mergeCell ref="I4:J4"/>
    <mergeCell ref="K4:L4"/>
    <mergeCell ref="Y4:Y5"/>
    <mergeCell ref="M4:N4"/>
    <mergeCell ref="O4:P4"/>
    <mergeCell ref="Q4:R4"/>
    <mergeCell ref="S4:T4"/>
    <mergeCell ref="U4:V4"/>
    <mergeCell ref="V18:X18"/>
    <mergeCell ref="B22:B24"/>
    <mergeCell ref="C22:C23"/>
    <mergeCell ref="W4:X4"/>
    <mergeCell ref="B16:C16"/>
    <mergeCell ref="T16:U16"/>
    <mergeCell ref="V16:X16"/>
    <mergeCell ref="B17:C17"/>
    <mergeCell ref="T17:U17"/>
    <mergeCell ref="V17:X17"/>
    <mergeCell ref="A12:B12"/>
    <mergeCell ref="B14:C14"/>
    <mergeCell ref="T14:T15"/>
    <mergeCell ref="V14:X14"/>
    <mergeCell ref="B15:C15"/>
    <mergeCell ref="V15:X15"/>
    <mergeCell ref="D22:D23"/>
    <mergeCell ref="E22:E23"/>
    <mergeCell ref="F22:F23"/>
    <mergeCell ref="Y18:Y23"/>
    <mergeCell ref="B19:C19"/>
    <mergeCell ref="T19:T20"/>
    <mergeCell ref="V19:X19"/>
    <mergeCell ref="V20:X20"/>
    <mergeCell ref="T21:T22"/>
    <mergeCell ref="V21:X21"/>
    <mergeCell ref="V22:X22"/>
    <mergeCell ref="T23:T24"/>
    <mergeCell ref="V23:X23"/>
    <mergeCell ref="V24:X24"/>
    <mergeCell ref="B18:C18"/>
    <mergeCell ref="T18:U18"/>
  </mergeCells>
  <pageMargins left="0.15748031496063" right="0.15748031496063" top="0" bottom="0" header="0" footer="0"/>
  <pageSetup paperSize="9" scale="51" orientation="landscape" r:id="rId1"/>
</worksheet>
</file>

<file path=xl/worksheets/sheet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E00-000000000000}">
  <sheetPr>
    <pageSetUpPr fitToPage="1"/>
  </sheetPr>
  <dimension ref="A1:Y24"/>
  <sheetViews>
    <sheetView topLeftCell="A6" zoomScale="67" zoomScaleNormal="67" zoomScaleSheetLayoutView="100" workbookViewId="0">
      <selection activeCell="H23" sqref="H23"/>
    </sheetView>
  </sheetViews>
  <sheetFormatPr defaultColWidth="9.140625" defaultRowHeight="15" x14ac:dyDescent="0.25"/>
  <cols>
    <col min="1" max="1" width="18.28515625" style="14" customWidth="1"/>
    <col min="2" max="2" width="10.7109375" style="14" customWidth="1"/>
    <col min="3" max="3" width="12.28515625" style="14" customWidth="1"/>
    <col min="4" max="4" width="11" style="14" customWidth="1"/>
    <col min="5" max="5" width="12" style="14" customWidth="1"/>
    <col min="6" max="6" width="12.5703125" style="14" bestFit="1" customWidth="1"/>
    <col min="7" max="7" width="9.28515625" style="14" bestFit="1" customWidth="1"/>
    <col min="8" max="8" width="10.140625" style="14" bestFit="1" customWidth="1"/>
    <col min="9" max="9" width="10.5703125" style="14" bestFit="1" customWidth="1"/>
    <col min="10" max="10" width="10.5703125" style="14" customWidth="1"/>
    <col min="11" max="11" width="10.28515625" style="14" bestFit="1" customWidth="1"/>
    <col min="12" max="12" width="9.42578125" style="14" bestFit="1" customWidth="1"/>
    <col min="13" max="13" width="9.85546875" style="14" bestFit="1" customWidth="1"/>
    <col min="14" max="14" width="10.140625" style="14" bestFit="1" customWidth="1"/>
    <col min="15" max="15" width="9" style="14" customWidth="1"/>
    <col min="16" max="16" width="12.85546875" style="14" bestFit="1" customWidth="1"/>
    <col min="17" max="18" width="9.42578125" style="14" customWidth="1"/>
    <col min="19" max="19" width="7.5703125" style="14" customWidth="1"/>
    <col min="20" max="20" width="12.5703125" style="14" customWidth="1"/>
    <col min="21" max="21" width="17.28515625" style="14" customWidth="1"/>
    <col min="22" max="22" width="9.85546875" style="14" bestFit="1" customWidth="1"/>
    <col min="23" max="23" width="10.140625" style="14" bestFit="1" customWidth="1"/>
    <col min="24" max="24" width="9.85546875" style="14" bestFit="1" customWidth="1"/>
    <col min="25" max="25" width="15.85546875" style="14" customWidth="1"/>
    <col min="26" max="16384" width="9.140625" style="14"/>
  </cols>
  <sheetData>
    <row r="1" spans="1:25" ht="46.15" customHeight="1" x14ac:dyDescent="0.25">
      <c r="A1" s="2240" t="s">
        <v>76</v>
      </c>
      <c r="B1" s="2240"/>
      <c r="C1" s="2240"/>
      <c r="D1" s="2240"/>
      <c r="E1" s="2240"/>
      <c r="F1" s="2240"/>
      <c r="G1" s="2240"/>
      <c r="H1" s="2240"/>
      <c r="I1" s="2240"/>
      <c r="J1" s="2240"/>
      <c r="K1" s="2240"/>
      <c r="L1" s="2240"/>
      <c r="M1" s="2240"/>
      <c r="N1" s="2240"/>
      <c r="O1" s="2240"/>
      <c r="P1" s="2240"/>
      <c r="Q1" s="2240"/>
      <c r="R1" s="2240"/>
      <c r="S1" s="2240"/>
      <c r="T1" s="2240"/>
      <c r="U1" s="2240"/>
      <c r="V1" s="2240"/>
      <c r="W1" s="2240"/>
      <c r="X1" s="2240"/>
      <c r="Y1" s="2240"/>
    </row>
    <row r="2" spans="1:25" ht="21.6" customHeight="1" x14ac:dyDescent="0.25">
      <c r="A2" s="2241" t="s">
        <v>77</v>
      </c>
      <c r="B2" s="2241"/>
      <c r="C2" s="2241"/>
      <c r="D2" s="2241"/>
      <c r="E2" s="2241"/>
      <c r="F2" s="2241"/>
      <c r="G2" s="2241"/>
      <c r="H2" s="2241"/>
      <c r="I2" s="2241"/>
      <c r="J2" s="2241"/>
      <c r="K2" s="2241"/>
      <c r="L2" s="2241"/>
      <c r="M2" s="2241"/>
      <c r="N2" s="2241"/>
      <c r="O2" s="2241"/>
      <c r="P2" s="2241"/>
      <c r="Q2" s="2241"/>
      <c r="R2" s="2241"/>
      <c r="S2" s="2241"/>
      <c r="T2" s="2241"/>
      <c r="U2" s="2241"/>
      <c r="V2" s="2241"/>
      <c r="W2" s="2241"/>
      <c r="X2" s="2241"/>
      <c r="Y2" s="2241"/>
    </row>
    <row r="3" spans="1:25" ht="21" customHeight="1" x14ac:dyDescent="0.25">
      <c r="A3" s="116"/>
      <c r="B3" s="116"/>
      <c r="C3" s="116"/>
      <c r="D3" s="116"/>
      <c r="E3" s="116"/>
      <c r="F3" s="116"/>
      <c r="G3" s="116"/>
      <c r="H3" s="116"/>
      <c r="I3" s="116"/>
      <c r="J3" s="116"/>
      <c r="K3" s="116"/>
      <c r="L3" s="116"/>
      <c r="M3" s="116"/>
      <c r="N3" s="116"/>
      <c r="O3" s="116"/>
      <c r="P3" s="116"/>
      <c r="Q3" s="116"/>
      <c r="R3" s="116"/>
      <c r="S3" s="116"/>
      <c r="T3" s="2242" t="s">
        <v>142</v>
      </c>
      <c r="U3" s="2242"/>
      <c r="V3" s="2242"/>
      <c r="W3" s="2242"/>
      <c r="X3" s="2242"/>
      <c r="Y3" s="2242"/>
    </row>
    <row r="4" spans="1:25" s="116" customFormat="1" ht="18" customHeight="1" x14ac:dyDescent="0.25">
      <c r="A4" s="2243" t="s">
        <v>25</v>
      </c>
      <c r="B4" s="2243" t="s">
        <v>26</v>
      </c>
      <c r="C4" s="2244" t="s">
        <v>27</v>
      </c>
      <c r="D4" s="2244"/>
      <c r="E4" s="2244" t="s">
        <v>28</v>
      </c>
      <c r="F4" s="2244"/>
      <c r="G4" s="2244" t="s">
        <v>65</v>
      </c>
      <c r="H4" s="2244"/>
      <c r="I4" s="2244" t="s">
        <v>29</v>
      </c>
      <c r="J4" s="2244"/>
      <c r="K4" s="2245" t="s">
        <v>13</v>
      </c>
      <c r="L4" s="2246"/>
      <c r="M4" s="2245" t="s">
        <v>67</v>
      </c>
      <c r="N4" s="2246"/>
      <c r="O4" s="2245" t="s">
        <v>68</v>
      </c>
      <c r="P4" s="2246"/>
      <c r="Q4" s="2245" t="s">
        <v>114</v>
      </c>
      <c r="R4" s="2246"/>
      <c r="S4" s="2244" t="s">
        <v>35</v>
      </c>
      <c r="T4" s="2244"/>
      <c r="U4" s="2245" t="s">
        <v>17</v>
      </c>
      <c r="V4" s="2246"/>
      <c r="W4" s="2247" t="s">
        <v>36</v>
      </c>
      <c r="X4" s="2248"/>
      <c r="Y4" s="2238" t="s">
        <v>30</v>
      </c>
    </row>
    <row r="5" spans="1:25" s="116" customFormat="1" ht="25.5" customHeight="1" x14ac:dyDescent="0.25">
      <c r="A5" s="2243"/>
      <c r="B5" s="2243"/>
      <c r="C5" s="115" t="s">
        <v>42</v>
      </c>
      <c r="D5" s="115" t="s">
        <v>43</v>
      </c>
      <c r="E5" s="115" t="s">
        <v>42</v>
      </c>
      <c r="F5" s="115" t="s">
        <v>43</v>
      </c>
      <c r="G5" s="115" t="s">
        <v>42</v>
      </c>
      <c r="H5" s="115" t="s">
        <v>43</v>
      </c>
      <c r="I5" s="115" t="s">
        <v>42</v>
      </c>
      <c r="J5" s="115" t="s">
        <v>43</v>
      </c>
      <c r="K5" s="115" t="s">
        <v>42</v>
      </c>
      <c r="L5" s="115" t="s">
        <v>43</v>
      </c>
      <c r="M5" s="115" t="s">
        <v>42</v>
      </c>
      <c r="N5" s="115" t="s">
        <v>43</v>
      </c>
      <c r="O5" s="115" t="s">
        <v>42</v>
      </c>
      <c r="P5" s="115" t="s">
        <v>43</v>
      </c>
      <c r="Q5" s="115" t="s">
        <v>42</v>
      </c>
      <c r="R5" s="115" t="s">
        <v>43</v>
      </c>
      <c r="S5" s="33" t="s">
        <v>42</v>
      </c>
      <c r="T5" s="33" t="s">
        <v>43</v>
      </c>
      <c r="U5" s="30" t="s">
        <v>42</v>
      </c>
      <c r="V5" s="30" t="s">
        <v>43</v>
      </c>
      <c r="W5" s="30" t="s">
        <v>42</v>
      </c>
      <c r="X5" s="30" t="s">
        <v>43</v>
      </c>
      <c r="Y5" s="2239"/>
    </row>
    <row r="6" spans="1:25" ht="34.5" customHeight="1" x14ac:dyDescent="0.25">
      <c r="A6" s="12">
        <v>1409935200</v>
      </c>
      <c r="B6" s="114" t="s">
        <v>71</v>
      </c>
      <c r="C6" s="112">
        <v>29810</v>
      </c>
      <c r="D6" s="111">
        <f>0.9725*C6</f>
        <v>28990.225000000002</v>
      </c>
      <c r="E6" s="112"/>
      <c r="F6" s="112">
        <f>13.7*E6</f>
        <v>0</v>
      </c>
      <c r="G6" s="112"/>
      <c r="H6" s="112">
        <f>28.2*G6</f>
        <v>0</v>
      </c>
      <c r="I6" s="112"/>
      <c r="J6" s="112">
        <f>18.5*I6</f>
        <v>0</v>
      </c>
      <c r="K6" s="112"/>
      <c r="L6" s="112">
        <f>19.5*K6</f>
        <v>0</v>
      </c>
      <c r="M6" s="112"/>
      <c r="N6" s="111">
        <f>M6*9.75</f>
        <v>0</v>
      </c>
      <c r="O6" s="112"/>
      <c r="P6" s="111">
        <f>O6*48.62</f>
        <v>0</v>
      </c>
      <c r="Q6" s="111"/>
      <c r="R6" s="111">
        <f>241*Q6</f>
        <v>0</v>
      </c>
      <c r="S6" s="112"/>
      <c r="T6" s="112">
        <f>241*S6</f>
        <v>0</v>
      </c>
      <c r="U6" s="112"/>
      <c r="V6" s="112">
        <f>232*U6</f>
        <v>0</v>
      </c>
      <c r="W6" s="112"/>
      <c r="X6" s="19">
        <f>W6*100</f>
        <v>0</v>
      </c>
      <c r="Y6" s="89">
        <f t="shared" ref="Y6:Y11" si="0">D6+F6+H6+J6+L6+N6+P6+R6+T6+V6+X6</f>
        <v>28990.225000000002</v>
      </c>
    </row>
    <row r="7" spans="1:25" ht="31.5" customHeight="1" x14ac:dyDescent="0.25">
      <c r="A7" s="12">
        <v>1984225578</v>
      </c>
      <c r="B7" s="114" t="s">
        <v>72</v>
      </c>
      <c r="C7" s="112">
        <v>31643</v>
      </c>
      <c r="D7" s="111">
        <f t="shared" ref="D7:D11" si="1">0.9725*C7</f>
        <v>30772.817500000001</v>
      </c>
      <c r="E7" s="112"/>
      <c r="F7" s="112">
        <f t="shared" ref="F7:F11" si="2">13.7*E7</f>
        <v>0</v>
      </c>
      <c r="G7" s="112"/>
      <c r="H7" s="112">
        <f t="shared" ref="H7:H11" si="3">28.2*G7</f>
        <v>0</v>
      </c>
      <c r="I7" s="112">
        <v>80</v>
      </c>
      <c r="J7" s="112">
        <f t="shared" ref="J7:J11" si="4">18.5*I7</f>
        <v>1480</v>
      </c>
      <c r="K7" s="112"/>
      <c r="L7" s="112">
        <f t="shared" ref="L7:L11" si="5">19.5*K7</f>
        <v>0</v>
      </c>
      <c r="M7" s="112"/>
      <c r="N7" s="111">
        <f t="shared" ref="N7:N11" si="6">M7*9.75</f>
        <v>0</v>
      </c>
      <c r="O7" s="112"/>
      <c r="P7" s="111">
        <f t="shared" ref="P7:P11" si="7">O7*48.62</f>
        <v>0</v>
      </c>
      <c r="Q7" s="111"/>
      <c r="R7" s="111">
        <f t="shared" ref="R7:R11" si="8">241*Q7</f>
        <v>0</v>
      </c>
      <c r="S7" s="112"/>
      <c r="T7" s="112">
        <f t="shared" ref="T7:T11" si="9">241*S7</f>
        <v>0</v>
      </c>
      <c r="U7" s="112"/>
      <c r="V7" s="112">
        <f t="shared" ref="V7:V11" si="10">232*U7</f>
        <v>0</v>
      </c>
      <c r="W7" s="112"/>
      <c r="X7" s="19">
        <f t="shared" ref="X7:X11" si="11">W7*100</f>
        <v>0</v>
      </c>
      <c r="Y7" s="89">
        <f t="shared" si="0"/>
        <v>32252.817500000001</v>
      </c>
    </row>
    <row r="8" spans="1:25" ht="35.25" customHeight="1" x14ac:dyDescent="0.25">
      <c r="A8" s="12">
        <v>1967020280</v>
      </c>
      <c r="B8" s="114" t="s">
        <v>73</v>
      </c>
      <c r="C8" s="112">
        <v>21810</v>
      </c>
      <c r="D8" s="111">
        <f t="shared" si="1"/>
        <v>21210.225000000002</v>
      </c>
      <c r="E8" s="112"/>
      <c r="F8" s="112">
        <f t="shared" si="2"/>
        <v>0</v>
      </c>
      <c r="G8" s="112"/>
      <c r="H8" s="112">
        <f t="shared" si="3"/>
        <v>0</v>
      </c>
      <c r="I8" s="112">
        <v>840</v>
      </c>
      <c r="J8" s="112">
        <f t="shared" si="4"/>
        <v>15540</v>
      </c>
      <c r="K8" s="112"/>
      <c r="L8" s="112">
        <f t="shared" si="5"/>
        <v>0</v>
      </c>
      <c r="M8" s="112"/>
      <c r="N8" s="111">
        <f t="shared" si="6"/>
        <v>0</v>
      </c>
      <c r="O8" s="112"/>
      <c r="P8" s="111">
        <f t="shared" si="7"/>
        <v>0</v>
      </c>
      <c r="Q8" s="111"/>
      <c r="R8" s="111">
        <f t="shared" si="8"/>
        <v>0</v>
      </c>
      <c r="S8" s="112"/>
      <c r="T8" s="112">
        <f t="shared" si="9"/>
        <v>0</v>
      </c>
      <c r="U8" s="112"/>
      <c r="V8" s="112">
        <f t="shared" si="10"/>
        <v>0</v>
      </c>
      <c r="W8" s="112"/>
      <c r="X8" s="19">
        <f t="shared" si="11"/>
        <v>0</v>
      </c>
      <c r="Y8" s="89">
        <f t="shared" si="0"/>
        <v>36750.225000000006</v>
      </c>
    </row>
    <row r="9" spans="1:25" ht="38.25" customHeight="1" x14ac:dyDescent="0.25">
      <c r="A9" s="12">
        <v>1409935199</v>
      </c>
      <c r="B9" s="114" t="s">
        <v>74</v>
      </c>
      <c r="C9" s="112">
        <v>15209</v>
      </c>
      <c r="D9" s="111">
        <f t="shared" si="1"/>
        <v>14790.752500000001</v>
      </c>
      <c r="E9" s="112"/>
      <c r="F9" s="112">
        <f t="shared" si="2"/>
        <v>0</v>
      </c>
      <c r="G9" s="112"/>
      <c r="H9" s="112">
        <f t="shared" si="3"/>
        <v>0</v>
      </c>
      <c r="I9" s="112"/>
      <c r="J9" s="112">
        <f t="shared" si="4"/>
        <v>0</v>
      </c>
      <c r="K9" s="112"/>
      <c r="L9" s="112">
        <f t="shared" si="5"/>
        <v>0</v>
      </c>
      <c r="M9" s="112"/>
      <c r="N9" s="111">
        <f t="shared" si="6"/>
        <v>0</v>
      </c>
      <c r="O9" s="112"/>
      <c r="P9" s="111">
        <f t="shared" si="7"/>
        <v>0</v>
      </c>
      <c r="Q9" s="111"/>
      <c r="R9" s="111">
        <f t="shared" si="8"/>
        <v>0</v>
      </c>
      <c r="S9" s="112"/>
      <c r="T9" s="112">
        <f t="shared" si="9"/>
        <v>0</v>
      </c>
      <c r="U9" s="112"/>
      <c r="V9" s="112">
        <f t="shared" si="10"/>
        <v>0</v>
      </c>
      <c r="W9" s="112"/>
      <c r="X9" s="19">
        <f t="shared" si="11"/>
        <v>0</v>
      </c>
      <c r="Y9" s="89">
        <f t="shared" si="0"/>
        <v>14790.752500000001</v>
      </c>
    </row>
    <row r="10" spans="1:25" ht="35.25" customHeight="1" x14ac:dyDescent="0.25">
      <c r="A10" s="12">
        <v>1984225580</v>
      </c>
      <c r="B10" s="114" t="s">
        <v>75</v>
      </c>
      <c r="C10" s="112">
        <v>17891</v>
      </c>
      <c r="D10" s="111">
        <f t="shared" si="1"/>
        <v>17398.997500000001</v>
      </c>
      <c r="E10" s="112"/>
      <c r="F10" s="112">
        <f t="shared" si="2"/>
        <v>0</v>
      </c>
      <c r="G10" s="112"/>
      <c r="H10" s="112">
        <f t="shared" si="3"/>
        <v>0</v>
      </c>
      <c r="I10" s="112"/>
      <c r="J10" s="112">
        <f t="shared" si="4"/>
        <v>0</v>
      </c>
      <c r="K10" s="112"/>
      <c r="L10" s="112">
        <f t="shared" si="5"/>
        <v>0</v>
      </c>
      <c r="M10" s="112"/>
      <c r="N10" s="111">
        <f t="shared" si="6"/>
        <v>0</v>
      </c>
      <c r="O10" s="112"/>
      <c r="P10" s="111">
        <f t="shared" si="7"/>
        <v>0</v>
      </c>
      <c r="Q10" s="111"/>
      <c r="R10" s="111">
        <f t="shared" si="8"/>
        <v>0</v>
      </c>
      <c r="S10" s="112"/>
      <c r="T10" s="112">
        <f t="shared" si="9"/>
        <v>0</v>
      </c>
      <c r="U10" s="112">
        <v>10</v>
      </c>
      <c r="V10" s="112">
        <f t="shared" si="10"/>
        <v>2320</v>
      </c>
      <c r="W10" s="112"/>
      <c r="X10" s="19">
        <f t="shared" si="11"/>
        <v>0</v>
      </c>
      <c r="Y10" s="89">
        <f t="shared" si="0"/>
        <v>19718.997500000001</v>
      </c>
    </row>
    <row r="11" spans="1:25" ht="37.5" customHeight="1" x14ac:dyDescent="0.25">
      <c r="A11" s="12"/>
      <c r="B11" s="113"/>
      <c r="C11" s="112"/>
      <c r="D11" s="22">
        <f t="shared" si="1"/>
        <v>0</v>
      </c>
      <c r="E11" s="112"/>
      <c r="F11" s="112">
        <f t="shared" si="2"/>
        <v>0</v>
      </c>
      <c r="G11" s="112"/>
      <c r="H11" s="112">
        <f t="shared" si="3"/>
        <v>0</v>
      </c>
      <c r="I11" s="112"/>
      <c r="J11" s="112">
        <f t="shared" si="4"/>
        <v>0</v>
      </c>
      <c r="K11" s="112"/>
      <c r="L11" s="112">
        <f t="shared" si="5"/>
        <v>0</v>
      </c>
      <c r="M11" s="112"/>
      <c r="N11" s="111">
        <f t="shared" si="6"/>
        <v>0</v>
      </c>
      <c r="O11" s="112"/>
      <c r="P11" s="111">
        <f t="shared" si="7"/>
        <v>0</v>
      </c>
      <c r="Q11" s="111"/>
      <c r="R11" s="111">
        <f t="shared" si="8"/>
        <v>0</v>
      </c>
      <c r="S11" s="112">
        <v>45</v>
      </c>
      <c r="T11" s="112">
        <f t="shared" si="9"/>
        <v>10845</v>
      </c>
      <c r="U11" s="112"/>
      <c r="V11" s="112">
        <f t="shared" si="10"/>
        <v>0</v>
      </c>
      <c r="W11" s="112"/>
      <c r="X11" s="19">
        <f t="shared" si="11"/>
        <v>0</v>
      </c>
      <c r="Y11" s="20">
        <f t="shared" si="0"/>
        <v>10845</v>
      </c>
    </row>
    <row r="12" spans="1:25" ht="29.25" customHeight="1" x14ac:dyDescent="0.25">
      <c r="A12" s="2235" t="s">
        <v>31</v>
      </c>
      <c r="B12" s="2235"/>
      <c r="C12" s="18">
        <f t="shared" ref="C12:Y12" si="12">SUM(C6:C11)</f>
        <v>116363</v>
      </c>
      <c r="D12" s="18">
        <f t="shared" si="12"/>
        <v>113163.0175</v>
      </c>
      <c r="E12" s="18">
        <f t="shared" si="12"/>
        <v>0</v>
      </c>
      <c r="F12" s="18">
        <f t="shared" si="12"/>
        <v>0</v>
      </c>
      <c r="G12" s="18">
        <f t="shared" si="12"/>
        <v>0</v>
      </c>
      <c r="H12" s="18">
        <f t="shared" si="12"/>
        <v>0</v>
      </c>
      <c r="I12" s="18">
        <f t="shared" si="12"/>
        <v>920</v>
      </c>
      <c r="J12" s="18">
        <f t="shared" si="12"/>
        <v>17020</v>
      </c>
      <c r="K12" s="18">
        <f t="shared" si="12"/>
        <v>0</v>
      </c>
      <c r="L12" s="18">
        <f t="shared" si="12"/>
        <v>0</v>
      </c>
      <c r="M12" s="18">
        <f t="shared" si="12"/>
        <v>0</v>
      </c>
      <c r="N12" s="23">
        <f t="shared" si="12"/>
        <v>0</v>
      </c>
      <c r="O12" s="18">
        <f t="shared" si="12"/>
        <v>0</v>
      </c>
      <c r="P12" s="23">
        <f t="shared" si="12"/>
        <v>0</v>
      </c>
      <c r="Q12" s="23">
        <f t="shared" si="12"/>
        <v>0</v>
      </c>
      <c r="R12" s="23">
        <f>SUM(R6:R11)</f>
        <v>0</v>
      </c>
      <c r="S12" s="18">
        <f t="shared" si="12"/>
        <v>45</v>
      </c>
      <c r="T12" s="18">
        <f t="shared" si="12"/>
        <v>10845</v>
      </c>
      <c r="U12" s="18">
        <f t="shared" si="12"/>
        <v>10</v>
      </c>
      <c r="V12" s="18">
        <f t="shared" si="12"/>
        <v>2320</v>
      </c>
      <c r="W12" s="18">
        <f t="shared" si="12"/>
        <v>0</v>
      </c>
      <c r="X12" s="18">
        <f t="shared" si="12"/>
        <v>0</v>
      </c>
      <c r="Y12" s="18">
        <f t="shared" si="12"/>
        <v>143348.01750000002</v>
      </c>
    </row>
    <row r="14" spans="1:25" ht="32.25" customHeight="1" x14ac:dyDescent="0.25">
      <c r="A14" s="30" t="s">
        <v>32</v>
      </c>
      <c r="B14" s="2236" t="s">
        <v>27</v>
      </c>
      <c r="C14" s="2236"/>
      <c r="D14" s="30" t="s">
        <v>33</v>
      </c>
      <c r="E14" s="30" t="s">
        <v>65</v>
      </c>
      <c r="F14" s="30" t="s">
        <v>34</v>
      </c>
      <c r="G14" s="30" t="s">
        <v>13</v>
      </c>
      <c r="H14" s="31" t="s">
        <v>45</v>
      </c>
      <c r="I14" s="30" t="s">
        <v>17</v>
      </c>
      <c r="J14" s="30" t="s">
        <v>66</v>
      </c>
      <c r="K14" s="30" t="s">
        <v>36</v>
      </c>
      <c r="L14" s="30" t="s">
        <v>37</v>
      </c>
      <c r="M14" s="30" t="s">
        <v>69</v>
      </c>
      <c r="N14" s="30" t="s">
        <v>70</v>
      </c>
      <c r="O14" s="86" t="s">
        <v>114</v>
      </c>
      <c r="P14" s="86" t="s">
        <v>99</v>
      </c>
      <c r="Q14" s="15"/>
      <c r="R14" s="15"/>
      <c r="T14" s="2235" t="s">
        <v>46</v>
      </c>
      <c r="U14" s="114" t="s">
        <v>54</v>
      </c>
      <c r="V14" s="2260">
        <v>150710</v>
      </c>
      <c r="W14" s="2268"/>
      <c r="X14" s="2261"/>
    </row>
    <row r="15" spans="1:25" ht="22.5" customHeight="1" x14ac:dyDescent="0.25">
      <c r="A15" s="100" t="s">
        <v>38</v>
      </c>
      <c r="B15" s="2260">
        <v>295762</v>
      </c>
      <c r="C15" s="2261"/>
      <c r="D15" s="117">
        <v>0</v>
      </c>
      <c r="E15" s="117">
        <v>110</v>
      </c>
      <c r="F15" s="117">
        <v>1100</v>
      </c>
      <c r="G15" s="117">
        <v>0</v>
      </c>
      <c r="H15" s="117">
        <v>47</v>
      </c>
      <c r="I15" s="117">
        <v>18</v>
      </c>
      <c r="J15" s="117">
        <v>55</v>
      </c>
      <c r="K15" s="117">
        <v>30</v>
      </c>
      <c r="L15" s="117">
        <v>125</v>
      </c>
      <c r="M15" s="117">
        <v>0</v>
      </c>
      <c r="N15" s="117">
        <v>100</v>
      </c>
      <c r="O15" s="117">
        <v>0</v>
      </c>
      <c r="P15" s="117">
        <v>786</v>
      </c>
      <c r="Q15" s="21"/>
      <c r="R15" s="21"/>
      <c r="T15" s="2235"/>
      <c r="U15" s="114" t="s">
        <v>64</v>
      </c>
      <c r="V15" s="2262">
        <v>9129</v>
      </c>
      <c r="W15" s="2262"/>
      <c r="X15" s="2262"/>
    </row>
    <row r="16" spans="1:25" ht="24.75" customHeight="1" x14ac:dyDescent="0.25">
      <c r="A16" s="100" t="s">
        <v>39</v>
      </c>
      <c r="B16" s="2260">
        <v>87207</v>
      </c>
      <c r="C16" s="2261"/>
      <c r="D16" s="117"/>
      <c r="E16" s="117"/>
      <c r="F16" s="117"/>
      <c r="G16" s="117"/>
      <c r="H16" s="117"/>
      <c r="I16" s="117"/>
      <c r="J16" s="117"/>
      <c r="K16" s="117"/>
      <c r="L16" s="117"/>
      <c r="M16" s="117"/>
      <c r="N16" s="117"/>
      <c r="O16" s="117"/>
      <c r="P16" s="117"/>
      <c r="Q16" s="21"/>
      <c r="R16" s="21"/>
      <c r="T16" s="2254" t="s">
        <v>55</v>
      </c>
      <c r="U16" s="2254"/>
      <c r="V16" s="2267">
        <f>Y12</f>
        <v>143348.01750000002</v>
      </c>
      <c r="W16" s="2267"/>
      <c r="X16" s="2262"/>
    </row>
    <row r="17" spans="1:25" ht="28.5" customHeight="1" x14ac:dyDescent="0.25">
      <c r="A17" s="101" t="s">
        <v>44</v>
      </c>
      <c r="B17" s="2260"/>
      <c r="C17" s="2261"/>
      <c r="D17" s="117"/>
      <c r="E17" s="117"/>
      <c r="F17" s="117"/>
      <c r="G17" s="117"/>
      <c r="H17" s="117"/>
      <c r="I17" s="117"/>
      <c r="J17" s="117"/>
      <c r="K17" s="117"/>
      <c r="L17" s="117"/>
      <c r="M17" s="117"/>
      <c r="N17" s="117"/>
      <c r="O17" s="117"/>
      <c r="P17" s="117"/>
      <c r="Q17" s="21"/>
      <c r="R17" s="21"/>
      <c r="T17" s="2270" t="s">
        <v>104</v>
      </c>
      <c r="U17" s="2271"/>
      <c r="V17" s="2262"/>
      <c r="W17" s="2262"/>
      <c r="X17" s="2262"/>
    </row>
    <row r="18" spans="1:25" ht="27" customHeight="1" x14ac:dyDescent="0.25">
      <c r="A18" s="100" t="s">
        <v>40</v>
      </c>
      <c r="B18" s="2264">
        <f>C12</f>
        <v>116363</v>
      </c>
      <c r="C18" s="2261"/>
      <c r="D18" s="119">
        <f>E12</f>
        <v>0</v>
      </c>
      <c r="E18" s="119">
        <f>G12</f>
        <v>0</v>
      </c>
      <c r="F18" s="119">
        <f>I12</f>
        <v>920</v>
      </c>
      <c r="G18" s="119">
        <f>K12</f>
        <v>0</v>
      </c>
      <c r="H18" s="117"/>
      <c r="I18" s="119">
        <f>U12</f>
        <v>10</v>
      </c>
      <c r="J18" s="117"/>
      <c r="K18" s="119">
        <f>W12</f>
        <v>0</v>
      </c>
      <c r="L18" s="117"/>
      <c r="M18" s="119">
        <f>M12</f>
        <v>0</v>
      </c>
      <c r="N18" s="119"/>
      <c r="O18" s="118">
        <f>Q12</f>
        <v>0</v>
      </c>
      <c r="P18" s="117">
        <v>45</v>
      </c>
      <c r="Q18" s="21"/>
      <c r="R18" s="21"/>
      <c r="T18" s="2254" t="s">
        <v>57</v>
      </c>
      <c r="U18" s="2254"/>
      <c r="V18" s="2262">
        <f>530+450</f>
        <v>980</v>
      </c>
      <c r="W18" s="2262"/>
      <c r="X18" s="2262"/>
      <c r="Y18" s="2269" t="s">
        <v>143</v>
      </c>
    </row>
    <row r="19" spans="1:25" ht="25.5" customHeight="1" x14ac:dyDescent="0.25">
      <c r="A19" s="100" t="s">
        <v>41</v>
      </c>
      <c r="B19" s="2260">
        <f>B15+B16+B17-B18</f>
        <v>266606</v>
      </c>
      <c r="C19" s="2261"/>
      <c r="D19" s="117">
        <f>D15+D16+D17-D18</f>
        <v>0</v>
      </c>
      <c r="E19" s="117">
        <f t="shared" ref="E19:N19" si="13">E15+E16+E17-E18</f>
        <v>110</v>
      </c>
      <c r="F19" s="117">
        <f t="shared" si="13"/>
        <v>180</v>
      </c>
      <c r="G19" s="117">
        <f t="shared" si="13"/>
        <v>0</v>
      </c>
      <c r="H19" s="117">
        <f t="shared" si="13"/>
        <v>47</v>
      </c>
      <c r="I19" s="117">
        <f t="shared" si="13"/>
        <v>8</v>
      </c>
      <c r="J19" s="117">
        <f t="shared" si="13"/>
        <v>55</v>
      </c>
      <c r="K19" s="117">
        <f t="shared" si="13"/>
        <v>30</v>
      </c>
      <c r="L19" s="117">
        <f t="shared" si="13"/>
        <v>125</v>
      </c>
      <c r="M19" s="117">
        <f t="shared" si="13"/>
        <v>0</v>
      </c>
      <c r="N19" s="117">
        <f t="shared" si="13"/>
        <v>100</v>
      </c>
      <c r="O19" s="117">
        <f>O15+O16+O17-O18</f>
        <v>0</v>
      </c>
      <c r="P19" s="117">
        <f>P15+P16+P17-P18</f>
        <v>741</v>
      </c>
      <c r="Q19" s="21"/>
      <c r="R19" s="21"/>
      <c r="T19" s="2256" t="s">
        <v>48</v>
      </c>
      <c r="U19" s="49" t="s">
        <v>58</v>
      </c>
      <c r="V19" s="2262">
        <v>273500</v>
      </c>
      <c r="W19" s="2262"/>
      <c r="X19" s="2262"/>
      <c r="Y19" s="2269"/>
    </row>
    <row r="20" spans="1:25" ht="23.25" customHeight="1" x14ac:dyDescent="0.25">
      <c r="A20" s="15"/>
      <c r="B20" s="10"/>
      <c r="C20" s="10"/>
      <c r="D20" s="10"/>
      <c r="E20" s="10"/>
      <c r="F20" s="10"/>
      <c r="G20" s="10"/>
      <c r="H20" s="10"/>
      <c r="I20" s="10"/>
      <c r="J20" s="10"/>
      <c r="K20" s="10"/>
      <c r="L20" s="10"/>
      <c r="M20" s="10"/>
      <c r="N20" s="10"/>
      <c r="O20" s="10"/>
      <c r="P20" s="10"/>
      <c r="Q20" s="10"/>
      <c r="R20" s="10"/>
      <c r="T20" s="2257"/>
      <c r="U20" s="49" t="s">
        <v>59</v>
      </c>
      <c r="V20" s="2262"/>
      <c r="W20" s="2262"/>
      <c r="X20" s="2262"/>
      <c r="Y20" s="2269"/>
    </row>
    <row r="21" spans="1:25" ht="35.25" customHeight="1" x14ac:dyDescent="0.25">
      <c r="A21" s="15"/>
      <c r="B21" s="10"/>
      <c r="C21" s="10"/>
      <c r="D21" s="10"/>
      <c r="E21" s="10"/>
      <c r="F21" s="10"/>
      <c r="G21" s="10"/>
      <c r="H21" s="10"/>
      <c r="I21" s="10"/>
      <c r="J21" s="10"/>
      <c r="K21" s="10"/>
      <c r="L21" s="10"/>
      <c r="M21" s="10"/>
      <c r="N21" s="10"/>
      <c r="O21" s="10"/>
      <c r="P21" s="10"/>
      <c r="Q21" s="10"/>
      <c r="R21" s="10"/>
      <c r="T21" s="2251" t="s">
        <v>83</v>
      </c>
      <c r="U21" s="50" t="s">
        <v>60</v>
      </c>
      <c r="V21" s="2262">
        <v>273500</v>
      </c>
      <c r="W21" s="2262"/>
      <c r="X21" s="2262"/>
      <c r="Y21" s="2269"/>
    </row>
    <row r="22" spans="1:25" ht="39.75" customHeight="1" x14ac:dyDescent="0.25">
      <c r="A22" s="10"/>
      <c r="B22" s="2258" t="s">
        <v>49</v>
      </c>
      <c r="C22" s="2265">
        <v>589563</v>
      </c>
      <c r="D22" s="2262">
        <v>273500</v>
      </c>
      <c r="E22" s="2262">
        <v>83937</v>
      </c>
      <c r="F22" s="2262">
        <f>C22-D22+E22</f>
        <v>400000</v>
      </c>
      <c r="G22" s="10"/>
      <c r="H22" s="10"/>
      <c r="I22" s="10"/>
      <c r="J22" s="10"/>
      <c r="K22" s="10"/>
      <c r="L22" s="10"/>
      <c r="M22" s="10" t="s">
        <v>140</v>
      </c>
      <c r="N22" s="10"/>
      <c r="O22" s="10"/>
      <c r="P22" s="10"/>
      <c r="Q22" s="10"/>
      <c r="R22" s="10"/>
      <c r="T22" s="2252"/>
      <c r="U22" s="50" t="s">
        <v>61</v>
      </c>
      <c r="V22" s="2262">
        <v>273500</v>
      </c>
      <c r="W22" s="2262"/>
      <c r="X22" s="2262"/>
      <c r="Y22" s="2269"/>
    </row>
    <row r="23" spans="1:25" ht="47.25" customHeight="1" x14ac:dyDescent="0.25">
      <c r="A23" s="10"/>
      <c r="B23" s="2258"/>
      <c r="C23" s="2266"/>
      <c r="D23" s="2262"/>
      <c r="E23" s="2262"/>
      <c r="F23" s="2262"/>
      <c r="G23" s="10"/>
      <c r="H23" s="10"/>
      <c r="I23" s="10"/>
      <c r="J23" s="10"/>
      <c r="K23" s="10"/>
      <c r="L23" s="10"/>
      <c r="M23" s="10"/>
      <c r="N23" s="10"/>
      <c r="O23" s="10"/>
      <c r="P23" s="10"/>
      <c r="Q23" s="10"/>
      <c r="R23" s="10"/>
      <c r="T23" s="2235" t="s">
        <v>47</v>
      </c>
      <c r="U23" s="51" t="s">
        <v>62</v>
      </c>
      <c r="V23" s="2263">
        <f>V14+V16+V17-V18-V19-V20-V21+V22</f>
        <v>19578.017500000016</v>
      </c>
      <c r="W23" s="2263"/>
      <c r="X23" s="2263"/>
      <c r="Y23" s="2269"/>
    </row>
    <row r="24" spans="1:25" ht="27" customHeight="1" x14ac:dyDescent="0.25">
      <c r="B24" s="2258"/>
      <c r="C24" s="114" t="s">
        <v>46</v>
      </c>
      <c r="D24" s="114" t="s">
        <v>50</v>
      </c>
      <c r="E24" s="114" t="s">
        <v>51</v>
      </c>
      <c r="F24" s="114" t="s">
        <v>52</v>
      </c>
      <c r="T24" s="2235"/>
      <c r="U24" s="51" t="s">
        <v>63</v>
      </c>
      <c r="V24" s="2262">
        <f>V15+V21-V22</f>
        <v>9129</v>
      </c>
      <c r="W24" s="2262"/>
      <c r="X24" s="2262"/>
    </row>
  </sheetData>
  <mergeCells count="48">
    <mergeCell ref="A1:Y1"/>
    <mergeCell ref="A2:Y2"/>
    <mergeCell ref="T3:Y3"/>
    <mergeCell ref="A4:A5"/>
    <mergeCell ref="B4:B5"/>
    <mergeCell ref="C4:D4"/>
    <mergeCell ref="E4:F4"/>
    <mergeCell ref="G4:H4"/>
    <mergeCell ref="I4:J4"/>
    <mergeCell ref="K4:L4"/>
    <mergeCell ref="Y4:Y5"/>
    <mergeCell ref="M4:N4"/>
    <mergeCell ref="O4:P4"/>
    <mergeCell ref="Q4:R4"/>
    <mergeCell ref="S4:T4"/>
    <mergeCell ref="U4:V4"/>
    <mergeCell ref="V18:X18"/>
    <mergeCell ref="B22:B24"/>
    <mergeCell ref="C22:C23"/>
    <mergeCell ref="W4:X4"/>
    <mergeCell ref="B16:C16"/>
    <mergeCell ref="T16:U16"/>
    <mergeCell ref="V16:X16"/>
    <mergeCell ref="B17:C17"/>
    <mergeCell ref="T17:U17"/>
    <mergeCell ref="V17:X17"/>
    <mergeCell ref="A12:B12"/>
    <mergeCell ref="B14:C14"/>
    <mergeCell ref="T14:T15"/>
    <mergeCell ref="V14:X14"/>
    <mergeCell ref="B15:C15"/>
    <mergeCell ref="V15:X15"/>
    <mergeCell ref="D22:D23"/>
    <mergeCell ref="E22:E23"/>
    <mergeCell ref="F22:F23"/>
    <mergeCell ref="Y18:Y23"/>
    <mergeCell ref="B19:C19"/>
    <mergeCell ref="T19:T20"/>
    <mergeCell ref="V19:X19"/>
    <mergeCell ref="V20:X20"/>
    <mergeCell ref="T21:T22"/>
    <mergeCell ref="V21:X21"/>
    <mergeCell ref="V22:X22"/>
    <mergeCell ref="T23:T24"/>
    <mergeCell ref="V23:X23"/>
    <mergeCell ref="V24:X24"/>
    <mergeCell ref="B18:C18"/>
    <mergeCell ref="T18:U18"/>
  </mergeCells>
  <pageMargins left="0.15748031496063" right="0.15748031496063" top="0" bottom="0" header="0" footer="0"/>
  <pageSetup paperSize="9" scale="51" orientation="landscape" r:id="rId1"/>
</worksheet>
</file>

<file path=xl/worksheets/sheet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F00-000000000000}">
  <sheetPr>
    <pageSetUpPr fitToPage="1"/>
  </sheetPr>
  <dimension ref="A1:Y24"/>
  <sheetViews>
    <sheetView topLeftCell="A4" zoomScale="67" zoomScaleNormal="67" zoomScaleSheetLayoutView="100" workbookViewId="0">
      <selection activeCell="V18" sqref="V18:X18"/>
    </sheetView>
  </sheetViews>
  <sheetFormatPr defaultColWidth="9.140625" defaultRowHeight="15" x14ac:dyDescent="0.25"/>
  <cols>
    <col min="1" max="1" width="18.28515625" style="14" customWidth="1"/>
    <col min="2" max="2" width="10.7109375" style="14" customWidth="1"/>
    <col min="3" max="3" width="12.28515625" style="14" customWidth="1"/>
    <col min="4" max="4" width="11" style="14" customWidth="1"/>
    <col min="5" max="5" width="12" style="14" customWidth="1"/>
    <col min="6" max="6" width="12.5703125" style="14" bestFit="1" customWidth="1"/>
    <col min="7" max="7" width="9.28515625" style="14" bestFit="1" customWidth="1"/>
    <col min="8" max="8" width="10.140625" style="14" bestFit="1" customWidth="1"/>
    <col min="9" max="9" width="10.5703125" style="14" bestFit="1" customWidth="1"/>
    <col min="10" max="10" width="10.5703125" style="14" customWidth="1"/>
    <col min="11" max="11" width="10.28515625" style="14" bestFit="1" customWidth="1"/>
    <col min="12" max="12" width="9.42578125" style="14" bestFit="1" customWidth="1"/>
    <col min="13" max="13" width="9.85546875" style="14" bestFit="1" customWidth="1"/>
    <col min="14" max="14" width="10.140625" style="14" bestFit="1" customWidth="1"/>
    <col min="15" max="15" width="9" style="14" customWidth="1"/>
    <col min="16" max="16" width="12.85546875" style="14" bestFit="1" customWidth="1"/>
    <col min="17" max="18" width="9.42578125" style="14" customWidth="1"/>
    <col min="19" max="19" width="7.5703125" style="14" customWidth="1"/>
    <col min="20" max="20" width="12.5703125" style="14" customWidth="1"/>
    <col min="21" max="21" width="17.28515625" style="14" customWidth="1"/>
    <col min="22" max="22" width="9.85546875" style="14" bestFit="1" customWidth="1"/>
    <col min="23" max="23" width="10.140625" style="14" bestFit="1" customWidth="1"/>
    <col min="24" max="24" width="9.85546875" style="14" bestFit="1" customWidth="1"/>
    <col min="25" max="25" width="15.85546875" style="14" customWidth="1"/>
    <col min="26" max="16384" width="9.140625" style="14"/>
  </cols>
  <sheetData>
    <row r="1" spans="1:25" ht="46.15" customHeight="1" x14ac:dyDescent="0.25">
      <c r="A1" s="2240" t="s">
        <v>76</v>
      </c>
      <c r="B1" s="2240"/>
      <c r="C1" s="2240"/>
      <c r="D1" s="2240"/>
      <c r="E1" s="2240"/>
      <c r="F1" s="2240"/>
      <c r="G1" s="2240"/>
      <c r="H1" s="2240"/>
      <c r="I1" s="2240"/>
      <c r="J1" s="2240"/>
      <c r="K1" s="2240"/>
      <c r="L1" s="2240"/>
      <c r="M1" s="2240"/>
      <c r="N1" s="2240"/>
      <c r="O1" s="2240"/>
      <c r="P1" s="2240"/>
      <c r="Q1" s="2240"/>
      <c r="R1" s="2240"/>
      <c r="S1" s="2240"/>
      <c r="T1" s="2240"/>
      <c r="U1" s="2240"/>
      <c r="V1" s="2240"/>
      <c r="W1" s="2240"/>
      <c r="X1" s="2240"/>
      <c r="Y1" s="2240"/>
    </row>
    <row r="2" spans="1:25" ht="21.6" customHeight="1" x14ac:dyDescent="0.25">
      <c r="A2" s="2241" t="s">
        <v>77</v>
      </c>
      <c r="B2" s="2241"/>
      <c r="C2" s="2241"/>
      <c r="D2" s="2241"/>
      <c r="E2" s="2241"/>
      <c r="F2" s="2241"/>
      <c r="G2" s="2241"/>
      <c r="H2" s="2241"/>
      <c r="I2" s="2241"/>
      <c r="J2" s="2241"/>
      <c r="K2" s="2241"/>
      <c r="L2" s="2241"/>
      <c r="M2" s="2241"/>
      <c r="N2" s="2241"/>
      <c r="O2" s="2241"/>
      <c r="P2" s="2241"/>
      <c r="Q2" s="2241"/>
      <c r="R2" s="2241"/>
      <c r="S2" s="2241"/>
      <c r="T2" s="2241"/>
      <c r="U2" s="2241"/>
      <c r="V2" s="2241"/>
      <c r="W2" s="2241"/>
      <c r="X2" s="2241"/>
      <c r="Y2" s="2241"/>
    </row>
    <row r="3" spans="1:25" ht="21" customHeight="1" x14ac:dyDescent="0.25">
      <c r="A3" s="116"/>
      <c r="B3" s="116"/>
      <c r="C3" s="116"/>
      <c r="D3" s="116"/>
      <c r="E3" s="116"/>
      <c r="F3" s="116"/>
      <c r="G3" s="116"/>
      <c r="H3" s="116"/>
      <c r="I3" s="116"/>
      <c r="J3" s="116"/>
      <c r="K3" s="116"/>
      <c r="L3" s="116"/>
      <c r="M3" s="116"/>
      <c r="N3" s="116"/>
      <c r="O3" s="116"/>
      <c r="P3" s="116"/>
      <c r="Q3" s="116"/>
      <c r="R3" s="116"/>
      <c r="S3" s="116"/>
      <c r="T3" s="2242" t="s">
        <v>144</v>
      </c>
      <c r="U3" s="2242"/>
      <c r="V3" s="2242"/>
      <c r="W3" s="2242"/>
      <c r="X3" s="2242"/>
      <c r="Y3" s="2242"/>
    </row>
    <row r="4" spans="1:25" s="116" customFormat="1" ht="18" customHeight="1" x14ac:dyDescent="0.25">
      <c r="A4" s="2243" t="s">
        <v>25</v>
      </c>
      <c r="B4" s="2243" t="s">
        <v>26</v>
      </c>
      <c r="C4" s="2244" t="s">
        <v>27</v>
      </c>
      <c r="D4" s="2244"/>
      <c r="E4" s="2244" t="s">
        <v>28</v>
      </c>
      <c r="F4" s="2244"/>
      <c r="G4" s="2244" t="s">
        <v>65</v>
      </c>
      <c r="H4" s="2244"/>
      <c r="I4" s="2244" t="s">
        <v>29</v>
      </c>
      <c r="J4" s="2244"/>
      <c r="K4" s="2245" t="s">
        <v>13</v>
      </c>
      <c r="L4" s="2246"/>
      <c r="M4" s="2245" t="s">
        <v>67</v>
      </c>
      <c r="N4" s="2246"/>
      <c r="O4" s="2245" t="s">
        <v>68</v>
      </c>
      <c r="P4" s="2246"/>
      <c r="Q4" s="2245" t="s">
        <v>114</v>
      </c>
      <c r="R4" s="2246"/>
      <c r="S4" s="2244" t="s">
        <v>35</v>
      </c>
      <c r="T4" s="2244"/>
      <c r="U4" s="2245" t="s">
        <v>17</v>
      </c>
      <c r="V4" s="2246"/>
      <c r="W4" s="2247" t="s">
        <v>36</v>
      </c>
      <c r="X4" s="2248"/>
      <c r="Y4" s="2238" t="s">
        <v>30</v>
      </c>
    </row>
    <row r="5" spans="1:25" s="116" customFormat="1" ht="25.5" customHeight="1" x14ac:dyDescent="0.25">
      <c r="A5" s="2243"/>
      <c r="B5" s="2243"/>
      <c r="C5" s="115" t="s">
        <v>42</v>
      </c>
      <c r="D5" s="115" t="s">
        <v>43</v>
      </c>
      <c r="E5" s="115" t="s">
        <v>42</v>
      </c>
      <c r="F5" s="115" t="s">
        <v>43</v>
      </c>
      <c r="G5" s="115" t="s">
        <v>42</v>
      </c>
      <c r="H5" s="115" t="s">
        <v>43</v>
      </c>
      <c r="I5" s="115" t="s">
        <v>42</v>
      </c>
      <c r="J5" s="115" t="s">
        <v>43</v>
      </c>
      <c r="K5" s="115" t="s">
        <v>42</v>
      </c>
      <c r="L5" s="115" t="s">
        <v>43</v>
      </c>
      <c r="M5" s="115" t="s">
        <v>42</v>
      </c>
      <c r="N5" s="115" t="s">
        <v>43</v>
      </c>
      <c r="O5" s="115" t="s">
        <v>42</v>
      </c>
      <c r="P5" s="115" t="s">
        <v>43</v>
      </c>
      <c r="Q5" s="115" t="s">
        <v>42</v>
      </c>
      <c r="R5" s="115" t="s">
        <v>43</v>
      </c>
      <c r="S5" s="33" t="s">
        <v>42</v>
      </c>
      <c r="T5" s="33" t="s">
        <v>43</v>
      </c>
      <c r="U5" s="30" t="s">
        <v>42</v>
      </c>
      <c r="V5" s="30" t="s">
        <v>43</v>
      </c>
      <c r="W5" s="30" t="s">
        <v>42</v>
      </c>
      <c r="X5" s="30" t="s">
        <v>43</v>
      </c>
      <c r="Y5" s="2239"/>
    </row>
    <row r="6" spans="1:25" ht="34.5" customHeight="1" x14ac:dyDescent="0.25">
      <c r="A6" s="12">
        <v>1409935200</v>
      </c>
      <c r="B6" s="114" t="s">
        <v>71</v>
      </c>
      <c r="C6" s="112">
        <v>21273</v>
      </c>
      <c r="D6" s="111">
        <f>0.9725*C6</f>
        <v>20687.9925</v>
      </c>
      <c r="E6" s="112"/>
      <c r="F6" s="112">
        <f>13.7*E6</f>
        <v>0</v>
      </c>
      <c r="G6" s="112"/>
      <c r="H6" s="112">
        <f>28.2*G6</f>
        <v>0</v>
      </c>
      <c r="I6" s="112"/>
      <c r="J6" s="112">
        <f>18.5*I6</f>
        <v>0</v>
      </c>
      <c r="K6" s="112"/>
      <c r="L6" s="112">
        <f>19.5*K6</f>
        <v>0</v>
      </c>
      <c r="M6" s="112"/>
      <c r="N6" s="111">
        <f>M6*9.75</f>
        <v>0</v>
      </c>
      <c r="O6" s="112"/>
      <c r="P6" s="111">
        <f>O6*48.62</f>
        <v>0</v>
      </c>
      <c r="Q6" s="111"/>
      <c r="R6" s="111">
        <f>241*Q6</f>
        <v>0</v>
      </c>
      <c r="S6" s="112">
        <v>2</v>
      </c>
      <c r="T6" s="112">
        <f>241*S6</f>
        <v>482</v>
      </c>
      <c r="U6" s="112"/>
      <c r="V6" s="112">
        <f>232*U6</f>
        <v>0</v>
      </c>
      <c r="W6" s="112"/>
      <c r="X6" s="19">
        <f>W6*100</f>
        <v>0</v>
      </c>
      <c r="Y6" s="89">
        <f t="shared" ref="Y6:Y11" si="0">D6+F6+H6+J6+L6+N6+P6+R6+T6+V6+X6</f>
        <v>21169.9925</v>
      </c>
    </row>
    <row r="7" spans="1:25" ht="31.5" customHeight="1" x14ac:dyDescent="0.25">
      <c r="A7" s="12">
        <v>1984225578</v>
      </c>
      <c r="B7" s="114" t="s">
        <v>72</v>
      </c>
      <c r="C7" s="112">
        <v>35042</v>
      </c>
      <c r="D7" s="111">
        <f t="shared" ref="D7:D11" si="1">0.9725*C7</f>
        <v>34078.345000000001</v>
      </c>
      <c r="E7" s="112"/>
      <c r="F7" s="112">
        <f t="shared" ref="F7:F11" si="2">13.7*E7</f>
        <v>0</v>
      </c>
      <c r="G7" s="112"/>
      <c r="H7" s="112">
        <f t="shared" ref="H7:H11" si="3">28.2*G7</f>
        <v>0</v>
      </c>
      <c r="I7" s="112"/>
      <c r="J7" s="112">
        <f t="shared" ref="J7:J11" si="4">18.5*I7</f>
        <v>0</v>
      </c>
      <c r="K7" s="112"/>
      <c r="L7" s="112">
        <f t="shared" ref="L7:L11" si="5">19.5*K7</f>
        <v>0</v>
      </c>
      <c r="M7" s="112"/>
      <c r="N7" s="111">
        <f t="shared" ref="N7:N11" si="6">M7*9.75</f>
        <v>0</v>
      </c>
      <c r="O7" s="112"/>
      <c r="P7" s="111">
        <f t="shared" ref="P7:P11" si="7">O7*48.62</f>
        <v>0</v>
      </c>
      <c r="Q7" s="111"/>
      <c r="R7" s="111">
        <f t="shared" ref="R7:R11" si="8">241*Q7</f>
        <v>0</v>
      </c>
      <c r="S7" s="112"/>
      <c r="T7" s="112">
        <f t="shared" ref="T7:T11" si="9">241*S7</f>
        <v>0</v>
      </c>
      <c r="U7" s="112"/>
      <c r="V7" s="112">
        <f t="shared" ref="V7:V11" si="10">232*U7</f>
        <v>0</v>
      </c>
      <c r="W7" s="112"/>
      <c r="X7" s="19">
        <f t="shared" ref="X7:X11" si="11">W7*100</f>
        <v>0</v>
      </c>
      <c r="Y7" s="89">
        <f t="shared" si="0"/>
        <v>34078.345000000001</v>
      </c>
    </row>
    <row r="8" spans="1:25" ht="35.25" customHeight="1" x14ac:dyDescent="0.25">
      <c r="A8" s="12">
        <v>1967020280</v>
      </c>
      <c r="B8" s="114" t="s">
        <v>73</v>
      </c>
      <c r="C8" s="112">
        <v>29642</v>
      </c>
      <c r="D8" s="111">
        <f t="shared" si="1"/>
        <v>28826.845000000001</v>
      </c>
      <c r="E8" s="112"/>
      <c r="F8" s="112">
        <f t="shared" si="2"/>
        <v>0</v>
      </c>
      <c r="G8" s="112"/>
      <c r="H8" s="112">
        <f t="shared" si="3"/>
        <v>0</v>
      </c>
      <c r="I8" s="112"/>
      <c r="J8" s="112">
        <f t="shared" si="4"/>
        <v>0</v>
      </c>
      <c r="K8" s="112"/>
      <c r="L8" s="112">
        <f t="shared" si="5"/>
        <v>0</v>
      </c>
      <c r="M8" s="112"/>
      <c r="N8" s="111">
        <f t="shared" si="6"/>
        <v>0</v>
      </c>
      <c r="O8" s="112"/>
      <c r="P8" s="111">
        <f t="shared" si="7"/>
        <v>0</v>
      </c>
      <c r="Q8" s="111"/>
      <c r="R8" s="111">
        <f t="shared" si="8"/>
        <v>0</v>
      </c>
      <c r="S8" s="112"/>
      <c r="T8" s="112">
        <f t="shared" si="9"/>
        <v>0</v>
      </c>
      <c r="U8" s="112"/>
      <c r="V8" s="112">
        <f t="shared" si="10"/>
        <v>0</v>
      </c>
      <c r="W8" s="112"/>
      <c r="X8" s="19">
        <f t="shared" si="11"/>
        <v>0</v>
      </c>
      <c r="Y8" s="89">
        <f t="shared" si="0"/>
        <v>28826.845000000001</v>
      </c>
    </row>
    <row r="9" spans="1:25" ht="38.25" customHeight="1" x14ac:dyDescent="0.25">
      <c r="A9" s="12">
        <v>1409935199</v>
      </c>
      <c r="B9" s="114" t="s">
        <v>74</v>
      </c>
      <c r="C9" s="112">
        <v>12122</v>
      </c>
      <c r="D9" s="111">
        <f t="shared" si="1"/>
        <v>11788.645</v>
      </c>
      <c r="E9" s="112"/>
      <c r="F9" s="112">
        <f t="shared" si="2"/>
        <v>0</v>
      </c>
      <c r="G9" s="112"/>
      <c r="H9" s="112">
        <f t="shared" si="3"/>
        <v>0</v>
      </c>
      <c r="I9" s="112"/>
      <c r="J9" s="112">
        <f t="shared" si="4"/>
        <v>0</v>
      </c>
      <c r="K9" s="112"/>
      <c r="L9" s="112">
        <f t="shared" si="5"/>
        <v>0</v>
      </c>
      <c r="M9" s="112"/>
      <c r="N9" s="111">
        <f t="shared" si="6"/>
        <v>0</v>
      </c>
      <c r="O9" s="112"/>
      <c r="P9" s="111">
        <f t="shared" si="7"/>
        <v>0</v>
      </c>
      <c r="Q9" s="111"/>
      <c r="R9" s="111">
        <f t="shared" si="8"/>
        <v>0</v>
      </c>
      <c r="S9" s="112"/>
      <c r="T9" s="112">
        <f t="shared" si="9"/>
        <v>0</v>
      </c>
      <c r="U9" s="112"/>
      <c r="V9" s="112">
        <f t="shared" si="10"/>
        <v>0</v>
      </c>
      <c r="W9" s="112"/>
      <c r="X9" s="19">
        <f t="shared" si="11"/>
        <v>0</v>
      </c>
      <c r="Y9" s="89">
        <f t="shared" si="0"/>
        <v>11788.645</v>
      </c>
    </row>
    <row r="10" spans="1:25" ht="35.25" customHeight="1" x14ac:dyDescent="0.25">
      <c r="A10" s="12">
        <v>1984225580</v>
      </c>
      <c r="B10" s="114" t="s">
        <v>75</v>
      </c>
      <c r="C10" s="112">
        <v>24671</v>
      </c>
      <c r="D10" s="111">
        <f t="shared" si="1"/>
        <v>23992.547500000001</v>
      </c>
      <c r="E10" s="112"/>
      <c r="F10" s="112">
        <f t="shared" si="2"/>
        <v>0</v>
      </c>
      <c r="G10" s="112"/>
      <c r="H10" s="112">
        <f t="shared" si="3"/>
        <v>0</v>
      </c>
      <c r="I10" s="112"/>
      <c r="J10" s="112">
        <f t="shared" si="4"/>
        <v>0</v>
      </c>
      <c r="K10" s="112"/>
      <c r="L10" s="112">
        <f t="shared" si="5"/>
        <v>0</v>
      </c>
      <c r="M10" s="112"/>
      <c r="N10" s="111">
        <f t="shared" si="6"/>
        <v>0</v>
      </c>
      <c r="O10" s="112"/>
      <c r="P10" s="111">
        <f t="shared" si="7"/>
        <v>0</v>
      </c>
      <c r="Q10" s="111"/>
      <c r="R10" s="111">
        <f t="shared" si="8"/>
        <v>0</v>
      </c>
      <c r="S10" s="112"/>
      <c r="T10" s="112">
        <f t="shared" si="9"/>
        <v>0</v>
      </c>
      <c r="U10" s="112"/>
      <c r="V10" s="112">
        <f t="shared" si="10"/>
        <v>0</v>
      </c>
      <c r="W10" s="112"/>
      <c r="X10" s="19">
        <f t="shared" si="11"/>
        <v>0</v>
      </c>
      <c r="Y10" s="89">
        <f t="shared" si="0"/>
        <v>23992.547500000001</v>
      </c>
    </row>
    <row r="11" spans="1:25" ht="37.5" customHeight="1" x14ac:dyDescent="0.25">
      <c r="A11" s="12"/>
      <c r="B11" s="113"/>
      <c r="C11" s="112"/>
      <c r="D11" s="22">
        <f t="shared" si="1"/>
        <v>0</v>
      </c>
      <c r="E11" s="112"/>
      <c r="F11" s="112">
        <f t="shared" si="2"/>
        <v>0</v>
      </c>
      <c r="G11" s="112"/>
      <c r="H11" s="112">
        <f t="shared" si="3"/>
        <v>0</v>
      </c>
      <c r="I11" s="112"/>
      <c r="J11" s="112">
        <f t="shared" si="4"/>
        <v>0</v>
      </c>
      <c r="K11" s="112"/>
      <c r="L11" s="112">
        <f t="shared" si="5"/>
        <v>0</v>
      </c>
      <c r="M11" s="112"/>
      <c r="N11" s="111">
        <f t="shared" si="6"/>
        <v>0</v>
      </c>
      <c r="O11" s="112"/>
      <c r="P11" s="111">
        <f t="shared" si="7"/>
        <v>0</v>
      </c>
      <c r="Q11" s="111"/>
      <c r="R11" s="111">
        <f t="shared" si="8"/>
        <v>0</v>
      </c>
      <c r="S11" s="112">
        <v>16</v>
      </c>
      <c r="T11" s="112">
        <f t="shared" si="9"/>
        <v>3856</v>
      </c>
      <c r="U11" s="112">
        <v>8</v>
      </c>
      <c r="V11" s="112">
        <f t="shared" si="10"/>
        <v>1856</v>
      </c>
      <c r="W11" s="112"/>
      <c r="X11" s="19">
        <f t="shared" si="11"/>
        <v>0</v>
      </c>
      <c r="Y11" s="20">
        <f t="shared" si="0"/>
        <v>5712</v>
      </c>
    </row>
    <row r="12" spans="1:25" ht="29.25" customHeight="1" x14ac:dyDescent="0.25">
      <c r="A12" s="2235" t="s">
        <v>31</v>
      </c>
      <c r="B12" s="2235"/>
      <c r="C12" s="18">
        <f t="shared" ref="C12:Y12" si="12">SUM(C6:C11)</f>
        <v>122750</v>
      </c>
      <c r="D12" s="18">
        <f t="shared" si="12"/>
        <v>119374.375</v>
      </c>
      <c r="E12" s="18">
        <f t="shared" si="12"/>
        <v>0</v>
      </c>
      <c r="F12" s="18">
        <f t="shared" si="12"/>
        <v>0</v>
      </c>
      <c r="G12" s="18">
        <f t="shared" si="12"/>
        <v>0</v>
      </c>
      <c r="H12" s="18">
        <f t="shared" si="12"/>
        <v>0</v>
      </c>
      <c r="I12" s="18">
        <f t="shared" si="12"/>
        <v>0</v>
      </c>
      <c r="J12" s="18">
        <f t="shared" si="12"/>
        <v>0</v>
      </c>
      <c r="K12" s="18">
        <f t="shared" si="12"/>
        <v>0</v>
      </c>
      <c r="L12" s="18">
        <f t="shared" si="12"/>
        <v>0</v>
      </c>
      <c r="M12" s="18">
        <f t="shared" si="12"/>
        <v>0</v>
      </c>
      <c r="N12" s="23">
        <f t="shared" si="12"/>
        <v>0</v>
      </c>
      <c r="O12" s="18">
        <f t="shared" si="12"/>
        <v>0</v>
      </c>
      <c r="P12" s="23">
        <f t="shared" si="12"/>
        <v>0</v>
      </c>
      <c r="Q12" s="23">
        <f t="shared" si="12"/>
        <v>0</v>
      </c>
      <c r="R12" s="23">
        <f>SUM(R6:R11)</f>
        <v>0</v>
      </c>
      <c r="S12" s="18">
        <f t="shared" si="12"/>
        <v>18</v>
      </c>
      <c r="T12" s="18">
        <f t="shared" si="12"/>
        <v>4338</v>
      </c>
      <c r="U12" s="18">
        <f t="shared" si="12"/>
        <v>8</v>
      </c>
      <c r="V12" s="18">
        <f t="shared" si="12"/>
        <v>1856</v>
      </c>
      <c r="W12" s="18">
        <f t="shared" si="12"/>
        <v>0</v>
      </c>
      <c r="X12" s="18">
        <f t="shared" si="12"/>
        <v>0</v>
      </c>
      <c r="Y12" s="18">
        <f t="shared" si="12"/>
        <v>125568.375</v>
      </c>
    </row>
    <row r="14" spans="1:25" ht="32.25" customHeight="1" x14ac:dyDescent="0.25">
      <c r="A14" s="30" t="s">
        <v>32</v>
      </c>
      <c r="B14" s="2236" t="s">
        <v>27</v>
      </c>
      <c r="C14" s="2236"/>
      <c r="D14" s="30" t="s">
        <v>33</v>
      </c>
      <c r="E14" s="30" t="s">
        <v>65</v>
      </c>
      <c r="F14" s="30" t="s">
        <v>34</v>
      </c>
      <c r="G14" s="30" t="s">
        <v>13</v>
      </c>
      <c r="H14" s="31" t="s">
        <v>45</v>
      </c>
      <c r="I14" s="30" t="s">
        <v>17</v>
      </c>
      <c r="J14" s="30" t="s">
        <v>66</v>
      </c>
      <c r="K14" s="30" t="s">
        <v>36</v>
      </c>
      <c r="L14" s="30" t="s">
        <v>37</v>
      </c>
      <c r="M14" s="30" t="s">
        <v>69</v>
      </c>
      <c r="N14" s="30" t="s">
        <v>70</v>
      </c>
      <c r="O14" s="86" t="s">
        <v>114</v>
      </c>
      <c r="P14" s="86" t="s">
        <v>99</v>
      </c>
      <c r="Q14" s="15"/>
      <c r="R14" s="15"/>
      <c r="T14" s="2235" t="s">
        <v>46</v>
      </c>
      <c r="U14" s="114" t="s">
        <v>54</v>
      </c>
      <c r="V14" s="2260">
        <v>19578</v>
      </c>
      <c r="W14" s="2268"/>
      <c r="X14" s="2261"/>
    </row>
    <row r="15" spans="1:25" ht="22.5" customHeight="1" x14ac:dyDescent="0.25">
      <c r="A15" s="100" t="s">
        <v>38</v>
      </c>
      <c r="B15" s="2260">
        <v>266606</v>
      </c>
      <c r="C15" s="2261"/>
      <c r="D15" s="117">
        <v>0</v>
      </c>
      <c r="E15" s="117">
        <v>110</v>
      </c>
      <c r="F15" s="117">
        <v>180</v>
      </c>
      <c r="G15" s="117">
        <v>0</v>
      </c>
      <c r="H15" s="117">
        <v>47</v>
      </c>
      <c r="I15" s="117">
        <v>8</v>
      </c>
      <c r="J15" s="117">
        <v>55</v>
      </c>
      <c r="K15" s="117">
        <v>30</v>
      </c>
      <c r="L15" s="117">
        <v>125</v>
      </c>
      <c r="M15" s="117">
        <v>0</v>
      </c>
      <c r="N15" s="117">
        <v>100</v>
      </c>
      <c r="O15" s="117">
        <v>0</v>
      </c>
      <c r="P15" s="117">
        <v>741</v>
      </c>
      <c r="Q15" s="21"/>
      <c r="R15" s="21"/>
      <c r="T15" s="2235"/>
      <c r="U15" s="114" t="s">
        <v>64</v>
      </c>
      <c r="V15" s="2262">
        <v>9129</v>
      </c>
      <c r="W15" s="2262"/>
      <c r="X15" s="2262"/>
    </row>
    <row r="16" spans="1:25" ht="24.75" customHeight="1" x14ac:dyDescent="0.25">
      <c r="A16" s="100" t="s">
        <v>39</v>
      </c>
      <c r="B16" s="2260">
        <v>134649</v>
      </c>
      <c r="C16" s="2261"/>
      <c r="D16" s="117"/>
      <c r="E16" s="117"/>
      <c r="F16" s="117"/>
      <c r="G16" s="117"/>
      <c r="H16" s="117"/>
      <c r="I16" s="117"/>
      <c r="J16" s="117"/>
      <c r="K16" s="117"/>
      <c r="L16" s="117"/>
      <c r="M16" s="117"/>
      <c r="N16" s="117"/>
      <c r="O16" s="117"/>
      <c r="P16" s="117"/>
      <c r="Q16" s="21"/>
      <c r="R16" s="21"/>
      <c r="T16" s="2254" t="s">
        <v>55</v>
      </c>
      <c r="U16" s="2254"/>
      <c r="V16" s="2267">
        <f>Y12</f>
        <v>125568.375</v>
      </c>
      <c r="W16" s="2267"/>
      <c r="X16" s="2262"/>
    </row>
    <row r="17" spans="1:25" ht="28.5" customHeight="1" x14ac:dyDescent="0.25">
      <c r="A17" s="101" t="s">
        <v>44</v>
      </c>
      <c r="B17" s="2260"/>
      <c r="C17" s="2261"/>
      <c r="D17" s="117"/>
      <c r="E17" s="117"/>
      <c r="F17" s="117"/>
      <c r="G17" s="117"/>
      <c r="H17" s="117"/>
      <c r="I17" s="117"/>
      <c r="J17" s="117"/>
      <c r="K17" s="117"/>
      <c r="L17" s="117"/>
      <c r="M17" s="117"/>
      <c r="N17" s="117"/>
      <c r="O17" s="117"/>
      <c r="P17" s="117"/>
      <c r="Q17" s="21"/>
      <c r="R17" s="21"/>
      <c r="T17" s="2270" t="s">
        <v>104</v>
      </c>
      <c r="U17" s="2271"/>
      <c r="V17" s="2262"/>
      <c r="W17" s="2262"/>
      <c r="X17" s="2262"/>
    </row>
    <row r="18" spans="1:25" ht="27" customHeight="1" x14ac:dyDescent="0.25">
      <c r="A18" s="100" t="s">
        <v>40</v>
      </c>
      <c r="B18" s="2264">
        <f>C12</f>
        <v>122750</v>
      </c>
      <c r="C18" s="2261"/>
      <c r="D18" s="119">
        <f>E12</f>
        <v>0</v>
      </c>
      <c r="E18" s="119">
        <f>G12</f>
        <v>0</v>
      </c>
      <c r="F18" s="119">
        <f>I12</f>
        <v>0</v>
      </c>
      <c r="G18" s="119">
        <f>K12</f>
        <v>0</v>
      </c>
      <c r="H18" s="117">
        <v>18</v>
      </c>
      <c r="I18" s="119">
        <f>U12</f>
        <v>8</v>
      </c>
      <c r="J18" s="117"/>
      <c r="K18" s="119">
        <f>W12</f>
        <v>0</v>
      </c>
      <c r="L18" s="117"/>
      <c r="M18" s="119">
        <f>M12</f>
        <v>0</v>
      </c>
      <c r="N18" s="119"/>
      <c r="O18" s="118">
        <f>Q12</f>
        <v>0</v>
      </c>
      <c r="P18" s="117"/>
      <c r="Q18" s="21"/>
      <c r="R18" s="21"/>
      <c r="T18" s="2254" t="s">
        <v>57</v>
      </c>
      <c r="U18" s="2254"/>
      <c r="V18" s="2262">
        <f>530+80</f>
        <v>610</v>
      </c>
      <c r="W18" s="2262"/>
      <c r="X18" s="2262"/>
      <c r="Y18" s="2269" t="s">
        <v>146</v>
      </c>
    </row>
    <row r="19" spans="1:25" ht="25.5" customHeight="1" x14ac:dyDescent="0.25">
      <c r="A19" s="100" t="s">
        <v>41</v>
      </c>
      <c r="B19" s="2260">
        <f>B15+B16+B17-B18</f>
        <v>278505</v>
      </c>
      <c r="C19" s="2261"/>
      <c r="D19" s="117">
        <f>D15+D16+D17-D18</f>
        <v>0</v>
      </c>
      <c r="E19" s="117">
        <f t="shared" ref="E19:N19" si="13">E15+E16+E17-E18</f>
        <v>110</v>
      </c>
      <c r="F19" s="117">
        <f t="shared" si="13"/>
        <v>180</v>
      </c>
      <c r="G19" s="117">
        <f t="shared" si="13"/>
        <v>0</v>
      </c>
      <c r="H19" s="117">
        <f t="shared" si="13"/>
        <v>29</v>
      </c>
      <c r="I19" s="117">
        <f t="shared" si="13"/>
        <v>0</v>
      </c>
      <c r="J19" s="117">
        <f t="shared" si="13"/>
        <v>55</v>
      </c>
      <c r="K19" s="117">
        <f t="shared" si="13"/>
        <v>30</v>
      </c>
      <c r="L19" s="117">
        <f t="shared" si="13"/>
        <v>125</v>
      </c>
      <c r="M19" s="117">
        <f t="shared" si="13"/>
        <v>0</v>
      </c>
      <c r="N19" s="117">
        <f t="shared" si="13"/>
        <v>100</v>
      </c>
      <c r="O19" s="117">
        <f>O15+O16+O17-O18</f>
        <v>0</v>
      </c>
      <c r="P19" s="117">
        <f>P15+P16+P17-P18</f>
        <v>741</v>
      </c>
      <c r="Q19" s="21"/>
      <c r="R19" s="21"/>
      <c r="T19" s="2256" t="s">
        <v>48</v>
      </c>
      <c r="U19" s="49" t="s">
        <v>58</v>
      </c>
      <c r="V19" s="2262">
        <v>129600</v>
      </c>
      <c r="W19" s="2262"/>
      <c r="X19" s="2262"/>
      <c r="Y19" s="2269"/>
    </row>
    <row r="20" spans="1:25" ht="23.25" customHeight="1" x14ac:dyDescent="0.25">
      <c r="A20" s="15"/>
      <c r="B20" s="10"/>
      <c r="C20" s="10"/>
      <c r="D20" s="10"/>
      <c r="E20" s="10"/>
      <c r="F20" s="10"/>
      <c r="G20" s="10"/>
      <c r="H20" s="10"/>
      <c r="I20" s="10"/>
      <c r="J20" s="10"/>
      <c r="K20" s="10"/>
      <c r="L20" s="10"/>
      <c r="M20" s="10"/>
      <c r="N20" s="10"/>
      <c r="O20" s="10"/>
      <c r="P20" s="10"/>
      <c r="Q20" s="10"/>
      <c r="R20" s="10"/>
      <c r="T20" s="2257"/>
      <c r="U20" s="49" t="s">
        <v>59</v>
      </c>
      <c r="V20" s="2262"/>
      <c r="W20" s="2262"/>
      <c r="X20" s="2262"/>
      <c r="Y20" s="2269"/>
    </row>
    <row r="21" spans="1:25" ht="35.25" customHeight="1" x14ac:dyDescent="0.25">
      <c r="A21" s="15"/>
      <c r="B21" s="10"/>
      <c r="C21" s="10"/>
      <c r="D21" s="10"/>
      <c r="E21" s="10"/>
      <c r="F21" s="10"/>
      <c r="G21" s="10"/>
      <c r="H21" s="10"/>
      <c r="I21" s="10"/>
      <c r="J21" s="10"/>
      <c r="K21" s="10"/>
      <c r="L21" s="10"/>
      <c r="M21" s="10"/>
      <c r="N21" s="10"/>
      <c r="O21" s="10"/>
      <c r="P21" s="10"/>
      <c r="Q21" s="10"/>
      <c r="R21" s="10"/>
      <c r="T21" s="2251" t="s">
        <v>83</v>
      </c>
      <c r="U21" s="50" t="s">
        <v>60</v>
      </c>
      <c r="V21" s="2262">
        <v>129500</v>
      </c>
      <c r="W21" s="2262"/>
      <c r="X21" s="2262"/>
      <c r="Y21" s="2269"/>
    </row>
    <row r="22" spans="1:25" ht="39.75" customHeight="1" x14ac:dyDescent="0.25">
      <c r="A22" s="10"/>
      <c r="B22" s="2258" t="s">
        <v>49</v>
      </c>
      <c r="C22" s="2265">
        <v>400000</v>
      </c>
      <c r="D22" s="2262">
        <v>129600</v>
      </c>
      <c r="E22" s="2262">
        <v>129600</v>
      </c>
      <c r="F22" s="2262">
        <f>C22-D22+E22</f>
        <v>400000</v>
      </c>
      <c r="G22" s="10"/>
      <c r="H22" s="10"/>
      <c r="I22" s="10"/>
      <c r="J22" s="10"/>
      <c r="K22" s="10"/>
      <c r="L22" s="10"/>
      <c r="M22" s="10" t="s">
        <v>140</v>
      </c>
      <c r="N22" s="10"/>
      <c r="O22" s="10"/>
      <c r="P22" s="10"/>
      <c r="Q22" s="10"/>
      <c r="R22" s="10"/>
      <c r="T22" s="2252"/>
      <c r="U22" s="50" t="s">
        <v>61</v>
      </c>
      <c r="V22" s="2262">
        <v>129600</v>
      </c>
      <c r="W22" s="2262"/>
      <c r="X22" s="2262"/>
      <c r="Y22" s="2269"/>
    </row>
    <row r="23" spans="1:25" ht="47.25" customHeight="1" x14ac:dyDescent="0.25">
      <c r="A23" s="10"/>
      <c r="B23" s="2258"/>
      <c r="C23" s="2266"/>
      <c r="D23" s="2262"/>
      <c r="E23" s="2262"/>
      <c r="F23" s="2262"/>
      <c r="G23" s="10"/>
      <c r="H23" s="10"/>
      <c r="I23" s="10"/>
      <c r="J23" s="10"/>
      <c r="K23" s="10"/>
      <c r="L23" s="10"/>
      <c r="M23" s="10"/>
      <c r="N23" s="10"/>
      <c r="O23" s="10"/>
      <c r="P23" s="10"/>
      <c r="Q23" s="10"/>
      <c r="R23" s="10"/>
      <c r="T23" s="2235" t="s">
        <v>47</v>
      </c>
      <c r="U23" s="51" t="s">
        <v>62</v>
      </c>
      <c r="V23" s="2263">
        <f>V14+V16+V17-V18-V19-V20-V21+V22</f>
        <v>15036.375</v>
      </c>
      <c r="W23" s="2263"/>
      <c r="X23" s="2263"/>
      <c r="Y23" s="2269"/>
    </row>
    <row r="24" spans="1:25" ht="27" customHeight="1" x14ac:dyDescent="0.25">
      <c r="B24" s="2258"/>
      <c r="C24" s="114" t="s">
        <v>46</v>
      </c>
      <c r="D24" s="114" t="s">
        <v>50</v>
      </c>
      <c r="E24" s="114" t="s">
        <v>51</v>
      </c>
      <c r="F24" s="114" t="s">
        <v>52</v>
      </c>
      <c r="T24" s="2235"/>
      <c r="U24" s="51" t="s">
        <v>63</v>
      </c>
      <c r="V24" s="2262">
        <f>V15+V21-V22</f>
        <v>9029</v>
      </c>
      <c r="W24" s="2262"/>
      <c r="X24" s="2262"/>
    </row>
  </sheetData>
  <mergeCells count="48">
    <mergeCell ref="A1:Y1"/>
    <mergeCell ref="A2:Y2"/>
    <mergeCell ref="T3:Y3"/>
    <mergeCell ref="A4:A5"/>
    <mergeCell ref="B4:B5"/>
    <mergeCell ref="C4:D4"/>
    <mergeCell ref="E4:F4"/>
    <mergeCell ref="G4:H4"/>
    <mergeCell ref="I4:J4"/>
    <mergeCell ref="K4:L4"/>
    <mergeCell ref="Y4:Y5"/>
    <mergeCell ref="M4:N4"/>
    <mergeCell ref="O4:P4"/>
    <mergeCell ref="Q4:R4"/>
    <mergeCell ref="S4:T4"/>
    <mergeCell ref="U4:V4"/>
    <mergeCell ref="V18:X18"/>
    <mergeCell ref="B22:B24"/>
    <mergeCell ref="C22:C23"/>
    <mergeCell ref="W4:X4"/>
    <mergeCell ref="B16:C16"/>
    <mergeCell ref="T16:U16"/>
    <mergeCell ref="V16:X16"/>
    <mergeCell ref="B17:C17"/>
    <mergeCell ref="T17:U17"/>
    <mergeCell ref="V17:X17"/>
    <mergeCell ref="A12:B12"/>
    <mergeCell ref="B14:C14"/>
    <mergeCell ref="T14:T15"/>
    <mergeCell ref="V14:X14"/>
    <mergeCell ref="B15:C15"/>
    <mergeCell ref="V15:X15"/>
    <mergeCell ref="D22:D23"/>
    <mergeCell ref="E22:E23"/>
    <mergeCell ref="F22:F23"/>
    <mergeCell ref="Y18:Y23"/>
    <mergeCell ref="B19:C19"/>
    <mergeCell ref="T19:T20"/>
    <mergeCell ref="V19:X19"/>
    <mergeCell ref="V20:X20"/>
    <mergeCell ref="T21:T22"/>
    <mergeCell ref="V21:X21"/>
    <mergeCell ref="V22:X22"/>
    <mergeCell ref="T23:T24"/>
    <mergeCell ref="V23:X23"/>
    <mergeCell ref="V24:X24"/>
    <mergeCell ref="B18:C18"/>
    <mergeCell ref="T18:U18"/>
  </mergeCells>
  <pageMargins left="0.15748031496063" right="0.15748031496063" top="0" bottom="0" header="0" footer="0"/>
  <pageSetup paperSize="9" scale="51" orientation="landscape" r:id="rId1"/>
</worksheet>
</file>

<file path=xl/worksheets/sheet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000-000000000000}">
  <sheetPr>
    <pageSetUpPr fitToPage="1"/>
  </sheetPr>
  <dimension ref="A1:Y24"/>
  <sheetViews>
    <sheetView topLeftCell="A6" zoomScale="67" zoomScaleNormal="67" zoomScaleSheetLayoutView="100" workbookViewId="0">
      <selection activeCell="A2" sqref="A2:Y2"/>
    </sheetView>
  </sheetViews>
  <sheetFormatPr defaultColWidth="9.140625" defaultRowHeight="15" x14ac:dyDescent="0.25"/>
  <cols>
    <col min="1" max="1" width="18.28515625" style="14" customWidth="1"/>
    <col min="2" max="2" width="10.7109375" style="14" customWidth="1"/>
    <col min="3" max="3" width="12.28515625" style="14" customWidth="1"/>
    <col min="4" max="4" width="11" style="14" customWidth="1"/>
    <col min="5" max="5" width="12" style="14" customWidth="1"/>
    <col min="6" max="6" width="12.5703125" style="14" bestFit="1" customWidth="1"/>
    <col min="7" max="7" width="9.28515625" style="14" bestFit="1" customWidth="1"/>
    <col min="8" max="8" width="10.140625" style="14" bestFit="1" customWidth="1"/>
    <col min="9" max="9" width="10.5703125" style="14" bestFit="1" customWidth="1"/>
    <col min="10" max="10" width="10.5703125" style="14" customWidth="1"/>
    <col min="11" max="11" width="10.28515625" style="14" bestFit="1" customWidth="1"/>
    <col min="12" max="12" width="9.42578125" style="14" bestFit="1" customWidth="1"/>
    <col min="13" max="13" width="9.85546875" style="14" bestFit="1" customWidth="1"/>
    <col min="14" max="14" width="10.140625" style="14" bestFit="1" customWidth="1"/>
    <col min="15" max="15" width="9" style="14" customWidth="1"/>
    <col min="16" max="16" width="12.85546875" style="14" bestFit="1" customWidth="1"/>
    <col min="17" max="18" width="9.42578125" style="14" customWidth="1"/>
    <col min="19" max="19" width="7.5703125" style="14" customWidth="1"/>
    <col min="20" max="20" width="12.5703125" style="14" customWidth="1"/>
    <col min="21" max="21" width="17.28515625" style="14" customWidth="1"/>
    <col min="22" max="22" width="9.85546875" style="14" bestFit="1" customWidth="1"/>
    <col min="23" max="23" width="10.140625" style="14" bestFit="1" customWidth="1"/>
    <col min="24" max="24" width="9.85546875" style="14" bestFit="1" customWidth="1"/>
    <col min="25" max="25" width="15.85546875" style="14" customWidth="1"/>
    <col min="26" max="16384" width="9.140625" style="14"/>
  </cols>
  <sheetData>
    <row r="1" spans="1:25" ht="46.15" customHeight="1" x14ac:dyDescent="0.25">
      <c r="A1" s="2240" t="s">
        <v>148</v>
      </c>
      <c r="B1" s="2240"/>
      <c r="C1" s="2240"/>
      <c r="D1" s="2240"/>
      <c r="E1" s="2240"/>
      <c r="F1" s="2240"/>
      <c r="G1" s="2240"/>
      <c r="H1" s="2240"/>
      <c r="I1" s="2240"/>
      <c r="J1" s="2240"/>
      <c r="K1" s="2240"/>
      <c r="L1" s="2240"/>
      <c r="M1" s="2240"/>
      <c r="N1" s="2240"/>
      <c r="O1" s="2240"/>
      <c r="P1" s="2240"/>
      <c r="Q1" s="2240"/>
      <c r="R1" s="2240"/>
      <c r="S1" s="2240"/>
      <c r="T1" s="2240"/>
      <c r="U1" s="2240"/>
      <c r="V1" s="2240"/>
      <c r="W1" s="2240"/>
      <c r="X1" s="2240"/>
      <c r="Y1" s="2240"/>
    </row>
    <row r="2" spans="1:25" ht="21.6" customHeight="1" x14ac:dyDescent="0.25">
      <c r="A2" s="2241" t="s">
        <v>77</v>
      </c>
      <c r="B2" s="2241"/>
      <c r="C2" s="2241"/>
      <c r="D2" s="2241"/>
      <c r="E2" s="2241"/>
      <c r="F2" s="2241"/>
      <c r="G2" s="2241"/>
      <c r="H2" s="2241"/>
      <c r="I2" s="2241"/>
      <c r="J2" s="2241"/>
      <c r="K2" s="2241"/>
      <c r="L2" s="2241"/>
      <c r="M2" s="2241"/>
      <c r="N2" s="2241"/>
      <c r="O2" s="2241"/>
      <c r="P2" s="2241"/>
      <c r="Q2" s="2241"/>
      <c r="R2" s="2241"/>
      <c r="S2" s="2241"/>
      <c r="T2" s="2241"/>
      <c r="U2" s="2241"/>
      <c r="V2" s="2241"/>
      <c r="W2" s="2241"/>
      <c r="X2" s="2241"/>
      <c r="Y2" s="2241"/>
    </row>
    <row r="3" spans="1:25" ht="21" customHeight="1" x14ac:dyDescent="0.25">
      <c r="A3" s="116"/>
      <c r="B3" s="116"/>
      <c r="C3" s="116"/>
      <c r="D3" s="116"/>
      <c r="E3" s="116"/>
      <c r="F3" s="116"/>
      <c r="G3" s="116"/>
      <c r="H3" s="116"/>
      <c r="I3" s="116"/>
      <c r="J3" s="116"/>
      <c r="K3" s="116"/>
      <c r="L3" s="116"/>
      <c r="M3" s="116"/>
      <c r="N3" s="116"/>
      <c r="O3" s="116"/>
      <c r="P3" s="116"/>
      <c r="Q3" s="116"/>
      <c r="R3" s="116"/>
      <c r="S3" s="116"/>
      <c r="T3" s="2242" t="s">
        <v>145</v>
      </c>
      <c r="U3" s="2242"/>
      <c r="V3" s="2242"/>
      <c r="W3" s="2242"/>
      <c r="X3" s="2242"/>
      <c r="Y3" s="2242"/>
    </row>
    <row r="4" spans="1:25" s="116" customFormat="1" ht="18" customHeight="1" x14ac:dyDescent="0.25">
      <c r="A4" s="2243" t="s">
        <v>25</v>
      </c>
      <c r="B4" s="2243" t="s">
        <v>26</v>
      </c>
      <c r="C4" s="2244" t="s">
        <v>27</v>
      </c>
      <c r="D4" s="2244"/>
      <c r="E4" s="2244" t="s">
        <v>28</v>
      </c>
      <c r="F4" s="2244"/>
      <c r="G4" s="2244" t="s">
        <v>65</v>
      </c>
      <c r="H4" s="2244"/>
      <c r="I4" s="2244" t="s">
        <v>29</v>
      </c>
      <c r="J4" s="2244"/>
      <c r="K4" s="2245" t="s">
        <v>13</v>
      </c>
      <c r="L4" s="2246"/>
      <c r="M4" s="2245" t="s">
        <v>67</v>
      </c>
      <c r="N4" s="2246"/>
      <c r="O4" s="2245" t="s">
        <v>68</v>
      </c>
      <c r="P4" s="2246"/>
      <c r="Q4" s="2245" t="s">
        <v>114</v>
      </c>
      <c r="R4" s="2246"/>
      <c r="S4" s="2244" t="s">
        <v>35</v>
      </c>
      <c r="T4" s="2244"/>
      <c r="U4" s="2245" t="s">
        <v>17</v>
      </c>
      <c r="V4" s="2246"/>
      <c r="W4" s="2247" t="s">
        <v>36</v>
      </c>
      <c r="X4" s="2248"/>
      <c r="Y4" s="2238" t="s">
        <v>30</v>
      </c>
    </row>
    <row r="5" spans="1:25" s="116" customFormat="1" ht="25.5" customHeight="1" x14ac:dyDescent="0.25">
      <c r="A5" s="2243"/>
      <c r="B5" s="2243"/>
      <c r="C5" s="115" t="s">
        <v>42</v>
      </c>
      <c r="D5" s="115" t="s">
        <v>43</v>
      </c>
      <c r="E5" s="115" t="s">
        <v>42</v>
      </c>
      <c r="F5" s="115" t="s">
        <v>43</v>
      </c>
      <c r="G5" s="115" t="s">
        <v>42</v>
      </c>
      <c r="H5" s="115" t="s">
        <v>43</v>
      </c>
      <c r="I5" s="115" t="s">
        <v>42</v>
      </c>
      <c r="J5" s="115" t="s">
        <v>43</v>
      </c>
      <c r="K5" s="115" t="s">
        <v>42</v>
      </c>
      <c r="L5" s="115" t="s">
        <v>43</v>
      </c>
      <c r="M5" s="115" t="s">
        <v>42</v>
      </c>
      <c r="N5" s="115" t="s">
        <v>43</v>
      </c>
      <c r="O5" s="115" t="s">
        <v>42</v>
      </c>
      <c r="P5" s="115" t="s">
        <v>43</v>
      </c>
      <c r="Q5" s="115" t="s">
        <v>42</v>
      </c>
      <c r="R5" s="115" t="s">
        <v>43</v>
      </c>
      <c r="S5" s="33" t="s">
        <v>42</v>
      </c>
      <c r="T5" s="33" t="s">
        <v>43</v>
      </c>
      <c r="U5" s="30" t="s">
        <v>42</v>
      </c>
      <c r="V5" s="30" t="s">
        <v>43</v>
      </c>
      <c r="W5" s="30" t="s">
        <v>42</v>
      </c>
      <c r="X5" s="30" t="s">
        <v>43</v>
      </c>
      <c r="Y5" s="2239"/>
    </row>
    <row r="6" spans="1:25" ht="34.5" customHeight="1" x14ac:dyDescent="0.25">
      <c r="A6" s="12">
        <v>1409935200</v>
      </c>
      <c r="B6" s="114" t="s">
        <v>71</v>
      </c>
      <c r="C6" s="112">
        <v>44181</v>
      </c>
      <c r="D6" s="111">
        <f>0.9725*C6</f>
        <v>42966.022499999999</v>
      </c>
      <c r="E6" s="112"/>
      <c r="F6" s="112">
        <f>13.7*E6</f>
        <v>0</v>
      </c>
      <c r="G6" s="112"/>
      <c r="H6" s="112">
        <f>28.2*G6</f>
        <v>0</v>
      </c>
      <c r="I6" s="112"/>
      <c r="J6" s="112">
        <f>18.5*I6</f>
        <v>0</v>
      </c>
      <c r="K6" s="112"/>
      <c r="L6" s="112">
        <f>19.5*K6</f>
        <v>0</v>
      </c>
      <c r="M6" s="112"/>
      <c r="N6" s="111">
        <f>M6*9.75</f>
        <v>0</v>
      </c>
      <c r="O6" s="112"/>
      <c r="P6" s="111">
        <f>O6*48.62</f>
        <v>0</v>
      </c>
      <c r="Q6" s="111"/>
      <c r="R6" s="111">
        <f>241*Q6</f>
        <v>0</v>
      </c>
      <c r="S6" s="112"/>
      <c r="T6" s="112">
        <f>241*S6</f>
        <v>0</v>
      </c>
      <c r="U6" s="112"/>
      <c r="V6" s="112">
        <f>232*U6</f>
        <v>0</v>
      </c>
      <c r="W6" s="112"/>
      <c r="X6" s="19">
        <f>W6*100</f>
        <v>0</v>
      </c>
      <c r="Y6" s="89">
        <f t="shared" ref="Y6:Y11" si="0">D6+F6+H6+J6+L6+N6+P6+R6+T6+V6+X6</f>
        <v>42966.022499999999</v>
      </c>
    </row>
    <row r="7" spans="1:25" ht="31.5" customHeight="1" x14ac:dyDescent="0.25">
      <c r="A7" s="12">
        <v>1984225578</v>
      </c>
      <c r="B7" s="114" t="s">
        <v>72</v>
      </c>
      <c r="C7" s="112">
        <v>31339</v>
      </c>
      <c r="D7" s="111">
        <f t="shared" ref="D7:D11" si="1">0.9725*C7</f>
        <v>30477.177500000002</v>
      </c>
      <c r="E7" s="112"/>
      <c r="F7" s="112">
        <f t="shared" ref="F7:F11" si="2">13.7*E7</f>
        <v>0</v>
      </c>
      <c r="G7" s="112"/>
      <c r="H7" s="112">
        <f t="shared" ref="H7:H11" si="3">28.2*G7</f>
        <v>0</v>
      </c>
      <c r="I7" s="112"/>
      <c r="J7" s="112">
        <f t="shared" ref="J7:J11" si="4">18.5*I7</f>
        <v>0</v>
      </c>
      <c r="K7" s="112"/>
      <c r="L7" s="112">
        <f t="shared" ref="L7:L11" si="5">19.5*K7</f>
        <v>0</v>
      </c>
      <c r="M7" s="112"/>
      <c r="N7" s="111">
        <f t="shared" ref="N7:N11" si="6">M7*9.75</f>
        <v>0</v>
      </c>
      <c r="O7" s="112"/>
      <c r="P7" s="111">
        <f t="shared" ref="P7:P11" si="7">O7*48.62</f>
        <v>0</v>
      </c>
      <c r="Q7" s="111"/>
      <c r="R7" s="111">
        <f t="shared" ref="R7:R11" si="8">241*Q7</f>
        <v>0</v>
      </c>
      <c r="S7" s="112"/>
      <c r="T7" s="112">
        <f t="shared" ref="T7:T11" si="9">241*S7</f>
        <v>0</v>
      </c>
      <c r="U7" s="112"/>
      <c r="V7" s="112">
        <f t="shared" ref="V7:V11" si="10">232*U7</f>
        <v>0</v>
      </c>
      <c r="W7" s="112"/>
      <c r="X7" s="19">
        <f t="shared" ref="X7:X11" si="11">W7*100</f>
        <v>0</v>
      </c>
      <c r="Y7" s="89">
        <f t="shared" si="0"/>
        <v>30477.177500000002</v>
      </c>
    </row>
    <row r="8" spans="1:25" ht="35.25" customHeight="1" x14ac:dyDescent="0.25">
      <c r="A8" s="12">
        <v>1967020280</v>
      </c>
      <c r="B8" s="114" t="s">
        <v>73</v>
      </c>
      <c r="C8" s="112">
        <v>52723</v>
      </c>
      <c r="D8" s="111">
        <f t="shared" si="1"/>
        <v>51273.1175</v>
      </c>
      <c r="E8" s="112"/>
      <c r="F8" s="112">
        <f t="shared" si="2"/>
        <v>0</v>
      </c>
      <c r="G8" s="112"/>
      <c r="H8" s="112">
        <f t="shared" si="3"/>
        <v>0</v>
      </c>
      <c r="I8" s="112"/>
      <c r="J8" s="112">
        <f t="shared" si="4"/>
        <v>0</v>
      </c>
      <c r="K8" s="112"/>
      <c r="L8" s="112">
        <f t="shared" si="5"/>
        <v>0</v>
      </c>
      <c r="M8" s="112"/>
      <c r="N8" s="111">
        <f t="shared" si="6"/>
        <v>0</v>
      </c>
      <c r="O8" s="112"/>
      <c r="P8" s="111">
        <f t="shared" si="7"/>
        <v>0</v>
      </c>
      <c r="Q8" s="111"/>
      <c r="R8" s="111">
        <f t="shared" si="8"/>
        <v>0</v>
      </c>
      <c r="S8" s="112"/>
      <c r="T8" s="112">
        <f t="shared" si="9"/>
        <v>0</v>
      </c>
      <c r="U8" s="112"/>
      <c r="V8" s="112">
        <f t="shared" si="10"/>
        <v>0</v>
      </c>
      <c r="W8" s="112"/>
      <c r="X8" s="19">
        <f t="shared" si="11"/>
        <v>0</v>
      </c>
      <c r="Y8" s="89">
        <f t="shared" si="0"/>
        <v>51273.1175</v>
      </c>
    </row>
    <row r="9" spans="1:25" ht="38.25" customHeight="1" x14ac:dyDescent="0.25">
      <c r="A9" s="12">
        <v>1409935199</v>
      </c>
      <c r="B9" s="114" t="s">
        <v>74</v>
      </c>
      <c r="C9" s="112">
        <v>13767</v>
      </c>
      <c r="D9" s="111">
        <f t="shared" si="1"/>
        <v>13388.407500000001</v>
      </c>
      <c r="E9" s="112"/>
      <c r="F9" s="112">
        <f t="shared" si="2"/>
        <v>0</v>
      </c>
      <c r="G9" s="112"/>
      <c r="H9" s="112">
        <f t="shared" si="3"/>
        <v>0</v>
      </c>
      <c r="I9" s="112"/>
      <c r="J9" s="112">
        <f t="shared" si="4"/>
        <v>0</v>
      </c>
      <c r="K9" s="112"/>
      <c r="L9" s="112">
        <f t="shared" si="5"/>
        <v>0</v>
      </c>
      <c r="M9" s="112"/>
      <c r="N9" s="111">
        <f t="shared" si="6"/>
        <v>0</v>
      </c>
      <c r="O9" s="112"/>
      <c r="P9" s="111">
        <f t="shared" si="7"/>
        <v>0</v>
      </c>
      <c r="Q9" s="111"/>
      <c r="R9" s="111">
        <f t="shared" si="8"/>
        <v>0</v>
      </c>
      <c r="S9" s="112"/>
      <c r="T9" s="112">
        <f t="shared" si="9"/>
        <v>0</v>
      </c>
      <c r="U9" s="112"/>
      <c r="V9" s="112">
        <f t="shared" si="10"/>
        <v>0</v>
      </c>
      <c r="W9" s="112"/>
      <c r="X9" s="19">
        <f t="shared" si="11"/>
        <v>0</v>
      </c>
      <c r="Y9" s="89">
        <f t="shared" si="0"/>
        <v>13388.407500000001</v>
      </c>
    </row>
    <row r="10" spans="1:25" ht="35.25" customHeight="1" x14ac:dyDescent="0.25">
      <c r="A10" s="12">
        <v>1984225580</v>
      </c>
      <c r="B10" s="114" t="s">
        <v>75</v>
      </c>
      <c r="C10" s="112">
        <v>22927</v>
      </c>
      <c r="D10" s="111">
        <f t="shared" si="1"/>
        <v>22296.5075</v>
      </c>
      <c r="E10" s="112"/>
      <c r="F10" s="112">
        <f t="shared" si="2"/>
        <v>0</v>
      </c>
      <c r="G10" s="112"/>
      <c r="H10" s="112">
        <f t="shared" si="3"/>
        <v>0</v>
      </c>
      <c r="I10" s="112">
        <v>20</v>
      </c>
      <c r="J10" s="112">
        <f t="shared" si="4"/>
        <v>370</v>
      </c>
      <c r="K10" s="112"/>
      <c r="L10" s="112">
        <f t="shared" si="5"/>
        <v>0</v>
      </c>
      <c r="M10" s="112"/>
      <c r="N10" s="111">
        <f t="shared" si="6"/>
        <v>0</v>
      </c>
      <c r="O10" s="112"/>
      <c r="P10" s="111">
        <f t="shared" si="7"/>
        <v>0</v>
      </c>
      <c r="Q10" s="111"/>
      <c r="R10" s="111">
        <f t="shared" si="8"/>
        <v>0</v>
      </c>
      <c r="S10" s="112"/>
      <c r="T10" s="112">
        <f t="shared" si="9"/>
        <v>0</v>
      </c>
      <c r="U10" s="112"/>
      <c r="V10" s="112">
        <f t="shared" si="10"/>
        <v>0</v>
      </c>
      <c r="W10" s="112"/>
      <c r="X10" s="19">
        <f t="shared" si="11"/>
        <v>0</v>
      </c>
      <c r="Y10" s="89">
        <f t="shared" si="0"/>
        <v>22666.5075</v>
      </c>
    </row>
    <row r="11" spans="1:25" ht="37.5" customHeight="1" x14ac:dyDescent="0.25">
      <c r="A11" s="12"/>
      <c r="B11" s="113"/>
      <c r="C11" s="112"/>
      <c r="D11" s="22">
        <f t="shared" si="1"/>
        <v>0</v>
      </c>
      <c r="E11" s="112"/>
      <c r="F11" s="112">
        <f t="shared" si="2"/>
        <v>0</v>
      </c>
      <c r="G11" s="112"/>
      <c r="H11" s="112">
        <f t="shared" si="3"/>
        <v>0</v>
      </c>
      <c r="I11" s="112"/>
      <c r="J11" s="112">
        <f t="shared" si="4"/>
        <v>0</v>
      </c>
      <c r="K11" s="112"/>
      <c r="L11" s="112">
        <f t="shared" si="5"/>
        <v>0</v>
      </c>
      <c r="M11" s="112"/>
      <c r="N11" s="111">
        <f t="shared" si="6"/>
        <v>0</v>
      </c>
      <c r="O11" s="112"/>
      <c r="P11" s="111">
        <f t="shared" si="7"/>
        <v>0</v>
      </c>
      <c r="Q11" s="111"/>
      <c r="R11" s="111">
        <f t="shared" si="8"/>
        <v>0</v>
      </c>
      <c r="S11" s="112">
        <v>50</v>
      </c>
      <c r="T11" s="112">
        <f t="shared" si="9"/>
        <v>12050</v>
      </c>
      <c r="U11" s="112"/>
      <c r="V11" s="112">
        <f t="shared" si="10"/>
        <v>0</v>
      </c>
      <c r="W11" s="112"/>
      <c r="X11" s="19">
        <f t="shared" si="11"/>
        <v>0</v>
      </c>
      <c r="Y11" s="20">
        <f t="shared" si="0"/>
        <v>12050</v>
      </c>
    </row>
    <row r="12" spans="1:25" ht="29.25" customHeight="1" x14ac:dyDescent="0.25">
      <c r="A12" s="2235" t="s">
        <v>31</v>
      </c>
      <c r="B12" s="2235"/>
      <c r="C12" s="18">
        <f t="shared" ref="C12:Y12" si="12">SUM(C6:C11)</f>
        <v>164937</v>
      </c>
      <c r="D12" s="18">
        <f t="shared" si="12"/>
        <v>160401.23250000001</v>
      </c>
      <c r="E12" s="18">
        <f t="shared" si="12"/>
        <v>0</v>
      </c>
      <c r="F12" s="18">
        <f t="shared" si="12"/>
        <v>0</v>
      </c>
      <c r="G12" s="18">
        <f t="shared" si="12"/>
        <v>0</v>
      </c>
      <c r="H12" s="18">
        <f t="shared" si="12"/>
        <v>0</v>
      </c>
      <c r="I12" s="18">
        <f t="shared" si="12"/>
        <v>20</v>
      </c>
      <c r="J12" s="18">
        <f t="shared" si="12"/>
        <v>370</v>
      </c>
      <c r="K12" s="18">
        <f t="shared" si="12"/>
        <v>0</v>
      </c>
      <c r="L12" s="18">
        <f t="shared" si="12"/>
        <v>0</v>
      </c>
      <c r="M12" s="18">
        <f t="shared" si="12"/>
        <v>0</v>
      </c>
      <c r="N12" s="23">
        <f t="shared" si="12"/>
        <v>0</v>
      </c>
      <c r="O12" s="18">
        <f t="shared" si="12"/>
        <v>0</v>
      </c>
      <c r="P12" s="23">
        <f t="shared" si="12"/>
        <v>0</v>
      </c>
      <c r="Q12" s="23">
        <f t="shared" si="12"/>
        <v>0</v>
      </c>
      <c r="R12" s="23">
        <f>SUM(R6:R11)</f>
        <v>0</v>
      </c>
      <c r="S12" s="18">
        <f t="shared" si="12"/>
        <v>50</v>
      </c>
      <c r="T12" s="18">
        <f t="shared" si="12"/>
        <v>12050</v>
      </c>
      <c r="U12" s="18">
        <f t="shared" si="12"/>
        <v>0</v>
      </c>
      <c r="V12" s="18">
        <f t="shared" si="12"/>
        <v>0</v>
      </c>
      <c r="W12" s="18">
        <f t="shared" si="12"/>
        <v>0</v>
      </c>
      <c r="X12" s="18">
        <f t="shared" si="12"/>
        <v>0</v>
      </c>
      <c r="Y12" s="18">
        <f t="shared" si="12"/>
        <v>172821.23250000001</v>
      </c>
    </row>
    <row r="14" spans="1:25" ht="32.25" customHeight="1" x14ac:dyDescent="0.25">
      <c r="A14" s="30" t="s">
        <v>32</v>
      </c>
      <c r="B14" s="2236" t="s">
        <v>27</v>
      </c>
      <c r="C14" s="2236"/>
      <c r="D14" s="30" t="s">
        <v>33</v>
      </c>
      <c r="E14" s="30" t="s">
        <v>65</v>
      </c>
      <c r="F14" s="30" t="s">
        <v>34</v>
      </c>
      <c r="G14" s="30" t="s">
        <v>13</v>
      </c>
      <c r="H14" s="31" t="s">
        <v>45</v>
      </c>
      <c r="I14" s="30" t="s">
        <v>17</v>
      </c>
      <c r="J14" s="30" t="s">
        <v>66</v>
      </c>
      <c r="K14" s="30" t="s">
        <v>36</v>
      </c>
      <c r="L14" s="30" t="s">
        <v>37</v>
      </c>
      <c r="M14" s="30" t="s">
        <v>69</v>
      </c>
      <c r="N14" s="30" t="s">
        <v>70</v>
      </c>
      <c r="O14" s="86" t="s">
        <v>114</v>
      </c>
      <c r="P14" s="86" t="s">
        <v>99</v>
      </c>
      <c r="Q14" s="15"/>
      <c r="R14" s="15"/>
      <c r="T14" s="2235" t="s">
        <v>46</v>
      </c>
      <c r="U14" s="114" t="s">
        <v>54</v>
      </c>
      <c r="V14" s="2260">
        <v>15036</v>
      </c>
      <c r="W14" s="2268"/>
      <c r="X14" s="2261"/>
    </row>
    <row r="15" spans="1:25" ht="22.5" customHeight="1" x14ac:dyDescent="0.25">
      <c r="A15" s="100" t="s">
        <v>38</v>
      </c>
      <c r="B15" s="2260">
        <v>278505</v>
      </c>
      <c r="C15" s="2261"/>
      <c r="D15" s="117">
        <v>0</v>
      </c>
      <c r="E15" s="117">
        <v>110</v>
      </c>
      <c r="F15" s="117">
        <v>180</v>
      </c>
      <c r="G15" s="117">
        <v>0</v>
      </c>
      <c r="H15" s="117">
        <v>29</v>
      </c>
      <c r="I15" s="117">
        <v>0</v>
      </c>
      <c r="J15" s="117">
        <v>55</v>
      </c>
      <c r="K15" s="117">
        <v>30</v>
      </c>
      <c r="L15" s="117">
        <v>125</v>
      </c>
      <c r="M15" s="117">
        <v>0</v>
      </c>
      <c r="N15" s="117">
        <v>100</v>
      </c>
      <c r="O15" s="117">
        <v>0</v>
      </c>
      <c r="P15" s="117">
        <v>741</v>
      </c>
      <c r="Q15" s="21"/>
      <c r="R15" s="21"/>
      <c r="T15" s="2235"/>
      <c r="U15" s="114" t="s">
        <v>64</v>
      </c>
      <c r="V15" s="2262">
        <v>9029</v>
      </c>
      <c r="W15" s="2262"/>
      <c r="X15" s="2262"/>
    </row>
    <row r="16" spans="1:25" ht="24.75" customHeight="1" x14ac:dyDescent="0.25">
      <c r="A16" s="100" t="s">
        <v>39</v>
      </c>
      <c r="B16" s="2260">
        <v>161350</v>
      </c>
      <c r="C16" s="2261"/>
      <c r="D16" s="117"/>
      <c r="E16" s="117"/>
      <c r="F16" s="117"/>
      <c r="G16" s="117"/>
      <c r="H16" s="117"/>
      <c r="I16" s="117"/>
      <c r="J16" s="117">
        <v>25</v>
      </c>
      <c r="K16" s="117"/>
      <c r="L16" s="117"/>
      <c r="M16" s="117"/>
      <c r="N16" s="117"/>
      <c r="O16" s="117"/>
      <c r="P16" s="117"/>
      <c r="Q16" s="21"/>
      <c r="R16" s="21"/>
      <c r="T16" s="2254" t="s">
        <v>55</v>
      </c>
      <c r="U16" s="2254"/>
      <c r="V16" s="2267">
        <f>Y12</f>
        <v>172821.23250000001</v>
      </c>
      <c r="W16" s="2267"/>
      <c r="X16" s="2262"/>
    </row>
    <row r="17" spans="1:25" ht="28.5" customHeight="1" x14ac:dyDescent="0.25">
      <c r="A17" s="101" t="s">
        <v>44</v>
      </c>
      <c r="B17" s="2260"/>
      <c r="C17" s="2261"/>
      <c r="D17" s="117"/>
      <c r="E17" s="117"/>
      <c r="F17" s="117"/>
      <c r="G17" s="117"/>
      <c r="H17" s="117"/>
      <c r="I17" s="117"/>
      <c r="J17" s="117"/>
      <c r="K17" s="117"/>
      <c r="L17" s="117"/>
      <c r="M17" s="117"/>
      <c r="N17" s="117"/>
      <c r="O17" s="117"/>
      <c r="P17" s="117"/>
      <c r="Q17" s="21"/>
      <c r="R17" s="21"/>
      <c r="T17" s="2270" t="s">
        <v>104</v>
      </c>
      <c r="U17" s="2271"/>
      <c r="V17" s="2262"/>
      <c r="W17" s="2262"/>
      <c r="X17" s="2262"/>
    </row>
    <row r="18" spans="1:25" ht="27" customHeight="1" x14ac:dyDescent="0.25">
      <c r="A18" s="100" t="s">
        <v>40</v>
      </c>
      <c r="B18" s="2264">
        <f>C12</f>
        <v>164937</v>
      </c>
      <c r="C18" s="2261"/>
      <c r="D18" s="119">
        <f>E12</f>
        <v>0</v>
      </c>
      <c r="E18" s="119">
        <f>G12</f>
        <v>0</v>
      </c>
      <c r="F18" s="119">
        <f>I12</f>
        <v>20</v>
      </c>
      <c r="G18" s="119">
        <f>K12</f>
        <v>0</v>
      </c>
      <c r="H18" s="117">
        <v>25</v>
      </c>
      <c r="I18" s="119">
        <f>U12</f>
        <v>0</v>
      </c>
      <c r="J18" s="117"/>
      <c r="K18" s="119">
        <f>W12</f>
        <v>0</v>
      </c>
      <c r="L18" s="117"/>
      <c r="M18" s="119">
        <f>M12</f>
        <v>0</v>
      </c>
      <c r="N18" s="119"/>
      <c r="O18" s="118">
        <f>Q12</f>
        <v>0</v>
      </c>
      <c r="P18" s="117">
        <v>50</v>
      </c>
      <c r="Q18" s="21"/>
      <c r="R18" s="21"/>
      <c r="T18" s="2254" t="s">
        <v>57</v>
      </c>
      <c r="U18" s="2254"/>
      <c r="V18" s="2262">
        <v>530</v>
      </c>
      <c r="W18" s="2262"/>
      <c r="X18" s="2262"/>
      <c r="Y18" s="2269" t="s">
        <v>103</v>
      </c>
    </row>
    <row r="19" spans="1:25" ht="25.5" customHeight="1" x14ac:dyDescent="0.25">
      <c r="A19" s="100" t="s">
        <v>41</v>
      </c>
      <c r="B19" s="2260">
        <f>B15+B16+B17-B18</f>
        <v>274918</v>
      </c>
      <c r="C19" s="2261"/>
      <c r="D19" s="117">
        <f>D15+D16+D17-D18</f>
        <v>0</v>
      </c>
      <c r="E19" s="117">
        <f t="shared" ref="E19:N19" si="13">E15+E16+E17-E18</f>
        <v>110</v>
      </c>
      <c r="F19" s="117">
        <f t="shared" si="13"/>
        <v>160</v>
      </c>
      <c r="G19" s="117">
        <f t="shared" si="13"/>
        <v>0</v>
      </c>
      <c r="H19" s="117">
        <f t="shared" si="13"/>
        <v>4</v>
      </c>
      <c r="I19" s="117">
        <f t="shared" si="13"/>
        <v>0</v>
      </c>
      <c r="J19" s="117">
        <f t="shared" si="13"/>
        <v>80</v>
      </c>
      <c r="K19" s="117">
        <f t="shared" si="13"/>
        <v>30</v>
      </c>
      <c r="L19" s="117">
        <f t="shared" si="13"/>
        <v>125</v>
      </c>
      <c r="M19" s="117">
        <f t="shared" si="13"/>
        <v>0</v>
      </c>
      <c r="N19" s="117">
        <f t="shared" si="13"/>
        <v>100</v>
      </c>
      <c r="O19" s="117">
        <f>O15+O16+O17-O18</f>
        <v>0</v>
      </c>
      <c r="P19" s="117">
        <f>P15+P16+P17-P18</f>
        <v>691</v>
      </c>
      <c r="Q19" s="21"/>
      <c r="R19" s="21"/>
      <c r="T19" s="2256" t="s">
        <v>48</v>
      </c>
      <c r="U19" s="49" t="s">
        <v>58</v>
      </c>
      <c r="V19" s="2262">
        <v>155300</v>
      </c>
      <c r="W19" s="2262"/>
      <c r="X19" s="2262"/>
      <c r="Y19" s="2269"/>
    </row>
    <row r="20" spans="1:25" ht="23.25" customHeight="1" x14ac:dyDescent="0.25">
      <c r="A20" s="15"/>
      <c r="B20" s="10"/>
      <c r="C20" s="10"/>
      <c r="D20" s="10"/>
      <c r="E20" s="10"/>
      <c r="F20" s="10"/>
      <c r="G20" s="10"/>
      <c r="H20" s="10"/>
      <c r="I20" s="10"/>
      <c r="J20" s="10"/>
      <c r="K20" s="10"/>
      <c r="L20" s="10"/>
      <c r="M20" s="10"/>
      <c r="N20" s="10"/>
      <c r="O20" s="10"/>
      <c r="P20" s="10"/>
      <c r="Q20" s="10"/>
      <c r="R20" s="10"/>
      <c r="T20" s="2257"/>
      <c r="U20" s="49" t="s">
        <v>59</v>
      </c>
      <c r="V20" s="2262"/>
      <c r="W20" s="2262"/>
      <c r="X20" s="2262"/>
      <c r="Y20" s="2269"/>
    </row>
    <row r="21" spans="1:25" ht="35.25" customHeight="1" x14ac:dyDescent="0.25">
      <c r="A21" s="15"/>
      <c r="B21" s="10"/>
      <c r="C21" s="10"/>
      <c r="D21" s="10"/>
      <c r="E21" s="10"/>
      <c r="F21" s="10"/>
      <c r="G21" s="10"/>
      <c r="H21" s="10"/>
      <c r="I21" s="10"/>
      <c r="J21" s="10"/>
      <c r="K21" s="10"/>
      <c r="L21" s="10"/>
      <c r="M21" s="10"/>
      <c r="N21" s="10"/>
      <c r="O21" s="10"/>
      <c r="P21" s="10"/>
      <c r="Q21" s="10"/>
      <c r="R21" s="10"/>
      <c r="T21" s="2251" t="s">
        <v>83</v>
      </c>
      <c r="U21" s="50" t="s">
        <v>60</v>
      </c>
      <c r="V21" s="2262">
        <v>163835</v>
      </c>
      <c r="W21" s="2262"/>
      <c r="X21" s="2262"/>
      <c r="Y21" s="2269"/>
    </row>
    <row r="22" spans="1:25" ht="39.75" customHeight="1" x14ac:dyDescent="0.25">
      <c r="A22" s="10"/>
      <c r="B22" s="2258" t="s">
        <v>49</v>
      </c>
      <c r="C22" s="2265">
        <v>400000</v>
      </c>
      <c r="D22" s="2262">
        <v>155300</v>
      </c>
      <c r="E22" s="2262">
        <v>155300</v>
      </c>
      <c r="F22" s="2262">
        <f>C22-D22+E22</f>
        <v>400000</v>
      </c>
      <c r="G22" s="10"/>
      <c r="H22" s="10"/>
      <c r="I22" s="10"/>
      <c r="J22" s="10"/>
      <c r="K22" s="10"/>
      <c r="L22" s="10"/>
      <c r="M22" s="10" t="s">
        <v>140</v>
      </c>
      <c r="N22" s="10"/>
      <c r="O22" s="10"/>
      <c r="P22" s="10"/>
      <c r="Q22" s="10"/>
      <c r="R22" s="10"/>
      <c r="T22" s="2252"/>
      <c r="U22" s="50" t="s">
        <v>61</v>
      </c>
      <c r="V22" s="2262">
        <v>155300</v>
      </c>
      <c r="W22" s="2262"/>
      <c r="X22" s="2262"/>
      <c r="Y22" s="2269"/>
    </row>
    <row r="23" spans="1:25" ht="47.25" customHeight="1" x14ac:dyDescent="0.25">
      <c r="A23" s="10"/>
      <c r="B23" s="2258"/>
      <c r="C23" s="2266"/>
      <c r="D23" s="2262"/>
      <c r="E23" s="2262"/>
      <c r="F23" s="2262"/>
      <c r="G23" s="10"/>
      <c r="H23" s="10"/>
      <c r="I23" s="10"/>
      <c r="J23" s="10"/>
      <c r="K23" s="10"/>
      <c r="L23" s="10"/>
      <c r="M23" s="10"/>
      <c r="N23" s="10"/>
      <c r="O23" s="10"/>
      <c r="P23" s="10"/>
      <c r="Q23" s="10"/>
      <c r="R23" s="10"/>
      <c r="T23" s="2235" t="s">
        <v>47</v>
      </c>
      <c r="U23" s="51" t="s">
        <v>62</v>
      </c>
      <c r="V23" s="2263">
        <f>V14+V16+V17-V18-V19-V20-V21+V22</f>
        <v>23492.232500000013</v>
      </c>
      <c r="W23" s="2263"/>
      <c r="X23" s="2263"/>
      <c r="Y23" s="2269"/>
    </row>
    <row r="24" spans="1:25" ht="27" customHeight="1" x14ac:dyDescent="0.25">
      <c r="B24" s="2258"/>
      <c r="C24" s="114" t="s">
        <v>46</v>
      </c>
      <c r="D24" s="114" t="s">
        <v>50</v>
      </c>
      <c r="E24" s="114" t="s">
        <v>51</v>
      </c>
      <c r="F24" s="114" t="s">
        <v>52</v>
      </c>
      <c r="T24" s="2235"/>
      <c r="U24" s="51" t="s">
        <v>63</v>
      </c>
      <c r="V24" s="2262">
        <f>V15+V21-V22</f>
        <v>17564</v>
      </c>
      <c r="W24" s="2262"/>
      <c r="X24" s="2262"/>
    </row>
  </sheetData>
  <mergeCells count="48">
    <mergeCell ref="A1:Y1"/>
    <mergeCell ref="A2:Y2"/>
    <mergeCell ref="T3:Y3"/>
    <mergeCell ref="A4:A5"/>
    <mergeCell ref="B4:B5"/>
    <mergeCell ref="C4:D4"/>
    <mergeCell ref="E4:F4"/>
    <mergeCell ref="G4:H4"/>
    <mergeCell ref="I4:J4"/>
    <mergeCell ref="K4:L4"/>
    <mergeCell ref="Y4:Y5"/>
    <mergeCell ref="M4:N4"/>
    <mergeCell ref="O4:P4"/>
    <mergeCell ref="Q4:R4"/>
    <mergeCell ref="S4:T4"/>
    <mergeCell ref="U4:V4"/>
    <mergeCell ref="V18:X18"/>
    <mergeCell ref="B22:B24"/>
    <mergeCell ref="C22:C23"/>
    <mergeCell ref="W4:X4"/>
    <mergeCell ref="B16:C16"/>
    <mergeCell ref="T16:U16"/>
    <mergeCell ref="V16:X16"/>
    <mergeCell ref="B17:C17"/>
    <mergeCell ref="T17:U17"/>
    <mergeCell ref="V17:X17"/>
    <mergeCell ref="A12:B12"/>
    <mergeCell ref="B14:C14"/>
    <mergeCell ref="T14:T15"/>
    <mergeCell ref="V14:X14"/>
    <mergeCell ref="B15:C15"/>
    <mergeCell ref="V15:X15"/>
    <mergeCell ref="D22:D23"/>
    <mergeCell ref="E22:E23"/>
    <mergeCell ref="F22:F23"/>
    <mergeCell ref="Y18:Y23"/>
    <mergeCell ref="B19:C19"/>
    <mergeCell ref="T19:T20"/>
    <mergeCell ref="V19:X19"/>
    <mergeCell ref="V20:X20"/>
    <mergeCell ref="T21:T22"/>
    <mergeCell ref="V21:X21"/>
    <mergeCell ref="V22:X22"/>
    <mergeCell ref="T23:T24"/>
    <mergeCell ref="V23:X23"/>
    <mergeCell ref="V24:X24"/>
    <mergeCell ref="B18:C18"/>
    <mergeCell ref="T18:U18"/>
  </mergeCells>
  <pageMargins left="0.15748031496063" right="0.15748031496063" top="0" bottom="0" header="0" footer="0"/>
  <pageSetup paperSize="9" scale="51" orientation="landscape" r:id="rId1"/>
</worksheet>
</file>

<file path=xl/worksheets/sheet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100-000000000000}">
  <sheetPr>
    <pageSetUpPr fitToPage="1"/>
  </sheetPr>
  <dimension ref="A1:Y24"/>
  <sheetViews>
    <sheetView topLeftCell="A9" zoomScale="67" zoomScaleNormal="67" zoomScaleSheetLayoutView="100" workbookViewId="0">
      <selection activeCell="K16" sqref="K16"/>
    </sheetView>
  </sheetViews>
  <sheetFormatPr defaultColWidth="9.140625" defaultRowHeight="15" x14ac:dyDescent="0.25"/>
  <cols>
    <col min="1" max="1" width="18.28515625" style="14" customWidth="1"/>
    <col min="2" max="2" width="10.7109375" style="14" customWidth="1"/>
    <col min="3" max="3" width="12.28515625" style="14" customWidth="1"/>
    <col min="4" max="4" width="11" style="14" customWidth="1"/>
    <col min="5" max="5" width="12" style="14" customWidth="1"/>
    <col min="6" max="6" width="12.5703125" style="14" bestFit="1" customWidth="1"/>
    <col min="7" max="7" width="9.28515625" style="14" bestFit="1" customWidth="1"/>
    <col min="8" max="8" width="10.140625" style="14" bestFit="1" customWidth="1"/>
    <col min="9" max="9" width="10.5703125" style="14" bestFit="1" customWidth="1"/>
    <col min="10" max="10" width="10.5703125" style="14" customWidth="1"/>
    <col min="11" max="11" width="10.28515625" style="14" bestFit="1" customWidth="1"/>
    <col min="12" max="12" width="9.42578125" style="14" bestFit="1" customWidth="1"/>
    <col min="13" max="13" width="9.85546875" style="14" bestFit="1" customWidth="1"/>
    <col min="14" max="14" width="10.140625" style="14" bestFit="1" customWidth="1"/>
    <col min="15" max="15" width="9" style="14" customWidth="1"/>
    <col min="16" max="16" width="12.85546875" style="14" bestFit="1" customWidth="1"/>
    <col min="17" max="18" width="9.42578125" style="14" customWidth="1"/>
    <col min="19" max="19" width="7.5703125" style="14" customWidth="1"/>
    <col min="20" max="20" width="12.5703125" style="14" customWidth="1"/>
    <col min="21" max="21" width="17.28515625" style="14" customWidth="1"/>
    <col min="22" max="22" width="9.85546875" style="14" bestFit="1" customWidth="1"/>
    <col min="23" max="23" width="10.140625" style="14" bestFit="1" customWidth="1"/>
    <col min="24" max="24" width="9.85546875" style="14" bestFit="1" customWidth="1"/>
    <col min="25" max="25" width="15.85546875" style="14" customWidth="1"/>
    <col min="26" max="16384" width="9.140625" style="14"/>
  </cols>
  <sheetData>
    <row r="1" spans="1:25" ht="46.15" customHeight="1" x14ac:dyDescent="0.25">
      <c r="A1" s="2240" t="s">
        <v>148</v>
      </c>
      <c r="B1" s="2240"/>
      <c r="C1" s="2240"/>
      <c r="D1" s="2240"/>
      <c r="E1" s="2240"/>
      <c r="F1" s="2240"/>
      <c r="G1" s="2240"/>
      <c r="H1" s="2240"/>
      <c r="I1" s="2240"/>
      <c r="J1" s="2240"/>
      <c r="K1" s="2240"/>
      <c r="L1" s="2240"/>
      <c r="M1" s="2240"/>
      <c r="N1" s="2240"/>
      <c r="O1" s="2240"/>
      <c r="P1" s="2240"/>
      <c r="Q1" s="2240"/>
      <c r="R1" s="2240"/>
      <c r="S1" s="2240"/>
      <c r="T1" s="2240"/>
      <c r="U1" s="2240"/>
      <c r="V1" s="2240"/>
      <c r="W1" s="2240"/>
      <c r="X1" s="2240"/>
      <c r="Y1" s="2240"/>
    </row>
    <row r="2" spans="1:25" ht="21.6" customHeight="1" x14ac:dyDescent="0.25">
      <c r="A2" s="2241" t="s">
        <v>77</v>
      </c>
      <c r="B2" s="2241"/>
      <c r="C2" s="2241"/>
      <c r="D2" s="2241"/>
      <c r="E2" s="2241"/>
      <c r="F2" s="2241"/>
      <c r="G2" s="2241"/>
      <c r="H2" s="2241"/>
      <c r="I2" s="2241"/>
      <c r="J2" s="2241"/>
      <c r="K2" s="2241"/>
      <c r="L2" s="2241"/>
      <c r="M2" s="2241"/>
      <c r="N2" s="2241"/>
      <c r="O2" s="2241"/>
      <c r="P2" s="2241"/>
      <c r="Q2" s="2241"/>
      <c r="R2" s="2241"/>
      <c r="S2" s="2241"/>
      <c r="T2" s="2241"/>
      <c r="U2" s="2241"/>
      <c r="V2" s="2241"/>
      <c r="W2" s="2241"/>
      <c r="X2" s="2241"/>
      <c r="Y2" s="2241"/>
    </row>
    <row r="3" spans="1:25" ht="21" customHeight="1" x14ac:dyDescent="0.25">
      <c r="A3" s="116"/>
      <c r="B3" s="116"/>
      <c r="C3" s="116"/>
      <c r="D3" s="116"/>
      <c r="E3" s="116"/>
      <c r="F3" s="116"/>
      <c r="G3" s="116"/>
      <c r="H3" s="116"/>
      <c r="I3" s="116"/>
      <c r="J3" s="116"/>
      <c r="K3" s="116"/>
      <c r="L3" s="116"/>
      <c r="M3" s="116"/>
      <c r="N3" s="116"/>
      <c r="O3" s="116"/>
      <c r="P3" s="116"/>
      <c r="Q3" s="116"/>
      <c r="R3" s="116"/>
      <c r="S3" s="116"/>
      <c r="T3" s="2242" t="s">
        <v>147</v>
      </c>
      <c r="U3" s="2242"/>
      <c r="V3" s="2242"/>
      <c r="W3" s="2242"/>
      <c r="X3" s="2242"/>
      <c r="Y3" s="2242"/>
    </row>
    <row r="4" spans="1:25" s="116" customFormat="1" ht="18" customHeight="1" x14ac:dyDescent="0.25">
      <c r="A4" s="2243" t="s">
        <v>25</v>
      </c>
      <c r="B4" s="2243" t="s">
        <v>26</v>
      </c>
      <c r="C4" s="2244" t="s">
        <v>27</v>
      </c>
      <c r="D4" s="2244"/>
      <c r="E4" s="2244" t="s">
        <v>28</v>
      </c>
      <c r="F4" s="2244"/>
      <c r="G4" s="2244" t="s">
        <v>65</v>
      </c>
      <c r="H4" s="2244"/>
      <c r="I4" s="2244" t="s">
        <v>29</v>
      </c>
      <c r="J4" s="2244"/>
      <c r="K4" s="2245" t="s">
        <v>13</v>
      </c>
      <c r="L4" s="2246"/>
      <c r="M4" s="2245" t="s">
        <v>67</v>
      </c>
      <c r="N4" s="2246"/>
      <c r="O4" s="2245" t="s">
        <v>68</v>
      </c>
      <c r="P4" s="2246"/>
      <c r="Q4" s="2245" t="s">
        <v>114</v>
      </c>
      <c r="R4" s="2246"/>
      <c r="S4" s="2244" t="s">
        <v>35</v>
      </c>
      <c r="T4" s="2244"/>
      <c r="U4" s="2245" t="s">
        <v>17</v>
      </c>
      <c r="V4" s="2246"/>
      <c r="W4" s="2247" t="s">
        <v>36</v>
      </c>
      <c r="X4" s="2248"/>
      <c r="Y4" s="2238" t="s">
        <v>30</v>
      </c>
    </row>
    <row r="5" spans="1:25" s="116" customFormat="1" ht="25.5" customHeight="1" x14ac:dyDescent="0.25">
      <c r="A5" s="2243"/>
      <c r="B5" s="2243"/>
      <c r="C5" s="115" t="s">
        <v>42</v>
      </c>
      <c r="D5" s="115" t="s">
        <v>43</v>
      </c>
      <c r="E5" s="115" t="s">
        <v>42</v>
      </c>
      <c r="F5" s="115" t="s">
        <v>43</v>
      </c>
      <c r="G5" s="115" t="s">
        <v>42</v>
      </c>
      <c r="H5" s="115" t="s">
        <v>43</v>
      </c>
      <c r="I5" s="115" t="s">
        <v>42</v>
      </c>
      <c r="J5" s="115" t="s">
        <v>43</v>
      </c>
      <c r="K5" s="115" t="s">
        <v>42</v>
      </c>
      <c r="L5" s="115" t="s">
        <v>43</v>
      </c>
      <c r="M5" s="115" t="s">
        <v>42</v>
      </c>
      <c r="N5" s="115" t="s">
        <v>43</v>
      </c>
      <c r="O5" s="115" t="s">
        <v>42</v>
      </c>
      <c r="P5" s="115" t="s">
        <v>43</v>
      </c>
      <c r="Q5" s="115" t="s">
        <v>42</v>
      </c>
      <c r="R5" s="115" t="s">
        <v>43</v>
      </c>
      <c r="S5" s="33" t="s">
        <v>42</v>
      </c>
      <c r="T5" s="33" t="s">
        <v>43</v>
      </c>
      <c r="U5" s="30" t="s">
        <v>42</v>
      </c>
      <c r="V5" s="30" t="s">
        <v>43</v>
      </c>
      <c r="W5" s="30" t="s">
        <v>42</v>
      </c>
      <c r="X5" s="30" t="s">
        <v>43</v>
      </c>
      <c r="Y5" s="2239"/>
    </row>
    <row r="6" spans="1:25" ht="34.5" customHeight="1" x14ac:dyDescent="0.25">
      <c r="A6" s="12">
        <v>1409935200</v>
      </c>
      <c r="B6" s="114" t="s">
        <v>71</v>
      </c>
      <c r="C6" s="112">
        <v>109031</v>
      </c>
      <c r="D6" s="111">
        <f>0.9725*C6</f>
        <v>106032.64750000001</v>
      </c>
      <c r="E6" s="112"/>
      <c r="F6" s="112">
        <f>13.7*E6</f>
        <v>0</v>
      </c>
      <c r="G6" s="112">
        <v>110</v>
      </c>
      <c r="H6" s="112">
        <f>28.2*G6</f>
        <v>3102</v>
      </c>
      <c r="I6" s="112"/>
      <c r="J6" s="112">
        <f>18.5*I6</f>
        <v>0</v>
      </c>
      <c r="K6" s="112"/>
      <c r="L6" s="112">
        <f>19.5*K6</f>
        <v>0</v>
      </c>
      <c r="M6" s="112"/>
      <c r="N6" s="111">
        <f>M6*9.75</f>
        <v>0</v>
      </c>
      <c r="O6" s="112"/>
      <c r="P6" s="111">
        <f>O6*48.62</f>
        <v>0</v>
      </c>
      <c r="Q6" s="111"/>
      <c r="R6" s="111">
        <f>241*Q6</f>
        <v>0</v>
      </c>
      <c r="S6" s="112"/>
      <c r="T6" s="112">
        <f>241*S6</f>
        <v>0</v>
      </c>
      <c r="U6" s="112"/>
      <c r="V6" s="112">
        <f>232*U6</f>
        <v>0</v>
      </c>
      <c r="W6" s="112"/>
      <c r="X6" s="19">
        <f>W6*100</f>
        <v>0</v>
      </c>
      <c r="Y6" s="89">
        <f t="shared" ref="Y6:Y11" si="0">D6+F6+H6+J6+L6+N6+P6+R6+T6+V6+X6</f>
        <v>109134.64750000001</v>
      </c>
    </row>
    <row r="7" spans="1:25" ht="31.5" customHeight="1" x14ac:dyDescent="0.25">
      <c r="A7" s="12">
        <v>1984225578</v>
      </c>
      <c r="B7" s="114" t="s">
        <v>72</v>
      </c>
      <c r="C7" s="112">
        <v>121107</v>
      </c>
      <c r="D7" s="111">
        <f t="shared" ref="D7:D11" si="1">0.9725*C7</f>
        <v>117776.55750000001</v>
      </c>
      <c r="E7" s="112"/>
      <c r="F7" s="112">
        <f t="shared" ref="F7:F11" si="2">13.7*E7</f>
        <v>0</v>
      </c>
      <c r="G7" s="112"/>
      <c r="H7" s="112">
        <f t="shared" ref="H7:H11" si="3">28.2*G7</f>
        <v>0</v>
      </c>
      <c r="I7" s="112"/>
      <c r="J7" s="112">
        <f t="shared" ref="J7:J11" si="4">18.5*I7</f>
        <v>0</v>
      </c>
      <c r="K7" s="112"/>
      <c r="L7" s="112">
        <f t="shared" ref="L7:L11" si="5">19.5*K7</f>
        <v>0</v>
      </c>
      <c r="M7" s="112"/>
      <c r="N7" s="111">
        <f t="shared" ref="N7:N11" si="6">M7*9.75</f>
        <v>0</v>
      </c>
      <c r="O7" s="112"/>
      <c r="P7" s="111">
        <f t="shared" ref="P7:P11" si="7">O7*48.62</f>
        <v>0</v>
      </c>
      <c r="Q7" s="111"/>
      <c r="R7" s="111">
        <f t="shared" ref="R7:R11" si="8">241*Q7</f>
        <v>0</v>
      </c>
      <c r="S7" s="112"/>
      <c r="T7" s="112">
        <f t="shared" ref="T7:T11" si="9">241*S7</f>
        <v>0</v>
      </c>
      <c r="U7" s="112"/>
      <c r="V7" s="112">
        <f t="shared" ref="V7:V11" si="10">232*U7</f>
        <v>0</v>
      </c>
      <c r="W7" s="112"/>
      <c r="X7" s="19">
        <f t="shared" ref="X7:X11" si="11">W7*100</f>
        <v>0</v>
      </c>
      <c r="Y7" s="89">
        <f t="shared" si="0"/>
        <v>117776.55750000001</v>
      </c>
    </row>
    <row r="8" spans="1:25" ht="35.25" customHeight="1" x14ac:dyDescent="0.25">
      <c r="A8" s="12">
        <v>1967020280</v>
      </c>
      <c r="B8" s="114" t="s">
        <v>73</v>
      </c>
      <c r="C8" s="112">
        <v>87385</v>
      </c>
      <c r="D8" s="111">
        <f t="shared" si="1"/>
        <v>84981.912500000006</v>
      </c>
      <c r="E8" s="112"/>
      <c r="F8" s="112">
        <f t="shared" si="2"/>
        <v>0</v>
      </c>
      <c r="G8" s="112"/>
      <c r="H8" s="112">
        <f t="shared" si="3"/>
        <v>0</v>
      </c>
      <c r="I8" s="112"/>
      <c r="J8" s="112">
        <f t="shared" si="4"/>
        <v>0</v>
      </c>
      <c r="K8" s="112"/>
      <c r="L8" s="112">
        <f t="shared" si="5"/>
        <v>0</v>
      </c>
      <c r="M8" s="112"/>
      <c r="N8" s="111">
        <f t="shared" si="6"/>
        <v>0</v>
      </c>
      <c r="O8" s="112"/>
      <c r="P8" s="111">
        <f t="shared" si="7"/>
        <v>0</v>
      </c>
      <c r="Q8" s="111"/>
      <c r="R8" s="111">
        <f t="shared" si="8"/>
        <v>0</v>
      </c>
      <c r="S8" s="112"/>
      <c r="T8" s="112">
        <f t="shared" si="9"/>
        <v>0</v>
      </c>
      <c r="U8" s="112"/>
      <c r="V8" s="112">
        <f t="shared" si="10"/>
        <v>0</v>
      </c>
      <c r="W8" s="112"/>
      <c r="X8" s="19">
        <f t="shared" si="11"/>
        <v>0</v>
      </c>
      <c r="Y8" s="89">
        <f t="shared" si="0"/>
        <v>84981.912500000006</v>
      </c>
    </row>
    <row r="9" spans="1:25" ht="38.25" customHeight="1" x14ac:dyDescent="0.25">
      <c r="A9" s="12">
        <v>1409935199</v>
      </c>
      <c r="B9" s="114" t="s">
        <v>74</v>
      </c>
      <c r="C9" s="112">
        <v>111393</v>
      </c>
      <c r="D9" s="111">
        <f t="shared" si="1"/>
        <v>108329.6925</v>
      </c>
      <c r="E9" s="112"/>
      <c r="F9" s="112">
        <f t="shared" si="2"/>
        <v>0</v>
      </c>
      <c r="G9" s="112"/>
      <c r="H9" s="112">
        <f t="shared" si="3"/>
        <v>0</v>
      </c>
      <c r="I9" s="112"/>
      <c r="J9" s="112">
        <f t="shared" si="4"/>
        <v>0</v>
      </c>
      <c r="K9" s="112"/>
      <c r="L9" s="112">
        <f t="shared" si="5"/>
        <v>0</v>
      </c>
      <c r="M9" s="112"/>
      <c r="N9" s="111">
        <f t="shared" si="6"/>
        <v>0</v>
      </c>
      <c r="O9" s="112"/>
      <c r="P9" s="111">
        <f t="shared" si="7"/>
        <v>0</v>
      </c>
      <c r="Q9" s="111"/>
      <c r="R9" s="111">
        <f t="shared" si="8"/>
        <v>0</v>
      </c>
      <c r="S9" s="112"/>
      <c r="T9" s="112">
        <f t="shared" si="9"/>
        <v>0</v>
      </c>
      <c r="U9" s="112"/>
      <c r="V9" s="112">
        <f t="shared" si="10"/>
        <v>0</v>
      </c>
      <c r="W9" s="112"/>
      <c r="X9" s="19">
        <f t="shared" si="11"/>
        <v>0</v>
      </c>
      <c r="Y9" s="89">
        <f t="shared" si="0"/>
        <v>108329.6925</v>
      </c>
    </row>
    <row r="10" spans="1:25" ht="35.25" customHeight="1" x14ac:dyDescent="0.25">
      <c r="A10" s="12">
        <v>1984225580</v>
      </c>
      <c r="B10" s="114" t="s">
        <v>75</v>
      </c>
      <c r="C10" s="112">
        <v>47399</v>
      </c>
      <c r="D10" s="111">
        <f t="shared" si="1"/>
        <v>46095.527500000004</v>
      </c>
      <c r="E10" s="112"/>
      <c r="F10" s="112">
        <f t="shared" si="2"/>
        <v>0</v>
      </c>
      <c r="G10" s="112"/>
      <c r="H10" s="112">
        <f t="shared" si="3"/>
        <v>0</v>
      </c>
      <c r="I10" s="112">
        <v>30</v>
      </c>
      <c r="J10" s="112">
        <f t="shared" si="4"/>
        <v>555</v>
      </c>
      <c r="K10" s="112"/>
      <c r="L10" s="112">
        <f t="shared" si="5"/>
        <v>0</v>
      </c>
      <c r="M10" s="112"/>
      <c r="N10" s="111">
        <f t="shared" si="6"/>
        <v>0</v>
      </c>
      <c r="O10" s="112"/>
      <c r="P10" s="111">
        <f t="shared" si="7"/>
        <v>0</v>
      </c>
      <c r="Q10" s="111"/>
      <c r="R10" s="111">
        <f t="shared" si="8"/>
        <v>0</v>
      </c>
      <c r="S10" s="112"/>
      <c r="T10" s="112">
        <f t="shared" si="9"/>
        <v>0</v>
      </c>
      <c r="U10" s="112"/>
      <c r="V10" s="112">
        <f t="shared" si="10"/>
        <v>0</v>
      </c>
      <c r="W10" s="112"/>
      <c r="X10" s="19">
        <f t="shared" si="11"/>
        <v>0</v>
      </c>
      <c r="Y10" s="89">
        <f t="shared" si="0"/>
        <v>46650.527500000004</v>
      </c>
    </row>
    <row r="11" spans="1:25" ht="37.5" customHeight="1" x14ac:dyDescent="0.25">
      <c r="A11" s="12"/>
      <c r="B11" s="113"/>
      <c r="C11" s="112"/>
      <c r="D11" s="22">
        <f t="shared" si="1"/>
        <v>0</v>
      </c>
      <c r="E11" s="112"/>
      <c r="F11" s="112">
        <f t="shared" si="2"/>
        <v>0</v>
      </c>
      <c r="G11" s="112"/>
      <c r="H11" s="112">
        <f t="shared" si="3"/>
        <v>0</v>
      </c>
      <c r="I11" s="112"/>
      <c r="J11" s="112">
        <f t="shared" si="4"/>
        <v>0</v>
      </c>
      <c r="K11" s="112"/>
      <c r="L11" s="112">
        <f t="shared" si="5"/>
        <v>0</v>
      </c>
      <c r="M11" s="112"/>
      <c r="N11" s="111">
        <f t="shared" si="6"/>
        <v>0</v>
      </c>
      <c r="O11" s="112"/>
      <c r="P11" s="111">
        <f t="shared" si="7"/>
        <v>0</v>
      </c>
      <c r="Q11" s="111"/>
      <c r="R11" s="111">
        <f t="shared" si="8"/>
        <v>0</v>
      </c>
      <c r="S11" s="112"/>
      <c r="T11" s="112">
        <f t="shared" si="9"/>
        <v>0</v>
      </c>
      <c r="U11" s="112"/>
      <c r="V11" s="112">
        <f t="shared" si="10"/>
        <v>0</v>
      </c>
      <c r="W11" s="112"/>
      <c r="X11" s="19">
        <f t="shared" si="11"/>
        <v>0</v>
      </c>
      <c r="Y11" s="20">
        <f t="shared" si="0"/>
        <v>0</v>
      </c>
    </row>
    <row r="12" spans="1:25" ht="29.25" customHeight="1" x14ac:dyDescent="0.25">
      <c r="A12" s="2235" t="s">
        <v>31</v>
      </c>
      <c r="B12" s="2235"/>
      <c r="C12" s="18">
        <f t="shared" ref="C12:Y12" si="12">SUM(C6:C11)</f>
        <v>476315</v>
      </c>
      <c r="D12" s="18">
        <f t="shared" si="12"/>
        <v>463216.33750000008</v>
      </c>
      <c r="E12" s="18">
        <f t="shared" si="12"/>
        <v>0</v>
      </c>
      <c r="F12" s="18">
        <f t="shared" si="12"/>
        <v>0</v>
      </c>
      <c r="G12" s="18">
        <f t="shared" si="12"/>
        <v>110</v>
      </c>
      <c r="H12" s="18">
        <f t="shared" si="12"/>
        <v>3102</v>
      </c>
      <c r="I12" s="18">
        <f t="shared" si="12"/>
        <v>30</v>
      </c>
      <c r="J12" s="18">
        <f t="shared" si="12"/>
        <v>555</v>
      </c>
      <c r="K12" s="18">
        <f t="shared" si="12"/>
        <v>0</v>
      </c>
      <c r="L12" s="18">
        <f t="shared" si="12"/>
        <v>0</v>
      </c>
      <c r="M12" s="18">
        <f t="shared" si="12"/>
        <v>0</v>
      </c>
      <c r="N12" s="23">
        <f t="shared" si="12"/>
        <v>0</v>
      </c>
      <c r="O12" s="18">
        <f t="shared" si="12"/>
        <v>0</v>
      </c>
      <c r="P12" s="23">
        <f t="shared" si="12"/>
        <v>0</v>
      </c>
      <c r="Q12" s="23">
        <f t="shared" si="12"/>
        <v>0</v>
      </c>
      <c r="R12" s="23">
        <f>SUM(R6:R11)</f>
        <v>0</v>
      </c>
      <c r="S12" s="18">
        <f t="shared" si="12"/>
        <v>0</v>
      </c>
      <c r="T12" s="18">
        <f t="shared" si="12"/>
        <v>0</v>
      </c>
      <c r="U12" s="18">
        <f t="shared" si="12"/>
        <v>0</v>
      </c>
      <c r="V12" s="18">
        <f t="shared" si="12"/>
        <v>0</v>
      </c>
      <c r="W12" s="18">
        <f t="shared" si="12"/>
        <v>0</v>
      </c>
      <c r="X12" s="18">
        <f t="shared" si="12"/>
        <v>0</v>
      </c>
      <c r="Y12" s="18">
        <f t="shared" si="12"/>
        <v>466873.33750000008</v>
      </c>
    </row>
    <row r="14" spans="1:25" ht="32.25" customHeight="1" x14ac:dyDescent="0.25">
      <c r="A14" s="30" t="s">
        <v>32</v>
      </c>
      <c r="B14" s="2236" t="s">
        <v>27</v>
      </c>
      <c r="C14" s="2236"/>
      <c r="D14" s="30" t="s">
        <v>33</v>
      </c>
      <c r="E14" s="30" t="s">
        <v>65</v>
      </c>
      <c r="F14" s="30" t="s">
        <v>34</v>
      </c>
      <c r="G14" s="30" t="s">
        <v>13</v>
      </c>
      <c r="H14" s="31" t="s">
        <v>45</v>
      </c>
      <c r="I14" s="30" t="s">
        <v>17</v>
      </c>
      <c r="J14" s="30" t="s">
        <v>66</v>
      </c>
      <c r="K14" s="30" t="s">
        <v>36</v>
      </c>
      <c r="L14" s="30" t="s">
        <v>37</v>
      </c>
      <c r="M14" s="30" t="s">
        <v>69</v>
      </c>
      <c r="N14" s="30" t="s">
        <v>70</v>
      </c>
      <c r="O14" s="86" t="s">
        <v>114</v>
      </c>
      <c r="P14" s="86" t="s">
        <v>99</v>
      </c>
      <c r="Q14" s="15"/>
      <c r="R14" s="15"/>
      <c r="T14" s="2235" t="s">
        <v>46</v>
      </c>
      <c r="U14" s="114" t="s">
        <v>54</v>
      </c>
      <c r="V14" s="2260">
        <v>23492</v>
      </c>
      <c r="W14" s="2268"/>
      <c r="X14" s="2261"/>
    </row>
    <row r="15" spans="1:25" ht="22.5" customHeight="1" x14ac:dyDescent="0.25">
      <c r="A15" s="100" t="s">
        <v>38</v>
      </c>
      <c r="B15" s="2260">
        <v>274918</v>
      </c>
      <c r="C15" s="2261"/>
      <c r="D15" s="117">
        <v>0</v>
      </c>
      <c r="E15" s="117">
        <v>110</v>
      </c>
      <c r="F15" s="117">
        <v>160</v>
      </c>
      <c r="G15" s="117">
        <v>0</v>
      </c>
      <c r="H15" s="117">
        <v>4</v>
      </c>
      <c r="I15" s="117">
        <v>0</v>
      </c>
      <c r="J15" s="117">
        <v>80</v>
      </c>
      <c r="K15" s="117">
        <v>30</v>
      </c>
      <c r="L15" s="117">
        <v>125</v>
      </c>
      <c r="M15" s="117">
        <v>0</v>
      </c>
      <c r="N15" s="117">
        <v>100</v>
      </c>
      <c r="O15" s="117">
        <v>0</v>
      </c>
      <c r="P15" s="117">
        <v>691</v>
      </c>
      <c r="Q15" s="21"/>
      <c r="R15" s="21"/>
      <c r="T15" s="2235"/>
      <c r="U15" s="114" t="s">
        <v>64</v>
      </c>
      <c r="V15" s="2262">
        <v>17564</v>
      </c>
      <c r="W15" s="2262"/>
      <c r="X15" s="2262"/>
    </row>
    <row r="16" spans="1:25" ht="24.75" customHeight="1" x14ac:dyDescent="0.25">
      <c r="A16" s="100" t="s">
        <v>39</v>
      </c>
      <c r="B16" s="2260">
        <v>428986</v>
      </c>
      <c r="C16" s="2261"/>
      <c r="D16" s="117"/>
      <c r="E16" s="117"/>
      <c r="F16" s="117"/>
      <c r="G16" s="117"/>
      <c r="H16" s="117">
        <v>10</v>
      </c>
      <c r="I16" s="117"/>
      <c r="J16" s="117"/>
      <c r="K16" s="117"/>
      <c r="L16" s="117"/>
      <c r="M16" s="117"/>
      <c r="N16" s="117"/>
      <c r="O16" s="117"/>
      <c r="P16" s="117"/>
      <c r="Q16" s="21"/>
      <c r="R16" s="21"/>
      <c r="T16" s="2254" t="s">
        <v>55</v>
      </c>
      <c r="U16" s="2254"/>
      <c r="V16" s="2267">
        <f>Y12</f>
        <v>466873.33750000008</v>
      </c>
      <c r="W16" s="2267"/>
      <c r="X16" s="2262"/>
    </row>
    <row r="17" spans="1:25" ht="28.5" customHeight="1" x14ac:dyDescent="0.25">
      <c r="A17" s="101" t="s">
        <v>44</v>
      </c>
      <c r="B17" s="2260">
        <v>5856</v>
      </c>
      <c r="C17" s="2261"/>
      <c r="D17" s="117"/>
      <c r="E17" s="117"/>
      <c r="F17" s="117"/>
      <c r="G17" s="117"/>
      <c r="H17" s="117"/>
      <c r="I17" s="117"/>
      <c r="J17" s="117"/>
      <c r="K17" s="117"/>
      <c r="L17" s="117"/>
      <c r="M17" s="117"/>
      <c r="N17" s="117"/>
      <c r="O17" s="117"/>
      <c r="P17" s="117"/>
      <c r="Q17" s="21"/>
      <c r="R17" s="21"/>
      <c r="T17" s="2270" t="s">
        <v>104</v>
      </c>
      <c r="U17" s="2271"/>
      <c r="V17" s="2262"/>
      <c r="W17" s="2262"/>
      <c r="X17" s="2262"/>
    </row>
    <row r="18" spans="1:25" ht="27" customHeight="1" x14ac:dyDescent="0.25">
      <c r="A18" s="100" t="s">
        <v>40</v>
      </c>
      <c r="B18" s="2264">
        <f>C12</f>
        <v>476315</v>
      </c>
      <c r="C18" s="2261"/>
      <c r="D18" s="119">
        <f>E12</f>
        <v>0</v>
      </c>
      <c r="E18" s="119">
        <f>G12</f>
        <v>110</v>
      </c>
      <c r="F18" s="119">
        <f>I12</f>
        <v>30</v>
      </c>
      <c r="G18" s="119">
        <f>K12</f>
        <v>0</v>
      </c>
      <c r="H18" s="117"/>
      <c r="I18" s="119">
        <f>U12</f>
        <v>0</v>
      </c>
      <c r="J18" s="117"/>
      <c r="K18" s="119">
        <f>W12</f>
        <v>0</v>
      </c>
      <c r="L18" s="117">
        <v>10</v>
      </c>
      <c r="M18" s="119">
        <f>M12</f>
        <v>0</v>
      </c>
      <c r="N18" s="119"/>
      <c r="O18" s="118">
        <f>Q12</f>
        <v>0</v>
      </c>
      <c r="P18" s="117"/>
      <c r="Q18" s="21"/>
      <c r="R18" s="21"/>
      <c r="T18" s="2254" t="s">
        <v>57</v>
      </c>
      <c r="U18" s="2254"/>
      <c r="V18" s="2262">
        <v>530</v>
      </c>
      <c r="W18" s="2262"/>
      <c r="X18" s="2262"/>
      <c r="Y18" s="2269" t="s">
        <v>103</v>
      </c>
    </row>
    <row r="19" spans="1:25" ht="25.5" customHeight="1" x14ac:dyDescent="0.25">
      <c r="A19" s="100" t="s">
        <v>41</v>
      </c>
      <c r="B19" s="2260">
        <f>B15+B16+B17-B18</f>
        <v>233445</v>
      </c>
      <c r="C19" s="2261"/>
      <c r="D19" s="117">
        <f>D15+D16+D17-D18</f>
        <v>0</v>
      </c>
      <c r="E19" s="117">
        <f t="shared" ref="E19:N19" si="13">E15+E16+E17-E18</f>
        <v>0</v>
      </c>
      <c r="F19" s="117">
        <f t="shared" si="13"/>
        <v>130</v>
      </c>
      <c r="G19" s="117">
        <f t="shared" si="13"/>
        <v>0</v>
      </c>
      <c r="H19" s="117">
        <f t="shared" si="13"/>
        <v>14</v>
      </c>
      <c r="I19" s="117">
        <f t="shared" si="13"/>
        <v>0</v>
      </c>
      <c r="J19" s="117">
        <f t="shared" si="13"/>
        <v>80</v>
      </c>
      <c r="K19" s="117">
        <f t="shared" si="13"/>
        <v>30</v>
      </c>
      <c r="L19" s="117">
        <f t="shared" si="13"/>
        <v>115</v>
      </c>
      <c r="M19" s="117">
        <f t="shared" si="13"/>
        <v>0</v>
      </c>
      <c r="N19" s="117">
        <f t="shared" si="13"/>
        <v>100</v>
      </c>
      <c r="O19" s="117">
        <f>O15+O16+O17-O18</f>
        <v>0</v>
      </c>
      <c r="P19" s="117">
        <f>P15+P16+P17-P18</f>
        <v>691</v>
      </c>
      <c r="Q19" s="21"/>
      <c r="R19" s="21"/>
      <c r="T19" s="2256" t="s">
        <v>48</v>
      </c>
      <c r="U19" s="49" t="s">
        <v>58</v>
      </c>
      <c r="V19" s="2262">
        <v>412900</v>
      </c>
      <c r="W19" s="2262"/>
      <c r="X19" s="2262"/>
      <c r="Y19" s="2269"/>
    </row>
    <row r="20" spans="1:25" ht="23.25" customHeight="1" x14ac:dyDescent="0.25">
      <c r="A20" s="15"/>
      <c r="B20" s="10"/>
      <c r="C20" s="10"/>
      <c r="D20" s="10"/>
      <c r="E20" s="10"/>
      <c r="F20" s="10"/>
      <c r="G20" s="10"/>
      <c r="H20" s="10"/>
      <c r="I20" s="10"/>
      <c r="J20" s="10"/>
      <c r="K20" s="10"/>
      <c r="L20" s="10"/>
      <c r="M20" s="10"/>
      <c r="N20" s="10"/>
      <c r="O20" s="10"/>
      <c r="P20" s="10"/>
      <c r="Q20" s="10"/>
      <c r="R20" s="10"/>
      <c r="T20" s="2257"/>
      <c r="U20" s="49" t="s">
        <v>59</v>
      </c>
      <c r="V20" s="2262"/>
      <c r="W20" s="2262"/>
      <c r="X20" s="2262"/>
      <c r="Y20" s="2269"/>
    </row>
    <row r="21" spans="1:25" ht="35.25" customHeight="1" x14ac:dyDescent="0.25">
      <c r="A21" s="15"/>
      <c r="B21" s="10"/>
      <c r="C21" s="10"/>
      <c r="D21" s="10"/>
      <c r="E21" s="10"/>
      <c r="F21" s="10"/>
      <c r="G21" s="10"/>
      <c r="H21" s="10"/>
      <c r="I21" s="10"/>
      <c r="J21" s="10"/>
      <c r="K21" s="10"/>
      <c r="L21" s="10"/>
      <c r="M21" s="10"/>
      <c r="N21" s="10"/>
      <c r="O21" s="10"/>
      <c r="P21" s="10"/>
      <c r="Q21" s="10"/>
      <c r="R21" s="10"/>
      <c r="T21" s="2251" t="s">
        <v>83</v>
      </c>
      <c r="U21" s="50" t="s">
        <v>60</v>
      </c>
      <c r="V21" s="2262">
        <v>212980</v>
      </c>
      <c r="W21" s="2262"/>
      <c r="X21" s="2262"/>
      <c r="Y21" s="2269"/>
    </row>
    <row r="22" spans="1:25" ht="39.75" customHeight="1" x14ac:dyDescent="0.25">
      <c r="A22" s="10"/>
      <c r="B22" s="2258" t="s">
        <v>49</v>
      </c>
      <c r="C22" s="2265">
        <v>400000</v>
      </c>
      <c r="D22" s="2262">
        <v>412900</v>
      </c>
      <c r="E22" s="2262">
        <v>412900</v>
      </c>
      <c r="F22" s="2262">
        <f>C22-D22+E22</f>
        <v>400000</v>
      </c>
      <c r="G22" s="10"/>
      <c r="H22" s="10"/>
      <c r="I22" s="10"/>
      <c r="J22" s="10"/>
      <c r="K22" s="10"/>
      <c r="L22" s="10"/>
      <c r="M22" s="10" t="s">
        <v>140</v>
      </c>
      <c r="N22" s="10"/>
      <c r="O22" s="10"/>
      <c r="P22" s="10"/>
      <c r="Q22" s="10"/>
      <c r="R22" s="10"/>
      <c r="T22" s="2252"/>
      <c r="U22" s="50" t="s">
        <v>61</v>
      </c>
      <c r="V22" s="2262">
        <v>220000</v>
      </c>
      <c r="W22" s="2262"/>
      <c r="X22" s="2262"/>
      <c r="Y22" s="2269"/>
    </row>
    <row r="23" spans="1:25" ht="47.25" customHeight="1" x14ac:dyDescent="0.25">
      <c r="A23" s="10"/>
      <c r="B23" s="2258"/>
      <c r="C23" s="2266"/>
      <c r="D23" s="2262"/>
      <c r="E23" s="2262"/>
      <c r="F23" s="2262"/>
      <c r="G23" s="10"/>
      <c r="H23" s="10"/>
      <c r="I23" s="10"/>
      <c r="J23" s="10"/>
      <c r="K23" s="10"/>
      <c r="L23" s="10"/>
      <c r="M23" s="10"/>
      <c r="N23" s="10"/>
      <c r="O23" s="10"/>
      <c r="P23" s="10"/>
      <c r="Q23" s="10"/>
      <c r="R23" s="10"/>
      <c r="T23" s="2235" t="s">
        <v>47</v>
      </c>
      <c r="U23" s="51" t="s">
        <v>62</v>
      </c>
      <c r="V23" s="2263">
        <f>V14+V16+V17-V18-V19-V20-V21+V22</f>
        <v>83955.337500000081</v>
      </c>
      <c r="W23" s="2263"/>
      <c r="X23" s="2263"/>
      <c r="Y23" s="2269"/>
    </row>
    <row r="24" spans="1:25" ht="27" customHeight="1" x14ac:dyDescent="0.25">
      <c r="B24" s="2258"/>
      <c r="C24" s="114" t="s">
        <v>46</v>
      </c>
      <c r="D24" s="114" t="s">
        <v>50</v>
      </c>
      <c r="E24" s="114" t="s">
        <v>51</v>
      </c>
      <c r="F24" s="114" t="s">
        <v>52</v>
      </c>
      <c r="T24" s="2235"/>
      <c r="U24" s="51" t="s">
        <v>63</v>
      </c>
      <c r="V24" s="2262">
        <f>V15+V21-V22</f>
        <v>10544</v>
      </c>
      <c r="W24" s="2262"/>
      <c r="X24" s="2262"/>
    </row>
  </sheetData>
  <mergeCells count="48">
    <mergeCell ref="A1:Y1"/>
    <mergeCell ref="A2:Y2"/>
    <mergeCell ref="T3:Y3"/>
    <mergeCell ref="A4:A5"/>
    <mergeCell ref="B4:B5"/>
    <mergeCell ref="C4:D4"/>
    <mergeCell ref="E4:F4"/>
    <mergeCell ref="G4:H4"/>
    <mergeCell ref="I4:J4"/>
    <mergeCell ref="K4:L4"/>
    <mergeCell ref="Y4:Y5"/>
    <mergeCell ref="M4:N4"/>
    <mergeCell ref="O4:P4"/>
    <mergeCell ref="Q4:R4"/>
    <mergeCell ref="S4:T4"/>
    <mergeCell ref="U4:V4"/>
    <mergeCell ref="V18:X18"/>
    <mergeCell ref="B22:B24"/>
    <mergeCell ref="C22:C23"/>
    <mergeCell ref="W4:X4"/>
    <mergeCell ref="B16:C16"/>
    <mergeCell ref="T16:U16"/>
    <mergeCell ref="V16:X16"/>
    <mergeCell ref="B17:C17"/>
    <mergeCell ref="T17:U17"/>
    <mergeCell ref="V17:X17"/>
    <mergeCell ref="A12:B12"/>
    <mergeCell ref="B14:C14"/>
    <mergeCell ref="T14:T15"/>
    <mergeCell ref="V14:X14"/>
    <mergeCell ref="B15:C15"/>
    <mergeCell ref="V15:X15"/>
    <mergeCell ref="D22:D23"/>
    <mergeCell ref="E22:E23"/>
    <mergeCell ref="F22:F23"/>
    <mergeCell ref="Y18:Y23"/>
    <mergeCell ref="B19:C19"/>
    <mergeCell ref="T19:T20"/>
    <mergeCell ref="V19:X19"/>
    <mergeCell ref="V20:X20"/>
    <mergeCell ref="T21:T22"/>
    <mergeCell ref="V21:X21"/>
    <mergeCell ref="V22:X22"/>
    <mergeCell ref="T23:T24"/>
    <mergeCell ref="V23:X23"/>
    <mergeCell ref="V24:X24"/>
    <mergeCell ref="B18:C18"/>
    <mergeCell ref="T18:U18"/>
  </mergeCells>
  <pageMargins left="0.15748031496063" right="0.15748031496063" top="0" bottom="0" header="0" footer="0"/>
  <pageSetup paperSize="9" scale="51" orientation="landscape" r:id="rId1"/>
</worksheet>
</file>

<file path=xl/worksheets/sheet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200-000000000000}">
  <sheetPr>
    <pageSetUpPr fitToPage="1"/>
  </sheetPr>
  <dimension ref="A1:Y24"/>
  <sheetViews>
    <sheetView topLeftCell="A11" zoomScale="67" zoomScaleNormal="67" zoomScaleSheetLayoutView="100" workbookViewId="0">
      <selection activeCell="J24" sqref="J24"/>
    </sheetView>
  </sheetViews>
  <sheetFormatPr defaultColWidth="9.140625" defaultRowHeight="15" x14ac:dyDescent="0.25"/>
  <cols>
    <col min="1" max="1" width="18.28515625" style="14" customWidth="1"/>
    <col min="2" max="2" width="10.7109375" style="14" customWidth="1"/>
    <col min="3" max="3" width="12.28515625" style="14" customWidth="1"/>
    <col min="4" max="4" width="11" style="14" customWidth="1"/>
    <col min="5" max="5" width="12" style="14" customWidth="1"/>
    <col min="6" max="6" width="12.5703125" style="14" bestFit="1" customWidth="1"/>
    <col min="7" max="7" width="9.28515625" style="14" bestFit="1" customWidth="1"/>
    <col min="8" max="8" width="10.140625" style="14" bestFit="1" customWidth="1"/>
    <col min="9" max="9" width="10.5703125" style="14" bestFit="1" customWidth="1"/>
    <col min="10" max="10" width="10.5703125" style="14" customWidth="1"/>
    <col min="11" max="11" width="10.28515625" style="14" bestFit="1" customWidth="1"/>
    <col min="12" max="12" width="9.42578125" style="14" bestFit="1" customWidth="1"/>
    <col min="13" max="13" width="9.85546875" style="14" bestFit="1" customWidth="1"/>
    <col min="14" max="14" width="10.140625" style="14" bestFit="1" customWidth="1"/>
    <col min="15" max="15" width="9" style="14" customWidth="1"/>
    <col min="16" max="16" width="12.85546875" style="14" bestFit="1" customWidth="1"/>
    <col min="17" max="18" width="9.42578125" style="14" customWidth="1"/>
    <col min="19" max="19" width="7.5703125" style="14" customWidth="1"/>
    <col min="20" max="20" width="12.140625" style="14" customWidth="1"/>
    <col min="21" max="21" width="15.5703125" style="14" customWidth="1"/>
    <col min="22" max="22" width="9.85546875" style="14" bestFit="1" customWidth="1"/>
    <col min="23" max="23" width="10.140625" style="14" bestFit="1" customWidth="1"/>
    <col min="24" max="24" width="9.85546875" style="14" bestFit="1" customWidth="1"/>
    <col min="25" max="25" width="17.5703125" style="14" customWidth="1"/>
    <col min="26" max="16384" width="9.140625" style="14"/>
  </cols>
  <sheetData>
    <row r="1" spans="1:25" ht="46.15" customHeight="1" x14ac:dyDescent="0.25">
      <c r="A1" s="2240" t="s">
        <v>148</v>
      </c>
      <c r="B1" s="2240"/>
      <c r="C1" s="2240"/>
      <c r="D1" s="2240"/>
      <c r="E1" s="2240"/>
      <c r="F1" s="2240"/>
      <c r="G1" s="2240"/>
      <c r="H1" s="2240"/>
      <c r="I1" s="2240"/>
      <c r="J1" s="2240"/>
      <c r="K1" s="2240"/>
      <c r="L1" s="2240"/>
      <c r="M1" s="2240"/>
      <c r="N1" s="2240"/>
      <c r="O1" s="2240"/>
      <c r="P1" s="2240"/>
      <c r="Q1" s="2240"/>
      <c r="R1" s="2240"/>
      <c r="S1" s="2240"/>
      <c r="T1" s="2240"/>
      <c r="U1" s="2240"/>
      <c r="V1" s="2240"/>
      <c r="W1" s="2240"/>
      <c r="X1" s="2240"/>
      <c r="Y1" s="2240"/>
    </row>
    <row r="2" spans="1:25" ht="21.6" customHeight="1" x14ac:dyDescent="0.25">
      <c r="A2" s="2241" t="s">
        <v>77</v>
      </c>
      <c r="B2" s="2241"/>
      <c r="C2" s="2241"/>
      <c r="D2" s="2241"/>
      <c r="E2" s="2241"/>
      <c r="F2" s="2241"/>
      <c r="G2" s="2241"/>
      <c r="H2" s="2241"/>
      <c r="I2" s="2241"/>
      <c r="J2" s="2241"/>
      <c r="K2" s="2241"/>
      <c r="L2" s="2241"/>
      <c r="M2" s="2241"/>
      <c r="N2" s="2241"/>
      <c r="O2" s="2241"/>
      <c r="P2" s="2241"/>
      <c r="Q2" s="2241"/>
      <c r="R2" s="2241"/>
      <c r="S2" s="2241"/>
      <c r="T2" s="2241"/>
      <c r="U2" s="2241"/>
      <c r="V2" s="2241"/>
      <c r="W2" s="2241"/>
      <c r="X2" s="2241"/>
      <c r="Y2" s="2241"/>
    </row>
    <row r="3" spans="1:25" ht="21" customHeight="1" x14ac:dyDescent="0.25">
      <c r="A3" s="116"/>
      <c r="B3" s="116"/>
      <c r="C3" s="116"/>
      <c r="D3" s="116"/>
      <c r="E3" s="116"/>
      <c r="F3" s="116"/>
      <c r="G3" s="116"/>
      <c r="H3" s="116"/>
      <c r="I3" s="116"/>
      <c r="J3" s="116"/>
      <c r="K3" s="116"/>
      <c r="L3" s="116"/>
      <c r="M3" s="116"/>
      <c r="N3" s="116"/>
      <c r="O3" s="116"/>
      <c r="P3" s="116"/>
      <c r="Q3" s="116"/>
      <c r="R3" s="116"/>
      <c r="S3" s="116"/>
      <c r="T3" s="2242" t="s">
        <v>149</v>
      </c>
      <c r="U3" s="2242"/>
      <c r="V3" s="2242"/>
      <c r="W3" s="2242"/>
      <c r="X3" s="2242"/>
      <c r="Y3" s="2242"/>
    </row>
    <row r="4" spans="1:25" s="116" customFormat="1" ht="18" customHeight="1" x14ac:dyDescent="0.25">
      <c r="A4" s="2243" t="s">
        <v>25</v>
      </c>
      <c r="B4" s="2243" t="s">
        <v>26</v>
      </c>
      <c r="C4" s="2244" t="s">
        <v>27</v>
      </c>
      <c r="D4" s="2244"/>
      <c r="E4" s="2244" t="s">
        <v>28</v>
      </c>
      <c r="F4" s="2244"/>
      <c r="G4" s="2244" t="s">
        <v>65</v>
      </c>
      <c r="H4" s="2244"/>
      <c r="I4" s="2244" t="s">
        <v>29</v>
      </c>
      <c r="J4" s="2244"/>
      <c r="K4" s="2245" t="s">
        <v>13</v>
      </c>
      <c r="L4" s="2246"/>
      <c r="M4" s="2245" t="s">
        <v>67</v>
      </c>
      <c r="N4" s="2246"/>
      <c r="O4" s="2245" t="s">
        <v>68</v>
      </c>
      <c r="P4" s="2246"/>
      <c r="Q4" s="2245" t="s">
        <v>114</v>
      </c>
      <c r="R4" s="2246"/>
      <c r="S4" s="2244" t="s">
        <v>35</v>
      </c>
      <c r="T4" s="2244"/>
      <c r="U4" s="2245" t="s">
        <v>17</v>
      </c>
      <c r="V4" s="2246"/>
      <c r="W4" s="2247" t="s">
        <v>36</v>
      </c>
      <c r="X4" s="2248"/>
      <c r="Y4" s="2238" t="s">
        <v>30</v>
      </c>
    </row>
    <row r="5" spans="1:25" s="116" customFormat="1" ht="25.5" customHeight="1" x14ac:dyDescent="0.25">
      <c r="A5" s="2243"/>
      <c r="B5" s="2243"/>
      <c r="C5" s="115" t="s">
        <v>42</v>
      </c>
      <c r="D5" s="115" t="s">
        <v>43</v>
      </c>
      <c r="E5" s="115" t="s">
        <v>42</v>
      </c>
      <c r="F5" s="115" t="s">
        <v>43</v>
      </c>
      <c r="G5" s="115" t="s">
        <v>42</v>
      </c>
      <c r="H5" s="115" t="s">
        <v>43</v>
      </c>
      <c r="I5" s="115" t="s">
        <v>42</v>
      </c>
      <c r="J5" s="115" t="s">
        <v>43</v>
      </c>
      <c r="K5" s="115" t="s">
        <v>42</v>
      </c>
      <c r="L5" s="115" t="s">
        <v>43</v>
      </c>
      <c r="M5" s="115" t="s">
        <v>42</v>
      </c>
      <c r="N5" s="115" t="s">
        <v>43</v>
      </c>
      <c r="O5" s="115" t="s">
        <v>42</v>
      </c>
      <c r="P5" s="115" t="s">
        <v>43</v>
      </c>
      <c r="Q5" s="115" t="s">
        <v>42</v>
      </c>
      <c r="R5" s="115" t="s">
        <v>43</v>
      </c>
      <c r="S5" s="33" t="s">
        <v>42</v>
      </c>
      <c r="T5" s="33" t="s">
        <v>43</v>
      </c>
      <c r="U5" s="30" t="s">
        <v>42</v>
      </c>
      <c r="V5" s="30" t="s">
        <v>43</v>
      </c>
      <c r="W5" s="30" t="s">
        <v>42</v>
      </c>
      <c r="X5" s="30" t="s">
        <v>43</v>
      </c>
      <c r="Y5" s="2239"/>
    </row>
    <row r="6" spans="1:25" ht="34.5" customHeight="1" x14ac:dyDescent="0.25">
      <c r="A6" s="12">
        <v>1409935200</v>
      </c>
      <c r="B6" s="114" t="s">
        <v>71</v>
      </c>
      <c r="C6" s="112"/>
      <c r="D6" s="111">
        <f>0.9725*C6</f>
        <v>0</v>
      </c>
      <c r="E6" s="112"/>
      <c r="F6" s="112">
        <f>13.7*E6</f>
        <v>0</v>
      </c>
      <c r="G6" s="112"/>
      <c r="H6" s="112">
        <f>28.2*G6</f>
        <v>0</v>
      </c>
      <c r="I6" s="112"/>
      <c r="J6" s="112">
        <f>18.5*I6</f>
        <v>0</v>
      </c>
      <c r="K6" s="112"/>
      <c r="L6" s="112">
        <f>19.5*K6</f>
        <v>0</v>
      </c>
      <c r="M6" s="112"/>
      <c r="N6" s="111">
        <f>M6*9.75</f>
        <v>0</v>
      </c>
      <c r="O6" s="112"/>
      <c r="P6" s="111">
        <f>O6*48.62</f>
        <v>0</v>
      </c>
      <c r="Q6" s="111"/>
      <c r="R6" s="111">
        <f>241*Q6</f>
        <v>0</v>
      </c>
      <c r="S6" s="112"/>
      <c r="T6" s="112">
        <f>241*S6</f>
        <v>0</v>
      </c>
      <c r="U6" s="112"/>
      <c r="V6" s="112">
        <f>232*U6</f>
        <v>0</v>
      </c>
      <c r="W6" s="112"/>
      <c r="X6" s="19">
        <f>W6*100</f>
        <v>0</v>
      </c>
      <c r="Y6" s="89">
        <f t="shared" ref="Y6:Y11" si="0">D6+F6+H6+J6+L6+N6+P6+R6+T6+V6+X6</f>
        <v>0</v>
      </c>
    </row>
    <row r="7" spans="1:25" ht="31.5" customHeight="1" x14ac:dyDescent="0.25">
      <c r="A7" s="12">
        <v>1984225578</v>
      </c>
      <c r="B7" s="114" t="s">
        <v>72</v>
      </c>
      <c r="C7" s="112"/>
      <c r="D7" s="111">
        <f t="shared" ref="D7:D11" si="1">0.9725*C7</f>
        <v>0</v>
      </c>
      <c r="E7" s="112"/>
      <c r="F7" s="112">
        <f t="shared" ref="F7:F11" si="2">13.7*E7</f>
        <v>0</v>
      </c>
      <c r="G7" s="112"/>
      <c r="H7" s="112">
        <f t="shared" ref="H7:H11" si="3">28.2*G7</f>
        <v>0</v>
      </c>
      <c r="I7" s="112"/>
      <c r="J7" s="112">
        <f t="shared" ref="J7:J11" si="4">18.5*I7</f>
        <v>0</v>
      </c>
      <c r="K7" s="112"/>
      <c r="L7" s="112">
        <f t="shared" ref="L7:L11" si="5">19.5*K7</f>
        <v>0</v>
      </c>
      <c r="M7" s="112"/>
      <c r="N7" s="111">
        <f t="shared" ref="N7:N11" si="6">M7*9.75</f>
        <v>0</v>
      </c>
      <c r="O7" s="112"/>
      <c r="P7" s="111">
        <f t="shared" ref="P7:P11" si="7">O7*48.62</f>
        <v>0</v>
      </c>
      <c r="Q7" s="111"/>
      <c r="R7" s="111">
        <f t="shared" ref="R7:R11" si="8">241*Q7</f>
        <v>0</v>
      </c>
      <c r="S7" s="112"/>
      <c r="T7" s="112">
        <f t="shared" ref="T7:T11" si="9">241*S7</f>
        <v>0</v>
      </c>
      <c r="U7" s="112"/>
      <c r="V7" s="112">
        <f t="shared" ref="V7:V11" si="10">232*U7</f>
        <v>0</v>
      </c>
      <c r="W7" s="112"/>
      <c r="X7" s="19">
        <f t="shared" ref="X7:X11" si="11">W7*100</f>
        <v>0</v>
      </c>
      <c r="Y7" s="89">
        <f t="shared" si="0"/>
        <v>0</v>
      </c>
    </row>
    <row r="8" spans="1:25" ht="35.25" customHeight="1" x14ac:dyDescent="0.25">
      <c r="A8" s="12">
        <v>1967020280</v>
      </c>
      <c r="B8" s="114" t="s">
        <v>73</v>
      </c>
      <c r="C8" s="112"/>
      <c r="D8" s="111">
        <f t="shared" si="1"/>
        <v>0</v>
      </c>
      <c r="E8" s="112"/>
      <c r="F8" s="112">
        <f t="shared" si="2"/>
        <v>0</v>
      </c>
      <c r="G8" s="112"/>
      <c r="H8" s="112">
        <f t="shared" si="3"/>
        <v>0</v>
      </c>
      <c r="I8" s="112"/>
      <c r="J8" s="112">
        <f t="shared" si="4"/>
        <v>0</v>
      </c>
      <c r="K8" s="112"/>
      <c r="L8" s="112">
        <f t="shared" si="5"/>
        <v>0</v>
      </c>
      <c r="M8" s="112"/>
      <c r="N8" s="111">
        <f t="shared" si="6"/>
        <v>0</v>
      </c>
      <c r="O8" s="112"/>
      <c r="P8" s="111">
        <f t="shared" si="7"/>
        <v>0</v>
      </c>
      <c r="Q8" s="111"/>
      <c r="R8" s="111">
        <f t="shared" si="8"/>
        <v>0</v>
      </c>
      <c r="S8" s="112"/>
      <c r="T8" s="112">
        <f t="shared" si="9"/>
        <v>0</v>
      </c>
      <c r="U8" s="112"/>
      <c r="V8" s="112">
        <f t="shared" si="10"/>
        <v>0</v>
      </c>
      <c r="W8" s="112"/>
      <c r="X8" s="19">
        <f t="shared" si="11"/>
        <v>0</v>
      </c>
      <c r="Y8" s="89">
        <f t="shared" si="0"/>
        <v>0</v>
      </c>
    </row>
    <row r="9" spans="1:25" ht="38.25" customHeight="1" x14ac:dyDescent="0.25">
      <c r="A9" s="12">
        <v>1409935199</v>
      </c>
      <c r="B9" s="114" t="s">
        <v>74</v>
      </c>
      <c r="C9" s="112"/>
      <c r="D9" s="111">
        <f t="shared" si="1"/>
        <v>0</v>
      </c>
      <c r="E9" s="112"/>
      <c r="F9" s="112">
        <f t="shared" si="2"/>
        <v>0</v>
      </c>
      <c r="G9" s="112"/>
      <c r="H9" s="112">
        <f t="shared" si="3"/>
        <v>0</v>
      </c>
      <c r="I9" s="112"/>
      <c r="J9" s="112">
        <f t="shared" si="4"/>
        <v>0</v>
      </c>
      <c r="K9" s="112"/>
      <c r="L9" s="112">
        <f t="shared" si="5"/>
        <v>0</v>
      </c>
      <c r="M9" s="112"/>
      <c r="N9" s="111">
        <f t="shared" si="6"/>
        <v>0</v>
      </c>
      <c r="O9" s="112"/>
      <c r="P9" s="111">
        <f t="shared" si="7"/>
        <v>0</v>
      </c>
      <c r="Q9" s="111"/>
      <c r="R9" s="111">
        <f t="shared" si="8"/>
        <v>0</v>
      </c>
      <c r="S9" s="112"/>
      <c r="T9" s="112">
        <f t="shared" si="9"/>
        <v>0</v>
      </c>
      <c r="U9" s="112"/>
      <c r="V9" s="112">
        <f t="shared" si="10"/>
        <v>0</v>
      </c>
      <c r="W9" s="112"/>
      <c r="X9" s="19">
        <f t="shared" si="11"/>
        <v>0</v>
      </c>
      <c r="Y9" s="89">
        <f t="shared" si="0"/>
        <v>0</v>
      </c>
    </row>
    <row r="10" spans="1:25" ht="35.25" customHeight="1" x14ac:dyDescent="0.25">
      <c r="A10" s="12">
        <v>1984225580</v>
      </c>
      <c r="B10" s="114" t="s">
        <v>75</v>
      </c>
      <c r="C10" s="112">
        <v>36707</v>
      </c>
      <c r="D10" s="111">
        <f t="shared" si="1"/>
        <v>35697.557500000003</v>
      </c>
      <c r="E10" s="112"/>
      <c r="F10" s="112">
        <f t="shared" si="2"/>
        <v>0</v>
      </c>
      <c r="G10" s="112"/>
      <c r="H10" s="112">
        <f t="shared" si="3"/>
        <v>0</v>
      </c>
      <c r="I10" s="112"/>
      <c r="J10" s="112">
        <f t="shared" si="4"/>
        <v>0</v>
      </c>
      <c r="K10" s="112"/>
      <c r="L10" s="112">
        <f t="shared" si="5"/>
        <v>0</v>
      </c>
      <c r="M10" s="112"/>
      <c r="N10" s="111">
        <f t="shared" si="6"/>
        <v>0</v>
      </c>
      <c r="O10" s="112"/>
      <c r="P10" s="111">
        <f t="shared" si="7"/>
        <v>0</v>
      </c>
      <c r="Q10" s="111"/>
      <c r="R10" s="111">
        <f t="shared" si="8"/>
        <v>0</v>
      </c>
      <c r="S10" s="112"/>
      <c r="T10" s="112">
        <f t="shared" si="9"/>
        <v>0</v>
      </c>
      <c r="U10" s="112"/>
      <c r="V10" s="112">
        <f t="shared" si="10"/>
        <v>0</v>
      </c>
      <c r="W10" s="112"/>
      <c r="X10" s="19">
        <f t="shared" si="11"/>
        <v>0</v>
      </c>
      <c r="Y10" s="89">
        <f t="shared" si="0"/>
        <v>35697.557500000003</v>
      </c>
    </row>
    <row r="11" spans="1:25" ht="37.5" customHeight="1" x14ac:dyDescent="0.25">
      <c r="A11" s="12"/>
      <c r="B11" s="113"/>
      <c r="C11" s="112"/>
      <c r="D11" s="22">
        <f t="shared" si="1"/>
        <v>0</v>
      </c>
      <c r="E11" s="112"/>
      <c r="F11" s="112">
        <f t="shared" si="2"/>
        <v>0</v>
      </c>
      <c r="G11" s="112"/>
      <c r="H11" s="112">
        <f t="shared" si="3"/>
        <v>0</v>
      </c>
      <c r="I11" s="112"/>
      <c r="J11" s="112">
        <f t="shared" si="4"/>
        <v>0</v>
      </c>
      <c r="K11" s="112"/>
      <c r="L11" s="112">
        <f t="shared" si="5"/>
        <v>0</v>
      </c>
      <c r="M11" s="112"/>
      <c r="N11" s="111">
        <f t="shared" si="6"/>
        <v>0</v>
      </c>
      <c r="O11" s="112"/>
      <c r="P11" s="111">
        <f t="shared" si="7"/>
        <v>0</v>
      </c>
      <c r="Q11" s="111"/>
      <c r="R11" s="111">
        <f t="shared" si="8"/>
        <v>0</v>
      </c>
      <c r="S11" s="112">
        <v>27</v>
      </c>
      <c r="T11" s="112">
        <f t="shared" si="9"/>
        <v>6507</v>
      </c>
      <c r="U11" s="112"/>
      <c r="V11" s="112">
        <f t="shared" si="10"/>
        <v>0</v>
      </c>
      <c r="W11" s="112"/>
      <c r="X11" s="19">
        <f t="shared" si="11"/>
        <v>0</v>
      </c>
      <c r="Y11" s="20">
        <f t="shared" si="0"/>
        <v>6507</v>
      </c>
    </row>
    <row r="12" spans="1:25" ht="29.25" customHeight="1" x14ac:dyDescent="0.25">
      <c r="A12" s="2235" t="s">
        <v>31</v>
      </c>
      <c r="B12" s="2235"/>
      <c r="C12" s="18">
        <f t="shared" ref="C12:Y12" si="12">SUM(C6:C11)</f>
        <v>36707</v>
      </c>
      <c r="D12" s="18">
        <f t="shared" si="12"/>
        <v>35697.557500000003</v>
      </c>
      <c r="E12" s="18">
        <f t="shared" si="12"/>
        <v>0</v>
      </c>
      <c r="F12" s="18">
        <f t="shared" si="12"/>
        <v>0</v>
      </c>
      <c r="G12" s="18">
        <f t="shared" si="12"/>
        <v>0</v>
      </c>
      <c r="H12" s="18">
        <f t="shared" si="12"/>
        <v>0</v>
      </c>
      <c r="I12" s="18">
        <f t="shared" si="12"/>
        <v>0</v>
      </c>
      <c r="J12" s="18">
        <f t="shared" si="12"/>
        <v>0</v>
      </c>
      <c r="K12" s="18">
        <f t="shared" si="12"/>
        <v>0</v>
      </c>
      <c r="L12" s="18">
        <f t="shared" si="12"/>
        <v>0</v>
      </c>
      <c r="M12" s="18">
        <f t="shared" si="12"/>
        <v>0</v>
      </c>
      <c r="N12" s="23">
        <f t="shared" si="12"/>
        <v>0</v>
      </c>
      <c r="O12" s="18">
        <f t="shared" si="12"/>
        <v>0</v>
      </c>
      <c r="P12" s="23">
        <f t="shared" si="12"/>
        <v>0</v>
      </c>
      <c r="Q12" s="23">
        <f t="shared" si="12"/>
        <v>0</v>
      </c>
      <c r="R12" s="23">
        <f>SUM(R6:R11)</f>
        <v>0</v>
      </c>
      <c r="S12" s="18">
        <f t="shared" si="12"/>
        <v>27</v>
      </c>
      <c r="T12" s="18">
        <f t="shared" si="12"/>
        <v>6507</v>
      </c>
      <c r="U12" s="18">
        <f t="shared" si="12"/>
        <v>0</v>
      </c>
      <c r="V12" s="18">
        <f t="shared" si="12"/>
        <v>0</v>
      </c>
      <c r="W12" s="18">
        <f t="shared" si="12"/>
        <v>0</v>
      </c>
      <c r="X12" s="18">
        <f t="shared" si="12"/>
        <v>0</v>
      </c>
      <c r="Y12" s="18">
        <f t="shared" si="12"/>
        <v>42204.557500000003</v>
      </c>
    </row>
    <row r="14" spans="1:25" ht="32.25" customHeight="1" x14ac:dyDescent="0.25">
      <c r="A14" s="30" t="s">
        <v>32</v>
      </c>
      <c r="B14" s="2236" t="s">
        <v>27</v>
      </c>
      <c r="C14" s="2236"/>
      <c r="D14" s="30" t="s">
        <v>33</v>
      </c>
      <c r="E14" s="30" t="s">
        <v>65</v>
      </c>
      <c r="F14" s="30" t="s">
        <v>34</v>
      </c>
      <c r="G14" s="30" t="s">
        <v>13</v>
      </c>
      <c r="H14" s="31" t="s">
        <v>45</v>
      </c>
      <c r="I14" s="30" t="s">
        <v>17</v>
      </c>
      <c r="J14" s="30" t="s">
        <v>66</v>
      </c>
      <c r="K14" s="30" t="s">
        <v>36</v>
      </c>
      <c r="L14" s="30" t="s">
        <v>37</v>
      </c>
      <c r="M14" s="30" t="s">
        <v>69</v>
      </c>
      <c r="N14" s="30" t="s">
        <v>70</v>
      </c>
      <c r="O14" s="86" t="s">
        <v>114</v>
      </c>
      <c r="P14" s="86" t="s">
        <v>99</v>
      </c>
      <c r="Q14" s="2272" t="s">
        <v>150</v>
      </c>
      <c r="R14" s="2272"/>
      <c r="T14" s="2235" t="s">
        <v>46</v>
      </c>
      <c r="U14" s="114" t="s">
        <v>54</v>
      </c>
      <c r="V14" s="2260">
        <v>83955</v>
      </c>
      <c r="W14" s="2268"/>
      <c r="X14" s="2261"/>
    </row>
    <row r="15" spans="1:25" ht="22.5" customHeight="1" x14ac:dyDescent="0.25">
      <c r="A15" s="100" t="s">
        <v>38</v>
      </c>
      <c r="B15" s="2260">
        <v>233445</v>
      </c>
      <c r="C15" s="2261"/>
      <c r="D15" s="117">
        <v>0</v>
      </c>
      <c r="E15" s="117">
        <v>0</v>
      </c>
      <c r="F15" s="117">
        <v>130</v>
      </c>
      <c r="G15" s="117">
        <v>0</v>
      </c>
      <c r="H15" s="117">
        <v>14</v>
      </c>
      <c r="I15" s="117">
        <v>0</v>
      </c>
      <c r="J15" s="117">
        <v>80</v>
      </c>
      <c r="K15" s="117">
        <v>30</v>
      </c>
      <c r="L15" s="117">
        <v>0</v>
      </c>
      <c r="M15" s="117">
        <v>0</v>
      </c>
      <c r="N15" s="117">
        <v>100</v>
      </c>
      <c r="O15" s="117">
        <v>0</v>
      </c>
      <c r="P15" s="117">
        <v>691</v>
      </c>
      <c r="Q15" s="2262">
        <v>115</v>
      </c>
      <c r="R15" s="2262"/>
      <c r="T15" s="2235"/>
      <c r="U15" s="114" t="s">
        <v>64</v>
      </c>
      <c r="V15" s="2262">
        <v>10544</v>
      </c>
      <c r="W15" s="2262"/>
      <c r="X15" s="2262"/>
    </row>
    <row r="16" spans="1:25" ht="24.75" customHeight="1" x14ac:dyDescent="0.25">
      <c r="A16" s="100" t="s">
        <v>39</v>
      </c>
      <c r="B16" s="2260">
        <v>252381</v>
      </c>
      <c r="C16" s="2261"/>
      <c r="D16" s="117"/>
      <c r="E16" s="117">
        <v>1000</v>
      </c>
      <c r="F16" s="117">
        <v>10000</v>
      </c>
      <c r="G16" s="117"/>
      <c r="H16" s="117">
        <v>526</v>
      </c>
      <c r="I16" s="117">
        <v>50</v>
      </c>
      <c r="J16" s="117"/>
      <c r="K16" s="117"/>
      <c r="L16" s="117">
        <v>31</v>
      </c>
      <c r="M16" s="117"/>
      <c r="N16" s="117"/>
      <c r="O16" s="117"/>
      <c r="P16" s="117"/>
      <c r="Q16" s="2225"/>
      <c r="R16" s="2225"/>
      <c r="T16" s="2254" t="s">
        <v>55</v>
      </c>
      <c r="U16" s="2254"/>
      <c r="V16" s="2267">
        <f>Y12</f>
        <v>42204.557500000003</v>
      </c>
      <c r="W16" s="2267"/>
      <c r="X16" s="2262"/>
    </row>
    <row r="17" spans="1:25" ht="28.5" customHeight="1" x14ac:dyDescent="0.25">
      <c r="A17" s="101" t="s">
        <v>44</v>
      </c>
      <c r="B17" s="2260"/>
      <c r="C17" s="2261"/>
      <c r="D17" s="117"/>
      <c r="E17" s="117"/>
      <c r="F17" s="117"/>
      <c r="G17" s="117"/>
      <c r="H17" s="117"/>
      <c r="I17" s="117"/>
      <c r="J17" s="117"/>
      <c r="K17" s="117"/>
      <c r="L17" s="117"/>
      <c r="M17" s="117"/>
      <c r="N17" s="117"/>
      <c r="O17" s="117"/>
      <c r="P17" s="117"/>
      <c r="Q17" s="2225"/>
      <c r="R17" s="2225"/>
      <c r="T17" s="2270" t="s">
        <v>104</v>
      </c>
      <c r="U17" s="2271"/>
      <c r="V17" s="2262"/>
      <c r="W17" s="2262"/>
      <c r="X17" s="2262"/>
    </row>
    <row r="18" spans="1:25" ht="27" customHeight="1" x14ac:dyDescent="0.25">
      <c r="A18" s="100" t="s">
        <v>40</v>
      </c>
      <c r="B18" s="2264">
        <f>C12</f>
        <v>36707</v>
      </c>
      <c r="C18" s="2261"/>
      <c r="D18" s="119">
        <f>E12</f>
        <v>0</v>
      </c>
      <c r="E18" s="119">
        <f>G12</f>
        <v>0</v>
      </c>
      <c r="F18" s="119">
        <f>I12</f>
        <v>0</v>
      </c>
      <c r="G18" s="119">
        <f>K12</f>
        <v>0</v>
      </c>
      <c r="H18" s="117">
        <v>31</v>
      </c>
      <c r="I18" s="119">
        <f>U12</f>
        <v>0</v>
      </c>
      <c r="J18" s="117"/>
      <c r="K18" s="119">
        <f>W12</f>
        <v>0</v>
      </c>
      <c r="L18" s="117"/>
      <c r="M18" s="119">
        <f>M12</f>
        <v>0</v>
      </c>
      <c r="N18" s="119"/>
      <c r="O18" s="118">
        <f>Q12</f>
        <v>0</v>
      </c>
      <c r="P18" s="117"/>
      <c r="Q18" s="2225">
        <v>53</v>
      </c>
      <c r="R18" s="2225"/>
      <c r="T18" s="2254" t="s">
        <v>57</v>
      </c>
      <c r="U18" s="2254"/>
      <c r="V18" s="2262">
        <f>150+5637</f>
        <v>5787</v>
      </c>
      <c r="W18" s="2262"/>
      <c r="X18" s="2262"/>
      <c r="Y18" s="2269" t="s">
        <v>151</v>
      </c>
    </row>
    <row r="19" spans="1:25" ht="25.5" customHeight="1" x14ac:dyDescent="0.25">
      <c r="A19" s="100" t="s">
        <v>41</v>
      </c>
      <c r="B19" s="2260">
        <f>B15+B16+B17-B18</f>
        <v>449119</v>
      </c>
      <c r="C19" s="2261"/>
      <c r="D19" s="117">
        <f>D15+D16+D17-D18</f>
        <v>0</v>
      </c>
      <c r="E19" s="117">
        <f t="shared" ref="E19:N19" si="13">E15+E16+E17-E18</f>
        <v>1000</v>
      </c>
      <c r="F19" s="117">
        <f t="shared" si="13"/>
        <v>10130</v>
      </c>
      <c r="G19" s="117">
        <f t="shared" si="13"/>
        <v>0</v>
      </c>
      <c r="H19" s="117">
        <f t="shared" si="13"/>
        <v>509</v>
      </c>
      <c r="I19" s="117">
        <f t="shared" si="13"/>
        <v>50</v>
      </c>
      <c r="J19" s="117">
        <f t="shared" si="13"/>
        <v>80</v>
      </c>
      <c r="K19" s="117">
        <f t="shared" si="13"/>
        <v>30</v>
      </c>
      <c r="L19" s="117">
        <f t="shared" si="13"/>
        <v>31</v>
      </c>
      <c r="M19" s="117">
        <f t="shared" si="13"/>
        <v>0</v>
      </c>
      <c r="N19" s="117">
        <f t="shared" si="13"/>
        <v>100</v>
      </c>
      <c r="O19" s="117">
        <f>O15+O16+O17-O18</f>
        <v>0</v>
      </c>
      <c r="P19" s="117">
        <f>P15+P16+P17-P18</f>
        <v>691</v>
      </c>
      <c r="Q19" s="2260">
        <f t="shared" ref="Q19" si="14">Q15+Q16+Q17-Q18</f>
        <v>62</v>
      </c>
      <c r="R19" s="2261"/>
      <c r="T19" s="2256" t="s">
        <v>48</v>
      </c>
      <c r="U19" s="49" t="s">
        <v>58</v>
      </c>
      <c r="V19" s="2262">
        <v>98000</v>
      </c>
      <c r="W19" s="2262"/>
      <c r="X19" s="2262"/>
      <c r="Y19" s="2269"/>
    </row>
    <row r="20" spans="1:25" ht="23.25" customHeight="1" x14ac:dyDescent="0.25">
      <c r="A20" s="15"/>
      <c r="B20" s="10"/>
      <c r="C20" s="10"/>
      <c r="D20" s="10"/>
      <c r="E20" s="10"/>
      <c r="F20" s="10"/>
      <c r="G20" s="10"/>
      <c r="H20" s="10"/>
      <c r="I20" s="10"/>
      <c r="J20" s="10"/>
      <c r="K20" s="10"/>
      <c r="L20" s="10"/>
      <c r="M20" s="10"/>
      <c r="N20" s="10"/>
      <c r="O20" s="10"/>
      <c r="P20" s="10"/>
      <c r="Q20" s="10"/>
      <c r="R20" s="10"/>
      <c r="T20" s="2257"/>
      <c r="U20" s="49" t="s">
        <v>59</v>
      </c>
      <c r="V20" s="2262"/>
      <c r="W20" s="2262"/>
      <c r="X20" s="2262"/>
      <c r="Y20" s="2269"/>
    </row>
    <row r="21" spans="1:25" ht="35.25" customHeight="1" x14ac:dyDescent="0.25">
      <c r="A21" s="15"/>
      <c r="B21" s="10"/>
      <c r="C21" s="10"/>
      <c r="D21" s="10"/>
      <c r="E21" s="10"/>
      <c r="F21" s="10"/>
      <c r="G21" s="10"/>
      <c r="H21" s="10"/>
      <c r="I21" s="10"/>
      <c r="J21" s="10"/>
      <c r="K21" s="10"/>
      <c r="L21" s="10"/>
      <c r="M21" s="10"/>
      <c r="N21" s="10"/>
      <c r="O21" s="10"/>
      <c r="P21" s="10"/>
      <c r="Q21" s="10"/>
      <c r="R21" s="10"/>
      <c r="T21" s="2251" t="s">
        <v>83</v>
      </c>
      <c r="U21" s="50" t="s">
        <v>60</v>
      </c>
      <c r="V21" s="2262">
        <v>98050</v>
      </c>
      <c r="W21" s="2262"/>
      <c r="X21" s="2262"/>
      <c r="Y21" s="2269"/>
    </row>
    <row r="22" spans="1:25" ht="39.75" customHeight="1" x14ac:dyDescent="0.25">
      <c r="A22" s="10"/>
      <c r="B22" s="2258" t="s">
        <v>49</v>
      </c>
      <c r="C22" s="2265">
        <v>400000</v>
      </c>
      <c r="D22" s="2262">
        <v>98000</v>
      </c>
      <c r="E22" s="2262">
        <v>589557</v>
      </c>
      <c r="F22" s="2262">
        <f>C22-D22+E22</f>
        <v>891557</v>
      </c>
      <c r="G22" s="10"/>
      <c r="H22" s="10"/>
      <c r="I22" s="10"/>
      <c r="J22" s="10"/>
      <c r="K22" s="10"/>
      <c r="L22" s="10"/>
      <c r="M22" s="10" t="s">
        <v>140</v>
      </c>
      <c r="N22" s="10"/>
      <c r="O22" s="10"/>
      <c r="P22" s="10"/>
      <c r="Q22" s="10"/>
      <c r="R22" s="10"/>
      <c r="T22" s="2252"/>
      <c r="U22" s="50" t="s">
        <v>61</v>
      </c>
      <c r="V22" s="2262">
        <v>98000</v>
      </c>
      <c r="W22" s="2262"/>
      <c r="X22" s="2262"/>
      <c r="Y22" s="2269"/>
    </row>
    <row r="23" spans="1:25" ht="47.25" customHeight="1" x14ac:dyDescent="0.25">
      <c r="A23" s="10"/>
      <c r="B23" s="2258"/>
      <c r="C23" s="2266"/>
      <c r="D23" s="2262"/>
      <c r="E23" s="2262"/>
      <c r="F23" s="2262"/>
      <c r="G23" s="10"/>
      <c r="H23" s="10"/>
      <c r="I23" s="10"/>
      <c r="J23" s="10"/>
      <c r="K23" s="10"/>
      <c r="L23" s="10"/>
      <c r="M23" s="10"/>
      <c r="N23" s="10"/>
      <c r="O23" s="10"/>
      <c r="P23" s="10"/>
      <c r="Q23" s="10"/>
      <c r="R23" s="10"/>
      <c r="T23" s="2235" t="s">
        <v>47</v>
      </c>
      <c r="U23" s="51" t="s">
        <v>62</v>
      </c>
      <c r="V23" s="2263">
        <f>V14+V16+V17-V18-V19-V20-V21+V22</f>
        <v>22322.557499999995</v>
      </c>
      <c r="W23" s="2263"/>
      <c r="X23" s="2263"/>
      <c r="Y23" s="2269"/>
    </row>
    <row r="24" spans="1:25" ht="27" customHeight="1" x14ac:dyDescent="0.25">
      <c r="B24" s="2258"/>
      <c r="C24" s="114" t="s">
        <v>46</v>
      </c>
      <c r="D24" s="114" t="s">
        <v>50</v>
      </c>
      <c r="E24" s="114" t="s">
        <v>51</v>
      </c>
      <c r="F24" s="114" t="s">
        <v>52</v>
      </c>
      <c r="T24" s="2235"/>
      <c r="U24" s="51" t="s">
        <v>63</v>
      </c>
      <c r="V24" s="2262">
        <f>V15+V21-V22</f>
        <v>10594</v>
      </c>
      <c r="W24" s="2262"/>
      <c r="X24" s="2262"/>
    </row>
  </sheetData>
  <mergeCells count="54">
    <mergeCell ref="W4:X4"/>
    <mergeCell ref="V15:X15"/>
    <mergeCell ref="A1:Y1"/>
    <mergeCell ref="A2:Y2"/>
    <mergeCell ref="T3:Y3"/>
    <mergeCell ref="A4:A5"/>
    <mergeCell ref="B4:B5"/>
    <mergeCell ref="C4:D4"/>
    <mergeCell ref="E4:F4"/>
    <mergeCell ref="G4:H4"/>
    <mergeCell ref="I4:J4"/>
    <mergeCell ref="K4:L4"/>
    <mergeCell ref="Y4:Y5"/>
    <mergeCell ref="M4:N4"/>
    <mergeCell ref="O4:P4"/>
    <mergeCell ref="Q4:R4"/>
    <mergeCell ref="S4:T4"/>
    <mergeCell ref="U4:V4"/>
    <mergeCell ref="Q14:R14"/>
    <mergeCell ref="B17:C17"/>
    <mergeCell ref="T17:U17"/>
    <mergeCell ref="V17:X17"/>
    <mergeCell ref="Q17:R17"/>
    <mergeCell ref="Q16:R16"/>
    <mergeCell ref="B16:C16"/>
    <mergeCell ref="T16:U16"/>
    <mergeCell ref="V16:X16"/>
    <mergeCell ref="Q15:R15"/>
    <mergeCell ref="A12:B12"/>
    <mergeCell ref="B14:C14"/>
    <mergeCell ref="T14:T15"/>
    <mergeCell ref="V14:X14"/>
    <mergeCell ref="B15:C15"/>
    <mergeCell ref="Y18:Y23"/>
    <mergeCell ref="B19:C19"/>
    <mergeCell ref="T19:T20"/>
    <mergeCell ref="V19:X19"/>
    <mergeCell ref="V20:X20"/>
    <mergeCell ref="T21:T22"/>
    <mergeCell ref="V21:X21"/>
    <mergeCell ref="V22:X22"/>
    <mergeCell ref="T23:T24"/>
    <mergeCell ref="V23:X23"/>
    <mergeCell ref="V24:X24"/>
    <mergeCell ref="B18:C18"/>
    <mergeCell ref="T18:U18"/>
    <mergeCell ref="V18:X18"/>
    <mergeCell ref="B22:B24"/>
    <mergeCell ref="Q18:R18"/>
    <mergeCell ref="C22:C23"/>
    <mergeCell ref="D22:D23"/>
    <mergeCell ref="E22:E23"/>
    <mergeCell ref="F22:F23"/>
    <mergeCell ref="Q19:R19"/>
  </mergeCells>
  <pageMargins left="0.15748031496063" right="0.15748031496063" top="0" bottom="0" header="0" footer="0"/>
  <pageSetup paperSize="9" scale="51" orientation="landscape" r:id="rId1"/>
</worksheet>
</file>

<file path=xl/worksheets/sheet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300-000000000000}">
  <sheetPr>
    <pageSetUpPr fitToPage="1"/>
  </sheetPr>
  <dimension ref="A1:Y24"/>
  <sheetViews>
    <sheetView topLeftCell="A11" zoomScale="67" zoomScaleNormal="67" zoomScaleSheetLayoutView="100" workbookViewId="0">
      <selection activeCell="L24" sqref="L24"/>
    </sheetView>
  </sheetViews>
  <sheetFormatPr defaultColWidth="9.140625" defaultRowHeight="15" x14ac:dyDescent="0.25"/>
  <cols>
    <col min="1" max="1" width="18.28515625" style="14" customWidth="1"/>
    <col min="2" max="2" width="10.7109375" style="14" customWidth="1"/>
    <col min="3" max="3" width="12.28515625" style="14" customWidth="1"/>
    <col min="4" max="4" width="11" style="14" customWidth="1"/>
    <col min="5" max="5" width="12" style="14" customWidth="1"/>
    <col min="6" max="6" width="12.5703125" style="14" bestFit="1" customWidth="1"/>
    <col min="7" max="7" width="9.28515625" style="14" bestFit="1" customWidth="1"/>
    <col min="8" max="8" width="10.140625" style="14" bestFit="1" customWidth="1"/>
    <col min="9" max="9" width="10.5703125" style="14" bestFit="1" customWidth="1"/>
    <col min="10" max="10" width="10.5703125" style="14" customWidth="1"/>
    <col min="11" max="11" width="10.28515625" style="14" bestFit="1" customWidth="1"/>
    <col min="12" max="12" width="9.42578125" style="14" bestFit="1" customWidth="1"/>
    <col min="13" max="13" width="9.85546875" style="14" bestFit="1" customWidth="1"/>
    <col min="14" max="14" width="10.140625" style="14" bestFit="1" customWidth="1"/>
    <col min="15" max="15" width="9" style="14" customWidth="1"/>
    <col min="16" max="16" width="12.85546875" style="14" bestFit="1" customWidth="1"/>
    <col min="17" max="18" width="9.42578125" style="14" customWidth="1"/>
    <col min="19" max="19" width="7.5703125" style="14" customWidth="1"/>
    <col min="20" max="20" width="12.140625" style="14" customWidth="1"/>
    <col min="21" max="21" width="15.5703125" style="14" customWidth="1"/>
    <col min="22" max="22" width="9.85546875" style="14" bestFit="1" customWidth="1"/>
    <col min="23" max="23" width="10.140625" style="14" bestFit="1" customWidth="1"/>
    <col min="24" max="24" width="9.85546875" style="14" bestFit="1" customWidth="1"/>
    <col min="25" max="25" width="17.5703125" style="14" customWidth="1"/>
    <col min="26" max="16384" width="9.140625" style="14"/>
  </cols>
  <sheetData>
    <row r="1" spans="1:25" ht="46.15" customHeight="1" x14ac:dyDescent="0.25">
      <c r="A1" s="2240" t="s">
        <v>148</v>
      </c>
      <c r="B1" s="2240"/>
      <c r="C1" s="2240"/>
      <c r="D1" s="2240"/>
      <c r="E1" s="2240"/>
      <c r="F1" s="2240"/>
      <c r="G1" s="2240"/>
      <c r="H1" s="2240"/>
      <c r="I1" s="2240"/>
      <c r="J1" s="2240"/>
      <c r="K1" s="2240"/>
      <c r="L1" s="2240"/>
      <c r="M1" s="2240"/>
      <c r="N1" s="2240"/>
      <c r="O1" s="2240"/>
      <c r="P1" s="2240"/>
      <c r="Q1" s="2240"/>
      <c r="R1" s="2240"/>
      <c r="S1" s="2240"/>
      <c r="T1" s="2240"/>
      <c r="U1" s="2240"/>
      <c r="V1" s="2240"/>
      <c r="W1" s="2240"/>
      <c r="X1" s="2240"/>
      <c r="Y1" s="2240"/>
    </row>
    <row r="2" spans="1:25" ht="21.6" customHeight="1" x14ac:dyDescent="0.25">
      <c r="A2" s="2241" t="s">
        <v>77</v>
      </c>
      <c r="B2" s="2241"/>
      <c r="C2" s="2241"/>
      <c r="D2" s="2241"/>
      <c r="E2" s="2241"/>
      <c r="F2" s="2241"/>
      <c r="G2" s="2241"/>
      <c r="H2" s="2241"/>
      <c r="I2" s="2241"/>
      <c r="J2" s="2241"/>
      <c r="K2" s="2241"/>
      <c r="L2" s="2241"/>
      <c r="M2" s="2241"/>
      <c r="N2" s="2241"/>
      <c r="O2" s="2241"/>
      <c r="P2" s="2241"/>
      <c r="Q2" s="2241"/>
      <c r="R2" s="2241"/>
      <c r="S2" s="2241"/>
      <c r="T2" s="2241"/>
      <c r="U2" s="2241"/>
      <c r="V2" s="2241"/>
      <c r="W2" s="2241"/>
      <c r="X2" s="2241"/>
      <c r="Y2" s="2241"/>
    </row>
    <row r="3" spans="1:25" ht="21" customHeight="1" x14ac:dyDescent="0.25">
      <c r="A3" s="116"/>
      <c r="B3" s="116"/>
      <c r="C3" s="116"/>
      <c r="D3" s="116"/>
      <c r="E3" s="116"/>
      <c r="F3" s="116"/>
      <c r="G3" s="116"/>
      <c r="H3" s="116"/>
      <c r="I3" s="116"/>
      <c r="J3" s="116"/>
      <c r="K3" s="116"/>
      <c r="L3" s="116"/>
      <c r="M3" s="116"/>
      <c r="N3" s="116"/>
      <c r="O3" s="116"/>
      <c r="P3" s="116"/>
      <c r="Q3" s="116"/>
      <c r="R3" s="116"/>
      <c r="S3" s="116"/>
      <c r="T3" s="2242" t="s">
        <v>152</v>
      </c>
      <c r="U3" s="2242"/>
      <c r="V3" s="2242"/>
      <c r="W3" s="2242"/>
      <c r="X3" s="2242"/>
      <c r="Y3" s="2242"/>
    </row>
    <row r="4" spans="1:25" s="116" customFormat="1" ht="18" customHeight="1" x14ac:dyDescent="0.25">
      <c r="A4" s="2243" t="s">
        <v>25</v>
      </c>
      <c r="B4" s="2243" t="s">
        <v>26</v>
      </c>
      <c r="C4" s="2244" t="s">
        <v>27</v>
      </c>
      <c r="D4" s="2244"/>
      <c r="E4" s="2244" t="s">
        <v>28</v>
      </c>
      <c r="F4" s="2244"/>
      <c r="G4" s="2244" t="s">
        <v>65</v>
      </c>
      <c r="H4" s="2244"/>
      <c r="I4" s="2244" t="s">
        <v>29</v>
      </c>
      <c r="J4" s="2244"/>
      <c r="K4" s="2245" t="s">
        <v>13</v>
      </c>
      <c r="L4" s="2246"/>
      <c r="M4" s="2245" t="s">
        <v>67</v>
      </c>
      <c r="N4" s="2246"/>
      <c r="O4" s="2245" t="s">
        <v>68</v>
      </c>
      <c r="P4" s="2246"/>
      <c r="Q4" s="2245" t="s">
        <v>114</v>
      </c>
      <c r="R4" s="2246"/>
      <c r="S4" s="2244" t="s">
        <v>35</v>
      </c>
      <c r="T4" s="2244"/>
      <c r="U4" s="2245" t="s">
        <v>17</v>
      </c>
      <c r="V4" s="2246"/>
      <c r="W4" s="2247" t="s">
        <v>36</v>
      </c>
      <c r="X4" s="2248"/>
      <c r="Y4" s="2238" t="s">
        <v>30</v>
      </c>
    </row>
    <row r="5" spans="1:25" s="116" customFormat="1" ht="25.5" customHeight="1" x14ac:dyDescent="0.25">
      <c r="A5" s="2243"/>
      <c r="B5" s="2243"/>
      <c r="C5" s="115" t="s">
        <v>42</v>
      </c>
      <c r="D5" s="115" t="s">
        <v>43</v>
      </c>
      <c r="E5" s="115" t="s">
        <v>42</v>
      </c>
      <c r="F5" s="115" t="s">
        <v>43</v>
      </c>
      <c r="G5" s="115" t="s">
        <v>42</v>
      </c>
      <c r="H5" s="115" t="s">
        <v>43</v>
      </c>
      <c r="I5" s="115" t="s">
        <v>42</v>
      </c>
      <c r="J5" s="115" t="s">
        <v>43</v>
      </c>
      <c r="K5" s="115" t="s">
        <v>42</v>
      </c>
      <c r="L5" s="115" t="s">
        <v>43</v>
      </c>
      <c r="M5" s="115" t="s">
        <v>42</v>
      </c>
      <c r="N5" s="115" t="s">
        <v>43</v>
      </c>
      <c r="O5" s="115" t="s">
        <v>42</v>
      </c>
      <c r="P5" s="115" t="s">
        <v>43</v>
      </c>
      <c r="Q5" s="115" t="s">
        <v>42</v>
      </c>
      <c r="R5" s="115" t="s">
        <v>43</v>
      </c>
      <c r="S5" s="33" t="s">
        <v>42</v>
      </c>
      <c r="T5" s="33" t="s">
        <v>43</v>
      </c>
      <c r="U5" s="30" t="s">
        <v>42</v>
      </c>
      <c r="V5" s="30" t="s">
        <v>43</v>
      </c>
      <c r="W5" s="30" t="s">
        <v>42</v>
      </c>
      <c r="X5" s="30" t="s">
        <v>43</v>
      </c>
      <c r="Y5" s="2239"/>
    </row>
    <row r="6" spans="1:25" ht="34.5" customHeight="1" x14ac:dyDescent="0.25">
      <c r="A6" s="12">
        <v>1409935200</v>
      </c>
      <c r="B6" s="114" t="s">
        <v>71</v>
      </c>
      <c r="C6" s="112">
        <v>14322</v>
      </c>
      <c r="D6" s="111">
        <f>0.9725*C6</f>
        <v>13928.145</v>
      </c>
      <c r="E6" s="112"/>
      <c r="F6" s="112">
        <f>13.7*E6</f>
        <v>0</v>
      </c>
      <c r="G6" s="112">
        <v>30</v>
      </c>
      <c r="H6" s="112">
        <f>28.2*G6</f>
        <v>846</v>
      </c>
      <c r="I6" s="112">
        <v>1350</v>
      </c>
      <c r="J6" s="112">
        <f>18.5*I6</f>
        <v>24975</v>
      </c>
      <c r="K6" s="112"/>
      <c r="L6" s="112">
        <f>19.5*K6</f>
        <v>0</v>
      </c>
      <c r="M6" s="112"/>
      <c r="N6" s="111">
        <f>M6*9.75</f>
        <v>0</v>
      </c>
      <c r="O6" s="112"/>
      <c r="P6" s="111">
        <f>O6*48.62</f>
        <v>0</v>
      </c>
      <c r="Q6" s="111"/>
      <c r="R6" s="111">
        <f>241*Q6</f>
        <v>0</v>
      </c>
      <c r="S6" s="112"/>
      <c r="T6" s="112">
        <f>241*S6</f>
        <v>0</v>
      </c>
      <c r="U6" s="112"/>
      <c r="V6" s="112">
        <f>232*U6</f>
        <v>0</v>
      </c>
      <c r="W6" s="112"/>
      <c r="X6" s="19">
        <f>W6*100</f>
        <v>0</v>
      </c>
      <c r="Y6" s="89">
        <f t="shared" ref="Y6:Y11" si="0">D6+F6+H6+J6+L6+N6+P6+R6+T6+V6+X6</f>
        <v>39749.145000000004</v>
      </c>
    </row>
    <row r="7" spans="1:25" ht="31.5" customHeight="1" x14ac:dyDescent="0.25">
      <c r="A7" s="12">
        <v>1984225578</v>
      </c>
      <c r="B7" s="114" t="s">
        <v>72</v>
      </c>
      <c r="C7" s="112">
        <v>30334</v>
      </c>
      <c r="D7" s="111">
        <f t="shared" ref="D7:D11" si="1">0.9725*C7</f>
        <v>29499.815000000002</v>
      </c>
      <c r="E7" s="112"/>
      <c r="F7" s="112">
        <f t="shared" ref="F7:F11" si="2">13.7*E7</f>
        <v>0</v>
      </c>
      <c r="G7" s="112">
        <v>200</v>
      </c>
      <c r="H7" s="112">
        <f t="shared" ref="H7:H11" si="3">28.2*G7</f>
        <v>5640</v>
      </c>
      <c r="I7" s="112">
        <v>2000</v>
      </c>
      <c r="J7" s="112">
        <f t="shared" ref="J7:J11" si="4">18.5*I7</f>
        <v>37000</v>
      </c>
      <c r="K7" s="112"/>
      <c r="L7" s="112">
        <f t="shared" ref="L7:L11" si="5">19.5*K7</f>
        <v>0</v>
      </c>
      <c r="M7" s="112"/>
      <c r="N7" s="111">
        <f t="shared" ref="N7:N11" si="6">M7*9.75</f>
        <v>0</v>
      </c>
      <c r="O7" s="112"/>
      <c r="P7" s="111">
        <f t="shared" ref="P7:P11" si="7">O7*48.62</f>
        <v>0</v>
      </c>
      <c r="Q7" s="111"/>
      <c r="R7" s="111">
        <f t="shared" ref="R7:R11" si="8">241*Q7</f>
        <v>0</v>
      </c>
      <c r="S7" s="112">
        <v>26</v>
      </c>
      <c r="T7" s="112">
        <f t="shared" ref="T7:T11" si="9">241*S7</f>
        <v>6266</v>
      </c>
      <c r="U7" s="112"/>
      <c r="V7" s="112">
        <f t="shared" ref="V7:V11" si="10">232*U7</f>
        <v>0</v>
      </c>
      <c r="W7" s="112"/>
      <c r="X7" s="19">
        <f t="shared" ref="X7:X11" si="11">W7*100</f>
        <v>0</v>
      </c>
      <c r="Y7" s="89">
        <f t="shared" si="0"/>
        <v>78405.815000000002</v>
      </c>
    </row>
    <row r="8" spans="1:25" ht="35.25" customHeight="1" x14ac:dyDescent="0.25">
      <c r="A8" s="12">
        <v>1967020280</v>
      </c>
      <c r="B8" s="114" t="s">
        <v>73</v>
      </c>
      <c r="C8" s="112">
        <v>13812</v>
      </c>
      <c r="D8" s="111">
        <f t="shared" si="1"/>
        <v>13432.17</v>
      </c>
      <c r="E8" s="112"/>
      <c r="F8" s="112">
        <f t="shared" si="2"/>
        <v>0</v>
      </c>
      <c r="G8" s="112"/>
      <c r="H8" s="112">
        <f t="shared" si="3"/>
        <v>0</v>
      </c>
      <c r="I8" s="112">
        <v>500</v>
      </c>
      <c r="J8" s="112">
        <f t="shared" si="4"/>
        <v>9250</v>
      </c>
      <c r="K8" s="112"/>
      <c r="L8" s="112">
        <f t="shared" si="5"/>
        <v>0</v>
      </c>
      <c r="M8" s="112"/>
      <c r="N8" s="111">
        <f t="shared" si="6"/>
        <v>0</v>
      </c>
      <c r="O8" s="112"/>
      <c r="P8" s="111">
        <f t="shared" si="7"/>
        <v>0</v>
      </c>
      <c r="Q8" s="111"/>
      <c r="R8" s="111">
        <f t="shared" si="8"/>
        <v>0</v>
      </c>
      <c r="S8" s="112"/>
      <c r="T8" s="112">
        <f t="shared" si="9"/>
        <v>0</v>
      </c>
      <c r="U8" s="112"/>
      <c r="V8" s="112">
        <f t="shared" si="10"/>
        <v>0</v>
      </c>
      <c r="W8" s="112"/>
      <c r="X8" s="19">
        <f t="shared" si="11"/>
        <v>0</v>
      </c>
      <c r="Y8" s="89">
        <f t="shared" si="0"/>
        <v>22682.17</v>
      </c>
    </row>
    <row r="9" spans="1:25" ht="38.25" customHeight="1" x14ac:dyDescent="0.25">
      <c r="A9" s="12">
        <v>1409935199</v>
      </c>
      <c r="B9" s="114" t="s">
        <v>74</v>
      </c>
      <c r="C9" s="112">
        <v>1938</v>
      </c>
      <c r="D9" s="111">
        <f t="shared" si="1"/>
        <v>1884.7050000000002</v>
      </c>
      <c r="E9" s="112"/>
      <c r="F9" s="112">
        <f t="shared" si="2"/>
        <v>0</v>
      </c>
      <c r="G9" s="112">
        <v>50</v>
      </c>
      <c r="H9" s="112">
        <f t="shared" si="3"/>
        <v>1410</v>
      </c>
      <c r="I9" s="112">
        <v>500</v>
      </c>
      <c r="J9" s="112">
        <f t="shared" si="4"/>
        <v>9250</v>
      </c>
      <c r="K9" s="112"/>
      <c r="L9" s="112">
        <f t="shared" si="5"/>
        <v>0</v>
      </c>
      <c r="M9" s="112"/>
      <c r="N9" s="111">
        <f t="shared" si="6"/>
        <v>0</v>
      </c>
      <c r="O9" s="112"/>
      <c r="P9" s="111">
        <f t="shared" si="7"/>
        <v>0</v>
      </c>
      <c r="Q9" s="111"/>
      <c r="R9" s="111">
        <f t="shared" si="8"/>
        <v>0</v>
      </c>
      <c r="S9" s="112"/>
      <c r="T9" s="112">
        <f t="shared" si="9"/>
        <v>0</v>
      </c>
      <c r="U9" s="112"/>
      <c r="V9" s="112">
        <f t="shared" si="10"/>
        <v>0</v>
      </c>
      <c r="W9" s="112"/>
      <c r="X9" s="19">
        <f t="shared" si="11"/>
        <v>0</v>
      </c>
      <c r="Y9" s="89">
        <f t="shared" si="0"/>
        <v>12544.705</v>
      </c>
    </row>
    <row r="10" spans="1:25" ht="35.25" customHeight="1" x14ac:dyDescent="0.25">
      <c r="A10" s="12">
        <v>1984225580</v>
      </c>
      <c r="B10" s="114" t="s">
        <v>75</v>
      </c>
      <c r="C10" s="112">
        <v>14800</v>
      </c>
      <c r="D10" s="111">
        <f t="shared" si="1"/>
        <v>14393</v>
      </c>
      <c r="E10" s="112"/>
      <c r="F10" s="112">
        <f t="shared" si="2"/>
        <v>0</v>
      </c>
      <c r="G10" s="112">
        <v>170</v>
      </c>
      <c r="H10" s="112">
        <f t="shared" si="3"/>
        <v>4794</v>
      </c>
      <c r="I10" s="112">
        <v>1240</v>
      </c>
      <c r="J10" s="112">
        <f t="shared" si="4"/>
        <v>22940</v>
      </c>
      <c r="K10" s="112"/>
      <c r="L10" s="112">
        <f t="shared" si="5"/>
        <v>0</v>
      </c>
      <c r="M10" s="112"/>
      <c r="N10" s="111">
        <f t="shared" si="6"/>
        <v>0</v>
      </c>
      <c r="O10" s="112"/>
      <c r="P10" s="111">
        <f t="shared" si="7"/>
        <v>0</v>
      </c>
      <c r="Q10" s="111"/>
      <c r="R10" s="111">
        <f t="shared" si="8"/>
        <v>0</v>
      </c>
      <c r="S10" s="112">
        <v>7</v>
      </c>
      <c r="T10" s="112">
        <f t="shared" si="9"/>
        <v>1687</v>
      </c>
      <c r="U10" s="112">
        <v>6</v>
      </c>
      <c r="V10" s="112">
        <f t="shared" si="10"/>
        <v>1392</v>
      </c>
      <c r="W10" s="112"/>
      <c r="X10" s="19">
        <f t="shared" si="11"/>
        <v>0</v>
      </c>
      <c r="Y10" s="89">
        <f t="shared" si="0"/>
        <v>45206</v>
      </c>
    </row>
    <row r="11" spans="1:25" ht="37.5" customHeight="1" x14ac:dyDescent="0.25">
      <c r="A11" s="12"/>
      <c r="B11" s="113"/>
      <c r="C11" s="112"/>
      <c r="D11" s="22">
        <f t="shared" si="1"/>
        <v>0</v>
      </c>
      <c r="E11" s="112"/>
      <c r="F11" s="112">
        <f t="shared" si="2"/>
        <v>0</v>
      </c>
      <c r="G11" s="112"/>
      <c r="H11" s="112">
        <f t="shared" si="3"/>
        <v>0</v>
      </c>
      <c r="I11" s="112"/>
      <c r="J11" s="112">
        <f t="shared" si="4"/>
        <v>0</v>
      </c>
      <c r="K11" s="112"/>
      <c r="L11" s="112">
        <f t="shared" si="5"/>
        <v>0</v>
      </c>
      <c r="M11" s="112"/>
      <c r="N11" s="111">
        <f t="shared" si="6"/>
        <v>0</v>
      </c>
      <c r="O11" s="112"/>
      <c r="P11" s="111">
        <f t="shared" si="7"/>
        <v>0</v>
      </c>
      <c r="Q11" s="111"/>
      <c r="R11" s="111">
        <f t="shared" si="8"/>
        <v>0</v>
      </c>
      <c r="S11" s="112"/>
      <c r="T11" s="112">
        <f t="shared" si="9"/>
        <v>0</v>
      </c>
      <c r="U11" s="112"/>
      <c r="V11" s="112">
        <f t="shared" si="10"/>
        <v>0</v>
      </c>
      <c r="W11" s="112"/>
      <c r="X11" s="19">
        <f t="shared" si="11"/>
        <v>0</v>
      </c>
      <c r="Y11" s="20">
        <f t="shared" si="0"/>
        <v>0</v>
      </c>
    </row>
    <row r="12" spans="1:25" ht="29.25" customHeight="1" x14ac:dyDescent="0.25">
      <c r="A12" s="2235" t="s">
        <v>31</v>
      </c>
      <c r="B12" s="2235"/>
      <c r="C12" s="18">
        <f t="shared" ref="C12:Y12" si="12">SUM(C6:C11)</f>
        <v>75206</v>
      </c>
      <c r="D12" s="18">
        <f t="shared" si="12"/>
        <v>73137.835000000006</v>
      </c>
      <c r="E12" s="18">
        <f t="shared" si="12"/>
        <v>0</v>
      </c>
      <c r="F12" s="18">
        <f t="shared" si="12"/>
        <v>0</v>
      </c>
      <c r="G12" s="18">
        <f t="shared" si="12"/>
        <v>450</v>
      </c>
      <c r="H12" s="18">
        <f t="shared" si="12"/>
        <v>12690</v>
      </c>
      <c r="I12" s="18">
        <f t="shared" si="12"/>
        <v>5590</v>
      </c>
      <c r="J12" s="18">
        <f t="shared" si="12"/>
        <v>103415</v>
      </c>
      <c r="K12" s="18">
        <f t="shared" si="12"/>
        <v>0</v>
      </c>
      <c r="L12" s="18">
        <f t="shared" si="12"/>
        <v>0</v>
      </c>
      <c r="M12" s="18">
        <f t="shared" si="12"/>
        <v>0</v>
      </c>
      <c r="N12" s="23">
        <f t="shared" si="12"/>
        <v>0</v>
      </c>
      <c r="O12" s="18">
        <f t="shared" si="12"/>
        <v>0</v>
      </c>
      <c r="P12" s="23">
        <f t="shared" si="12"/>
        <v>0</v>
      </c>
      <c r="Q12" s="23">
        <f t="shared" si="12"/>
        <v>0</v>
      </c>
      <c r="R12" s="23">
        <f>SUM(R6:R11)</f>
        <v>0</v>
      </c>
      <c r="S12" s="18">
        <f t="shared" si="12"/>
        <v>33</v>
      </c>
      <c r="T12" s="18">
        <f t="shared" si="12"/>
        <v>7953</v>
      </c>
      <c r="U12" s="18">
        <f t="shared" si="12"/>
        <v>6</v>
      </c>
      <c r="V12" s="18">
        <f t="shared" si="12"/>
        <v>1392</v>
      </c>
      <c r="W12" s="18">
        <f t="shared" si="12"/>
        <v>0</v>
      </c>
      <c r="X12" s="18">
        <f t="shared" si="12"/>
        <v>0</v>
      </c>
      <c r="Y12" s="18">
        <f t="shared" si="12"/>
        <v>198587.83499999999</v>
      </c>
    </row>
    <row r="14" spans="1:25" ht="32.25" customHeight="1" x14ac:dyDescent="0.25">
      <c r="A14" s="30" t="s">
        <v>32</v>
      </c>
      <c r="B14" s="2236" t="s">
        <v>27</v>
      </c>
      <c r="C14" s="2236"/>
      <c r="D14" s="30" t="s">
        <v>33</v>
      </c>
      <c r="E14" s="30" t="s">
        <v>65</v>
      </c>
      <c r="F14" s="30" t="s">
        <v>34</v>
      </c>
      <c r="G14" s="30" t="s">
        <v>13</v>
      </c>
      <c r="H14" s="31" t="s">
        <v>45</v>
      </c>
      <c r="I14" s="30" t="s">
        <v>17</v>
      </c>
      <c r="J14" s="30" t="s">
        <v>66</v>
      </c>
      <c r="K14" s="30" t="s">
        <v>36</v>
      </c>
      <c r="L14" s="30" t="s">
        <v>37</v>
      </c>
      <c r="M14" s="30" t="s">
        <v>69</v>
      </c>
      <c r="N14" s="30" t="s">
        <v>70</v>
      </c>
      <c r="O14" s="86" t="s">
        <v>114</v>
      </c>
      <c r="P14" s="86" t="s">
        <v>99</v>
      </c>
      <c r="Q14" s="2272" t="s">
        <v>150</v>
      </c>
      <c r="R14" s="2272"/>
      <c r="T14" s="2235" t="s">
        <v>46</v>
      </c>
      <c r="U14" s="114" t="s">
        <v>54</v>
      </c>
      <c r="V14" s="2260">
        <v>22323</v>
      </c>
      <c r="W14" s="2268"/>
      <c r="X14" s="2261"/>
    </row>
    <row r="15" spans="1:25" ht="22.5" customHeight="1" x14ac:dyDescent="0.25">
      <c r="A15" s="100" t="s">
        <v>38</v>
      </c>
      <c r="B15" s="2260">
        <v>449119</v>
      </c>
      <c r="C15" s="2261"/>
      <c r="D15" s="117">
        <v>0</v>
      </c>
      <c r="E15" s="117">
        <v>1000</v>
      </c>
      <c r="F15" s="117">
        <v>10130</v>
      </c>
      <c r="G15" s="117">
        <v>0</v>
      </c>
      <c r="H15" s="117">
        <v>509</v>
      </c>
      <c r="I15" s="117">
        <v>50</v>
      </c>
      <c r="J15" s="117">
        <v>80</v>
      </c>
      <c r="K15" s="117">
        <v>30</v>
      </c>
      <c r="L15" s="117">
        <v>31</v>
      </c>
      <c r="M15" s="117">
        <v>0</v>
      </c>
      <c r="N15" s="117">
        <v>100</v>
      </c>
      <c r="O15" s="117">
        <v>0</v>
      </c>
      <c r="P15" s="117">
        <v>691</v>
      </c>
      <c r="Q15" s="2262">
        <v>62</v>
      </c>
      <c r="R15" s="2262"/>
      <c r="T15" s="2235"/>
      <c r="U15" s="114" t="s">
        <v>64</v>
      </c>
      <c r="V15" s="2262">
        <v>10594</v>
      </c>
      <c r="W15" s="2262"/>
      <c r="X15" s="2262"/>
    </row>
    <row r="16" spans="1:25" ht="24.75" customHeight="1" x14ac:dyDescent="0.25">
      <c r="A16" s="100" t="s">
        <v>39</v>
      </c>
      <c r="B16" s="2260"/>
      <c r="C16" s="2261"/>
      <c r="D16" s="117"/>
      <c r="E16" s="117"/>
      <c r="F16" s="117"/>
      <c r="G16" s="117"/>
      <c r="H16" s="117"/>
      <c r="I16" s="117"/>
      <c r="J16" s="117">
        <v>25</v>
      </c>
      <c r="K16" s="117"/>
      <c r="L16" s="117">
        <v>160</v>
      </c>
      <c r="M16" s="117"/>
      <c r="N16" s="117"/>
      <c r="O16" s="117"/>
      <c r="P16" s="117"/>
      <c r="Q16" s="2225"/>
      <c r="R16" s="2225"/>
      <c r="T16" s="2254" t="s">
        <v>55</v>
      </c>
      <c r="U16" s="2254"/>
      <c r="V16" s="2267">
        <f>Y12</f>
        <v>198587.83499999999</v>
      </c>
      <c r="W16" s="2267"/>
      <c r="X16" s="2262"/>
    </row>
    <row r="17" spans="1:25" ht="28.5" customHeight="1" x14ac:dyDescent="0.25">
      <c r="A17" s="101" t="s">
        <v>44</v>
      </c>
      <c r="B17" s="2260"/>
      <c r="C17" s="2261"/>
      <c r="D17" s="117"/>
      <c r="E17" s="117"/>
      <c r="F17" s="117"/>
      <c r="G17" s="117"/>
      <c r="H17" s="117"/>
      <c r="I17" s="117"/>
      <c r="J17" s="117"/>
      <c r="K17" s="117"/>
      <c r="L17" s="117"/>
      <c r="M17" s="117"/>
      <c r="N17" s="117"/>
      <c r="O17" s="117"/>
      <c r="P17" s="117"/>
      <c r="Q17" s="2225"/>
      <c r="R17" s="2225"/>
      <c r="T17" s="2270" t="s">
        <v>104</v>
      </c>
      <c r="U17" s="2271"/>
      <c r="V17" s="2262"/>
      <c r="W17" s="2262"/>
      <c r="X17" s="2262"/>
    </row>
    <row r="18" spans="1:25" ht="27" customHeight="1" x14ac:dyDescent="0.25">
      <c r="A18" s="100" t="s">
        <v>40</v>
      </c>
      <c r="B18" s="2264">
        <f>C12</f>
        <v>75206</v>
      </c>
      <c r="C18" s="2261"/>
      <c r="D18" s="119">
        <f>E12</f>
        <v>0</v>
      </c>
      <c r="E18" s="119">
        <f>G12</f>
        <v>450</v>
      </c>
      <c r="F18" s="119">
        <f>I12</f>
        <v>5590</v>
      </c>
      <c r="G18" s="119">
        <f>K12</f>
        <v>0</v>
      </c>
      <c r="H18" s="117">
        <v>218</v>
      </c>
      <c r="I18" s="119">
        <f>U12</f>
        <v>6</v>
      </c>
      <c r="J18" s="117"/>
      <c r="K18" s="119">
        <f>W12</f>
        <v>0</v>
      </c>
      <c r="L18" s="117"/>
      <c r="M18" s="119">
        <f>M12</f>
        <v>0</v>
      </c>
      <c r="N18" s="119"/>
      <c r="O18" s="118">
        <f>Q12</f>
        <v>0</v>
      </c>
      <c r="P18" s="117"/>
      <c r="Q18" s="2225"/>
      <c r="R18" s="2225"/>
      <c r="T18" s="2254" t="s">
        <v>57</v>
      </c>
      <c r="U18" s="2254"/>
      <c r="V18" s="2262">
        <v>530</v>
      </c>
      <c r="W18" s="2262"/>
      <c r="X18" s="2262"/>
      <c r="Y18" s="2269" t="s">
        <v>100</v>
      </c>
    </row>
    <row r="19" spans="1:25" ht="25.5" customHeight="1" x14ac:dyDescent="0.25">
      <c r="A19" s="100" t="s">
        <v>41</v>
      </c>
      <c r="B19" s="2260">
        <f>B15+B16+B17-B18</f>
        <v>373913</v>
      </c>
      <c r="C19" s="2261"/>
      <c r="D19" s="117">
        <f>D15+D16+D17-D18</f>
        <v>0</v>
      </c>
      <c r="E19" s="117">
        <f t="shared" ref="E19:N19" si="13">E15+E16+E17-E18</f>
        <v>550</v>
      </c>
      <c r="F19" s="117">
        <f t="shared" si="13"/>
        <v>4540</v>
      </c>
      <c r="G19" s="117">
        <f t="shared" si="13"/>
        <v>0</v>
      </c>
      <c r="H19" s="117">
        <f t="shared" si="13"/>
        <v>291</v>
      </c>
      <c r="I19" s="117">
        <f t="shared" si="13"/>
        <v>44</v>
      </c>
      <c r="J19" s="117">
        <f t="shared" si="13"/>
        <v>105</v>
      </c>
      <c r="K19" s="117">
        <f t="shared" si="13"/>
        <v>30</v>
      </c>
      <c r="L19" s="117">
        <f t="shared" si="13"/>
        <v>191</v>
      </c>
      <c r="M19" s="117">
        <f t="shared" si="13"/>
        <v>0</v>
      </c>
      <c r="N19" s="117">
        <f t="shared" si="13"/>
        <v>100</v>
      </c>
      <c r="O19" s="117">
        <f>O15+O16+O17-O18</f>
        <v>0</v>
      </c>
      <c r="P19" s="117">
        <f>P15+P16+P17-P18</f>
        <v>691</v>
      </c>
      <c r="Q19" s="2260">
        <f t="shared" ref="Q19" si="14">Q15+Q16+Q17-Q18</f>
        <v>62</v>
      </c>
      <c r="R19" s="2261"/>
      <c r="T19" s="2256" t="s">
        <v>48</v>
      </c>
      <c r="U19" s="49" t="s">
        <v>58</v>
      </c>
      <c r="V19" s="2262"/>
      <c r="W19" s="2262"/>
      <c r="X19" s="2262"/>
      <c r="Y19" s="2269"/>
    </row>
    <row r="20" spans="1:25" ht="23.25" customHeight="1" x14ac:dyDescent="0.25">
      <c r="A20" s="15"/>
      <c r="B20" s="10"/>
      <c r="C20" s="10"/>
      <c r="D20" s="10"/>
      <c r="E20" s="10"/>
      <c r="F20" s="10"/>
      <c r="G20" s="10"/>
      <c r="H20" s="10"/>
      <c r="I20" s="10"/>
      <c r="J20" s="10"/>
      <c r="K20" s="10"/>
      <c r="L20" s="10"/>
      <c r="M20" s="10"/>
      <c r="N20" s="10"/>
      <c r="O20" s="10"/>
      <c r="P20" s="10"/>
      <c r="Q20" s="10"/>
      <c r="R20" s="10"/>
      <c r="T20" s="2257"/>
      <c r="U20" s="49" t="s">
        <v>59</v>
      </c>
      <c r="V20" s="2262"/>
      <c r="W20" s="2262"/>
      <c r="X20" s="2262"/>
      <c r="Y20" s="2269"/>
    </row>
    <row r="21" spans="1:25" ht="35.25" customHeight="1" x14ac:dyDescent="0.25">
      <c r="A21" s="15"/>
      <c r="B21" s="10"/>
      <c r="C21" s="10"/>
      <c r="D21" s="10"/>
      <c r="E21" s="10"/>
      <c r="F21" s="10"/>
      <c r="G21" s="10"/>
      <c r="H21" s="10"/>
      <c r="I21" s="10"/>
      <c r="J21" s="10"/>
      <c r="K21" s="10"/>
      <c r="L21" s="10"/>
      <c r="M21" s="10"/>
      <c r="N21" s="10"/>
      <c r="O21" s="10"/>
      <c r="P21" s="10"/>
      <c r="Q21" s="10"/>
      <c r="R21" s="10"/>
      <c r="T21" s="2251" t="s">
        <v>83</v>
      </c>
      <c r="U21" s="50" t="s">
        <v>60</v>
      </c>
      <c r="V21" s="2262"/>
      <c r="W21" s="2262"/>
      <c r="X21" s="2262"/>
      <c r="Y21" s="2269"/>
    </row>
    <row r="22" spans="1:25" ht="39.75" customHeight="1" x14ac:dyDescent="0.25">
      <c r="A22" s="10"/>
      <c r="B22" s="2258" t="s">
        <v>49</v>
      </c>
      <c r="C22" s="2265">
        <v>891557</v>
      </c>
      <c r="D22" s="2262"/>
      <c r="E22" s="2262"/>
      <c r="F22" s="2262">
        <f>C22-D22+E22</f>
        <v>891557</v>
      </c>
      <c r="G22" s="10"/>
      <c r="H22" s="10"/>
      <c r="I22" s="10"/>
      <c r="J22" s="10"/>
      <c r="K22" s="10"/>
      <c r="L22" s="10"/>
      <c r="M22" s="10" t="s">
        <v>140</v>
      </c>
      <c r="N22" s="10"/>
      <c r="O22" s="10"/>
      <c r="P22" s="10"/>
      <c r="Q22" s="10"/>
      <c r="R22" s="10"/>
      <c r="T22" s="2252"/>
      <c r="U22" s="50" t="s">
        <v>61</v>
      </c>
      <c r="V22" s="2262"/>
      <c r="W22" s="2262"/>
      <c r="X22" s="2262"/>
      <c r="Y22" s="2269"/>
    </row>
    <row r="23" spans="1:25" ht="47.25" customHeight="1" x14ac:dyDescent="0.25">
      <c r="A23" s="10"/>
      <c r="B23" s="2258"/>
      <c r="C23" s="2266"/>
      <c r="D23" s="2262"/>
      <c r="E23" s="2262"/>
      <c r="F23" s="2262"/>
      <c r="G23" s="10"/>
      <c r="H23" s="10"/>
      <c r="I23" s="10"/>
      <c r="J23" s="10"/>
      <c r="K23" s="10"/>
      <c r="L23" s="10"/>
      <c r="M23" s="10"/>
      <c r="N23" s="10"/>
      <c r="O23" s="10"/>
      <c r="P23" s="10"/>
      <c r="Q23" s="10"/>
      <c r="R23" s="10"/>
      <c r="T23" s="2235" t="s">
        <v>47</v>
      </c>
      <c r="U23" s="51" t="s">
        <v>62</v>
      </c>
      <c r="V23" s="2263">
        <f>V14+V16+V17-V18-V19-V20-V21+V22</f>
        <v>220380.83499999999</v>
      </c>
      <c r="W23" s="2263"/>
      <c r="X23" s="2263"/>
      <c r="Y23" s="2269"/>
    </row>
    <row r="24" spans="1:25" ht="27" customHeight="1" x14ac:dyDescent="0.25">
      <c r="B24" s="2258"/>
      <c r="C24" s="114" t="s">
        <v>46</v>
      </c>
      <c r="D24" s="114" t="s">
        <v>50</v>
      </c>
      <c r="E24" s="114" t="s">
        <v>51</v>
      </c>
      <c r="F24" s="114" t="s">
        <v>52</v>
      </c>
      <c r="T24" s="2235"/>
      <c r="U24" s="51" t="s">
        <v>63</v>
      </c>
      <c r="V24" s="2262">
        <f>V15+V21-V22</f>
        <v>10594</v>
      </c>
      <c r="W24" s="2262"/>
      <c r="X24" s="2262"/>
    </row>
  </sheetData>
  <mergeCells count="54">
    <mergeCell ref="A1:Y1"/>
    <mergeCell ref="A2:Y2"/>
    <mergeCell ref="T3:Y3"/>
    <mergeCell ref="A4:A5"/>
    <mergeCell ref="B4:B5"/>
    <mergeCell ref="C4:D4"/>
    <mergeCell ref="E4:F4"/>
    <mergeCell ref="G4:H4"/>
    <mergeCell ref="I4:J4"/>
    <mergeCell ref="K4:L4"/>
    <mergeCell ref="Y4:Y5"/>
    <mergeCell ref="M4:N4"/>
    <mergeCell ref="O4:P4"/>
    <mergeCell ref="Q4:R4"/>
    <mergeCell ref="S4:T4"/>
    <mergeCell ref="U4:V4"/>
    <mergeCell ref="W4:X4"/>
    <mergeCell ref="B16:C16"/>
    <mergeCell ref="Q16:R16"/>
    <mergeCell ref="T16:U16"/>
    <mergeCell ref="V16:X16"/>
    <mergeCell ref="A12:B12"/>
    <mergeCell ref="B14:C14"/>
    <mergeCell ref="Q14:R14"/>
    <mergeCell ref="T14:T15"/>
    <mergeCell ref="V14:X14"/>
    <mergeCell ref="B15:C15"/>
    <mergeCell ref="Q15:R15"/>
    <mergeCell ref="V15:X15"/>
    <mergeCell ref="B17:C17"/>
    <mergeCell ref="Q17:R17"/>
    <mergeCell ref="T17:U17"/>
    <mergeCell ref="V17:X17"/>
    <mergeCell ref="B18:C18"/>
    <mergeCell ref="Q18:R18"/>
    <mergeCell ref="T18:U18"/>
    <mergeCell ref="V18:X18"/>
    <mergeCell ref="Y18:Y23"/>
    <mergeCell ref="B19:C19"/>
    <mergeCell ref="Q19:R19"/>
    <mergeCell ref="T19:T20"/>
    <mergeCell ref="V19:X19"/>
    <mergeCell ref="V20:X20"/>
    <mergeCell ref="V24:X24"/>
    <mergeCell ref="T21:T22"/>
    <mergeCell ref="V21:X21"/>
    <mergeCell ref="B22:B24"/>
    <mergeCell ref="C22:C23"/>
    <mergeCell ref="D22:D23"/>
    <mergeCell ref="E22:E23"/>
    <mergeCell ref="F22:F23"/>
    <mergeCell ref="V22:X22"/>
    <mergeCell ref="T23:T24"/>
    <mergeCell ref="V23:X23"/>
  </mergeCells>
  <pageMargins left="0.15748031496063" right="0.15748031496063" top="0" bottom="0" header="0" footer="0"/>
  <pageSetup paperSize="9" scale="51" orientation="landscape" r:id="rId1"/>
</worksheet>
</file>

<file path=xl/worksheets/sheet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400-000000000000}">
  <sheetPr>
    <pageSetUpPr fitToPage="1"/>
  </sheetPr>
  <dimension ref="A1:Y24"/>
  <sheetViews>
    <sheetView topLeftCell="A10" zoomScale="67" zoomScaleNormal="67" zoomScaleSheetLayoutView="100" workbookViewId="0">
      <selection activeCell="S20" sqref="S20"/>
    </sheetView>
  </sheetViews>
  <sheetFormatPr defaultColWidth="9.140625" defaultRowHeight="15" x14ac:dyDescent="0.25"/>
  <cols>
    <col min="1" max="1" width="18.28515625" style="14" customWidth="1"/>
    <col min="2" max="2" width="10.7109375" style="14" customWidth="1"/>
    <col min="3" max="3" width="12.28515625" style="14" customWidth="1"/>
    <col min="4" max="4" width="11" style="14" customWidth="1"/>
    <col min="5" max="5" width="12" style="14" customWidth="1"/>
    <col min="6" max="6" width="12.5703125" style="14" bestFit="1" customWidth="1"/>
    <col min="7" max="7" width="9.28515625" style="14" bestFit="1" customWidth="1"/>
    <col min="8" max="8" width="10.140625" style="14" bestFit="1" customWidth="1"/>
    <col min="9" max="9" width="10.5703125" style="14" bestFit="1" customWidth="1"/>
    <col min="10" max="10" width="10.5703125" style="14" customWidth="1"/>
    <col min="11" max="11" width="10.28515625" style="14" bestFit="1" customWidth="1"/>
    <col min="12" max="12" width="9.42578125" style="14" bestFit="1" customWidth="1"/>
    <col min="13" max="13" width="9.85546875" style="14" bestFit="1" customWidth="1"/>
    <col min="14" max="14" width="10.140625" style="14" bestFit="1" customWidth="1"/>
    <col min="15" max="15" width="9" style="14" customWidth="1"/>
    <col min="16" max="16" width="12.85546875" style="14" bestFit="1" customWidth="1"/>
    <col min="17" max="18" width="9.42578125" style="14" customWidth="1"/>
    <col min="19" max="19" width="7.5703125" style="14" customWidth="1"/>
    <col min="20" max="20" width="12.140625" style="14" customWidth="1"/>
    <col min="21" max="21" width="15.5703125" style="14" customWidth="1"/>
    <col min="22" max="22" width="9.85546875" style="14" bestFit="1" customWidth="1"/>
    <col min="23" max="23" width="10.140625" style="14" bestFit="1" customWidth="1"/>
    <col min="24" max="24" width="9.85546875" style="14" bestFit="1" customWidth="1"/>
    <col min="25" max="25" width="17.5703125" style="14" customWidth="1"/>
    <col min="26" max="16384" width="9.140625" style="14"/>
  </cols>
  <sheetData>
    <row r="1" spans="1:25" ht="46.15" customHeight="1" x14ac:dyDescent="0.25">
      <c r="A1" s="2240" t="s">
        <v>148</v>
      </c>
      <c r="B1" s="2240"/>
      <c r="C1" s="2240"/>
      <c r="D1" s="2240"/>
      <c r="E1" s="2240"/>
      <c r="F1" s="2240"/>
      <c r="G1" s="2240"/>
      <c r="H1" s="2240"/>
      <c r="I1" s="2240"/>
      <c r="J1" s="2240"/>
      <c r="K1" s="2240"/>
      <c r="L1" s="2240"/>
      <c r="M1" s="2240"/>
      <c r="N1" s="2240"/>
      <c r="O1" s="2240"/>
      <c r="P1" s="2240"/>
      <c r="Q1" s="2240"/>
      <c r="R1" s="2240"/>
      <c r="S1" s="2240"/>
      <c r="T1" s="2240"/>
      <c r="U1" s="2240"/>
      <c r="V1" s="2240"/>
      <c r="W1" s="2240"/>
      <c r="X1" s="2240"/>
      <c r="Y1" s="2240"/>
    </row>
    <row r="2" spans="1:25" ht="21.6" customHeight="1" x14ac:dyDescent="0.25">
      <c r="A2" s="2241" t="s">
        <v>77</v>
      </c>
      <c r="B2" s="2241"/>
      <c r="C2" s="2241"/>
      <c r="D2" s="2241"/>
      <c r="E2" s="2241"/>
      <c r="F2" s="2241"/>
      <c r="G2" s="2241"/>
      <c r="H2" s="2241"/>
      <c r="I2" s="2241"/>
      <c r="J2" s="2241"/>
      <c r="K2" s="2241"/>
      <c r="L2" s="2241"/>
      <c r="M2" s="2241"/>
      <c r="N2" s="2241"/>
      <c r="O2" s="2241"/>
      <c r="P2" s="2241"/>
      <c r="Q2" s="2241"/>
      <c r="R2" s="2241"/>
      <c r="S2" s="2241"/>
      <c r="T2" s="2241"/>
      <c r="U2" s="2241"/>
      <c r="V2" s="2241"/>
      <c r="W2" s="2241"/>
      <c r="X2" s="2241"/>
      <c r="Y2" s="2241"/>
    </row>
    <row r="3" spans="1:25" ht="21" customHeight="1" x14ac:dyDescent="0.25">
      <c r="A3" s="116"/>
      <c r="B3" s="116"/>
      <c r="C3" s="116"/>
      <c r="D3" s="116"/>
      <c r="E3" s="116"/>
      <c r="F3" s="116"/>
      <c r="G3" s="116"/>
      <c r="H3" s="116"/>
      <c r="I3" s="116"/>
      <c r="J3" s="116"/>
      <c r="K3" s="116"/>
      <c r="L3" s="116"/>
      <c r="M3" s="116"/>
      <c r="N3" s="116"/>
      <c r="O3" s="116"/>
      <c r="P3" s="116"/>
      <c r="Q3" s="116"/>
      <c r="R3" s="116"/>
      <c r="S3" s="116"/>
      <c r="T3" s="2242" t="s">
        <v>153</v>
      </c>
      <c r="U3" s="2242"/>
      <c r="V3" s="2242"/>
      <c r="W3" s="2242"/>
      <c r="X3" s="2242"/>
      <c r="Y3" s="2242"/>
    </row>
    <row r="4" spans="1:25" s="116" customFormat="1" ht="18" customHeight="1" x14ac:dyDescent="0.25">
      <c r="A4" s="2243" t="s">
        <v>25</v>
      </c>
      <c r="B4" s="2243" t="s">
        <v>26</v>
      </c>
      <c r="C4" s="2244" t="s">
        <v>27</v>
      </c>
      <c r="D4" s="2244"/>
      <c r="E4" s="2244" t="s">
        <v>28</v>
      </c>
      <c r="F4" s="2244"/>
      <c r="G4" s="2244" t="s">
        <v>65</v>
      </c>
      <c r="H4" s="2244"/>
      <c r="I4" s="2244" t="s">
        <v>29</v>
      </c>
      <c r="J4" s="2244"/>
      <c r="K4" s="2245" t="s">
        <v>13</v>
      </c>
      <c r="L4" s="2246"/>
      <c r="M4" s="2245" t="s">
        <v>67</v>
      </c>
      <c r="N4" s="2246"/>
      <c r="O4" s="2245" t="s">
        <v>68</v>
      </c>
      <c r="P4" s="2246"/>
      <c r="Q4" s="2245" t="s">
        <v>114</v>
      </c>
      <c r="R4" s="2246"/>
      <c r="S4" s="2244" t="s">
        <v>35</v>
      </c>
      <c r="T4" s="2244"/>
      <c r="U4" s="2245" t="s">
        <v>17</v>
      </c>
      <c r="V4" s="2246"/>
      <c r="W4" s="2247" t="s">
        <v>36</v>
      </c>
      <c r="X4" s="2248"/>
      <c r="Y4" s="2238" t="s">
        <v>30</v>
      </c>
    </row>
    <row r="5" spans="1:25" s="116" customFormat="1" ht="25.5" customHeight="1" x14ac:dyDescent="0.25">
      <c r="A5" s="2243"/>
      <c r="B5" s="2243"/>
      <c r="C5" s="115" t="s">
        <v>42</v>
      </c>
      <c r="D5" s="115" t="s">
        <v>43</v>
      </c>
      <c r="E5" s="115" t="s">
        <v>42</v>
      </c>
      <c r="F5" s="115" t="s">
        <v>43</v>
      </c>
      <c r="G5" s="115" t="s">
        <v>42</v>
      </c>
      <c r="H5" s="115" t="s">
        <v>43</v>
      </c>
      <c r="I5" s="115" t="s">
        <v>42</v>
      </c>
      <c r="J5" s="115" t="s">
        <v>43</v>
      </c>
      <c r="K5" s="115" t="s">
        <v>42</v>
      </c>
      <c r="L5" s="115" t="s">
        <v>43</v>
      </c>
      <c r="M5" s="115" t="s">
        <v>42</v>
      </c>
      <c r="N5" s="115" t="s">
        <v>43</v>
      </c>
      <c r="O5" s="115" t="s">
        <v>42</v>
      </c>
      <c r="P5" s="115" t="s">
        <v>43</v>
      </c>
      <c r="Q5" s="115" t="s">
        <v>42</v>
      </c>
      <c r="R5" s="115" t="s">
        <v>43</v>
      </c>
      <c r="S5" s="33" t="s">
        <v>42</v>
      </c>
      <c r="T5" s="33" t="s">
        <v>43</v>
      </c>
      <c r="U5" s="30" t="s">
        <v>42</v>
      </c>
      <c r="V5" s="30" t="s">
        <v>43</v>
      </c>
      <c r="W5" s="30" t="s">
        <v>42</v>
      </c>
      <c r="X5" s="30" t="s">
        <v>43</v>
      </c>
      <c r="Y5" s="2239"/>
    </row>
    <row r="6" spans="1:25" ht="34.5" customHeight="1" x14ac:dyDescent="0.25">
      <c r="A6" s="12">
        <v>1409935200</v>
      </c>
      <c r="B6" s="114" t="s">
        <v>71</v>
      </c>
      <c r="C6" s="112">
        <v>19993</v>
      </c>
      <c r="D6" s="111">
        <f>0.9725*C6</f>
        <v>19443.192500000001</v>
      </c>
      <c r="E6" s="112"/>
      <c r="F6" s="112">
        <f>13.7*E6</f>
        <v>0</v>
      </c>
      <c r="G6" s="112">
        <v>220</v>
      </c>
      <c r="H6" s="112">
        <f>28.2*G6</f>
        <v>6204</v>
      </c>
      <c r="I6" s="112">
        <v>1280</v>
      </c>
      <c r="J6" s="112">
        <f>18.5*I6</f>
        <v>23680</v>
      </c>
      <c r="K6" s="112"/>
      <c r="L6" s="112">
        <f>19.5*K6</f>
        <v>0</v>
      </c>
      <c r="M6" s="112"/>
      <c r="N6" s="111">
        <f>M6*9.75</f>
        <v>0</v>
      </c>
      <c r="O6" s="112"/>
      <c r="P6" s="111">
        <f>O6*48.62</f>
        <v>0</v>
      </c>
      <c r="Q6" s="111"/>
      <c r="R6" s="111">
        <f>241*Q6</f>
        <v>0</v>
      </c>
      <c r="S6" s="112"/>
      <c r="T6" s="112">
        <f>241*S6</f>
        <v>0</v>
      </c>
      <c r="U6" s="112">
        <v>10</v>
      </c>
      <c r="V6" s="112">
        <f>232*U6</f>
        <v>2320</v>
      </c>
      <c r="W6" s="112"/>
      <c r="X6" s="19">
        <f>W6*100</f>
        <v>0</v>
      </c>
      <c r="Y6" s="89">
        <f t="shared" ref="Y6:Y11" si="0">D6+F6+H6+J6+L6+N6+P6+R6+T6+V6+X6</f>
        <v>51647.192500000005</v>
      </c>
    </row>
    <row r="7" spans="1:25" ht="31.5" customHeight="1" x14ac:dyDescent="0.25">
      <c r="A7" s="12">
        <v>1984225578</v>
      </c>
      <c r="B7" s="114" t="s">
        <v>72</v>
      </c>
      <c r="C7" s="112">
        <v>27135</v>
      </c>
      <c r="D7" s="111">
        <f t="shared" ref="D7:D11" si="1">0.9725*C7</f>
        <v>26388.787500000002</v>
      </c>
      <c r="E7" s="112"/>
      <c r="F7" s="112">
        <f t="shared" ref="F7:F11" si="2">13.7*E7</f>
        <v>0</v>
      </c>
      <c r="G7" s="112"/>
      <c r="H7" s="112">
        <f t="shared" ref="H7:H11" si="3">28.2*G7</f>
        <v>0</v>
      </c>
      <c r="I7" s="112">
        <v>500</v>
      </c>
      <c r="J7" s="112">
        <f t="shared" ref="J7:J11" si="4">18.5*I7</f>
        <v>9250</v>
      </c>
      <c r="K7" s="112"/>
      <c r="L7" s="112">
        <f t="shared" ref="L7:L11" si="5">19.5*K7</f>
        <v>0</v>
      </c>
      <c r="M7" s="112"/>
      <c r="N7" s="111">
        <f t="shared" ref="N7:N11" si="6">M7*9.75</f>
        <v>0</v>
      </c>
      <c r="O7" s="112"/>
      <c r="P7" s="111">
        <f t="shared" ref="P7:P11" si="7">O7*48.62</f>
        <v>0</v>
      </c>
      <c r="Q7" s="111"/>
      <c r="R7" s="111">
        <f t="shared" ref="R7:R11" si="8">241*Q7</f>
        <v>0</v>
      </c>
      <c r="S7" s="112"/>
      <c r="T7" s="112">
        <f t="shared" ref="T7:T11" si="9">241*S7</f>
        <v>0</v>
      </c>
      <c r="U7" s="112"/>
      <c r="V7" s="112">
        <f t="shared" ref="V7:V11" si="10">232*U7</f>
        <v>0</v>
      </c>
      <c r="W7" s="112"/>
      <c r="X7" s="19">
        <f t="shared" ref="X7:X11" si="11">W7*100</f>
        <v>0</v>
      </c>
      <c r="Y7" s="89">
        <f t="shared" si="0"/>
        <v>35638.787500000006</v>
      </c>
    </row>
    <row r="8" spans="1:25" ht="35.25" customHeight="1" x14ac:dyDescent="0.25">
      <c r="A8" s="12">
        <v>1967020280</v>
      </c>
      <c r="B8" s="114" t="s">
        <v>73</v>
      </c>
      <c r="C8" s="112">
        <v>13256</v>
      </c>
      <c r="D8" s="111">
        <f t="shared" si="1"/>
        <v>12891.460000000001</v>
      </c>
      <c r="E8" s="112"/>
      <c r="F8" s="112">
        <f t="shared" si="2"/>
        <v>0</v>
      </c>
      <c r="G8" s="112"/>
      <c r="H8" s="112">
        <f t="shared" si="3"/>
        <v>0</v>
      </c>
      <c r="I8" s="112"/>
      <c r="J8" s="112">
        <f t="shared" si="4"/>
        <v>0</v>
      </c>
      <c r="K8" s="112"/>
      <c r="L8" s="112">
        <f t="shared" si="5"/>
        <v>0</v>
      </c>
      <c r="M8" s="112"/>
      <c r="N8" s="111">
        <f t="shared" si="6"/>
        <v>0</v>
      </c>
      <c r="O8" s="112"/>
      <c r="P8" s="111">
        <f t="shared" si="7"/>
        <v>0</v>
      </c>
      <c r="Q8" s="111"/>
      <c r="R8" s="111">
        <f t="shared" si="8"/>
        <v>0</v>
      </c>
      <c r="S8" s="112"/>
      <c r="T8" s="112">
        <f t="shared" si="9"/>
        <v>0</v>
      </c>
      <c r="U8" s="112"/>
      <c r="V8" s="112">
        <f t="shared" si="10"/>
        <v>0</v>
      </c>
      <c r="W8" s="112"/>
      <c r="X8" s="19">
        <f t="shared" si="11"/>
        <v>0</v>
      </c>
      <c r="Y8" s="89">
        <f t="shared" si="0"/>
        <v>12891.460000000001</v>
      </c>
    </row>
    <row r="9" spans="1:25" ht="38.25" customHeight="1" x14ac:dyDescent="0.25">
      <c r="A9" s="12">
        <v>1409935199</v>
      </c>
      <c r="B9" s="114" t="s">
        <v>74</v>
      </c>
      <c r="C9" s="112"/>
      <c r="D9" s="111">
        <f t="shared" si="1"/>
        <v>0</v>
      </c>
      <c r="E9" s="112"/>
      <c r="F9" s="112">
        <f t="shared" si="2"/>
        <v>0</v>
      </c>
      <c r="G9" s="112"/>
      <c r="H9" s="112">
        <f t="shared" si="3"/>
        <v>0</v>
      </c>
      <c r="I9" s="112"/>
      <c r="J9" s="112">
        <f t="shared" si="4"/>
        <v>0</v>
      </c>
      <c r="K9" s="112"/>
      <c r="L9" s="112">
        <f t="shared" si="5"/>
        <v>0</v>
      </c>
      <c r="M9" s="112"/>
      <c r="N9" s="111">
        <f t="shared" si="6"/>
        <v>0</v>
      </c>
      <c r="O9" s="112"/>
      <c r="P9" s="111">
        <f t="shared" si="7"/>
        <v>0</v>
      </c>
      <c r="Q9" s="111"/>
      <c r="R9" s="111">
        <f t="shared" si="8"/>
        <v>0</v>
      </c>
      <c r="S9" s="112"/>
      <c r="T9" s="112">
        <f t="shared" si="9"/>
        <v>0</v>
      </c>
      <c r="U9" s="112"/>
      <c r="V9" s="112">
        <f t="shared" si="10"/>
        <v>0</v>
      </c>
      <c r="W9" s="112"/>
      <c r="X9" s="19">
        <f t="shared" si="11"/>
        <v>0</v>
      </c>
      <c r="Y9" s="89">
        <f t="shared" si="0"/>
        <v>0</v>
      </c>
    </row>
    <row r="10" spans="1:25" ht="35.25" customHeight="1" x14ac:dyDescent="0.25">
      <c r="A10" s="12">
        <v>1984225580</v>
      </c>
      <c r="B10" s="114" t="s">
        <v>75</v>
      </c>
      <c r="C10" s="112">
        <v>15344</v>
      </c>
      <c r="D10" s="111">
        <f t="shared" si="1"/>
        <v>14922.04</v>
      </c>
      <c r="E10" s="112"/>
      <c r="F10" s="112">
        <f t="shared" si="2"/>
        <v>0</v>
      </c>
      <c r="G10" s="112">
        <v>90</v>
      </c>
      <c r="H10" s="112">
        <f t="shared" si="3"/>
        <v>2538</v>
      </c>
      <c r="I10" s="112">
        <v>1540</v>
      </c>
      <c r="J10" s="112">
        <f t="shared" si="4"/>
        <v>28490</v>
      </c>
      <c r="K10" s="112"/>
      <c r="L10" s="112">
        <f t="shared" si="5"/>
        <v>0</v>
      </c>
      <c r="M10" s="112"/>
      <c r="N10" s="111">
        <f t="shared" si="6"/>
        <v>0</v>
      </c>
      <c r="O10" s="112"/>
      <c r="P10" s="111">
        <f t="shared" si="7"/>
        <v>0</v>
      </c>
      <c r="Q10" s="111"/>
      <c r="R10" s="111">
        <f t="shared" si="8"/>
        <v>0</v>
      </c>
      <c r="S10" s="112"/>
      <c r="T10" s="112">
        <f t="shared" si="9"/>
        <v>0</v>
      </c>
      <c r="U10" s="112"/>
      <c r="V10" s="112">
        <f t="shared" si="10"/>
        <v>0</v>
      </c>
      <c r="W10" s="112"/>
      <c r="X10" s="19">
        <f t="shared" si="11"/>
        <v>0</v>
      </c>
      <c r="Y10" s="89">
        <f t="shared" si="0"/>
        <v>45950.04</v>
      </c>
    </row>
    <row r="11" spans="1:25" ht="37.5" customHeight="1" x14ac:dyDescent="0.25">
      <c r="A11" s="12"/>
      <c r="B11" s="113"/>
      <c r="C11" s="112"/>
      <c r="D11" s="22">
        <f t="shared" si="1"/>
        <v>0</v>
      </c>
      <c r="E11" s="112"/>
      <c r="F11" s="112">
        <f t="shared" si="2"/>
        <v>0</v>
      </c>
      <c r="G11" s="112"/>
      <c r="H11" s="112">
        <f t="shared" si="3"/>
        <v>0</v>
      </c>
      <c r="I11" s="112"/>
      <c r="J11" s="112">
        <f t="shared" si="4"/>
        <v>0</v>
      </c>
      <c r="K11" s="112"/>
      <c r="L11" s="112">
        <f t="shared" si="5"/>
        <v>0</v>
      </c>
      <c r="M11" s="112"/>
      <c r="N11" s="111">
        <f t="shared" si="6"/>
        <v>0</v>
      </c>
      <c r="O11" s="112"/>
      <c r="P11" s="111">
        <f t="shared" si="7"/>
        <v>0</v>
      </c>
      <c r="Q11" s="111"/>
      <c r="R11" s="111">
        <f t="shared" si="8"/>
        <v>0</v>
      </c>
      <c r="S11" s="112"/>
      <c r="T11" s="112">
        <f t="shared" si="9"/>
        <v>0</v>
      </c>
      <c r="U11" s="112"/>
      <c r="V11" s="112">
        <f t="shared" si="10"/>
        <v>0</v>
      </c>
      <c r="W11" s="112"/>
      <c r="X11" s="19">
        <f t="shared" si="11"/>
        <v>0</v>
      </c>
      <c r="Y11" s="20">
        <f t="shared" si="0"/>
        <v>0</v>
      </c>
    </row>
    <row r="12" spans="1:25" ht="29.25" customHeight="1" x14ac:dyDescent="0.25">
      <c r="A12" s="2235" t="s">
        <v>31</v>
      </c>
      <c r="B12" s="2235"/>
      <c r="C12" s="18">
        <f t="shared" ref="C12:Y12" si="12">SUM(C6:C11)</f>
        <v>75728</v>
      </c>
      <c r="D12" s="18">
        <f t="shared" si="12"/>
        <v>73645.48000000001</v>
      </c>
      <c r="E12" s="18">
        <f t="shared" si="12"/>
        <v>0</v>
      </c>
      <c r="F12" s="18">
        <f t="shared" si="12"/>
        <v>0</v>
      </c>
      <c r="G12" s="18">
        <f t="shared" si="12"/>
        <v>310</v>
      </c>
      <c r="H12" s="18">
        <f t="shared" si="12"/>
        <v>8742</v>
      </c>
      <c r="I12" s="18">
        <f t="shared" si="12"/>
        <v>3320</v>
      </c>
      <c r="J12" s="18">
        <f t="shared" si="12"/>
        <v>61420</v>
      </c>
      <c r="K12" s="18">
        <f t="shared" si="12"/>
        <v>0</v>
      </c>
      <c r="L12" s="18">
        <f t="shared" si="12"/>
        <v>0</v>
      </c>
      <c r="M12" s="18">
        <f t="shared" si="12"/>
        <v>0</v>
      </c>
      <c r="N12" s="23">
        <f t="shared" si="12"/>
        <v>0</v>
      </c>
      <c r="O12" s="18">
        <f t="shared" si="12"/>
        <v>0</v>
      </c>
      <c r="P12" s="23">
        <f t="shared" si="12"/>
        <v>0</v>
      </c>
      <c r="Q12" s="23">
        <f t="shared" si="12"/>
        <v>0</v>
      </c>
      <c r="R12" s="23">
        <f>SUM(R6:R11)</f>
        <v>0</v>
      </c>
      <c r="S12" s="18">
        <f t="shared" si="12"/>
        <v>0</v>
      </c>
      <c r="T12" s="18">
        <f t="shared" si="12"/>
        <v>0</v>
      </c>
      <c r="U12" s="18">
        <f t="shared" si="12"/>
        <v>10</v>
      </c>
      <c r="V12" s="18">
        <f t="shared" si="12"/>
        <v>2320</v>
      </c>
      <c r="W12" s="18">
        <f t="shared" si="12"/>
        <v>0</v>
      </c>
      <c r="X12" s="18">
        <f t="shared" si="12"/>
        <v>0</v>
      </c>
      <c r="Y12" s="18">
        <f t="shared" si="12"/>
        <v>146127.48000000001</v>
      </c>
    </row>
    <row r="14" spans="1:25" ht="32.25" customHeight="1" x14ac:dyDescent="0.25">
      <c r="A14" s="30" t="s">
        <v>32</v>
      </c>
      <c r="B14" s="2236" t="s">
        <v>27</v>
      </c>
      <c r="C14" s="2236"/>
      <c r="D14" s="30" t="s">
        <v>33</v>
      </c>
      <c r="E14" s="30" t="s">
        <v>65</v>
      </c>
      <c r="F14" s="30" t="s">
        <v>34</v>
      </c>
      <c r="G14" s="30" t="s">
        <v>13</v>
      </c>
      <c r="H14" s="31" t="s">
        <v>45</v>
      </c>
      <c r="I14" s="30" t="s">
        <v>17</v>
      </c>
      <c r="J14" s="30" t="s">
        <v>66</v>
      </c>
      <c r="K14" s="30" t="s">
        <v>36</v>
      </c>
      <c r="L14" s="30" t="s">
        <v>37</v>
      </c>
      <c r="M14" s="30" t="s">
        <v>69</v>
      </c>
      <c r="N14" s="30" t="s">
        <v>70</v>
      </c>
      <c r="O14" s="86" t="s">
        <v>114</v>
      </c>
      <c r="P14" s="86" t="s">
        <v>99</v>
      </c>
      <c r="Q14" s="2272" t="s">
        <v>150</v>
      </c>
      <c r="R14" s="2272"/>
      <c r="T14" s="2235" t="s">
        <v>46</v>
      </c>
      <c r="U14" s="114" t="s">
        <v>54</v>
      </c>
      <c r="V14" s="2260">
        <v>220381</v>
      </c>
      <c r="W14" s="2268"/>
      <c r="X14" s="2261"/>
    </row>
    <row r="15" spans="1:25" ht="22.5" customHeight="1" x14ac:dyDescent="0.25">
      <c r="A15" s="100" t="s">
        <v>38</v>
      </c>
      <c r="B15" s="2260">
        <v>373913</v>
      </c>
      <c r="C15" s="2261"/>
      <c r="D15" s="117">
        <v>0</v>
      </c>
      <c r="E15" s="117">
        <v>550</v>
      </c>
      <c r="F15" s="117">
        <v>4540</v>
      </c>
      <c r="G15" s="117">
        <v>0</v>
      </c>
      <c r="H15" s="117">
        <v>291</v>
      </c>
      <c r="I15" s="117">
        <v>44</v>
      </c>
      <c r="J15" s="117">
        <v>105</v>
      </c>
      <c r="K15" s="117">
        <v>30</v>
      </c>
      <c r="L15" s="117">
        <v>191</v>
      </c>
      <c r="M15" s="117">
        <v>0</v>
      </c>
      <c r="N15" s="117">
        <v>100</v>
      </c>
      <c r="O15" s="117">
        <v>0</v>
      </c>
      <c r="P15" s="117">
        <v>691</v>
      </c>
      <c r="Q15" s="2262">
        <v>62</v>
      </c>
      <c r="R15" s="2262"/>
      <c r="T15" s="2235"/>
      <c r="U15" s="114" t="s">
        <v>64</v>
      </c>
      <c r="V15" s="2262">
        <v>10594</v>
      </c>
      <c r="W15" s="2262"/>
      <c r="X15" s="2262"/>
    </row>
    <row r="16" spans="1:25" ht="24.75" customHeight="1" x14ac:dyDescent="0.25">
      <c r="A16" s="100" t="s">
        <v>39</v>
      </c>
      <c r="B16" s="2260"/>
      <c r="C16" s="2261"/>
      <c r="D16" s="117"/>
      <c r="E16" s="117">
        <v>500</v>
      </c>
      <c r="F16" s="117">
        <v>4000</v>
      </c>
      <c r="G16" s="117"/>
      <c r="H16" s="117"/>
      <c r="I16" s="117"/>
      <c r="J16" s="117"/>
      <c r="K16" s="117">
        <v>28</v>
      </c>
      <c r="L16" s="117">
        <v>105</v>
      </c>
      <c r="M16" s="117"/>
      <c r="N16" s="117"/>
      <c r="O16" s="117"/>
      <c r="P16" s="117"/>
      <c r="Q16" s="2225"/>
      <c r="R16" s="2225"/>
      <c r="T16" s="2254" t="s">
        <v>55</v>
      </c>
      <c r="U16" s="2254"/>
      <c r="V16" s="2267">
        <f>Y12</f>
        <v>146127.48000000001</v>
      </c>
      <c r="W16" s="2267"/>
      <c r="X16" s="2262"/>
    </row>
    <row r="17" spans="1:25" ht="28.5" customHeight="1" x14ac:dyDescent="0.25">
      <c r="A17" s="101" t="s">
        <v>44</v>
      </c>
      <c r="B17" s="2260"/>
      <c r="C17" s="2261"/>
      <c r="D17" s="117"/>
      <c r="E17" s="117"/>
      <c r="F17" s="117"/>
      <c r="G17" s="117"/>
      <c r="H17" s="117"/>
      <c r="I17" s="117"/>
      <c r="J17" s="117"/>
      <c r="K17" s="117"/>
      <c r="L17" s="117"/>
      <c r="M17" s="117"/>
      <c r="N17" s="117"/>
      <c r="O17" s="117"/>
      <c r="P17" s="117"/>
      <c r="Q17" s="2225"/>
      <c r="R17" s="2225"/>
      <c r="T17" s="2270" t="s">
        <v>154</v>
      </c>
      <c r="U17" s="2271"/>
      <c r="V17" s="2262">
        <v>4200</v>
      </c>
      <c r="W17" s="2262"/>
      <c r="X17" s="2262"/>
    </row>
    <row r="18" spans="1:25" ht="27" customHeight="1" x14ac:dyDescent="0.25">
      <c r="A18" s="100" t="s">
        <v>40</v>
      </c>
      <c r="B18" s="2264">
        <f>C12</f>
        <v>75728</v>
      </c>
      <c r="C18" s="2261"/>
      <c r="D18" s="119">
        <f>E12</f>
        <v>0</v>
      </c>
      <c r="E18" s="119">
        <f>G12</f>
        <v>310</v>
      </c>
      <c r="F18" s="119">
        <f>I12</f>
        <v>3320</v>
      </c>
      <c r="G18" s="119">
        <f>K12</f>
        <v>0</v>
      </c>
      <c r="H18" s="117">
        <v>105</v>
      </c>
      <c r="I18" s="119">
        <f>U12</f>
        <v>10</v>
      </c>
      <c r="J18" s="117"/>
      <c r="K18" s="119">
        <f>W12</f>
        <v>0</v>
      </c>
      <c r="L18" s="117"/>
      <c r="M18" s="119">
        <f>M12</f>
        <v>0</v>
      </c>
      <c r="N18" s="119"/>
      <c r="O18" s="118">
        <f>Q12</f>
        <v>0</v>
      </c>
      <c r="P18" s="117"/>
      <c r="Q18" s="2225"/>
      <c r="R18" s="2225"/>
      <c r="T18" s="2254" t="s">
        <v>57</v>
      </c>
      <c r="U18" s="2254"/>
      <c r="V18" s="2262">
        <f>450+4200</f>
        <v>4650</v>
      </c>
      <c r="W18" s="2262"/>
      <c r="X18" s="2262"/>
      <c r="Y18" s="2269" t="s">
        <v>155</v>
      </c>
    </row>
    <row r="19" spans="1:25" ht="25.5" customHeight="1" x14ac:dyDescent="0.25">
      <c r="A19" s="100" t="s">
        <v>41</v>
      </c>
      <c r="B19" s="2260">
        <f>B15+B16+B17-B18</f>
        <v>298185</v>
      </c>
      <c r="C19" s="2261"/>
      <c r="D19" s="117">
        <f>D15+D16+D17-D18</f>
        <v>0</v>
      </c>
      <c r="E19" s="117">
        <f t="shared" ref="E19:N19" si="13">E15+E16+E17-E18</f>
        <v>740</v>
      </c>
      <c r="F19" s="117">
        <f t="shared" si="13"/>
        <v>5220</v>
      </c>
      <c r="G19" s="117">
        <f t="shared" si="13"/>
        <v>0</v>
      </c>
      <c r="H19" s="117">
        <f t="shared" si="13"/>
        <v>186</v>
      </c>
      <c r="I19" s="117">
        <f t="shared" si="13"/>
        <v>34</v>
      </c>
      <c r="J19" s="117">
        <f t="shared" si="13"/>
        <v>105</v>
      </c>
      <c r="K19" s="117">
        <f t="shared" si="13"/>
        <v>58</v>
      </c>
      <c r="L19" s="117">
        <f t="shared" si="13"/>
        <v>296</v>
      </c>
      <c r="M19" s="117">
        <f t="shared" si="13"/>
        <v>0</v>
      </c>
      <c r="N19" s="117">
        <f t="shared" si="13"/>
        <v>100</v>
      </c>
      <c r="O19" s="117">
        <f>O15+O16+O17-O18</f>
        <v>0</v>
      </c>
      <c r="P19" s="117">
        <f>P15+P16+P17-P18</f>
        <v>691</v>
      </c>
      <c r="Q19" s="2260">
        <f t="shared" ref="Q19" si="14">Q15+Q16+Q17-Q18</f>
        <v>62</v>
      </c>
      <c r="R19" s="2261"/>
      <c r="T19" s="2256" t="s">
        <v>48</v>
      </c>
      <c r="U19" s="49" t="s">
        <v>58</v>
      </c>
      <c r="V19" s="2262">
        <v>341600</v>
      </c>
      <c r="W19" s="2262"/>
      <c r="X19" s="2262"/>
      <c r="Y19" s="2269"/>
    </row>
    <row r="20" spans="1:25" ht="23.25" customHeight="1" x14ac:dyDescent="0.25">
      <c r="A20" s="15"/>
      <c r="B20" s="10"/>
      <c r="C20" s="10"/>
      <c r="D20" s="10"/>
      <c r="E20" s="10"/>
      <c r="F20" s="10"/>
      <c r="G20" s="10"/>
      <c r="H20" s="10"/>
      <c r="I20" s="10"/>
      <c r="J20" s="10"/>
      <c r="K20" s="10"/>
      <c r="L20" s="10"/>
      <c r="M20" s="10"/>
      <c r="N20" s="10"/>
      <c r="O20" s="10"/>
      <c r="P20" s="10"/>
      <c r="Q20" s="10"/>
      <c r="R20" s="10"/>
      <c r="T20" s="2257"/>
      <c r="U20" s="49" t="s">
        <v>59</v>
      </c>
      <c r="V20" s="2262"/>
      <c r="W20" s="2262"/>
      <c r="X20" s="2262"/>
      <c r="Y20" s="2269"/>
    </row>
    <row r="21" spans="1:25" ht="35.25" customHeight="1" x14ac:dyDescent="0.25">
      <c r="A21" s="15"/>
      <c r="B21" s="10"/>
      <c r="C21" s="10"/>
      <c r="D21" s="10"/>
      <c r="E21" s="10"/>
      <c r="F21" s="10"/>
      <c r="G21" s="10"/>
      <c r="H21" s="10"/>
      <c r="I21" s="10"/>
      <c r="J21" s="10"/>
      <c r="K21" s="10"/>
      <c r="L21" s="10"/>
      <c r="M21" s="10"/>
      <c r="N21" s="10"/>
      <c r="O21" s="10"/>
      <c r="P21" s="10"/>
      <c r="Q21" s="10"/>
      <c r="R21" s="10"/>
      <c r="T21" s="2251" t="s">
        <v>83</v>
      </c>
      <c r="U21" s="50" t="s">
        <v>60</v>
      </c>
      <c r="V21" s="2262">
        <v>341600</v>
      </c>
      <c r="W21" s="2262"/>
      <c r="X21" s="2262"/>
      <c r="Y21" s="2269"/>
    </row>
    <row r="22" spans="1:25" ht="39.75" customHeight="1" x14ac:dyDescent="0.25">
      <c r="A22" s="10"/>
      <c r="B22" s="2258" t="s">
        <v>49</v>
      </c>
      <c r="C22" s="2265">
        <v>891557</v>
      </c>
      <c r="D22" s="2262">
        <v>341600</v>
      </c>
      <c r="E22" s="2262">
        <v>87196</v>
      </c>
      <c r="F22" s="2262">
        <f>C22-D22+E22</f>
        <v>637153</v>
      </c>
      <c r="G22" s="10"/>
      <c r="H22" s="10"/>
      <c r="I22" s="10"/>
      <c r="J22" s="10"/>
      <c r="K22" s="10"/>
      <c r="L22" s="10"/>
      <c r="M22" s="10" t="s">
        <v>140</v>
      </c>
      <c r="N22" s="10"/>
      <c r="O22" s="10"/>
      <c r="P22" s="10"/>
      <c r="Q22" s="10"/>
      <c r="R22" s="10"/>
      <c r="T22" s="2252"/>
      <c r="U22" s="50" t="s">
        <v>61</v>
      </c>
      <c r="V22" s="2262">
        <v>341600</v>
      </c>
      <c r="W22" s="2262"/>
      <c r="X22" s="2262"/>
      <c r="Y22" s="2269"/>
    </row>
    <row r="23" spans="1:25" ht="47.25" customHeight="1" x14ac:dyDescent="0.25">
      <c r="A23" s="10"/>
      <c r="B23" s="2258"/>
      <c r="C23" s="2266"/>
      <c r="D23" s="2262"/>
      <c r="E23" s="2262"/>
      <c r="F23" s="2262"/>
      <c r="G23" s="10"/>
      <c r="H23" s="10"/>
      <c r="I23" s="10"/>
      <c r="J23" s="10"/>
      <c r="K23" s="10"/>
      <c r="L23" s="10"/>
      <c r="M23" s="10"/>
      <c r="N23" s="10"/>
      <c r="O23" s="10"/>
      <c r="P23" s="10"/>
      <c r="Q23" s="10"/>
      <c r="R23" s="10"/>
      <c r="T23" s="2235" t="s">
        <v>47</v>
      </c>
      <c r="U23" s="51" t="s">
        <v>62</v>
      </c>
      <c r="V23" s="2263">
        <f>V14+V16+V17-V18-V19-V20-V21+V22</f>
        <v>24458.479999999981</v>
      </c>
      <c r="W23" s="2263"/>
      <c r="X23" s="2263"/>
      <c r="Y23" s="2269"/>
    </row>
    <row r="24" spans="1:25" ht="40.5" customHeight="1" x14ac:dyDescent="0.25">
      <c r="B24" s="2258"/>
      <c r="C24" s="114" t="s">
        <v>46</v>
      </c>
      <c r="D24" s="114" t="s">
        <v>50</v>
      </c>
      <c r="E24" s="114" t="s">
        <v>51</v>
      </c>
      <c r="F24" s="114" t="s">
        <v>52</v>
      </c>
      <c r="T24" s="2235"/>
      <c r="U24" s="51" t="s">
        <v>63</v>
      </c>
      <c r="V24" s="2262">
        <f>V15+V21-V22</f>
        <v>10594</v>
      </c>
      <c r="W24" s="2262"/>
      <c r="X24" s="2262"/>
    </row>
  </sheetData>
  <mergeCells count="54">
    <mergeCell ref="A1:Y1"/>
    <mergeCell ref="A2:Y2"/>
    <mergeCell ref="T3:Y3"/>
    <mergeCell ref="A4:A5"/>
    <mergeCell ref="B4:B5"/>
    <mergeCell ref="C4:D4"/>
    <mergeCell ref="E4:F4"/>
    <mergeCell ref="G4:H4"/>
    <mergeCell ref="I4:J4"/>
    <mergeCell ref="K4:L4"/>
    <mergeCell ref="Y4:Y5"/>
    <mergeCell ref="M4:N4"/>
    <mergeCell ref="O4:P4"/>
    <mergeCell ref="Q4:R4"/>
    <mergeCell ref="S4:T4"/>
    <mergeCell ref="U4:V4"/>
    <mergeCell ref="W4:X4"/>
    <mergeCell ref="B16:C16"/>
    <mergeCell ref="Q16:R16"/>
    <mergeCell ref="T16:U16"/>
    <mergeCell ref="V16:X16"/>
    <mergeCell ref="A12:B12"/>
    <mergeCell ref="B14:C14"/>
    <mergeCell ref="Q14:R14"/>
    <mergeCell ref="T14:T15"/>
    <mergeCell ref="V14:X14"/>
    <mergeCell ref="B15:C15"/>
    <mergeCell ref="Q15:R15"/>
    <mergeCell ref="V15:X15"/>
    <mergeCell ref="B17:C17"/>
    <mergeCell ref="Q17:R17"/>
    <mergeCell ref="T17:U17"/>
    <mergeCell ref="V17:X17"/>
    <mergeCell ref="B18:C18"/>
    <mergeCell ref="Q18:R18"/>
    <mergeCell ref="T18:U18"/>
    <mergeCell ref="V18:X18"/>
    <mergeCell ref="Y18:Y23"/>
    <mergeCell ref="B19:C19"/>
    <mergeCell ref="Q19:R19"/>
    <mergeCell ref="T19:T20"/>
    <mergeCell ref="V19:X19"/>
    <mergeCell ref="V20:X20"/>
    <mergeCell ref="V24:X24"/>
    <mergeCell ref="T21:T22"/>
    <mergeCell ref="V21:X21"/>
    <mergeCell ref="B22:B24"/>
    <mergeCell ref="C22:C23"/>
    <mergeCell ref="D22:D23"/>
    <mergeCell ref="E22:E23"/>
    <mergeCell ref="F22:F23"/>
    <mergeCell ref="V22:X22"/>
    <mergeCell ref="T23:T24"/>
    <mergeCell ref="V23:X23"/>
  </mergeCells>
  <pageMargins left="0.15748031496063" right="0.15748031496063" top="0" bottom="0" header="0" footer="0"/>
  <pageSetup paperSize="9" scale="51" orientation="landscape" r:id="rId1"/>
</worksheet>
</file>

<file path=xl/worksheets/sheet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500-000000000000}">
  <sheetPr>
    <pageSetUpPr fitToPage="1"/>
  </sheetPr>
  <dimension ref="A1:Y24"/>
  <sheetViews>
    <sheetView topLeftCell="A10" zoomScale="67" zoomScaleNormal="67" zoomScaleSheetLayoutView="100" workbookViewId="0">
      <selection activeCell="N22" sqref="N22"/>
    </sheetView>
  </sheetViews>
  <sheetFormatPr defaultColWidth="9.140625" defaultRowHeight="15" x14ac:dyDescent="0.25"/>
  <cols>
    <col min="1" max="1" width="18.28515625" style="14" customWidth="1"/>
    <col min="2" max="2" width="10.7109375" style="14" customWidth="1"/>
    <col min="3" max="3" width="12.28515625" style="14" customWidth="1"/>
    <col min="4" max="4" width="11" style="14" customWidth="1"/>
    <col min="5" max="5" width="12" style="14" customWidth="1"/>
    <col min="6" max="6" width="12.5703125" style="14" bestFit="1" customWidth="1"/>
    <col min="7" max="7" width="9.28515625" style="14" bestFit="1" customWidth="1"/>
    <col min="8" max="8" width="10.140625" style="14" bestFit="1" customWidth="1"/>
    <col min="9" max="9" width="10.5703125" style="14" bestFit="1" customWidth="1"/>
    <col min="10" max="10" width="10.5703125" style="14" customWidth="1"/>
    <col min="11" max="11" width="10.28515625" style="14" bestFit="1" customWidth="1"/>
    <col min="12" max="12" width="9.42578125" style="14" bestFit="1" customWidth="1"/>
    <col min="13" max="13" width="9.85546875" style="14" bestFit="1" customWidth="1"/>
    <col min="14" max="14" width="10.140625" style="14" bestFit="1" customWidth="1"/>
    <col min="15" max="15" width="9" style="14" customWidth="1"/>
    <col min="16" max="16" width="12.85546875" style="14" bestFit="1" customWidth="1"/>
    <col min="17" max="18" width="9.42578125" style="14" customWidth="1"/>
    <col min="19" max="19" width="7.5703125" style="14" customWidth="1"/>
    <col min="20" max="20" width="12.140625" style="14" customWidth="1"/>
    <col min="21" max="21" width="15.5703125" style="14" customWidth="1"/>
    <col min="22" max="22" width="9.85546875" style="14" customWidth="1"/>
    <col min="23" max="23" width="10.140625" style="14" bestFit="1" customWidth="1"/>
    <col min="24" max="24" width="9.85546875" style="14" bestFit="1" customWidth="1"/>
    <col min="25" max="25" width="17.5703125" style="14" customWidth="1"/>
    <col min="26" max="16384" width="9.140625" style="14"/>
  </cols>
  <sheetData>
    <row r="1" spans="1:25" ht="46.15" customHeight="1" x14ac:dyDescent="0.25">
      <c r="A1" s="2240" t="s">
        <v>148</v>
      </c>
      <c r="B1" s="2240"/>
      <c r="C1" s="2240"/>
      <c r="D1" s="2240"/>
      <c r="E1" s="2240"/>
      <c r="F1" s="2240"/>
      <c r="G1" s="2240"/>
      <c r="H1" s="2240"/>
      <c r="I1" s="2240"/>
      <c r="J1" s="2240"/>
      <c r="K1" s="2240"/>
      <c r="L1" s="2240"/>
      <c r="M1" s="2240"/>
      <c r="N1" s="2240"/>
      <c r="O1" s="2240"/>
      <c r="P1" s="2240"/>
      <c r="Q1" s="2240"/>
      <c r="R1" s="2240"/>
      <c r="S1" s="2240"/>
      <c r="T1" s="2240"/>
      <c r="U1" s="2240"/>
      <c r="V1" s="2240"/>
      <c r="W1" s="2240"/>
      <c r="X1" s="2240"/>
      <c r="Y1" s="2240"/>
    </row>
    <row r="2" spans="1:25" ht="21.6" customHeight="1" x14ac:dyDescent="0.25">
      <c r="A2" s="2241" t="s">
        <v>77</v>
      </c>
      <c r="B2" s="2241"/>
      <c r="C2" s="2241"/>
      <c r="D2" s="2241"/>
      <c r="E2" s="2241"/>
      <c r="F2" s="2241"/>
      <c r="G2" s="2241"/>
      <c r="H2" s="2241"/>
      <c r="I2" s="2241"/>
      <c r="J2" s="2241"/>
      <c r="K2" s="2241"/>
      <c r="L2" s="2241"/>
      <c r="M2" s="2241"/>
      <c r="N2" s="2241"/>
      <c r="O2" s="2241"/>
      <c r="P2" s="2241"/>
      <c r="Q2" s="2241"/>
      <c r="R2" s="2241"/>
      <c r="S2" s="2241"/>
      <c r="T2" s="2241"/>
      <c r="U2" s="2241"/>
      <c r="V2" s="2241"/>
      <c r="W2" s="2241"/>
      <c r="X2" s="2241"/>
      <c r="Y2" s="2241"/>
    </row>
    <row r="3" spans="1:25" ht="21" customHeight="1" x14ac:dyDescent="0.25">
      <c r="A3" s="116"/>
      <c r="B3" s="116"/>
      <c r="C3" s="116"/>
      <c r="D3" s="116"/>
      <c r="E3" s="116"/>
      <c r="F3" s="116"/>
      <c r="G3" s="116"/>
      <c r="H3" s="116"/>
      <c r="I3" s="116"/>
      <c r="J3" s="116"/>
      <c r="K3" s="116"/>
      <c r="L3" s="116"/>
      <c r="M3" s="116"/>
      <c r="N3" s="116"/>
      <c r="O3" s="116"/>
      <c r="P3" s="116"/>
      <c r="Q3" s="116"/>
      <c r="R3" s="116"/>
      <c r="S3" s="116"/>
      <c r="T3" s="2242" t="s">
        <v>156</v>
      </c>
      <c r="U3" s="2242"/>
      <c r="V3" s="2242"/>
      <c r="W3" s="2242"/>
      <c r="X3" s="2242"/>
      <c r="Y3" s="2242"/>
    </row>
    <row r="4" spans="1:25" s="116" customFormat="1" ht="18" customHeight="1" x14ac:dyDescent="0.25">
      <c r="A4" s="2243" t="s">
        <v>25</v>
      </c>
      <c r="B4" s="2243" t="s">
        <v>26</v>
      </c>
      <c r="C4" s="2244" t="s">
        <v>27</v>
      </c>
      <c r="D4" s="2244"/>
      <c r="E4" s="2244" t="s">
        <v>28</v>
      </c>
      <c r="F4" s="2244"/>
      <c r="G4" s="2244" t="s">
        <v>65</v>
      </c>
      <c r="H4" s="2244"/>
      <c r="I4" s="2244" t="s">
        <v>29</v>
      </c>
      <c r="J4" s="2244"/>
      <c r="K4" s="2245" t="s">
        <v>13</v>
      </c>
      <c r="L4" s="2246"/>
      <c r="M4" s="2245" t="s">
        <v>67</v>
      </c>
      <c r="N4" s="2246"/>
      <c r="O4" s="2245" t="s">
        <v>68</v>
      </c>
      <c r="P4" s="2246"/>
      <c r="Q4" s="2245" t="s">
        <v>114</v>
      </c>
      <c r="R4" s="2246"/>
      <c r="S4" s="2244" t="s">
        <v>35</v>
      </c>
      <c r="T4" s="2244"/>
      <c r="U4" s="2245" t="s">
        <v>17</v>
      </c>
      <c r="V4" s="2246"/>
      <c r="W4" s="2247" t="s">
        <v>36</v>
      </c>
      <c r="X4" s="2248"/>
      <c r="Y4" s="2238" t="s">
        <v>30</v>
      </c>
    </row>
    <row r="5" spans="1:25" s="116" customFormat="1" ht="25.5" customHeight="1" x14ac:dyDescent="0.25">
      <c r="A5" s="2243"/>
      <c r="B5" s="2243"/>
      <c r="C5" s="115" t="s">
        <v>42</v>
      </c>
      <c r="D5" s="115" t="s">
        <v>43</v>
      </c>
      <c r="E5" s="115" t="s">
        <v>42</v>
      </c>
      <c r="F5" s="115" t="s">
        <v>43</v>
      </c>
      <c r="G5" s="115" t="s">
        <v>42</v>
      </c>
      <c r="H5" s="115" t="s">
        <v>43</v>
      </c>
      <c r="I5" s="115" t="s">
        <v>42</v>
      </c>
      <c r="J5" s="115" t="s">
        <v>43</v>
      </c>
      <c r="K5" s="115" t="s">
        <v>42</v>
      </c>
      <c r="L5" s="115" t="s">
        <v>43</v>
      </c>
      <c r="M5" s="115" t="s">
        <v>42</v>
      </c>
      <c r="N5" s="115" t="s">
        <v>43</v>
      </c>
      <c r="O5" s="115" t="s">
        <v>42</v>
      </c>
      <c r="P5" s="115" t="s">
        <v>43</v>
      </c>
      <c r="Q5" s="115" t="s">
        <v>42</v>
      </c>
      <c r="R5" s="115" t="s">
        <v>43</v>
      </c>
      <c r="S5" s="33" t="s">
        <v>42</v>
      </c>
      <c r="T5" s="33" t="s">
        <v>43</v>
      </c>
      <c r="U5" s="30" t="s">
        <v>42</v>
      </c>
      <c r="V5" s="30" t="s">
        <v>43</v>
      </c>
      <c r="W5" s="30" t="s">
        <v>42</v>
      </c>
      <c r="X5" s="30" t="s">
        <v>43</v>
      </c>
      <c r="Y5" s="2239"/>
    </row>
    <row r="6" spans="1:25" ht="34.5" customHeight="1" x14ac:dyDescent="0.25">
      <c r="A6" s="12">
        <v>1409935200</v>
      </c>
      <c r="B6" s="114" t="s">
        <v>71</v>
      </c>
      <c r="C6" s="112">
        <v>29486</v>
      </c>
      <c r="D6" s="111">
        <f>0.9725*C6</f>
        <v>28675.135000000002</v>
      </c>
      <c r="E6" s="112"/>
      <c r="F6" s="112">
        <f>13.7*E6</f>
        <v>0</v>
      </c>
      <c r="G6" s="112"/>
      <c r="H6" s="112">
        <f>28.2*G6</f>
        <v>0</v>
      </c>
      <c r="I6" s="112">
        <v>320</v>
      </c>
      <c r="J6" s="112">
        <f>18.5*I6</f>
        <v>5920</v>
      </c>
      <c r="K6" s="112"/>
      <c r="L6" s="112">
        <f>19.5*K6</f>
        <v>0</v>
      </c>
      <c r="M6" s="112"/>
      <c r="N6" s="111">
        <f>M6*9.75</f>
        <v>0</v>
      </c>
      <c r="O6" s="112"/>
      <c r="P6" s="111">
        <f>O6*48.62</f>
        <v>0</v>
      </c>
      <c r="Q6" s="111"/>
      <c r="R6" s="111">
        <f>241*Q6</f>
        <v>0</v>
      </c>
      <c r="S6" s="112"/>
      <c r="T6" s="112">
        <f>241*S6</f>
        <v>0</v>
      </c>
      <c r="U6" s="112">
        <v>5</v>
      </c>
      <c r="V6" s="112">
        <f>232*U6</f>
        <v>1160</v>
      </c>
      <c r="W6" s="112"/>
      <c r="X6" s="19">
        <f>W6*100</f>
        <v>0</v>
      </c>
      <c r="Y6" s="89">
        <f t="shared" ref="Y6:Y11" si="0">D6+F6+H6+J6+L6+N6+P6+R6+T6+V6+X6</f>
        <v>35755.135000000002</v>
      </c>
    </row>
    <row r="7" spans="1:25" ht="31.5" customHeight="1" x14ac:dyDescent="0.25">
      <c r="A7" s="12">
        <v>1984225578</v>
      </c>
      <c r="B7" s="114" t="s">
        <v>72</v>
      </c>
      <c r="C7" s="112">
        <v>32104</v>
      </c>
      <c r="D7" s="111">
        <f t="shared" ref="D7:D11" si="1">0.9725*C7</f>
        <v>31221.14</v>
      </c>
      <c r="E7" s="112"/>
      <c r="F7" s="112">
        <f t="shared" ref="F7:F11" si="2">13.7*E7</f>
        <v>0</v>
      </c>
      <c r="G7" s="112"/>
      <c r="H7" s="112">
        <f t="shared" ref="H7:H11" si="3">28.2*G7</f>
        <v>0</v>
      </c>
      <c r="I7" s="112">
        <v>450</v>
      </c>
      <c r="J7" s="112">
        <f t="shared" ref="J7:J11" si="4">18.5*I7</f>
        <v>8325</v>
      </c>
      <c r="K7" s="112"/>
      <c r="L7" s="112">
        <f t="shared" ref="L7:L11" si="5">19.5*K7</f>
        <v>0</v>
      </c>
      <c r="M7" s="112"/>
      <c r="N7" s="111">
        <f t="shared" ref="N7:N11" si="6">M7*9.75</f>
        <v>0</v>
      </c>
      <c r="O7" s="112"/>
      <c r="P7" s="111">
        <f t="shared" ref="P7:P11" si="7">O7*48.62</f>
        <v>0</v>
      </c>
      <c r="Q7" s="111"/>
      <c r="R7" s="111">
        <f t="shared" ref="R7:R11" si="8">241*Q7</f>
        <v>0</v>
      </c>
      <c r="S7" s="112"/>
      <c r="T7" s="112">
        <f t="shared" ref="T7:T11" si="9">241*S7</f>
        <v>0</v>
      </c>
      <c r="U7" s="112"/>
      <c r="V7" s="112">
        <f t="shared" ref="V7:V11" si="10">232*U7</f>
        <v>0</v>
      </c>
      <c r="W7" s="112"/>
      <c r="X7" s="19">
        <f t="shared" ref="X7:X11" si="11">W7*100</f>
        <v>0</v>
      </c>
      <c r="Y7" s="89">
        <f t="shared" si="0"/>
        <v>39546.14</v>
      </c>
    </row>
    <row r="8" spans="1:25" ht="35.25" customHeight="1" x14ac:dyDescent="0.25">
      <c r="A8" s="12">
        <v>1967020280</v>
      </c>
      <c r="B8" s="114" t="s">
        <v>73</v>
      </c>
      <c r="C8" s="112">
        <v>15723</v>
      </c>
      <c r="D8" s="111">
        <f t="shared" si="1"/>
        <v>15290.6175</v>
      </c>
      <c r="E8" s="112"/>
      <c r="F8" s="112">
        <f t="shared" si="2"/>
        <v>0</v>
      </c>
      <c r="G8" s="112"/>
      <c r="H8" s="112">
        <f t="shared" si="3"/>
        <v>0</v>
      </c>
      <c r="I8" s="112"/>
      <c r="J8" s="112">
        <f t="shared" si="4"/>
        <v>0</v>
      </c>
      <c r="K8" s="112"/>
      <c r="L8" s="112">
        <f t="shared" si="5"/>
        <v>0</v>
      </c>
      <c r="M8" s="112"/>
      <c r="N8" s="111">
        <f t="shared" si="6"/>
        <v>0</v>
      </c>
      <c r="O8" s="112"/>
      <c r="P8" s="111">
        <f t="shared" si="7"/>
        <v>0</v>
      </c>
      <c r="Q8" s="111"/>
      <c r="R8" s="111">
        <f t="shared" si="8"/>
        <v>0</v>
      </c>
      <c r="S8" s="112"/>
      <c r="T8" s="112">
        <f t="shared" si="9"/>
        <v>0</v>
      </c>
      <c r="U8" s="112"/>
      <c r="V8" s="112">
        <f t="shared" si="10"/>
        <v>0</v>
      </c>
      <c r="W8" s="112"/>
      <c r="X8" s="19">
        <f t="shared" si="11"/>
        <v>0</v>
      </c>
      <c r="Y8" s="89">
        <f t="shared" si="0"/>
        <v>15290.6175</v>
      </c>
    </row>
    <row r="9" spans="1:25" ht="38.25" customHeight="1" x14ac:dyDescent="0.25">
      <c r="A9" s="12">
        <v>1409935199</v>
      </c>
      <c r="B9" s="114" t="s">
        <v>74</v>
      </c>
      <c r="C9" s="112"/>
      <c r="D9" s="111">
        <f t="shared" si="1"/>
        <v>0</v>
      </c>
      <c r="E9" s="112"/>
      <c r="F9" s="112">
        <f t="shared" si="2"/>
        <v>0</v>
      </c>
      <c r="G9" s="112"/>
      <c r="H9" s="112">
        <f t="shared" si="3"/>
        <v>0</v>
      </c>
      <c r="I9" s="112"/>
      <c r="J9" s="112">
        <f t="shared" si="4"/>
        <v>0</v>
      </c>
      <c r="K9" s="112"/>
      <c r="L9" s="112">
        <f t="shared" si="5"/>
        <v>0</v>
      </c>
      <c r="M9" s="112"/>
      <c r="N9" s="111">
        <f t="shared" si="6"/>
        <v>0</v>
      </c>
      <c r="O9" s="112"/>
      <c r="P9" s="111">
        <f t="shared" si="7"/>
        <v>0</v>
      </c>
      <c r="Q9" s="111"/>
      <c r="R9" s="111">
        <f t="shared" si="8"/>
        <v>0</v>
      </c>
      <c r="S9" s="112"/>
      <c r="T9" s="112">
        <f t="shared" si="9"/>
        <v>0</v>
      </c>
      <c r="U9" s="112"/>
      <c r="V9" s="112">
        <f t="shared" si="10"/>
        <v>0</v>
      </c>
      <c r="W9" s="112"/>
      <c r="X9" s="19">
        <f t="shared" si="11"/>
        <v>0</v>
      </c>
      <c r="Y9" s="89">
        <f t="shared" si="0"/>
        <v>0</v>
      </c>
    </row>
    <row r="10" spans="1:25" ht="35.25" customHeight="1" x14ac:dyDescent="0.25">
      <c r="A10" s="12">
        <v>1984225580</v>
      </c>
      <c r="B10" s="114" t="s">
        <v>75</v>
      </c>
      <c r="C10" s="112">
        <v>36859</v>
      </c>
      <c r="D10" s="111">
        <f t="shared" si="1"/>
        <v>35845.377500000002</v>
      </c>
      <c r="E10" s="112"/>
      <c r="F10" s="112">
        <f t="shared" si="2"/>
        <v>0</v>
      </c>
      <c r="G10" s="112">
        <v>240</v>
      </c>
      <c r="H10" s="112">
        <f t="shared" si="3"/>
        <v>6768</v>
      </c>
      <c r="I10" s="112">
        <v>140</v>
      </c>
      <c r="J10" s="112">
        <f t="shared" si="4"/>
        <v>2590</v>
      </c>
      <c r="K10" s="112"/>
      <c r="L10" s="112">
        <f t="shared" si="5"/>
        <v>0</v>
      </c>
      <c r="M10" s="112"/>
      <c r="N10" s="111">
        <f t="shared" si="6"/>
        <v>0</v>
      </c>
      <c r="O10" s="112"/>
      <c r="P10" s="111">
        <f t="shared" si="7"/>
        <v>0</v>
      </c>
      <c r="Q10" s="111"/>
      <c r="R10" s="111">
        <f t="shared" si="8"/>
        <v>0</v>
      </c>
      <c r="S10" s="112"/>
      <c r="T10" s="112">
        <f t="shared" si="9"/>
        <v>0</v>
      </c>
      <c r="U10" s="112">
        <v>4</v>
      </c>
      <c r="V10" s="112">
        <f t="shared" si="10"/>
        <v>928</v>
      </c>
      <c r="W10" s="112"/>
      <c r="X10" s="19">
        <f t="shared" si="11"/>
        <v>0</v>
      </c>
      <c r="Y10" s="89">
        <f t="shared" si="0"/>
        <v>46131.377500000002</v>
      </c>
    </row>
    <row r="11" spans="1:25" ht="37.5" customHeight="1" x14ac:dyDescent="0.25">
      <c r="A11" s="12"/>
      <c r="B11" s="113"/>
      <c r="C11" s="112"/>
      <c r="D11" s="22">
        <f t="shared" si="1"/>
        <v>0</v>
      </c>
      <c r="E11" s="112"/>
      <c r="F11" s="112">
        <f t="shared" si="2"/>
        <v>0</v>
      </c>
      <c r="G11" s="112"/>
      <c r="H11" s="112">
        <f t="shared" si="3"/>
        <v>0</v>
      </c>
      <c r="I11" s="112"/>
      <c r="J11" s="112">
        <f t="shared" si="4"/>
        <v>0</v>
      </c>
      <c r="K11" s="112"/>
      <c r="L11" s="112">
        <f t="shared" si="5"/>
        <v>0</v>
      </c>
      <c r="M11" s="112"/>
      <c r="N11" s="111">
        <f t="shared" si="6"/>
        <v>0</v>
      </c>
      <c r="O11" s="112"/>
      <c r="P11" s="111">
        <f t="shared" si="7"/>
        <v>0</v>
      </c>
      <c r="Q11" s="111"/>
      <c r="R11" s="111">
        <f t="shared" si="8"/>
        <v>0</v>
      </c>
      <c r="S11" s="112"/>
      <c r="T11" s="112">
        <f t="shared" si="9"/>
        <v>0</v>
      </c>
      <c r="U11" s="112"/>
      <c r="V11" s="112">
        <f t="shared" si="10"/>
        <v>0</v>
      </c>
      <c r="W11" s="112"/>
      <c r="X11" s="19">
        <f t="shared" si="11"/>
        <v>0</v>
      </c>
      <c r="Y11" s="20">
        <f t="shared" si="0"/>
        <v>0</v>
      </c>
    </row>
    <row r="12" spans="1:25" ht="29.25" customHeight="1" x14ac:dyDescent="0.25">
      <c r="A12" s="2235" t="s">
        <v>31</v>
      </c>
      <c r="B12" s="2235"/>
      <c r="C12" s="18">
        <f t="shared" ref="C12:Y12" si="12">SUM(C6:C11)</f>
        <v>114172</v>
      </c>
      <c r="D12" s="18">
        <f t="shared" si="12"/>
        <v>111032.27</v>
      </c>
      <c r="E12" s="18">
        <f t="shared" si="12"/>
        <v>0</v>
      </c>
      <c r="F12" s="18">
        <f t="shared" si="12"/>
        <v>0</v>
      </c>
      <c r="G12" s="18">
        <f t="shared" si="12"/>
        <v>240</v>
      </c>
      <c r="H12" s="18">
        <f t="shared" si="12"/>
        <v>6768</v>
      </c>
      <c r="I12" s="18">
        <f t="shared" si="12"/>
        <v>910</v>
      </c>
      <c r="J12" s="18">
        <f t="shared" si="12"/>
        <v>16835</v>
      </c>
      <c r="K12" s="18">
        <f t="shared" si="12"/>
        <v>0</v>
      </c>
      <c r="L12" s="18">
        <f t="shared" si="12"/>
        <v>0</v>
      </c>
      <c r="M12" s="18">
        <f t="shared" si="12"/>
        <v>0</v>
      </c>
      <c r="N12" s="23">
        <f t="shared" si="12"/>
        <v>0</v>
      </c>
      <c r="O12" s="18">
        <f t="shared" si="12"/>
        <v>0</v>
      </c>
      <c r="P12" s="23">
        <f t="shared" si="12"/>
        <v>0</v>
      </c>
      <c r="Q12" s="23">
        <f t="shared" si="12"/>
        <v>0</v>
      </c>
      <c r="R12" s="23">
        <f>SUM(R6:R11)</f>
        <v>0</v>
      </c>
      <c r="S12" s="18">
        <f t="shared" si="12"/>
        <v>0</v>
      </c>
      <c r="T12" s="18">
        <f t="shared" si="12"/>
        <v>0</v>
      </c>
      <c r="U12" s="18">
        <f t="shared" si="12"/>
        <v>9</v>
      </c>
      <c r="V12" s="18">
        <f t="shared" si="12"/>
        <v>2088</v>
      </c>
      <c r="W12" s="18">
        <f t="shared" si="12"/>
        <v>0</v>
      </c>
      <c r="X12" s="18">
        <f t="shared" si="12"/>
        <v>0</v>
      </c>
      <c r="Y12" s="18">
        <f t="shared" si="12"/>
        <v>136723.26999999999</v>
      </c>
    </row>
    <row r="14" spans="1:25" ht="32.25" customHeight="1" x14ac:dyDescent="0.25">
      <c r="A14" s="30" t="s">
        <v>32</v>
      </c>
      <c r="B14" s="2236" t="s">
        <v>27</v>
      </c>
      <c r="C14" s="2236"/>
      <c r="D14" s="30" t="s">
        <v>33</v>
      </c>
      <c r="E14" s="30" t="s">
        <v>65</v>
      </c>
      <c r="F14" s="30" t="s">
        <v>34</v>
      </c>
      <c r="G14" s="30" t="s">
        <v>13</v>
      </c>
      <c r="H14" s="31" t="s">
        <v>45</v>
      </c>
      <c r="I14" s="30" t="s">
        <v>17</v>
      </c>
      <c r="J14" s="30" t="s">
        <v>66</v>
      </c>
      <c r="K14" s="30" t="s">
        <v>36</v>
      </c>
      <c r="L14" s="30" t="s">
        <v>37</v>
      </c>
      <c r="M14" s="30" t="s">
        <v>69</v>
      </c>
      <c r="N14" s="30" t="s">
        <v>70</v>
      </c>
      <c r="O14" s="86" t="s">
        <v>114</v>
      </c>
      <c r="P14" s="86" t="s">
        <v>99</v>
      </c>
      <c r="Q14" s="2272" t="s">
        <v>150</v>
      </c>
      <c r="R14" s="2272"/>
      <c r="T14" s="2235" t="s">
        <v>46</v>
      </c>
      <c r="U14" s="114" t="s">
        <v>54</v>
      </c>
      <c r="V14" s="2260">
        <v>24458</v>
      </c>
      <c r="W14" s="2268"/>
      <c r="X14" s="2261"/>
    </row>
    <row r="15" spans="1:25" ht="22.5" customHeight="1" x14ac:dyDescent="0.25">
      <c r="A15" s="100" t="s">
        <v>38</v>
      </c>
      <c r="B15" s="2260">
        <v>298185</v>
      </c>
      <c r="C15" s="2261"/>
      <c r="D15" s="117">
        <v>0</v>
      </c>
      <c r="E15" s="117">
        <v>740</v>
      </c>
      <c r="F15" s="117">
        <v>5220</v>
      </c>
      <c r="G15" s="117">
        <v>0</v>
      </c>
      <c r="H15" s="117">
        <v>186</v>
      </c>
      <c r="I15" s="117">
        <v>34</v>
      </c>
      <c r="J15" s="117">
        <v>105</v>
      </c>
      <c r="K15" s="117">
        <v>58</v>
      </c>
      <c r="L15" s="117">
        <v>296</v>
      </c>
      <c r="M15" s="117">
        <v>0</v>
      </c>
      <c r="N15" s="117">
        <v>100</v>
      </c>
      <c r="O15" s="117">
        <v>0</v>
      </c>
      <c r="P15" s="117">
        <v>691</v>
      </c>
      <c r="Q15" s="2262">
        <v>62</v>
      </c>
      <c r="R15" s="2262"/>
      <c r="T15" s="2235"/>
      <c r="U15" s="114" t="s">
        <v>64</v>
      </c>
      <c r="V15" s="2262">
        <v>10594</v>
      </c>
      <c r="W15" s="2262"/>
      <c r="X15" s="2262"/>
    </row>
    <row r="16" spans="1:25" ht="24.75" customHeight="1" x14ac:dyDescent="0.25">
      <c r="A16" s="100" t="s">
        <v>39</v>
      </c>
      <c r="B16" s="2260">
        <v>144104</v>
      </c>
      <c r="C16" s="2261"/>
      <c r="D16" s="117"/>
      <c r="E16" s="117"/>
      <c r="F16" s="117"/>
      <c r="G16" s="117"/>
      <c r="H16" s="117"/>
      <c r="I16" s="117"/>
      <c r="J16" s="117"/>
      <c r="K16" s="117"/>
      <c r="L16" s="117">
        <v>80</v>
      </c>
      <c r="M16" s="117"/>
      <c r="N16" s="117"/>
      <c r="O16" s="117"/>
      <c r="P16" s="117"/>
      <c r="Q16" s="2225"/>
      <c r="R16" s="2225"/>
      <c r="T16" s="2254" t="s">
        <v>55</v>
      </c>
      <c r="U16" s="2254"/>
      <c r="V16" s="2267">
        <f>Y12</f>
        <v>136723.26999999999</v>
      </c>
      <c r="W16" s="2267"/>
      <c r="X16" s="2262"/>
    </row>
    <row r="17" spans="1:25" ht="28.5" customHeight="1" x14ac:dyDescent="0.25">
      <c r="A17" s="101" t="s">
        <v>44</v>
      </c>
      <c r="B17" s="2260"/>
      <c r="C17" s="2261"/>
      <c r="D17" s="117"/>
      <c r="E17" s="117"/>
      <c r="F17" s="117"/>
      <c r="G17" s="117"/>
      <c r="H17" s="117"/>
      <c r="I17" s="117"/>
      <c r="J17" s="117"/>
      <c r="K17" s="117"/>
      <c r="L17" s="117"/>
      <c r="M17" s="117"/>
      <c r="N17" s="117"/>
      <c r="O17" s="117"/>
      <c r="P17" s="117"/>
      <c r="Q17" s="2225"/>
      <c r="R17" s="2225"/>
      <c r="T17" s="2270" t="s">
        <v>154</v>
      </c>
      <c r="U17" s="2271"/>
      <c r="V17" s="2262"/>
      <c r="W17" s="2262"/>
      <c r="X17" s="2262"/>
    </row>
    <row r="18" spans="1:25" ht="27" customHeight="1" x14ac:dyDescent="0.25">
      <c r="A18" s="100" t="s">
        <v>40</v>
      </c>
      <c r="B18" s="2264">
        <f>C12</f>
        <v>114172</v>
      </c>
      <c r="C18" s="2261"/>
      <c r="D18" s="119">
        <f>E12</f>
        <v>0</v>
      </c>
      <c r="E18" s="119">
        <f>G12</f>
        <v>240</v>
      </c>
      <c r="F18" s="119">
        <f>I12</f>
        <v>910</v>
      </c>
      <c r="G18" s="119">
        <f>K12</f>
        <v>0</v>
      </c>
      <c r="H18" s="117">
        <v>80</v>
      </c>
      <c r="I18" s="119">
        <f>U12</f>
        <v>9</v>
      </c>
      <c r="J18" s="117"/>
      <c r="K18" s="119">
        <f>W12</f>
        <v>0</v>
      </c>
      <c r="L18" s="117"/>
      <c r="M18" s="119">
        <f>M12</f>
        <v>0</v>
      </c>
      <c r="N18" s="119"/>
      <c r="O18" s="118">
        <f>Q12</f>
        <v>0</v>
      </c>
      <c r="P18" s="117"/>
      <c r="Q18" s="2225"/>
      <c r="R18" s="2225"/>
      <c r="T18" s="2254" t="s">
        <v>57</v>
      </c>
      <c r="U18" s="2254"/>
      <c r="V18" s="2262">
        <f>450+1020</f>
        <v>1470</v>
      </c>
      <c r="W18" s="2262"/>
      <c r="X18" s="2262"/>
      <c r="Y18" s="2269" t="s">
        <v>157</v>
      </c>
    </row>
    <row r="19" spans="1:25" ht="25.5" customHeight="1" x14ac:dyDescent="0.25">
      <c r="A19" s="100" t="s">
        <v>41</v>
      </c>
      <c r="B19" s="2260">
        <f>B15+B16+B17-B18</f>
        <v>328117</v>
      </c>
      <c r="C19" s="2261"/>
      <c r="D19" s="117">
        <f>D15+D16+D17-D18</f>
        <v>0</v>
      </c>
      <c r="E19" s="117">
        <f t="shared" ref="E19:N19" si="13">E15+E16+E17-E18</f>
        <v>500</v>
      </c>
      <c r="F19" s="117">
        <f t="shared" si="13"/>
        <v>4310</v>
      </c>
      <c r="G19" s="117">
        <f t="shared" si="13"/>
        <v>0</v>
      </c>
      <c r="H19" s="117">
        <f t="shared" si="13"/>
        <v>106</v>
      </c>
      <c r="I19" s="117">
        <f t="shared" si="13"/>
        <v>25</v>
      </c>
      <c r="J19" s="117">
        <f t="shared" si="13"/>
        <v>105</v>
      </c>
      <c r="K19" s="117">
        <f t="shared" si="13"/>
        <v>58</v>
      </c>
      <c r="L19" s="117">
        <f t="shared" si="13"/>
        <v>376</v>
      </c>
      <c r="M19" s="117">
        <f t="shared" si="13"/>
        <v>0</v>
      </c>
      <c r="N19" s="117">
        <f t="shared" si="13"/>
        <v>100</v>
      </c>
      <c r="O19" s="117">
        <f>O15+O16+O17-O18</f>
        <v>0</v>
      </c>
      <c r="P19" s="117">
        <f>P15+P16+P17-P18</f>
        <v>691</v>
      </c>
      <c r="Q19" s="2260">
        <f t="shared" ref="Q19" si="14">Q15+Q16+Q17-Q18</f>
        <v>62</v>
      </c>
      <c r="R19" s="2261"/>
      <c r="T19" s="2256" t="s">
        <v>48</v>
      </c>
      <c r="U19" s="49" t="s">
        <v>58</v>
      </c>
      <c r="V19" s="2262">
        <v>138700</v>
      </c>
      <c r="W19" s="2262"/>
      <c r="X19" s="2262"/>
      <c r="Y19" s="2269"/>
    </row>
    <row r="20" spans="1:25" ht="23.25" customHeight="1" x14ac:dyDescent="0.25">
      <c r="A20" s="15"/>
      <c r="B20" s="10"/>
      <c r="C20" s="10"/>
      <c r="D20" s="10"/>
      <c r="E20" s="10"/>
      <c r="F20" s="10"/>
      <c r="G20" s="10"/>
      <c r="H20" s="10"/>
      <c r="I20" s="10"/>
      <c r="J20" s="10"/>
      <c r="K20" s="10"/>
      <c r="L20" s="10"/>
      <c r="M20" s="10"/>
      <c r="N20" s="10"/>
      <c r="O20" s="10"/>
      <c r="P20" s="10"/>
      <c r="Q20" s="10"/>
      <c r="R20" s="10"/>
      <c r="T20" s="2257"/>
      <c r="U20" s="49" t="s">
        <v>59</v>
      </c>
      <c r="V20" s="2262"/>
      <c r="W20" s="2262"/>
      <c r="X20" s="2262"/>
      <c r="Y20" s="2269"/>
    </row>
    <row r="21" spans="1:25" ht="35.25" customHeight="1" x14ac:dyDescent="0.25">
      <c r="A21" s="15"/>
      <c r="B21" s="10"/>
      <c r="C21" s="10"/>
      <c r="D21" s="10"/>
      <c r="E21" s="10"/>
      <c r="F21" s="10"/>
      <c r="G21" s="10"/>
      <c r="H21" s="10"/>
      <c r="I21" s="10"/>
      <c r="J21" s="10"/>
      <c r="K21" s="10"/>
      <c r="L21" s="10"/>
      <c r="M21" s="10"/>
      <c r="N21" s="10"/>
      <c r="O21" s="10"/>
      <c r="P21" s="10"/>
      <c r="Q21" s="10"/>
      <c r="R21" s="10"/>
      <c r="T21" s="2251" t="s">
        <v>83</v>
      </c>
      <c r="U21" s="50" t="s">
        <v>60</v>
      </c>
      <c r="V21" s="2262">
        <v>138775</v>
      </c>
      <c r="W21" s="2262"/>
      <c r="X21" s="2262"/>
      <c r="Y21" s="2269"/>
    </row>
    <row r="22" spans="1:25" ht="39.75" customHeight="1" x14ac:dyDescent="0.25">
      <c r="A22" s="10"/>
      <c r="B22" s="2258" t="s">
        <v>49</v>
      </c>
      <c r="C22" s="2265">
        <v>637153</v>
      </c>
      <c r="D22" s="2262">
        <v>138700</v>
      </c>
      <c r="E22" s="2262">
        <v>138700</v>
      </c>
      <c r="F22" s="2262">
        <f>C22-D22+E22</f>
        <v>637153</v>
      </c>
      <c r="G22" s="10"/>
      <c r="H22" s="10"/>
      <c r="I22" s="10"/>
      <c r="J22" s="10"/>
      <c r="K22" s="10"/>
      <c r="L22" s="10"/>
      <c r="M22" s="10" t="s">
        <v>140</v>
      </c>
      <c r="N22" s="10"/>
      <c r="O22" s="10"/>
      <c r="P22" s="10"/>
      <c r="Q22" s="10"/>
      <c r="R22" s="10"/>
      <c r="T22" s="2252"/>
      <c r="U22" s="50" t="s">
        <v>61</v>
      </c>
      <c r="V22" s="2262">
        <v>138700</v>
      </c>
      <c r="W22" s="2262"/>
      <c r="X22" s="2262"/>
      <c r="Y22" s="2269"/>
    </row>
    <row r="23" spans="1:25" ht="47.25" customHeight="1" x14ac:dyDescent="0.25">
      <c r="A23" s="10"/>
      <c r="B23" s="2258"/>
      <c r="C23" s="2266"/>
      <c r="D23" s="2262"/>
      <c r="E23" s="2262"/>
      <c r="F23" s="2262"/>
      <c r="G23" s="10"/>
      <c r="H23" s="10"/>
      <c r="I23" s="10"/>
      <c r="J23" s="10"/>
      <c r="K23" s="10"/>
      <c r="L23" s="10"/>
      <c r="M23" s="10"/>
      <c r="N23" s="10"/>
      <c r="O23" s="10"/>
      <c r="P23" s="10"/>
      <c r="Q23" s="10"/>
      <c r="R23" s="10"/>
      <c r="T23" s="2235" t="s">
        <v>47</v>
      </c>
      <c r="U23" s="51" t="s">
        <v>62</v>
      </c>
      <c r="V23" s="2263">
        <f>V14+V16+V17-V18-V19-V20-V21+V22</f>
        <v>20936.26999999999</v>
      </c>
      <c r="W23" s="2263"/>
      <c r="X23" s="2263"/>
      <c r="Y23" s="2269"/>
    </row>
    <row r="24" spans="1:25" ht="40.5" customHeight="1" x14ac:dyDescent="0.25">
      <c r="B24" s="2258"/>
      <c r="C24" s="114" t="s">
        <v>46</v>
      </c>
      <c r="D24" s="114" t="s">
        <v>50</v>
      </c>
      <c r="E24" s="114" t="s">
        <v>51</v>
      </c>
      <c r="F24" s="114" t="s">
        <v>52</v>
      </c>
      <c r="T24" s="2235"/>
      <c r="U24" s="51" t="s">
        <v>63</v>
      </c>
      <c r="V24" s="2262">
        <f>V15+V21-V22</f>
        <v>10669</v>
      </c>
      <c r="W24" s="2262"/>
      <c r="X24" s="2262"/>
    </row>
  </sheetData>
  <mergeCells count="54">
    <mergeCell ref="A1:Y1"/>
    <mergeCell ref="A2:Y2"/>
    <mergeCell ref="T3:Y3"/>
    <mergeCell ref="A4:A5"/>
    <mergeCell ref="B4:B5"/>
    <mergeCell ref="C4:D4"/>
    <mergeCell ref="E4:F4"/>
    <mergeCell ref="G4:H4"/>
    <mergeCell ref="I4:J4"/>
    <mergeCell ref="K4:L4"/>
    <mergeCell ref="Y4:Y5"/>
    <mergeCell ref="M4:N4"/>
    <mergeCell ref="O4:P4"/>
    <mergeCell ref="Q4:R4"/>
    <mergeCell ref="S4:T4"/>
    <mergeCell ref="U4:V4"/>
    <mergeCell ref="W4:X4"/>
    <mergeCell ref="B16:C16"/>
    <mergeCell ref="Q16:R16"/>
    <mergeCell ref="T16:U16"/>
    <mergeCell ref="V16:X16"/>
    <mergeCell ref="A12:B12"/>
    <mergeCell ref="B14:C14"/>
    <mergeCell ref="Q14:R14"/>
    <mergeCell ref="T14:T15"/>
    <mergeCell ref="V14:X14"/>
    <mergeCell ref="B15:C15"/>
    <mergeCell ref="Q15:R15"/>
    <mergeCell ref="V15:X15"/>
    <mergeCell ref="B17:C17"/>
    <mergeCell ref="Q17:R17"/>
    <mergeCell ref="T17:U17"/>
    <mergeCell ref="V17:X17"/>
    <mergeCell ref="B18:C18"/>
    <mergeCell ref="Q18:R18"/>
    <mergeCell ref="T18:U18"/>
    <mergeCell ref="V18:X18"/>
    <mergeCell ref="Y18:Y23"/>
    <mergeCell ref="B19:C19"/>
    <mergeCell ref="Q19:R19"/>
    <mergeCell ref="T19:T20"/>
    <mergeCell ref="V19:X19"/>
    <mergeCell ref="V20:X20"/>
    <mergeCell ref="V24:X24"/>
    <mergeCell ref="T21:T22"/>
    <mergeCell ref="V21:X21"/>
    <mergeCell ref="B22:B24"/>
    <mergeCell ref="C22:C23"/>
    <mergeCell ref="D22:D23"/>
    <mergeCell ref="E22:E23"/>
    <mergeCell ref="F22:F23"/>
    <mergeCell ref="V22:X22"/>
    <mergeCell ref="T23:T24"/>
    <mergeCell ref="V23:X23"/>
  </mergeCells>
  <pageMargins left="0.15748031496063" right="0.15748031496063" top="0" bottom="0" header="0" footer="0"/>
  <pageSetup paperSize="9" scale="51" orientation="landscape" r:id="rId1"/>
</worksheet>
</file>

<file path=xl/worksheets/sheet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600-000000000000}">
  <sheetPr>
    <pageSetUpPr fitToPage="1"/>
  </sheetPr>
  <dimension ref="A1:Y24"/>
  <sheetViews>
    <sheetView topLeftCell="A10" zoomScale="67" zoomScaleNormal="67" zoomScaleSheetLayoutView="100" workbookViewId="0">
      <selection activeCell="N23" sqref="N23"/>
    </sheetView>
  </sheetViews>
  <sheetFormatPr defaultColWidth="9.140625" defaultRowHeight="15" x14ac:dyDescent="0.25"/>
  <cols>
    <col min="1" max="1" width="18.28515625" style="14" customWidth="1"/>
    <col min="2" max="2" width="10.7109375" style="14" customWidth="1"/>
    <col min="3" max="3" width="12.28515625" style="14" customWidth="1"/>
    <col min="4" max="4" width="11" style="14" customWidth="1"/>
    <col min="5" max="5" width="12" style="14" customWidth="1"/>
    <col min="6" max="6" width="12.5703125" style="14" bestFit="1" customWidth="1"/>
    <col min="7" max="7" width="9.28515625" style="14" bestFit="1" customWidth="1"/>
    <col min="8" max="8" width="10.140625" style="14" bestFit="1" customWidth="1"/>
    <col min="9" max="9" width="10.5703125" style="14" bestFit="1" customWidth="1"/>
    <col min="10" max="10" width="10.5703125" style="14" customWidth="1"/>
    <col min="11" max="11" width="10.28515625" style="14" bestFit="1" customWidth="1"/>
    <col min="12" max="12" width="9.42578125" style="14" bestFit="1" customWidth="1"/>
    <col min="13" max="13" width="9.85546875" style="14" bestFit="1" customWidth="1"/>
    <col min="14" max="14" width="10.140625" style="14" bestFit="1" customWidth="1"/>
    <col min="15" max="15" width="9" style="14" customWidth="1"/>
    <col min="16" max="16" width="12.85546875" style="14" bestFit="1" customWidth="1"/>
    <col min="17" max="18" width="9.42578125" style="14" customWidth="1"/>
    <col min="19" max="19" width="7.5703125" style="14" customWidth="1"/>
    <col min="20" max="20" width="12.140625" style="14" customWidth="1"/>
    <col min="21" max="21" width="15.5703125" style="14" customWidth="1"/>
    <col min="22" max="22" width="9.85546875" style="14" customWidth="1"/>
    <col min="23" max="23" width="10.140625" style="14" bestFit="1" customWidth="1"/>
    <col min="24" max="24" width="9.85546875" style="14" bestFit="1" customWidth="1"/>
    <col min="25" max="25" width="17.5703125" style="14" customWidth="1"/>
    <col min="26" max="16384" width="9.140625" style="14"/>
  </cols>
  <sheetData>
    <row r="1" spans="1:25" ht="46.15" customHeight="1" x14ac:dyDescent="0.25">
      <c r="A1" s="2240" t="s">
        <v>148</v>
      </c>
      <c r="B1" s="2240"/>
      <c r="C1" s="2240"/>
      <c r="D1" s="2240"/>
      <c r="E1" s="2240"/>
      <c r="F1" s="2240"/>
      <c r="G1" s="2240"/>
      <c r="H1" s="2240"/>
      <c r="I1" s="2240"/>
      <c r="J1" s="2240"/>
      <c r="K1" s="2240"/>
      <c r="L1" s="2240"/>
      <c r="M1" s="2240"/>
      <c r="N1" s="2240"/>
      <c r="O1" s="2240"/>
      <c r="P1" s="2240"/>
      <c r="Q1" s="2240"/>
      <c r="R1" s="2240"/>
      <c r="S1" s="2240"/>
      <c r="T1" s="2240"/>
      <c r="U1" s="2240"/>
      <c r="V1" s="2240"/>
      <c r="W1" s="2240"/>
      <c r="X1" s="2240"/>
      <c r="Y1" s="2240"/>
    </row>
    <row r="2" spans="1:25" ht="21.6" customHeight="1" x14ac:dyDescent="0.25">
      <c r="A2" s="2241" t="s">
        <v>77</v>
      </c>
      <c r="B2" s="2241"/>
      <c r="C2" s="2241"/>
      <c r="D2" s="2241"/>
      <c r="E2" s="2241"/>
      <c r="F2" s="2241"/>
      <c r="G2" s="2241"/>
      <c r="H2" s="2241"/>
      <c r="I2" s="2241"/>
      <c r="J2" s="2241"/>
      <c r="K2" s="2241"/>
      <c r="L2" s="2241"/>
      <c r="M2" s="2241"/>
      <c r="N2" s="2241"/>
      <c r="O2" s="2241"/>
      <c r="P2" s="2241"/>
      <c r="Q2" s="2241"/>
      <c r="R2" s="2241"/>
      <c r="S2" s="2241"/>
      <c r="T2" s="2241"/>
      <c r="U2" s="2241"/>
      <c r="V2" s="2241"/>
      <c r="W2" s="2241"/>
      <c r="X2" s="2241"/>
      <c r="Y2" s="2241"/>
    </row>
    <row r="3" spans="1:25" ht="21" customHeight="1" x14ac:dyDescent="0.25">
      <c r="A3" s="116"/>
      <c r="B3" s="116"/>
      <c r="C3" s="116"/>
      <c r="D3" s="116"/>
      <c r="E3" s="116"/>
      <c r="F3" s="116"/>
      <c r="G3" s="116"/>
      <c r="H3" s="116"/>
      <c r="I3" s="116"/>
      <c r="J3" s="116"/>
      <c r="K3" s="116"/>
      <c r="L3" s="116"/>
      <c r="M3" s="116"/>
      <c r="N3" s="116"/>
      <c r="O3" s="116"/>
      <c r="P3" s="116"/>
      <c r="Q3" s="116"/>
      <c r="R3" s="116"/>
      <c r="S3" s="116"/>
      <c r="T3" s="2242" t="s">
        <v>158</v>
      </c>
      <c r="U3" s="2242"/>
      <c r="V3" s="2242"/>
      <c r="W3" s="2242"/>
      <c r="X3" s="2242"/>
      <c r="Y3" s="2242"/>
    </row>
    <row r="4" spans="1:25" s="116" customFormat="1" ht="18" customHeight="1" x14ac:dyDescent="0.25">
      <c r="A4" s="2243" t="s">
        <v>25</v>
      </c>
      <c r="B4" s="2243" t="s">
        <v>26</v>
      </c>
      <c r="C4" s="2244" t="s">
        <v>27</v>
      </c>
      <c r="D4" s="2244"/>
      <c r="E4" s="2244" t="s">
        <v>28</v>
      </c>
      <c r="F4" s="2244"/>
      <c r="G4" s="2244" t="s">
        <v>65</v>
      </c>
      <c r="H4" s="2244"/>
      <c r="I4" s="2244" t="s">
        <v>29</v>
      </c>
      <c r="J4" s="2244"/>
      <c r="K4" s="2245" t="s">
        <v>13</v>
      </c>
      <c r="L4" s="2246"/>
      <c r="M4" s="2245" t="s">
        <v>67</v>
      </c>
      <c r="N4" s="2246"/>
      <c r="O4" s="2245" t="s">
        <v>68</v>
      </c>
      <c r="P4" s="2246"/>
      <c r="Q4" s="2245" t="s">
        <v>114</v>
      </c>
      <c r="R4" s="2246"/>
      <c r="S4" s="2244" t="s">
        <v>35</v>
      </c>
      <c r="T4" s="2244"/>
      <c r="U4" s="2245" t="s">
        <v>17</v>
      </c>
      <c r="V4" s="2246"/>
      <c r="W4" s="2247" t="s">
        <v>36</v>
      </c>
      <c r="X4" s="2248"/>
      <c r="Y4" s="2238" t="s">
        <v>30</v>
      </c>
    </row>
    <row r="5" spans="1:25" s="116" customFormat="1" ht="25.5" customHeight="1" x14ac:dyDescent="0.25">
      <c r="A5" s="2243"/>
      <c r="B5" s="2243"/>
      <c r="C5" s="115" t="s">
        <v>42</v>
      </c>
      <c r="D5" s="115" t="s">
        <v>43</v>
      </c>
      <c r="E5" s="115" t="s">
        <v>42</v>
      </c>
      <c r="F5" s="115" t="s">
        <v>43</v>
      </c>
      <c r="G5" s="115" t="s">
        <v>42</v>
      </c>
      <c r="H5" s="115" t="s">
        <v>43</v>
      </c>
      <c r="I5" s="115" t="s">
        <v>42</v>
      </c>
      <c r="J5" s="115" t="s">
        <v>43</v>
      </c>
      <c r="K5" s="115" t="s">
        <v>42</v>
      </c>
      <c r="L5" s="115" t="s">
        <v>43</v>
      </c>
      <c r="M5" s="115" t="s">
        <v>42</v>
      </c>
      <c r="N5" s="115" t="s">
        <v>43</v>
      </c>
      <c r="O5" s="115" t="s">
        <v>42</v>
      </c>
      <c r="P5" s="115" t="s">
        <v>43</v>
      </c>
      <c r="Q5" s="115" t="s">
        <v>42</v>
      </c>
      <c r="R5" s="115" t="s">
        <v>43</v>
      </c>
      <c r="S5" s="33" t="s">
        <v>42</v>
      </c>
      <c r="T5" s="33" t="s">
        <v>43</v>
      </c>
      <c r="U5" s="30" t="s">
        <v>42</v>
      </c>
      <c r="V5" s="30" t="s">
        <v>43</v>
      </c>
      <c r="W5" s="30" t="s">
        <v>42</v>
      </c>
      <c r="X5" s="30" t="s">
        <v>43</v>
      </c>
      <c r="Y5" s="2239"/>
    </row>
    <row r="6" spans="1:25" ht="34.5" customHeight="1" x14ac:dyDescent="0.25">
      <c r="A6" s="12">
        <v>1409935200</v>
      </c>
      <c r="B6" s="114" t="s">
        <v>71</v>
      </c>
      <c r="C6" s="112">
        <v>21198</v>
      </c>
      <c r="D6" s="111">
        <f>0.9725*C6</f>
        <v>20615.055</v>
      </c>
      <c r="E6" s="112"/>
      <c r="F6" s="112">
        <f>13.7*E6</f>
        <v>0</v>
      </c>
      <c r="G6" s="112">
        <v>500</v>
      </c>
      <c r="H6" s="112">
        <f>28.2*G6</f>
        <v>14100</v>
      </c>
      <c r="I6" s="112">
        <v>90</v>
      </c>
      <c r="J6" s="112">
        <f>18.5*I6</f>
        <v>1665</v>
      </c>
      <c r="K6" s="112"/>
      <c r="L6" s="112">
        <f>19.5*K6</f>
        <v>0</v>
      </c>
      <c r="M6" s="112"/>
      <c r="N6" s="111">
        <f>M6*9.75</f>
        <v>0</v>
      </c>
      <c r="O6" s="112"/>
      <c r="P6" s="111">
        <f>O6*48.62</f>
        <v>0</v>
      </c>
      <c r="Q6" s="111"/>
      <c r="R6" s="111">
        <f>241*Q6</f>
        <v>0</v>
      </c>
      <c r="S6" s="112">
        <v>8</v>
      </c>
      <c r="T6" s="112">
        <f>241*S6</f>
        <v>1928</v>
      </c>
      <c r="U6" s="112"/>
      <c r="V6" s="112">
        <f>232*U6</f>
        <v>0</v>
      </c>
      <c r="W6" s="112"/>
      <c r="X6" s="19">
        <f>W6*100</f>
        <v>0</v>
      </c>
      <c r="Y6" s="89">
        <f t="shared" ref="Y6:Y11" si="0">D6+F6+H6+J6+L6+N6+P6+R6+T6+V6+X6</f>
        <v>38308.055</v>
      </c>
    </row>
    <row r="7" spans="1:25" ht="31.5" customHeight="1" x14ac:dyDescent="0.25">
      <c r="A7" s="12">
        <v>1984225578</v>
      </c>
      <c r="B7" s="114" t="s">
        <v>72</v>
      </c>
      <c r="C7" s="112">
        <v>27749</v>
      </c>
      <c r="D7" s="111">
        <f t="shared" ref="D7:D11" si="1">0.9725*C7</f>
        <v>26985.9025</v>
      </c>
      <c r="E7" s="112"/>
      <c r="F7" s="112">
        <f t="shared" ref="F7:F11" si="2">13.7*E7</f>
        <v>0</v>
      </c>
      <c r="G7" s="112"/>
      <c r="H7" s="112">
        <f t="shared" ref="H7:H11" si="3">28.2*G7</f>
        <v>0</v>
      </c>
      <c r="I7" s="112">
        <v>310</v>
      </c>
      <c r="J7" s="112">
        <f t="shared" ref="J7:J11" si="4">18.5*I7</f>
        <v>5735</v>
      </c>
      <c r="K7" s="112"/>
      <c r="L7" s="112">
        <f t="shared" ref="L7:L11" si="5">19.5*K7</f>
        <v>0</v>
      </c>
      <c r="M7" s="112"/>
      <c r="N7" s="111">
        <f t="shared" ref="N7:N11" si="6">M7*9.75</f>
        <v>0</v>
      </c>
      <c r="O7" s="112"/>
      <c r="P7" s="111">
        <f t="shared" ref="P7:P11" si="7">O7*48.62</f>
        <v>0</v>
      </c>
      <c r="Q7" s="111"/>
      <c r="R7" s="111">
        <f t="shared" ref="R7:R11" si="8">241*Q7</f>
        <v>0</v>
      </c>
      <c r="S7" s="112"/>
      <c r="T7" s="112">
        <f t="shared" ref="T7:T11" si="9">241*S7</f>
        <v>0</v>
      </c>
      <c r="U7" s="112"/>
      <c r="V7" s="112">
        <f t="shared" ref="V7:V11" si="10">232*U7</f>
        <v>0</v>
      </c>
      <c r="W7" s="112"/>
      <c r="X7" s="19">
        <f t="shared" ref="X7:X11" si="11">W7*100</f>
        <v>0</v>
      </c>
      <c r="Y7" s="89">
        <f t="shared" si="0"/>
        <v>32720.9025</v>
      </c>
    </row>
    <row r="8" spans="1:25" ht="35.25" customHeight="1" x14ac:dyDescent="0.25">
      <c r="A8" s="12">
        <v>1967020280</v>
      </c>
      <c r="B8" s="114" t="s">
        <v>73</v>
      </c>
      <c r="C8" s="112">
        <v>23534</v>
      </c>
      <c r="D8" s="111">
        <f t="shared" si="1"/>
        <v>22886.815000000002</v>
      </c>
      <c r="E8" s="112"/>
      <c r="F8" s="112">
        <f t="shared" si="2"/>
        <v>0</v>
      </c>
      <c r="G8" s="112"/>
      <c r="H8" s="112">
        <f t="shared" si="3"/>
        <v>0</v>
      </c>
      <c r="I8" s="112">
        <v>1000</v>
      </c>
      <c r="J8" s="112">
        <f t="shared" si="4"/>
        <v>18500</v>
      </c>
      <c r="K8" s="112"/>
      <c r="L8" s="112">
        <f t="shared" si="5"/>
        <v>0</v>
      </c>
      <c r="M8" s="112"/>
      <c r="N8" s="111">
        <f t="shared" si="6"/>
        <v>0</v>
      </c>
      <c r="O8" s="112"/>
      <c r="P8" s="111">
        <f t="shared" si="7"/>
        <v>0</v>
      </c>
      <c r="Q8" s="111"/>
      <c r="R8" s="111">
        <f t="shared" si="8"/>
        <v>0</v>
      </c>
      <c r="S8" s="112"/>
      <c r="T8" s="112">
        <f t="shared" si="9"/>
        <v>0</v>
      </c>
      <c r="U8" s="112"/>
      <c r="V8" s="112">
        <f t="shared" si="10"/>
        <v>0</v>
      </c>
      <c r="W8" s="112"/>
      <c r="X8" s="19">
        <f t="shared" si="11"/>
        <v>0</v>
      </c>
      <c r="Y8" s="89">
        <f t="shared" si="0"/>
        <v>41386.815000000002</v>
      </c>
    </row>
    <row r="9" spans="1:25" ht="38.25" customHeight="1" x14ac:dyDescent="0.25">
      <c r="A9" s="12">
        <v>1409935199</v>
      </c>
      <c r="B9" s="114" t="s">
        <v>74</v>
      </c>
      <c r="C9" s="112"/>
      <c r="D9" s="111">
        <f t="shared" si="1"/>
        <v>0</v>
      </c>
      <c r="E9" s="112"/>
      <c r="F9" s="112">
        <f t="shared" si="2"/>
        <v>0</v>
      </c>
      <c r="G9" s="112"/>
      <c r="H9" s="112">
        <f t="shared" si="3"/>
        <v>0</v>
      </c>
      <c r="I9" s="112"/>
      <c r="J9" s="112">
        <f t="shared" si="4"/>
        <v>0</v>
      </c>
      <c r="K9" s="112"/>
      <c r="L9" s="112">
        <f t="shared" si="5"/>
        <v>0</v>
      </c>
      <c r="M9" s="112"/>
      <c r="N9" s="111">
        <f t="shared" si="6"/>
        <v>0</v>
      </c>
      <c r="O9" s="112"/>
      <c r="P9" s="111">
        <f t="shared" si="7"/>
        <v>0</v>
      </c>
      <c r="Q9" s="111"/>
      <c r="R9" s="111">
        <f t="shared" si="8"/>
        <v>0</v>
      </c>
      <c r="S9" s="112"/>
      <c r="T9" s="112">
        <f t="shared" si="9"/>
        <v>0</v>
      </c>
      <c r="U9" s="112"/>
      <c r="V9" s="112">
        <f t="shared" si="10"/>
        <v>0</v>
      </c>
      <c r="W9" s="112"/>
      <c r="X9" s="19">
        <f t="shared" si="11"/>
        <v>0</v>
      </c>
      <c r="Y9" s="89">
        <f t="shared" si="0"/>
        <v>0</v>
      </c>
    </row>
    <row r="10" spans="1:25" ht="35.25" customHeight="1" x14ac:dyDescent="0.25">
      <c r="A10" s="12">
        <v>1984225580</v>
      </c>
      <c r="B10" s="114" t="s">
        <v>75</v>
      </c>
      <c r="C10" s="112">
        <v>21286</v>
      </c>
      <c r="D10" s="111">
        <f t="shared" si="1"/>
        <v>20700.635000000002</v>
      </c>
      <c r="E10" s="112"/>
      <c r="F10" s="112">
        <f t="shared" si="2"/>
        <v>0</v>
      </c>
      <c r="G10" s="112"/>
      <c r="H10" s="112">
        <f t="shared" si="3"/>
        <v>0</v>
      </c>
      <c r="I10" s="112">
        <v>350</v>
      </c>
      <c r="J10" s="112">
        <f t="shared" si="4"/>
        <v>6475</v>
      </c>
      <c r="K10" s="112"/>
      <c r="L10" s="112">
        <f t="shared" si="5"/>
        <v>0</v>
      </c>
      <c r="M10" s="112"/>
      <c r="N10" s="111">
        <f t="shared" si="6"/>
        <v>0</v>
      </c>
      <c r="O10" s="112"/>
      <c r="P10" s="111">
        <f t="shared" si="7"/>
        <v>0</v>
      </c>
      <c r="Q10" s="111"/>
      <c r="R10" s="111">
        <f t="shared" si="8"/>
        <v>0</v>
      </c>
      <c r="S10" s="112"/>
      <c r="T10" s="112">
        <f t="shared" si="9"/>
        <v>0</v>
      </c>
      <c r="U10" s="112">
        <v>10</v>
      </c>
      <c r="V10" s="112">
        <f t="shared" si="10"/>
        <v>2320</v>
      </c>
      <c r="W10" s="112"/>
      <c r="X10" s="19">
        <f t="shared" si="11"/>
        <v>0</v>
      </c>
      <c r="Y10" s="89">
        <f t="shared" si="0"/>
        <v>29495.635000000002</v>
      </c>
    </row>
    <row r="11" spans="1:25" ht="37.5" customHeight="1" x14ac:dyDescent="0.25">
      <c r="A11" s="12"/>
      <c r="B11" s="113"/>
      <c r="C11" s="112"/>
      <c r="D11" s="22">
        <f t="shared" si="1"/>
        <v>0</v>
      </c>
      <c r="E11" s="112"/>
      <c r="F11" s="112">
        <f t="shared" si="2"/>
        <v>0</v>
      </c>
      <c r="G11" s="112"/>
      <c r="H11" s="112">
        <f t="shared" si="3"/>
        <v>0</v>
      </c>
      <c r="I11" s="112"/>
      <c r="J11" s="112">
        <f t="shared" si="4"/>
        <v>0</v>
      </c>
      <c r="K11" s="112"/>
      <c r="L11" s="112">
        <f t="shared" si="5"/>
        <v>0</v>
      </c>
      <c r="M11" s="112"/>
      <c r="N11" s="111">
        <f t="shared" si="6"/>
        <v>0</v>
      </c>
      <c r="O11" s="112"/>
      <c r="P11" s="111">
        <f t="shared" si="7"/>
        <v>0</v>
      </c>
      <c r="Q11" s="111"/>
      <c r="R11" s="111">
        <f t="shared" si="8"/>
        <v>0</v>
      </c>
      <c r="S11" s="112">
        <v>170</v>
      </c>
      <c r="T11" s="112">
        <f t="shared" si="9"/>
        <v>40970</v>
      </c>
      <c r="U11" s="112"/>
      <c r="V11" s="112">
        <f t="shared" si="10"/>
        <v>0</v>
      </c>
      <c r="W11" s="112"/>
      <c r="X11" s="19">
        <f t="shared" si="11"/>
        <v>0</v>
      </c>
      <c r="Y11" s="20">
        <f t="shared" si="0"/>
        <v>40970</v>
      </c>
    </row>
    <row r="12" spans="1:25" ht="29.25" customHeight="1" x14ac:dyDescent="0.25">
      <c r="A12" s="2235" t="s">
        <v>31</v>
      </c>
      <c r="B12" s="2235"/>
      <c r="C12" s="18">
        <f t="shared" ref="C12:Y12" si="12">SUM(C6:C11)</f>
        <v>93767</v>
      </c>
      <c r="D12" s="18">
        <f t="shared" si="12"/>
        <v>91188.407500000001</v>
      </c>
      <c r="E12" s="18">
        <f t="shared" si="12"/>
        <v>0</v>
      </c>
      <c r="F12" s="18">
        <f t="shared" si="12"/>
        <v>0</v>
      </c>
      <c r="G12" s="18">
        <f t="shared" si="12"/>
        <v>500</v>
      </c>
      <c r="H12" s="18">
        <f t="shared" si="12"/>
        <v>14100</v>
      </c>
      <c r="I12" s="18">
        <f t="shared" si="12"/>
        <v>1750</v>
      </c>
      <c r="J12" s="18">
        <f t="shared" si="12"/>
        <v>32375</v>
      </c>
      <c r="K12" s="18">
        <f t="shared" si="12"/>
        <v>0</v>
      </c>
      <c r="L12" s="18">
        <f t="shared" si="12"/>
        <v>0</v>
      </c>
      <c r="M12" s="18">
        <f t="shared" si="12"/>
        <v>0</v>
      </c>
      <c r="N12" s="23">
        <f t="shared" si="12"/>
        <v>0</v>
      </c>
      <c r="O12" s="18">
        <f t="shared" si="12"/>
        <v>0</v>
      </c>
      <c r="P12" s="23">
        <f t="shared" si="12"/>
        <v>0</v>
      </c>
      <c r="Q12" s="23">
        <f t="shared" si="12"/>
        <v>0</v>
      </c>
      <c r="R12" s="23">
        <f>SUM(R6:R11)</f>
        <v>0</v>
      </c>
      <c r="S12" s="18">
        <f t="shared" si="12"/>
        <v>178</v>
      </c>
      <c r="T12" s="18">
        <f t="shared" si="12"/>
        <v>42898</v>
      </c>
      <c r="U12" s="18">
        <f t="shared" si="12"/>
        <v>10</v>
      </c>
      <c r="V12" s="18">
        <f t="shared" si="12"/>
        <v>2320</v>
      </c>
      <c r="W12" s="18">
        <f t="shared" si="12"/>
        <v>0</v>
      </c>
      <c r="X12" s="18">
        <f t="shared" si="12"/>
        <v>0</v>
      </c>
      <c r="Y12" s="18">
        <f t="shared" si="12"/>
        <v>182881.4075</v>
      </c>
    </row>
    <row r="14" spans="1:25" ht="32.25" customHeight="1" x14ac:dyDescent="0.25">
      <c r="A14" s="30" t="s">
        <v>32</v>
      </c>
      <c r="B14" s="2236" t="s">
        <v>27</v>
      </c>
      <c r="C14" s="2236"/>
      <c r="D14" s="30" t="s">
        <v>33</v>
      </c>
      <c r="E14" s="30" t="s">
        <v>65</v>
      </c>
      <c r="F14" s="30" t="s">
        <v>34</v>
      </c>
      <c r="G14" s="30" t="s">
        <v>13</v>
      </c>
      <c r="H14" s="31" t="s">
        <v>45</v>
      </c>
      <c r="I14" s="30" t="s">
        <v>17</v>
      </c>
      <c r="J14" s="30" t="s">
        <v>66</v>
      </c>
      <c r="K14" s="30" t="s">
        <v>36</v>
      </c>
      <c r="L14" s="30" t="s">
        <v>37</v>
      </c>
      <c r="M14" s="30" t="s">
        <v>69</v>
      </c>
      <c r="N14" s="30" t="s">
        <v>70</v>
      </c>
      <c r="O14" s="86" t="s">
        <v>114</v>
      </c>
      <c r="P14" s="86" t="s">
        <v>99</v>
      </c>
      <c r="Q14" s="2272" t="s">
        <v>150</v>
      </c>
      <c r="R14" s="2272"/>
      <c r="T14" s="2235" t="s">
        <v>46</v>
      </c>
      <c r="U14" s="114" t="s">
        <v>54</v>
      </c>
      <c r="V14" s="2260">
        <v>20936</v>
      </c>
      <c r="W14" s="2268"/>
      <c r="X14" s="2261"/>
    </row>
    <row r="15" spans="1:25" ht="22.5" customHeight="1" x14ac:dyDescent="0.25">
      <c r="A15" s="100" t="s">
        <v>38</v>
      </c>
      <c r="B15" s="2260">
        <v>328117</v>
      </c>
      <c r="C15" s="2261"/>
      <c r="D15" s="117">
        <v>0</v>
      </c>
      <c r="E15" s="117">
        <v>500</v>
      </c>
      <c r="F15" s="117">
        <v>4310</v>
      </c>
      <c r="G15" s="117">
        <v>0</v>
      </c>
      <c r="H15" s="117">
        <v>106</v>
      </c>
      <c r="I15" s="117">
        <v>25</v>
      </c>
      <c r="J15" s="117">
        <v>105</v>
      </c>
      <c r="K15" s="117">
        <v>58</v>
      </c>
      <c r="L15" s="117">
        <v>376</v>
      </c>
      <c r="M15" s="117">
        <v>0</v>
      </c>
      <c r="N15" s="117">
        <v>100</v>
      </c>
      <c r="O15" s="117">
        <v>0</v>
      </c>
      <c r="P15" s="117">
        <v>691</v>
      </c>
      <c r="Q15" s="2262">
        <v>62</v>
      </c>
      <c r="R15" s="2262"/>
      <c r="T15" s="2235"/>
      <c r="U15" s="114" t="s">
        <v>64</v>
      </c>
      <c r="V15" s="2262">
        <v>10669</v>
      </c>
      <c r="W15" s="2262"/>
      <c r="X15" s="2262"/>
    </row>
    <row r="16" spans="1:25" ht="24.75" customHeight="1" x14ac:dyDescent="0.25">
      <c r="A16" s="100" t="s">
        <v>39</v>
      </c>
      <c r="B16" s="2260"/>
      <c r="C16" s="2261"/>
      <c r="D16" s="117"/>
      <c r="E16" s="117"/>
      <c r="F16" s="117"/>
      <c r="G16" s="117"/>
      <c r="H16" s="117">
        <v>5</v>
      </c>
      <c r="I16" s="117"/>
      <c r="J16" s="117"/>
      <c r="K16" s="117"/>
      <c r="L16" s="117"/>
      <c r="M16" s="117"/>
      <c r="N16" s="117"/>
      <c r="O16" s="117"/>
      <c r="P16" s="117"/>
      <c r="Q16" s="2225"/>
      <c r="R16" s="2225"/>
      <c r="T16" s="2254" t="s">
        <v>55</v>
      </c>
      <c r="U16" s="2254"/>
      <c r="V16" s="2267">
        <f>Y12</f>
        <v>182881.4075</v>
      </c>
      <c r="W16" s="2267"/>
      <c r="X16" s="2262"/>
    </row>
    <row r="17" spans="1:25" ht="28.5" customHeight="1" x14ac:dyDescent="0.25">
      <c r="A17" s="101" t="s">
        <v>44</v>
      </c>
      <c r="B17" s="2260">
        <v>42597</v>
      </c>
      <c r="C17" s="2261"/>
      <c r="D17" s="117"/>
      <c r="E17" s="117"/>
      <c r="F17" s="117"/>
      <c r="G17" s="117"/>
      <c r="H17" s="117"/>
      <c r="I17" s="117"/>
      <c r="J17" s="117"/>
      <c r="K17" s="117"/>
      <c r="L17" s="117"/>
      <c r="M17" s="117"/>
      <c r="N17" s="117"/>
      <c r="O17" s="117"/>
      <c r="P17" s="117"/>
      <c r="Q17" s="2225"/>
      <c r="R17" s="2225"/>
      <c r="T17" s="2270" t="s">
        <v>154</v>
      </c>
      <c r="U17" s="2271"/>
      <c r="V17" s="2262"/>
      <c r="W17" s="2262"/>
      <c r="X17" s="2262"/>
    </row>
    <row r="18" spans="1:25" ht="27" customHeight="1" x14ac:dyDescent="0.25">
      <c r="A18" s="100" t="s">
        <v>40</v>
      </c>
      <c r="B18" s="2264">
        <f>C12</f>
        <v>93767</v>
      </c>
      <c r="C18" s="2261"/>
      <c r="D18" s="119">
        <f>E12</f>
        <v>0</v>
      </c>
      <c r="E18" s="119">
        <f>G12</f>
        <v>500</v>
      </c>
      <c r="F18" s="119">
        <f>I12</f>
        <v>1750</v>
      </c>
      <c r="G18" s="119">
        <f>K12</f>
        <v>0</v>
      </c>
      <c r="H18" s="117">
        <v>8</v>
      </c>
      <c r="I18" s="119">
        <f>U12</f>
        <v>10</v>
      </c>
      <c r="J18" s="117"/>
      <c r="K18" s="119">
        <f>W12</f>
        <v>0</v>
      </c>
      <c r="L18" s="117">
        <v>5</v>
      </c>
      <c r="M18" s="119">
        <f>M12</f>
        <v>0</v>
      </c>
      <c r="N18" s="119"/>
      <c r="O18" s="118">
        <f>Q12</f>
        <v>0</v>
      </c>
      <c r="P18" s="117">
        <v>170</v>
      </c>
      <c r="Q18" s="2225"/>
      <c r="R18" s="2225"/>
      <c r="T18" s="2254" t="s">
        <v>57</v>
      </c>
      <c r="U18" s="2254"/>
      <c r="V18" s="2262">
        <f>450+41000</f>
        <v>41450</v>
      </c>
      <c r="W18" s="2262"/>
      <c r="X18" s="2262"/>
      <c r="Y18" s="2269" t="s">
        <v>159</v>
      </c>
    </row>
    <row r="19" spans="1:25" ht="25.5" customHeight="1" x14ac:dyDescent="0.25">
      <c r="A19" s="100" t="s">
        <v>41</v>
      </c>
      <c r="B19" s="2260">
        <f>B15+B16+B17-B18</f>
        <v>276947</v>
      </c>
      <c r="C19" s="2261"/>
      <c r="D19" s="117">
        <f>D15+D16+D17-D18</f>
        <v>0</v>
      </c>
      <c r="E19" s="117">
        <f t="shared" ref="E19:N19" si="13">E15+E16+E17-E18</f>
        <v>0</v>
      </c>
      <c r="F19" s="117">
        <f t="shared" si="13"/>
        <v>2560</v>
      </c>
      <c r="G19" s="117">
        <f t="shared" si="13"/>
        <v>0</v>
      </c>
      <c r="H19" s="117">
        <f t="shared" si="13"/>
        <v>103</v>
      </c>
      <c r="I19" s="117">
        <f t="shared" si="13"/>
        <v>15</v>
      </c>
      <c r="J19" s="117">
        <f t="shared" si="13"/>
        <v>105</v>
      </c>
      <c r="K19" s="117">
        <f t="shared" si="13"/>
        <v>58</v>
      </c>
      <c r="L19" s="117">
        <f t="shared" si="13"/>
        <v>371</v>
      </c>
      <c r="M19" s="117">
        <f t="shared" si="13"/>
        <v>0</v>
      </c>
      <c r="N19" s="117">
        <f t="shared" si="13"/>
        <v>100</v>
      </c>
      <c r="O19" s="117">
        <f>O15+O16+O17-O18</f>
        <v>0</v>
      </c>
      <c r="P19" s="117">
        <f>P15+P16+P17-P18</f>
        <v>521</v>
      </c>
      <c r="Q19" s="2260">
        <f t="shared" ref="Q19" si="14">Q15+Q16+Q17-Q18</f>
        <v>62</v>
      </c>
      <c r="R19" s="2261"/>
      <c r="T19" s="2256" t="s">
        <v>48</v>
      </c>
      <c r="U19" s="49" t="s">
        <v>58</v>
      </c>
      <c r="V19" s="2262">
        <v>133500</v>
      </c>
      <c r="W19" s="2262"/>
      <c r="X19" s="2262"/>
      <c r="Y19" s="2269"/>
    </row>
    <row r="20" spans="1:25" ht="23.25" customHeight="1" x14ac:dyDescent="0.25">
      <c r="A20" s="15"/>
      <c r="B20" s="10"/>
      <c r="C20" s="10"/>
      <c r="D20" s="10"/>
      <c r="E20" s="10"/>
      <c r="F20" s="10"/>
      <c r="G20" s="10"/>
      <c r="H20" s="10"/>
      <c r="I20" s="10"/>
      <c r="J20" s="10"/>
      <c r="K20" s="10"/>
      <c r="L20" s="10"/>
      <c r="M20" s="10"/>
      <c r="N20" s="10"/>
      <c r="O20" s="10"/>
      <c r="P20" s="10"/>
      <c r="Q20" s="10"/>
      <c r="R20" s="10"/>
      <c r="T20" s="2257"/>
      <c r="U20" s="49" t="s">
        <v>59</v>
      </c>
      <c r="V20" s="2262"/>
      <c r="W20" s="2262"/>
      <c r="X20" s="2262"/>
      <c r="Y20" s="2269"/>
    </row>
    <row r="21" spans="1:25" ht="35.25" customHeight="1" x14ac:dyDescent="0.25">
      <c r="A21" s="15"/>
      <c r="B21" s="10"/>
      <c r="C21" s="10"/>
      <c r="D21" s="10"/>
      <c r="E21" s="10"/>
      <c r="F21" s="10"/>
      <c r="G21" s="10"/>
      <c r="H21" s="10"/>
      <c r="I21" s="10"/>
      <c r="J21" s="10"/>
      <c r="K21" s="10"/>
      <c r="L21" s="10"/>
      <c r="M21" s="10"/>
      <c r="N21" s="10"/>
      <c r="O21" s="10"/>
      <c r="P21" s="10"/>
      <c r="Q21" s="10"/>
      <c r="R21" s="10"/>
      <c r="T21" s="2251" t="s">
        <v>83</v>
      </c>
      <c r="U21" s="50" t="s">
        <v>60</v>
      </c>
      <c r="V21" s="2262">
        <v>133590</v>
      </c>
      <c r="W21" s="2262"/>
      <c r="X21" s="2262"/>
      <c r="Y21" s="2269"/>
    </row>
    <row r="22" spans="1:25" ht="39.75" customHeight="1" x14ac:dyDescent="0.25">
      <c r="A22" s="10"/>
      <c r="B22" s="2258" t="s">
        <v>49</v>
      </c>
      <c r="C22" s="2265">
        <v>637153</v>
      </c>
      <c r="D22" s="2262">
        <v>133500</v>
      </c>
      <c r="E22" s="2262"/>
      <c r="F22" s="2262">
        <f>C22-D22+E22</f>
        <v>503653</v>
      </c>
      <c r="G22" s="10"/>
      <c r="H22" s="10"/>
      <c r="I22" s="10"/>
      <c r="J22" s="10"/>
      <c r="K22" s="10"/>
      <c r="L22" s="10"/>
      <c r="M22" s="10" t="s">
        <v>140</v>
      </c>
      <c r="N22" s="10"/>
      <c r="O22" s="10"/>
      <c r="P22" s="10"/>
      <c r="Q22" s="10"/>
      <c r="R22" s="10"/>
      <c r="T22" s="2252"/>
      <c r="U22" s="50" t="s">
        <v>61</v>
      </c>
      <c r="V22" s="2262">
        <v>133500</v>
      </c>
      <c r="W22" s="2262"/>
      <c r="X22" s="2262"/>
      <c r="Y22" s="2269"/>
    </row>
    <row r="23" spans="1:25" ht="47.25" customHeight="1" x14ac:dyDescent="0.25">
      <c r="A23" s="10"/>
      <c r="B23" s="2258"/>
      <c r="C23" s="2266"/>
      <c r="D23" s="2262"/>
      <c r="E23" s="2262"/>
      <c r="F23" s="2262"/>
      <c r="G23" s="10"/>
      <c r="H23" s="10"/>
      <c r="I23" s="10"/>
      <c r="J23" s="10"/>
      <c r="K23" s="10"/>
      <c r="L23" s="10"/>
      <c r="M23" s="10"/>
      <c r="N23" s="10"/>
      <c r="O23" s="10"/>
      <c r="P23" s="10"/>
      <c r="Q23" s="10"/>
      <c r="R23" s="10"/>
      <c r="T23" s="2235" t="s">
        <v>47</v>
      </c>
      <c r="U23" s="51" t="s">
        <v>62</v>
      </c>
      <c r="V23" s="2263">
        <f>V14+V16+V17-V18-V19-V20-V21+V22</f>
        <v>28777.407500000001</v>
      </c>
      <c r="W23" s="2263"/>
      <c r="X23" s="2263"/>
      <c r="Y23" s="2269"/>
    </row>
    <row r="24" spans="1:25" ht="40.5" customHeight="1" x14ac:dyDescent="0.25">
      <c r="B24" s="2258"/>
      <c r="C24" s="114" t="s">
        <v>46</v>
      </c>
      <c r="D24" s="114" t="s">
        <v>50</v>
      </c>
      <c r="E24" s="114" t="s">
        <v>51</v>
      </c>
      <c r="F24" s="114" t="s">
        <v>52</v>
      </c>
      <c r="T24" s="2235"/>
      <c r="U24" s="51" t="s">
        <v>63</v>
      </c>
      <c r="V24" s="2262">
        <f>V15+V21-V22</f>
        <v>10759</v>
      </c>
      <c r="W24" s="2262"/>
      <c r="X24" s="2262"/>
    </row>
  </sheetData>
  <mergeCells count="54">
    <mergeCell ref="A1:Y1"/>
    <mergeCell ref="A2:Y2"/>
    <mergeCell ref="T3:Y3"/>
    <mergeCell ref="A4:A5"/>
    <mergeCell ref="B4:B5"/>
    <mergeCell ref="C4:D4"/>
    <mergeCell ref="E4:F4"/>
    <mergeCell ref="G4:H4"/>
    <mergeCell ref="I4:J4"/>
    <mergeCell ref="K4:L4"/>
    <mergeCell ref="Y4:Y5"/>
    <mergeCell ref="M4:N4"/>
    <mergeCell ref="O4:P4"/>
    <mergeCell ref="Q4:R4"/>
    <mergeCell ref="S4:T4"/>
    <mergeCell ref="U4:V4"/>
    <mergeCell ref="W4:X4"/>
    <mergeCell ref="B16:C16"/>
    <mergeCell ref="Q16:R16"/>
    <mergeCell ref="T16:U16"/>
    <mergeCell ref="V16:X16"/>
    <mergeCell ref="A12:B12"/>
    <mergeCell ref="B14:C14"/>
    <mergeCell ref="Q14:R14"/>
    <mergeCell ref="T14:T15"/>
    <mergeCell ref="V14:X14"/>
    <mergeCell ref="B15:C15"/>
    <mergeCell ref="Q15:R15"/>
    <mergeCell ref="V15:X15"/>
    <mergeCell ref="B17:C17"/>
    <mergeCell ref="Q17:R17"/>
    <mergeCell ref="T17:U17"/>
    <mergeCell ref="V17:X17"/>
    <mergeCell ref="B18:C18"/>
    <mergeCell ref="Q18:R18"/>
    <mergeCell ref="T18:U18"/>
    <mergeCell ref="V18:X18"/>
    <mergeCell ref="Y18:Y23"/>
    <mergeCell ref="B19:C19"/>
    <mergeCell ref="Q19:R19"/>
    <mergeCell ref="T19:T20"/>
    <mergeCell ref="V19:X19"/>
    <mergeCell ref="V20:X20"/>
    <mergeCell ref="V24:X24"/>
    <mergeCell ref="T21:T22"/>
    <mergeCell ref="V21:X21"/>
    <mergeCell ref="B22:B24"/>
    <mergeCell ref="C22:C23"/>
    <mergeCell ref="D22:D23"/>
    <mergeCell ref="E22:E23"/>
    <mergeCell ref="F22:F23"/>
    <mergeCell ref="V22:X22"/>
    <mergeCell ref="T23:T24"/>
    <mergeCell ref="V23:X23"/>
  </mergeCells>
  <pageMargins left="0.15748031496063" right="0.15748031496063" top="0" bottom="0" header="0" footer="0"/>
  <pageSetup paperSize="9" scale="51" orientation="landscape" r:id="rId1"/>
</worksheet>
</file>

<file path=xl/worksheets/sheet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700-000000000000}">
  <sheetPr>
    <pageSetUpPr fitToPage="1"/>
  </sheetPr>
  <dimension ref="A1:Y24"/>
  <sheetViews>
    <sheetView topLeftCell="B11" zoomScale="67" zoomScaleNormal="67" zoomScaleSheetLayoutView="100" workbookViewId="0">
      <selection activeCell="L23" sqref="L23"/>
    </sheetView>
  </sheetViews>
  <sheetFormatPr defaultColWidth="9.140625" defaultRowHeight="15" x14ac:dyDescent="0.25"/>
  <cols>
    <col min="1" max="1" width="18.28515625" style="14" customWidth="1"/>
    <col min="2" max="2" width="10.7109375" style="14" customWidth="1"/>
    <col min="3" max="3" width="12.28515625" style="14" customWidth="1"/>
    <col min="4" max="4" width="11" style="14" customWidth="1"/>
    <col min="5" max="5" width="12" style="14" customWidth="1"/>
    <col min="6" max="6" width="12.5703125" style="14" bestFit="1" customWidth="1"/>
    <col min="7" max="7" width="9.28515625" style="14" bestFit="1" customWidth="1"/>
    <col min="8" max="8" width="10.140625" style="14" bestFit="1" customWidth="1"/>
    <col min="9" max="9" width="10.5703125" style="14" bestFit="1" customWidth="1"/>
    <col min="10" max="10" width="10.5703125" style="14" customWidth="1"/>
    <col min="11" max="11" width="10.28515625" style="14" bestFit="1" customWidth="1"/>
    <col min="12" max="12" width="9.42578125" style="14" bestFit="1" customWidth="1"/>
    <col min="13" max="13" width="9.85546875" style="14" bestFit="1" customWidth="1"/>
    <col min="14" max="14" width="10.140625" style="14" bestFit="1" customWidth="1"/>
    <col min="15" max="15" width="9" style="14" customWidth="1"/>
    <col min="16" max="16" width="12.85546875" style="14" bestFit="1" customWidth="1"/>
    <col min="17" max="18" width="9.42578125" style="14" customWidth="1"/>
    <col min="19" max="19" width="7.5703125" style="14" customWidth="1"/>
    <col min="20" max="20" width="12.140625" style="14" customWidth="1"/>
    <col min="21" max="21" width="15.5703125" style="14" customWidth="1"/>
    <col min="22" max="22" width="9.85546875" style="14" customWidth="1"/>
    <col min="23" max="23" width="10.140625" style="14" bestFit="1" customWidth="1"/>
    <col min="24" max="24" width="9.85546875" style="14" bestFit="1" customWidth="1"/>
    <col min="25" max="25" width="19.28515625" style="14" customWidth="1"/>
    <col min="26" max="16384" width="9.140625" style="14"/>
  </cols>
  <sheetData>
    <row r="1" spans="1:25" ht="46.15" customHeight="1" x14ac:dyDescent="0.25">
      <c r="A1" s="2240" t="s">
        <v>148</v>
      </c>
      <c r="B1" s="2240"/>
      <c r="C1" s="2240"/>
      <c r="D1" s="2240"/>
      <c r="E1" s="2240"/>
      <c r="F1" s="2240"/>
      <c r="G1" s="2240"/>
      <c r="H1" s="2240"/>
      <c r="I1" s="2240"/>
      <c r="J1" s="2240"/>
      <c r="K1" s="2240"/>
      <c r="L1" s="2240"/>
      <c r="M1" s="2240"/>
      <c r="N1" s="2240"/>
      <c r="O1" s="2240"/>
      <c r="P1" s="2240"/>
      <c r="Q1" s="2240"/>
      <c r="R1" s="2240"/>
      <c r="S1" s="2240"/>
      <c r="T1" s="2240"/>
      <c r="U1" s="2240"/>
      <c r="V1" s="2240"/>
      <c r="W1" s="2240"/>
      <c r="X1" s="2240"/>
      <c r="Y1" s="2240"/>
    </row>
    <row r="2" spans="1:25" ht="21.6" customHeight="1" x14ac:dyDescent="0.25">
      <c r="A2" s="2241" t="s">
        <v>77</v>
      </c>
      <c r="B2" s="2241"/>
      <c r="C2" s="2241"/>
      <c r="D2" s="2241"/>
      <c r="E2" s="2241"/>
      <c r="F2" s="2241"/>
      <c r="G2" s="2241"/>
      <c r="H2" s="2241"/>
      <c r="I2" s="2241"/>
      <c r="J2" s="2241"/>
      <c r="K2" s="2241"/>
      <c r="L2" s="2241"/>
      <c r="M2" s="2241"/>
      <c r="N2" s="2241"/>
      <c r="O2" s="2241"/>
      <c r="P2" s="2241"/>
      <c r="Q2" s="2241"/>
      <c r="R2" s="2241"/>
      <c r="S2" s="2241"/>
      <c r="T2" s="2241"/>
      <c r="U2" s="2241"/>
      <c r="V2" s="2241"/>
      <c r="W2" s="2241"/>
      <c r="X2" s="2241"/>
      <c r="Y2" s="2241"/>
    </row>
    <row r="3" spans="1:25" ht="21" customHeight="1" x14ac:dyDescent="0.25">
      <c r="A3" s="116"/>
      <c r="B3" s="116"/>
      <c r="C3" s="116"/>
      <c r="D3" s="116"/>
      <c r="E3" s="116"/>
      <c r="F3" s="116"/>
      <c r="G3" s="116"/>
      <c r="H3" s="116"/>
      <c r="I3" s="116"/>
      <c r="J3" s="116"/>
      <c r="K3" s="116"/>
      <c r="L3" s="116"/>
      <c r="M3" s="116"/>
      <c r="N3" s="116"/>
      <c r="O3" s="116"/>
      <c r="P3" s="116"/>
      <c r="Q3" s="116"/>
      <c r="R3" s="116"/>
      <c r="S3" s="116"/>
      <c r="T3" s="2242" t="s">
        <v>160</v>
      </c>
      <c r="U3" s="2242"/>
      <c r="V3" s="2242"/>
      <c r="W3" s="2242"/>
      <c r="X3" s="2242"/>
      <c r="Y3" s="2242"/>
    </row>
    <row r="4" spans="1:25" s="116" customFormat="1" ht="18" customHeight="1" x14ac:dyDescent="0.25">
      <c r="A4" s="2243" t="s">
        <v>25</v>
      </c>
      <c r="B4" s="2243" t="s">
        <v>26</v>
      </c>
      <c r="C4" s="2244" t="s">
        <v>27</v>
      </c>
      <c r="D4" s="2244"/>
      <c r="E4" s="2244" t="s">
        <v>28</v>
      </c>
      <c r="F4" s="2244"/>
      <c r="G4" s="2244" t="s">
        <v>65</v>
      </c>
      <c r="H4" s="2244"/>
      <c r="I4" s="2244" t="s">
        <v>29</v>
      </c>
      <c r="J4" s="2244"/>
      <c r="K4" s="2245" t="s">
        <v>13</v>
      </c>
      <c r="L4" s="2246"/>
      <c r="M4" s="2245" t="s">
        <v>67</v>
      </c>
      <c r="N4" s="2246"/>
      <c r="O4" s="2245" t="s">
        <v>68</v>
      </c>
      <c r="P4" s="2246"/>
      <c r="Q4" s="2245" t="s">
        <v>114</v>
      </c>
      <c r="R4" s="2246"/>
      <c r="S4" s="2244" t="s">
        <v>35</v>
      </c>
      <c r="T4" s="2244"/>
      <c r="U4" s="2245" t="s">
        <v>17</v>
      </c>
      <c r="V4" s="2246"/>
      <c r="W4" s="2247" t="s">
        <v>36</v>
      </c>
      <c r="X4" s="2248"/>
      <c r="Y4" s="2238" t="s">
        <v>30</v>
      </c>
    </row>
    <row r="5" spans="1:25" s="116" customFormat="1" ht="25.5" customHeight="1" x14ac:dyDescent="0.25">
      <c r="A5" s="2243"/>
      <c r="B5" s="2243"/>
      <c r="C5" s="115" t="s">
        <v>42</v>
      </c>
      <c r="D5" s="115" t="s">
        <v>43</v>
      </c>
      <c r="E5" s="115" t="s">
        <v>42</v>
      </c>
      <c r="F5" s="115" t="s">
        <v>43</v>
      </c>
      <c r="G5" s="115" t="s">
        <v>42</v>
      </c>
      <c r="H5" s="115" t="s">
        <v>43</v>
      </c>
      <c r="I5" s="115" t="s">
        <v>42</v>
      </c>
      <c r="J5" s="115" t="s">
        <v>43</v>
      </c>
      <c r="K5" s="115" t="s">
        <v>42</v>
      </c>
      <c r="L5" s="115" t="s">
        <v>43</v>
      </c>
      <c r="M5" s="115" t="s">
        <v>42</v>
      </c>
      <c r="N5" s="115" t="s">
        <v>43</v>
      </c>
      <c r="O5" s="115" t="s">
        <v>42</v>
      </c>
      <c r="P5" s="115" t="s">
        <v>43</v>
      </c>
      <c r="Q5" s="115" t="s">
        <v>42</v>
      </c>
      <c r="R5" s="115" t="s">
        <v>43</v>
      </c>
      <c r="S5" s="33" t="s">
        <v>42</v>
      </c>
      <c r="T5" s="33" t="s">
        <v>43</v>
      </c>
      <c r="U5" s="30" t="s">
        <v>42</v>
      </c>
      <c r="V5" s="30" t="s">
        <v>43</v>
      </c>
      <c r="W5" s="30" t="s">
        <v>42</v>
      </c>
      <c r="X5" s="30" t="s">
        <v>43</v>
      </c>
      <c r="Y5" s="2239"/>
    </row>
    <row r="6" spans="1:25" ht="34.5" customHeight="1" x14ac:dyDescent="0.25">
      <c r="A6" s="12">
        <v>1409935200</v>
      </c>
      <c r="B6" s="114" t="s">
        <v>71</v>
      </c>
      <c r="C6" s="112">
        <v>55798</v>
      </c>
      <c r="D6" s="111">
        <f>0.9725*C6</f>
        <v>54263.555</v>
      </c>
      <c r="E6" s="112"/>
      <c r="F6" s="112">
        <f>13.7*E6</f>
        <v>0</v>
      </c>
      <c r="G6" s="112"/>
      <c r="H6" s="112">
        <f>28.2*G6</f>
        <v>0</v>
      </c>
      <c r="I6" s="112">
        <v>360</v>
      </c>
      <c r="J6" s="112">
        <f>18.5*I6</f>
        <v>6660</v>
      </c>
      <c r="K6" s="112"/>
      <c r="L6" s="112">
        <f>19.5*K6</f>
        <v>0</v>
      </c>
      <c r="M6" s="112"/>
      <c r="N6" s="111">
        <f>M6*9.75</f>
        <v>0</v>
      </c>
      <c r="O6" s="112"/>
      <c r="P6" s="111">
        <f>O6*48.62</f>
        <v>0</v>
      </c>
      <c r="Q6" s="111"/>
      <c r="R6" s="111">
        <f>241*Q6</f>
        <v>0</v>
      </c>
      <c r="S6" s="112"/>
      <c r="T6" s="112">
        <f>241*S6</f>
        <v>0</v>
      </c>
      <c r="U6" s="112"/>
      <c r="V6" s="112">
        <f>232*U6</f>
        <v>0</v>
      </c>
      <c r="W6" s="112"/>
      <c r="X6" s="19">
        <f>W6*100</f>
        <v>0</v>
      </c>
      <c r="Y6" s="89">
        <f t="shared" ref="Y6:Y11" si="0">D6+F6+H6+J6+L6+N6+P6+R6+T6+V6+X6</f>
        <v>60923.555</v>
      </c>
    </row>
    <row r="7" spans="1:25" ht="31.5" customHeight="1" x14ac:dyDescent="0.25">
      <c r="A7" s="12">
        <v>1984225578</v>
      </c>
      <c r="B7" s="114" t="s">
        <v>72</v>
      </c>
      <c r="C7" s="112">
        <v>62645</v>
      </c>
      <c r="D7" s="111">
        <f t="shared" ref="D7:D11" si="1">0.9725*C7</f>
        <v>60922.262500000004</v>
      </c>
      <c r="E7" s="112"/>
      <c r="F7" s="112">
        <f t="shared" ref="F7:F11" si="2">13.7*E7</f>
        <v>0</v>
      </c>
      <c r="G7" s="112"/>
      <c r="H7" s="112">
        <f t="shared" ref="H7:H11" si="3">28.2*G7</f>
        <v>0</v>
      </c>
      <c r="I7" s="112">
        <v>150</v>
      </c>
      <c r="J7" s="112">
        <f t="shared" ref="J7:J11" si="4">18.5*I7</f>
        <v>2775</v>
      </c>
      <c r="K7" s="112"/>
      <c r="L7" s="112">
        <f t="shared" ref="L7:L11" si="5">19.5*K7</f>
        <v>0</v>
      </c>
      <c r="M7" s="112"/>
      <c r="N7" s="111">
        <f t="shared" ref="N7:N11" si="6">M7*9.75</f>
        <v>0</v>
      </c>
      <c r="O7" s="112"/>
      <c r="P7" s="111">
        <f t="shared" ref="P7:P11" si="7">O7*48.62</f>
        <v>0</v>
      </c>
      <c r="Q7" s="111"/>
      <c r="R7" s="111">
        <f t="shared" ref="R7:R11" si="8">241*Q7</f>
        <v>0</v>
      </c>
      <c r="S7" s="112"/>
      <c r="T7" s="112">
        <f t="shared" ref="T7:T11" si="9">241*S7</f>
        <v>0</v>
      </c>
      <c r="U7" s="112"/>
      <c r="V7" s="112">
        <f t="shared" ref="V7:V11" si="10">232*U7</f>
        <v>0</v>
      </c>
      <c r="W7" s="112"/>
      <c r="X7" s="19">
        <f t="shared" ref="X7:X11" si="11">W7*100</f>
        <v>0</v>
      </c>
      <c r="Y7" s="89">
        <f t="shared" si="0"/>
        <v>63697.262500000004</v>
      </c>
    </row>
    <row r="8" spans="1:25" ht="35.25" customHeight="1" x14ac:dyDescent="0.25">
      <c r="A8" s="12">
        <v>1967020280</v>
      </c>
      <c r="B8" s="114" t="s">
        <v>73</v>
      </c>
      <c r="C8" s="112">
        <v>26116</v>
      </c>
      <c r="D8" s="111">
        <f t="shared" si="1"/>
        <v>25397.81</v>
      </c>
      <c r="E8" s="112"/>
      <c r="F8" s="112">
        <f t="shared" si="2"/>
        <v>0</v>
      </c>
      <c r="G8" s="112"/>
      <c r="H8" s="112">
        <f t="shared" si="3"/>
        <v>0</v>
      </c>
      <c r="I8" s="112">
        <v>500</v>
      </c>
      <c r="J8" s="112">
        <f t="shared" si="4"/>
        <v>9250</v>
      </c>
      <c r="K8" s="112"/>
      <c r="L8" s="112">
        <f t="shared" si="5"/>
        <v>0</v>
      </c>
      <c r="M8" s="112"/>
      <c r="N8" s="111">
        <f t="shared" si="6"/>
        <v>0</v>
      </c>
      <c r="O8" s="112"/>
      <c r="P8" s="111">
        <f t="shared" si="7"/>
        <v>0</v>
      </c>
      <c r="Q8" s="111"/>
      <c r="R8" s="111">
        <f t="shared" si="8"/>
        <v>0</v>
      </c>
      <c r="S8" s="112"/>
      <c r="T8" s="112">
        <f t="shared" si="9"/>
        <v>0</v>
      </c>
      <c r="U8" s="112"/>
      <c r="V8" s="112">
        <f t="shared" si="10"/>
        <v>0</v>
      </c>
      <c r="W8" s="112"/>
      <c r="X8" s="19">
        <f t="shared" si="11"/>
        <v>0</v>
      </c>
      <c r="Y8" s="89">
        <f t="shared" si="0"/>
        <v>34647.81</v>
      </c>
    </row>
    <row r="9" spans="1:25" ht="38.25" customHeight="1" x14ac:dyDescent="0.25">
      <c r="A9" s="12">
        <v>1409935199</v>
      </c>
      <c r="B9" s="114" t="s">
        <v>74</v>
      </c>
      <c r="C9" s="112"/>
      <c r="D9" s="111">
        <f t="shared" si="1"/>
        <v>0</v>
      </c>
      <c r="E9" s="112"/>
      <c r="F9" s="112">
        <f t="shared" si="2"/>
        <v>0</v>
      </c>
      <c r="G9" s="112"/>
      <c r="H9" s="112">
        <f t="shared" si="3"/>
        <v>0</v>
      </c>
      <c r="I9" s="112"/>
      <c r="J9" s="112">
        <f t="shared" si="4"/>
        <v>0</v>
      </c>
      <c r="K9" s="112"/>
      <c r="L9" s="112">
        <f t="shared" si="5"/>
        <v>0</v>
      </c>
      <c r="M9" s="112"/>
      <c r="N9" s="111">
        <f t="shared" si="6"/>
        <v>0</v>
      </c>
      <c r="O9" s="112"/>
      <c r="P9" s="111">
        <f t="shared" si="7"/>
        <v>0</v>
      </c>
      <c r="Q9" s="111"/>
      <c r="R9" s="111">
        <f t="shared" si="8"/>
        <v>0</v>
      </c>
      <c r="S9" s="112"/>
      <c r="T9" s="112">
        <f t="shared" si="9"/>
        <v>0</v>
      </c>
      <c r="U9" s="112"/>
      <c r="V9" s="112">
        <f t="shared" si="10"/>
        <v>0</v>
      </c>
      <c r="W9" s="112"/>
      <c r="X9" s="19">
        <f t="shared" si="11"/>
        <v>0</v>
      </c>
      <c r="Y9" s="89">
        <f t="shared" si="0"/>
        <v>0</v>
      </c>
    </row>
    <row r="10" spans="1:25" ht="35.25" customHeight="1" x14ac:dyDescent="0.25">
      <c r="A10" s="12">
        <v>1984225580</v>
      </c>
      <c r="B10" s="114" t="s">
        <v>75</v>
      </c>
      <c r="C10" s="112">
        <v>26419</v>
      </c>
      <c r="D10" s="111">
        <f>0.9725*C10</f>
        <v>25692.477500000001</v>
      </c>
      <c r="E10" s="112"/>
      <c r="F10" s="112">
        <f t="shared" si="2"/>
        <v>0</v>
      </c>
      <c r="G10" s="112"/>
      <c r="H10" s="112">
        <f t="shared" si="3"/>
        <v>0</v>
      </c>
      <c r="I10" s="112">
        <v>30</v>
      </c>
      <c r="J10" s="112">
        <f t="shared" si="4"/>
        <v>555</v>
      </c>
      <c r="K10" s="112"/>
      <c r="L10" s="112">
        <f t="shared" si="5"/>
        <v>0</v>
      </c>
      <c r="M10" s="112"/>
      <c r="N10" s="111">
        <f t="shared" si="6"/>
        <v>0</v>
      </c>
      <c r="O10" s="112"/>
      <c r="P10" s="111">
        <f t="shared" si="7"/>
        <v>0</v>
      </c>
      <c r="Q10" s="111"/>
      <c r="R10" s="111">
        <f t="shared" si="8"/>
        <v>0</v>
      </c>
      <c r="S10" s="112">
        <v>10</v>
      </c>
      <c r="T10" s="112">
        <f t="shared" si="9"/>
        <v>2410</v>
      </c>
      <c r="U10" s="112">
        <v>5</v>
      </c>
      <c r="V10" s="112">
        <f t="shared" si="10"/>
        <v>1160</v>
      </c>
      <c r="W10" s="112"/>
      <c r="X10" s="19">
        <f t="shared" si="11"/>
        <v>0</v>
      </c>
      <c r="Y10" s="89">
        <f t="shared" si="0"/>
        <v>29817.477500000001</v>
      </c>
    </row>
    <row r="11" spans="1:25" ht="37.5" customHeight="1" x14ac:dyDescent="0.25">
      <c r="A11" s="12"/>
      <c r="B11" s="113"/>
      <c r="C11" s="112"/>
      <c r="D11" s="22">
        <f t="shared" si="1"/>
        <v>0</v>
      </c>
      <c r="E11" s="112"/>
      <c r="F11" s="112">
        <f t="shared" si="2"/>
        <v>0</v>
      </c>
      <c r="G11" s="112"/>
      <c r="H11" s="112">
        <f t="shared" si="3"/>
        <v>0</v>
      </c>
      <c r="I11" s="112"/>
      <c r="J11" s="112">
        <f t="shared" si="4"/>
        <v>0</v>
      </c>
      <c r="K11" s="112"/>
      <c r="L11" s="112">
        <f t="shared" si="5"/>
        <v>0</v>
      </c>
      <c r="M11" s="112"/>
      <c r="N11" s="111">
        <f t="shared" si="6"/>
        <v>0</v>
      </c>
      <c r="O11" s="112"/>
      <c r="P11" s="111">
        <f t="shared" si="7"/>
        <v>0</v>
      </c>
      <c r="Q11" s="111"/>
      <c r="R11" s="111">
        <f t="shared" si="8"/>
        <v>0</v>
      </c>
      <c r="S11" s="112"/>
      <c r="T11" s="112">
        <f t="shared" si="9"/>
        <v>0</v>
      </c>
      <c r="U11" s="112"/>
      <c r="V11" s="112">
        <f t="shared" si="10"/>
        <v>0</v>
      </c>
      <c r="W11" s="112"/>
      <c r="X11" s="19">
        <f t="shared" si="11"/>
        <v>0</v>
      </c>
      <c r="Y11" s="20">
        <f t="shared" si="0"/>
        <v>0</v>
      </c>
    </row>
    <row r="12" spans="1:25" ht="29.25" customHeight="1" x14ac:dyDescent="0.25">
      <c r="A12" s="2235" t="s">
        <v>31</v>
      </c>
      <c r="B12" s="2235"/>
      <c r="C12" s="18">
        <f t="shared" ref="C12:Y12" si="12">SUM(C6:C11)</f>
        <v>170978</v>
      </c>
      <c r="D12" s="18">
        <f t="shared" si="12"/>
        <v>166276.10500000001</v>
      </c>
      <c r="E12" s="18">
        <f t="shared" si="12"/>
        <v>0</v>
      </c>
      <c r="F12" s="18">
        <f t="shared" si="12"/>
        <v>0</v>
      </c>
      <c r="G12" s="18">
        <f t="shared" si="12"/>
        <v>0</v>
      </c>
      <c r="H12" s="18">
        <f t="shared" si="12"/>
        <v>0</v>
      </c>
      <c r="I12" s="18">
        <f t="shared" si="12"/>
        <v>1040</v>
      </c>
      <c r="J12" s="18">
        <f t="shared" si="12"/>
        <v>19240</v>
      </c>
      <c r="K12" s="18">
        <f t="shared" si="12"/>
        <v>0</v>
      </c>
      <c r="L12" s="18">
        <f t="shared" si="12"/>
        <v>0</v>
      </c>
      <c r="M12" s="18">
        <f t="shared" si="12"/>
        <v>0</v>
      </c>
      <c r="N12" s="23">
        <f t="shared" si="12"/>
        <v>0</v>
      </c>
      <c r="O12" s="18">
        <f t="shared" si="12"/>
        <v>0</v>
      </c>
      <c r="P12" s="23">
        <f t="shared" si="12"/>
        <v>0</v>
      </c>
      <c r="Q12" s="23">
        <f t="shared" si="12"/>
        <v>0</v>
      </c>
      <c r="R12" s="23">
        <f>SUM(R6:R11)</f>
        <v>0</v>
      </c>
      <c r="S12" s="18">
        <f t="shared" si="12"/>
        <v>10</v>
      </c>
      <c r="T12" s="18">
        <f t="shared" si="12"/>
        <v>2410</v>
      </c>
      <c r="U12" s="18">
        <f t="shared" si="12"/>
        <v>5</v>
      </c>
      <c r="V12" s="18">
        <f t="shared" si="12"/>
        <v>1160</v>
      </c>
      <c r="W12" s="18">
        <f t="shared" si="12"/>
        <v>0</v>
      </c>
      <c r="X12" s="18">
        <f t="shared" si="12"/>
        <v>0</v>
      </c>
      <c r="Y12" s="18">
        <f t="shared" si="12"/>
        <v>189086.10500000001</v>
      </c>
    </row>
    <row r="14" spans="1:25" ht="32.25" customHeight="1" x14ac:dyDescent="0.25">
      <c r="A14" s="30" t="s">
        <v>32</v>
      </c>
      <c r="B14" s="2236" t="s">
        <v>27</v>
      </c>
      <c r="C14" s="2236"/>
      <c r="D14" s="30" t="s">
        <v>33</v>
      </c>
      <c r="E14" s="30" t="s">
        <v>65</v>
      </c>
      <c r="F14" s="30" t="s">
        <v>34</v>
      </c>
      <c r="G14" s="30" t="s">
        <v>13</v>
      </c>
      <c r="H14" s="31" t="s">
        <v>45</v>
      </c>
      <c r="I14" s="30" t="s">
        <v>17</v>
      </c>
      <c r="J14" s="30" t="s">
        <v>66</v>
      </c>
      <c r="K14" s="30" t="s">
        <v>36</v>
      </c>
      <c r="L14" s="30" t="s">
        <v>37</v>
      </c>
      <c r="M14" s="30" t="s">
        <v>69</v>
      </c>
      <c r="N14" s="30" t="s">
        <v>70</v>
      </c>
      <c r="O14" s="86" t="s">
        <v>114</v>
      </c>
      <c r="P14" s="86" t="s">
        <v>99</v>
      </c>
      <c r="Q14" s="2272" t="s">
        <v>150</v>
      </c>
      <c r="R14" s="2272"/>
      <c r="T14" s="2235" t="s">
        <v>46</v>
      </c>
      <c r="U14" s="114" t="s">
        <v>54</v>
      </c>
      <c r="V14" s="2260">
        <v>28777</v>
      </c>
      <c r="W14" s="2268"/>
      <c r="X14" s="2261"/>
    </row>
    <row r="15" spans="1:25" ht="22.5" customHeight="1" x14ac:dyDescent="0.25">
      <c r="A15" s="100" t="s">
        <v>38</v>
      </c>
      <c r="B15" s="2260">
        <v>276947</v>
      </c>
      <c r="C15" s="2261"/>
      <c r="D15" s="117">
        <v>0</v>
      </c>
      <c r="E15" s="117">
        <v>0</v>
      </c>
      <c r="F15" s="117">
        <v>2560</v>
      </c>
      <c r="G15" s="117">
        <v>0</v>
      </c>
      <c r="H15" s="117">
        <v>103</v>
      </c>
      <c r="I15" s="117">
        <v>15</v>
      </c>
      <c r="J15" s="117">
        <v>105</v>
      </c>
      <c r="K15" s="117">
        <v>58</v>
      </c>
      <c r="L15" s="117">
        <v>371</v>
      </c>
      <c r="M15" s="117">
        <v>0</v>
      </c>
      <c r="N15" s="117">
        <v>100</v>
      </c>
      <c r="O15" s="117">
        <v>0</v>
      </c>
      <c r="P15" s="117">
        <v>521</v>
      </c>
      <c r="Q15" s="2262">
        <v>62</v>
      </c>
      <c r="R15" s="2262"/>
      <c r="T15" s="2235"/>
      <c r="U15" s="114" t="s">
        <v>64</v>
      </c>
      <c r="V15" s="2262">
        <v>10759</v>
      </c>
      <c r="W15" s="2262"/>
      <c r="X15" s="2262"/>
    </row>
    <row r="16" spans="1:25" ht="24.75" customHeight="1" x14ac:dyDescent="0.25">
      <c r="A16" s="100" t="s">
        <v>39</v>
      </c>
      <c r="B16" s="2260">
        <v>207273</v>
      </c>
      <c r="C16" s="2261"/>
      <c r="D16" s="117"/>
      <c r="E16" s="117"/>
      <c r="F16" s="117"/>
      <c r="G16" s="117"/>
      <c r="H16" s="117"/>
      <c r="I16" s="117"/>
      <c r="J16" s="117"/>
      <c r="K16" s="117"/>
      <c r="L16" s="117">
        <v>15</v>
      </c>
      <c r="M16" s="117"/>
      <c r="N16" s="117"/>
      <c r="O16" s="117"/>
      <c r="P16" s="117"/>
      <c r="Q16" s="2225"/>
      <c r="R16" s="2225"/>
      <c r="T16" s="2254" t="s">
        <v>55</v>
      </c>
      <c r="U16" s="2254"/>
      <c r="V16" s="2267">
        <f>Y12</f>
        <v>189086.10500000001</v>
      </c>
      <c r="W16" s="2267"/>
      <c r="X16" s="2262"/>
    </row>
    <row r="17" spans="1:25" ht="28.5" customHeight="1" x14ac:dyDescent="0.25">
      <c r="A17" s="101" t="s">
        <v>44</v>
      </c>
      <c r="B17" s="2260">
        <v>26145</v>
      </c>
      <c r="C17" s="2261"/>
      <c r="D17" s="117"/>
      <c r="E17" s="117"/>
      <c r="F17" s="117"/>
      <c r="G17" s="117"/>
      <c r="H17" s="117"/>
      <c r="I17" s="117"/>
      <c r="J17" s="117"/>
      <c r="K17" s="117"/>
      <c r="L17" s="117"/>
      <c r="M17" s="117"/>
      <c r="N17" s="117"/>
      <c r="O17" s="117"/>
      <c r="P17" s="117"/>
      <c r="Q17" s="2225"/>
      <c r="R17" s="2225"/>
      <c r="T17" s="2270" t="s">
        <v>154</v>
      </c>
      <c r="U17" s="2271"/>
      <c r="V17" s="2262"/>
      <c r="W17" s="2262"/>
      <c r="X17" s="2262"/>
    </row>
    <row r="18" spans="1:25" ht="27" customHeight="1" x14ac:dyDescent="0.25">
      <c r="A18" s="100" t="s">
        <v>40</v>
      </c>
      <c r="B18" s="2264">
        <f>C12</f>
        <v>170978</v>
      </c>
      <c r="C18" s="2261"/>
      <c r="D18" s="119">
        <f>E12</f>
        <v>0</v>
      </c>
      <c r="E18" s="119">
        <f>G12</f>
        <v>0</v>
      </c>
      <c r="F18" s="119">
        <f>I12</f>
        <v>1040</v>
      </c>
      <c r="G18" s="119">
        <f>K12</f>
        <v>0</v>
      </c>
      <c r="H18" s="117">
        <v>25</v>
      </c>
      <c r="I18" s="119">
        <f>U12</f>
        <v>5</v>
      </c>
      <c r="J18" s="117"/>
      <c r="K18" s="119">
        <f>W12</f>
        <v>0</v>
      </c>
      <c r="L18" s="117"/>
      <c r="M18" s="119">
        <f>M12</f>
        <v>0</v>
      </c>
      <c r="N18" s="119"/>
      <c r="O18" s="118">
        <f>Q12</f>
        <v>0</v>
      </c>
      <c r="P18" s="117"/>
      <c r="Q18" s="2225"/>
      <c r="R18" s="2225"/>
      <c r="T18" s="2254" t="s">
        <v>57</v>
      </c>
      <c r="U18" s="2254"/>
      <c r="V18" s="2262">
        <f>450+300+530</f>
        <v>1280</v>
      </c>
      <c r="W18" s="2262"/>
      <c r="X18" s="2262"/>
      <c r="Y18" s="2269" t="s">
        <v>161</v>
      </c>
    </row>
    <row r="19" spans="1:25" ht="25.5" customHeight="1" x14ac:dyDescent="0.25">
      <c r="A19" s="100" t="s">
        <v>41</v>
      </c>
      <c r="B19" s="2260">
        <f>B15+B16+B17-B18</f>
        <v>339387</v>
      </c>
      <c r="C19" s="2261"/>
      <c r="D19" s="117">
        <f>D15+D16+D17-D18</f>
        <v>0</v>
      </c>
      <c r="E19" s="117">
        <f t="shared" ref="E19:N19" si="13">E15+E16+E17-E18</f>
        <v>0</v>
      </c>
      <c r="F19" s="117">
        <f t="shared" si="13"/>
        <v>1520</v>
      </c>
      <c r="G19" s="117">
        <f t="shared" si="13"/>
        <v>0</v>
      </c>
      <c r="H19" s="117">
        <f t="shared" si="13"/>
        <v>78</v>
      </c>
      <c r="I19" s="117">
        <f t="shared" si="13"/>
        <v>10</v>
      </c>
      <c r="J19" s="117">
        <f t="shared" si="13"/>
        <v>105</v>
      </c>
      <c r="K19" s="117">
        <f t="shared" si="13"/>
        <v>58</v>
      </c>
      <c r="L19" s="117">
        <f t="shared" si="13"/>
        <v>386</v>
      </c>
      <c r="M19" s="117">
        <f t="shared" si="13"/>
        <v>0</v>
      </c>
      <c r="N19" s="117">
        <f t="shared" si="13"/>
        <v>100</v>
      </c>
      <c r="O19" s="117">
        <f>O15+O16+O17-O18</f>
        <v>0</v>
      </c>
      <c r="P19" s="117">
        <f>P15+P16+P17-P18</f>
        <v>521</v>
      </c>
      <c r="Q19" s="2260">
        <f t="shared" ref="Q19" si="14">Q15+Q16+Q17-Q18</f>
        <v>62</v>
      </c>
      <c r="R19" s="2261"/>
      <c r="T19" s="2256" t="s">
        <v>48</v>
      </c>
      <c r="U19" s="49" t="s">
        <v>58</v>
      </c>
      <c r="V19" s="2262">
        <v>199500</v>
      </c>
      <c r="W19" s="2262"/>
      <c r="X19" s="2262"/>
      <c r="Y19" s="2269"/>
    </row>
    <row r="20" spans="1:25" ht="23.25" customHeight="1" x14ac:dyDescent="0.25">
      <c r="A20" s="15"/>
      <c r="B20" s="10"/>
      <c r="C20" s="10"/>
      <c r="D20" s="10"/>
      <c r="E20" s="10"/>
      <c r="F20" s="10"/>
      <c r="G20" s="10"/>
      <c r="H20" s="10"/>
      <c r="I20" s="10"/>
      <c r="J20" s="10"/>
      <c r="K20" s="10"/>
      <c r="L20" s="10"/>
      <c r="M20" s="10"/>
      <c r="N20" s="10"/>
      <c r="O20" s="10"/>
      <c r="P20" s="10"/>
      <c r="Q20" s="10"/>
      <c r="R20" s="10"/>
      <c r="T20" s="2257"/>
      <c r="U20" s="49" t="s">
        <v>59</v>
      </c>
      <c r="V20" s="2262"/>
      <c r="W20" s="2262"/>
      <c r="X20" s="2262"/>
      <c r="Y20" s="2269"/>
    </row>
    <row r="21" spans="1:25" ht="35.25" customHeight="1" x14ac:dyDescent="0.25">
      <c r="A21" s="15"/>
      <c r="B21" s="10"/>
      <c r="C21" s="10"/>
      <c r="D21" s="10"/>
      <c r="E21" s="10"/>
      <c r="F21" s="10"/>
      <c r="G21" s="10"/>
      <c r="H21" s="10"/>
      <c r="I21" s="10"/>
      <c r="J21" s="10"/>
      <c r="K21" s="10"/>
      <c r="L21" s="10"/>
      <c r="M21" s="10"/>
      <c r="N21" s="10"/>
      <c r="O21" s="10"/>
      <c r="P21" s="10"/>
      <c r="Q21" s="10"/>
      <c r="R21" s="10"/>
      <c r="T21" s="2251" t="s">
        <v>83</v>
      </c>
      <c r="U21" s="50" t="s">
        <v>60</v>
      </c>
      <c r="V21" s="2262">
        <v>199420</v>
      </c>
      <c r="W21" s="2262"/>
      <c r="X21" s="2262"/>
      <c r="Y21" s="2269"/>
    </row>
    <row r="22" spans="1:25" ht="39.75" customHeight="1" x14ac:dyDescent="0.25">
      <c r="A22" s="10"/>
      <c r="B22" s="2258" t="s">
        <v>49</v>
      </c>
      <c r="C22" s="2265">
        <v>503653</v>
      </c>
      <c r="D22" s="2262">
        <v>199500</v>
      </c>
      <c r="E22" s="2262">
        <v>199500</v>
      </c>
      <c r="F22" s="2262">
        <f>C22-D22+E22</f>
        <v>503653</v>
      </c>
      <c r="G22" s="10"/>
      <c r="H22" s="10"/>
      <c r="I22" s="10"/>
      <c r="J22" s="10"/>
      <c r="K22" s="10"/>
      <c r="L22" s="10"/>
      <c r="M22" s="10" t="s">
        <v>140</v>
      </c>
      <c r="N22" s="10"/>
      <c r="O22" s="10"/>
      <c r="P22" s="10"/>
      <c r="Q22" s="10"/>
      <c r="R22" s="10"/>
      <c r="T22" s="2252"/>
      <c r="U22" s="50" t="s">
        <v>61</v>
      </c>
      <c r="V22" s="2262">
        <v>199500</v>
      </c>
      <c r="W22" s="2262"/>
      <c r="X22" s="2262"/>
      <c r="Y22" s="2269"/>
    </row>
    <row r="23" spans="1:25" ht="47.25" customHeight="1" x14ac:dyDescent="0.25">
      <c r="A23" s="10"/>
      <c r="B23" s="2258"/>
      <c r="C23" s="2266"/>
      <c r="D23" s="2262"/>
      <c r="E23" s="2262"/>
      <c r="F23" s="2262"/>
      <c r="G23" s="10"/>
      <c r="H23" s="10"/>
      <c r="I23" s="10"/>
      <c r="J23" s="10"/>
      <c r="K23" s="10"/>
      <c r="L23" s="10"/>
      <c r="M23" s="10"/>
      <c r="N23" s="10"/>
      <c r="O23" s="10"/>
      <c r="P23" s="10"/>
      <c r="Q23" s="10"/>
      <c r="R23" s="10"/>
      <c r="T23" s="2235" t="s">
        <v>47</v>
      </c>
      <c r="U23" s="51" t="s">
        <v>62</v>
      </c>
      <c r="V23" s="2263">
        <f>V14+V16+V17-V18-V19-V20-V21+V22</f>
        <v>17163.10500000001</v>
      </c>
      <c r="W23" s="2263"/>
      <c r="X23" s="2263"/>
      <c r="Y23" s="2269"/>
    </row>
    <row r="24" spans="1:25" ht="40.5" customHeight="1" x14ac:dyDescent="0.25">
      <c r="B24" s="2258"/>
      <c r="C24" s="114" t="s">
        <v>46</v>
      </c>
      <c r="D24" s="114" t="s">
        <v>50</v>
      </c>
      <c r="E24" s="114" t="s">
        <v>51</v>
      </c>
      <c r="F24" s="114" t="s">
        <v>52</v>
      </c>
      <c r="T24" s="2235"/>
      <c r="U24" s="51" t="s">
        <v>63</v>
      </c>
      <c r="V24" s="2262">
        <f>V15+V21-V22</f>
        <v>10679</v>
      </c>
      <c r="W24" s="2262"/>
      <c r="X24" s="2262"/>
    </row>
  </sheetData>
  <mergeCells count="54">
    <mergeCell ref="A1:Y1"/>
    <mergeCell ref="A2:Y2"/>
    <mergeCell ref="T3:Y3"/>
    <mergeCell ref="A4:A5"/>
    <mergeCell ref="B4:B5"/>
    <mergeCell ref="C4:D4"/>
    <mergeCell ref="E4:F4"/>
    <mergeCell ref="G4:H4"/>
    <mergeCell ref="I4:J4"/>
    <mergeCell ref="K4:L4"/>
    <mergeCell ref="Y4:Y5"/>
    <mergeCell ref="M4:N4"/>
    <mergeCell ref="O4:P4"/>
    <mergeCell ref="Q4:R4"/>
    <mergeCell ref="S4:T4"/>
    <mergeCell ref="U4:V4"/>
    <mergeCell ref="W4:X4"/>
    <mergeCell ref="B16:C16"/>
    <mergeCell ref="Q16:R16"/>
    <mergeCell ref="T16:U16"/>
    <mergeCell ref="V16:X16"/>
    <mergeCell ref="A12:B12"/>
    <mergeCell ref="B14:C14"/>
    <mergeCell ref="Q14:R14"/>
    <mergeCell ref="T14:T15"/>
    <mergeCell ref="V14:X14"/>
    <mergeCell ref="B15:C15"/>
    <mergeCell ref="Q15:R15"/>
    <mergeCell ref="V15:X15"/>
    <mergeCell ref="B17:C17"/>
    <mergeCell ref="Q17:R17"/>
    <mergeCell ref="T17:U17"/>
    <mergeCell ref="V17:X17"/>
    <mergeCell ref="B18:C18"/>
    <mergeCell ref="Q18:R18"/>
    <mergeCell ref="T18:U18"/>
    <mergeCell ref="V18:X18"/>
    <mergeCell ref="Y18:Y23"/>
    <mergeCell ref="B19:C19"/>
    <mergeCell ref="Q19:R19"/>
    <mergeCell ref="T19:T20"/>
    <mergeCell ref="V19:X19"/>
    <mergeCell ref="V20:X20"/>
    <mergeCell ref="V24:X24"/>
    <mergeCell ref="T21:T22"/>
    <mergeCell ref="V21:X21"/>
    <mergeCell ref="B22:B24"/>
    <mergeCell ref="C22:C23"/>
    <mergeCell ref="D22:D23"/>
    <mergeCell ref="E22:E23"/>
    <mergeCell ref="F22:F23"/>
    <mergeCell ref="V22:X22"/>
    <mergeCell ref="T23:T24"/>
    <mergeCell ref="V23:X23"/>
  </mergeCells>
  <pageMargins left="0.15748031496063" right="0.15748031496063" top="0" bottom="0" header="0" footer="0"/>
  <pageSetup paperSize="9" scale="51" orientation="landscape" r:id="rId1"/>
</worksheet>
</file>

<file path=xl/worksheets/sheet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800-000000000000}">
  <sheetPr>
    <pageSetUpPr fitToPage="1"/>
  </sheetPr>
  <dimension ref="A1:Y24"/>
  <sheetViews>
    <sheetView topLeftCell="A10" zoomScale="67" zoomScaleNormal="67" zoomScaleSheetLayoutView="100" workbookViewId="0">
      <selection activeCell="N23" sqref="N23"/>
    </sheetView>
  </sheetViews>
  <sheetFormatPr defaultColWidth="9.140625" defaultRowHeight="15" x14ac:dyDescent="0.25"/>
  <cols>
    <col min="1" max="1" width="18.28515625" style="14" customWidth="1"/>
    <col min="2" max="2" width="10.7109375" style="14" customWidth="1"/>
    <col min="3" max="3" width="12.28515625" style="14" customWidth="1"/>
    <col min="4" max="4" width="11" style="14" customWidth="1"/>
    <col min="5" max="5" width="12" style="14" customWidth="1"/>
    <col min="6" max="6" width="12.5703125" style="14" bestFit="1" customWidth="1"/>
    <col min="7" max="7" width="9.28515625" style="14" bestFit="1" customWidth="1"/>
    <col min="8" max="8" width="10.140625" style="14" bestFit="1" customWidth="1"/>
    <col min="9" max="9" width="10.5703125" style="14" bestFit="1" customWidth="1"/>
    <col min="10" max="10" width="10.5703125" style="14" customWidth="1"/>
    <col min="11" max="11" width="10.28515625" style="14" bestFit="1" customWidth="1"/>
    <col min="12" max="12" width="9.42578125" style="14" bestFit="1" customWidth="1"/>
    <col min="13" max="13" width="9.85546875" style="14" bestFit="1" customWidth="1"/>
    <col min="14" max="14" width="10.140625" style="14" bestFit="1" customWidth="1"/>
    <col min="15" max="15" width="9" style="14" customWidth="1"/>
    <col min="16" max="16" width="12.85546875" style="14" bestFit="1" customWidth="1"/>
    <col min="17" max="18" width="9.42578125" style="14" customWidth="1"/>
    <col min="19" max="19" width="7.5703125" style="14" customWidth="1"/>
    <col min="20" max="20" width="12.140625" style="14" customWidth="1"/>
    <col min="21" max="21" width="15.5703125" style="14" customWidth="1"/>
    <col min="22" max="22" width="9.85546875" style="14" customWidth="1"/>
    <col min="23" max="23" width="10.140625" style="14" bestFit="1" customWidth="1"/>
    <col min="24" max="24" width="9.85546875" style="14" bestFit="1" customWidth="1"/>
    <col min="25" max="25" width="18" style="14" customWidth="1"/>
    <col min="26" max="16384" width="9.140625" style="14"/>
  </cols>
  <sheetData>
    <row r="1" spans="1:25" ht="46.15" customHeight="1" x14ac:dyDescent="0.25">
      <c r="A1" s="2240" t="s">
        <v>148</v>
      </c>
      <c r="B1" s="2240"/>
      <c r="C1" s="2240"/>
      <c r="D1" s="2240"/>
      <c r="E1" s="2240"/>
      <c r="F1" s="2240"/>
      <c r="G1" s="2240"/>
      <c r="H1" s="2240"/>
      <c r="I1" s="2240"/>
      <c r="J1" s="2240"/>
      <c r="K1" s="2240"/>
      <c r="L1" s="2240"/>
      <c r="M1" s="2240"/>
      <c r="N1" s="2240"/>
      <c r="O1" s="2240"/>
      <c r="P1" s="2240"/>
      <c r="Q1" s="2240"/>
      <c r="R1" s="2240"/>
      <c r="S1" s="2240"/>
      <c r="T1" s="2240"/>
      <c r="U1" s="2240"/>
      <c r="V1" s="2240"/>
      <c r="W1" s="2240"/>
      <c r="X1" s="2240"/>
      <c r="Y1" s="2240"/>
    </row>
    <row r="2" spans="1:25" ht="21.6" customHeight="1" x14ac:dyDescent="0.25">
      <c r="A2" s="2241" t="s">
        <v>77</v>
      </c>
      <c r="B2" s="2241"/>
      <c r="C2" s="2241"/>
      <c r="D2" s="2241"/>
      <c r="E2" s="2241"/>
      <c r="F2" s="2241"/>
      <c r="G2" s="2241"/>
      <c r="H2" s="2241"/>
      <c r="I2" s="2241"/>
      <c r="J2" s="2241"/>
      <c r="K2" s="2241"/>
      <c r="L2" s="2241"/>
      <c r="M2" s="2241"/>
      <c r="N2" s="2241"/>
      <c r="O2" s="2241"/>
      <c r="P2" s="2241"/>
      <c r="Q2" s="2241"/>
      <c r="R2" s="2241"/>
      <c r="S2" s="2241"/>
      <c r="T2" s="2241"/>
      <c r="U2" s="2241"/>
      <c r="V2" s="2241"/>
      <c r="W2" s="2241"/>
      <c r="X2" s="2241"/>
      <c r="Y2" s="2241"/>
    </row>
    <row r="3" spans="1:25" ht="21" customHeight="1" x14ac:dyDescent="0.25">
      <c r="A3" s="116"/>
      <c r="B3" s="116"/>
      <c r="C3" s="116"/>
      <c r="D3" s="116"/>
      <c r="E3" s="116"/>
      <c r="F3" s="116"/>
      <c r="G3" s="116"/>
      <c r="H3" s="116"/>
      <c r="I3" s="116"/>
      <c r="J3" s="116"/>
      <c r="K3" s="116"/>
      <c r="L3" s="116"/>
      <c r="M3" s="116"/>
      <c r="N3" s="116"/>
      <c r="O3" s="116"/>
      <c r="P3" s="116"/>
      <c r="Q3" s="116"/>
      <c r="R3" s="116"/>
      <c r="S3" s="116"/>
      <c r="T3" s="2242" t="s">
        <v>162</v>
      </c>
      <c r="U3" s="2242"/>
      <c r="V3" s="2242"/>
      <c r="W3" s="2242"/>
      <c r="X3" s="2242"/>
      <c r="Y3" s="2242"/>
    </row>
    <row r="4" spans="1:25" s="116" customFormat="1" ht="18" customHeight="1" x14ac:dyDescent="0.25">
      <c r="A4" s="2243" t="s">
        <v>25</v>
      </c>
      <c r="B4" s="2243" t="s">
        <v>26</v>
      </c>
      <c r="C4" s="2244" t="s">
        <v>27</v>
      </c>
      <c r="D4" s="2244"/>
      <c r="E4" s="2244" t="s">
        <v>28</v>
      </c>
      <c r="F4" s="2244"/>
      <c r="G4" s="2244" t="s">
        <v>65</v>
      </c>
      <c r="H4" s="2244"/>
      <c r="I4" s="2244" t="s">
        <v>29</v>
      </c>
      <c r="J4" s="2244"/>
      <c r="K4" s="2245" t="s">
        <v>13</v>
      </c>
      <c r="L4" s="2246"/>
      <c r="M4" s="2245" t="s">
        <v>67</v>
      </c>
      <c r="N4" s="2246"/>
      <c r="O4" s="2245" t="s">
        <v>68</v>
      </c>
      <c r="P4" s="2246"/>
      <c r="Q4" s="2245" t="s">
        <v>114</v>
      </c>
      <c r="R4" s="2246"/>
      <c r="S4" s="2244" t="s">
        <v>35</v>
      </c>
      <c r="T4" s="2244"/>
      <c r="U4" s="2245" t="s">
        <v>17</v>
      </c>
      <c r="V4" s="2246"/>
      <c r="W4" s="2247" t="s">
        <v>36</v>
      </c>
      <c r="X4" s="2248"/>
      <c r="Y4" s="2238" t="s">
        <v>30</v>
      </c>
    </row>
    <row r="5" spans="1:25" s="116" customFormat="1" ht="25.5" customHeight="1" x14ac:dyDescent="0.25">
      <c r="A5" s="2243"/>
      <c r="B5" s="2243"/>
      <c r="C5" s="115" t="s">
        <v>42</v>
      </c>
      <c r="D5" s="115" t="s">
        <v>43</v>
      </c>
      <c r="E5" s="115" t="s">
        <v>42</v>
      </c>
      <c r="F5" s="115" t="s">
        <v>43</v>
      </c>
      <c r="G5" s="115" t="s">
        <v>42</v>
      </c>
      <c r="H5" s="115" t="s">
        <v>43</v>
      </c>
      <c r="I5" s="115" t="s">
        <v>42</v>
      </c>
      <c r="J5" s="115" t="s">
        <v>43</v>
      </c>
      <c r="K5" s="115" t="s">
        <v>42</v>
      </c>
      <c r="L5" s="115" t="s">
        <v>43</v>
      </c>
      <c r="M5" s="115" t="s">
        <v>42</v>
      </c>
      <c r="N5" s="115" t="s">
        <v>43</v>
      </c>
      <c r="O5" s="115" t="s">
        <v>42</v>
      </c>
      <c r="P5" s="115" t="s">
        <v>43</v>
      </c>
      <c r="Q5" s="115" t="s">
        <v>42</v>
      </c>
      <c r="R5" s="115" t="s">
        <v>43</v>
      </c>
      <c r="S5" s="33" t="s">
        <v>42</v>
      </c>
      <c r="T5" s="33" t="s">
        <v>43</v>
      </c>
      <c r="U5" s="30" t="s">
        <v>42</v>
      </c>
      <c r="V5" s="30" t="s">
        <v>43</v>
      </c>
      <c r="W5" s="30" t="s">
        <v>42</v>
      </c>
      <c r="X5" s="30" t="s">
        <v>43</v>
      </c>
      <c r="Y5" s="2239"/>
    </row>
    <row r="6" spans="1:25" ht="34.5" customHeight="1" x14ac:dyDescent="0.25">
      <c r="A6" s="12">
        <v>1409935200</v>
      </c>
      <c r="B6" s="114" t="s">
        <v>71</v>
      </c>
      <c r="C6" s="112">
        <v>38542</v>
      </c>
      <c r="D6" s="111">
        <f>0.9725*C6</f>
        <v>37482.095000000001</v>
      </c>
      <c r="E6" s="112"/>
      <c r="F6" s="112">
        <f>13.7*E6</f>
        <v>0</v>
      </c>
      <c r="G6" s="112"/>
      <c r="H6" s="112">
        <f>28.2*G6</f>
        <v>0</v>
      </c>
      <c r="I6" s="112">
        <v>160</v>
      </c>
      <c r="J6" s="112">
        <f>18.5*I6</f>
        <v>2960</v>
      </c>
      <c r="K6" s="112"/>
      <c r="L6" s="112">
        <f>19.5*K6</f>
        <v>0</v>
      </c>
      <c r="M6" s="112"/>
      <c r="N6" s="111">
        <f>M6*9.75</f>
        <v>0</v>
      </c>
      <c r="O6" s="112"/>
      <c r="P6" s="111">
        <f>O6*48.62</f>
        <v>0</v>
      </c>
      <c r="Q6" s="111"/>
      <c r="R6" s="111">
        <f>241*Q6</f>
        <v>0</v>
      </c>
      <c r="S6" s="112"/>
      <c r="T6" s="112">
        <f>241*S6</f>
        <v>0</v>
      </c>
      <c r="U6" s="112">
        <v>10</v>
      </c>
      <c r="V6" s="112">
        <f>232*U6</f>
        <v>2320</v>
      </c>
      <c r="W6" s="112"/>
      <c r="X6" s="19">
        <f>W6*100</f>
        <v>0</v>
      </c>
      <c r="Y6" s="89">
        <f t="shared" ref="Y6:Y11" si="0">D6+F6+H6+J6+L6+N6+P6+R6+T6+V6+X6</f>
        <v>42762.095000000001</v>
      </c>
    </row>
    <row r="7" spans="1:25" ht="31.5" customHeight="1" x14ac:dyDescent="0.25">
      <c r="A7" s="12">
        <v>1984225578</v>
      </c>
      <c r="B7" s="114" t="s">
        <v>72</v>
      </c>
      <c r="C7" s="112">
        <v>48306</v>
      </c>
      <c r="D7" s="111">
        <f t="shared" ref="D7:D11" si="1">0.9725*C7</f>
        <v>46977.584999999999</v>
      </c>
      <c r="E7" s="112"/>
      <c r="F7" s="112">
        <f t="shared" ref="F7:F11" si="2">13.7*E7</f>
        <v>0</v>
      </c>
      <c r="G7" s="112"/>
      <c r="H7" s="112">
        <f t="shared" ref="H7:H11" si="3">28.2*G7</f>
        <v>0</v>
      </c>
      <c r="I7" s="112">
        <v>180</v>
      </c>
      <c r="J7" s="112">
        <f t="shared" ref="J7:J11" si="4">18.5*I7</f>
        <v>3330</v>
      </c>
      <c r="K7" s="112"/>
      <c r="L7" s="112">
        <f t="shared" ref="L7:L11" si="5">19.5*K7</f>
        <v>0</v>
      </c>
      <c r="M7" s="112"/>
      <c r="N7" s="111">
        <f t="shared" ref="N7:N11" si="6">M7*9.75</f>
        <v>0</v>
      </c>
      <c r="O7" s="112"/>
      <c r="P7" s="111">
        <f t="shared" ref="P7:P11" si="7">O7*48.62</f>
        <v>0</v>
      </c>
      <c r="Q7" s="111"/>
      <c r="R7" s="111">
        <f t="shared" ref="R7:R11" si="8">241*Q7</f>
        <v>0</v>
      </c>
      <c r="S7" s="112"/>
      <c r="T7" s="112">
        <f t="shared" ref="T7:T11" si="9">241*S7</f>
        <v>0</v>
      </c>
      <c r="U7" s="112"/>
      <c r="V7" s="112">
        <f t="shared" ref="V7:V11" si="10">232*U7</f>
        <v>0</v>
      </c>
      <c r="W7" s="112"/>
      <c r="X7" s="19">
        <f t="shared" ref="X7:X11" si="11">W7*100</f>
        <v>0</v>
      </c>
      <c r="Y7" s="89">
        <f t="shared" si="0"/>
        <v>50307.584999999999</v>
      </c>
    </row>
    <row r="8" spans="1:25" ht="35.25" customHeight="1" x14ac:dyDescent="0.25">
      <c r="A8" s="12">
        <v>1967020280</v>
      </c>
      <c r="B8" s="114" t="s">
        <v>73</v>
      </c>
      <c r="C8" s="112">
        <v>42982</v>
      </c>
      <c r="D8" s="111">
        <f t="shared" si="1"/>
        <v>41799.995000000003</v>
      </c>
      <c r="E8" s="112"/>
      <c r="F8" s="112">
        <f t="shared" si="2"/>
        <v>0</v>
      </c>
      <c r="G8" s="112"/>
      <c r="H8" s="112">
        <f t="shared" si="3"/>
        <v>0</v>
      </c>
      <c r="I8" s="112"/>
      <c r="J8" s="112">
        <f t="shared" si="4"/>
        <v>0</v>
      </c>
      <c r="K8" s="112"/>
      <c r="L8" s="112">
        <f t="shared" si="5"/>
        <v>0</v>
      </c>
      <c r="M8" s="112"/>
      <c r="N8" s="111">
        <f t="shared" si="6"/>
        <v>0</v>
      </c>
      <c r="O8" s="112"/>
      <c r="P8" s="111">
        <f t="shared" si="7"/>
        <v>0</v>
      </c>
      <c r="Q8" s="111"/>
      <c r="R8" s="111">
        <f t="shared" si="8"/>
        <v>0</v>
      </c>
      <c r="S8" s="112"/>
      <c r="T8" s="112">
        <f t="shared" si="9"/>
        <v>0</v>
      </c>
      <c r="U8" s="112"/>
      <c r="V8" s="112">
        <f t="shared" si="10"/>
        <v>0</v>
      </c>
      <c r="W8" s="112"/>
      <c r="X8" s="19">
        <f t="shared" si="11"/>
        <v>0</v>
      </c>
      <c r="Y8" s="89">
        <f t="shared" si="0"/>
        <v>41799.995000000003</v>
      </c>
    </row>
    <row r="9" spans="1:25" ht="38.25" customHeight="1" x14ac:dyDescent="0.25">
      <c r="A9" s="12">
        <v>1409935199</v>
      </c>
      <c r="B9" s="114" t="s">
        <v>74</v>
      </c>
      <c r="C9" s="112"/>
      <c r="D9" s="111">
        <f t="shared" si="1"/>
        <v>0</v>
      </c>
      <c r="E9" s="112"/>
      <c r="F9" s="112">
        <f t="shared" si="2"/>
        <v>0</v>
      </c>
      <c r="G9" s="112"/>
      <c r="H9" s="112">
        <f t="shared" si="3"/>
        <v>0</v>
      </c>
      <c r="I9" s="112"/>
      <c r="J9" s="112">
        <f t="shared" si="4"/>
        <v>0</v>
      </c>
      <c r="K9" s="112"/>
      <c r="L9" s="112">
        <f t="shared" si="5"/>
        <v>0</v>
      </c>
      <c r="M9" s="112"/>
      <c r="N9" s="111">
        <f t="shared" si="6"/>
        <v>0</v>
      </c>
      <c r="O9" s="112"/>
      <c r="P9" s="111">
        <f t="shared" si="7"/>
        <v>0</v>
      </c>
      <c r="Q9" s="111"/>
      <c r="R9" s="111">
        <f t="shared" si="8"/>
        <v>0</v>
      </c>
      <c r="S9" s="112"/>
      <c r="T9" s="112">
        <f t="shared" si="9"/>
        <v>0</v>
      </c>
      <c r="U9" s="112"/>
      <c r="V9" s="112">
        <f t="shared" si="10"/>
        <v>0</v>
      </c>
      <c r="W9" s="112"/>
      <c r="X9" s="19">
        <f t="shared" si="11"/>
        <v>0</v>
      </c>
      <c r="Y9" s="89">
        <f t="shared" si="0"/>
        <v>0</v>
      </c>
    </row>
    <row r="10" spans="1:25" ht="35.25" customHeight="1" x14ac:dyDescent="0.25">
      <c r="A10" s="12">
        <v>1984225580</v>
      </c>
      <c r="B10" s="114" t="s">
        <v>75</v>
      </c>
      <c r="C10" s="112">
        <v>42393</v>
      </c>
      <c r="D10" s="111">
        <f t="shared" si="1"/>
        <v>41227.192500000005</v>
      </c>
      <c r="E10" s="112"/>
      <c r="F10" s="112">
        <f t="shared" si="2"/>
        <v>0</v>
      </c>
      <c r="G10" s="112"/>
      <c r="H10" s="112">
        <f t="shared" si="3"/>
        <v>0</v>
      </c>
      <c r="I10" s="112">
        <v>540</v>
      </c>
      <c r="J10" s="112">
        <f t="shared" si="4"/>
        <v>9990</v>
      </c>
      <c r="K10" s="112"/>
      <c r="L10" s="112">
        <f t="shared" si="5"/>
        <v>0</v>
      </c>
      <c r="M10" s="112"/>
      <c r="N10" s="111">
        <f t="shared" si="6"/>
        <v>0</v>
      </c>
      <c r="O10" s="112"/>
      <c r="P10" s="111">
        <f t="shared" si="7"/>
        <v>0</v>
      </c>
      <c r="Q10" s="111"/>
      <c r="R10" s="111">
        <f t="shared" si="8"/>
        <v>0</v>
      </c>
      <c r="S10" s="112"/>
      <c r="T10" s="112">
        <f t="shared" si="9"/>
        <v>0</v>
      </c>
      <c r="U10" s="112"/>
      <c r="V10" s="112">
        <f t="shared" si="10"/>
        <v>0</v>
      </c>
      <c r="W10" s="112"/>
      <c r="X10" s="19">
        <f t="shared" si="11"/>
        <v>0</v>
      </c>
      <c r="Y10" s="89">
        <f t="shared" si="0"/>
        <v>51217.192500000005</v>
      </c>
    </row>
    <row r="11" spans="1:25" ht="37.5" customHeight="1" x14ac:dyDescent="0.25">
      <c r="A11" s="12"/>
      <c r="B11" s="113"/>
      <c r="C11" s="112"/>
      <c r="D11" s="22">
        <f t="shared" si="1"/>
        <v>0</v>
      </c>
      <c r="E11" s="112"/>
      <c r="F11" s="112">
        <f t="shared" si="2"/>
        <v>0</v>
      </c>
      <c r="G11" s="112"/>
      <c r="H11" s="112">
        <f t="shared" si="3"/>
        <v>0</v>
      </c>
      <c r="I11" s="112"/>
      <c r="J11" s="112">
        <f t="shared" si="4"/>
        <v>0</v>
      </c>
      <c r="K11" s="112"/>
      <c r="L11" s="112">
        <f t="shared" si="5"/>
        <v>0</v>
      </c>
      <c r="M11" s="112"/>
      <c r="N11" s="111">
        <f t="shared" si="6"/>
        <v>0</v>
      </c>
      <c r="O11" s="112"/>
      <c r="P11" s="111">
        <f t="shared" si="7"/>
        <v>0</v>
      </c>
      <c r="Q11" s="111"/>
      <c r="R11" s="111">
        <f t="shared" si="8"/>
        <v>0</v>
      </c>
      <c r="S11" s="112">
        <v>122</v>
      </c>
      <c r="T11" s="112">
        <f t="shared" si="9"/>
        <v>29402</v>
      </c>
      <c r="U11" s="112"/>
      <c r="V11" s="112">
        <f t="shared" si="10"/>
        <v>0</v>
      </c>
      <c r="W11" s="112"/>
      <c r="X11" s="19">
        <f t="shared" si="11"/>
        <v>0</v>
      </c>
      <c r="Y11" s="20">
        <f t="shared" si="0"/>
        <v>29402</v>
      </c>
    </row>
    <row r="12" spans="1:25" ht="29.25" customHeight="1" x14ac:dyDescent="0.25">
      <c r="A12" s="2235" t="s">
        <v>31</v>
      </c>
      <c r="B12" s="2235"/>
      <c r="C12" s="18">
        <f t="shared" ref="C12:Y12" si="12">SUM(C6:C11)</f>
        <v>172223</v>
      </c>
      <c r="D12" s="18">
        <f t="shared" si="12"/>
        <v>167486.86749999999</v>
      </c>
      <c r="E12" s="18">
        <f t="shared" si="12"/>
        <v>0</v>
      </c>
      <c r="F12" s="18">
        <f t="shared" si="12"/>
        <v>0</v>
      </c>
      <c r="G12" s="18">
        <f t="shared" si="12"/>
        <v>0</v>
      </c>
      <c r="H12" s="18">
        <f t="shared" si="12"/>
        <v>0</v>
      </c>
      <c r="I12" s="18">
        <f t="shared" si="12"/>
        <v>880</v>
      </c>
      <c r="J12" s="18">
        <f t="shared" si="12"/>
        <v>16280</v>
      </c>
      <c r="K12" s="18">
        <f t="shared" si="12"/>
        <v>0</v>
      </c>
      <c r="L12" s="18">
        <f t="shared" si="12"/>
        <v>0</v>
      </c>
      <c r="M12" s="18">
        <f t="shared" si="12"/>
        <v>0</v>
      </c>
      <c r="N12" s="23">
        <f t="shared" si="12"/>
        <v>0</v>
      </c>
      <c r="O12" s="18">
        <f t="shared" si="12"/>
        <v>0</v>
      </c>
      <c r="P12" s="23">
        <f t="shared" si="12"/>
        <v>0</v>
      </c>
      <c r="Q12" s="23">
        <f t="shared" si="12"/>
        <v>0</v>
      </c>
      <c r="R12" s="23">
        <f>SUM(R6:R11)</f>
        <v>0</v>
      </c>
      <c r="S12" s="18">
        <f t="shared" si="12"/>
        <v>122</v>
      </c>
      <c r="T12" s="18">
        <f t="shared" si="12"/>
        <v>29402</v>
      </c>
      <c r="U12" s="18">
        <f t="shared" si="12"/>
        <v>10</v>
      </c>
      <c r="V12" s="18">
        <f t="shared" si="12"/>
        <v>2320</v>
      </c>
      <c r="W12" s="18">
        <f t="shared" si="12"/>
        <v>0</v>
      </c>
      <c r="X12" s="18">
        <f t="shared" si="12"/>
        <v>0</v>
      </c>
      <c r="Y12" s="18">
        <f t="shared" si="12"/>
        <v>215488.86749999999</v>
      </c>
    </row>
    <row r="14" spans="1:25" ht="32.25" customHeight="1" x14ac:dyDescent="0.25">
      <c r="A14" s="30" t="s">
        <v>32</v>
      </c>
      <c r="B14" s="2236" t="s">
        <v>27</v>
      </c>
      <c r="C14" s="2236"/>
      <c r="D14" s="30" t="s">
        <v>33</v>
      </c>
      <c r="E14" s="30" t="s">
        <v>65</v>
      </c>
      <c r="F14" s="30" t="s">
        <v>34</v>
      </c>
      <c r="G14" s="30" t="s">
        <v>13</v>
      </c>
      <c r="H14" s="31" t="s">
        <v>45</v>
      </c>
      <c r="I14" s="30" t="s">
        <v>17</v>
      </c>
      <c r="J14" s="30" t="s">
        <v>66</v>
      </c>
      <c r="K14" s="30" t="s">
        <v>36</v>
      </c>
      <c r="L14" s="30" t="s">
        <v>37</v>
      </c>
      <c r="M14" s="30" t="s">
        <v>69</v>
      </c>
      <c r="N14" s="30" t="s">
        <v>70</v>
      </c>
      <c r="O14" s="86" t="s">
        <v>114</v>
      </c>
      <c r="P14" s="86" t="s">
        <v>99</v>
      </c>
      <c r="Q14" s="2272" t="s">
        <v>150</v>
      </c>
      <c r="R14" s="2272"/>
      <c r="T14" s="2235" t="s">
        <v>46</v>
      </c>
      <c r="U14" s="114" t="s">
        <v>54</v>
      </c>
      <c r="V14" s="2260">
        <v>17163</v>
      </c>
      <c r="W14" s="2268"/>
      <c r="X14" s="2261"/>
    </row>
    <row r="15" spans="1:25" ht="22.5" customHeight="1" x14ac:dyDescent="0.25">
      <c r="A15" s="100" t="s">
        <v>38</v>
      </c>
      <c r="B15" s="2260">
        <v>339387</v>
      </c>
      <c r="C15" s="2261"/>
      <c r="D15" s="117">
        <v>0</v>
      </c>
      <c r="E15" s="117">
        <v>0</v>
      </c>
      <c r="F15" s="117">
        <v>1520</v>
      </c>
      <c r="G15" s="117">
        <v>0</v>
      </c>
      <c r="H15" s="117">
        <v>78</v>
      </c>
      <c r="I15" s="117">
        <v>10</v>
      </c>
      <c r="J15" s="117">
        <v>105</v>
      </c>
      <c r="K15" s="117">
        <v>58</v>
      </c>
      <c r="L15" s="117">
        <v>386</v>
      </c>
      <c r="M15" s="117">
        <v>0</v>
      </c>
      <c r="N15" s="117">
        <v>100</v>
      </c>
      <c r="O15" s="117">
        <v>0</v>
      </c>
      <c r="P15" s="117">
        <v>521</v>
      </c>
      <c r="Q15" s="2262">
        <v>62</v>
      </c>
      <c r="R15" s="2262"/>
      <c r="T15" s="2235"/>
      <c r="U15" s="114" t="s">
        <v>64</v>
      </c>
      <c r="V15" s="2262">
        <v>10679</v>
      </c>
      <c r="W15" s="2262"/>
      <c r="X15" s="2262"/>
    </row>
    <row r="16" spans="1:25" ht="24.75" customHeight="1" x14ac:dyDescent="0.25">
      <c r="A16" s="100" t="s">
        <v>39</v>
      </c>
      <c r="B16" s="2260">
        <v>330000</v>
      </c>
      <c r="C16" s="2261"/>
      <c r="D16" s="117"/>
      <c r="E16" s="117"/>
      <c r="F16" s="117"/>
      <c r="G16" s="117"/>
      <c r="H16" s="117"/>
      <c r="I16" s="117"/>
      <c r="J16" s="117">
        <v>25</v>
      </c>
      <c r="K16" s="117"/>
      <c r="L16" s="117"/>
      <c r="M16" s="117"/>
      <c r="N16" s="117"/>
      <c r="O16" s="117"/>
      <c r="P16" s="117"/>
      <c r="Q16" s="2225"/>
      <c r="R16" s="2225"/>
      <c r="T16" s="2254" t="s">
        <v>55</v>
      </c>
      <c r="U16" s="2254"/>
      <c r="V16" s="2267">
        <f>Y12</f>
        <v>215488.86749999999</v>
      </c>
      <c r="W16" s="2267"/>
      <c r="X16" s="2262"/>
    </row>
    <row r="17" spans="1:25" ht="28.5" customHeight="1" x14ac:dyDescent="0.25">
      <c r="A17" s="101" t="s">
        <v>44</v>
      </c>
      <c r="B17" s="2260"/>
      <c r="C17" s="2261"/>
      <c r="D17" s="117"/>
      <c r="E17" s="117"/>
      <c r="F17" s="117"/>
      <c r="G17" s="117"/>
      <c r="H17" s="117"/>
      <c r="I17" s="117"/>
      <c r="J17" s="117"/>
      <c r="K17" s="117"/>
      <c r="L17" s="117"/>
      <c r="M17" s="117"/>
      <c r="N17" s="117"/>
      <c r="O17" s="117"/>
      <c r="P17" s="117"/>
      <c r="Q17" s="2225"/>
      <c r="R17" s="2225"/>
      <c r="T17" s="2270" t="s">
        <v>154</v>
      </c>
      <c r="U17" s="2271"/>
      <c r="V17" s="2262"/>
      <c r="W17" s="2262"/>
      <c r="X17" s="2262"/>
    </row>
    <row r="18" spans="1:25" ht="27" customHeight="1" x14ac:dyDescent="0.25">
      <c r="A18" s="100" t="s">
        <v>40</v>
      </c>
      <c r="B18" s="2264">
        <f>C12</f>
        <v>172223</v>
      </c>
      <c r="C18" s="2261"/>
      <c r="D18" s="119">
        <f>E12</f>
        <v>0</v>
      </c>
      <c r="E18" s="119">
        <f>G12</f>
        <v>0</v>
      </c>
      <c r="F18" s="119">
        <f>I12</f>
        <v>880</v>
      </c>
      <c r="G18" s="119">
        <f>K12</f>
        <v>0</v>
      </c>
      <c r="H18" s="117">
        <v>25</v>
      </c>
      <c r="I18" s="119">
        <f>U12</f>
        <v>10</v>
      </c>
      <c r="J18" s="117">
        <v>85</v>
      </c>
      <c r="K18" s="119">
        <f>W12</f>
        <v>0</v>
      </c>
      <c r="L18" s="117">
        <v>27</v>
      </c>
      <c r="M18" s="119">
        <f>M12</f>
        <v>0</v>
      </c>
      <c r="N18" s="119"/>
      <c r="O18" s="118">
        <f>Q12</f>
        <v>0</v>
      </c>
      <c r="P18" s="117"/>
      <c r="Q18" s="2225">
        <v>10</v>
      </c>
      <c r="R18" s="2225"/>
      <c r="T18" s="2254" t="s">
        <v>57</v>
      </c>
      <c r="U18" s="2254"/>
      <c r="V18" s="2262">
        <f>450+25165</f>
        <v>25615</v>
      </c>
      <c r="W18" s="2262"/>
      <c r="X18" s="2262"/>
      <c r="Y18" s="2269" t="s">
        <v>159</v>
      </c>
    </row>
    <row r="19" spans="1:25" ht="25.5" customHeight="1" x14ac:dyDescent="0.25">
      <c r="A19" s="100" t="s">
        <v>41</v>
      </c>
      <c r="B19" s="2260">
        <f>B15+B16+B17-B18</f>
        <v>497164</v>
      </c>
      <c r="C19" s="2261"/>
      <c r="D19" s="117">
        <f>D15+D16+D17-D18</f>
        <v>0</v>
      </c>
      <c r="E19" s="117">
        <f t="shared" ref="E19:N19" si="13">E15+E16+E17-E18</f>
        <v>0</v>
      </c>
      <c r="F19" s="117">
        <f t="shared" si="13"/>
        <v>640</v>
      </c>
      <c r="G19" s="117">
        <f t="shared" si="13"/>
        <v>0</v>
      </c>
      <c r="H19" s="117">
        <f t="shared" si="13"/>
        <v>53</v>
      </c>
      <c r="I19" s="117">
        <f t="shared" si="13"/>
        <v>0</v>
      </c>
      <c r="J19" s="117">
        <f t="shared" si="13"/>
        <v>45</v>
      </c>
      <c r="K19" s="117">
        <f t="shared" si="13"/>
        <v>58</v>
      </c>
      <c r="L19" s="117">
        <f t="shared" si="13"/>
        <v>359</v>
      </c>
      <c r="M19" s="117">
        <f t="shared" si="13"/>
        <v>0</v>
      </c>
      <c r="N19" s="117">
        <f t="shared" si="13"/>
        <v>100</v>
      </c>
      <c r="O19" s="117">
        <f>O15+O16+O17-O18</f>
        <v>0</v>
      </c>
      <c r="P19" s="117">
        <f>P15+P16+P17-P18</f>
        <v>521</v>
      </c>
      <c r="Q19" s="2260">
        <f t="shared" ref="Q19" si="14">Q15+Q16+Q17-Q18</f>
        <v>52</v>
      </c>
      <c r="R19" s="2261"/>
      <c r="T19" s="2256" t="s">
        <v>48</v>
      </c>
      <c r="U19" s="49" t="s">
        <v>58</v>
      </c>
      <c r="V19" s="2262">
        <v>179500</v>
      </c>
      <c r="W19" s="2262"/>
      <c r="X19" s="2262"/>
      <c r="Y19" s="2269"/>
    </row>
    <row r="20" spans="1:25" ht="23.25" customHeight="1" x14ac:dyDescent="0.25">
      <c r="A20" s="15"/>
      <c r="B20" s="10"/>
      <c r="C20" s="10"/>
      <c r="D20" s="10"/>
      <c r="E20" s="10"/>
      <c r="F20" s="10"/>
      <c r="G20" s="10"/>
      <c r="H20" s="10"/>
      <c r="I20" s="10"/>
      <c r="J20" s="10"/>
      <c r="K20" s="10"/>
      <c r="L20" s="10"/>
      <c r="M20" s="10"/>
      <c r="N20" s="10"/>
      <c r="O20" s="10"/>
      <c r="P20" s="10"/>
      <c r="Q20" s="10"/>
      <c r="R20" s="10"/>
      <c r="T20" s="2257"/>
      <c r="U20" s="49" t="s">
        <v>59</v>
      </c>
      <c r="V20" s="2262"/>
      <c r="W20" s="2262"/>
      <c r="X20" s="2262"/>
      <c r="Y20" s="2269"/>
    </row>
    <row r="21" spans="1:25" ht="35.25" customHeight="1" x14ac:dyDescent="0.25">
      <c r="A21" s="15"/>
      <c r="B21" s="10"/>
      <c r="C21" s="10"/>
      <c r="D21" s="10"/>
      <c r="E21" s="10"/>
      <c r="F21" s="10"/>
      <c r="G21" s="10"/>
      <c r="H21" s="10"/>
      <c r="I21" s="10"/>
      <c r="J21" s="10"/>
      <c r="K21" s="10"/>
      <c r="L21" s="10"/>
      <c r="M21" s="10"/>
      <c r="N21" s="10"/>
      <c r="O21" s="10"/>
      <c r="P21" s="10"/>
      <c r="Q21" s="10"/>
      <c r="R21" s="10"/>
      <c r="T21" s="2251" t="s">
        <v>83</v>
      </c>
      <c r="U21" s="50" t="s">
        <v>60</v>
      </c>
      <c r="V21" s="2262">
        <v>179510</v>
      </c>
      <c r="W21" s="2262"/>
      <c r="X21" s="2262"/>
      <c r="Y21" s="2269"/>
    </row>
    <row r="22" spans="1:25" ht="39.75" customHeight="1" x14ac:dyDescent="0.25">
      <c r="A22" s="10"/>
      <c r="B22" s="2258" t="s">
        <v>49</v>
      </c>
      <c r="C22" s="2265">
        <v>503653</v>
      </c>
      <c r="D22" s="2262">
        <v>179500</v>
      </c>
      <c r="E22" s="2262">
        <v>317625</v>
      </c>
      <c r="F22" s="2262">
        <f>C22-D22+E22</f>
        <v>641778</v>
      </c>
      <c r="G22" s="10"/>
      <c r="H22" s="10"/>
      <c r="I22" s="10"/>
      <c r="J22" s="10"/>
      <c r="K22" s="10"/>
      <c r="L22" s="10"/>
      <c r="M22" s="10" t="s">
        <v>140</v>
      </c>
      <c r="N22" s="10"/>
      <c r="O22" s="10"/>
      <c r="P22" s="10"/>
      <c r="Q22" s="10"/>
      <c r="R22" s="10"/>
      <c r="T22" s="2252"/>
      <c r="U22" s="50" t="s">
        <v>61</v>
      </c>
      <c r="V22" s="2262">
        <v>179500</v>
      </c>
      <c r="W22" s="2262"/>
      <c r="X22" s="2262"/>
      <c r="Y22" s="2269"/>
    </row>
    <row r="23" spans="1:25" ht="47.25" customHeight="1" x14ac:dyDescent="0.25">
      <c r="A23" s="10"/>
      <c r="B23" s="2258"/>
      <c r="C23" s="2266"/>
      <c r="D23" s="2262"/>
      <c r="E23" s="2262"/>
      <c r="F23" s="2262"/>
      <c r="G23" s="10"/>
      <c r="H23" s="10"/>
      <c r="I23" s="10"/>
      <c r="J23" s="10"/>
      <c r="K23" s="10"/>
      <c r="L23" s="10"/>
      <c r="M23" s="10"/>
      <c r="N23" s="10"/>
      <c r="O23" s="10"/>
      <c r="P23" s="10"/>
      <c r="Q23" s="10"/>
      <c r="R23" s="10"/>
      <c r="T23" s="2235" t="s">
        <v>47</v>
      </c>
      <c r="U23" s="51" t="s">
        <v>62</v>
      </c>
      <c r="V23" s="2263">
        <f>V14+V16+V17-V18-V19-V20-V21+V22</f>
        <v>27526.867499999993</v>
      </c>
      <c r="W23" s="2263"/>
      <c r="X23" s="2263"/>
      <c r="Y23" s="2269"/>
    </row>
    <row r="24" spans="1:25" ht="40.5" customHeight="1" x14ac:dyDescent="0.25">
      <c r="B24" s="2258"/>
      <c r="C24" s="114" t="s">
        <v>46</v>
      </c>
      <c r="D24" s="114" t="s">
        <v>50</v>
      </c>
      <c r="E24" s="114" t="s">
        <v>51</v>
      </c>
      <c r="F24" s="114" t="s">
        <v>52</v>
      </c>
      <c r="T24" s="2235"/>
      <c r="U24" s="51" t="s">
        <v>63</v>
      </c>
      <c r="V24" s="2262">
        <f>V15+V21-V22</f>
        <v>10689</v>
      </c>
      <c r="W24" s="2262"/>
      <c r="X24" s="2262"/>
    </row>
  </sheetData>
  <mergeCells count="54">
    <mergeCell ref="A1:Y1"/>
    <mergeCell ref="A2:Y2"/>
    <mergeCell ref="T3:Y3"/>
    <mergeCell ref="A4:A5"/>
    <mergeCell ref="B4:B5"/>
    <mergeCell ref="C4:D4"/>
    <mergeCell ref="E4:F4"/>
    <mergeCell ref="G4:H4"/>
    <mergeCell ref="I4:J4"/>
    <mergeCell ref="K4:L4"/>
    <mergeCell ref="Y4:Y5"/>
    <mergeCell ref="M4:N4"/>
    <mergeCell ref="O4:P4"/>
    <mergeCell ref="Q4:R4"/>
    <mergeCell ref="S4:T4"/>
    <mergeCell ref="U4:V4"/>
    <mergeCell ref="W4:X4"/>
    <mergeCell ref="B16:C16"/>
    <mergeCell ref="Q16:R16"/>
    <mergeCell ref="T16:U16"/>
    <mergeCell ref="V16:X16"/>
    <mergeCell ref="A12:B12"/>
    <mergeCell ref="B14:C14"/>
    <mergeCell ref="Q14:R14"/>
    <mergeCell ref="T14:T15"/>
    <mergeCell ref="V14:X14"/>
    <mergeCell ref="B15:C15"/>
    <mergeCell ref="Q15:R15"/>
    <mergeCell ref="V15:X15"/>
    <mergeCell ref="B17:C17"/>
    <mergeCell ref="Q17:R17"/>
    <mergeCell ref="T17:U17"/>
    <mergeCell ref="V17:X17"/>
    <mergeCell ref="B18:C18"/>
    <mergeCell ref="Q18:R18"/>
    <mergeCell ref="T18:U18"/>
    <mergeCell ref="V18:X18"/>
    <mergeCell ref="Y18:Y23"/>
    <mergeCell ref="B19:C19"/>
    <mergeCell ref="Q19:R19"/>
    <mergeCell ref="T19:T20"/>
    <mergeCell ref="V19:X19"/>
    <mergeCell ref="V20:X20"/>
    <mergeCell ref="V24:X24"/>
    <mergeCell ref="T21:T22"/>
    <mergeCell ref="V21:X21"/>
    <mergeCell ref="B22:B24"/>
    <mergeCell ref="C22:C23"/>
    <mergeCell ref="D22:D23"/>
    <mergeCell ref="E22:E23"/>
    <mergeCell ref="F22:F23"/>
    <mergeCell ref="V22:X22"/>
    <mergeCell ref="T23:T24"/>
    <mergeCell ref="V23:X23"/>
  </mergeCells>
  <pageMargins left="0.15748031496063" right="0.15748031496063" top="0" bottom="0" header="0" footer="0"/>
  <pageSetup paperSize="9" scale="51" orientation="landscape" r:id="rId1"/>
</worksheet>
</file>

<file path=xl/worksheets/sheet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900-000000000000}">
  <sheetPr>
    <pageSetUpPr fitToPage="1"/>
  </sheetPr>
  <dimension ref="A1:Y24"/>
  <sheetViews>
    <sheetView topLeftCell="A9" zoomScale="67" zoomScaleNormal="67" zoomScaleSheetLayoutView="100" workbookViewId="0">
      <selection activeCell="L24" sqref="L24"/>
    </sheetView>
  </sheetViews>
  <sheetFormatPr defaultColWidth="9.140625" defaultRowHeight="15" x14ac:dyDescent="0.25"/>
  <cols>
    <col min="1" max="1" width="18.28515625" style="14" customWidth="1"/>
    <col min="2" max="2" width="10.7109375" style="14" customWidth="1"/>
    <col min="3" max="3" width="12.28515625" style="14" customWidth="1"/>
    <col min="4" max="4" width="11" style="14" customWidth="1"/>
    <col min="5" max="5" width="12" style="14" customWidth="1"/>
    <col min="6" max="6" width="12.5703125" style="14" bestFit="1" customWidth="1"/>
    <col min="7" max="7" width="9.28515625" style="14" bestFit="1" customWidth="1"/>
    <col min="8" max="8" width="10.140625" style="14" bestFit="1" customWidth="1"/>
    <col min="9" max="9" width="10.5703125" style="14" bestFit="1" customWidth="1"/>
    <col min="10" max="10" width="10.5703125" style="14" customWidth="1"/>
    <col min="11" max="11" width="10.28515625" style="14" bestFit="1" customWidth="1"/>
    <col min="12" max="12" width="9.42578125" style="14" bestFit="1" customWidth="1"/>
    <col min="13" max="13" width="9.85546875" style="14" bestFit="1" customWidth="1"/>
    <col min="14" max="14" width="10.140625" style="14" bestFit="1" customWidth="1"/>
    <col min="15" max="15" width="9" style="14" customWidth="1"/>
    <col min="16" max="16" width="12.85546875" style="14" bestFit="1" customWidth="1"/>
    <col min="17" max="18" width="9.42578125" style="14" customWidth="1"/>
    <col min="19" max="19" width="7.5703125" style="14" customWidth="1"/>
    <col min="20" max="20" width="12.140625" style="14" customWidth="1"/>
    <col min="21" max="21" width="15.5703125" style="14" customWidth="1"/>
    <col min="22" max="22" width="9.85546875" style="14" customWidth="1"/>
    <col min="23" max="23" width="10.140625" style="14" bestFit="1" customWidth="1"/>
    <col min="24" max="24" width="9.85546875" style="14" bestFit="1" customWidth="1"/>
    <col min="25" max="25" width="18" style="14" customWidth="1"/>
    <col min="26" max="16384" width="9.140625" style="14"/>
  </cols>
  <sheetData>
    <row r="1" spans="1:25" ht="46.15" customHeight="1" x14ac:dyDescent="0.25">
      <c r="A1" s="2240" t="s">
        <v>148</v>
      </c>
      <c r="B1" s="2240"/>
      <c r="C1" s="2240"/>
      <c r="D1" s="2240"/>
      <c r="E1" s="2240"/>
      <c r="F1" s="2240"/>
      <c r="G1" s="2240"/>
      <c r="H1" s="2240"/>
      <c r="I1" s="2240"/>
      <c r="J1" s="2240"/>
      <c r="K1" s="2240"/>
      <c r="L1" s="2240"/>
      <c r="M1" s="2240"/>
      <c r="N1" s="2240"/>
      <c r="O1" s="2240"/>
      <c r="P1" s="2240"/>
      <c r="Q1" s="2240"/>
      <c r="R1" s="2240"/>
      <c r="S1" s="2240"/>
      <c r="T1" s="2240"/>
      <c r="U1" s="2240"/>
      <c r="V1" s="2240"/>
      <c r="W1" s="2240"/>
      <c r="X1" s="2240"/>
      <c r="Y1" s="2240"/>
    </row>
    <row r="2" spans="1:25" ht="21.6" customHeight="1" x14ac:dyDescent="0.25">
      <c r="A2" s="2241" t="s">
        <v>77</v>
      </c>
      <c r="B2" s="2241"/>
      <c r="C2" s="2241"/>
      <c r="D2" s="2241"/>
      <c r="E2" s="2241"/>
      <c r="F2" s="2241"/>
      <c r="G2" s="2241"/>
      <c r="H2" s="2241"/>
      <c r="I2" s="2241"/>
      <c r="J2" s="2241"/>
      <c r="K2" s="2241"/>
      <c r="L2" s="2241"/>
      <c r="M2" s="2241"/>
      <c r="N2" s="2241"/>
      <c r="O2" s="2241"/>
      <c r="P2" s="2241"/>
      <c r="Q2" s="2241"/>
      <c r="R2" s="2241"/>
      <c r="S2" s="2241"/>
      <c r="T2" s="2241"/>
      <c r="U2" s="2241"/>
      <c r="V2" s="2241"/>
      <c r="W2" s="2241"/>
      <c r="X2" s="2241"/>
      <c r="Y2" s="2241"/>
    </row>
    <row r="3" spans="1:25" ht="21" customHeight="1" x14ac:dyDescent="0.25">
      <c r="A3" s="116"/>
      <c r="B3" s="116"/>
      <c r="C3" s="116"/>
      <c r="D3" s="116"/>
      <c r="E3" s="116"/>
      <c r="F3" s="116"/>
      <c r="G3" s="116"/>
      <c r="H3" s="116"/>
      <c r="I3" s="116"/>
      <c r="J3" s="116"/>
      <c r="K3" s="116"/>
      <c r="L3" s="116"/>
      <c r="M3" s="116"/>
      <c r="N3" s="116"/>
      <c r="O3" s="116"/>
      <c r="P3" s="116"/>
      <c r="Q3" s="116"/>
      <c r="R3" s="116"/>
      <c r="S3" s="116"/>
      <c r="T3" s="2242" t="s">
        <v>163</v>
      </c>
      <c r="U3" s="2242"/>
      <c r="V3" s="2242"/>
      <c r="W3" s="2242"/>
      <c r="X3" s="2242"/>
      <c r="Y3" s="2242"/>
    </row>
    <row r="4" spans="1:25" s="116" customFormat="1" ht="18" customHeight="1" x14ac:dyDescent="0.25">
      <c r="A4" s="2243" t="s">
        <v>25</v>
      </c>
      <c r="B4" s="2243" t="s">
        <v>26</v>
      </c>
      <c r="C4" s="2244" t="s">
        <v>27</v>
      </c>
      <c r="D4" s="2244"/>
      <c r="E4" s="2244" t="s">
        <v>28</v>
      </c>
      <c r="F4" s="2244"/>
      <c r="G4" s="2244" t="s">
        <v>65</v>
      </c>
      <c r="H4" s="2244"/>
      <c r="I4" s="2244" t="s">
        <v>29</v>
      </c>
      <c r="J4" s="2244"/>
      <c r="K4" s="2245" t="s">
        <v>13</v>
      </c>
      <c r="L4" s="2246"/>
      <c r="M4" s="2245" t="s">
        <v>67</v>
      </c>
      <c r="N4" s="2246"/>
      <c r="O4" s="2245" t="s">
        <v>68</v>
      </c>
      <c r="P4" s="2246"/>
      <c r="Q4" s="2245" t="s">
        <v>114</v>
      </c>
      <c r="R4" s="2246"/>
      <c r="S4" s="2244" t="s">
        <v>35</v>
      </c>
      <c r="T4" s="2244"/>
      <c r="U4" s="2245" t="s">
        <v>17</v>
      </c>
      <c r="V4" s="2246"/>
      <c r="W4" s="2247" t="s">
        <v>36</v>
      </c>
      <c r="X4" s="2248"/>
      <c r="Y4" s="2238" t="s">
        <v>30</v>
      </c>
    </row>
    <row r="5" spans="1:25" s="116" customFormat="1" ht="25.5" customHeight="1" x14ac:dyDescent="0.25">
      <c r="A5" s="2243"/>
      <c r="B5" s="2243"/>
      <c r="C5" s="115" t="s">
        <v>42</v>
      </c>
      <c r="D5" s="115" t="s">
        <v>43</v>
      </c>
      <c r="E5" s="115" t="s">
        <v>42</v>
      </c>
      <c r="F5" s="115" t="s">
        <v>43</v>
      </c>
      <c r="G5" s="115" t="s">
        <v>42</v>
      </c>
      <c r="H5" s="115" t="s">
        <v>43</v>
      </c>
      <c r="I5" s="115" t="s">
        <v>42</v>
      </c>
      <c r="J5" s="115" t="s">
        <v>43</v>
      </c>
      <c r="K5" s="115" t="s">
        <v>42</v>
      </c>
      <c r="L5" s="115" t="s">
        <v>43</v>
      </c>
      <c r="M5" s="115" t="s">
        <v>42</v>
      </c>
      <c r="N5" s="115" t="s">
        <v>43</v>
      </c>
      <c r="O5" s="115" t="s">
        <v>42</v>
      </c>
      <c r="P5" s="115" t="s">
        <v>43</v>
      </c>
      <c r="Q5" s="115" t="s">
        <v>42</v>
      </c>
      <c r="R5" s="115" t="s">
        <v>43</v>
      </c>
      <c r="S5" s="33" t="s">
        <v>42</v>
      </c>
      <c r="T5" s="33" t="s">
        <v>43</v>
      </c>
      <c r="U5" s="30" t="s">
        <v>42</v>
      </c>
      <c r="V5" s="30" t="s">
        <v>43</v>
      </c>
      <c r="W5" s="30" t="s">
        <v>42</v>
      </c>
      <c r="X5" s="30" t="s">
        <v>43</v>
      </c>
      <c r="Y5" s="2239"/>
    </row>
    <row r="6" spans="1:25" ht="34.5" customHeight="1" x14ac:dyDescent="0.25">
      <c r="A6" s="12">
        <v>1409935200</v>
      </c>
      <c r="B6" s="114" t="s">
        <v>71</v>
      </c>
      <c r="C6" s="112">
        <v>51910</v>
      </c>
      <c r="D6" s="111">
        <f>0.9725*C6</f>
        <v>50482.474999999999</v>
      </c>
      <c r="E6" s="112"/>
      <c r="F6" s="112">
        <f>13.7*E6</f>
        <v>0</v>
      </c>
      <c r="G6" s="112"/>
      <c r="H6" s="112">
        <f>28.2*G6</f>
        <v>0</v>
      </c>
      <c r="I6" s="112">
        <v>390</v>
      </c>
      <c r="J6" s="112">
        <f>18.5*I6</f>
        <v>7215</v>
      </c>
      <c r="K6" s="112"/>
      <c r="L6" s="112">
        <f>19.5*K6</f>
        <v>0</v>
      </c>
      <c r="M6" s="112"/>
      <c r="N6" s="111">
        <f>M6*9.75</f>
        <v>0</v>
      </c>
      <c r="O6" s="112"/>
      <c r="P6" s="111">
        <f>O6*48.62</f>
        <v>0</v>
      </c>
      <c r="Q6" s="111"/>
      <c r="R6" s="111">
        <f>241*Q6</f>
        <v>0</v>
      </c>
      <c r="S6" s="112"/>
      <c r="T6" s="112">
        <f>241*S6</f>
        <v>0</v>
      </c>
      <c r="U6" s="112"/>
      <c r="V6" s="112">
        <f>232*U6</f>
        <v>0</v>
      </c>
      <c r="W6" s="112">
        <v>1</v>
      </c>
      <c r="X6" s="19">
        <f>W6*100</f>
        <v>100</v>
      </c>
      <c r="Y6" s="89">
        <f t="shared" ref="Y6:Y11" si="0">D6+F6+H6+J6+L6+N6+P6+R6+T6+V6+X6</f>
        <v>57797.474999999999</v>
      </c>
    </row>
    <row r="7" spans="1:25" ht="31.5" customHeight="1" x14ac:dyDescent="0.25">
      <c r="A7" s="12">
        <v>1984225578</v>
      </c>
      <c r="B7" s="114" t="s">
        <v>72</v>
      </c>
      <c r="C7" s="112">
        <v>41366</v>
      </c>
      <c r="D7" s="111">
        <f t="shared" ref="D7:D11" si="1">0.9725*C7</f>
        <v>40228.434999999998</v>
      </c>
      <c r="E7" s="112"/>
      <c r="F7" s="112">
        <f t="shared" ref="F7:F11" si="2">13.7*E7</f>
        <v>0</v>
      </c>
      <c r="G7" s="112"/>
      <c r="H7" s="112">
        <f t="shared" ref="H7:H11" si="3">28.2*G7</f>
        <v>0</v>
      </c>
      <c r="I7" s="112">
        <v>40</v>
      </c>
      <c r="J7" s="112">
        <f t="shared" ref="J7:J11" si="4">18.5*I7</f>
        <v>740</v>
      </c>
      <c r="K7" s="112"/>
      <c r="L7" s="112">
        <f t="shared" ref="L7:L11" si="5">19.5*K7</f>
        <v>0</v>
      </c>
      <c r="M7" s="112"/>
      <c r="N7" s="111">
        <f t="shared" ref="N7:N11" si="6">M7*9.75</f>
        <v>0</v>
      </c>
      <c r="O7" s="112"/>
      <c r="P7" s="111">
        <f t="shared" ref="P7:P11" si="7">O7*48.62</f>
        <v>0</v>
      </c>
      <c r="Q7" s="111"/>
      <c r="R7" s="111">
        <f t="shared" ref="R7:R11" si="8">241*Q7</f>
        <v>0</v>
      </c>
      <c r="S7" s="112"/>
      <c r="T7" s="112">
        <f t="shared" ref="T7:T11" si="9">241*S7</f>
        <v>0</v>
      </c>
      <c r="U7" s="112"/>
      <c r="V7" s="112">
        <f t="shared" ref="V7:V11" si="10">232*U7</f>
        <v>0</v>
      </c>
      <c r="W7" s="112"/>
      <c r="X7" s="19">
        <f t="shared" ref="X7:X11" si="11">W7*100</f>
        <v>0</v>
      </c>
      <c r="Y7" s="89">
        <f t="shared" si="0"/>
        <v>40968.434999999998</v>
      </c>
    </row>
    <row r="8" spans="1:25" ht="35.25" customHeight="1" x14ac:dyDescent="0.25">
      <c r="A8" s="12">
        <v>1967020280</v>
      </c>
      <c r="B8" s="114" t="s">
        <v>73</v>
      </c>
      <c r="C8" s="112">
        <v>27007</v>
      </c>
      <c r="D8" s="111">
        <f t="shared" si="1"/>
        <v>26264.307500000003</v>
      </c>
      <c r="E8" s="112"/>
      <c r="F8" s="112">
        <f t="shared" si="2"/>
        <v>0</v>
      </c>
      <c r="G8" s="112"/>
      <c r="H8" s="112">
        <f t="shared" si="3"/>
        <v>0</v>
      </c>
      <c r="I8" s="112"/>
      <c r="J8" s="112">
        <f t="shared" si="4"/>
        <v>0</v>
      </c>
      <c r="K8" s="112"/>
      <c r="L8" s="112">
        <f t="shared" si="5"/>
        <v>0</v>
      </c>
      <c r="M8" s="112"/>
      <c r="N8" s="111">
        <f t="shared" si="6"/>
        <v>0</v>
      </c>
      <c r="O8" s="112"/>
      <c r="P8" s="111">
        <f t="shared" si="7"/>
        <v>0</v>
      </c>
      <c r="Q8" s="111"/>
      <c r="R8" s="111">
        <f t="shared" si="8"/>
        <v>0</v>
      </c>
      <c r="S8" s="112"/>
      <c r="T8" s="112">
        <f t="shared" si="9"/>
        <v>0</v>
      </c>
      <c r="U8" s="112"/>
      <c r="V8" s="112">
        <f t="shared" si="10"/>
        <v>0</v>
      </c>
      <c r="W8" s="112"/>
      <c r="X8" s="19">
        <f t="shared" si="11"/>
        <v>0</v>
      </c>
      <c r="Y8" s="89">
        <f t="shared" si="0"/>
        <v>26264.307500000003</v>
      </c>
    </row>
    <row r="9" spans="1:25" ht="38.25" customHeight="1" x14ac:dyDescent="0.25">
      <c r="A9" s="12">
        <v>1409935199</v>
      </c>
      <c r="B9" s="114" t="s">
        <v>75</v>
      </c>
      <c r="C9" s="112">
        <v>27959</v>
      </c>
      <c r="D9" s="111">
        <f t="shared" si="1"/>
        <v>27190.127500000002</v>
      </c>
      <c r="E9" s="112"/>
      <c r="F9" s="112">
        <f t="shared" si="2"/>
        <v>0</v>
      </c>
      <c r="G9" s="112"/>
      <c r="H9" s="112">
        <f t="shared" si="3"/>
        <v>0</v>
      </c>
      <c r="I9" s="112">
        <v>50</v>
      </c>
      <c r="J9" s="112">
        <f t="shared" si="4"/>
        <v>925</v>
      </c>
      <c r="K9" s="112"/>
      <c r="L9" s="112">
        <f t="shared" si="5"/>
        <v>0</v>
      </c>
      <c r="M9" s="112"/>
      <c r="N9" s="111">
        <f t="shared" si="6"/>
        <v>0</v>
      </c>
      <c r="O9" s="112"/>
      <c r="P9" s="111">
        <f t="shared" si="7"/>
        <v>0</v>
      </c>
      <c r="Q9" s="111"/>
      <c r="R9" s="111">
        <f t="shared" si="8"/>
        <v>0</v>
      </c>
      <c r="S9" s="112"/>
      <c r="T9" s="112">
        <f t="shared" si="9"/>
        <v>0</v>
      </c>
      <c r="U9" s="112"/>
      <c r="V9" s="112">
        <f t="shared" si="10"/>
        <v>0</v>
      </c>
      <c r="W9" s="112"/>
      <c r="X9" s="19">
        <f t="shared" si="11"/>
        <v>0</v>
      </c>
      <c r="Y9" s="89">
        <f t="shared" si="0"/>
        <v>28115.127500000002</v>
      </c>
    </row>
    <row r="10" spans="1:25" ht="35.25" customHeight="1" x14ac:dyDescent="0.25">
      <c r="A10" s="12">
        <v>1984225580</v>
      </c>
      <c r="C10" s="112"/>
      <c r="D10" s="111">
        <f t="shared" si="1"/>
        <v>0</v>
      </c>
      <c r="E10" s="112"/>
      <c r="F10" s="112">
        <f t="shared" si="2"/>
        <v>0</v>
      </c>
      <c r="G10" s="112"/>
      <c r="H10" s="112">
        <f t="shared" si="3"/>
        <v>0</v>
      </c>
      <c r="I10" s="112"/>
      <c r="J10" s="112">
        <f t="shared" si="4"/>
        <v>0</v>
      </c>
      <c r="K10" s="112"/>
      <c r="L10" s="112">
        <f t="shared" si="5"/>
        <v>0</v>
      </c>
      <c r="M10" s="112"/>
      <c r="N10" s="111">
        <f t="shared" si="6"/>
        <v>0</v>
      </c>
      <c r="O10" s="112"/>
      <c r="P10" s="111">
        <f t="shared" si="7"/>
        <v>0</v>
      </c>
      <c r="Q10" s="111"/>
      <c r="R10" s="111">
        <f t="shared" si="8"/>
        <v>0</v>
      </c>
      <c r="S10" s="112"/>
      <c r="T10" s="112">
        <f t="shared" si="9"/>
        <v>0</v>
      </c>
      <c r="U10" s="112"/>
      <c r="V10" s="112">
        <f t="shared" si="10"/>
        <v>0</v>
      </c>
      <c r="W10" s="112"/>
      <c r="X10" s="19">
        <f t="shared" si="11"/>
        <v>0</v>
      </c>
      <c r="Y10" s="89">
        <f t="shared" si="0"/>
        <v>0</v>
      </c>
    </row>
    <row r="11" spans="1:25" ht="37.5" customHeight="1" x14ac:dyDescent="0.25">
      <c r="A11" s="12"/>
      <c r="B11" s="113"/>
      <c r="C11" s="112"/>
      <c r="D11" s="22">
        <f t="shared" si="1"/>
        <v>0</v>
      </c>
      <c r="E11" s="112"/>
      <c r="F11" s="112">
        <f t="shared" si="2"/>
        <v>0</v>
      </c>
      <c r="G11" s="112"/>
      <c r="H11" s="112">
        <f t="shared" si="3"/>
        <v>0</v>
      </c>
      <c r="I11" s="112"/>
      <c r="J11" s="112">
        <f t="shared" si="4"/>
        <v>0</v>
      </c>
      <c r="K11" s="112"/>
      <c r="L11" s="112">
        <f t="shared" si="5"/>
        <v>0</v>
      </c>
      <c r="M11" s="112"/>
      <c r="N11" s="111">
        <f t="shared" si="6"/>
        <v>0</v>
      </c>
      <c r="O11" s="112"/>
      <c r="P11" s="111">
        <f t="shared" si="7"/>
        <v>0</v>
      </c>
      <c r="Q11" s="111"/>
      <c r="R11" s="111">
        <f t="shared" si="8"/>
        <v>0</v>
      </c>
      <c r="S11" s="112"/>
      <c r="T11" s="112">
        <f t="shared" si="9"/>
        <v>0</v>
      </c>
      <c r="U11" s="112"/>
      <c r="V11" s="112">
        <f t="shared" si="10"/>
        <v>0</v>
      </c>
      <c r="W11" s="112"/>
      <c r="X11" s="19">
        <f t="shared" si="11"/>
        <v>0</v>
      </c>
      <c r="Y11" s="20">
        <f t="shared" si="0"/>
        <v>0</v>
      </c>
    </row>
    <row r="12" spans="1:25" ht="29.25" customHeight="1" x14ac:dyDescent="0.25">
      <c r="A12" s="2235" t="s">
        <v>31</v>
      </c>
      <c r="B12" s="2235"/>
      <c r="C12" s="18">
        <f t="shared" ref="C12:Y12" si="12">SUM(C6:C11)</f>
        <v>148242</v>
      </c>
      <c r="D12" s="18">
        <f t="shared" si="12"/>
        <v>144165.345</v>
      </c>
      <c r="E12" s="18">
        <f t="shared" si="12"/>
        <v>0</v>
      </c>
      <c r="F12" s="18">
        <f t="shared" si="12"/>
        <v>0</v>
      </c>
      <c r="G12" s="18">
        <f t="shared" si="12"/>
        <v>0</v>
      </c>
      <c r="H12" s="18">
        <f t="shared" si="12"/>
        <v>0</v>
      </c>
      <c r="I12" s="18">
        <f t="shared" si="12"/>
        <v>480</v>
      </c>
      <c r="J12" s="18">
        <f t="shared" si="12"/>
        <v>8880</v>
      </c>
      <c r="K12" s="18">
        <f t="shared" si="12"/>
        <v>0</v>
      </c>
      <c r="L12" s="18">
        <f t="shared" si="12"/>
        <v>0</v>
      </c>
      <c r="M12" s="18">
        <f t="shared" si="12"/>
        <v>0</v>
      </c>
      <c r="N12" s="23">
        <f t="shared" si="12"/>
        <v>0</v>
      </c>
      <c r="O12" s="18">
        <f t="shared" si="12"/>
        <v>0</v>
      </c>
      <c r="P12" s="23">
        <f t="shared" si="12"/>
        <v>0</v>
      </c>
      <c r="Q12" s="23">
        <f t="shared" si="12"/>
        <v>0</v>
      </c>
      <c r="R12" s="23">
        <f>SUM(R6:R11)</f>
        <v>0</v>
      </c>
      <c r="S12" s="18">
        <f t="shared" si="12"/>
        <v>0</v>
      </c>
      <c r="T12" s="18">
        <f t="shared" si="12"/>
        <v>0</v>
      </c>
      <c r="U12" s="18">
        <f t="shared" si="12"/>
        <v>0</v>
      </c>
      <c r="V12" s="18">
        <f t="shared" si="12"/>
        <v>0</v>
      </c>
      <c r="W12" s="18">
        <f t="shared" si="12"/>
        <v>1</v>
      </c>
      <c r="X12" s="18">
        <f t="shared" si="12"/>
        <v>100</v>
      </c>
      <c r="Y12" s="18">
        <f t="shared" si="12"/>
        <v>153145.345</v>
      </c>
    </row>
    <row r="14" spans="1:25" ht="32.25" customHeight="1" x14ac:dyDescent="0.25">
      <c r="A14" s="30" t="s">
        <v>32</v>
      </c>
      <c r="B14" s="2236" t="s">
        <v>27</v>
      </c>
      <c r="C14" s="2236"/>
      <c r="D14" s="30" t="s">
        <v>33</v>
      </c>
      <c r="E14" s="30" t="s">
        <v>65</v>
      </c>
      <c r="F14" s="30" t="s">
        <v>34</v>
      </c>
      <c r="G14" s="30" t="s">
        <v>13</v>
      </c>
      <c r="H14" s="31" t="s">
        <v>45</v>
      </c>
      <c r="I14" s="30" t="s">
        <v>17</v>
      </c>
      <c r="J14" s="30" t="s">
        <v>66</v>
      </c>
      <c r="K14" s="30" t="s">
        <v>36</v>
      </c>
      <c r="L14" s="30" t="s">
        <v>37</v>
      </c>
      <c r="M14" s="30" t="s">
        <v>69</v>
      </c>
      <c r="N14" s="30" t="s">
        <v>70</v>
      </c>
      <c r="O14" s="86" t="s">
        <v>114</v>
      </c>
      <c r="P14" s="86" t="s">
        <v>99</v>
      </c>
      <c r="Q14" s="2272" t="s">
        <v>150</v>
      </c>
      <c r="R14" s="2272"/>
      <c r="T14" s="2235" t="s">
        <v>46</v>
      </c>
      <c r="U14" s="114" t="s">
        <v>54</v>
      </c>
      <c r="V14" s="2260">
        <v>27527</v>
      </c>
      <c r="W14" s="2268"/>
      <c r="X14" s="2261"/>
    </row>
    <row r="15" spans="1:25" ht="22.5" customHeight="1" x14ac:dyDescent="0.25">
      <c r="A15" s="100" t="s">
        <v>38</v>
      </c>
      <c r="B15" s="2260">
        <v>497164</v>
      </c>
      <c r="C15" s="2261"/>
      <c r="D15" s="117">
        <v>0</v>
      </c>
      <c r="E15" s="117">
        <v>0</v>
      </c>
      <c r="F15" s="117">
        <v>640</v>
      </c>
      <c r="G15" s="117">
        <v>0</v>
      </c>
      <c r="H15" s="117">
        <v>53</v>
      </c>
      <c r="I15" s="117">
        <v>0</v>
      </c>
      <c r="J15" s="117">
        <v>45</v>
      </c>
      <c r="K15" s="117">
        <v>58</v>
      </c>
      <c r="L15" s="117">
        <v>359</v>
      </c>
      <c r="M15" s="117">
        <v>0</v>
      </c>
      <c r="N15" s="117">
        <v>100</v>
      </c>
      <c r="O15" s="117">
        <v>0</v>
      </c>
      <c r="P15" s="117">
        <v>521</v>
      </c>
      <c r="Q15" s="2262">
        <v>52</v>
      </c>
      <c r="R15" s="2262"/>
      <c r="T15" s="2235"/>
      <c r="U15" s="114" t="s">
        <v>64</v>
      </c>
      <c r="V15" s="2262">
        <v>10689</v>
      </c>
      <c r="W15" s="2262"/>
      <c r="X15" s="2262"/>
    </row>
    <row r="16" spans="1:25" ht="24.75" customHeight="1" x14ac:dyDescent="0.25">
      <c r="A16" s="100" t="s">
        <v>39</v>
      </c>
      <c r="B16" s="2260"/>
      <c r="C16" s="2261"/>
      <c r="D16" s="117"/>
      <c r="E16" s="117"/>
      <c r="F16" s="117"/>
      <c r="G16" s="117"/>
      <c r="H16" s="117"/>
      <c r="I16" s="117"/>
      <c r="J16" s="117"/>
      <c r="K16" s="117"/>
      <c r="L16" s="117"/>
      <c r="M16" s="117"/>
      <c r="N16" s="117"/>
      <c r="O16" s="117"/>
      <c r="P16" s="117"/>
      <c r="Q16" s="2225"/>
      <c r="R16" s="2225"/>
      <c r="T16" s="2254" t="s">
        <v>55</v>
      </c>
      <c r="U16" s="2254"/>
      <c r="V16" s="2267">
        <f>Y12</f>
        <v>153145.345</v>
      </c>
      <c r="W16" s="2267"/>
      <c r="X16" s="2262"/>
    </row>
    <row r="17" spans="1:25" ht="28.5" customHeight="1" x14ac:dyDescent="0.25">
      <c r="A17" s="101" t="s">
        <v>44</v>
      </c>
      <c r="B17" s="2260"/>
      <c r="C17" s="2261"/>
      <c r="D17" s="117"/>
      <c r="E17" s="117"/>
      <c r="F17" s="117"/>
      <c r="G17" s="117"/>
      <c r="H17" s="117"/>
      <c r="I17" s="117"/>
      <c r="J17" s="117"/>
      <c r="K17" s="117"/>
      <c r="L17" s="117"/>
      <c r="M17" s="117"/>
      <c r="N17" s="117"/>
      <c r="O17" s="117"/>
      <c r="P17" s="117"/>
      <c r="Q17" s="2225"/>
      <c r="R17" s="2225"/>
      <c r="T17" s="2270" t="s">
        <v>107</v>
      </c>
      <c r="U17" s="2271"/>
      <c r="V17" s="2262">
        <v>43121</v>
      </c>
      <c r="W17" s="2262"/>
      <c r="X17" s="2262"/>
    </row>
    <row r="18" spans="1:25" ht="27" customHeight="1" x14ac:dyDescent="0.25">
      <c r="A18" s="100" t="s">
        <v>40</v>
      </c>
      <c r="B18" s="2264">
        <f>C12</f>
        <v>148242</v>
      </c>
      <c r="C18" s="2261"/>
      <c r="D18" s="119">
        <f>E12</f>
        <v>0</v>
      </c>
      <c r="E18" s="119">
        <f>G12</f>
        <v>0</v>
      </c>
      <c r="F18" s="119">
        <f>I12</f>
        <v>480</v>
      </c>
      <c r="G18" s="119">
        <f>K12</f>
        <v>0</v>
      </c>
      <c r="H18" s="117"/>
      <c r="I18" s="119">
        <f>U12</f>
        <v>0</v>
      </c>
      <c r="J18" s="117"/>
      <c r="K18" s="119">
        <f>W12</f>
        <v>1</v>
      </c>
      <c r="L18" s="117"/>
      <c r="M18" s="119">
        <f>M12</f>
        <v>0</v>
      </c>
      <c r="N18" s="119"/>
      <c r="O18" s="118">
        <f>Q12</f>
        <v>0</v>
      </c>
      <c r="P18" s="117"/>
      <c r="Q18" s="2225"/>
      <c r="R18" s="2225"/>
      <c r="T18" s="2254" t="s">
        <v>57</v>
      </c>
      <c r="U18" s="2254"/>
      <c r="V18" s="2262">
        <f>450+85500</f>
        <v>85950</v>
      </c>
      <c r="W18" s="2262"/>
      <c r="X18" s="2262"/>
      <c r="Y18" s="2269" t="s">
        <v>164</v>
      </c>
    </row>
    <row r="19" spans="1:25" ht="25.5" customHeight="1" x14ac:dyDescent="0.25">
      <c r="A19" s="100" t="s">
        <v>41</v>
      </c>
      <c r="B19" s="2260">
        <f>B15+B16+B17-B18</f>
        <v>348922</v>
      </c>
      <c r="C19" s="2261"/>
      <c r="D19" s="117">
        <f>D15+D16+D17-D18</f>
        <v>0</v>
      </c>
      <c r="E19" s="117">
        <f t="shared" ref="E19:N19" si="13">E15+E16+E17-E18</f>
        <v>0</v>
      </c>
      <c r="F19" s="117">
        <f t="shared" si="13"/>
        <v>160</v>
      </c>
      <c r="G19" s="117">
        <f t="shared" si="13"/>
        <v>0</v>
      </c>
      <c r="H19" s="117">
        <f t="shared" si="13"/>
        <v>53</v>
      </c>
      <c r="I19" s="117">
        <f t="shared" si="13"/>
        <v>0</v>
      </c>
      <c r="J19" s="117">
        <f t="shared" si="13"/>
        <v>45</v>
      </c>
      <c r="K19" s="117">
        <f t="shared" si="13"/>
        <v>57</v>
      </c>
      <c r="L19" s="117">
        <f t="shared" si="13"/>
        <v>359</v>
      </c>
      <c r="M19" s="117">
        <f t="shared" si="13"/>
        <v>0</v>
      </c>
      <c r="N19" s="117">
        <f t="shared" si="13"/>
        <v>100</v>
      </c>
      <c r="O19" s="117">
        <f>O15+O16+O17-O18</f>
        <v>0</v>
      </c>
      <c r="P19" s="117">
        <f>P15+P16+P17-P18</f>
        <v>521</v>
      </c>
      <c r="Q19" s="2260">
        <f t="shared" ref="Q19" si="14">Q15+Q16+Q17-Q18</f>
        <v>52</v>
      </c>
      <c r="R19" s="2261"/>
      <c r="T19" s="2256" t="s">
        <v>48</v>
      </c>
      <c r="U19" s="49" t="s">
        <v>58</v>
      </c>
      <c r="V19" s="2262"/>
      <c r="W19" s="2262"/>
      <c r="X19" s="2262"/>
      <c r="Y19" s="2269"/>
    </row>
    <row r="20" spans="1:25" ht="23.25" customHeight="1" x14ac:dyDescent="0.25">
      <c r="A20" s="15"/>
      <c r="B20" s="10"/>
      <c r="C20" s="10"/>
      <c r="D20" s="10"/>
      <c r="E20" s="10"/>
      <c r="F20" s="10"/>
      <c r="G20" s="10"/>
      <c r="H20" s="10"/>
      <c r="I20" s="10"/>
      <c r="J20" s="10"/>
      <c r="K20" s="10"/>
      <c r="L20" s="10"/>
      <c r="M20" s="10"/>
      <c r="N20" s="10"/>
      <c r="O20" s="10"/>
      <c r="P20" s="10"/>
      <c r="Q20" s="10"/>
      <c r="R20" s="10"/>
      <c r="T20" s="2257"/>
      <c r="U20" s="49" t="s">
        <v>59</v>
      </c>
      <c r="V20" s="2262"/>
      <c r="W20" s="2262"/>
      <c r="X20" s="2262"/>
      <c r="Y20" s="2269"/>
    </row>
    <row r="21" spans="1:25" ht="35.25" customHeight="1" x14ac:dyDescent="0.25">
      <c r="A21" s="15"/>
      <c r="B21" s="10"/>
      <c r="C21" s="10"/>
      <c r="D21" s="10"/>
      <c r="E21" s="10"/>
      <c r="F21" s="10"/>
      <c r="G21" s="10"/>
      <c r="H21" s="10"/>
      <c r="I21" s="10"/>
      <c r="J21" s="10"/>
      <c r="K21" s="10"/>
      <c r="L21" s="10"/>
      <c r="M21" s="10"/>
      <c r="N21" s="10"/>
      <c r="O21" s="10"/>
      <c r="P21" s="10"/>
      <c r="Q21" s="10"/>
      <c r="R21" s="10"/>
      <c r="T21" s="2251" t="s">
        <v>83</v>
      </c>
      <c r="U21" s="50" t="s">
        <v>60</v>
      </c>
      <c r="V21" s="2262"/>
      <c r="W21" s="2262"/>
      <c r="X21" s="2262"/>
      <c r="Y21" s="2269"/>
    </row>
    <row r="22" spans="1:25" ht="39.75" customHeight="1" x14ac:dyDescent="0.25">
      <c r="A22" s="10"/>
      <c r="B22" s="2258" t="s">
        <v>49</v>
      </c>
      <c r="C22" s="2265">
        <v>641778</v>
      </c>
      <c r="D22" s="2262"/>
      <c r="E22" s="2262"/>
      <c r="F22" s="2262">
        <f>C22-D22+E22</f>
        <v>641778</v>
      </c>
      <c r="G22" s="10"/>
      <c r="H22" s="10"/>
      <c r="I22" s="10"/>
      <c r="J22" s="10"/>
      <c r="K22" s="10"/>
      <c r="L22" s="10"/>
      <c r="M22" s="10" t="s">
        <v>140</v>
      </c>
      <c r="N22" s="10"/>
      <c r="O22" s="10"/>
      <c r="P22" s="10"/>
      <c r="Q22" s="10"/>
      <c r="R22" s="10"/>
      <c r="T22" s="2252"/>
      <c r="U22" s="50" t="s">
        <v>61</v>
      </c>
      <c r="V22" s="2262"/>
      <c r="W22" s="2262"/>
      <c r="X22" s="2262"/>
      <c r="Y22" s="2269"/>
    </row>
    <row r="23" spans="1:25" ht="47.25" customHeight="1" x14ac:dyDescent="0.25">
      <c r="A23" s="10"/>
      <c r="B23" s="2258"/>
      <c r="C23" s="2266"/>
      <c r="D23" s="2262"/>
      <c r="E23" s="2262"/>
      <c r="F23" s="2262"/>
      <c r="G23" s="10"/>
      <c r="H23" s="10"/>
      <c r="I23" s="10"/>
      <c r="J23" s="10"/>
      <c r="K23" s="10"/>
      <c r="L23" s="10"/>
      <c r="M23" s="10"/>
      <c r="N23" s="10"/>
      <c r="O23" s="10"/>
      <c r="P23" s="10"/>
      <c r="Q23" s="10"/>
      <c r="R23" s="10"/>
      <c r="T23" s="2235" t="s">
        <v>47</v>
      </c>
      <c r="U23" s="51" t="s">
        <v>62</v>
      </c>
      <c r="V23" s="2263">
        <f>V14+V16+V17-V18-V19-V20-V21+V22</f>
        <v>137843.345</v>
      </c>
      <c r="W23" s="2263"/>
      <c r="X23" s="2263"/>
      <c r="Y23" s="2269"/>
    </row>
    <row r="24" spans="1:25" ht="40.5" customHeight="1" x14ac:dyDescent="0.25">
      <c r="B24" s="2258"/>
      <c r="C24" s="114" t="s">
        <v>46</v>
      </c>
      <c r="D24" s="114" t="s">
        <v>50</v>
      </c>
      <c r="E24" s="114" t="s">
        <v>51</v>
      </c>
      <c r="F24" s="114" t="s">
        <v>52</v>
      </c>
      <c r="T24" s="2235"/>
      <c r="U24" s="51" t="s">
        <v>63</v>
      </c>
      <c r="V24" s="2262">
        <f>V15+V21-V22</f>
        <v>10689</v>
      </c>
      <c r="W24" s="2262"/>
      <c r="X24" s="2262"/>
    </row>
  </sheetData>
  <mergeCells count="54">
    <mergeCell ref="A1:Y1"/>
    <mergeCell ref="A2:Y2"/>
    <mergeCell ref="T3:Y3"/>
    <mergeCell ref="A4:A5"/>
    <mergeCell ref="B4:B5"/>
    <mergeCell ref="C4:D4"/>
    <mergeCell ref="E4:F4"/>
    <mergeCell ref="G4:H4"/>
    <mergeCell ref="I4:J4"/>
    <mergeCell ref="K4:L4"/>
    <mergeCell ref="Y4:Y5"/>
    <mergeCell ref="M4:N4"/>
    <mergeCell ref="O4:P4"/>
    <mergeCell ref="Q4:R4"/>
    <mergeCell ref="S4:T4"/>
    <mergeCell ref="U4:V4"/>
    <mergeCell ref="W4:X4"/>
    <mergeCell ref="B16:C16"/>
    <mergeCell ref="Q16:R16"/>
    <mergeCell ref="T16:U16"/>
    <mergeCell ref="V16:X16"/>
    <mergeCell ref="A12:B12"/>
    <mergeCell ref="B14:C14"/>
    <mergeCell ref="Q14:R14"/>
    <mergeCell ref="T14:T15"/>
    <mergeCell ref="V14:X14"/>
    <mergeCell ref="B15:C15"/>
    <mergeCell ref="Q15:R15"/>
    <mergeCell ref="V15:X15"/>
    <mergeCell ref="B17:C17"/>
    <mergeCell ref="Q17:R17"/>
    <mergeCell ref="T17:U17"/>
    <mergeCell ref="V17:X17"/>
    <mergeCell ref="B18:C18"/>
    <mergeCell ref="Q18:R18"/>
    <mergeCell ref="T18:U18"/>
    <mergeCell ref="V18:X18"/>
    <mergeCell ref="Y18:Y23"/>
    <mergeCell ref="B19:C19"/>
    <mergeCell ref="Q19:R19"/>
    <mergeCell ref="T19:T20"/>
    <mergeCell ref="V19:X19"/>
    <mergeCell ref="V20:X20"/>
    <mergeCell ref="V24:X24"/>
    <mergeCell ref="T21:T22"/>
    <mergeCell ref="V21:X21"/>
    <mergeCell ref="B22:B24"/>
    <mergeCell ref="C22:C23"/>
    <mergeCell ref="D22:D23"/>
    <mergeCell ref="E22:E23"/>
    <mergeCell ref="F22:F23"/>
    <mergeCell ref="V22:X22"/>
    <mergeCell ref="T23:T24"/>
    <mergeCell ref="V23:X23"/>
  </mergeCells>
  <pageMargins left="0.15748031496063" right="0.15748031496063" top="0" bottom="0" header="0" footer="0"/>
  <pageSetup paperSize="9" scale="51" orientation="landscape" r:id="rId1"/>
</worksheet>
</file>

<file path=xl/worksheets/sheet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A00-000000000000}">
  <sheetPr>
    <pageSetUpPr fitToPage="1"/>
  </sheetPr>
  <dimension ref="A1:Y25"/>
  <sheetViews>
    <sheetView topLeftCell="A6" zoomScale="67" zoomScaleNormal="67" zoomScaleSheetLayoutView="100" workbookViewId="0">
      <selection activeCell="N22" sqref="N22"/>
    </sheetView>
  </sheetViews>
  <sheetFormatPr defaultColWidth="9.140625" defaultRowHeight="15" x14ac:dyDescent="0.25"/>
  <cols>
    <col min="1" max="1" width="18.28515625" style="14" customWidth="1"/>
    <col min="2" max="2" width="10.7109375" style="14" customWidth="1"/>
    <col min="3" max="3" width="12.28515625" style="14" customWidth="1"/>
    <col min="4" max="4" width="11" style="14" customWidth="1"/>
    <col min="5" max="5" width="12" style="14" customWidth="1"/>
    <col min="6" max="6" width="12.5703125" style="14" bestFit="1" customWidth="1"/>
    <col min="7" max="7" width="9.28515625" style="14" bestFit="1" customWidth="1"/>
    <col min="8" max="8" width="10.140625" style="14" bestFit="1" customWidth="1"/>
    <col min="9" max="9" width="10.5703125" style="14" bestFit="1" customWidth="1"/>
    <col min="10" max="10" width="10.5703125" style="14" customWidth="1"/>
    <col min="11" max="11" width="10.28515625" style="14" bestFit="1" customWidth="1"/>
    <col min="12" max="12" width="9.42578125" style="14" bestFit="1" customWidth="1"/>
    <col min="13" max="13" width="9.85546875" style="14" bestFit="1" customWidth="1"/>
    <col min="14" max="14" width="10.140625" style="14" bestFit="1" customWidth="1"/>
    <col min="15" max="15" width="9" style="14" customWidth="1"/>
    <col min="16" max="16" width="12.85546875" style="14" bestFit="1" customWidth="1"/>
    <col min="17" max="18" width="9.42578125" style="14" customWidth="1"/>
    <col min="19" max="19" width="7.5703125" style="14" customWidth="1"/>
    <col min="20" max="20" width="12.140625" style="14" customWidth="1"/>
    <col min="21" max="21" width="15.5703125" style="14" customWidth="1"/>
    <col min="22" max="22" width="9.85546875" style="14" customWidth="1"/>
    <col min="23" max="23" width="10.140625" style="14" bestFit="1" customWidth="1"/>
    <col min="24" max="24" width="9.85546875" style="14" bestFit="1" customWidth="1"/>
    <col min="25" max="25" width="18" style="14" customWidth="1"/>
    <col min="26" max="16384" width="9.140625" style="14"/>
  </cols>
  <sheetData>
    <row r="1" spans="1:25" ht="46.15" customHeight="1" x14ac:dyDescent="0.25">
      <c r="A1" s="2240" t="s">
        <v>148</v>
      </c>
      <c r="B1" s="2240"/>
      <c r="C1" s="2240"/>
      <c r="D1" s="2240"/>
      <c r="E1" s="2240"/>
      <c r="F1" s="2240"/>
      <c r="G1" s="2240"/>
      <c r="H1" s="2240"/>
      <c r="I1" s="2240"/>
      <c r="J1" s="2240"/>
      <c r="K1" s="2240"/>
      <c r="L1" s="2240"/>
      <c r="M1" s="2240"/>
      <c r="N1" s="2240"/>
      <c r="O1" s="2240"/>
      <c r="P1" s="2240"/>
      <c r="Q1" s="2240"/>
      <c r="R1" s="2240"/>
      <c r="S1" s="2240"/>
      <c r="T1" s="2240"/>
      <c r="U1" s="2240"/>
      <c r="V1" s="2240"/>
      <c r="W1" s="2240"/>
      <c r="X1" s="2240"/>
      <c r="Y1" s="2240"/>
    </row>
    <row r="2" spans="1:25" ht="21.6" customHeight="1" x14ac:dyDescent="0.25">
      <c r="A2" s="2241" t="s">
        <v>77</v>
      </c>
      <c r="B2" s="2241"/>
      <c r="C2" s="2241"/>
      <c r="D2" s="2241"/>
      <c r="E2" s="2241"/>
      <c r="F2" s="2241"/>
      <c r="G2" s="2241"/>
      <c r="H2" s="2241"/>
      <c r="I2" s="2241"/>
      <c r="J2" s="2241"/>
      <c r="K2" s="2241"/>
      <c r="L2" s="2241"/>
      <c r="M2" s="2241"/>
      <c r="N2" s="2241"/>
      <c r="O2" s="2241"/>
      <c r="P2" s="2241"/>
      <c r="Q2" s="2241"/>
      <c r="R2" s="2241"/>
      <c r="S2" s="2241"/>
      <c r="T2" s="2241"/>
      <c r="U2" s="2241"/>
      <c r="V2" s="2241"/>
      <c r="W2" s="2241"/>
      <c r="X2" s="2241"/>
      <c r="Y2" s="2241"/>
    </row>
    <row r="3" spans="1:25" ht="21" customHeight="1" x14ac:dyDescent="0.25">
      <c r="A3" s="116"/>
      <c r="B3" s="116"/>
      <c r="C3" s="116"/>
      <c r="D3" s="116"/>
      <c r="E3" s="116"/>
      <c r="F3" s="116"/>
      <c r="G3" s="116"/>
      <c r="H3" s="116"/>
      <c r="I3" s="116"/>
      <c r="J3" s="116"/>
      <c r="K3" s="116"/>
      <c r="L3" s="116"/>
      <c r="M3" s="116"/>
      <c r="N3" s="116"/>
      <c r="O3" s="116"/>
      <c r="P3" s="116"/>
      <c r="Q3" s="116"/>
      <c r="R3" s="116"/>
      <c r="S3" s="116"/>
      <c r="T3" s="2242" t="s">
        <v>165</v>
      </c>
      <c r="U3" s="2242"/>
      <c r="V3" s="2242"/>
      <c r="W3" s="2242"/>
      <c r="X3" s="2242"/>
      <c r="Y3" s="2242"/>
    </row>
    <row r="4" spans="1:25" s="116" customFormat="1" ht="18" customHeight="1" x14ac:dyDescent="0.25">
      <c r="A4" s="2243" t="s">
        <v>25</v>
      </c>
      <c r="B4" s="2243" t="s">
        <v>26</v>
      </c>
      <c r="C4" s="2244" t="s">
        <v>27</v>
      </c>
      <c r="D4" s="2244"/>
      <c r="E4" s="2244" t="s">
        <v>28</v>
      </c>
      <c r="F4" s="2244"/>
      <c r="G4" s="2244" t="s">
        <v>65</v>
      </c>
      <c r="H4" s="2244"/>
      <c r="I4" s="2244" t="s">
        <v>29</v>
      </c>
      <c r="J4" s="2244"/>
      <c r="K4" s="2245" t="s">
        <v>13</v>
      </c>
      <c r="L4" s="2246"/>
      <c r="M4" s="2245" t="s">
        <v>67</v>
      </c>
      <c r="N4" s="2246"/>
      <c r="O4" s="2245" t="s">
        <v>68</v>
      </c>
      <c r="P4" s="2246"/>
      <c r="Q4" s="2245" t="s">
        <v>114</v>
      </c>
      <c r="R4" s="2246"/>
      <c r="S4" s="2244" t="s">
        <v>35</v>
      </c>
      <c r="T4" s="2244"/>
      <c r="U4" s="2245" t="s">
        <v>17</v>
      </c>
      <c r="V4" s="2246"/>
      <c r="W4" s="2247" t="s">
        <v>36</v>
      </c>
      <c r="X4" s="2248"/>
      <c r="Y4" s="2238" t="s">
        <v>30</v>
      </c>
    </row>
    <row r="5" spans="1:25" s="116" customFormat="1" ht="25.5" customHeight="1" x14ac:dyDescent="0.25">
      <c r="A5" s="2243"/>
      <c r="B5" s="2243"/>
      <c r="C5" s="115" t="s">
        <v>42</v>
      </c>
      <c r="D5" s="115" t="s">
        <v>43</v>
      </c>
      <c r="E5" s="115" t="s">
        <v>42</v>
      </c>
      <c r="F5" s="115" t="s">
        <v>43</v>
      </c>
      <c r="G5" s="115" t="s">
        <v>42</v>
      </c>
      <c r="H5" s="115" t="s">
        <v>43</v>
      </c>
      <c r="I5" s="115" t="s">
        <v>42</v>
      </c>
      <c r="J5" s="115" t="s">
        <v>43</v>
      </c>
      <c r="K5" s="115" t="s">
        <v>42</v>
      </c>
      <c r="L5" s="115" t="s">
        <v>43</v>
      </c>
      <c r="M5" s="115" t="s">
        <v>42</v>
      </c>
      <c r="N5" s="115" t="s">
        <v>43</v>
      </c>
      <c r="O5" s="115" t="s">
        <v>42</v>
      </c>
      <c r="P5" s="115" t="s">
        <v>43</v>
      </c>
      <c r="Q5" s="115" t="s">
        <v>42</v>
      </c>
      <c r="R5" s="115" t="s">
        <v>43</v>
      </c>
      <c r="S5" s="33" t="s">
        <v>42</v>
      </c>
      <c r="T5" s="33" t="s">
        <v>43</v>
      </c>
      <c r="U5" s="30" t="s">
        <v>42</v>
      </c>
      <c r="V5" s="30" t="s">
        <v>43</v>
      </c>
      <c r="W5" s="30" t="s">
        <v>42</v>
      </c>
      <c r="X5" s="30" t="s">
        <v>43</v>
      </c>
      <c r="Y5" s="2239"/>
    </row>
    <row r="6" spans="1:25" ht="34.5" customHeight="1" x14ac:dyDescent="0.25">
      <c r="A6" s="12">
        <v>1409935200</v>
      </c>
      <c r="B6" s="114" t="s">
        <v>71</v>
      </c>
      <c r="C6" s="112">
        <v>27952</v>
      </c>
      <c r="D6" s="111">
        <f>0.9725*C6</f>
        <v>27183.32</v>
      </c>
      <c r="E6" s="112"/>
      <c r="F6" s="112">
        <f>13.7*E6</f>
        <v>0</v>
      </c>
      <c r="G6" s="112"/>
      <c r="H6" s="112">
        <f>28.2*G6</f>
        <v>0</v>
      </c>
      <c r="I6" s="112">
        <v>50</v>
      </c>
      <c r="J6" s="112">
        <f>18.5*I6</f>
        <v>925</v>
      </c>
      <c r="K6" s="112"/>
      <c r="L6" s="112">
        <f>19.5*K6</f>
        <v>0</v>
      </c>
      <c r="M6" s="112"/>
      <c r="N6" s="111">
        <f>M6*9.75</f>
        <v>0</v>
      </c>
      <c r="O6" s="112"/>
      <c r="P6" s="111">
        <f>O6*48.62</f>
        <v>0</v>
      </c>
      <c r="Q6" s="111"/>
      <c r="R6" s="111">
        <f>241*Q6</f>
        <v>0</v>
      </c>
      <c r="S6" s="112">
        <v>5</v>
      </c>
      <c r="T6" s="112">
        <f>241*S6</f>
        <v>1205</v>
      </c>
      <c r="U6" s="112"/>
      <c r="V6" s="112">
        <f>232*U6</f>
        <v>0</v>
      </c>
      <c r="W6" s="112"/>
      <c r="X6" s="19">
        <f>W6*100</f>
        <v>0</v>
      </c>
      <c r="Y6" s="89">
        <f t="shared" ref="Y6:Y11" si="0">D6+F6+H6+J6+L6+N6+P6+R6+T6+V6+X6</f>
        <v>29313.32</v>
      </c>
    </row>
    <row r="7" spans="1:25" ht="31.5" customHeight="1" x14ac:dyDescent="0.25">
      <c r="A7" s="12">
        <v>1984225578</v>
      </c>
      <c r="B7" s="114" t="s">
        <v>72</v>
      </c>
      <c r="C7" s="112">
        <v>35627</v>
      </c>
      <c r="D7" s="111">
        <f t="shared" ref="D7:D11" si="1">0.9725*C7</f>
        <v>34647.2575</v>
      </c>
      <c r="E7" s="112"/>
      <c r="F7" s="112">
        <f t="shared" ref="F7:F11" si="2">13.7*E7</f>
        <v>0</v>
      </c>
      <c r="G7" s="112"/>
      <c r="H7" s="112">
        <f t="shared" ref="H7:H11" si="3">28.2*G7</f>
        <v>0</v>
      </c>
      <c r="I7" s="112"/>
      <c r="J7" s="112">
        <f t="shared" ref="J7:J11" si="4">18.5*I7</f>
        <v>0</v>
      </c>
      <c r="K7" s="112"/>
      <c r="L7" s="112">
        <f t="shared" ref="L7:L11" si="5">19.5*K7</f>
        <v>0</v>
      </c>
      <c r="M7" s="112"/>
      <c r="N7" s="111">
        <f t="shared" ref="N7:N11" si="6">M7*9.75</f>
        <v>0</v>
      </c>
      <c r="O7" s="112"/>
      <c r="P7" s="111">
        <f t="shared" ref="P7:P11" si="7">O7*48.62</f>
        <v>0</v>
      </c>
      <c r="Q7" s="111"/>
      <c r="R7" s="111">
        <f t="shared" ref="R7:R11" si="8">241*Q7</f>
        <v>0</v>
      </c>
      <c r="S7" s="112"/>
      <c r="T7" s="112">
        <f t="shared" ref="T7:T11" si="9">241*S7</f>
        <v>0</v>
      </c>
      <c r="U7" s="112"/>
      <c r="V7" s="112">
        <f t="shared" ref="V7:V11" si="10">232*U7</f>
        <v>0</v>
      </c>
      <c r="W7" s="112"/>
      <c r="X7" s="19">
        <f t="shared" ref="X7:X11" si="11">W7*100</f>
        <v>0</v>
      </c>
      <c r="Y7" s="89">
        <f t="shared" si="0"/>
        <v>34647.2575</v>
      </c>
    </row>
    <row r="8" spans="1:25" ht="35.25" customHeight="1" x14ac:dyDescent="0.25">
      <c r="A8" s="12">
        <v>1967020280</v>
      </c>
      <c r="B8" s="114" t="s">
        <v>73</v>
      </c>
      <c r="C8" s="112">
        <v>30211</v>
      </c>
      <c r="D8" s="111">
        <f t="shared" si="1"/>
        <v>29380.197500000002</v>
      </c>
      <c r="E8" s="112"/>
      <c r="F8" s="112">
        <f t="shared" si="2"/>
        <v>0</v>
      </c>
      <c r="G8" s="112"/>
      <c r="H8" s="112">
        <f t="shared" si="3"/>
        <v>0</v>
      </c>
      <c r="I8" s="112"/>
      <c r="J8" s="112">
        <f t="shared" si="4"/>
        <v>0</v>
      </c>
      <c r="K8" s="112"/>
      <c r="L8" s="112">
        <f t="shared" si="5"/>
        <v>0</v>
      </c>
      <c r="M8" s="112"/>
      <c r="N8" s="111">
        <f t="shared" si="6"/>
        <v>0</v>
      </c>
      <c r="O8" s="112"/>
      <c r="P8" s="111">
        <f t="shared" si="7"/>
        <v>0</v>
      </c>
      <c r="Q8" s="111"/>
      <c r="R8" s="111">
        <f t="shared" si="8"/>
        <v>0</v>
      </c>
      <c r="S8" s="112"/>
      <c r="T8" s="112">
        <f t="shared" si="9"/>
        <v>0</v>
      </c>
      <c r="U8" s="112"/>
      <c r="V8" s="112">
        <f t="shared" si="10"/>
        <v>0</v>
      </c>
      <c r="W8" s="112"/>
      <c r="X8" s="19">
        <f t="shared" si="11"/>
        <v>0</v>
      </c>
      <c r="Y8" s="89">
        <f t="shared" si="0"/>
        <v>29380.197500000002</v>
      </c>
    </row>
    <row r="9" spans="1:25" ht="38.25" customHeight="1" x14ac:dyDescent="0.25">
      <c r="A9" s="12">
        <v>1409935199</v>
      </c>
      <c r="B9" s="114" t="s">
        <v>75</v>
      </c>
      <c r="C9" s="112">
        <v>14087</v>
      </c>
      <c r="D9" s="111">
        <f t="shared" si="1"/>
        <v>13699.6075</v>
      </c>
      <c r="E9" s="112"/>
      <c r="F9" s="112">
        <f t="shared" si="2"/>
        <v>0</v>
      </c>
      <c r="G9" s="112"/>
      <c r="H9" s="112">
        <f t="shared" si="3"/>
        <v>0</v>
      </c>
      <c r="I9" s="112">
        <v>110</v>
      </c>
      <c r="J9" s="112">
        <f t="shared" si="4"/>
        <v>2035</v>
      </c>
      <c r="K9" s="112"/>
      <c r="L9" s="112">
        <f t="shared" si="5"/>
        <v>0</v>
      </c>
      <c r="M9" s="112"/>
      <c r="N9" s="111">
        <f t="shared" si="6"/>
        <v>0</v>
      </c>
      <c r="O9" s="112"/>
      <c r="P9" s="111">
        <f t="shared" si="7"/>
        <v>0</v>
      </c>
      <c r="Q9" s="111"/>
      <c r="R9" s="111">
        <f t="shared" si="8"/>
        <v>0</v>
      </c>
      <c r="S9" s="112"/>
      <c r="T9" s="112">
        <f t="shared" si="9"/>
        <v>0</v>
      </c>
      <c r="U9" s="112"/>
      <c r="V9" s="112">
        <f t="shared" si="10"/>
        <v>0</v>
      </c>
      <c r="W9" s="112"/>
      <c r="X9" s="19">
        <f t="shared" si="11"/>
        <v>0</v>
      </c>
      <c r="Y9" s="89">
        <f t="shared" si="0"/>
        <v>15734.6075</v>
      </c>
    </row>
    <row r="10" spans="1:25" ht="35.25" customHeight="1" x14ac:dyDescent="0.25">
      <c r="A10" s="12">
        <v>1984225580</v>
      </c>
      <c r="C10" s="112"/>
      <c r="D10" s="111">
        <f t="shared" si="1"/>
        <v>0</v>
      </c>
      <c r="E10" s="112"/>
      <c r="F10" s="112">
        <f t="shared" si="2"/>
        <v>0</v>
      </c>
      <c r="G10" s="112"/>
      <c r="H10" s="112">
        <f t="shared" si="3"/>
        <v>0</v>
      </c>
      <c r="I10" s="112"/>
      <c r="J10" s="112">
        <f t="shared" si="4"/>
        <v>0</v>
      </c>
      <c r="K10" s="112"/>
      <c r="L10" s="112">
        <f t="shared" si="5"/>
        <v>0</v>
      </c>
      <c r="M10" s="112"/>
      <c r="N10" s="111">
        <f t="shared" si="6"/>
        <v>0</v>
      </c>
      <c r="O10" s="112"/>
      <c r="P10" s="111">
        <f t="shared" si="7"/>
        <v>0</v>
      </c>
      <c r="Q10" s="111"/>
      <c r="R10" s="111">
        <f t="shared" si="8"/>
        <v>0</v>
      </c>
      <c r="S10" s="112"/>
      <c r="T10" s="112">
        <f t="shared" si="9"/>
        <v>0</v>
      </c>
      <c r="U10" s="112"/>
      <c r="V10" s="112">
        <f t="shared" si="10"/>
        <v>0</v>
      </c>
      <c r="W10" s="112"/>
      <c r="X10" s="19">
        <f t="shared" si="11"/>
        <v>0</v>
      </c>
      <c r="Y10" s="89">
        <f t="shared" si="0"/>
        <v>0</v>
      </c>
    </row>
    <row r="11" spans="1:25" ht="37.5" customHeight="1" x14ac:dyDescent="0.25">
      <c r="A11" s="12"/>
      <c r="B11" s="113"/>
      <c r="C11" s="112"/>
      <c r="D11" s="22">
        <f t="shared" si="1"/>
        <v>0</v>
      </c>
      <c r="E11" s="112"/>
      <c r="F11" s="112">
        <f t="shared" si="2"/>
        <v>0</v>
      </c>
      <c r="G11" s="112"/>
      <c r="H11" s="112">
        <f t="shared" si="3"/>
        <v>0</v>
      </c>
      <c r="I11" s="112"/>
      <c r="J11" s="112">
        <f t="shared" si="4"/>
        <v>0</v>
      </c>
      <c r="K11" s="112"/>
      <c r="L11" s="112">
        <f t="shared" si="5"/>
        <v>0</v>
      </c>
      <c r="M11" s="112"/>
      <c r="N11" s="111">
        <f t="shared" si="6"/>
        <v>0</v>
      </c>
      <c r="O11" s="112"/>
      <c r="P11" s="111">
        <f t="shared" si="7"/>
        <v>0</v>
      </c>
      <c r="Q11" s="111"/>
      <c r="R11" s="111">
        <f t="shared" si="8"/>
        <v>0</v>
      </c>
      <c r="S11" s="112">
        <v>26</v>
      </c>
      <c r="T11" s="112">
        <f t="shared" si="9"/>
        <v>6266</v>
      </c>
      <c r="U11" s="112"/>
      <c r="V11" s="112">
        <f t="shared" si="10"/>
        <v>0</v>
      </c>
      <c r="W11" s="112"/>
      <c r="X11" s="19">
        <f t="shared" si="11"/>
        <v>0</v>
      </c>
      <c r="Y11" s="20">
        <f t="shared" si="0"/>
        <v>6266</v>
      </c>
    </row>
    <row r="12" spans="1:25" ht="29.25" customHeight="1" x14ac:dyDescent="0.25">
      <c r="A12" s="2235" t="s">
        <v>31</v>
      </c>
      <c r="B12" s="2235"/>
      <c r="C12" s="18">
        <f t="shared" ref="C12:Y12" si="12">SUM(C6:C11)</f>
        <v>107877</v>
      </c>
      <c r="D12" s="18">
        <f t="shared" si="12"/>
        <v>104910.38249999999</v>
      </c>
      <c r="E12" s="18">
        <f t="shared" si="12"/>
        <v>0</v>
      </c>
      <c r="F12" s="18">
        <f t="shared" si="12"/>
        <v>0</v>
      </c>
      <c r="G12" s="18">
        <f t="shared" si="12"/>
        <v>0</v>
      </c>
      <c r="H12" s="18">
        <f t="shared" si="12"/>
        <v>0</v>
      </c>
      <c r="I12" s="18">
        <f t="shared" si="12"/>
        <v>160</v>
      </c>
      <c r="J12" s="18">
        <f t="shared" si="12"/>
        <v>2960</v>
      </c>
      <c r="K12" s="18">
        <f t="shared" si="12"/>
        <v>0</v>
      </c>
      <c r="L12" s="18">
        <f t="shared" si="12"/>
        <v>0</v>
      </c>
      <c r="M12" s="18">
        <f t="shared" si="12"/>
        <v>0</v>
      </c>
      <c r="N12" s="23">
        <f t="shared" si="12"/>
        <v>0</v>
      </c>
      <c r="O12" s="18">
        <f t="shared" si="12"/>
        <v>0</v>
      </c>
      <c r="P12" s="23">
        <f t="shared" si="12"/>
        <v>0</v>
      </c>
      <c r="Q12" s="23">
        <f t="shared" si="12"/>
        <v>0</v>
      </c>
      <c r="R12" s="23">
        <f>SUM(R6:R11)</f>
        <v>0</v>
      </c>
      <c r="S12" s="18">
        <f t="shared" si="12"/>
        <v>31</v>
      </c>
      <c r="T12" s="18">
        <f t="shared" si="12"/>
        <v>7471</v>
      </c>
      <c r="U12" s="18">
        <f t="shared" si="12"/>
        <v>0</v>
      </c>
      <c r="V12" s="18">
        <f t="shared" si="12"/>
        <v>0</v>
      </c>
      <c r="W12" s="18">
        <f t="shared" si="12"/>
        <v>0</v>
      </c>
      <c r="X12" s="18">
        <f t="shared" si="12"/>
        <v>0</v>
      </c>
      <c r="Y12" s="18">
        <f t="shared" si="12"/>
        <v>115341.38249999999</v>
      </c>
    </row>
    <row r="14" spans="1:25" ht="32.25" customHeight="1" x14ac:dyDescent="0.25">
      <c r="A14" s="30" t="s">
        <v>32</v>
      </c>
      <c r="B14" s="2236" t="s">
        <v>27</v>
      </c>
      <c r="C14" s="2236"/>
      <c r="D14" s="30" t="s">
        <v>33</v>
      </c>
      <c r="E14" s="30" t="s">
        <v>65</v>
      </c>
      <c r="F14" s="30" t="s">
        <v>34</v>
      </c>
      <c r="G14" s="30" t="s">
        <v>13</v>
      </c>
      <c r="H14" s="31" t="s">
        <v>45</v>
      </c>
      <c r="I14" s="30" t="s">
        <v>17</v>
      </c>
      <c r="J14" s="30" t="s">
        <v>66</v>
      </c>
      <c r="K14" s="30" t="s">
        <v>36</v>
      </c>
      <c r="L14" s="30" t="s">
        <v>37</v>
      </c>
      <c r="M14" s="30" t="s">
        <v>69</v>
      </c>
      <c r="N14" s="30" t="s">
        <v>70</v>
      </c>
      <c r="O14" s="86" t="s">
        <v>114</v>
      </c>
      <c r="P14" s="86" t="s">
        <v>99</v>
      </c>
      <c r="Q14" s="2272" t="s">
        <v>150</v>
      </c>
      <c r="R14" s="2272"/>
      <c r="T14" s="2235" t="s">
        <v>46</v>
      </c>
      <c r="U14" s="114" t="s">
        <v>54</v>
      </c>
      <c r="V14" s="2260">
        <v>137843</v>
      </c>
      <c r="W14" s="2268"/>
      <c r="X14" s="2261"/>
    </row>
    <row r="15" spans="1:25" ht="22.5" customHeight="1" x14ac:dyDescent="0.25">
      <c r="A15" s="100" t="s">
        <v>38</v>
      </c>
      <c r="B15" s="2260">
        <v>348922</v>
      </c>
      <c r="C15" s="2261"/>
      <c r="D15" s="117">
        <v>0</v>
      </c>
      <c r="E15" s="117">
        <v>0</v>
      </c>
      <c r="F15" s="117">
        <v>160</v>
      </c>
      <c r="G15" s="117">
        <v>0</v>
      </c>
      <c r="H15" s="117">
        <v>53</v>
      </c>
      <c r="I15" s="117">
        <v>0</v>
      </c>
      <c r="J15" s="117">
        <v>45</v>
      </c>
      <c r="K15" s="117">
        <v>57</v>
      </c>
      <c r="L15" s="117">
        <v>359</v>
      </c>
      <c r="M15" s="117">
        <v>0</v>
      </c>
      <c r="N15" s="117">
        <v>100</v>
      </c>
      <c r="O15" s="117">
        <v>0</v>
      </c>
      <c r="P15" s="117">
        <v>521</v>
      </c>
      <c r="Q15" s="2262">
        <v>52</v>
      </c>
      <c r="R15" s="2262"/>
      <c r="T15" s="2235"/>
      <c r="U15" s="114" t="s">
        <v>64</v>
      </c>
      <c r="V15" s="2262">
        <v>10689</v>
      </c>
      <c r="W15" s="2262"/>
      <c r="X15" s="2262"/>
    </row>
    <row r="16" spans="1:25" ht="24.75" customHeight="1" x14ac:dyDescent="0.25">
      <c r="A16" s="100" t="s">
        <v>39</v>
      </c>
      <c r="B16" s="2260">
        <v>35856</v>
      </c>
      <c r="C16" s="2261"/>
      <c r="D16" s="117"/>
      <c r="E16" s="117"/>
      <c r="F16" s="117"/>
      <c r="G16" s="117"/>
      <c r="H16" s="117">
        <v>7</v>
      </c>
      <c r="I16" s="117"/>
      <c r="J16" s="117"/>
      <c r="K16" s="117"/>
      <c r="L16" s="117">
        <v>50</v>
      </c>
      <c r="M16" s="117"/>
      <c r="N16" s="117"/>
      <c r="O16" s="117"/>
      <c r="P16" s="117"/>
      <c r="Q16" s="2225"/>
      <c r="R16" s="2225"/>
      <c r="T16" s="2254" t="s">
        <v>55</v>
      </c>
      <c r="U16" s="2254"/>
      <c r="V16" s="2267">
        <f>Y12</f>
        <v>115341.38249999999</v>
      </c>
      <c r="W16" s="2267"/>
      <c r="X16" s="2262"/>
    </row>
    <row r="17" spans="1:25" ht="28.5" customHeight="1" x14ac:dyDescent="0.25">
      <c r="A17" s="101" t="s">
        <v>44</v>
      </c>
      <c r="B17" s="2260"/>
      <c r="C17" s="2261"/>
      <c r="D17" s="117"/>
      <c r="E17" s="117"/>
      <c r="F17" s="117"/>
      <c r="G17" s="117"/>
      <c r="H17" s="117"/>
      <c r="I17" s="117"/>
      <c r="J17" s="117"/>
      <c r="K17" s="117"/>
      <c r="L17" s="117"/>
      <c r="M17" s="117"/>
      <c r="N17" s="117"/>
      <c r="O17" s="117"/>
      <c r="P17" s="117"/>
      <c r="Q17" s="2225"/>
      <c r="R17" s="2225"/>
      <c r="T17" s="2270" t="s">
        <v>107</v>
      </c>
      <c r="U17" s="2271"/>
      <c r="V17" s="2262"/>
      <c r="W17" s="2262"/>
      <c r="X17" s="2262"/>
    </row>
    <row r="18" spans="1:25" ht="27" customHeight="1" x14ac:dyDescent="0.25">
      <c r="A18" s="100" t="s">
        <v>40</v>
      </c>
      <c r="B18" s="2264">
        <f>C12</f>
        <v>107877</v>
      </c>
      <c r="C18" s="2261"/>
      <c r="D18" s="119">
        <f>E12</f>
        <v>0</v>
      </c>
      <c r="E18" s="119">
        <f>G12</f>
        <v>0</v>
      </c>
      <c r="F18" s="119">
        <f>I12</f>
        <v>160</v>
      </c>
      <c r="G18" s="119">
        <f>K12</f>
        <v>0</v>
      </c>
      <c r="H18" s="117">
        <v>55</v>
      </c>
      <c r="I18" s="119">
        <f>U12</f>
        <v>0</v>
      </c>
      <c r="J18" s="117"/>
      <c r="K18" s="119">
        <f>W12</f>
        <v>0</v>
      </c>
      <c r="L18" s="117">
        <v>13</v>
      </c>
      <c r="M18" s="119">
        <f>M12</f>
        <v>0</v>
      </c>
      <c r="N18" s="119"/>
      <c r="O18" s="118">
        <f>Q12</f>
        <v>0</v>
      </c>
      <c r="P18" s="117">
        <v>13</v>
      </c>
      <c r="Q18" s="2225"/>
      <c r="R18" s="2225"/>
      <c r="T18" s="2254" t="s">
        <v>57</v>
      </c>
      <c r="U18" s="2254"/>
      <c r="V18" s="2262">
        <f>450+700</f>
        <v>1150</v>
      </c>
      <c r="W18" s="2262"/>
      <c r="X18" s="2262"/>
      <c r="Y18" s="2269" t="s">
        <v>166</v>
      </c>
    </row>
    <row r="19" spans="1:25" ht="25.5" customHeight="1" x14ac:dyDescent="0.25">
      <c r="A19" s="100" t="s">
        <v>41</v>
      </c>
      <c r="B19" s="2260">
        <f>B15+B16+B17-B18</f>
        <v>276901</v>
      </c>
      <c r="C19" s="2261"/>
      <c r="D19" s="117">
        <f>D15+D16+D17-D18</f>
        <v>0</v>
      </c>
      <c r="E19" s="117">
        <f t="shared" ref="E19:N19" si="13">E15+E16+E17-E18</f>
        <v>0</v>
      </c>
      <c r="F19" s="117">
        <f t="shared" si="13"/>
        <v>0</v>
      </c>
      <c r="G19" s="117">
        <f t="shared" si="13"/>
        <v>0</v>
      </c>
      <c r="H19" s="117">
        <f t="shared" si="13"/>
        <v>5</v>
      </c>
      <c r="I19" s="117">
        <f t="shared" si="13"/>
        <v>0</v>
      </c>
      <c r="J19" s="117">
        <f t="shared" si="13"/>
        <v>45</v>
      </c>
      <c r="K19" s="117">
        <f t="shared" si="13"/>
        <v>57</v>
      </c>
      <c r="L19" s="117">
        <f t="shared" si="13"/>
        <v>396</v>
      </c>
      <c r="M19" s="117">
        <f t="shared" si="13"/>
        <v>0</v>
      </c>
      <c r="N19" s="117">
        <f t="shared" si="13"/>
        <v>100</v>
      </c>
      <c r="O19" s="117">
        <f>O15+O16+O17-O18</f>
        <v>0</v>
      </c>
      <c r="P19" s="117">
        <f>P15+P16+P17-P18</f>
        <v>508</v>
      </c>
      <c r="Q19" s="2260">
        <f t="shared" ref="Q19" si="14">Q15+Q16+Q17-Q18</f>
        <v>52</v>
      </c>
      <c r="R19" s="2261"/>
      <c r="T19" s="2256" t="s">
        <v>48</v>
      </c>
      <c r="U19" s="49" t="s">
        <v>58</v>
      </c>
      <c r="V19" s="2262">
        <v>202000</v>
      </c>
      <c r="W19" s="2262"/>
      <c r="X19" s="2262"/>
      <c r="Y19" s="2269"/>
    </row>
    <row r="20" spans="1:25" ht="23.25" customHeight="1" x14ac:dyDescent="0.25">
      <c r="A20" s="11" t="s">
        <v>168</v>
      </c>
      <c r="B20" s="2278">
        <f>B19*0.9625</f>
        <v>266517.21250000002</v>
      </c>
      <c r="C20" s="2279"/>
      <c r="D20" s="113">
        <f>D19*13.56</f>
        <v>0</v>
      </c>
      <c r="E20" s="113">
        <f>28.2*E19</f>
        <v>0</v>
      </c>
      <c r="F20" s="113">
        <f>18.31*F19</f>
        <v>0</v>
      </c>
      <c r="G20" s="113">
        <f>19.3*G19</f>
        <v>0</v>
      </c>
      <c r="H20" s="113">
        <f>241*H19</f>
        <v>1205</v>
      </c>
      <c r="I20" s="113">
        <f>223*I19</f>
        <v>0</v>
      </c>
      <c r="J20" s="113">
        <f>241*J19</f>
        <v>10845</v>
      </c>
      <c r="K20" s="113">
        <f>K19*100</f>
        <v>5700</v>
      </c>
      <c r="L20" s="113">
        <f>241*L19</f>
        <v>95436</v>
      </c>
      <c r="M20" s="113">
        <f>9.65*M19</f>
        <v>0</v>
      </c>
      <c r="N20" s="113">
        <f>N19*48.2</f>
        <v>4820</v>
      </c>
      <c r="O20" s="113">
        <f>241*O19</f>
        <v>0</v>
      </c>
      <c r="P20" s="113">
        <f>241*P19</f>
        <v>122428</v>
      </c>
      <c r="Q20" s="2278">
        <f>241*Q19</f>
        <v>12532</v>
      </c>
      <c r="R20" s="2279"/>
      <c r="T20" s="2257"/>
      <c r="U20" s="49" t="s">
        <v>59</v>
      </c>
      <c r="V20" s="2262">
        <v>1687</v>
      </c>
      <c r="W20" s="2262"/>
      <c r="X20" s="2262"/>
      <c r="Y20" s="2269"/>
    </row>
    <row r="21" spans="1:25" ht="23.25" customHeight="1" x14ac:dyDescent="0.25">
      <c r="A21" s="15"/>
      <c r="B21" s="10"/>
      <c r="O21" s="10"/>
      <c r="P21" s="10"/>
      <c r="Q21" s="10"/>
      <c r="R21" s="10"/>
      <c r="T21" s="2273" t="s">
        <v>167</v>
      </c>
      <c r="U21" s="2274"/>
      <c r="V21" s="2260">
        <v>43125</v>
      </c>
      <c r="W21" s="2268"/>
      <c r="X21" s="2261"/>
      <c r="Y21" s="2269"/>
    </row>
    <row r="22" spans="1:25" ht="35.25" customHeight="1" x14ac:dyDescent="0.25">
      <c r="A22" s="15"/>
      <c r="B22" s="2275" t="s">
        <v>49</v>
      </c>
      <c r="C22" s="2265">
        <v>641778</v>
      </c>
      <c r="D22" s="2265">
        <v>202000</v>
      </c>
      <c r="E22" s="2265">
        <v>34512</v>
      </c>
      <c r="F22" s="2265">
        <f>C22-D22+E22</f>
        <v>474290</v>
      </c>
      <c r="G22" s="10"/>
      <c r="H22" s="10"/>
      <c r="I22" s="10"/>
      <c r="J22" s="10"/>
      <c r="K22" s="10"/>
      <c r="L22" s="10"/>
      <c r="M22" s="10"/>
      <c r="N22" s="10"/>
      <c r="O22" s="10"/>
      <c r="P22" s="10"/>
      <c r="Q22" s="10"/>
      <c r="R22" s="10"/>
      <c r="T22" s="2251" t="s">
        <v>83</v>
      </c>
      <c r="U22" s="50" t="s">
        <v>60</v>
      </c>
      <c r="V22" s="2262">
        <v>244775</v>
      </c>
      <c r="W22" s="2262"/>
      <c r="X22" s="2262"/>
      <c r="Y22" s="2269"/>
    </row>
    <row r="23" spans="1:25" ht="39.75" customHeight="1" x14ac:dyDescent="0.25">
      <c r="A23" s="10"/>
      <c r="B23" s="2276"/>
      <c r="C23" s="2266"/>
      <c r="D23" s="2266"/>
      <c r="E23" s="2266"/>
      <c r="F23" s="2266"/>
      <c r="G23" s="10"/>
      <c r="H23" s="10"/>
      <c r="I23" s="10"/>
      <c r="J23" s="10"/>
      <c r="K23" s="10"/>
      <c r="L23" s="10"/>
      <c r="M23" s="10" t="s">
        <v>140</v>
      </c>
      <c r="N23" s="10"/>
      <c r="O23" s="10"/>
      <c r="P23" s="10"/>
      <c r="Q23" s="10"/>
      <c r="R23" s="10"/>
      <c r="T23" s="2252"/>
      <c r="U23" s="50" t="s">
        <v>61</v>
      </c>
      <c r="V23" s="2262">
        <v>245125</v>
      </c>
      <c r="W23" s="2262"/>
      <c r="X23" s="2262"/>
      <c r="Y23" s="2269"/>
    </row>
    <row r="24" spans="1:25" ht="47.25" customHeight="1" x14ac:dyDescent="0.25">
      <c r="A24" s="10"/>
      <c r="B24" s="2277"/>
      <c r="C24" s="114" t="s">
        <v>46</v>
      </c>
      <c r="D24" s="114" t="s">
        <v>50</v>
      </c>
      <c r="E24" s="114" t="s">
        <v>51</v>
      </c>
      <c r="F24" s="114" t="s">
        <v>52</v>
      </c>
      <c r="G24" s="10"/>
      <c r="H24" s="10"/>
      <c r="I24" s="10"/>
      <c r="J24" s="10"/>
      <c r="K24" s="10"/>
      <c r="L24" s="10"/>
      <c r="M24" s="10"/>
      <c r="N24" s="10"/>
      <c r="O24" s="10"/>
      <c r="P24" s="10"/>
      <c r="Q24" s="10"/>
      <c r="R24" s="10"/>
      <c r="T24" s="2235" t="s">
        <v>47</v>
      </c>
      <c r="U24" s="51" t="s">
        <v>62</v>
      </c>
      <c r="V24" s="2263">
        <f>V14+V16+V17-V18-V19-V20-V22+V23-V21</f>
        <v>5572.382500000007</v>
      </c>
      <c r="W24" s="2263"/>
      <c r="X24" s="2263"/>
      <c r="Y24" s="2269"/>
    </row>
    <row r="25" spans="1:25" ht="40.5" customHeight="1" x14ac:dyDescent="0.25">
      <c r="T25" s="2235"/>
      <c r="U25" s="51" t="s">
        <v>63</v>
      </c>
      <c r="V25" s="2262">
        <f>V15+V22-V23</f>
        <v>10339</v>
      </c>
      <c r="W25" s="2262"/>
      <c r="X25" s="2262"/>
    </row>
  </sheetData>
  <mergeCells count="58">
    <mergeCell ref="A1:Y1"/>
    <mergeCell ref="A2:Y2"/>
    <mergeCell ref="T3:Y3"/>
    <mergeCell ref="A4:A5"/>
    <mergeCell ref="B4:B5"/>
    <mergeCell ref="C4:D4"/>
    <mergeCell ref="E4:F4"/>
    <mergeCell ref="G4:H4"/>
    <mergeCell ref="I4:J4"/>
    <mergeCell ref="K4:L4"/>
    <mergeCell ref="Y4:Y5"/>
    <mergeCell ref="M4:N4"/>
    <mergeCell ref="O4:P4"/>
    <mergeCell ref="Q4:R4"/>
    <mergeCell ref="S4:T4"/>
    <mergeCell ref="U4:V4"/>
    <mergeCell ref="W4:X4"/>
    <mergeCell ref="B16:C16"/>
    <mergeCell ref="Q16:R16"/>
    <mergeCell ref="T16:U16"/>
    <mergeCell ref="V16:X16"/>
    <mergeCell ref="A12:B12"/>
    <mergeCell ref="B14:C14"/>
    <mergeCell ref="Q14:R14"/>
    <mergeCell ref="T14:T15"/>
    <mergeCell ref="V14:X14"/>
    <mergeCell ref="B15:C15"/>
    <mergeCell ref="Q15:R15"/>
    <mergeCell ref="V15:X15"/>
    <mergeCell ref="B17:C17"/>
    <mergeCell ref="Q17:R17"/>
    <mergeCell ref="T17:U17"/>
    <mergeCell ref="V17:X17"/>
    <mergeCell ref="B18:C18"/>
    <mergeCell ref="Q18:R18"/>
    <mergeCell ref="T18:U18"/>
    <mergeCell ref="V18:X18"/>
    <mergeCell ref="Y18:Y24"/>
    <mergeCell ref="B19:C19"/>
    <mergeCell ref="Q19:R19"/>
    <mergeCell ref="T19:T20"/>
    <mergeCell ref="V19:X19"/>
    <mergeCell ref="V20:X20"/>
    <mergeCell ref="B20:C20"/>
    <mergeCell ref="Q20:R20"/>
    <mergeCell ref="V25:X25"/>
    <mergeCell ref="T21:U21"/>
    <mergeCell ref="V21:X21"/>
    <mergeCell ref="B22:B24"/>
    <mergeCell ref="F22:F23"/>
    <mergeCell ref="E22:E23"/>
    <mergeCell ref="D22:D23"/>
    <mergeCell ref="C22:C23"/>
    <mergeCell ref="T22:T23"/>
    <mergeCell ref="V22:X22"/>
    <mergeCell ref="V23:X23"/>
    <mergeCell ref="T24:T25"/>
    <mergeCell ref="V24:X24"/>
  </mergeCells>
  <pageMargins left="0.15748031496063" right="0.15748031496063" top="0" bottom="0" header="0" footer="0"/>
  <pageSetup paperSize="9" scale="51" orientation="landscape" r:id="rId1"/>
</worksheet>
</file>

<file path=xl/worksheets/sheet4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B00-000000000000}">
  <sheetPr>
    <pageSetUpPr fitToPage="1"/>
  </sheetPr>
  <dimension ref="A1:Y33"/>
  <sheetViews>
    <sheetView topLeftCell="B9" zoomScale="69" zoomScaleNormal="69" zoomScaleSheetLayoutView="100" workbookViewId="0">
      <selection activeCell="O24" sqref="O24"/>
    </sheetView>
  </sheetViews>
  <sheetFormatPr defaultColWidth="9.140625" defaultRowHeight="15" x14ac:dyDescent="0.25"/>
  <cols>
    <col min="1" max="1" width="18.28515625" style="14" customWidth="1"/>
    <col min="2" max="2" width="10.7109375" style="14" customWidth="1"/>
    <col min="3" max="3" width="12.28515625" style="14" customWidth="1"/>
    <col min="4" max="4" width="11" style="14" customWidth="1"/>
    <col min="5" max="5" width="12" style="14" customWidth="1"/>
    <col min="6" max="6" width="12.5703125" style="14" bestFit="1" customWidth="1"/>
    <col min="7" max="7" width="9.28515625" style="14" bestFit="1" customWidth="1"/>
    <col min="8" max="8" width="10.140625" style="14" bestFit="1" customWidth="1"/>
    <col min="9" max="9" width="10.5703125" style="14" bestFit="1" customWidth="1"/>
    <col min="10" max="10" width="10.5703125" style="14" customWidth="1"/>
    <col min="11" max="11" width="10.28515625" style="14" bestFit="1" customWidth="1"/>
    <col min="12" max="12" width="9.42578125" style="14" bestFit="1" customWidth="1"/>
    <col min="13" max="13" width="9.85546875" style="14" bestFit="1" customWidth="1"/>
    <col min="14" max="14" width="10.140625" style="14" bestFit="1" customWidth="1"/>
    <col min="15" max="15" width="9" style="14" customWidth="1"/>
    <col min="16" max="16" width="12.85546875" style="14" bestFit="1" customWidth="1"/>
    <col min="17" max="18" width="9.42578125" style="14" customWidth="1"/>
    <col min="19" max="19" width="13.7109375" style="14" customWidth="1"/>
    <col min="20" max="20" width="12.140625" style="14" customWidth="1"/>
    <col min="21" max="21" width="16" style="14" customWidth="1"/>
    <col min="22" max="22" width="9.85546875" style="14" customWidth="1"/>
    <col min="23" max="23" width="10.140625" style="14" bestFit="1" customWidth="1"/>
    <col min="24" max="24" width="10.28515625" style="14" customWidth="1"/>
    <col min="25" max="25" width="18" style="14" customWidth="1"/>
    <col min="26" max="16384" width="9.140625" style="14"/>
  </cols>
  <sheetData>
    <row r="1" spans="1:25" ht="46.15" customHeight="1" x14ac:dyDescent="0.25">
      <c r="A1" s="2240" t="s">
        <v>148</v>
      </c>
      <c r="B1" s="2240"/>
      <c r="C1" s="2240"/>
      <c r="D1" s="2240"/>
      <c r="E1" s="2240"/>
      <c r="F1" s="2240"/>
      <c r="G1" s="2240"/>
      <c r="H1" s="2240"/>
      <c r="I1" s="2240"/>
      <c r="J1" s="2240"/>
      <c r="K1" s="2240"/>
      <c r="L1" s="2240"/>
      <c r="M1" s="2240"/>
      <c r="N1" s="2240"/>
      <c r="O1" s="2240"/>
      <c r="P1" s="2240"/>
      <c r="Q1" s="2240"/>
      <c r="R1" s="2240"/>
      <c r="S1" s="2240"/>
      <c r="T1" s="2240"/>
      <c r="U1" s="2240"/>
      <c r="V1" s="2240"/>
      <c r="W1" s="2240"/>
      <c r="X1" s="2240"/>
      <c r="Y1" s="2240"/>
    </row>
    <row r="2" spans="1:25" ht="21.6" customHeight="1" x14ac:dyDescent="0.25">
      <c r="A2" s="2241" t="s">
        <v>77</v>
      </c>
      <c r="B2" s="2241"/>
      <c r="C2" s="2241"/>
      <c r="D2" s="2241"/>
      <c r="E2" s="2241"/>
      <c r="F2" s="2241"/>
      <c r="G2" s="2241"/>
      <c r="H2" s="2241"/>
      <c r="I2" s="2241"/>
      <c r="J2" s="2241"/>
      <c r="K2" s="2241"/>
      <c r="L2" s="2241"/>
      <c r="M2" s="2241"/>
      <c r="N2" s="2241"/>
      <c r="O2" s="2241"/>
      <c r="P2" s="2241"/>
      <c r="Q2" s="2241"/>
      <c r="R2" s="2241"/>
      <c r="S2" s="2241"/>
      <c r="T2" s="2241"/>
      <c r="U2" s="2241"/>
      <c r="V2" s="2241"/>
      <c r="W2" s="2241"/>
      <c r="X2" s="2241"/>
      <c r="Y2" s="2241"/>
    </row>
    <row r="3" spans="1:25" ht="21" customHeight="1" x14ac:dyDescent="0.25">
      <c r="A3" s="116"/>
      <c r="B3" s="116"/>
      <c r="C3" s="116"/>
      <c r="D3" s="116"/>
      <c r="E3" s="116"/>
      <c r="F3" s="116"/>
      <c r="G3" s="116"/>
      <c r="H3" s="116"/>
      <c r="I3" s="116"/>
      <c r="J3" s="116"/>
      <c r="K3" s="116"/>
      <c r="L3" s="116"/>
      <c r="M3" s="116"/>
      <c r="N3" s="116"/>
      <c r="O3" s="116"/>
      <c r="P3" s="116"/>
      <c r="Q3" s="116"/>
      <c r="R3" s="116"/>
      <c r="S3" s="116"/>
      <c r="T3" s="2242" t="s">
        <v>169</v>
      </c>
      <c r="U3" s="2242"/>
      <c r="V3" s="2242"/>
      <c r="W3" s="2242"/>
      <c r="X3" s="2242"/>
      <c r="Y3" s="2242"/>
    </row>
    <row r="4" spans="1:25" s="116" customFormat="1" ht="18" customHeight="1" x14ac:dyDescent="0.25">
      <c r="A4" s="2243" t="s">
        <v>25</v>
      </c>
      <c r="B4" s="2243" t="s">
        <v>26</v>
      </c>
      <c r="C4" s="2244" t="s">
        <v>27</v>
      </c>
      <c r="D4" s="2244"/>
      <c r="E4" s="2244" t="s">
        <v>28</v>
      </c>
      <c r="F4" s="2244"/>
      <c r="G4" s="2244" t="s">
        <v>65</v>
      </c>
      <c r="H4" s="2244"/>
      <c r="I4" s="2244" t="s">
        <v>29</v>
      </c>
      <c r="J4" s="2244"/>
      <c r="K4" s="2245" t="s">
        <v>13</v>
      </c>
      <c r="L4" s="2246"/>
      <c r="M4" s="2245" t="s">
        <v>67</v>
      </c>
      <c r="N4" s="2246"/>
      <c r="O4" s="2245" t="s">
        <v>68</v>
      </c>
      <c r="P4" s="2246"/>
      <c r="Q4" s="2245" t="s">
        <v>114</v>
      </c>
      <c r="R4" s="2246"/>
      <c r="S4" s="2244" t="s">
        <v>35</v>
      </c>
      <c r="T4" s="2244"/>
      <c r="U4" s="2245" t="s">
        <v>17</v>
      </c>
      <c r="V4" s="2246"/>
      <c r="W4" s="2247" t="s">
        <v>36</v>
      </c>
      <c r="X4" s="2248"/>
      <c r="Y4" s="2238" t="s">
        <v>30</v>
      </c>
    </row>
    <row r="5" spans="1:25" s="116" customFormat="1" ht="25.5" customHeight="1" x14ac:dyDescent="0.25">
      <c r="A5" s="2243"/>
      <c r="B5" s="2243"/>
      <c r="C5" s="115" t="s">
        <v>42</v>
      </c>
      <c r="D5" s="115" t="s">
        <v>43</v>
      </c>
      <c r="E5" s="115" t="s">
        <v>42</v>
      </c>
      <c r="F5" s="115" t="s">
        <v>43</v>
      </c>
      <c r="G5" s="115" t="s">
        <v>42</v>
      </c>
      <c r="H5" s="115" t="s">
        <v>43</v>
      </c>
      <c r="I5" s="115" t="s">
        <v>42</v>
      </c>
      <c r="J5" s="115" t="s">
        <v>43</v>
      </c>
      <c r="K5" s="115" t="s">
        <v>42</v>
      </c>
      <c r="L5" s="115" t="s">
        <v>43</v>
      </c>
      <c r="M5" s="115" t="s">
        <v>42</v>
      </c>
      <c r="N5" s="115" t="s">
        <v>43</v>
      </c>
      <c r="O5" s="115" t="s">
        <v>42</v>
      </c>
      <c r="P5" s="115" t="s">
        <v>43</v>
      </c>
      <c r="Q5" s="115" t="s">
        <v>42</v>
      </c>
      <c r="R5" s="115" t="s">
        <v>43</v>
      </c>
      <c r="S5" s="33" t="s">
        <v>42</v>
      </c>
      <c r="T5" s="33" t="s">
        <v>43</v>
      </c>
      <c r="U5" s="30" t="s">
        <v>42</v>
      </c>
      <c r="V5" s="30" t="s">
        <v>43</v>
      </c>
      <c r="W5" s="30" t="s">
        <v>42</v>
      </c>
      <c r="X5" s="30" t="s">
        <v>43</v>
      </c>
      <c r="Y5" s="2239"/>
    </row>
    <row r="6" spans="1:25" ht="34.5" customHeight="1" x14ac:dyDescent="0.25">
      <c r="A6" s="12">
        <v>1409935200</v>
      </c>
      <c r="B6" s="114" t="s">
        <v>71</v>
      </c>
      <c r="C6" s="112">
        <v>40603</v>
      </c>
      <c r="D6" s="111">
        <f>0.9725*C6</f>
        <v>39486.417500000003</v>
      </c>
      <c r="E6" s="112"/>
      <c r="F6" s="112">
        <f>13.7*E6</f>
        <v>0</v>
      </c>
      <c r="G6" s="112"/>
      <c r="H6" s="112">
        <f>28.2*G6</f>
        <v>0</v>
      </c>
      <c r="I6" s="112"/>
      <c r="J6" s="112">
        <f>18.5*I6</f>
        <v>0</v>
      </c>
      <c r="K6" s="112"/>
      <c r="L6" s="112">
        <f>19.5*K6</f>
        <v>0</v>
      </c>
      <c r="M6" s="112"/>
      <c r="N6" s="111">
        <f>M6*9.75</f>
        <v>0</v>
      </c>
      <c r="O6" s="112"/>
      <c r="P6" s="111">
        <f>O6*48.62</f>
        <v>0</v>
      </c>
      <c r="Q6" s="111"/>
      <c r="R6" s="111">
        <f>241*Q6</f>
        <v>0</v>
      </c>
      <c r="S6" s="112"/>
      <c r="T6" s="112">
        <f>241*S6</f>
        <v>0</v>
      </c>
      <c r="U6" s="112"/>
      <c r="V6" s="112">
        <f>232*U6</f>
        <v>0</v>
      </c>
      <c r="W6" s="112"/>
      <c r="X6" s="19">
        <f>W6*100</f>
        <v>0</v>
      </c>
      <c r="Y6" s="89">
        <f t="shared" ref="Y6:Y11" si="0">D6+F6+H6+J6+L6+N6+P6+R6+T6+V6+X6</f>
        <v>39486.417500000003</v>
      </c>
    </row>
    <row r="7" spans="1:25" ht="31.5" customHeight="1" x14ac:dyDescent="0.25">
      <c r="A7" s="12">
        <v>1984225578</v>
      </c>
      <c r="B7" s="114" t="s">
        <v>72</v>
      </c>
      <c r="C7" s="112">
        <v>32783</v>
      </c>
      <c r="D7" s="111">
        <f t="shared" ref="D7:D11" si="1">0.9725*C7</f>
        <v>31881.467500000002</v>
      </c>
      <c r="E7" s="112"/>
      <c r="F7" s="112">
        <f t="shared" ref="F7:F11" si="2">13.7*E7</f>
        <v>0</v>
      </c>
      <c r="G7" s="112"/>
      <c r="H7" s="112">
        <f t="shared" ref="H7:H11" si="3">28.2*G7</f>
        <v>0</v>
      </c>
      <c r="I7" s="112"/>
      <c r="J7" s="112">
        <f t="shared" ref="J7:J11" si="4">18.5*I7</f>
        <v>0</v>
      </c>
      <c r="K7" s="112"/>
      <c r="L7" s="112">
        <f t="shared" ref="L7:L11" si="5">19.5*K7</f>
        <v>0</v>
      </c>
      <c r="M7" s="112"/>
      <c r="N7" s="111">
        <f t="shared" ref="N7:N11" si="6">M7*9.75</f>
        <v>0</v>
      </c>
      <c r="O7" s="112"/>
      <c r="P7" s="111">
        <f t="shared" ref="P7:P11" si="7">O7*48.62</f>
        <v>0</v>
      </c>
      <c r="Q7" s="111"/>
      <c r="R7" s="111">
        <f t="shared" ref="R7:R11" si="8">241*Q7</f>
        <v>0</v>
      </c>
      <c r="S7" s="112">
        <v>5</v>
      </c>
      <c r="T7" s="112">
        <f t="shared" ref="T7:T11" si="9">241*S7</f>
        <v>1205</v>
      </c>
      <c r="U7" s="112"/>
      <c r="V7" s="112">
        <f t="shared" ref="V7:V11" si="10">232*U7</f>
        <v>0</v>
      </c>
      <c r="W7" s="112"/>
      <c r="X7" s="19">
        <f t="shared" ref="X7:X11" si="11">W7*100</f>
        <v>0</v>
      </c>
      <c r="Y7" s="89">
        <f t="shared" si="0"/>
        <v>33086.467499999999</v>
      </c>
    </row>
    <row r="8" spans="1:25" ht="35.25" customHeight="1" x14ac:dyDescent="0.25">
      <c r="A8" s="12">
        <v>1967020280</v>
      </c>
      <c r="B8" s="114" t="s">
        <v>73</v>
      </c>
      <c r="C8" s="112">
        <v>21764</v>
      </c>
      <c r="D8" s="111">
        <f t="shared" si="1"/>
        <v>21165.49</v>
      </c>
      <c r="E8" s="112"/>
      <c r="F8" s="112">
        <f t="shared" si="2"/>
        <v>0</v>
      </c>
      <c r="G8" s="112"/>
      <c r="H8" s="112">
        <f t="shared" si="3"/>
        <v>0</v>
      </c>
      <c r="I8" s="112"/>
      <c r="J8" s="112">
        <f t="shared" si="4"/>
        <v>0</v>
      </c>
      <c r="K8" s="112"/>
      <c r="L8" s="112">
        <f t="shared" si="5"/>
        <v>0</v>
      </c>
      <c r="M8" s="112"/>
      <c r="N8" s="111">
        <f t="shared" si="6"/>
        <v>0</v>
      </c>
      <c r="O8" s="112"/>
      <c r="P8" s="111">
        <f t="shared" si="7"/>
        <v>0</v>
      </c>
      <c r="Q8" s="111"/>
      <c r="R8" s="111">
        <f t="shared" si="8"/>
        <v>0</v>
      </c>
      <c r="S8" s="112">
        <v>6</v>
      </c>
      <c r="T8" s="112">
        <f t="shared" si="9"/>
        <v>1446</v>
      </c>
      <c r="U8" s="112"/>
      <c r="V8" s="112">
        <f t="shared" si="10"/>
        <v>0</v>
      </c>
      <c r="W8" s="112"/>
      <c r="X8" s="19">
        <f t="shared" si="11"/>
        <v>0</v>
      </c>
      <c r="Y8" s="89">
        <f t="shared" si="0"/>
        <v>22611.49</v>
      </c>
    </row>
    <row r="9" spans="1:25" ht="38.25" customHeight="1" x14ac:dyDescent="0.25">
      <c r="A9" s="12">
        <v>1409935199</v>
      </c>
      <c r="B9" s="114" t="s">
        <v>75</v>
      </c>
      <c r="C9" s="112">
        <v>43905</v>
      </c>
      <c r="D9" s="111">
        <f t="shared" si="1"/>
        <v>42697.612500000003</v>
      </c>
      <c r="E9" s="112"/>
      <c r="F9" s="112">
        <f t="shared" si="2"/>
        <v>0</v>
      </c>
      <c r="G9" s="112"/>
      <c r="H9" s="112">
        <f t="shared" si="3"/>
        <v>0</v>
      </c>
      <c r="I9" s="112"/>
      <c r="J9" s="112">
        <f t="shared" si="4"/>
        <v>0</v>
      </c>
      <c r="K9" s="112"/>
      <c r="L9" s="112">
        <f t="shared" si="5"/>
        <v>0</v>
      </c>
      <c r="M9" s="112"/>
      <c r="N9" s="111">
        <f t="shared" si="6"/>
        <v>0</v>
      </c>
      <c r="O9" s="112"/>
      <c r="P9" s="111">
        <f t="shared" si="7"/>
        <v>0</v>
      </c>
      <c r="Q9" s="111"/>
      <c r="R9" s="111">
        <f t="shared" si="8"/>
        <v>0</v>
      </c>
      <c r="S9" s="112"/>
      <c r="T9" s="112">
        <f t="shared" si="9"/>
        <v>0</v>
      </c>
      <c r="U9" s="112"/>
      <c r="V9" s="112">
        <f t="shared" si="10"/>
        <v>0</v>
      </c>
      <c r="W9" s="112"/>
      <c r="X9" s="19">
        <f t="shared" si="11"/>
        <v>0</v>
      </c>
      <c r="Y9" s="89">
        <f t="shared" si="0"/>
        <v>42697.612500000003</v>
      </c>
    </row>
    <row r="10" spans="1:25" ht="35.25" customHeight="1" x14ac:dyDescent="0.25">
      <c r="A10" s="12">
        <v>1984225580</v>
      </c>
      <c r="C10" s="112"/>
      <c r="D10" s="111">
        <f t="shared" si="1"/>
        <v>0</v>
      </c>
      <c r="E10" s="112"/>
      <c r="F10" s="112">
        <f t="shared" si="2"/>
        <v>0</v>
      </c>
      <c r="G10" s="112"/>
      <c r="H10" s="112">
        <f t="shared" si="3"/>
        <v>0</v>
      </c>
      <c r="I10" s="112"/>
      <c r="J10" s="112">
        <f t="shared" si="4"/>
        <v>0</v>
      </c>
      <c r="K10" s="112"/>
      <c r="L10" s="112">
        <f t="shared" si="5"/>
        <v>0</v>
      </c>
      <c r="M10" s="112"/>
      <c r="N10" s="111">
        <f t="shared" si="6"/>
        <v>0</v>
      </c>
      <c r="O10" s="112"/>
      <c r="P10" s="111">
        <f t="shared" si="7"/>
        <v>0</v>
      </c>
      <c r="Q10" s="111"/>
      <c r="R10" s="111">
        <f t="shared" si="8"/>
        <v>0</v>
      </c>
      <c r="S10" s="112"/>
      <c r="T10" s="112">
        <f t="shared" si="9"/>
        <v>0</v>
      </c>
      <c r="U10" s="112"/>
      <c r="V10" s="112">
        <f t="shared" si="10"/>
        <v>0</v>
      </c>
      <c r="W10" s="112"/>
      <c r="X10" s="19">
        <f t="shared" si="11"/>
        <v>0</v>
      </c>
      <c r="Y10" s="89">
        <f t="shared" si="0"/>
        <v>0</v>
      </c>
    </row>
    <row r="11" spans="1:25" ht="37.5" customHeight="1" x14ac:dyDescent="0.25">
      <c r="A11" s="12"/>
      <c r="B11" s="113"/>
      <c r="C11" s="112"/>
      <c r="D11" s="22">
        <f t="shared" si="1"/>
        <v>0</v>
      </c>
      <c r="E11" s="112"/>
      <c r="F11" s="112">
        <f t="shared" si="2"/>
        <v>0</v>
      </c>
      <c r="G11" s="112"/>
      <c r="H11" s="112">
        <f t="shared" si="3"/>
        <v>0</v>
      </c>
      <c r="I11" s="112"/>
      <c r="J11" s="112">
        <f t="shared" si="4"/>
        <v>0</v>
      </c>
      <c r="K11" s="112"/>
      <c r="L11" s="112">
        <f t="shared" si="5"/>
        <v>0</v>
      </c>
      <c r="M11" s="112"/>
      <c r="N11" s="111">
        <f t="shared" si="6"/>
        <v>0</v>
      </c>
      <c r="O11" s="112"/>
      <c r="P11" s="111">
        <f t="shared" si="7"/>
        <v>0</v>
      </c>
      <c r="Q11" s="111"/>
      <c r="R11" s="111">
        <f t="shared" si="8"/>
        <v>0</v>
      </c>
      <c r="S11" s="112">
        <v>114</v>
      </c>
      <c r="T11" s="112">
        <f t="shared" si="9"/>
        <v>27474</v>
      </c>
      <c r="U11" s="112"/>
      <c r="V11" s="112">
        <f t="shared" si="10"/>
        <v>0</v>
      </c>
      <c r="W11" s="112"/>
      <c r="X11" s="19">
        <f t="shared" si="11"/>
        <v>0</v>
      </c>
      <c r="Y11" s="20">
        <f t="shared" si="0"/>
        <v>27474</v>
      </c>
    </row>
    <row r="12" spans="1:25" ht="29.25" customHeight="1" x14ac:dyDescent="0.25">
      <c r="A12" s="2235" t="s">
        <v>31</v>
      </c>
      <c r="B12" s="2235"/>
      <c r="C12" s="18">
        <f t="shared" ref="C12:Y12" si="12">SUM(C6:C11)</f>
        <v>139055</v>
      </c>
      <c r="D12" s="18">
        <f t="shared" si="12"/>
        <v>135230.98750000002</v>
      </c>
      <c r="E12" s="18">
        <f t="shared" si="12"/>
        <v>0</v>
      </c>
      <c r="F12" s="18">
        <f t="shared" si="12"/>
        <v>0</v>
      </c>
      <c r="G12" s="18">
        <f t="shared" si="12"/>
        <v>0</v>
      </c>
      <c r="H12" s="18">
        <f t="shared" si="12"/>
        <v>0</v>
      </c>
      <c r="I12" s="18">
        <f t="shared" si="12"/>
        <v>0</v>
      </c>
      <c r="J12" s="18">
        <f t="shared" si="12"/>
        <v>0</v>
      </c>
      <c r="K12" s="18">
        <f t="shared" si="12"/>
        <v>0</v>
      </c>
      <c r="L12" s="18">
        <f t="shared" si="12"/>
        <v>0</v>
      </c>
      <c r="M12" s="18">
        <f t="shared" si="12"/>
        <v>0</v>
      </c>
      <c r="N12" s="23">
        <f t="shared" si="12"/>
        <v>0</v>
      </c>
      <c r="O12" s="18">
        <f t="shared" si="12"/>
        <v>0</v>
      </c>
      <c r="P12" s="23">
        <f t="shared" si="12"/>
        <v>0</v>
      </c>
      <c r="Q12" s="23">
        <f t="shared" si="12"/>
        <v>0</v>
      </c>
      <c r="R12" s="23">
        <f>SUM(R6:R11)</f>
        <v>0</v>
      </c>
      <c r="S12" s="18">
        <f t="shared" si="12"/>
        <v>125</v>
      </c>
      <c r="T12" s="18">
        <f t="shared" si="12"/>
        <v>30125</v>
      </c>
      <c r="U12" s="18">
        <f t="shared" si="12"/>
        <v>0</v>
      </c>
      <c r="V12" s="18">
        <f t="shared" si="12"/>
        <v>0</v>
      </c>
      <c r="W12" s="18">
        <f t="shared" si="12"/>
        <v>0</v>
      </c>
      <c r="X12" s="18">
        <f t="shared" si="12"/>
        <v>0</v>
      </c>
      <c r="Y12" s="18">
        <f t="shared" si="12"/>
        <v>165355.98750000002</v>
      </c>
    </row>
    <row r="14" spans="1:25" ht="32.25" customHeight="1" x14ac:dyDescent="0.25">
      <c r="A14" s="30" t="s">
        <v>32</v>
      </c>
      <c r="B14" s="2236" t="s">
        <v>27</v>
      </c>
      <c r="C14" s="2236"/>
      <c r="D14" s="30" t="s">
        <v>33</v>
      </c>
      <c r="E14" s="30" t="s">
        <v>65</v>
      </c>
      <c r="F14" s="30" t="s">
        <v>34</v>
      </c>
      <c r="G14" s="30" t="s">
        <v>13</v>
      </c>
      <c r="H14" s="31" t="s">
        <v>45</v>
      </c>
      <c r="I14" s="30" t="s">
        <v>17</v>
      </c>
      <c r="J14" s="30" t="s">
        <v>66</v>
      </c>
      <c r="K14" s="30" t="s">
        <v>36</v>
      </c>
      <c r="L14" s="30" t="s">
        <v>37</v>
      </c>
      <c r="M14" s="30" t="s">
        <v>69</v>
      </c>
      <c r="N14" s="30" t="s">
        <v>70</v>
      </c>
      <c r="O14" s="86" t="s">
        <v>114</v>
      </c>
      <c r="P14" s="86" t="s">
        <v>99</v>
      </c>
      <c r="Q14" s="2272" t="s">
        <v>150</v>
      </c>
      <c r="R14" s="2272"/>
      <c r="S14" s="86" t="s">
        <v>171</v>
      </c>
      <c r="T14" s="2235" t="s">
        <v>46</v>
      </c>
      <c r="U14" s="114" t="s">
        <v>54</v>
      </c>
      <c r="V14" s="2260">
        <v>5572</v>
      </c>
      <c r="W14" s="2268"/>
      <c r="X14" s="2261"/>
    </row>
    <row r="15" spans="1:25" ht="22.5" customHeight="1" x14ac:dyDescent="0.25">
      <c r="A15" s="100" t="s">
        <v>38</v>
      </c>
      <c r="B15" s="2260">
        <v>276901</v>
      </c>
      <c r="C15" s="2261"/>
      <c r="D15" s="117">
        <v>0</v>
      </c>
      <c r="E15" s="117">
        <v>0</v>
      </c>
      <c r="F15" s="117">
        <v>0</v>
      </c>
      <c r="G15" s="117">
        <v>0</v>
      </c>
      <c r="H15" s="117">
        <v>5</v>
      </c>
      <c r="I15" s="117">
        <v>0</v>
      </c>
      <c r="J15" s="117">
        <v>45</v>
      </c>
      <c r="K15" s="117">
        <v>57</v>
      </c>
      <c r="L15" s="117">
        <v>0</v>
      </c>
      <c r="M15" s="117">
        <v>0</v>
      </c>
      <c r="N15" s="117">
        <v>100</v>
      </c>
      <c r="O15" s="117">
        <v>0</v>
      </c>
      <c r="P15" s="117">
        <v>508</v>
      </c>
      <c r="Q15" s="2262">
        <v>52</v>
      </c>
      <c r="R15" s="2262"/>
      <c r="S15" s="114">
        <v>396</v>
      </c>
      <c r="T15" s="2235"/>
      <c r="U15" s="114" t="s">
        <v>64</v>
      </c>
      <c r="V15" s="2262">
        <v>10339</v>
      </c>
      <c r="W15" s="2262"/>
      <c r="X15" s="2262"/>
    </row>
    <row r="16" spans="1:25" ht="24.75" customHeight="1" x14ac:dyDescent="0.25">
      <c r="A16" s="100" t="s">
        <v>39</v>
      </c>
      <c r="B16" s="2260">
        <v>139055</v>
      </c>
      <c r="C16" s="2261"/>
      <c r="D16" s="117"/>
      <c r="E16" s="117"/>
      <c r="F16" s="117"/>
      <c r="G16" s="117"/>
      <c r="H16" s="117">
        <v>100</v>
      </c>
      <c r="I16" s="117"/>
      <c r="J16" s="117"/>
      <c r="K16" s="117"/>
      <c r="L16" s="117">
        <v>55</v>
      </c>
      <c r="M16" s="117"/>
      <c r="N16" s="117"/>
      <c r="O16" s="117"/>
      <c r="P16" s="117"/>
      <c r="Q16" s="2225"/>
      <c r="R16" s="2225"/>
      <c r="S16" s="113"/>
      <c r="T16" s="2254" t="s">
        <v>55</v>
      </c>
      <c r="U16" s="2254"/>
      <c r="V16" s="2267">
        <f>Y12</f>
        <v>165355.98750000002</v>
      </c>
      <c r="W16" s="2267"/>
      <c r="X16" s="2262"/>
    </row>
    <row r="17" spans="1:25" ht="28.5" customHeight="1" x14ac:dyDescent="0.25">
      <c r="A17" s="101" t="s">
        <v>44</v>
      </c>
      <c r="B17" s="2260"/>
      <c r="C17" s="2261"/>
      <c r="D17" s="117"/>
      <c r="E17" s="117"/>
      <c r="F17" s="117"/>
      <c r="G17" s="117"/>
      <c r="H17" s="117"/>
      <c r="I17" s="117"/>
      <c r="J17" s="117"/>
      <c r="K17" s="117"/>
      <c r="L17" s="117"/>
      <c r="M17" s="117"/>
      <c r="N17" s="117"/>
      <c r="O17" s="117"/>
      <c r="P17" s="117"/>
      <c r="Q17" s="2225"/>
      <c r="R17" s="2225"/>
      <c r="S17" s="113"/>
      <c r="T17" s="2270" t="s">
        <v>107</v>
      </c>
      <c r="U17" s="2271"/>
      <c r="V17" s="2262"/>
      <c r="W17" s="2262"/>
      <c r="X17" s="2262"/>
    </row>
    <row r="18" spans="1:25" ht="27" customHeight="1" x14ac:dyDescent="0.25">
      <c r="A18" s="100" t="s">
        <v>40</v>
      </c>
      <c r="B18" s="2264">
        <f>C12</f>
        <v>139055</v>
      </c>
      <c r="C18" s="2261"/>
      <c r="D18" s="119">
        <f>E12</f>
        <v>0</v>
      </c>
      <c r="E18" s="119">
        <f>G12</f>
        <v>0</v>
      </c>
      <c r="F18" s="119">
        <f>I12</f>
        <v>0</v>
      </c>
      <c r="G18" s="119">
        <f>K12</f>
        <v>0</v>
      </c>
      <c r="H18" s="117">
        <v>80</v>
      </c>
      <c r="I18" s="119">
        <f>U12</f>
        <v>0</v>
      </c>
      <c r="J18" s="117"/>
      <c r="K18" s="119">
        <f>W12</f>
        <v>0</v>
      </c>
      <c r="L18" s="117"/>
      <c r="M18" s="119">
        <f>M12</f>
        <v>0</v>
      </c>
      <c r="N18" s="119"/>
      <c r="O18" s="118">
        <f>Q12</f>
        <v>0</v>
      </c>
      <c r="P18" s="117"/>
      <c r="Q18" s="2225"/>
      <c r="R18" s="2225"/>
      <c r="S18" s="114">
        <v>100</v>
      </c>
      <c r="T18" s="2254" t="s">
        <v>57</v>
      </c>
      <c r="U18" s="2254"/>
      <c r="V18" s="2262">
        <f>450+1060</f>
        <v>1510</v>
      </c>
      <c r="W18" s="2262"/>
      <c r="X18" s="2262"/>
      <c r="Y18" s="2269" t="s">
        <v>170</v>
      </c>
    </row>
    <row r="19" spans="1:25" ht="25.5" customHeight="1" x14ac:dyDescent="0.25">
      <c r="A19" s="100" t="s">
        <v>41</v>
      </c>
      <c r="B19" s="2260">
        <f>B15+B16+B17-B18</f>
        <v>276901</v>
      </c>
      <c r="C19" s="2261"/>
      <c r="D19" s="117">
        <f>D15+D16+D17-D18</f>
        <v>0</v>
      </c>
      <c r="E19" s="117">
        <f t="shared" ref="E19:N19" si="13">E15+E16+E17-E18</f>
        <v>0</v>
      </c>
      <c r="F19" s="117">
        <f t="shared" si="13"/>
        <v>0</v>
      </c>
      <c r="G19" s="117">
        <f t="shared" si="13"/>
        <v>0</v>
      </c>
      <c r="H19" s="117">
        <f t="shared" si="13"/>
        <v>25</v>
      </c>
      <c r="I19" s="117">
        <f t="shared" si="13"/>
        <v>0</v>
      </c>
      <c r="J19" s="117">
        <f t="shared" si="13"/>
        <v>45</v>
      </c>
      <c r="K19" s="117">
        <f t="shared" si="13"/>
        <v>57</v>
      </c>
      <c r="L19" s="117">
        <f t="shared" si="13"/>
        <v>55</v>
      </c>
      <c r="M19" s="117">
        <f t="shared" si="13"/>
        <v>0</v>
      </c>
      <c r="N19" s="117">
        <f t="shared" si="13"/>
        <v>100</v>
      </c>
      <c r="O19" s="117">
        <f>O15+O16+O17-O18</f>
        <v>0</v>
      </c>
      <c r="P19" s="117">
        <f>P15+P16+P17-P18</f>
        <v>508</v>
      </c>
      <c r="Q19" s="2260">
        <f t="shared" ref="Q19" si="14">Q15+Q16+Q17-Q18</f>
        <v>52</v>
      </c>
      <c r="R19" s="2261"/>
      <c r="S19" s="114">
        <f>S15+S16-S17-S18</f>
        <v>296</v>
      </c>
      <c r="T19" s="2256" t="s">
        <v>48</v>
      </c>
      <c r="U19" s="49" t="s">
        <v>58</v>
      </c>
      <c r="V19" s="2262">
        <v>133840</v>
      </c>
      <c r="W19" s="2262"/>
      <c r="X19" s="2262"/>
      <c r="Y19" s="2269"/>
    </row>
    <row r="20" spans="1:25" ht="23.25" customHeight="1" x14ac:dyDescent="0.25">
      <c r="A20" s="11" t="s">
        <v>168</v>
      </c>
      <c r="B20" s="2278">
        <f>B19*0.9625</f>
        <v>266517.21250000002</v>
      </c>
      <c r="C20" s="2279"/>
      <c r="D20" s="113">
        <f>D19*13.56</f>
        <v>0</v>
      </c>
      <c r="E20" s="113">
        <f>28.2*E19</f>
        <v>0</v>
      </c>
      <c r="F20" s="113">
        <f>18.31*F19</f>
        <v>0</v>
      </c>
      <c r="G20" s="113">
        <f>19.3*G19</f>
        <v>0</v>
      </c>
      <c r="H20" s="113">
        <f>241*H19</f>
        <v>6025</v>
      </c>
      <c r="I20" s="113">
        <f>223*I19</f>
        <v>0</v>
      </c>
      <c r="J20" s="113">
        <f>241*J19</f>
        <v>10845</v>
      </c>
      <c r="K20" s="113">
        <f>K19*100</f>
        <v>5700</v>
      </c>
      <c r="L20" s="113">
        <f>241*L19</f>
        <v>13255</v>
      </c>
      <c r="M20" s="113">
        <f>9.65*M19</f>
        <v>0</v>
      </c>
      <c r="N20" s="113">
        <f>N19*48.2</f>
        <v>4820</v>
      </c>
      <c r="O20" s="113">
        <f>241*O19</f>
        <v>0</v>
      </c>
      <c r="P20" s="113">
        <f>241*P19</f>
        <v>122428</v>
      </c>
      <c r="Q20" s="2278">
        <f>241*Q19</f>
        <v>12532</v>
      </c>
      <c r="R20" s="2279"/>
      <c r="S20" s="113">
        <f>241*S19</f>
        <v>71336</v>
      </c>
      <c r="T20" s="2257"/>
      <c r="U20" s="49" t="s">
        <v>59</v>
      </c>
      <c r="V20" s="2262">
        <v>24100</v>
      </c>
      <c r="W20" s="2262"/>
      <c r="X20" s="2262"/>
      <c r="Y20" s="2269"/>
    </row>
    <row r="21" spans="1:25" ht="23.25" customHeight="1" x14ac:dyDescent="0.25">
      <c r="A21" s="15"/>
      <c r="B21" s="10"/>
      <c r="O21" s="10"/>
      <c r="P21" s="10"/>
      <c r="Q21" s="10"/>
      <c r="R21" s="10"/>
      <c r="T21" s="2273" t="s">
        <v>167</v>
      </c>
      <c r="U21" s="2274"/>
      <c r="V21" s="2260"/>
      <c r="W21" s="2268"/>
      <c r="X21" s="2261"/>
      <c r="Y21" s="2269"/>
    </row>
    <row r="22" spans="1:25" ht="35.25" customHeight="1" x14ac:dyDescent="0.25">
      <c r="A22" s="15"/>
      <c r="B22" s="2275" t="s">
        <v>49</v>
      </c>
      <c r="C22" s="2265">
        <v>474290</v>
      </c>
      <c r="D22" s="2265">
        <v>133840</v>
      </c>
      <c r="E22" s="2265">
        <v>133840</v>
      </c>
      <c r="F22" s="2265">
        <f>C22-D22+E22</f>
        <v>474290</v>
      </c>
      <c r="G22" s="10"/>
      <c r="Q22" s="10"/>
      <c r="R22" s="10"/>
      <c r="T22" s="2251" t="s">
        <v>83</v>
      </c>
      <c r="U22" s="50" t="s">
        <v>60</v>
      </c>
      <c r="V22" s="2262">
        <v>133840</v>
      </c>
      <c r="W22" s="2262"/>
      <c r="X22" s="2262"/>
      <c r="Y22" s="2269"/>
    </row>
    <row r="23" spans="1:25" ht="39.75" customHeight="1" x14ac:dyDescent="0.25">
      <c r="A23" s="10"/>
      <c r="B23" s="2276"/>
      <c r="C23" s="2266"/>
      <c r="D23" s="2266"/>
      <c r="E23" s="2266"/>
      <c r="F23" s="2266"/>
      <c r="G23" s="10"/>
      <c r="Q23" s="10"/>
      <c r="R23" s="10"/>
      <c r="T23" s="2252"/>
      <c r="U23" s="50" t="s">
        <v>61</v>
      </c>
      <c r="V23" s="2262">
        <v>133840</v>
      </c>
      <c r="W23" s="2262"/>
      <c r="X23" s="2262"/>
      <c r="Y23" s="2269"/>
    </row>
    <row r="24" spans="1:25" ht="47.25" customHeight="1" x14ac:dyDescent="0.25">
      <c r="A24" s="10"/>
      <c r="B24" s="2277"/>
      <c r="C24" s="114" t="s">
        <v>46</v>
      </c>
      <c r="D24" s="114" t="s">
        <v>50</v>
      </c>
      <c r="E24" s="114" t="s">
        <v>51</v>
      </c>
      <c r="F24" s="114" t="s">
        <v>52</v>
      </c>
      <c r="G24" s="10"/>
      <c r="Q24" s="10"/>
      <c r="R24" s="10"/>
      <c r="T24" s="2235" t="s">
        <v>47</v>
      </c>
      <c r="U24" s="51" t="s">
        <v>62</v>
      </c>
      <c r="V24" s="2263">
        <f>V14+V16+V17-V18-V19-V20-V22+V23-V21</f>
        <v>11477.987500000017</v>
      </c>
      <c r="W24" s="2263"/>
      <c r="X24" s="2263"/>
      <c r="Y24" s="2269"/>
    </row>
    <row r="25" spans="1:25" ht="40.5" customHeight="1" x14ac:dyDescent="0.25">
      <c r="T25" s="2235"/>
      <c r="U25" s="51" t="s">
        <v>63</v>
      </c>
      <c r="V25" s="2262">
        <f>V15+V22-V23</f>
        <v>10339</v>
      </c>
      <c r="W25" s="2262"/>
      <c r="X25" s="2262"/>
    </row>
    <row r="26" spans="1:25" ht="36" customHeight="1" x14ac:dyDescent="0.25"/>
    <row r="32" spans="1:25" x14ac:dyDescent="0.25">
      <c r="I32" s="2280"/>
      <c r="J32" s="2280"/>
      <c r="K32" s="2280"/>
      <c r="L32" s="2280"/>
    </row>
    <row r="33" spans="9:12" x14ac:dyDescent="0.25">
      <c r="I33" s="10"/>
      <c r="J33" s="10"/>
      <c r="K33" s="2280"/>
      <c r="L33" s="2280"/>
    </row>
  </sheetData>
  <mergeCells count="61">
    <mergeCell ref="A1:Y1"/>
    <mergeCell ref="A2:Y2"/>
    <mergeCell ref="T3:Y3"/>
    <mergeCell ref="A4:A5"/>
    <mergeCell ref="B4:B5"/>
    <mergeCell ref="C4:D4"/>
    <mergeCell ref="E4:F4"/>
    <mergeCell ref="G4:H4"/>
    <mergeCell ref="I4:J4"/>
    <mergeCell ref="K4:L4"/>
    <mergeCell ref="Y4:Y5"/>
    <mergeCell ref="M4:N4"/>
    <mergeCell ref="O4:P4"/>
    <mergeCell ref="Q4:R4"/>
    <mergeCell ref="S4:T4"/>
    <mergeCell ref="U4:V4"/>
    <mergeCell ref="W4:X4"/>
    <mergeCell ref="B16:C16"/>
    <mergeCell ref="Q16:R16"/>
    <mergeCell ref="T16:U16"/>
    <mergeCell ref="V16:X16"/>
    <mergeCell ref="A12:B12"/>
    <mergeCell ref="B14:C14"/>
    <mergeCell ref="Q14:R14"/>
    <mergeCell ref="T14:T15"/>
    <mergeCell ref="V14:X14"/>
    <mergeCell ref="B15:C15"/>
    <mergeCell ref="Q15:R15"/>
    <mergeCell ref="V15:X15"/>
    <mergeCell ref="B17:C17"/>
    <mergeCell ref="Q17:R17"/>
    <mergeCell ref="T17:U17"/>
    <mergeCell ref="V17:X17"/>
    <mergeCell ref="B18:C18"/>
    <mergeCell ref="Q18:R18"/>
    <mergeCell ref="T18:U18"/>
    <mergeCell ref="V18:X18"/>
    <mergeCell ref="Y18:Y24"/>
    <mergeCell ref="B19:C19"/>
    <mergeCell ref="Q19:R19"/>
    <mergeCell ref="T19:T20"/>
    <mergeCell ref="V19:X19"/>
    <mergeCell ref="B20:C20"/>
    <mergeCell ref="Q20:R20"/>
    <mergeCell ref="V20:X20"/>
    <mergeCell ref="T21:U21"/>
    <mergeCell ref="V21:X21"/>
    <mergeCell ref="B22:B24"/>
    <mergeCell ref="C22:C23"/>
    <mergeCell ref="D22:D23"/>
    <mergeCell ref="E22:E23"/>
    <mergeCell ref="F22:F23"/>
    <mergeCell ref="T22:T23"/>
    <mergeCell ref="I32:J32"/>
    <mergeCell ref="K32:L32"/>
    <mergeCell ref="K33:L33"/>
    <mergeCell ref="V22:X22"/>
    <mergeCell ref="V23:X23"/>
    <mergeCell ref="T24:T25"/>
    <mergeCell ref="V24:X24"/>
    <mergeCell ref="V25:X25"/>
  </mergeCells>
  <pageMargins left="0.15748031496063" right="0.15748031496063" top="0" bottom="0" header="0" footer="0"/>
  <pageSetup paperSize="9" scale="49" orientation="landscape" r:id="rId1"/>
</worksheet>
</file>

<file path=xl/worksheets/sheet4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C00-000000000000}">
  <sheetPr>
    <pageSetUpPr fitToPage="1"/>
  </sheetPr>
  <dimension ref="A1:Y33"/>
  <sheetViews>
    <sheetView topLeftCell="A11" zoomScale="69" zoomScaleNormal="69" zoomScaleSheetLayoutView="100" workbookViewId="0">
      <selection activeCell="H19" sqref="H19"/>
    </sheetView>
  </sheetViews>
  <sheetFormatPr defaultColWidth="9.140625" defaultRowHeight="15" x14ac:dyDescent="0.25"/>
  <cols>
    <col min="1" max="1" width="18.28515625" style="14" customWidth="1"/>
    <col min="2" max="2" width="10.7109375" style="14" customWidth="1"/>
    <col min="3" max="3" width="12.28515625" style="14" customWidth="1"/>
    <col min="4" max="4" width="11" style="14" customWidth="1"/>
    <col min="5" max="5" width="12" style="14" customWidth="1"/>
    <col min="6" max="6" width="12.5703125" style="14" bestFit="1" customWidth="1"/>
    <col min="7" max="7" width="9.28515625" style="14" bestFit="1" customWidth="1"/>
    <col min="8" max="8" width="10.140625" style="14" bestFit="1" customWidth="1"/>
    <col min="9" max="9" width="10.5703125" style="14" bestFit="1" customWidth="1"/>
    <col min="10" max="10" width="10.5703125" style="14" customWidth="1"/>
    <col min="11" max="11" width="10.28515625" style="14" bestFit="1" customWidth="1"/>
    <col min="12" max="12" width="9.42578125" style="14" bestFit="1" customWidth="1"/>
    <col min="13" max="13" width="9.85546875" style="14" bestFit="1" customWidth="1"/>
    <col min="14" max="14" width="10.140625" style="14" bestFit="1" customWidth="1"/>
    <col min="15" max="15" width="9" style="14" customWidth="1"/>
    <col min="16" max="16" width="12.85546875" style="14" bestFit="1" customWidth="1"/>
    <col min="17" max="18" width="9.42578125" style="14" customWidth="1"/>
    <col min="19" max="19" width="13.7109375" style="14" customWidth="1"/>
    <col min="20" max="20" width="12.140625" style="14" customWidth="1"/>
    <col min="21" max="21" width="19.5703125" style="14" bestFit="1" customWidth="1"/>
    <col min="22" max="22" width="9.85546875" style="14" customWidth="1"/>
    <col min="23" max="23" width="10.140625" style="14" bestFit="1" customWidth="1"/>
    <col min="24" max="24" width="10.28515625" style="14" customWidth="1"/>
    <col min="25" max="25" width="28" style="14" customWidth="1"/>
    <col min="26" max="16384" width="9.140625" style="14"/>
  </cols>
  <sheetData>
    <row r="1" spans="1:25" ht="46.15" customHeight="1" x14ac:dyDescent="0.25">
      <c r="A1" s="2240" t="s">
        <v>148</v>
      </c>
      <c r="B1" s="2240"/>
      <c r="C1" s="2240"/>
      <c r="D1" s="2240"/>
      <c r="E1" s="2240"/>
      <c r="F1" s="2240"/>
      <c r="G1" s="2240"/>
      <c r="H1" s="2240"/>
      <c r="I1" s="2240"/>
      <c r="J1" s="2240"/>
      <c r="K1" s="2240"/>
      <c r="L1" s="2240"/>
      <c r="M1" s="2240"/>
      <c r="N1" s="2240"/>
      <c r="O1" s="2240"/>
      <c r="P1" s="2240"/>
      <c r="Q1" s="2240"/>
      <c r="R1" s="2240"/>
      <c r="S1" s="2240"/>
      <c r="T1" s="2240"/>
      <c r="U1" s="2240"/>
      <c r="V1" s="2240"/>
      <c r="W1" s="2240"/>
      <c r="X1" s="2240"/>
      <c r="Y1" s="2240"/>
    </row>
    <row r="2" spans="1:25" ht="21.6" customHeight="1" x14ac:dyDescent="0.25">
      <c r="A2" s="2241" t="s">
        <v>77</v>
      </c>
      <c r="B2" s="2241"/>
      <c r="C2" s="2241"/>
      <c r="D2" s="2241"/>
      <c r="E2" s="2241"/>
      <c r="F2" s="2241"/>
      <c r="G2" s="2241"/>
      <c r="H2" s="2241"/>
      <c r="I2" s="2241"/>
      <c r="J2" s="2241"/>
      <c r="K2" s="2241"/>
      <c r="L2" s="2241"/>
      <c r="M2" s="2241"/>
      <c r="N2" s="2241"/>
      <c r="O2" s="2241"/>
      <c r="P2" s="2241"/>
      <c r="Q2" s="2241"/>
      <c r="R2" s="2241"/>
      <c r="S2" s="2241"/>
      <c r="T2" s="2241"/>
      <c r="U2" s="2241"/>
      <c r="V2" s="2241"/>
      <c r="W2" s="2241"/>
      <c r="X2" s="2241"/>
      <c r="Y2" s="2241"/>
    </row>
    <row r="3" spans="1:25" ht="21" customHeight="1" x14ac:dyDescent="0.25">
      <c r="A3" s="116"/>
      <c r="B3" s="116"/>
      <c r="C3" s="116"/>
      <c r="D3" s="116"/>
      <c r="E3" s="116"/>
      <c r="F3" s="116"/>
      <c r="G3" s="116"/>
      <c r="H3" s="116"/>
      <c r="I3" s="116"/>
      <c r="J3" s="116"/>
      <c r="K3" s="116"/>
      <c r="L3" s="116"/>
      <c r="M3" s="116"/>
      <c r="N3" s="116"/>
      <c r="O3" s="116"/>
      <c r="P3" s="116"/>
      <c r="Q3" s="116"/>
      <c r="R3" s="116"/>
      <c r="S3" s="116"/>
      <c r="T3" s="2242" t="s">
        <v>172</v>
      </c>
      <c r="U3" s="2242"/>
      <c r="V3" s="2242"/>
      <c r="W3" s="2242"/>
      <c r="X3" s="2242"/>
      <c r="Y3" s="2242"/>
    </row>
    <row r="4" spans="1:25" s="116" customFormat="1" ht="18" customHeight="1" x14ac:dyDescent="0.25">
      <c r="A4" s="2243" t="s">
        <v>25</v>
      </c>
      <c r="B4" s="2243" t="s">
        <v>26</v>
      </c>
      <c r="C4" s="2244" t="s">
        <v>27</v>
      </c>
      <c r="D4" s="2244"/>
      <c r="E4" s="2244" t="s">
        <v>28</v>
      </c>
      <c r="F4" s="2244"/>
      <c r="G4" s="2244" t="s">
        <v>65</v>
      </c>
      <c r="H4" s="2244"/>
      <c r="I4" s="2244" t="s">
        <v>29</v>
      </c>
      <c r="J4" s="2244"/>
      <c r="K4" s="2245" t="s">
        <v>13</v>
      </c>
      <c r="L4" s="2246"/>
      <c r="M4" s="2245" t="s">
        <v>67</v>
      </c>
      <c r="N4" s="2246"/>
      <c r="O4" s="2245" t="s">
        <v>68</v>
      </c>
      <c r="P4" s="2246"/>
      <c r="Q4" s="2245" t="s">
        <v>114</v>
      </c>
      <c r="R4" s="2246"/>
      <c r="S4" s="2244" t="s">
        <v>35</v>
      </c>
      <c r="T4" s="2244"/>
      <c r="U4" s="2245" t="s">
        <v>17</v>
      </c>
      <c r="V4" s="2246"/>
      <c r="W4" s="2247" t="s">
        <v>36</v>
      </c>
      <c r="X4" s="2248"/>
      <c r="Y4" s="2238" t="s">
        <v>30</v>
      </c>
    </row>
    <row r="5" spans="1:25" s="116" customFormat="1" ht="25.5" customHeight="1" x14ac:dyDescent="0.25">
      <c r="A5" s="2243"/>
      <c r="B5" s="2243"/>
      <c r="C5" s="115" t="s">
        <v>42</v>
      </c>
      <c r="D5" s="115" t="s">
        <v>43</v>
      </c>
      <c r="E5" s="115" t="s">
        <v>42</v>
      </c>
      <c r="F5" s="115" t="s">
        <v>43</v>
      </c>
      <c r="G5" s="115" t="s">
        <v>42</v>
      </c>
      <c r="H5" s="115" t="s">
        <v>43</v>
      </c>
      <c r="I5" s="115" t="s">
        <v>42</v>
      </c>
      <c r="J5" s="115" t="s">
        <v>43</v>
      </c>
      <c r="K5" s="115" t="s">
        <v>42</v>
      </c>
      <c r="L5" s="115" t="s">
        <v>43</v>
      </c>
      <c r="M5" s="115" t="s">
        <v>42</v>
      </c>
      <c r="N5" s="115" t="s">
        <v>43</v>
      </c>
      <c r="O5" s="115" t="s">
        <v>42</v>
      </c>
      <c r="P5" s="115" t="s">
        <v>43</v>
      </c>
      <c r="Q5" s="115" t="s">
        <v>42</v>
      </c>
      <c r="R5" s="115" t="s">
        <v>43</v>
      </c>
      <c r="S5" s="33" t="s">
        <v>42</v>
      </c>
      <c r="T5" s="33" t="s">
        <v>43</v>
      </c>
      <c r="U5" s="30" t="s">
        <v>42</v>
      </c>
      <c r="V5" s="30" t="s">
        <v>43</v>
      </c>
      <c r="W5" s="30" t="s">
        <v>42</v>
      </c>
      <c r="X5" s="30" t="s">
        <v>43</v>
      </c>
      <c r="Y5" s="2239"/>
    </row>
    <row r="6" spans="1:25" ht="34.5" customHeight="1" x14ac:dyDescent="0.25">
      <c r="A6" s="12">
        <v>1409935200</v>
      </c>
      <c r="B6" s="114" t="s">
        <v>71</v>
      </c>
      <c r="C6" s="112">
        <v>34944</v>
      </c>
      <c r="D6" s="111">
        <f>0.9725*C6</f>
        <v>33983.040000000001</v>
      </c>
      <c r="E6" s="112"/>
      <c r="F6" s="112">
        <f>13.7*E6</f>
        <v>0</v>
      </c>
      <c r="G6" s="112"/>
      <c r="H6" s="112">
        <f>28.2*G6</f>
        <v>0</v>
      </c>
      <c r="I6" s="112"/>
      <c r="J6" s="112">
        <f>18.5*I6</f>
        <v>0</v>
      </c>
      <c r="K6" s="112"/>
      <c r="L6" s="112">
        <f>19.5*K6</f>
        <v>0</v>
      </c>
      <c r="M6" s="112"/>
      <c r="N6" s="111">
        <f>M6*9.75</f>
        <v>0</v>
      </c>
      <c r="O6" s="112"/>
      <c r="P6" s="111">
        <f>O6*48.62</f>
        <v>0</v>
      </c>
      <c r="Q6" s="111"/>
      <c r="R6" s="111">
        <f>241*Q6</f>
        <v>0</v>
      </c>
      <c r="S6" s="112"/>
      <c r="T6" s="112">
        <f>241*S6</f>
        <v>0</v>
      </c>
      <c r="U6" s="112"/>
      <c r="V6" s="112">
        <f>232*U6</f>
        <v>0</v>
      </c>
      <c r="W6" s="112"/>
      <c r="X6" s="19">
        <f>W6*100</f>
        <v>0</v>
      </c>
      <c r="Y6" s="89">
        <f t="shared" ref="Y6:Y11" si="0">D6+F6+H6+J6+L6+N6+P6+R6+T6+V6+X6</f>
        <v>33983.040000000001</v>
      </c>
    </row>
    <row r="7" spans="1:25" ht="31.5" customHeight="1" x14ac:dyDescent="0.25">
      <c r="A7" s="12">
        <v>1984225578</v>
      </c>
      <c r="B7" s="114" t="s">
        <v>72</v>
      </c>
      <c r="C7" s="112">
        <v>29495</v>
      </c>
      <c r="D7" s="111">
        <f t="shared" ref="D7:D11" si="1">0.9725*C7</f>
        <v>28683.887500000001</v>
      </c>
      <c r="E7" s="112"/>
      <c r="F7" s="112">
        <f t="shared" ref="F7:F11" si="2">13.7*E7</f>
        <v>0</v>
      </c>
      <c r="G7" s="112"/>
      <c r="H7" s="112">
        <f t="shared" ref="H7:H11" si="3">28.2*G7</f>
        <v>0</v>
      </c>
      <c r="I7" s="112"/>
      <c r="J7" s="112">
        <f t="shared" ref="J7:J11" si="4">18.5*I7</f>
        <v>0</v>
      </c>
      <c r="K7" s="112"/>
      <c r="L7" s="112">
        <f t="shared" ref="L7:L11" si="5">19.5*K7</f>
        <v>0</v>
      </c>
      <c r="M7" s="112"/>
      <c r="N7" s="111">
        <f t="shared" ref="N7:N11" si="6">M7*9.75</f>
        <v>0</v>
      </c>
      <c r="O7" s="112"/>
      <c r="P7" s="111">
        <f t="shared" ref="P7:P11" si="7">O7*48.62</f>
        <v>0</v>
      </c>
      <c r="Q7" s="111"/>
      <c r="R7" s="111">
        <f t="shared" ref="R7:R11" si="8">241*Q7</f>
        <v>0</v>
      </c>
      <c r="S7" s="112"/>
      <c r="T7" s="112">
        <f t="shared" ref="T7:T11" si="9">241*S7</f>
        <v>0</v>
      </c>
      <c r="U7" s="112"/>
      <c r="V7" s="112">
        <f t="shared" ref="V7:V11" si="10">232*U7</f>
        <v>0</v>
      </c>
      <c r="W7" s="112"/>
      <c r="X7" s="19">
        <f t="shared" ref="X7:X11" si="11">W7*100</f>
        <v>0</v>
      </c>
      <c r="Y7" s="89">
        <f t="shared" si="0"/>
        <v>28683.887500000001</v>
      </c>
    </row>
    <row r="8" spans="1:25" ht="35.25" customHeight="1" x14ac:dyDescent="0.25">
      <c r="A8" s="12">
        <v>1967020280</v>
      </c>
      <c r="B8" s="114" t="s">
        <v>73</v>
      </c>
      <c r="C8" s="112">
        <v>29086</v>
      </c>
      <c r="D8" s="111">
        <f t="shared" si="1"/>
        <v>28286.135000000002</v>
      </c>
      <c r="E8" s="112"/>
      <c r="F8" s="112">
        <f t="shared" si="2"/>
        <v>0</v>
      </c>
      <c r="G8" s="112"/>
      <c r="H8" s="112">
        <f t="shared" si="3"/>
        <v>0</v>
      </c>
      <c r="I8" s="112"/>
      <c r="J8" s="112">
        <f t="shared" si="4"/>
        <v>0</v>
      </c>
      <c r="K8" s="112"/>
      <c r="L8" s="112">
        <f t="shared" si="5"/>
        <v>0</v>
      </c>
      <c r="M8" s="112"/>
      <c r="N8" s="111">
        <f t="shared" si="6"/>
        <v>0</v>
      </c>
      <c r="O8" s="112"/>
      <c r="P8" s="111">
        <f t="shared" si="7"/>
        <v>0</v>
      </c>
      <c r="Q8" s="111"/>
      <c r="R8" s="111">
        <f t="shared" si="8"/>
        <v>0</v>
      </c>
      <c r="S8" s="112"/>
      <c r="T8" s="112">
        <f t="shared" si="9"/>
        <v>0</v>
      </c>
      <c r="U8" s="112"/>
      <c r="V8" s="112">
        <f t="shared" si="10"/>
        <v>0</v>
      </c>
      <c r="W8" s="112"/>
      <c r="X8" s="19">
        <f t="shared" si="11"/>
        <v>0</v>
      </c>
      <c r="Y8" s="89">
        <f t="shared" si="0"/>
        <v>28286.135000000002</v>
      </c>
    </row>
    <row r="9" spans="1:25" ht="38.25" customHeight="1" x14ac:dyDescent="0.25">
      <c r="A9" s="12">
        <v>1409935199</v>
      </c>
      <c r="B9" s="114" t="s">
        <v>75</v>
      </c>
      <c r="C9" s="112">
        <v>15628</v>
      </c>
      <c r="D9" s="111">
        <f t="shared" si="1"/>
        <v>15198.230000000001</v>
      </c>
      <c r="E9" s="112"/>
      <c r="F9" s="112">
        <f t="shared" si="2"/>
        <v>0</v>
      </c>
      <c r="G9" s="112"/>
      <c r="H9" s="112">
        <f t="shared" si="3"/>
        <v>0</v>
      </c>
      <c r="I9" s="112"/>
      <c r="J9" s="112">
        <f t="shared" si="4"/>
        <v>0</v>
      </c>
      <c r="K9" s="112"/>
      <c r="L9" s="112">
        <f t="shared" si="5"/>
        <v>0</v>
      </c>
      <c r="M9" s="112"/>
      <c r="N9" s="111">
        <f t="shared" si="6"/>
        <v>0</v>
      </c>
      <c r="O9" s="112"/>
      <c r="P9" s="111">
        <f t="shared" si="7"/>
        <v>0</v>
      </c>
      <c r="Q9" s="111"/>
      <c r="R9" s="111">
        <f t="shared" si="8"/>
        <v>0</v>
      </c>
      <c r="S9" s="112"/>
      <c r="T9" s="112">
        <f t="shared" si="9"/>
        <v>0</v>
      </c>
      <c r="U9" s="112"/>
      <c r="V9" s="112">
        <f t="shared" si="10"/>
        <v>0</v>
      </c>
      <c r="W9" s="112"/>
      <c r="X9" s="19">
        <f t="shared" si="11"/>
        <v>0</v>
      </c>
      <c r="Y9" s="89">
        <f t="shared" si="0"/>
        <v>15198.230000000001</v>
      </c>
    </row>
    <row r="10" spans="1:25" ht="35.25" customHeight="1" x14ac:dyDescent="0.25">
      <c r="A10" s="12">
        <v>1984225580</v>
      </c>
      <c r="C10" s="112"/>
      <c r="D10" s="111">
        <f t="shared" si="1"/>
        <v>0</v>
      </c>
      <c r="E10" s="112"/>
      <c r="F10" s="112">
        <f t="shared" si="2"/>
        <v>0</v>
      </c>
      <c r="G10" s="112"/>
      <c r="H10" s="112">
        <f t="shared" si="3"/>
        <v>0</v>
      </c>
      <c r="I10" s="112"/>
      <c r="J10" s="112">
        <f t="shared" si="4"/>
        <v>0</v>
      </c>
      <c r="K10" s="112"/>
      <c r="L10" s="112">
        <f t="shared" si="5"/>
        <v>0</v>
      </c>
      <c r="M10" s="112"/>
      <c r="N10" s="111">
        <f t="shared" si="6"/>
        <v>0</v>
      </c>
      <c r="O10" s="112"/>
      <c r="P10" s="111">
        <f t="shared" si="7"/>
        <v>0</v>
      </c>
      <c r="Q10" s="111"/>
      <c r="R10" s="111">
        <f t="shared" si="8"/>
        <v>0</v>
      </c>
      <c r="S10" s="112"/>
      <c r="T10" s="112">
        <f t="shared" si="9"/>
        <v>0</v>
      </c>
      <c r="U10" s="112"/>
      <c r="V10" s="112">
        <f t="shared" si="10"/>
        <v>0</v>
      </c>
      <c r="W10" s="112"/>
      <c r="X10" s="19">
        <f t="shared" si="11"/>
        <v>0</v>
      </c>
      <c r="Y10" s="89">
        <f t="shared" si="0"/>
        <v>0</v>
      </c>
    </row>
    <row r="11" spans="1:25" ht="37.5" customHeight="1" x14ac:dyDescent="0.25">
      <c r="A11" s="12"/>
      <c r="B11" s="113"/>
      <c r="C11" s="112"/>
      <c r="D11" s="22">
        <f t="shared" si="1"/>
        <v>0</v>
      </c>
      <c r="E11" s="112"/>
      <c r="F11" s="112">
        <f t="shared" si="2"/>
        <v>0</v>
      </c>
      <c r="G11" s="112"/>
      <c r="H11" s="112">
        <f t="shared" si="3"/>
        <v>0</v>
      </c>
      <c r="I11" s="112"/>
      <c r="J11" s="112">
        <f t="shared" si="4"/>
        <v>0</v>
      </c>
      <c r="K11" s="112"/>
      <c r="L11" s="112">
        <f t="shared" si="5"/>
        <v>0</v>
      </c>
      <c r="M11" s="112"/>
      <c r="N11" s="111">
        <f t="shared" si="6"/>
        <v>0</v>
      </c>
      <c r="O11" s="112"/>
      <c r="P11" s="111">
        <f t="shared" si="7"/>
        <v>0</v>
      </c>
      <c r="Q11" s="111"/>
      <c r="R11" s="111">
        <f t="shared" si="8"/>
        <v>0</v>
      </c>
      <c r="S11" s="112"/>
      <c r="T11" s="112">
        <f t="shared" si="9"/>
        <v>0</v>
      </c>
      <c r="U11" s="112"/>
      <c r="V11" s="112">
        <f t="shared" si="10"/>
        <v>0</v>
      </c>
      <c r="W11" s="112"/>
      <c r="X11" s="19">
        <f t="shared" si="11"/>
        <v>0</v>
      </c>
      <c r="Y11" s="20">
        <f t="shared" si="0"/>
        <v>0</v>
      </c>
    </row>
    <row r="12" spans="1:25" ht="29.25" customHeight="1" x14ac:dyDescent="0.25">
      <c r="A12" s="2235" t="s">
        <v>31</v>
      </c>
      <c r="B12" s="2235"/>
      <c r="C12" s="18">
        <f t="shared" ref="C12:Y12" si="12">SUM(C6:C11)</f>
        <v>109153</v>
      </c>
      <c r="D12" s="18">
        <f t="shared" si="12"/>
        <v>106151.2925</v>
      </c>
      <c r="E12" s="18">
        <f t="shared" si="12"/>
        <v>0</v>
      </c>
      <c r="F12" s="18">
        <f t="shared" si="12"/>
        <v>0</v>
      </c>
      <c r="G12" s="18">
        <f t="shared" si="12"/>
        <v>0</v>
      </c>
      <c r="H12" s="18">
        <f t="shared" si="12"/>
        <v>0</v>
      </c>
      <c r="I12" s="18">
        <f t="shared" si="12"/>
        <v>0</v>
      </c>
      <c r="J12" s="18">
        <f t="shared" si="12"/>
        <v>0</v>
      </c>
      <c r="K12" s="18">
        <f t="shared" si="12"/>
        <v>0</v>
      </c>
      <c r="L12" s="18">
        <f t="shared" si="12"/>
        <v>0</v>
      </c>
      <c r="M12" s="18">
        <f t="shared" si="12"/>
        <v>0</v>
      </c>
      <c r="N12" s="23">
        <f t="shared" si="12"/>
        <v>0</v>
      </c>
      <c r="O12" s="18">
        <f t="shared" si="12"/>
        <v>0</v>
      </c>
      <c r="P12" s="23">
        <f t="shared" si="12"/>
        <v>0</v>
      </c>
      <c r="Q12" s="23">
        <f t="shared" si="12"/>
        <v>0</v>
      </c>
      <c r="R12" s="23">
        <f>SUM(R6:R11)</f>
        <v>0</v>
      </c>
      <c r="S12" s="18">
        <f t="shared" si="12"/>
        <v>0</v>
      </c>
      <c r="T12" s="18">
        <f t="shared" si="12"/>
        <v>0</v>
      </c>
      <c r="U12" s="18">
        <f t="shared" si="12"/>
        <v>0</v>
      </c>
      <c r="V12" s="18">
        <f t="shared" si="12"/>
        <v>0</v>
      </c>
      <c r="W12" s="18">
        <f t="shared" si="12"/>
        <v>0</v>
      </c>
      <c r="X12" s="18">
        <f t="shared" si="12"/>
        <v>0</v>
      </c>
      <c r="Y12" s="18">
        <f t="shared" si="12"/>
        <v>106151.2925</v>
      </c>
    </row>
    <row r="14" spans="1:25" ht="32.25" customHeight="1" x14ac:dyDescent="0.25">
      <c r="A14" s="30" t="s">
        <v>32</v>
      </c>
      <c r="B14" s="2236" t="s">
        <v>27</v>
      </c>
      <c r="C14" s="2236"/>
      <c r="D14" s="30" t="s">
        <v>33</v>
      </c>
      <c r="E14" s="30" t="s">
        <v>65</v>
      </c>
      <c r="F14" s="30" t="s">
        <v>34</v>
      </c>
      <c r="G14" s="30" t="s">
        <v>13</v>
      </c>
      <c r="H14" s="31" t="s">
        <v>173</v>
      </c>
      <c r="I14" s="30" t="s">
        <v>17</v>
      </c>
      <c r="J14" s="30" t="s">
        <v>174</v>
      </c>
      <c r="K14" s="30" t="s">
        <v>36</v>
      </c>
      <c r="L14" s="30" t="s">
        <v>175</v>
      </c>
      <c r="M14" s="30" t="s">
        <v>69</v>
      </c>
      <c r="N14" s="30" t="s">
        <v>70</v>
      </c>
      <c r="O14" s="86" t="s">
        <v>114</v>
      </c>
      <c r="P14" s="86" t="s">
        <v>99</v>
      </c>
      <c r="Q14" s="2272" t="s">
        <v>150</v>
      </c>
      <c r="R14" s="2272"/>
      <c r="S14" s="86" t="s">
        <v>171</v>
      </c>
      <c r="T14" s="2235" t="s">
        <v>46</v>
      </c>
      <c r="U14" s="114" t="s">
        <v>176</v>
      </c>
      <c r="V14" s="2260">
        <v>11478</v>
      </c>
      <c r="W14" s="2268"/>
      <c r="X14" s="2261"/>
    </row>
    <row r="15" spans="1:25" ht="22.5" customHeight="1" x14ac:dyDescent="0.25">
      <c r="A15" s="100" t="s">
        <v>38</v>
      </c>
      <c r="B15" s="2260">
        <v>276901</v>
      </c>
      <c r="C15" s="2261"/>
      <c r="D15" s="117">
        <v>0</v>
      </c>
      <c r="E15" s="117">
        <v>0</v>
      </c>
      <c r="F15" s="117">
        <v>0</v>
      </c>
      <c r="G15" s="117">
        <v>0</v>
      </c>
      <c r="H15" s="117">
        <v>25</v>
      </c>
      <c r="I15" s="117">
        <v>0</v>
      </c>
      <c r="J15" s="117">
        <v>45</v>
      </c>
      <c r="K15" s="117">
        <v>57</v>
      </c>
      <c r="L15" s="117">
        <v>55</v>
      </c>
      <c r="M15" s="117">
        <v>0</v>
      </c>
      <c r="N15" s="117">
        <v>100</v>
      </c>
      <c r="O15" s="117">
        <v>0</v>
      </c>
      <c r="P15" s="117">
        <v>508</v>
      </c>
      <c r="Q15" s="2262">
        <v>52</v>
      </c>
      <c r="R15" s="2262"/>
      <c r="S15" s="114">
        <v>296</v>
      </c>
      <c r="T15" s="2235"/>
      <c r="U15" s="114" t="s">
        <v>64</v>
      </c>
      <c r="V15" s="2262">
        <v>10339</v>
      </c>
      <c r="W15" s="2262"/>
      <c r="X15" s="2262"/>
    </row>
    <row r="16" spans="1:25" ht="24.75" customHeight="1" x14ac:dyDescent="0.25">
      <c r="A16" s="100" t="s">
        <v>39</v>
      </c>
      <c r="B16" s="2260">
        <v>114285</v>
      </c>
      <c r="C16" s="2261"/>
      <c r="D16" s="117"/>
      <c r="E16" s="117"/>
      <c r="F16" s="117"/>
      <c r="G16" s="117"/>
      <c r="H16" s="117"/>
      <c r="I16" s="117"/>
      <c r="J16" s="117">
        <v>20</v>
      </c>
      <c r="K16" s="117"/>
      <c r="L16" s="117"/>
      <c r="M16" s="117"/>
      <c r="N16" s="117"/>
      <c r="O16" s="117"/>
      <c r="P16" s="117"/>
      <c r="Q16" s="2225"/>
      <c r="R16" s="2225"/>
      <c r="S16" s="113"/>
      <c r="T16" s="2254" t="s">
        <v>55</v>
      </c>
      <c r="U16" s="2254"/>
      <c r="V16" s="2267">
        <f>Y12</f>
        <v>106151.2925</v>
      </c>
      <c r="W16" s="2267"/>
      <c r="X16" s="2262"/>
    </row>
    <row r="17" spans="1:25" ht="28.5" customHeight="1" x14ac:dyDescent="0.25">
      <c r="A17" s="101" t="s">
        <v>44</v>
      </c>
      <c r="B17" s="2260"/>
      <c r="C17" s="2261"/>
      <c r="D17" s="117"/>
      <c r="E17" s="117"/>
      <c r="F17" s="117"/>
      <c r="G17" s="117"/>
      <c r="H17" s="117"/>
      <c r="I17" s="117"/>
      <c r="J17" s="117"/>
      <c r="K17" s="117"/>
      <c r="L17" s="117"/>
      <c r="M17" s="117"/>
      <c r="N17" s="117"/>
      <c r="O17" s="117"/>
      <c r="P17" s="117"/>
      <c r="Q17" s="2225"/>
      <c r="R17" s="2225"/>
      <c r="S17" s="113"/>
      <c r="T17" s="2270" t="s">
        <v>87</v>
      </c>
      <c r="U17" s="2271"/>
      <c r="V17" s="2262">
        <v>80000</v>
      </c>
      <c r="W17" s="2262"/>
      <c r="X17" s="2262"/>
    </row>
    <row r="18" spans="1:25" ht="27" customHeight="1" x14ac:dyDescent="0.25">
      <c r="A18" s="100" t="s">
        <v>40</v>
      </c>
      <c r="B18" s="2264">
        <f>C12</f>
        <v>109153</v>
      </c>
      <c r="C18" s="2261"/>
      <c r="D18" s="119">
        <f>E12</f>
        <v>0</v>
      </c>
      <c r="E18" s="119">
        <f>G12</f>
        <v>0</v>
      </c>
      <c r="F18" s="119">
        <f>I12</f>
        <v>0</v>
      </c>
      <c r="G18" s="119">
        <f>K12</f>
        <v>0</v>
      </c>
      <c r="H18" s="117">
        <v>20</v>
      </c>
      <c r="I18" s="119">
        <f>U12</f>
        <v>0</v>
      </c>
      <c r="J18" s="117"/>
      <c r="K18" s="119">
        <f>W12</f>
        <v>0</v>
      </c>
      <c r="L18" s="117"/>
      <c r="M18" s="119">
        <f>M12</f>
        <v>0</v>
      </c>
      <c r="N18" s="119"/>
      <c r="O18" s="118">
        <f>Q12</f>
        <v>0</v>
      </c>
      <c r="P18" s="117"/>
      <c r="Q18" s="2225"/>
      <c r="R18" s="2225"/>
      <c r="S18" s="114"/>
      <c r="T18" s="2254" t="s">
        <v>57</v>
      </c>
      <c r="U18" s="2254"/>
      <c r="V18" s="2262">
        <v>450</v>
      </c>
      <c r="W18" s="2262"/>
      <c r="X18" s="2262"/>
      <c r="Y18" s="2269" t="s">
        <v>103</v>
      </c>
    </row>
    <row r="19" spans="1:25" ht="25.5" customHeight="1" x14ac:dyDescent="0.25">
      <c r="A19" s="100" t="s">
        <v>41</v>
      </c>
      <c r="B19" s="2260">
        <f>B15+B16+B17-B18</f>
        <v>282033</v>
      </c>
      <c r="C19" s="2261"/>
      <c r="D19" s="117">
        <f>D15+D16+D17-D18</f>
        <v>0</v>
      </c>
      <c r="E19" s="117">
        <f t="shared" ref="E19:N19" si="13">E15+E16+E17-E18</f>
        <v>0</v>
      </c>
      <c r="F19" s="117">
        <f t="shared" si="13"/>
        <v>0</v>
      </c>
      <c r="G19" s="117">
        <f t="shared" si="13"/>
        <v>0</v>
      </c>
      <c r="H19" s="117">
        <f t="shared" si="13"/>
        <v>5</v>
      </c>
      <c r="I19" s="117">
        <f t="shared" si="13"/>
        <v>0</v>
      </c>
      <c r="J19" s="117">
        <f t="shared" si="13"/>
        <v>65</v>
      </c>
      <c r="K19" s="117">
        <f t="shared" si="13"/>
        <v>57</v>
      </c>
      <c r="L19" s="117">
        <f t="shared" si="13"/>
        <v>55</v>
      </c>
      <c r="M19" s="117">
        <f t="shared" si="13"/>
        <v>0</v>
      </c>
      <c r="N19" s="117">
        <f t="shared" si="13"/>
        <v>100</v>
      </c>
      <c r="O19" s="117">
        <f>O15+O16+O17-O18</f>
        <v>0</v>
      </c>
      <c r="P19" s="117">
        <f>P15+P16+P17-P18</f>
        <v>508</v>
      </c>
      <c r="Q19" s="2260">
        <f t="shared" ref="Q19" si="14">Q15+Q16+Q17-Q18</f>
        <v>52</v>
      </c>
      <c r="R19" s="2261"/>
      <c r="S19" s="114">
        <f>S15+S16-S17-S18</f>
        <v>296</v>
      </c>
      <c r="T19" s="2256" t="s">
        <v>48</v>
      </c>
      <c r="U19" s="49" t="s">
        <v>58</v>
      </c>
      <c r="V19" s="2262">
        <v>196500</v>
      </c>
      <c r="W19" s="2262"/>
      <c r="X19" s="2262"/>
      <c r="Y19" s="2269"/>
    </row>
    <row r="20" spans="1:25" ht="23.25" customHeight="1" x14ac:dyDescent="0.25">
      <c r="A20" s="11" t="s">
        <v>168</v>
      </c>
      <c r="B20" s="2278">
        <f>B19*0.9625</f>
        <v>271456.76250000001</v>
      </c>
      <c r="C20" s="2279"/>
      <c r="D20" s="113">
        <f>D19*13.56</f>
        <v>0</v>
      </c>
      <c r="E20" s="113">
        <f>28.2*E19</f>
        <v>0</v>
      </c>
      <c r="F20" s="113">
        <f>18.31*F19</f>
        <v>0</v>
      </c>
      <c r="G20" s="113">
        <f>19.3*G19</f>
        <v>0</v>
      </c>
      <c r="H20" s="113">
        <f>241*H19</f>
        <v>1205</v>
      </c>
      <c r="I20" s="113">
        <f>223*I19</f>
        <v>0</v>
      </c>
      <c r="J20" s="113">
        <f>241*J19</f>
        <v>15665</v>
      </c>
      <c r="K20" s="113">
        <f>K19*100</f>
        <v>5700</v>
      </c>
      <c r="L20" s="113">
        <f>241*L19</f>
        <v>13255</v>
      </c>
      <c r="M20" s="113">
        <f>9.65*M19</f>
        <v>0</v>
      </c>
      <c r="N20" s="113">
        <f>N19*48.2</f>
        <v>4820</v>
      </c>
      <c r="O20" s="113">
        <f>241*O19</f>
        <v>0</v>
      </c>
      <c r="P20" s="113">
        <f>241*P19</f>
        <v>122428</v>
      </c>
      <c r="Q20" s="2278">
        <f>241*Q19</f>
        <v>12532</v>
      </c>
      <c r="R20" s="2279"/>
      <c r="S20" s="113">
        <f>241*S19</f>
        <v>71336</v>
      </c>
      <c r="T20" s="2257"/>
      <c r="U20" s="49" t="s">
        <v>59</v>
      </c>
      <c r="V20" s="2262"/>
      <c r="W20" s="2262"/>
      <c r="X20" s="2262"/>
      <c r="Y20" s="2269"/>
    </row>
    <row r="21" spans="1:25" ht="23.25" customHeight="1" x14ac:dyDescent="0.25">
      <c r="A21" s="15"/>
      <c r="B21" s="10"/>
      <c r="O21" s="10"/>
      <c r="P21" s="10"/>
      <c r="Q21" s="10"/>
      <c r="R21" s="10"/>
      <c r="T21" s="2273" t="s">
        <v>167</v>
      </c>
      <c r="U21" s="2274"/>
      <c r="V21" s="2260"/>
      <c r="W21" s="2268"/>
      <c r="X21" s="2261"/>
      <c r="Y21" s="2269"/>
    </row>
    <row r="22" spans="1:25" ht="35.25" customHeight="1" x14ac:dyDescent="0.25">
      <c r="A22" s="15"/>
      <c r="B22" s="2275" t="s">
        <v>49</v>
      </c>
      <c r="C22" s="2265">
        <v>474290</v>
      </c>
      <c r="D22" s="2265">
        <v>196500</v>
      </c>
      <c r="E22" s="2265">
        <v>110000</v>
      </c>
      <c r="F22" s="2265">
        <f>C22-D22+E22</f>
        <v>387790</v>
      </c>
      <c r="G22" s="10"/>
      <c r="Q22" s="10"/>
      <c r="R22" s="10"/>
      <c r="T22" s="2251" t="s">
        <v>83</v>
      </c>
      <c r="U22" s="50" t="s">
        <v>60</v>
      </c>
      <c r="V22" s="2262">
        <v>113210</v>
      </c>
      <c r="W22" s="2262"/>
      <c r="X22" s="2262"/>
      <c r="Y22" s="2269"/>
    </row>
    <row r="23" spans="1:25" ht="39.75" customHeight="1" x14ac:dyDescent="0.25">
      <c r="A23" s="10"/>
      <c r="B23" s="2276"/>
      <c r="C23" s="2266"/>
      <c r="D23" s="2266"/>
      <c r="E23" s="2266"/>
      <c r="F23" s="2266"/>
      <c r="G23" s="10"/>
      <c r="Q23" s="10"/>
      <c r="R23" s="10"/>
      <c r="T23" s="2252"/>
      <c r="U23" s="50" t="s">
        <v>61</v>
      </c>
      <c r="V23" s="2262">
        <v>116500</v>
      </c>
      <c r="W23" s="2262"/>
      <c r="X23" s="2262"/>
      <c r="Y23" s="2269"/>
    </row>
    <row r="24" spans="1:25" ht="47.25" customHeight="1" x14ac:dyDescent="0.25">
      <c r="A24" s="10"/>
      <c r="B24" s="2277"/>
      <c r="C24" s="114" t="s">
        <v>46</v>
      </c>
      <c r="D24" s="114" t="s">
        <v>50</v>
      </c>
      <c r="E24" s="114" t="s">
        <v>51</v>
      </c>
      <c r="F24" s="114" t="s">
        <v>52</v>
      </c>
      <c r="G24" s="10"/>
      <c r="Q24" s="10"/>
      <c r="R24" s="10"/>
      <c r="T24" s="2235" t="s">
        <v>47</v>
      </c>
      <c r="U24" s="51" t="s">
        <v>62</v>
      </c>
      <c r="V24" s="2263">
        <f>V14+V16+V17-V18-V19-V20-V22+V23-V21</f>
        <v>3969.2924999999814</v>
      </c>
      <c r="W24" s="2263"/>
      <c r="X24" s="2263"/>
      <c r="Y24" s="2269"/>
    </row>
    <row r="25" spans="1:25" ht="40.5" customHeight="1" x14ac:dyDescent="0.25">
      <c r="T25" s="2235"/>
      <c r="U25" s="51" t="s">
        <v>63</v>
      </c>
      <c r="V25" s="2262">
        <f>V15+V22-V23</f>
        <v>7049</v>
      </c>
      <c r="W25" s="2262"/>
      <c r="X25" s="2262"/>
    </row>
    <row r="26" spans="1:25" ht="36" customHeight="1" x14ac:dyDescent="0.25"/>
    <row r="32" spans="1:25" x14ac:dyDescent="0.25">
      <c r="I32" s="2280"/>
      <c r="J32" s="2280"/>
      <c r="K32" s="2280"/>
      <c r="L32" s="2280"/>
    </row>
    <row r="33" spans="9:12" x14ac:dyDescent="0.25">
      <c r="I33" s="10"/>
      <c r="J33" s="10"/>
      <c r="K33" s="2280"/>
      <c r="L33" s="2280"/>
    </row>
  </sheetData>
  <mergeCells count="61">
    <mergeCell ref="A1:Y1"/>
    <mergeCell ref="A2:Y2"/>
    <mergeCell ref="T3:Y3"/>
    <mergeCell ref="A4:A5"/>
    <mergeCell ref="B4:B5"/>
    <mergeCell ref="C4:D4"/>
    <mergeCell ref="E4:F4"/>
    <mergeCell ref="G4:H4"/>
    <mergeCell ref="I4:J4"/>
    <mergeCell ref="K4:L4"/>
    <mergeCell ref="Y4:Y5"/>
    <mergeCell ref="M4:N4"/>
    <mergeCell ref="O4:P4"/>
    <mergeCell ref="Q4:R4"/>
    <mergeCell ref="S4:T4"/>
    <mergeCell ref="U4:V4"/>
    <mergeCell ref="W4:X4"/>
    <mergeCell ref="B16:C16"/>
    <mergeCell ref="Q16:R16"/>
    <mergeCell ref="T16:U16"/>
    <mergeCell ref="V16:X16"/>
    <mergeCell ref="A12:B12"/>
    <mergeCell ref="B14:C14"/>
    <mergeCell ref="Q14:R14"/>
    <mergeCell ref="T14:T15"/>
    <mergeCell ref="V14:X14"/>
    <mergeCell ref="B15:C15"/>
    <mergeCell ref="Q15:R15"/>
    <mergeCell ref="V15:X15"/>
    <mergeCell ref="B17:C17"/>
    <mergeCell ref="Q17:R17"/>
    <mergeCell ref="T17:U17"/>
    <mergeCell ref="V17:X17"/>
    <mergeCell ref="B18:C18"/>
    <mergeCell ref="Q18:R18"/>
    <mergeCell ref="T18:U18"/>
    <mergeCell ref="V18:X18"/>
    <mergeCell ref="Y18:Y24"/>
    <mergeCell ref="B19:C19"/>
    <mergeCell ref="Q19:R19"/>
    <mergeCell ref="T19:T20"/>
    <mergeCell ref="V19:X19"/>
    <mergeCell ref="B20:C20"/>
    <mergeCell ref="B22:B24"/>
    <mergeCell ref="C22:C23"/>
    <mergeCell ref="D22:D23"/>
    <mergeCell ref="E22:E23"/>
    <mergeCell ref="F22:F23"/>
    <mergeCell ref="I32:J32"/>
    <mergeCell ref="K32:L32"/>
    <mergeCell ref="Q20:R20"/>
    <mergeCell ref="V20:X20"/>
    <mergeCell ref="T21:U21"/>
    <mergeCell ref="V21:X21"/>
    <mergeCell ref="T22:T23"/>
    <mergeCell ref="K33:L33"/>
    <mergeCell ref="V22:X22"/>
    <mergeCell ref="V23:X23"/>
    <mergeCell ref="T24:T25"/>
    <mergeCell ref="V24:X24"/>
    <mergeCell ref="V25:X25"/>
  </mergeCells>
  <pageMargins left="0.15748031496063" right="0.15748031496063" top="0" bottom="0" header="0" footer="0"/>
  <pageSetup paperSize="9" scale="47" orientation="landscape" r:id="rId1"/>
</worksheet>
</file>

<file path=xl/worksheets/sheet4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D00-000000000000}">
  <sheetPr>
    <pageSetUpPr fitToPage="1"/>
  </sheetPr>
  <dimension ref="A1:Y33"/>
  <sheetViews>
    <sheetView topLeftCell="D9" zoomScale="69" zoomScaleNormal="69" zoomScaleSheetLayoutView="100" workbookViewId="0">
      <selection activeCell="Q23" sqref="Q23"/>
    </sheetView>
  </sheetViews>
  <sheetFormatPr defaultColWidth="9.140625" defaultRowHeight="15" x14ac:dyDescent="0.25"/>
  <cols>
    <col min="1" max="1" width="18.28515625" style="14" customWidth="1"/>
    <col min="2" max="2" width="10.7109375" style="14" customWidth="1"/>
    <col min="3" max="3" width="12.28515625" style="14" customWidth="1"/>
    <col min="4" max="4" width="11" style="14" customWidth="1"/>
    <col min="5" max="5" width="12" style="14" customWidth="1"/>
    <col min="6" max="6" width="12.5703125" style="14" bestFit="1" customWidth="1"/>
    <col min="7" max="7" width="9.28515625" style="14" bestFit="1" customWidth="1"/>
    <col min="8" max="8" width="10.140625" style="14" bestFit="1" customWidth="1"/>
    <col min="9" max="9" width="10.5703125" style="14" bestFit="1" customWidth="1"/>
    <col min="10" max="10" width="10.5703125" style="14" customWidth="1"/>
    <col min="11" max="11" width="10.28515625" style="14" bestFit="1" customWidth="1"/>
    <col min="12" max="12" width="9.42578125" style="14" bestFit="1" customWidth="1"/>
    <col min="13" max="13" width="9.85546875" style="14" bestFit="1" customWidth="1"/>
    <col min="14" max="14" width="10.140625" style="14" bestFit="1" customWidth="1"/>
    <col min="15" max="15" width="9" style="14" customWidth="1"/>
    <col min="16" max="16" width="12.85546875" style="14" bestFit="1" customWidth="1"/>
    <col min="17" max="18" width="9.42578125" style="14" customWidth="1"/>
    <col min="19" max="19" width="13.7109375" style="14" customWidth="1"/>
    <col min="20" max="20" width="12.140625" style="14" customWidth="1"/>
    <col min="21" max="21" width="19.5703125" style="14" bestFit="1" customWidth="1"/>
    <col min="22" max="22" width="9.85546875" style="14" customWidth="1"/>
    <col min="23" max="23" width="10.140625" style="14" bestFit="1" customWidth="1"/>
    <col min="24" max="24" width="10.28515625" style="14" customWidth="1"/>
    <col min="25" max="25" width="28" style="14" customWidth="1"/>
    <col min="26" max="16384" width="9.140625" style="14"/>
  </cols>
  <sheetData>
    <row r="1" spans="1:25" ht="46.15" customHeight="1" x14ac:dyDescent="0.25">
      <c r="A1" s="2240" t="s">
        <v>148</v>
      </c>
      <c r="B1" s="2240"/>
      <c r="C1" s="2240"/>
      <c r="D1" s="2240"/>
      <c r="E1" s="2240"/>
      <c r="F1" s="2240"/>
      <c r="G1" s="2240"/>
      <c r="H1" s="2240"/>
      <c r="I1" s="2240"/>
      <c r="J1" s="2240"/>
      <c r="K1" s="2240"/>
      <c r="L1" s="2240"/>
      <c r="M1" s="2240"/>
      <c r="N1" s="2240"/>
      <c r="O1" s="2240"/>
      <c r="P1" s="2240"/>
      <c r="Q1" s="2240"/>
      <c r="R1" s="2240"/>
      <c r="S1" s="2240"/>
      <c r="T1" s="2240"/>
      <c r="U1" s="2240"/>
      <c r="V1" s="2240"/>
      <c r="W1" s="2240"/>
      <c r="X1" s="2240"/>
      <c r="Y1" s="2240"/>
    </row>
    <row r="2" spans="1:25" ht="21.6" customHeight="1" x14ac:dyDescent="0.25">
      <c r="A2" s="2241" t="s">
        <v>77</v>
      </c>
      <c r="B2" s="2241"/>
      <c r="C2" s="2241"/>
      <c r="D2" s="2241"/>
      <c r="E2" s="2241"/>
      <c r="F2" s="2241"/>
      <c r="G2" s="2241"/>
      <c r="H2" s="2241"/>
      <c r="I2" s="2241"/>
      <c r="J2" s="2241"/>
      <c r="K2" s="2241"/>
      <c r="L2" s="2241"/>
      <c r="M2" s="2241"/>
      <c r="N2" s="2241"/>
      <c r="O2" s="2241"/>
      <c r="P2" s="2241"/>
      <c r="Q2" s="2241"/>
      <c r="R2" s="2241"/>
      <c r="S2" s="2241"/>
      <c r="T2" s="2241"/>
      <c r="U2" s="2241"/>
      <c r="V2" s="2241"/>
      <c r="W2" s="2241"/>
      <c r="X2" s="2241"/>
      <c r="Y2" s="2241"/>
    </row>
    <row r="3" spans="1:25" ht="21" customHeight="1" x14ac:dyDescent="0.25">
      <c r="A3" s="120"/>
      <c r="B3" s="120"/>
      <c r="C3" s="120"/>
      <c r="D3" s="120"/>
      <c r="E3" s="120"/>
      <c r="F3" s="120"/>
      <c r="G3" s="120"/>
      <c r="H3" s="120"/>
      <c r="I3" s="120"/>
      <c r="J3" s="120"/>
      <c r="K3" s="120"/>
      <c r="L3" s="120"/>
      <c r="M3" s="120"/>
      <c r="N3" s="120"/>
      <c r="O3" s="120"/>
      <c r="P3" s="120"/>
      <c r="Q3" s="120"/>
      <c r="R3" s="120"/>
      <c r="S3" s="120"/>
      <c r="T3" s="2242" t="s">
        <v>177</v>
      </c>
      <c r="U3" s="2242"/>
      <c r="V3" s="2242"/>
      <c r="W3" s="2242"/>
      <c r="X3" s="2242"/>
      <c r="Y3" s="2242"/>
    </row>
    <row r="4" spans="1:25" s="120" customFormat="1" ht="18" customHeight="1" x14ac:dyDescent="0.25">
      <c r="A4" s="2243" t="s">
        <v>25</v>
      </c>
      <c r="B4" s="2243" t="s">
        <v>26</v>
      </c>
      <c r="C4" s="2244" t="s">
        <v>27</v>
      </c>
      <c r="D4" s="2244"/>
      <c r="E4" s="2244" t="s">
        <v>28</v>
      </c>
      <c r="F4" s="2244"/>
      <c r="G4" s="2244" t="s">
        <v>65</v>
      </c>
      <c r="H4" s="2244"/>
      <c r="I4" s="2244" t="s">
        <v>29</v>
      </c>
      <c r="J4" s="2244"/>
      <c r="K4" s="2245" t="s">
        <v>13</v>
      </c>
      <c r="L4" s="2246"/>
      <c r="M4" s="2245" t="s">
        <v>67</v>
      </c>
      <c r="N4" s="2246"/>
      <c r="O4" s="2245" t="s">
        <v>68</v>
      </c>
      <c r="P4" s="2246"/>
      <c r="Q4" s="2245" t="s">
        <v>114</v>
      </c>
      <c r="R4" s="2246"/>
      <c r="S4" s="2244" t="s">
        <v>35</v>
      </c>
      <c r="T4" s="2244"/>
      <c r="U4" s="2245" t="s">
        <v>17</v>
      </c>
      <c r="V4" s="2246"/>
      <c r="W4" s="2247" t="s">
        <v>36</v>
      </c>
      <c r="X4" s="2248"/>
      <c r="Y4" s="2238" t="s">
        <v>30</v>
      </c>
    </row>
    <row r="5" spans="1:25" s="120" customFormat="1" ht="25.5" customHeight="1" x14ac:dyDescent="0.25">
      <c r="A5" s="2243"/>
      <c r="B5" s="2243"/>
      <c r="C5" s="122" t="s">
        <v>42</v>
      </c>
      <c r="D5" s="122" t="s">
        <v>43</v>
      </c>
      <c r="E5" s="122" t="s">
        <v>42</v>
      </c>
      <c r="F5" s="122" t="s">
        <v>43</v>
      </c>
      <c r="G5" s="122" t="s">
        <v>42</v>
      </c>
      <c r="H5" s="122" t="s">
        <v>43</v>
      </c>
      <c r="I5" s="122" t="s">
        <v>42</v>
      </c>
      <c r="J5" s="122" t="s">
        <v>43</v>
      </c>
      <c r="K5" s="122" t="s">
        <v>42</v>
      </c>
      <c r="L5" s="122" t="s">
        <v>43</v>
      </c>
      <c r="M5" s="122" t="s">
        <v>42</v>
      </c>
      <c r="N5" s="122" t="s">
        <v>43</v>
      </c>
      <c r="O5" s="122" t="s">
        <v>42</v>
      </c>
      <c r="P5" s="122" t="s">
        <v>43</v>
      </c>
      <c r="Q5" s="122" t="s">
        <v>42</v>
      </c>
      <c r="R5" s="122" t="s">
        <v>43</v>
      </c>
      <c r="S5" s="33" t="s">
        <v>42</v>
      </c>
      <c r="T5" s="33" t="s">
        <v>43</v>
      </c>
      <c r="U5" s="30" t="s">
        <v>42</v>
      </c>
      <c r="V5" s="30" t="s">
        <v>43</v>
      </c>
      <c r="W5" s="30" t="s">
        <v>42</v>
      </c>
      <c r="X5" s="30" t="s">
        <v>43</v>
      </c>
      <c r="Y5" s="2239"/>
    </row>
    <row r="6" spans="1:25" ht="34.5" customHeight="1" x14ac:dyDescent="0.25">
      <c r="A6" s="12">
        <v>1409935200</v>
      </c>
      <c r="B6" s="121" t="s">
        <v>71</v>
      </c>
      <c r="C6" s="124">
        <v>56369</v>
      </c>
      <c r="D6" s="125">
        <f>0.9725*C6</f>
        <v>54818.852500000001</v>
      </c>
      <c r="E6" s="124"/>
      <c r="F6" s="124">
        <f>13.7*E6</f>
        <v>0</v>
      </c>
      <c r="G6" s="124"/>
      <c r="H6" s="124">
        <f>28.2*G6</f>
        <v>0</v>
      </c>
      <c r="I6" s="124"/>
      <c r="J6" s="124">
        <f>18.5*I6</f>
        <v>0</v>
      </c>
      <c r="K6" s="124"/>
      <c r="L6" s="124">
        <f>19.5*K6</f>
        <v>0</v>
      </c>
      <c r="M6" s="124"/>
      <c r="N6" s="125">
        <f>M6*9.75</f>
        <v>0</v>
      </c>
      <c r="O6" s="124"/>
      <c r="P6" s="125">
        <f>O6*48.62</f>
        <v>0</v>
      </c>
      <c r="Q6" s="125"/>
      <c r="R6" s="125">
        <f>241*Q6</f>
        <v>0</v>
      </c>
      <c r="S6" s="124"/>
      <c r="T6" s="124">
        <f>241*S6</f>
        <v>0</v>
      </c>
      <c r="U6" s="124"/>
      <c r="V6" s="124">
        <f>232*U6</f>
        <v>0</v>
      </c>
      <c r="W6" s="124"/>
      <c r="X6" s="19">
        <f>W6*100</f>
        <v>0</v>
      </c>
      <c r="Y6" s="89">
        <f t="shared" ref="Y6:Y11" si="0">D6+F6+H6+J6+L6+N6+P6+R6+T6+V6+X6</f>
        <v>54818.852500000001</v>
      </c>
    </row>
    <row r="7" spans="1:25" ht="31.5" customHeight="1" x14ac:dyDescent="0.25">
      <c r="A7" s="12">
        <v>1984225578</v>
      </c>
      <c r="B7" s="121" t="s">
        <v>72</v>
      </c>
      <c r="C7" s="124">
        <v>30218</v>
      </c>
      <c r="D7" s="125">
        <f t="shared" ref="D7:D11" si="1">0.9725*C7</f>
        <v>29387.005000000001</v>
      </c>
      <c r="E7" s="124"/>
      <c r="F7" s="124">
        <f t="shared" ref="F7:F11" si="2">13.7*E7</f>
        <v>0</v>
      </c>
      <c r="G7" s="124"/>
      <c r="H7" s="124">
        <f t="shared" ref="H7:H11" si="3">28.2*G7</f>
        <v>0</v>
      </c>
      <c r="I7" s="124"/>
      <c r="J7" s="124">
        <f t="shared" ref="J7:J11" si="4">18.5*I7</f>
        <v>0</v>
      </c>
      <c r="K7" s="124"/>
      <c r="L7" s="124">
        <f t="shared" ref="L7:L11" si="5">19.5*K7</f>
        <v>0</v>
      </c>
      <c r="M7" s="124"/>
      <c r="N7" s="125">
        <f t="shared" ref="N7:N11" si="6">M7*9.75</f>
        <v>0</v>
      </c>
      <c r="O7" s="124"/>
      <c r="P7" s="125">
        <f t="shared" ref="P7:P11" si="7">O7*48.62</f>
        <v>0</v>
      </c>
      <c r="Q7" s="125"/>
      <c r="R7" s="125">
        <f t="shared" ref="R7:R11" si="8">241*Q7</f>
        <v>0</v>
      </c>
      <c r="S7" s="124"/>
      <c r="T7" s="124">
        <f t="shared" ref="T7:T11" si="9">241*S7</f>
        <v>0</v>
      </c>
      <c r="U7" s="124"/>
      <c r="V7" s="124">
        <f t="shared" ref="V7:V11" si="10">232*U7</f>
        <v>0</v>
      </c>
      <c r="W7" s="124"/>
      <c r="X7" s="19">
        <f t="shared" ref="X7:X11" si="11">W7*100</f>
        <v>0</v>
      </c>
      <c r="Y7" s="89">
        <f t="shared" si="0"/>
        <v>29387.005000000001</v>
      </c>
    </row>
    <row r="8" spans="1:25" ht="35.25" customHeight="1" x14ac:dyDescent="0.25">
      <c r="A8" s="12">
        <v>1967020280</v>
      </c>
      <c r="B8" s="121" t="s">
        <v>73</v>
      </c>
      <c r="C8" s="124">
        <v>38161</v>
      </c>
      <c r="D8" s="125">
        <f t="shared" si="1"/>
        <v>37111.572500000002</v>
      </c>
      <c r="E8" s="124"/>
      <c r="F8" s="124">
        <f t="shared" si="2"/>
        <v>0</v>
      </c>
      <c r="G8" s="124"/>
      <c r="H8" s="124">
        <f t="shared" si="3"/>
        <v>0</v>
      </c>
      <c r="I8" s="124"/>
      <c r="J8" s="124">
        <f t="shared" si="4"/>
        <v>0</v>
      </c>
      <c r="K8" s="124"/>
      <c r="L8" s="124">
        <f t="shared" si="5"/>
        <v>0</v>
      </c>
      <c r="M8" s="124"/>
      <c r="N8" s="125">
        <f t="shared" si="6"/>
        <v>0</v>
      </c>
      <c r="O8" s="124"/>
      <c r="P8" s="125">
        <f t="shared" si="7"/>
        <v>0</v>
      </c>
      <c r="Q8" s="125"/>
      <c r="R8" s="125">
        <f t="shared" si="8"/>
        <v>0</v>
      </c>
      <c r="S8" s="124"/>
      <c r="T8" s="124">
        <f t="shared" si="9"/>
        <v>0</v>
      </c>
      <c r="U8" s="124"/>
      <c r="V8" s="124">
        <f t="shared" si="10"/>
        <v>0</v>
      </c>
      <c r="W8" s="124"/>
      <c r="X8" s="19">
        <f t="shared" si="11"/>
        <v>0</v>
      </c>
      <c r="Y8" s="89">
        <f t="shared" si="0"/>
        <v>37111.572500000002</v>
      </c>
    </row>
    <row r="9" spans="1:25" ht="38.25" customHeight="1" x14ac:dyDescent="0.25">
      <c r="A9" s="12">
        <v>1409935199</v>
      </c>
      <c r="B9" s="121" t="s">
        <v>75</v>
      </c>
      <c r="C9" s="124">
        <v>19698</v>
      </c>
      <c r="D9" s="125">
        <f t="shared" si="1"/>
        <v>19156.305</v>
      </c>
      <c r="E9" s="124"/>
      <c r="F9" s="124">
        <f t="shared" si="2"/>
        <v>0</v>
      </c>
      <c r="G9" s="124"/>
      <c r="H9" s="124">
        <f t="shared" si="3"/>
        <v>0</v>
      </c>
      <c r="I9" s="124"/>
      <c r="J9" s="124">
        <f t="shared" si="4"/>
        <v>0</v>
      </c>
      <c r="K9" s="124"/>
      <c r="L9" s="124">
        <f t="shared" si="5"/>
        <v>0</v>
      </c>
      <c r="M9" s="124"/>
      <c r="N9" s="125">
        <f t="shared" si="6"/>
        <v>0</v>
      </c>
      <c r="O9" s="124"/>
      <c r="P9" s="125">
        <f t="shared" si="7"/>
        <v>0</v>
      </c>
      <c r="Q9" s="125"/>
      <c r="R9" s="125">
        <f t="shared" si="8"/>
        <v>0</v>
      </c>
      <c r="S9" s="124"/>
      <c r="T9" s="124">
        <f t="shared" si="9"/>
        <v>0</v>
      </c>
      <c r="U9" s="124"/>
      <c r="V9" s="124">
        <f t="shared" si="10"/>
        <v>0</v>
      </c>
      <c r="W9" s="124"/>
      <c r="X9" s="19">
        <f t="shared" si="11"/>
        <v>0</v>
      </c>
      <c r="Y9" s="89">
        <f t="shared" si="0"/>
        <v>19156.305</v>
      </c>
    </row>
    <row r="10" spans="1:25" ht="35.25" customHeight="1" x14ac:dyDescent="0.25">
      <c r="A10" s="12">
        <v>1984225580</v>
      </c>
      <c r="C10" s="124"/>
      <c r="D10" s="125">
        <f t="shared" si="1"/>
        <v>0</v>
      </c>
      <c r="E10" s="124"/>
      <c r="F10" s="124">
        <f t="shared" si="2"/>
        <v>0</v>
      </c>
      <c r="G10" s="124"/>
      <c r="H10" s="124">
        <f t="shared" si="3"/>
        <v>0</v>
      </c>
      <c r="I10" s="124"/>
      <c r="J10" s="124">
        <f t="shared" si="4"/>
        <v>0</v>
      </c>
      <c r="K10" s="124"/>
      <c r="L10" s="124">
        <f t="shared" si="5"/>
        <v>0</v>
      </c>
      <c r="M10" s="124"/>
      <c r="N10" s="125">
        <f t="shared" si="6"/>
        <v>0</v>
      </c>
      <c r="O10" s="124"/>
      <c r="P10" s="125">
        <f t="shared" si="7"/>
        <v>0</v>
      </c>
      <c r="Q10" s="125"/>
      <c r="R10" s="125">
        <f t="shared" si="8"/>
        <v>0</v>
      </c>
      <c r="S10" s="124"/>
      <c r="T10" s="124">
        <f t="shared" si="9"/>
        <v>0</v>
      </c>
      <c r="U10" s="124"/>
      <c r="V10" s="124">
        <f t="shared" si="10"/>
        <v>0</v>
      </c>
      <c r="W10" s="124"/>
      <c r="X10" s="19">
        <f t="shared" si="11"/>
        <v>0</v>
      </c>
      <c r="Y10" s="89">
        <f t="shared" si="0"/>
        <v>0</v>
      </c>
    </row>
    <row r="11" spans="1:25" ht="37.5" customHeight="1" x14ac:dyDescent="0.25">
      <c r="A11" s="12"/>
      <c r="B11" s="123"/>
      <c r="C11" s="124"/>
      <c r="D11" s="22">
        <f t="shared" si="1"/>
        <v>0</v>
      </c>
      <c r="E11" s="124"/>
      <c r="F11" s="124">
        <f t="shared" si="2"/>
        <v>0</v>
      </c>
      <c r="G11" s="124"/>
      <c r="H11" s="124">
        <f t="shared" si="3"/>
        <v>0</v>
      </c>
      <c r="I11" s="124"/>
      <c r="J11" s="124">
        <f t="shared" si="4"/>
        <v>0</v>
      </c>
      <c r="K11" s="124"/>
      <c r="L11" s="124">
        <f t="shared" si="5"/>
        <v>0</v>
      </c>
      <c r="M11" s="124"/>
      <c r="N11" s="125">
        <f t="shared" si="6"/>
        <v>0</v>
      </c>
      <c r="O11" s="124"/>
      <c r="P11" s="125">
        <f t="shared" si="7"/>
        <v>0</v>
      </c>
      <c r="Q11" s="125"/>
      <c r="R11" s="125">
        <f t="shared" si="8"/>
        <v>0</v>
      </c>
      <c r="S11" s="124">
        <v>55</v>
      </c>
      <c r="T11" s="124">
        <f t="shared" si="9"/>
        <v>13255</v>
      </c>
      <c r="U11" s="124"/>
      <c r="V11" s="124">
        <f t="shared" si="10"/>
        <v>0</v>
      </c>
      <c r="W11" s="124"/>
      <c r="X11" s="19">
        <f t="shared" si="11"/>
        <v>0</v>
      </c>
      <c r="Y11" s="20">
        <f t="shared" si="0"/>
        <v>13255</v>
      </c>
    </row>
    <row r="12" spans="1:25" ht="29.25" customHeight="1" x14ac:dyDescent="0.25">
      <c r="A12" s="2235" t="s">
        <v>31</v>
      </c>
      <c r="B12" s="2235"/>
      <c r="C12" s="18">
        <f t="shared" ref="C12:Y12" si="12">SUM(C6:C11)</f>
        <v>144446</v>
      </c>
      <c r="D12" s="18">
        <f t="shared" si="12"/>
        <v>140473.73499999999</v>
      </c>
      <c r="E12" s="18">
        <f t="shared" si="12"/>
        <v>0</v>
      </c>
      <c r="F12" s="18">
        <f t="shared" si="12"/>
        <v>0</v>
      </c>
      <c r="G12" s="18">
        <f t="shared" si="12"/>
        <v>0</v>
      </c>
      <c r="H12" s="18">
        <f t="shared" si="12"/>
        <v>0</v>
      </c>
      <c r="I12" s="18">
        <f t="shared" si="12"/>
        <v>0</v>
      </c>
      <c r="J12" s="18">
        <f t="shared" si="12"/>
        <v>0</v>
      </c>
      <c r="K12" s="18">
        <f t="shared" si="12"/>
        <v>0</v>
      </c>
      <c r="L12" s="18">
        <f t="shared" si="12"/>
        <v>0</v>
      </c>
      <c r="M12" s="18">
        <f t="shared" si="12"/>
        <v>0</v>
      </c>
      <c r="N12" s="23">
        <f t="shared" si="12"/>
        <v>0</v>
      </c>
      <c r="O12" s="18">
        <f t="shared" si="12"/>
        <v>0</v>
      </c>
      <c r="P12" s="23">
        <f t="shared" si="12"/>
        <v>0</v>
      </c>
      <c r="Q12" s="23">
        <f t="shared" si="12"/>
        <v>0</v>
      </c>
      <c r="R12" s="23">
        <f>SUM(R6:R11)</f>
        <v>0</v>
      </c>
      <c r="S12" s="18">
        <f t="shared" si="12"/>
        <v>55</v>
      </c>
      <c r="T12" s="18">
        <f t="shared" si="12"/>
        <v>13255</v>
      </c>
      <c r="U12" s="18">
        <f t="shared" si="12"/>
        <v>0</v>
      </c>
      <c r="V12" s="18">
        <f t="shared" si="12"/>
        <v>0</v>
      </c>
      <c r="W12" s="18">
        <f t="shared" si="12"/>
        <v>0</v>
      </c>
      <c r="X12" s="18">
        <f t="shared" si="12"/>
        <v>0</v>
      </c>
      <c r="Y12" s="18">
        <f t="shared" si="12"/>
        <v>153728.73499999999</v>
      </c>
    </row>
    <row r="14" spans="1:25" ht="41.25" customHeight="1" x14ac:dyDescent="0.25">
      <c r="A14" s="30" t="s">
        <v>32</v>
      </c>
      <c r="B14" s="2236" t="s">
        <v>27</v>
      </c>
      <c r="C14" s="2236"/>
      <c r="D14" s="30" t="s">
        <v>33</v>
      </c>
      <c r="E14" s="30" t="s">
        <v>65</v>
      </c>
      <c r="F14" s="30" t="s">
        <v>34</v>
      </c>
      <c r="G14" s="30" t="s">
        <v>13</v>
      </c>
      <c r="H14" s="142" t="s">
        <v>173</v>
      </c>
      <c r="I14" s="30" t="s">
        <v>17</v>
      </c>
      <c r="J14" s="129" t="s">
        <v>174</v>
      </c>
      <c r="K14" s="30" t="s">
        <v>36</v>
      </c>
      <c r="L14" s="30" t="s">
        <v>175</v>
      </c>
      <c r="M14" s="30" t="s">
        <v>69</v>
      </c>
      <c r="N14" s="30" t="s">
        <v>70</v>
      </c>
      <c r="O14" s="129" t="s">
        <v>114</v>
      </c>
      <c r="P14" s="129" t="s">
        <v>99</v>
      </c>
      <c r="Q14" s="2272" t="s">
        <v>150</v>
      </c>
      <c r="R14" s="2272"/>
      <c r="S14" s="129" t="s">
        <v>171</v>
      </c>
      <c r="T14" s="2235" t="s">
        <v>46</v>
      </c>
      <c r="U14" s="121" t="s">
        <v>176</v>
      </c>
      <c r="V14" s="2260">
        <v>3969</v>
      </c>
      <c r="W14" s="2268"/>
      <c r="X14" s="2261"/>
    </row>
    <row r="15" spans="1:25" ht="22.5" customHeight="1" x14ac:dyDescent="0.25">
      <c r="A15" s="100" t="s">
        <v>38</v>
      </c>
      <c r="B15" s="2260">
        <v>282033</v>
      </c>
      <c r="C15" s="2261"/>
      <c r="D15" s="126">
        <v>0</v>
      </c>
      <c r="E15" s="126">
        <v>0</v>
      </c>
      <c r="F15" s="126">
        <v>0</v>
      </c>
      <c r="G15" s="126">
        <v>0</v>
      </c>
      <c r="H15" s="126">
        <v>5</v>
      </c>
      <c r="I15" s="126">
        <v>0</v>
      </c>
      <c r="J15" s="126">
        <v>65</v>
      </c>
      <c r="K15" s="126">
        <v>57</v>
      </c>
      <c r="L15" s="126">
        <v>55</v>
      </c>
      <c r="M15" s="126">
        <v>0</v>
      </c>
      <c r="N15" s="126">
        <v>100</v>
      </c>
      <c r="O15" s="126">
        <v>0</v>
      </c>
      <c r="P15" s="126">
        <v>508</v>
      </c>
      <c r="Q15" s="2262">
        <v>52</v>
      </c>
      <c r="R15" s="2262"/>
      <c r="S15" s="121">
        <v>296</v>
      </c>
      <c r="T15" s="2235"/>
      <c r="U15" s="121" t="s">
        <v>64</v>
      </c>
      <c r="V15" s="2262">
        <v>7049</v>
      </c>
      <c r="W15" s="2262"/>
      <c r="X15" s="2262"/>
    </row>
    <row r="16" spans="1:25" ht="24.75" customHeight="1" x14ac:dyDescent="0.25">
      <c r="A16" s="100" t="s">
        <v>39</v>
      </c>
      <c r="B16" s="2260">
        <v>114285</v>
      </c>
      <c r="C16" s="2261"/>
      <c r="D16" s="126"/>
      <c r="E16" s="126">
        <v>2000</v>
      </c>
      <c r="F16" s="126">
        <v>17000</v>
      </c>
      <c r="G16" s="126"/>
      <c r="H16" s="126">
        <v>200</v>
      </c>
      <c r="I16" s="126">
        <v>150</v>
      </c>
      <c r="J16" s="126"/>
      <c r="K16" s="126"/>
      <c r="L16" s="126"/>
      <c r="M16" s="126"/>
      <c r="N16" s="126"/>
      <c r="O16" s="126"/>
      <c r="P16" s="126"/>
      <c r="Q16" s="2225"/>
      <c r="R16" s="2225"/>
      <c r="S16" s="123"/>
      <c r="T16" s="2254" t="s">
        <v>55</v>
      </c>
      <c r="U16" s="2254"/>
      <c r="V16" s="2267">
        <f>Y12</f>
        <v>153728.73499999999</v>
      </c>
      <c r="W16" s="2267"/>
      <c r="X16" s="2262"/>
    </row>
    <row r="17" spans="1:25" ht="28.5" customHeight="1" x14ac:dyDescent="0.25">
      <c r="A17" s="101" t="s">
        <v>44</v>
      </c>
      <c r="B17" s="2260">
        <v>26470</v>
      </c>
      <c r="C17" s="2261"/>
      <c r="D17" s="126"/>
      <c r="E17" s="126"/>
      <c r="F17" s="126"/>
      <c r="G17" s="126"/>
      <c r="H17" s="126"/>
      <c r="I17" s="126"/>
      <c r="J17" s="126"/>
      <c r="K17" s="126"/>
      <c r="L17" s="126"/>
      <c r="M17" s="126"/>
      <c r="N17" s="126"/>
      <c r="O17" s="126"/>
      <c r="P17" s="126"/>
      <c r="Q17" s="2225"/>
      <c r="R17" s="2225"/>
      <c r="S17" s="123"/>
      <c r="T17" s="2270" t="s">
        <v>178</v>
      </c>
      <c r="U17" s="2271"/>
      <c r="V17" s="2262">
        <v>9000</v>
      </c>
      <c r="W17" s="2262"/>
      <c r="X17" s="2262"/>
    </row>
    <row r="18" spans="1:25" ht="27" customHeight="1" x14ac:dyDescent="0.25">
      <c r="A18" s="100" t="s">
        <v>40</v>
      </c>
      <c r="B18" s="2264">
        <f>C12</f>
        <v>144446</v>
      </c>
      <c r="C18" s="2261"/>
      <c r="D18" s="127">
        <f>E12</f>
        <v>0</v>
      </c>
      <c r="E18" s="127">
        <f>G12</f>
        <v>0</v>
      </c>
      <c r="F18" s="127">
        <f>I12</f>
        <v>0</v>
      </c>
      <c r="G18" s="127">
        <f>K12</f>
        <v>0</v>
      </c>
      <c r="H18" s="126"/>
      <c r="I18" s="127">
        <f>U12</f>
        <v>0</v>
      </c>
      <c r="J18" s="126"/>
      <c r="K18" s="127">
        <f>W12</f>
        <v>0</v>
      </c>
      <c r="L18" s="126"/>
      <c r="M18" s="127">
        <f>M12</f>
        <v>0</v>
      </c>
      <c r="N18" s="127"/>
      <c r="O18" s="128">
        <f>Q12</f>
        <v>0</v>
      </c>
      <c r="P18" s="126"/>
      <c r="Q18" s="2225">
        <v>46</v>
      </c>
      <c r="R18" s="2225"/>
      <c r="S18" s="121">
        <v>9</v>
      </c>
      <c r="T18" s="2254" t="s">
        <v>57</v>
      </c>
      <c r="U18" s="2254"/>
      <c r="V18" s="2262">
        <f>450+25477</f>
        <v>25927</v>
      </c>
      <c r="W18" s="2262"/>
      <c r="X18" s="2262"/>
      <c r="Y18" s="2269" t="s">
        <v>159</v>
      </c>
    </row>
    <row r="19" spans="1:25" ht="25.5" customHeight="1" x14ac:dyDescent="0.25">
      <c r="A19" s="100" t="s">
        <v>41</v>
      </c>
      <c r="B19" s="2260">
        <f>B15+B16+B17-B18</f>
        <v>278342</v>
      </c>
      <c r="C19" s="2261"/>
      <c r="D19" s="126">
        <f>D15+D16+D17-D18</f>
        <v>0</v>
      </c>
      <c r="E19" s="126">
        <f t="shared" ref="E19:N19" si="13">E15+E16+E17-E18</f>
        <v>2000</v>
      </c>
      <c r="F19" s="126">
        <f t="shared" si="13"/>
        <v>17000</v>
      </c>
      <c r="G19" s="126">
        <f t="shared" si="13"/>
        <v>0</v>
      </c>
      <c r="H19" s="126">
        <f t="shared" si="13"/>
        <v>205</v>
      </c>
      <c r="I19" s="126">
        <f t="shared" si="13"/>
        <v>150</v>
      </c>
      <c r="J19" s="126">
        <f t="shared" si="13"/>
        <v>65</v>
      </c>
      <c r="K19" s="126">
        <f t="shared" si="13"/>
        <v>57</v>
      </c>
      <c r="L19" s="126">
        <f t="shared" si="13"/>
        <v>55</v>
      </c>
      <c r="M19" s="126">
        <f t="shared" si="13"/>
        <v>0</v>
      </c>
      <c r="N19" s="126">
        <f t="shared" si="13"/>
        <v>100</v>
      </c>
      <c r="O19" s="126">
        <f>O15+O16+O17-O18</f>
        <v>0</v>
      </c>
      <c r="P19" s="126">
        <f>P15+P16+P17-P18</f>
        <v>508</v>
      </c>
      <c r="Q19" s="2260">
        <f t="shared" ref="Q19" si="14">Q15+Q16+Q17-Q18</f>
        <v>6</v>
      </c>
      <c r="R19" s="2261"/>
      <c r="S19" s="121">
        <f>S15+S16-S17-S18</f>
        <v>287</v>
      </c>
      <c r="T19" s="2256" t="s">
        <v>48</v>
      </c>
      <c r="U19" s="49" t="s">
        <v>58</v>
      </c>
      <c r="V19" s="2262">
        <v>110000</v>
      </c>
      <c r="W19" s="2262"/>
      <c r="X19" s="2262"/>
      <c r="Y19" s="2269"/>
    </row>
    <row r="20" spans="1:25" ht="23.25" customHeight="1" x14ac:dyDescent="0.25">
      <c r="A20" s="11" t="s">
        <v>168</v>
      </c>
      <c r="B20" s="2278">
        <f>B19*0.9625</f>
        <v>267904.17499999999</v>
      </c>
      <c r="C20" s="2279"/>
      <c r="D20" s="123">
        <f>D19*13.56</f>
        <v>0</v>
      </c>
      <c r="E20" s="123">
        <f>28.2*E19</f>
        <v>56400</v>
      </c>
      <c r="F20" s="123">
        <f>18.31*F19</f>
        <v>311270</v>
      </c>
      <c r="G20" s="123">
        <f>19.3*G19</f>
        <v>0</v>
      </c>
      <c r="H20" s="123">
        <f>241*H19</f>
        <v>49405</v>
      </c>
      <c r="I20" s="123">
        <f>223*I19</f>
        <v>33450</v>
      </c>
      <c r="J20" s="123">
        <f>241*J19</f>
        <v>15665</v>
      </c>
      <c r="K20" s="123">
        <f>K19*100</f>
        <v>5700</v>
      </c>
      <c r="L20" s="123">
        <f>241*L19</f>
        <v>13255</v>
      </c>
      <c r="M20" s="123">
        <f>9.65*M19</f>
        <v>0</v>
      </c>
      <c r="N20" s="123">
        <f>N19*48.2</f>
        <v>4820</v>
      </c>
      <c r="O20" s="123">
        <f>241*O19</f>
        <v>0</v>
      </c>
      <c r="P20" s="123">
        <f>241*P19</f>
        <v>122428</v>
      </c>
      <c r="Q20" s="2278">
        <f>241*Q19</f>
        <v>1446</v>
      </c>
      <c r="R20" s="2279"/>
      <c r="S20" s="123">
        <f>241*S19</f>
        <v>69167</v>
      </c>
      <c r="T20" s="2257"/>
      <c r="U20" s="49" t="s">
        <v>59</v>
      </c>
      <c r="V20" s="2262"/>
      <c r="W20" s="2262"/>
      <c r="X20" s="2262"/>
      <c r="Y20" s="2269"/>
    </row>
    <row r="21" spans="1:25" ht="23.25" customHeight="1" x14ac:dyDescent="0.25">
      <c r="A21" s="15"/>
      <c r="B21" s="130"/>
      <c r="O21" s="130"/>
      <c r="P21" s="130"/>
      <c r="Q21" s="130"/>
      <c r="R21" s="130"/>
      <c r="T21" s="2273" t="s">
        <v>167</v>
      </c>
      <c r="U21" s="2274"/>
      <c r="V21" s="2260"/>
      <c r="W21" s="2268"/>
      <c r="X21" s="2261"/>
      <c r="Y21" s="2269"/>
    </row>
    <row r="22" spans="1:25" ht="35.25" customHeight="1" x14ac:dyDescent="0.25">
      <c r="A22" s="15"/>
      <c r="B22" s="2275" t="s">
        <v>49</v>
      </c>
      <c r="C22" s="2265">
        <v>387790</v>
      </c>
      <c r="D22" s="2265">
        <v>110000</v>
      </c>
      <c r="E22" s="2265">
        <v>558744</v>
      </c>
      <c r="F22" s="2265">
        <f>C22-D22+E22</f>
        <v>836534</v>
      </c>
      <c r="G22" s="130"/>
      <c r="Q22" s="130"/>
      <c r="R22" s="130"/>
      <c r="T22" s="2251" t="s">
        <v>83</v>
      </c>
      <c r="U22" s="50" t="s">
        <v>60</v>
      </c>
      <c r="V22" s="2262">
        <v>140490</v>
      </c>
      <c r="W22" s="2262"/>
      <c r="X22" s="2262"/>
      <c r="Y22" s="2269"/>
    </row>
    <row r="23" spans="1:25" ht="39.75" customHeight="1" x14ac:dyDescent="0.25">
      <c r="A23" s="130"/>
      <c r="B23" s="2276"/>
      <c r="C23" s="2266"/>
      <c r="D23" s="2266"/>
      <c r="E23" s="2266"/>
      <c r="F23" s="2266"/>
      <c r="G23" s="130"/>
      <c r="Q23" s="130"/>
      <c r="R23" s="130"/>
      <c r="T23" s="2252"/>
      <c r="U23" s="50" t="s">
        <v>61</v>
      </c>
      <c r="V23" s="2262">
        <v>110000</v>
      </c>
      <c r="W23" s="2262"/>
      <c r="X23" s="2262"/>
      <c r="Y23" s="2269"/>
    </row>
    <row r="24" spans="1:25" ht="47.25" customHeight="1" x14ac:dyDescent="0.25">
      <c r="A24" s="130"/>
      <c r="B24" s="2277"/>
      <c r="C24" s="121" t="s">
        <v>46</v>
      </c>
      <c r="D24" s="121" t="s">
        <v>50</v>
      </c>
      <c r="E24" s="121" t="s">
        <v>51</v>
      </c>
      <c r="F24" s="121" t="s">
        <v>52</v>
      </c>
      <c r="G24" s="130"/>
      <c r="Q24" s="130"/>
      <c r="R24" s="130"/>
      <c r="T24" s="2235" t="s">
        <v>47</v>
      </c>
      <c r="U24" s="51" t="s">
        <v>62</v>
      </c>
      <c r="V24" s="2263">
        <f>V14+V16+V17-V18-V19-V20-V22+V23-V21</f>
        <v>280.73499999998603</v>
      </c>
      <c r="W24" s="2263"/>
      <c r="X24" s="2263"/>
      <c r="Y24" s="2269"/>
    </row>
    <row r="25" spans="1:25" ht="40.5" customHeight="1" x14ac:dyDescent="0.25">
      <c r="T25" s="2235"/>
      <c r="U25" s="51" t="s">
        <v>63</v>
      </c>
      <c r="V25" s="2262">
        <f>V15+V22-V23</f>
        <v>37539</v>
      </c>
      <c r="W25" s="2262"/>
      <c r="X25" s="2262"/>
    </row>
    <row r="26" spans="1:25" ht="36" customHeight="1" x14ac:dyDescent="0.25"/>
    <row r="32" spans="1:25" x14ac:dyDescent="0.25">
      <c r="I32" s="2280"/>
      <c r="J32" s="2280"/>
      <c r="K32" s="2280"/>
      <c r="L32" s="2280"/>
    </row>
    <row r="33" spans="9:12" x14ac:dyDescent="0.25">
      <c r="I33" s="130"/>
      <c r="J33" s="130"/>
      <c r="K33" s="2280"/>
      <c r="L33" s="2280"/>
    </row>
  </sheetData>
  <mergeCells count="61">
    <mergeCell ref="K33:L33"/>
    <mergeCell ref="V22:X22"/>
    <mergeCell ref="V23:X23"/>
    <mergeCell ref="T24:T25"/>
    <mergeCell ref="V24:X24"/>
    <mergeCell ref="V25:X25"/>
    <mergeCell ref="I32:J32"/>
    <mergeCell ref="K32:L32"/>
    <mergeCell ref="Q20:R20"/>
    <mergeCell ref="V20:X20"/>
    <mergeCell ref="T21:U21"/>
    <mergeCell ref="V21:X21"/>
    <mergeCell ref="T22:T23"/>
    <mergeCell ref="Y18:Y24"/>
    <mergeCell ref="B19:C19"/>
    <mergeCell ref="Q19:R19"/>
    <mergeCell ref="T19:T20"/>
    <mergeCell ref="V19:X19"/>
    <mergeCell ref="B20:C20"/>
    <mergeCell ref="B22:B24"/>
    <mergeCell ref="C22:C23"/>
    <mergeCell ref="D22:D23"/>
    <mergeCell ref="E22:E23"/>
    <mergeCell ref="F22:F23"/>
    <mergeCell ref="B17:C17"/>
    <mergeCell ref="Q17:R17"/>
    <mergeCell ref="T17:U17"/>
    <mergeCell ref="V17:X17"/>
    <mergeCell ref="B18:C18"/>
    <mergeCell ref="Q18:R18"/>
    <mergeCell ref="T18:U18"/>
    <mergeCell ref="V18:X18"/>
    <mergeCell ref="W4:X4"/>
    <mergeCell ref="B16:C16"/>
    <mergeCell ref="Q16:R16"/>
    <mergeCell ref="T16:U16"/>
    <mergeCell ref="V16:X16"/>
    <mergeCell ref="A12:B12"/>
    <mergeCell ref="B14:C14"/>
    <mergeCell ref="Q14:R14"/>
    <mergeCell ref="T14:T15"/>
    <mergeCell ref="V14:X14"/>
    <mergeCell ref="B15:C15"/>
    <mergeCell ref="Q15:R15"/>
    <mergeCell ref="V15:X15"/>
    <mergeCell ref="A1:Y1"/>
    <mergeCell ref="A2:Y2"/>
    <mergeCell ref="T3:Y3"/>
    <mergeCell ref="A4:A5"/>
    <mergeCell ref="B4:B5"/>
    <mergeCell ref="C4:D4"/>
    <mergeCell ref="E4:F4"/>
    <mergeCell ref="G4:H4"/>
    <mergeCell ref="I4:J4"/>
    <mergeCell ref="K4:L4"/>
    <mergeCell ref="Y4:Y5"/>
    <mergeCell ref="M4:N4"/>
    <mergeCell ref="O4:P4"/>
    <mergeCell ref="Q4:R4"/>
    <mergeCell ref="S4:T4"/>
    <mergeCell ref="U4:V4"/>
  </mergeCells>
  <pageMargins left="0.15748031496063" right="0.15748031496063" top="0" bottom="0" header="0" footer="0"/>
  <pageSetup paperSize="9" scale="47" orientation="landscape" r:id="rId1"/>
</worksheet>
</file>

<file path=xl/worksheets/sheet4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E00-000000000000}">
  <sheetPr>
    <pageSetUpPr fitToPage="1"/>
  </sheetPr>
  <dimension ref="A1:Y33"/>
  <sheetViews>
    <sheetView topLeftCell="D6" zoomScale="69" zoomScaleNormal="69" zoomScaleSheetLayoutView="100" workbookViewId="0">
      <selection activeCell="N21" sqref="N21"/>
    </sheetView>
  </sheetViews>
  <sheetFormatPr defaultColWidth="9.140625" defaultRowHeight="15" x14ac:dyDescent="0.25"/>
  <cols>
    <col min="1" max="1" width="18.28515625" style="14" customWidth="1"/>
    <col min="2" max="2" width="10.7109375" style="14" customWidth="1"/>
    <col min="3" max="3" width="12.28515625" style="14" customWidth="1"/>
    <col min="4" max="4" width="11" style="14" customWidth="1"/>
    <col min="5" max="5" width="12" style="14" customWidth="1"/>
    <col min="6" max="6" width="12.5703125" style="14" bestFit="1" customWidth="1"/>
    <col min="7" max="7" width="9.28515625" style="14" bestFit="1" customWidth="1"/>
    <col min="8" max="8" width="10.140625" style="14" bestFit="1" customWidth="1"/>
    <col min="9" max="9" width="10.5703125" style="14" bestFit="1" customWidth="1"/>
    <col min="10" max="10" width="10.5703125" style="14" customWidth="1"/>
    <col min="11" max="11" width="10.28515625" style="14" bestFit="1" customWidth="1"/>
    <col min="12" max="12" width="9.42578125" style="14" bestFit="1" customWidth="1"/>
    <col min="13" max="13" width="9.85546875" style="14" bestFit="1" customWidth="1"/>
    <col min="14" max="14" width="10.140625" style="14" bestFit="1" customWidth="1"/>
    <col min="15" max="15" width="9" style="14" customWidth="1"/>
    <col min="16" max="16" width="12.85546875" style="14" bestFit="1" customWidth="1"/>
    <col min="17" max="18" width="9.42578125" style="14" customWidth="1"/>
    <col min="19" max="19" width="13.7109375" style="14" customWidth="1"/>
    <col min="20" max="20" width="12.140625" style="14" customWidth="1"/>
    <col min="21" max="21" width="19.5703125" style="14" bestFit="1" customWidth="1"/>
    <col min="22" max="22" width="9.85546875" style="14" customWidth="1"/>
    <col min="23" max="23" width="10.140625" style="14" bestFit="1" customWidth="1"/>
    <col min="24" max="24" width="10.28515625" style="14" customWidth="1"/>
    <col min="25" max="25" width="28" style="14" customWidth="1"/>
    <col min="26" max="16384" width="9.140625" style="14"/>
  </cols>
  <sheetData>
    <row r="1" spans="1:25" ht="46.15" customHeight="1" x14ac:dyDescent="0.25">
      <c r="A1" s="2240" t="s">
        <v>148</v>
      </c>
      <c r="B1" s="2240"/>
      <c r="C1" s="2240"/>
      <c r="D1" s="2240"/>
      <c r="E1" s="2240"/>
      <c r="F1" s="2240"/>
      <c r="G1" s="2240"/>
      <c r="H1" s="2240"/>
      <c r="I1" s="2240"/>
      <c r="J1" s="2240"/>
      <c r="K1" s="2240"/>
      <c r="L1" s="2240"/>
      <c r="M1" s="2240"/>
      <c r="N1" s="2240"/>
      <c r="O1" s="2240"/>
      <c r="P1" s="2240"/>
      <c r="Q1" s="2240"/>
      <c r="R1" s="2240"/>
      <c r="S1" s="2240"/>
      <c r="T1" s="2240"/>
      <c r="U1" s="2240"/>
      <c r="V1" s="2240"/>
      <c r="W1" s="2240"/>
      <c r="X1" s="2240"/>
      <c r="Y1" s="2240"/>
    </row>
    <row r="2" spans="1:25" ht="21.6" customHeight="1" x14ac:dyDescent="0.25">
      <c r="A2" s="2241" t="s">
        <v>77</v>
      </c>
      <c r="B2" s="2241"/>
      <c r="C2" s="2241"/>
      <c r="D2" s="2241"/>
      <c r="E2" s="2241"/>
      <c r="F2" s="2241"/>
      <c r="G2" s="2241"/>
      <c r="H2" s="2241"/>
      <c r="I2" s="2241"/>
      <c r="J2" s="2241"/>
      <c r="K2" s="2241"/>
      <c r="L2" s="2241"/>
      <c r="M2" s="2241"/>
      <c r="N2" s="2241"/>
      <c r="O2" s="2241"/>
      <c r="P2" s="2241"/>
      <c r="Q2" s="2241"/>
      <c r="R2" s="2241"/>
      <c r="S2" s="2241"/>
      <c r="T2" s="2241"/>
      <c r="U2" s="2241"/>
      <c r="V2" s="2241"/>
      <c r="W2" s="2241"/>
      <c r="X2" s="2241"/>
      <c r="Y2" s="2241"/>
    </row>
    <row r="3" spans="1:25" ht="21" customHeight="1" x14ac:dyDescent="0.25">
      <c r="A3" s="120"/>
      <c r="B3" s="120"/>
      <c r="C3" s="120"/>
      <c r="D3" s="120"/>
      <c r="E3" s="120"/>
      <c r="F3" s="120"/>
      <c r="G3" s="120"/>
      <c r="H3" s="120"/>
      <c r="I3" s="120"/>
      <c r="J3" s="120"/>
      <c r="K3" s="120"/>
      <c r="L3" s="120"/>
      <c r="M3" s="120"/>
      <c r="N3" s="120"/>
      <c r="O3" s="120"/>
      <c r="P3" s="120"/>
      <c r="Q3" s="120"/>
      <c r="R3" s="120"/>
      <c r="S3" s="120"/>
      <c r="T3" s="2242" t="s">
        <v>179</v>
      </c>
      <c r="U3" s="2242"/>
      <c r="V3" s="2242"/>
      <c r="W3" s="2242"/>
      <c r="X3" s="2242"/>
      <c r="Y3" s="2242"/>
    </row>
    <row r="4" spans="1:25" s="120" customFormat="1" ht="18" customHeight="1" x14ac:dyDescent="0.25">
      <c r="A4" s="2243" t="s">
        <v>25</v>
      </c>
      <c r="B4" s="2243" t="s">
        <v>26</v>
      </c>
      <c r="C4" s="2244" t="s">
        <v>27</v>
      </c>
      <c r="D4" s="2244"/>
      <c r="E4" s="2244" t="s">
        <v>28</v>
      </c>
      <c r="F4" s="2244"/>
      <c r="G4" s="2244" t="s">
        <v>65</v>
      </c>
      <c r="H4" s="2244"/>
      <c r="I4" s="2244" t="s">
        <v>29</v>
      </c>
      <c r="J4" s="2244"/>
      <c r="K4" s="2245" t="s">
        <v>13</v>
      </c>
      <c r="L4" s="2246"/>
      <c r="M4" s="2245" t="s">
        <v>67</v>
      </c>
      <c r="N4" s="2246"/>
      <c r="O4" s="2245" t="s">
        <v>68</v>
      </c>
      <c r="P4" s="2246"/>
      <c r="Q4" s="2245" t="s">
        <v>114</v>
      </c>
      <c r="R4" s="2246"/>
      <c r="S4" s="2244" t="s">
        <v>35</v>
      </c>
      <c r="T4" s="2244"/>
      <c r="U4" s="2245" t="s">
        <v>17</v>
      </c>
      <c r="V4" s="2246"/>
      <c r="W4" s="2247" t="s">
        <v>36</v>
      </c>
      <c r="X4" s="2248"/>
      <c r="Y4" s="2238" t="s">
        <v>30</v>
      </c>
    </row>
    <row r="5" spans="1:25" s="120" customFormat="1" ht="25.5" customHeight="1" x14ac:dyDescent="0.25">
      <c r="A5" s="2243"/>
      <c r="B5" s="2243"/>
      <c r="C5" s="122" t="s">
        <v>42</v>
      </c>
      <c r="D5" s="122" t="s">
        <v>43</v>
      </c>
      <c r="E5" s="122" t="s">
        <v>42</v>
      </c>
      <c r="F5" s="122" t="s">
        <v>43</v>
      </c>
      <c r="G5" s="122" t="s">
        <v>42</v>
      </c>
      <c r="H5" s="122" t="s">
        <v>43</v>
      </c>
      <c r="I5" s="122" t="s">
        <v>42</v>
      </c>
      <c r="J5" s="122" t="s">
        <v>43</v>
      </c>
      <c r="K5" s="122" t="s">
        <v>42</v>
      </c>
      <c r="L5" s="122" t="s">
        <v>43</v>
      </c>
      <c r="M5" s="122" t="s">
        <v>42</v>
      </c>
      <c r="N5" s="122" t="s">
        <v>43</v>
      </c>
      <c r="O5" s="122" t="s">
        <v>42</v>
      </c>
      <c r="P5" s="122" t="s">
        <v>43</v>
      </c>
      <c r="Q5" s="122" t="s">
        <v>42</v>
      </c>
      <c r="R5" s="122" t="s">
        <v>43</v>
      </c>
      <c r="S5" s="33" t="s">
        <v>42</v>
      </c>
      <c r="T5" s="33" t="s">
        <v>43</v>
      </c>
      <c r="U5" s="30" t="s">
        <v>42</v>
      </c>
      <c r="V5" s="30" t="s">
        <v>43</v>
      </c>
      <c r="W5" s="30" t="s">
        <v>42</v>
      </c>
      <c r="X5" s="30" t="s">
        <v>43</v>
      </c>
      <c r="Y5" s="2239"/>
    </row>
    <row r="6" spans="1:25" ht="34.5" customHeight="1" x14ac:dyDescent="0.25">
      <c r="A6" s="12">
        <v>1409935200</v>
      </c>
      <c r="B6" s="121" t="s">
        <v>71</v>
      </c>
      <c r="C6" s="124">
        <v>38643</v>
      </c>
      <c r="D6" s="125">
        <f>0.9725*C6</f>
        <v>37580.317500000005</v>
      </c>
      <c r="E6" s="124"/>
      <c r="F6" s="124">
        <f>13.7*E6</f>
        <v>0</v>
      </c>
      <c r="G6" s="124">
        <v>90</v>
      </c>
      <c r="H6" s="124">
        <f>28.2*G6</f>
        <v>2538</v>
      </c>
      <c r="I6" s="124">
        <v>880</v>
      </c>
      <c r="J6" s="124">
        <f>18.5*I6</f>
        <v>16280</v>
      </c>
      <c r="K6" s="124"/>
      <c r="L6" s="124">
        <f>19.5*K6</f>
        <v>0</v>
      </c>
      <c r="M6" s="124"/>
      <c r="N6" s="125">
        <f>M6*9.75</f>
        <v>0</v>
      </c>
      <c r="O6" s="124"/>
      <c r="P6" s="125">
        <f>O6*48.62</f>
        <v>0</v>
      </c>
      <c r="Q6" s="125"/>
      <c r="R6" s="125">
        <f>241*Q6</f>
        <v>0</v>
      </c>
      <c r="S6" s="124"/>
      <c r="T6" s="124">
        <f>241*S6</f>
        <v>0</v>
      </c>
      <c r="U6" s="124"/>
      <c r="V6" s="124">
        <f>232*U6</f>
        <v>0</v>
      </c>
      <c r="W6" s="124"/>
      <c r="X6" s="19">
        <f>W6*100</f>
        <v>0</v>
      </c>
      <c r="Y6" s="89">
        <f t="shared" ref="Y6:Y11" si="0">D6+F6+H6+J6+L6+N6+P6+R6+T6+V6+X6</f>
        <v>56398.317500000005</v>
      </c>
    </row>
    <row r="7" spans="1:25" ht="31.5" customHeight="1" x14ac:dyDescent="0.25">
      <c r="A7" s="12">
        <v>1984225578</v>
      </c>
      <c r="B7" s="121" t="s">
        <v>72</v>
      </c>
      <c r="C7" s="124">
        <v>52348</v>
      </c>
      <c r="D7" s="125">
        <f t="shared" ref="D7:D11" si="1">0.9725*C7</f>
        <v>50908.43</v>
      </c>
      <c r="E7" s="124"/>
      <c r="F7" s="124">
        <f t="shared" ref="F7:F11" si="2">13.7*E7</f>
        <v>0</v>
      </c>
      <c r="G7" s="124">
        <v>110</v>
      </c>
      <c r="H7" s="124">
        <f t="shared" ref="H7:H11" si="3">28.2*G7</f>
        <v>3102</v>
      </c>
      <c r="I7" s="124">
        <v>3930</v>
      </c>
      <c r="J7" s="124">
        <f t="shared" ref="J7:J11" si="4">18.5*I7</f>
        <v>72705</v>
      </c>
      <c r="K7" s="124"/>
      <c r="L7" s="124">
        <f t="shared" ref="L7:L11" si="5">19.5*K7</f>
        <v>0</v>
      </c>
      <c r="M7" s="124"/>
      <c r="N7" s="125">
        <f t="shared" ref="N7:N11" si="6">M7*9.75</f>
        <v>0</v>
      </c>
      <c r="O7" s="124"/>
      <c r="P7" s="125">
        <f t="shared" ref="P7:P11" si="7">O7*48.62</f>
        <v>0</v>
      </c>
      <c r="Q7" s="125"/>
      <c r="R7" s="125">
        <f t="shared" ref="R7:R11" si="8">241*Q7</f>
        <v>0</v>
      </c>
      <c r="S7" s="124">
        <v>15</v>
      </c>
      <c r="T7" s="124">
        <f t="shared" ref="T7:T11" si="9">241*S7</f>
        <v>3615</v>
      </c>
      <c r="U7" s="124">
        <v>56</v>
      </c>
      <c r="V7" s="124">
        <f t="shared" ref="V7:V11" si="10">232*U7</f>
        <v>12992</v>
      </c>
      <c r="W7" s="124"/>
      <c r="X7" s="19">
        <f t="shared" ref="X7:X11" si="11">W7*100</f>
        <v>0</v>
      </c>
      <c r="Y7" s="89">
        <f t="shared" si="0"/>
        <v>143322.43</v>
      </c>
    </row>
    <row r="8" spans="1:25" ht="35.25" customHeight="1" x14ac:dyDescent="0.25">
      <c r="A8" s="12">
        <v>1967020280</v>
      </c>
      <c r="B8" s="121" t="s">
        <v>73</v>
      </c>
      <c r="C8" s="124">
        <v>36060</v>
      </c>
      <c r="D8" s="125">
        <f t="shared" si="1"/>
        <v>35068.35</v>
      </c>
      <c r="E8" s="124"/>
      <c r="F8" s="124">
        <f t="shared" si="2"/>
        <v>0</v>
      </c>
      <c r="G8" s="124">
        <v>230</v>
      </c>
      <c r="H8" s="124">
        <f t="shared" si="3"/>
        <v>6486</v>
      </c>
      <c r="I8" s="124">
        <v>2780</v>
      </c>
      <c r="J8" s="124">
        <f t="shared" si="4"/>
        <v>51430</v>
      </c>
      <c r="K8" s="124"/>
      <c r="L8" s="124">
        <f t="shared" si="5"/>
        <v>0</v>
      </c>
      <c r="M8" s="124"/>
      <c r="N8" s="125">
        <f t="shared" si="6"/>
        <v>0</v>
      </c>
      <c r="O8" s="124"/>
      <c r="P8" s="125">
        <f t="shared" si="7"/>
        <v>0</v>
      </c>
      <c r="Q8" s="125"/>
      <c r="R8" s="125">
        <f t="shared" si="8"/>
        <v>0</v>
      </c>
      <c r="S8" s="124"/>
      <c r="T8" s="124">
        <f t="shared" si="9"/>
        <v>0</v>
      </c>
      <c r="U8" s="124">
        <v>25</v>
      </c>
      <c r="V8" s="124">
        <f t="shared" si="10"/>
        <v>5800</v>
      </c>
      <c r="W8" s="124"/>
      <c r="X8" s="19">
        <f t="shared" si="11"/>
        <v>0</v>
      </c>
      <c r="Y8" s="89">
        <f t="shared" si="0"/>
        <v>98784.35</v>
      </c>
    </row>
    <row r="9" spans="1:25" ht="38.25" customHeight="1" x14ac:dyDescent="0.25">
      <c r="A9" s="12">
        <v>1409935199</v>
      </c>
      <c r="B9" s="121" t="s">
        <v>75</v>
      </c>
      <c r="C9" s="124">
        <v>49570</v>
      </c>
      <c r="D9" s="125">
        <f t="shared" si="1"/>
        <v>48206.825000000004</v>
      </c>
      <c r="E9" s="124"/>
      <c r="F9" s="124">
        <f t="shared" si="2"/>
        <v>0</v>
      </c>
      <c r="G9" s="124">
        <v>30</v>
      </c>
      <c r="H9" s="124">
        <f t="shared" si="3"/>
        <v>846</v>
      </c>
      <c r="I9" s="124">
        <v>2410</v>
      </c>
      <c r="J9" s="124">
        <f t="shared" si="4"/>
        <v>44585</v>
      </c>
      <c r="K9" s="124"/>
      <c r="L9" s="124">
        <f t="shared" si="5"/>
        <v>0</v>
      </c>
      <c r="M9" s="124"/>
      <c r="N9" s="125">
        <f t="shared" si="6"/>
        <v>0</v>
      </c>
      <c r="O9" s="124"/>
      <c r="P9" s="125">
        <f t="shared" si="7"/>
        <v>0</v>
      </c>
      <c r="Q9" s="125"/>
      <c r="R9" s="125">
        <f t="shared" si="8"/>
        <v>0</v>
      </c>
      <c r="S9" s="124">
        <v>2</v>
      </c>
      <c r="T9" s="124">
        <f t="shared" si="9"/>
        <v>482</v>
      </c>
      <c r="U9" s="124">
        <v>15</v>
      </c>
      <c r="V9" s="124">
        <f t="shared" si="10"/>
        <v>3480</v>
      </c>
      <c r="W9" s="124"/>
      <c r="X9" s="19">
        <f t="shared" si="11"/>
        <v>0</v>
      </c>
      <c r="Y9" s="89">
        <f t="shared" si="0"/>
        <v>97599.825000000012</v>
      </c>
    </row>
    <row r="10" spans="1:25" ht="35.25" customHeight="1" x14ac:dyDescent="0.25">
      <c r="A10" s="12">
        <v>1984225580</v>
      </c>
      <c r="C10" s="124"/>
      <c r="D10" s="125">
        <f t="shared" si="1"/>
        <v>0</v>
      </c>
      <c r="E10" s="124"/>
      <c r="F10" s="124">
        <f t="shared" si="2"/>
        <v>0</v>
      </c>
      <c r="G10" s="124"/>
      <c r="H10" s="124">
        <f t="shared" si="3"/>
        <v>0</v>
      </c>
      <c r="I10" s="124"/>
      <c r="J10" s="124">
        <f t="shared" si="4"/>
        <v>0</v>
      </c>
      <c r="K10" s="124"/>
      <c r="L10" s="124">
        <f t="shared" si="5"/>
        <v>0</v>
      </c>
      <c r="M10" s="124"/>
      <c r="N10" s="125">
        <f t="shared" si="6"/>
        <v>0</v>
      </c>
      <c r="O10" s="124"/>
      <c r="P10" s="125">
        <f t="shared" si="7"/>
        <v>0</v>
      </c>
      <c r="Q10" s="125"/>
      <c r="R10" s="125">
        <f t="shared" si="8"/>
        <v>0</v>
      </c>
      <c r="S10" s="124"/>
      <c r="T10" s="124">
        <f t="shared" si="9"/>
        <v>0</v>
      </c>
      <c r="U10" s="124"/>
      <c r="V10" s="124">
        <f t="shared" si="10"/>
        <v>0</v>
      </c>
      <c r="W10" s="124"/>
      <c r="X10" s="19">
        <f t="shared" si="11"/>
        <v>0</v>
      </c>
      <c r="Y10" s="89">
        <f t="shared" si="0"/>
        <v>0</v>
      </c>
    </row>
    <row r="11" spans="1:25" ht="37.5" customHeight="1" x14ac:dyDescent="0.25">
      <c r="A11" s="12"/>
      <c r="B11" s="123"/>
      <c r="C11" s="124"/>
      <c r="D11" s="22">
        <f t="shared" si="1"/>
        <v>0</v>
      </c>
      <c r="E11" s="124"/>
      <c r="F11" s="124">
        <f t="shared" si="2"/>
        <v>0</v>
      </c>
      <c r="G11" s="124"/>
      <c r="H11" s="124">
        <f t="shared" si="3"/>
        <v>0</v>
      </c>
      <c r="I11" s="124"/>
      <c r="J11" s="124">
        <f t="shared" si="4"/>
        <v>0</v>
      </c>
      <c r="K11" s="124"/>
      <c r="L11" s="124">
        <f t="shared" si="5"/>
        <v>0</v>
      </c>
      <c r="M11" s="124"/>
      <c r="N11" s="125">
        <f t="shared" si="6"/>
        <v>0</v>
      </c>
      <c r="O11" s="124"/>
      <c r="P11" s="125">
        <f t="shared" si="7"/>
        <v>0</v>
      </c>
      <c r="Q11" s="125"/>
      <c r="R11" s="125">
        <f t="shared" si="8"/>
        <v>0</v>
      </c>
      <c r="S11" s="124"/>
      <c r="T11" s="124">
        <f t="shared" si="9"/>
        <v>0</v>
      </c>
      <c r="U11" s="124"/>
      <c r="V11" s="124">
        <f t="shared" si="10"/>
        <v>0</v>
      </c>
      <c r="W11" s="124"/>
      <c r="X11" s="19">
        <f t="shared" si="11"/>
        <v>0</v>
      </c>
      <c r="Y11" s="20">
        <f t="shared" si="0"/>
        <v>0</v>
      </c>
    </row>
    <row r="12" spans="1:25" ht="29.25" customHeight="1" x14ac:dyDescent="0.25">
      <c r="A12" s="2235" t="s">
        <v>31</v>
      </c>
      <c r="B12" s="2235"/>
      <c r="C12" s="18">
        <f t="shared" ref="C12:Y12" si="12">SUM(C6:C11)</f>
        <v>176621</v>
      </c>
      <c r="D12" s="18">
        <f t="shared" si="12"/>
        <v>171763.92250000002</v>
      </c>
      <c r="E12" s="18">
        <f t="shared" si="12"/>
        <v>0</v>
      </c>
      <c r="F12" s="18">
        <f t="shared" si="12"/>
        <v>0</v>
      </c>
      <c r="G12" s="18">
        <f t="shared" si="12"/>
        <v>460</v>
      </c>
      <c r="H12" s="18">
        <f t="shared" si="12"/>
        <v>12972</v>
      </c>
      <c r="I12" s="18">
        <f t="shared" si="12"/>
        <v>10000</v>
      </c>
      <c r="J12" s="18">
        <f t="shared" si="12"/>
        <v>185000</v>
      </c>
      <c r="K12" s="18">
        <f t="shared" si="12"/>
        <v>0</v>
      </c>
      <c r="L12" s="18">
        <f t="shared" si="12"/>
        <v>0</v>
      </c>
      <c r="M12" s="18">
        <f t="shared" si="12"/>
        <v>0</v>
      </c>
      <c r="N12" s="23">
        <f t="shared" si="12"/>
        <v>0</v>
      </c>
      <c r="O12" s="18">
        <f t="shared" si="12"/>
        <v>0</v>
      </c>
      <c r="P12" s="23">
        <f t="shared" si="12"/>
        <v>0</v>
      </c>
      <c r="Q12" s="23">
        <f t="shared" si="12"/>
        <v>0</v>
      </c>
      <c r="R12" s="23">
        <f>SUM(R6:R11)</f>
        <v>0</v>
      </c>
      <c r="S12" s="18">
        <f t="shared" si="12"/>
        <v>17</v>
      </c>
      <c r="T12" s="18">
        <f t="shared" si="12"/>
        <v>4097</v>
      </c>
      <c r="U12" s="18">
        <f t="shared" si="12"/>
        <v>96</v>
      </c>
      <c r="V12" s="18">
        <f t="shared" si="12"/>
        <v>22272</v>
      </c>
      <c r="W12" s="18">
        <f t="shared" si="12"/>
        <v>0</v>
      </c>
      <c r="X12" s="18">
        <f t="shared" si="12"/>
        <v>0</v>
      </c>
      <c r="Y12" s="18">
        <f t="shared" si="12"/>
        <v>396104.92250000004</v>
      </c>
    </row>
    <row r="14" spans="1:25" ht="41.25" customHeight="1" x14ac:dyDescent="0.25">
      <c r="A14" s="30" t="s">
        <v>32</v>
      </c>
      <c r="B14" s="2236" t="s">
        <v>27</v>
      </c>
      <c r="C14" s="2236"/>
      <c r="D14" s="30" t="s">
        <v>33</v>
      </c>
      <c r="E14" s="30" t="s">
        <v>65</v>
      </c>
      <c r="F14" s="30" t="s">
        <v>34</v>
      </c>
      <c r="G14" s="30" t="s">
        <v>13</v>
      </c>
      <c r="H14" s="142" t="s">
        <v>173</v>
      </c>
      <c r="I14" s="30" t="s">
        <v>17</v>
      </c>
      <c r="J14" s="129" t="s">
        <v>174</v>
      </c>
      <c r="K14" s="30" t="s">
        <v>36</v>
      </c>
      <c r="L14" s="30" t="s">
        <v>175</v>
      </c>
      <c r="M14" s="30" t="s">
        <v>69</v>
      </c>
      <c r="N14" s="30" t="s">
        <v>70</v>
      </c>
      <c r="O14" s="129" t="s">
        <v>114</v>
      </c>
      <c r="P14" s="129" t="s">
        <v>99</v>
      </c>
      <c r="Q14" s="2272" t="s">
        <v>150</v>
      </c>
      <c r="R14" s="2272"/>
      <c r="S14" s="129" t="s">
        <v>171</v>
      </c>
      <c r="T14" s="2235" t="s">
        <v>46</v>
      </c>
      <c r="U14" s="121" t="s">
        <v>176</v>
      </c>
      <c r="V14" s="2260">
        <v>281</v>
      </c>
      <c r="W14" s="2268"/>
      <c r="X14" s="2261"/>
    </row>
    <row r="15" spans="1:25" ht="22.5" customHeight="1" x14ac:dyDescent="0.25">
      <c r="A15" s="100" t="s">
        <v>38</v>
      </c>
      <c r="B15" s="2260">
        <v>278342</v>
      </c>
      <c r="C15" s="2261"/>
      <c r="D15" s="126">
        <v>0</v>
      </c>
      <c r="E15" s="126">
        <v>2000</v>
      </c>
      <c r="F15" s="126">
        <v>17000</v>
      </c>
      <c r="G15" s="126">
        <v>0</v>
      </c>
      <c r="H15" s="126">
        <v>205</v>
      </c>
      <c r="I15" s="126">
        <v>150</v>
      </c>
      <c r="J15" s="126">
        <v>65</v>
      </c>
      <c r="K15" s="126">
        <v>57</v>
      </c>
      <c r="L15" s="126">
        <v>55</v>
      </c>
      <c r="M15" s="126">
        <v>0</v>
      </c>
      <c r="N15" s="126">
        <v>100</v>
      </c>
      <c r="O15" s="126">
        <v>0</v>
      </c>
      <c r="P15" s="126">
        <v>508</v>
      </c>
      <c r="Q15" s="2262">
        <v>6</v>
      </c>
      <c r="R15" s="2262"/>
      <c r="S15" s="121">
        <v>287</v>
      </c>
      <c r="T15" s="2235"/>
      <c r="U15" s="121" t="s">
        <v>64</v>
      </c>
      <c r="V15" s="2262">
        <v>37539</v>
      </c>
      <c r="W15" s="2262"/>
      <c r="X15" s="2262"/>
    </row>
    <row r="16" spans="1:25" ht="24.75" customHeight="1" x14ac:dyDescent="0.25">
      <c r="A16" s="100" t="s">
        <v>39</v>
      </c>
      <c r="B16" s="2260">
        <v>264935</v>
      </c>
      <c r="C16" s="2261"/>
      <c r="D16" s="126"/>
      <c r="E16" s="126"/>
      <c r="F16" s="126"/>
      <c r="G16" s="126"/>
      <c r="H16" s="126"/>
      <c r="I16" s="126"/>
      <c r="J16" s="126"/>
      <c r="K16" s="126"/>
      <c r="L16" s="126">
        <v>130</v>
      </c>
      <c r="M16" s="126"/>
      <c r="N16" s="126"/>
      <c r="O16" s="126"/>
      <c r="P16" s="126"/>
      <c r="Q16" s="2225"/>
      <c r="R16" s="2225"/>
      <c r="S16" s="123"/>
      <c r="T16" s="2254" t="s">
        <v>55</v>
      </c>
      <c r="U16" s="2254"/>
      <c r="V16" s="2267">
        <f>Y12</f>
        <v>396104.92250000004</v>
      </c>
      <c r="W16" s="2267"/>
      <c r="X16" s="2262"/>
    </row>
    <row r="17" spans="1:25" ht="28.5" customHeight="1" x14ac:dyDescent="0.25">
      <c r="A17" s="101" t="s">
        <v>44</v>
      </c>
      <c r="B17" s="2260">
        <v>68116</v>
      </c>
      <c r="C17" s="2261"/>
      <c r="D17" s="126"/>
      <c r="E17" s="126"/>
      <c r="F17" s="126"/>
      <c r="G17" s="126"/>
      <c r="H17" s="126"/>
      <c r="I17" s="126"/>
      <c r="J17" s="126"/>
      <c r="K17" s="126"/>
      <c r="L17" s="126"/>
      <c r="M17" s="126"/>
      <c r="N17" s="126"/>
      <c r="O17" s="126"/>
      <c r="P17" s="126"/>
      <c r="Q17" s="2225"/>
      <c r="R17" s="2225"/>
      <c r="S17" s="123"/>
      <c r="T17" s="2270" t="s">
        <v>178</v>
      </c>
      <c r="U17" s="2271"/>
      <c r="V17" s="2262"/>
      <c r="W17" s="2262"/>
      <c r="X17" s="2262"/>
    </row>
    <row r="18" spans="1:25" ht="27" customHeight="1" x14ac:dyDescent="0.25">
      <c r="A18" s="100" t="s">
        <v>40</v>
      </c>
      <c r="B18" s="2264">
        <f>C12</f>
        <v>176621</v>
      </c>
      <c r="C18" s="2261"/>
      <c r="D18" s="127">
        <f>E12</f>
        <v>0</v>
      </c>
      <c r="E18" s="127">
        <f>G12</f>
        <v>460</v>
      </c>
      <c r="F18" s="127">
        <f>I12</f>
        <v>10000</v>
      </c>
      <c r="G18" s="127">
        <f>K12</f>
        <v>0</v>
      </c>
      <c r="H18" s="126">
        <v>147</v>
      </c>
      <c r="I18" s="127">
        <f>U12</f>
        <v>96</v>
      </c>
      <c r="J18" s="126"/>
      <c r="K18" s="127">
        <f>W12</f>
        <v>0</v>
      </c>
      <c r="L18" s="126"/>
      <c r="M18" s="127">
        <f>M12</f>
        <v>0</v>
      </c>
      <c r="N18" s="127"/>
      <c r="O18" s="128">
        <f>Q12</f>
        <v>0</v>
      </c>
      <c r="P18" s="126"/>
      <c r="Q18" s="2225"/>
      <c r="R18" s="2225"/>
      <c r="S18" s="121"/>
      <c r="T18" s="2254" t="s">
        <v>57</v>
      </c>
      <c r="U18" s="2254"/>
      <c r="V18" s="2262">
        <f>450+270</f>
        <v>720</v>
      </c>
      <c r="W18" s="2262"/>
      <c r="X18" s="2262"/>
      <c r="Y18" s="2269" t="s">
        <v>135</v>
      </c>
    </row>
    <row r="19" spans="1:25" ht="25.5" customHeight="1" x14ac:dyDescent="0.25">
      <c r="A19" s="100" t="s">
        <v>41</v>
      </c>
      <c r="B19" s="2260">
        <f>B15+B16+B17-B18</f>
        <v>434772</v>
      </c>
      <c r="C19" s="2261"/>
      <c r="D19" s="126">
        <f>D15+D16+D17-D18</f>
        <v>0</v>
      </c>
      <c r="E19" s="126">
        <f t="shared" ref="E19:N19" si="13">E15+E16+E17-E18</f>
        <v>1540</v>
      </c>
      <c r="F19" s="126">
        <f t="shared" si="13"/>
        <v>7000</v>
      </c>
      <c r="G19" s="126">
        <f t="shared" si="13"/>
        <v>0</v>
      </c>
      <c r="H19" s="126">
        <f t="shared" si="13"/>
        <v>58</v>
      </c>
      <c r="I19" s="126">
        <f t="shared" si="13"/>
        <v>54</v>
      </c>
      <c r="J19" s="126">
        <f t="shared" si="13"/>
        <v>65</v>
      </c>
      <c r="K19" s="126">
        <f t="shared" si="13"/>
        <v>57</v>
      </c>
      <c r="L19" s="126">
        <f t="shared" si="13"/>
        <v>185</v>
      </c>
      <c r="M19" s="126">
        <f t="shared" si="13"/>
        <v>0</v>
      </c>
      <c r="N19" s="126">
        <f t="shared" si="13"/>
        <v>100</v>
      </c>
      <c r="O19" s="126">
        <f>O15+O16+O17-O18</f>
        <v>0</v>
      </c>
      <c r="P19" s="126">
        <f>P15+P16+P17-P18</f>
        <v>508</v>
      </c>
      <c r="Q19" s="2260">
        <f t="shared" ref="Q19" si="14">Q15+Q16+Q17-Q18</f>
        <v>6</v>
      </c>
      <c r="R19" s="2261"/>
      <c r="S19" s="121">
        <f>S15+S16-S17-S18</f>
        <v>287</v>
      </c>
      <c r="T19" s="2256" t="s">
        <v>48</v>
      </c>
      <c r="U19" s="49" t="s">
        <v>58</v>
      </c>
      <c r="V19" s="2262">
        <v>255000</v>
      </c>
      <c r="W19" s="2262"/>
      <c r="X19" s="2262"/>
      <c r="Y19" s="2269"/>
    </row>
    <row r="20" spans="1:25" ht="23.25" customHeight="1" x14ac:dyDescent="0.25">
      <c r="A20" s="11" t="s">
        <v>168</v>
      </c>
      <c r="B20" s="2278">
        <f>B19*0.9625</f>
        <v>418468.05</v>
      </c>
      <c r="C20" s="2279"/>
      <c r="D20" s="123">
        <f>D19*13.56</f>
        <v>0</v>
      </c>
      <c r="E20" s="123">
        <f>28.2*E19</f>
        <v>43428</v>
      </c>
      <c r="F20" s="123">
        <f>18.31*F19</f>
        <v>128169.99999999999</v>
      </c>
      <c r="G20" s="123">
        <f>19.3*G19</f>
        <v>0</v>
      </c>
      <c r="H20" s="123">
        <f>241*H19</f>
        <v>13978</v>
      </c>
      <c r="I20" s="123">
        <f>223*I19</f>
        <v>12042</v>
      </c>
      <c r="J20" s="123">
        <f>241*J19</f>
        <v>15665</v>
      </c>
      <c r="K20" s="123">
        <f>K19*100</f>
        <v>5700</v>
      </c>
      <c r="L20" s="123">
        <f>241*L19</f>
        <v>44585</v>
      </c>
      <c r="M20" s="123">
        <f>9.65*M19</f>
        <v>0</v>
      </c>
      <c r="N20" s="123">
        <f>N19*48.2</f>
        <v>4820</v>
      </c>
      <c r="O20" s="123">
        <f>241*O19</f>
        <v>0</v>
      </c>
      <c r="P20" s="123">
        <f>241*P19</f>
        <v>122428</v>
      </c>
      <c r="Q20" s="2278">
        <f>241*Q19</f>
        <v>1446</v>
      </c>
      <c r="R20" s="2279"/>
      <c r="S20" s="123">
        <f>241*S19</f>
        <v>69167</v>
      </c>
      <c r="T20" s="2257"/>
      <c r="U20" s="49" t="s">
        <v>59</v>
      </c>
      <c r="V20" s="2262"/>
      <c r="W20" s="2262"/>
      <c r="X20" s="2262"/>
      <c r="Y20" s="2269"/>
    </row>
    <row r="21" spans="1:25" ht="32.25" customHeight="1" x14ac:dyDescent="0.25">
      <c r="A21" s="15"/>
      <c r="B21" s="2281"/>
      <c r="C21" s="2281"/>
      <c r="O21" s="130"/>
      <c r="P21" s="130"/>
      <c r="Q21" s="130"/>
      <c r="R21" s="130"/>
      <c r="T21" s="2273" t="s">
        <v>167</v>
      </c>
      <c r="U21" s="2274"/>
      <c r="V21" s="2260"/>
      <c r="W21" s="2268"/>
      <c r="X21" s="2261"/>
      <c r="Y21" s="2269"/>
    </row>
    <row r="22" spans="1:25" ht="35.25" customHeight="1" x14ac:dyDescent="0.25">
      <c r="A22" s="15"/>
      <c r="B22" s="2275" t="s">
        <v>49</v>
      </c>
      <c r="C22" s="2265">
        <v>836534</v>
      </c>
      <c r="D22" s="2265">
        <v>255000</v>
      </c>
      <c r="E22" s="2265">
        <v>255000</v>
      </c>
      <c r="F22" s="2265">
        <f>C22-D22+E22</f>
        <v>836534</v>
      </c>
      <c r="G22" s="130"/>
      <c r="Q22" s="130"/>
      <c r="R22" s="130"/>
      <c r="T22" s="2251" t="s">
        <v>83</v>
      </c>
      <c r="U22" s="50" t="s">
        <v>60</v>
      </c>
      <c r="V22" s="2262">
        <v>390130</v>
      </c>
      <c r="W22" s="2262"/>
      <c r="X22" s="2262"/>
      <c r="Y22" s="2269"/>
    </row>
    <row r="23" spans="1:25" ht="39.75" customHeight="1" x14ac:dyDescent="0.25">
      <c r="A23" s="130"/>
      <c r="B23" s="2276"/>
      <c r="C23" s="2266"/>
      <c r="D23" s="2266"/>
      <c r="E23" s="2266"/>
      <c r="F23" s="2266"/>
      <c r="G23" s="130"/>
      <c r="Q23" s="130"/>
      <c r="R23" s="130"/>
      <c r="T23" s="2252"/>
      <c r="U23" s="50" t="s">
        <v>61</v>
      </c>
      <c r="V23" s="2262">
        <v>255000</v>
      </c>
      <c r="W23" s="2262"/>
      <c r="X23" s="2262"/>
      <c r="Y23" s="2269"/>
    </row>
    <row r="24" spans="1:25" ht="47.25" customHeight="1" x14ac:dyDescent="0.25">
      <c r="A24" s="130"/>
      <c r="B24" s="2277"/>
      <c r="C24" s="121" t="s">
        <v>46</v>
      </c>
      <c r="D24" s="121" t="s">
        <v>50</v>
      </c>
      <c r="E24" s="121" t="s">
        <v>51</v>
      </c>
      <c r="F24" s="121" t="s">
        <v>52</v>
      </c>
      <c r="G24" s="130"/>
      <c r="Q24" s="130"/>
      <c r="R24" s="130"/>
      <c r="T24" s="2235" t="s">
        <v>47</v>
      </c>
      <c r="U24" s="51" t="s">
        <v>62</v>
      </c>
      <c r="V24" s="2263">
        <f>V14+V16+V17-V18-V19-V20-V22+V23-V21</f>
        <v>5535.9225000000442</v>
      </c>
      <c r="W24" s="2263"/>
      <c r="X24" s="2263"/>
      <c r="Y24" s="2269"/>
    </row>
    <row r="25" spans="1:25" ht="40.5" customHeight="1" x14ac:dyDescent="0.25">
      <c r="T25" s="2235"/>
      <c r="U25" s="51" t="s">
        <v>63</v>
      </c>
      <c r="V25" s="2262">
        <f>V15+V22-V23</f>
        <v>172669</v>
      </c>
      <c r="W25" s="2262"/>
      <c r="X25" s="2262"/>
    </row>
    <row r="26" spans="1:25" ht="36" customHeight="1" x14ac:dyDescent="0.25"/>
    <row r="32" spans="1:25" x14ac:dyDescent="0.25">
      <c r="I32" s="2280"/>
      <c r="J32" s="2280"/>
      <c r="K32" s="2280"/>
      <c r="L32" s="2280"/>
    </row>
    <row r="33" spans="9:12" x14ac:dyDescent="0.25">
      <c r="I33" s="130"/>
      <c r="J33" s="130"/>
      <c r="K33" s="2280"/>
      <c r="L33" s="2280"/>
    </row>
  </sheetData>
  <mergeCells count="62">
    <mergeCell ref="K33:L33"/>
    <mergeCell ref="B21:C21"/>
    <mergeCell ref="V22:X22"/>
    <mergeCell ref="V23:X23"/>
    <mergeCell ref="T24:T25"/>
    <mergeCell ref="V24:X24"/>
    <mergeCell ref="V25:X25"/>
    <mergeCell ref="I32:J32"/>
    <mergeCell ref="K32:L32"/>
    <mergeCell ref="Y18:Y24"/>
    <mergeCell ref="B19:C19"/>
    <mergeCell ref="Q19:R19"/>
    <mergeCell ref="T19:T20"/>
    <mergeCell ref="V19:X19"/>
    <mergeCell ref="B20:C20"/>
    <mergeCell ref="Q20:R20"/>
    <mergeCell ref="V20:X20"/>
    <mergeCell ref="T21:U21"/>
    <mergeCell ref="V21:X21"/>
    <mergeCell ref="B22:B24"/>
    <mergeCell ref="C22:C23"/>
    <mergeCell ref="D22:D23"/>
    <mergeCell ref="E22:E23"/>
    <mergeCell ref="F22:F23"/>
    <mergeCell ref="T22:T23"/>
    <mergeCell ref="B17:C17"/>
    <mergeCell ref="Q17:R17"/>
    <mergeCell ref="T17:U17"/>
    <mergeCell ref="V17:X17"/>
    <mergeCell ref="B18:C18"/>
    <mergeCell ref="Q18:R18"/>
    <mergeCell ref="T18:U18"/>
    <mergeCell ref="V18:X18"/>
    <mergeCell ref="W4:X4"/>
    <mergeCell ref="B16:C16"/>
    <mergeCell ref="Q16:R16"/>
    <mergeCell ref="T16:U16"/>
    <mergeCell ref="V16:X16"/>
    <mergeCell ref="A12:B12"/>
    <mergeCell ref="B14:C14"/>
    <mergeCell ref="Q14:R14"/>
    <mergeCell ref="T14:T15"/>
    <mergeCell ref="V14:X14"/>
    <mergeCell ref="B15:C15"/>
    <mergeCell ref="Q15:R15"/>
    <mergeCell ref="V15:X15"/>
    <mergeCell ref="A1:Y1"/>
    <mergeCell ref="A2:Y2"/>
    <mergeCell ref="T3:Y3"/>
    <mergeCell ref="A4:A5"/>
    <mergeCell ref="B4:B5"/>
    <mergeCell ref="C4:D4"/>
    <mergeCell ref="E4:F4"/>
    <mergeCell ref="G4:H4"/>
    <mergeCell ref="I4:J4"/>
    <mergeCell ref="K4:L4"/>
    <mergeCell ref="Y4:Y5"/>
    <mergeCell ref="M4:N4"/>
    <mergeCell ref="O4:P4"/>
    <mergeCell ref="Q4:R4"/>
    <mergeCell ref="S4:T4"/>
    <mergeCell ref="U4:V4"/>
  </mergeCells>
  <pageMargins left="0.15748031496063" right="0.15748031496063" top="0" bottom="0" header="0" footer="0"/>
  <pageSetup paperSize="9" scale="47" orientation="landscape" r:id="rId1"/>
  <legacyDrawing r:id="rId2"/>
</worksheet>
</file>

<file path=xl/worksheets/sheet4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F00-000000000000}">
  <sheetPr>
    <pageSetUpPr fitToPage="1"/>
  </sheetPr>
  <dimension ref="A1:Y33"/>
  <sheetViews>
    <sheetView topLeftCell="D12" zoomScale="69" zoomScaleNormal="69" zoomScaleSheetLayoutView="100" workbookViewId="0">
      <selection activeCell="P26" sqref="P26"/>
    </sheetView>
  </sheetViews>
  <sheetFormatPr defaultColWidth="9.140625" defaultRowHeight="15" x14ac:dyDescent="0.25"/>
  <cols>
    <col min="1" max="1" width="18.28515625" style="14" customWidth="1"/>
    <col min="2" max="2" width="10.7109375" style="14" customWidth="1"/>
    <col min="3" max="3" width="12.28515625" style="14" customWidth="1"/>
    <col min="4" max="4" width="11" style="14" customWidth="1"/>
    <col min="5" max="5" width="12" style="14" customWidth="1"/>
    <col min="6" max="6" width="12.5703125" style="14" bestFit="1" customWidth="1"/>
    <col min="7" max="7" width="9.28515625" style="14" bestFit="1" customWidth="1"/>
    <col min="8" max="8" width="10.140625" style="14" bestFit="1" customWidth="1"/>
    <col min="9" max="9" width="10.5703125" style="14" bestFit="1" customWidth="1"/>
    <col min="10" max="10" width="10.5703125" style="14" customWidth="1"/>
    <col min="11" max="11" width="10.28515625" style="14" bestFit="1" customWidth="1"/>
    <col min="12" max="12" width="9.42578125" style="14" bestFit="1" customWidth="1"/>
    <col min="13" max="13" width="9.85546875" style="14" bestFit="1" customWidth="1"/>
    <col min="14" max="14" width="10.140625" style="14" bestFit="1" customWidth="1"/>
    <col min="15" max="15" width="9" style="14" customWidth="1"/>
    <col min="16" max="16" width="12.85546875" style="14" bestFit="1" customWidth="1"/>
    <col min="17" max="18" width="9.42578125" style="14" customWidth="1"/>
    <col min="19" max="19" width="13.7109375" style="14" customWidth="1"/>
    <col min="20" max="20" width="12.140625" style="14" customWidth="1"/>
    <col min="21" max="21" width="19.5703125" style="14" bestFit="1" customWidth="1"/>
    <col min="22" max="22" width="9.85546875" style="14" customWidth="1"/>
    <col min="23" max="23" width="10.140625" style="14" bestFit="1" customWidth="1"/>
    <col min="24" max="24" width="10.28515625" style="14" customWidth="1"/>
    <col min="25" max="25" width="28" style="14" customWidth="1"/>
    <col min="26" max="16384" width="9.140625" style="14"/>
  </cols>
  <sheetData>
    <row r="1" spans="1:25" ht="46.15" customHeight="1" x14ac:dyDescent="0.25">
      <c r="A1" s="2240" t="s">
        <v>148</v>
      </c>
      <c r="B1" s="2240"/>
      <c r="C1" s="2240"/>
      <c r="D1" s="2240"/>
      <c r="E1" s="2240"/>
      <c r="F1" s="2240"/>
      <c r="G1" s="2240"/>
      <c r="H1" s="2240"/>
      <c r="I1" s="2240"/>
      <c r="J1" s="2240"/>
      <c r="K1" s="2240"/>
      <c r="L1" s="2240"/>
      <c r="M1" s="2240"/>
      <c r="N1" s="2240"/>
      <c r="O1" s="2240"/>
      <c r="P1" s="2240"/>
      <c r="Q1" s="2240"/>
      <c r="R1" s="2240"/>
      <c r="S1" s="2240"/>
      <c r="T1" s="2240"/>
      <c r="U1" s="2240"/>
      <c r="V1" s="2240"/>
      <c r="W1" s="2240"/>
      <c r="X1" s="2240"/>
      <c r="Y1" s="2240"/>
    </row>
    <row r="2" spans="1:25" ht="21.6" customHeight="1" x14ac:dyDescent="0.25">
      <c r="A2" s="2241" t="s">
        <v>77</v>
      </c>
      <c r="B2" s="2241"/>
      <c r="C2" s="2241"/>
      <c r="D2" s="2241"/>
      <c r="E2" s="2241"/>
      <c r="F2" s="2241"/>
      <c r="G2" s="2241"/>
      <c r="H2" s="2241"/>
      <c r="I2" s="2241"/>
      <c r="J2" s="2241"/>
      <c r="K2" s="2241"/>
      <c r="L2" s="2241"/>
      <c r="M2" s="2241"/>
      <c r="N2" s="2241"/>
      <c r="O2" s="2241"/>
      <c r="P2" s="2241"/>
      <c r="Q2" s="2241"/>
      <c r="R2" s="2241"/>
      <c r="S2" s="2241"/>
      <c r="T2" s="2241"/>
      <c r="U2" s="2241"/>
      <c r="V2" s="2241"/>
      <c r="W2" s="2241"/>
      <c r="X2" s="2241"/>
      <c r="Y2" s="2241"/>
    </row>
    <row r="3" spans="1:25" ht="21" customHeight="1" x14ac:dyDescent="0.25">
      <c r="A3" s="120"/>
      <c r="B3" s="120"/>
      <c r="C3" s="120"/>
      <c r="D3" s="120"/>
      <c r="E3" s="120"/>
      <c r="F3" s="120"/>
      <c r="G3" s="120"/>
      <c r="H3" s="120"/>
      <c r="I3" s="120"/>
      <c r="J3" s="120"/>
      <c r="K3" s="120"/>
      <c r="L3" s="120"/>
      <c r="M3" s="120"/>
      <c r="N3" s="120"/>
      <c r="O3" s="120"/>
      <c r="P3" s="120"/>
      <c r="Q3" s="120"/>
      <c r="R3" s="120"/>
      <c r="S3" s="120"/>
      <c r="T3" s="2242" t="s">
        <v>180</v>
      </c>
      <c r="U3" s="2242"/>
      <c r="V3" s="2242"/>
      <c r="W3" s="2242"/>
      <c r="X3" s="2242"/>
      <c r="Y3" s="2242"/>
    </row>
    <row r="4" spans="1:25" s="120" customFormat="1" ht="18" customHeight="1" x14ac:dyDescent="0.25">
      <c r="A4" s="2243" t="s">
        <v>25</v>
      </c>
      <c r="B4" s="2243" t="s">
        <v>26</v>
      </c>
      <c r="C4" s="2244" t="s">
        <v>27</v>
      </c>
      <c r="D4" s="2244"/>
      <c r="E4" s="2244" t="s">
        <v>28</v>
      </c>
      <c r="F4" s="2244"/>
      <c r="G4" s="2244" t="s">
        <v>65</v>
      </c>
      <c r="H4" s="2244"/>
      <c r="I4" s="2244" t="s">
        <v>29</v>
      </c>
      <c r="J4" s="2244"/>
      <c r="K4" s="2245" t="s">
        <v>13</v>
      </c>
      <c r="L4" s="2246"/>
      <c r="M4" s="2245" t="s">
        <v>67</v>
      </c>
      <c r="N4" s="2246"/>
      <c r="O4" s="2245" t="s">
        <v>68</v>
      </c>
      <c r="P4" s="2246"/>
      <c r="Q4" s="2245" t="s">
        <v>114</v>
      </c>
      <c r="R4" s="2246"/>
      <c r="S4" s="2244" t="s">
        <v>35</v>
      </c>
      <c r="T4" s="2244"/>
      <c r="U4" s="2245" t="s">
        <v>17</v>
      </c>
      <c r="V4" s="2246"/>
      <c r="W4" s="2247" t="s">
        <v>36</v>
      </c>
      <c r="X4" s="2248"/>
      <c r="Y4" s="2238" t="s">
        <v>30</v>
      </c>
    </row>
    <row r="5" spans="1:25" s="120" customFormat="1" ht="25.5" customHeight="1" x14ac:dyDescent="0.25">
      <c r="A5" s="2243"/>
      <c r="B5" s="2243"/>
      <c r="C5" s="122" t="s">
        <v>42</v>
      </c>
      <c r="D5" s="122" t="s">
        <v>43</v>
      </c>
      <c r="E5" s="122" t="s">
        <v>42</v>
      </c>
      <c r="F5" s="122" t="s">
        <v>43</v>
      </c>
      <c r="G5" s="122" t="s">
        <v>42</v>
      </c>
      <c r="H5" s="122" t="s">
        <v>43</v>
      </c>
      <c r="I5" s="122" t="s">
        <v>42</v>
      </c>
      <c r="J5" s="122" t="s">
        <v>43</v>
      </c>
      <c r="K5" s="122" t="s">
        <v>42</v>
      </c>
      <c r="L5" s="122" t="s">
        <v>43</v>
      </c>
      <c r="M5" s="122" t="s">
        <v>42</v>
      </c>
      <c r="N5" s="122" t="s">
        <v>43</v>
      </c>
      <c r="O5" s="122" t="s">
        <v>42</v>
      </c>
      <c r="P5" s="122" t="s">
        <v>43</v>
      </c>
      <c r="Q5" s="122" t="s">
        <v>42</v>
      </c>
      <c r="R5" s="122" t="s">
        <v>43</v>
      </c>
      <c r="S5" s="33" t="s">
        <v>42</v>
      </c>
      <c r="T5" s="33" t="s">
        <v>43</v>
      </c>
      <c r="U5" s="30" t="s">
        <v>42</v>
      </c>
      <c r="V5" s="30" t="s">
        <v>43</v>
      </c>
      <c r="W5" s="30" t="s">
        <v>42</v>
      </c>
      <c r="X5" s="30" t="s">
        <v>43</v>
      </c>
      <c r="Y5" s="2239"/>
    </row>
    <row r="6" spans="1:25" ht="34.5" customHeight="1" x14ac:dyDescent="0.25">
      <c r="A6" s="12">
        <v>1409935200</v>
      </c>
      <c r="B6" s="121" t="s">
        <v>71</v>
      </c>
      <c r="C6" s="124">
        <v>42044</v>
      </c>
      <c r="D6" s="125">
        <f>0.9725*C6</f>
        <v>40887.79</v>
      </c>
      <c r="E6" s="124"/>
      <c r="F6" s="124">
        <f>13.7*E6</f>
        <v>0</v>
      </c>
      <c r="G6" s="124">
        <v>150</v>
      </c>
      <c r="H6" s="124">
        <f>28.2*G6</f>
        <v>4230</v>
      </c>
      <c r="I6" s="124">
        <v>2120</v>
      </c>
      <c r="J6" s="124">
        <f>18.5*I6</f>
        <v>39220</v>
      </c>
      <c r="K6" s="124"/>
      <c r="L6" s="124">
        <f>19.5*K6</f>
        <v>0</v>
      </c>
      <c r="M6" s="124"/>
      <c r="N6" s="125">
        <f>M6*9.75</f>
        <v>0</v>
      </c>
      <c r="O6" s="124"/>
      <c r="P6" s="125">
        <f>O6*48.62</f>
        <v>0</v>
      </c>
      <c r="Q6" s="125"/>
      <c r="R6" s="125">
        <f>241*Q6</f>
        <v>0</v>
      </c>
      <c r="S6" s="124"/>
      <c r="T6" s="124">
        <f>241*S6</f>
        <v>0</v>
      </c>
      <c r="U6" s="124"/>
      <c r="V6" s="124">
        <f>232*U6</f>
        <v>0</v>
      </c>
      <c r="W6" s="124"/>
      <c r="X6" s="19">
        <f>W6*100</f>
        <v>0</v>
      </c>
      <c r="Y6" s="89">
        <f t="shared" ref="Y6:Y11" si="0">D6+F6+H6+J6+L6+N6+P6+R6+T6+V6+X6</f>
        <v>84337.790000000008</v>
      </c>
    </row>
    <row r="7" spans="1:25" ht="31.5" customHeight="1" x14ac:dyDescent="0.25">
      <c r="A7" s="12">
        <v>1984225578</v>
      </c>
      <c r="B7" s="121" t="s">
        <v>72</v>
      </c>
      <c r="C7" s="124">
        <v>34977</v>
      </c>
      <c r="D7" s="125">
        <f t="shared" ref="D7:D11" si="1">0.9725*C7</f>
        <v>34015.1325</v>
      </c>
      <c r="E7" s="124"/>
      <c r="F7" s="124">
        <f t="shared" ref="F7:F11" si="2">13.7*E7</f>
        <v>0</v>
      </c>
      <c r="G7" s="124">
        <v>60</v>
      </c>
      <c r="H7" s="124">
        <f t="shared" ref="H7:H11" si="3">28.2*G7</f>
        <v>1692</v>
      </c>
      <c r="I7" s="124">
        <v>870</v>
      </c>
      <c r="J7" s="124">
        <f t="shared" ref="J7:J11" si="4">18.5*I7</f>
        <v>16095</v>
      </c>
      <c r="K7" s="124"/>
      <c r="L7" s="124">
        <f t="shared" ref="L7:L11" si="5">19.5*K7</f>
        <v>0</v>
      </c>
      <c r="M7" s="124"/>
      <c r="N7" s="125">
        <f t="shared" ref="N7:N11" si="6">M7*9.75</f>
        <v>0</v>
      </c>
      <c r="O7" s="124"/>
      <c r="P7" s="125">
        <f t="shared" ref="P7:P11" si="7">O7*48.62</f>
        <v>0</v>
      </c>
      <c r="Q7" s="125"/>
      <c r="R7" s="125">
        <f t="shared" ref="R7:R11" si="8">241*Q7</f>
        <v>0</v>
      </c>
      <c r="S7" s="124"/>
      <c r="T7" s="124">
        <f t="shared" ref="T7:T11" si="9">241*S7</f>
        <v>0</v>
      </c>
      <c r="U7" s="124">
        <v>10</v>
      </c>
      <c r="V7" s="124">
        <f t="shared" ref="V7:V11" si="10">232*U7</f>
        <v>2320</v>
      </c>
      <c r="W7" s="124"/>
      <c r="X7" s="19">
        <f t="shared" ref="X7:X11" si="11">W7*100</f>
        <v>0</v>
      </c>
      <c r="Y7" s="89">
        <f t="shared" si="0"/>
        <v>54122.1325</v>
      </c>
    </row>
    <row r="8" spans="1:25" ht="35.25" customHeight="1" x14ac:dyDescent="0.25">
      <c r="A8" s="12">
        <v>1967020280</v>
      </c>
      <c r="B8" s="121" t="s">
        <v>73</v>
      </c>
      <c r="C8" s="124">
        <v>31970</v>
      </c>
      <c r="D8" s="125">
        <f>0.9725*C8</f>
        <v>31090.825000000001</v>
      </c>
      <c r="E8" s="124"/>
      <c r="F8" s="124">
        <f t="shared" si="2"/>
        <v>0</v>
      </c>
      <c r="G8" s="124">
        <v>220</v>
      </c>
      <c r="H8" s="124">
        <f t="shared" si="3"/>
        <v>6204</v>
      </c>
      <c r="I8" s="124">
        <v>1220</v>
      </c>
      <c r="J8" s="124">
        <f t="shared" si="4"/>
        <v>22570</v>
      </c>
      <c r="K8" s="124"/>
      <c r="L8" s="124">
        <f t="shared" si="5"/>
        <v>0</v>
      </c>
      <c r="M8" s="124"/>
      <c r="N8" s="125">
        <f t="shared" si="6"/>
        <v>0</v>
      </c>
      <c r="O8" s="124"/>
      <c r="P8" s="125">
        <f t="shared" si="7"/>
        <v>0</v>
      </c>
      <c r="Q8" s="125"/>
      <c r="R8" s="125">
        <f t="shared" si="8"/>
        <v>0</v>
      </c>
      <c r="S8" s="124"/>
      <c r="T8" s="124">
        <f t="shared" si="9"/>
        <v>0</v>
      </c>
      <c r="U8" s="124"/>
      <c r="V8" s="124">
        <f t="shared" si="10"/>
        <v>0</v>
      </c>
      <c r="W8" s="124">
        <v>2</v>
      </c>
      <c r="X8" s="19">
        <f t="shared" si="11"/>
        <v>200</v>
      </c>
      <c r="Y8" s="89">
        <f t="shared" si="0"/>
        <v>60064.824999999997</v>
      </c>
    </row>
    <row r="9" spans="1:25" ht="38.25" customHeight="1" x14ac:dyDescent="0.25">
      <c r="A9" s="12">
        <v>1409935199</v>
      </c>
      <c r="B9" s="121" t="s">
        <v>75</v>
      </c>
      <c r="C9" s="124">
        <v>24276</v>
      </c>
      <c r="D9" s="125">
        <f>0.9725*C9</f>
        <v>23608.41</v>
      </c>
      <c r="E9" s="124"/>
      <c r="F9" s="124">
        <f t="shared" si="2"/>
        <v>0</v>
      </c>
      <c r="G9" s="124">
        <v>40</v>
      </c>
      <c r="H9" s="124">
        <f t="shared" si="3"/>
        <v>1128</v>
      </c>
      <c r="I9" s="124">
        <v>1090</v>
      </c>
      <c r="J9" s="124">
        <f t="shared" si="4"/>
        <v>20165</v>
      </c>
      <c r="K9" s="124"/>
      <c r="L9" s="124">
        <f t="shared" si="5"/>
        <v>0</v>
      </c>
      <c r="M9" s="124"/>
      <c r="N9" s="125">
        <f t="shared" si="6"/>
        <v>0</v>
      </c>
      <c r="O9" s="124"/>
      <c r="P9" s="125">
        <f t="shared" si="7"/>
        <v>0</v>
      </c>
      <c r="Q9" s="125"/>
      <c r="R9" s="125">
        <f t="shared" si="8"/>
        <v>0</v>
      </c>
      <c r="S9" s="124"/>
      <c r="T9" s="124">
        <f t="shared" si="9"/>
        <v>0</v>
      </c>
      <c r="U9" s="124">
        <v>25</v>
      </c>
      <c r="V9" s="124">
        <f t="shared" si="10"/>
        <v>5800</v>
      </c>
      <c r="W9" s="124"/>
      <c r="X9" s="19">
        <f t="shared" si="11"/>
        <v>0</v>
      </c>
      <c r="Y9" s="89">
        <f t="shared" si="0"/>
        <v>50701.41</v>
      </c>
    </row>
    <row r="10" spans="1:25" ht="35.25" customHeight="1" x14ac:dyDescent="0.25">
      <c r="A10" s="12">
        <v>1984225580</v>
      </c>
      <c r="C10" s="124"/>
      <c r="D10" s="125">
        <f t="shared" si="1"/>
        <v>0</v>
      </c>
      <c r="E10" s="124"/>
      <c r="F10" s="124">
        <f t="shared" si="2"/>
        <v>0</v>
      </c>
      <c r="G10" s="124"/>
      <c r="H10" s="124">
        <f t="shared" si="3"/>
        <v>0</v>
      </c>
      <c r="I10" s="124"/>
      <c r="J10" s="124">
        <f t="shared" si="4"/>
        <v>0</v>
      </c>
      <c r="K10" s="124"/>
      <c r="L10" s="124">
        <f t="shared" si="5"/>
        <v>0</v>
      </c>
      <c r="M10" s="124"/>
      <c r="N10" s="125">
        <f t="shared" si="6"/>
        <v>0</v>
      </c>
      <c r="O10" s="124"/>
      <c r="P10" s="125">
        <f t="shared" si="7"/>
        <v>0</v>
      </c>
      <c r="Q10" s="125"/>
      <c r="R10" s="125">
        <f t="shared" si="8"/>
        <v>0</v>
      </c>
      <c r="S10" s="124"/>
      <c r="T10" s="124">
        <f t="shared" si="9"/>
        <v>0</v>
      </c>
      <c r="U10" s="124"/>
      <c r="V10" s="124">
        <f t="shared" si="10"/>
        <v>0</v>
      </c>
      <c r="W10" s="124"/>
      <c r="X10" s="19">
        <f t="shared" si="11"/>
        <v>0</v>
      </c>
      <c r="Y10" s="89">
        <f t="shared" si="0"/>
        <v>0</v>
      </c>
    </row>
    <row r="11" spans="1:25" ht="37.5" customHeight="1" x14ac:dyDescent="0.25">
      <c r="A11" s="12"/>
      <c r="B11" s="123"/>
      <c r="C11" s="124"/>
      <c r="D11" s="22">
        <f t="shared" si="1"/>
        <v>0</v>
      </c>
      <c r="E11" s="124"/>
      <c r="F11" s="124">
        <f t="shared" si="2"/>
        <v>0</v>
      </c>
      <c r="G11" s="124"/>
      <c r="H11" s="124">
        <f t="shared" si="3"/>
        <v>0</v>
      </c>
      <c r="I11" s="124"/>
      <c r="J11" s="124">
        <f t="shared" si="4"/>
        <v>0</v>
      </c>
      <c r="K11" s="124"/>
      <c r="L11" s="124">
        <f t="shared" si="5"/>
        <v>0</v>
      </c>
      <c r="M11" s="124"/>
      <c r="N11" s="125">
        <f t="shared" si="6"/>
        <v>0</v>
      </c>
      <c r="O11" s="124"/>
      <c r="P11" s="125">
        <f t="shared" si="7"/>
        <v>0</v>
      </c>
      <c r="Q11" s="125"/>
      <c r="R11" s="125">
        <f t="shared" si="8"/>
        <v>0</v>
      </c>
      <c r="S11" s="124">
        <v>205</v>
      </c>
      <c r="T11" s="124">
        <f t="shared" si="9"/>
        <v>49405</v>
      </c>
      <c r="U11" s="124"/>
      <c r="V11" s="124">
        <f t="shared" si="10"/>
        <v>0</v>
      </c>
      <c r="W11" s="124"/>
      <c r="X11" s="19">
        <f t="shared" si="11"/>
        <v>0</v>
      </c>
      <c r="Y11" s="20">
        <f t="shared" si="0"/>
        <v>49405</v>
      </c>
    </row>
    <row r="12" spans="1:25" ht="29.25" customHeight="1" x14ac:dyDescent="0.25">
      <c r="A12" s="2235" t="s">
        <v>31</v>
      </c>
      <c r="B12" s="2235"/>
      <c r="C12" s="18">
        <f t="shared" ref="C12:Y12" si="12">SUM(C6:C11)</f>
        <v>133267</v>
      </c>
      <c r="D12" s="18">
        <f t="shared" si="12"/>
        <v>129602.1575</v>
      </c>
      <c r="E12" s="18">
        <f t="shared" si="12"/>
        <v>0</v>
      </c>
      <c r="F12" s="18">
        <f t="shared" si="12"/>
        <v>0</v>
      </c>
      <c r="G12" s="18">
        <f t="shared" si="12"/>
        <v>470</v>
      </c>
      <c r="H12" s="18">
        <f t="shared" si="12"/>
        <v>13254</v>
      </c>
      <c r="I12" s="18">
        <f t="shared" si="12"/>
        <v>5300</v>
      </c>
      <c r="J12" s="18">
        <f t="shared" si="12"/>
        <v>98050</v>
      </c>
      <c r="K12" s="18">
        <f t="shared" si="12"/>
        <v>0</v>
      </c>
      <c r="L12" s="18">
        <f t="shared" si="12"/>
        <v>0</v>
      </c>
      <c r="M12" s="18">
        <f t="shared" si="12"/>
        <v>0</v>
      </c>
      <c r="N12" s="23">
        <f t="shared" si="12"/>
        <v>0</v>
      </c>
      <c r="O12" s="18">
        <f t="shared" si="12"/>
        <v>0</v>
      </c>
      <c r="P12" s="23">
        <f t="shared" si="12"/>
        <v>0</v>
      </c>
      <c r="Q12" s="23">
        <f t="shared" si="12"/>
        <v>0</v>
      </c>
      <c r="R12" s="23">
        <f>SUM(R6:R11)</f>
        <v>0</v>
      </c>
      <c r="S12" s="18">
        <f t="shared" si="12"/>
        <v>205</v>
      </c>
      <c r="T12" s="18">
        <f t="shared" si="12"/>
        <v>49405</v>
      </c>
      <c r="U12" s="18">
        <f t="shared" si="12"/>
        <v>35</v>
      </c>
      <c r="V12" s="18">
        <f t="shared" si="12"/>
        <v>8120</v>
      </c>
      <c r="W12" s="18">
        <f t="shared" si="12"/>
        <v>2</v>
      </c>
      <c r="X12" s="18">
        <f t="shared" si="12"/>
        <v>200</v>
      </c>
      <c r="Y12" s="18">
        <f t="shared" si="12"/>
        <v>298631.15749999997</v>
      </c>
    </row>
    <row r="14" spans="1:25" ht="41.25" customHeight="1" x14ac:dyDescent="0.25">
      <c r="A14" s="30" t="s">
        <v>32</v>
      </c>
      <c r="B14" s="2236" t="s">
        <v>27</v>
      </c>
      <c r="C14" s="2236"/>
      <c r="D14" s="30" t="s">
        <v>33</v>
      </c>
      <c r="E14" s="30" t="s">
        <v>65</v>
      </c>
      <c r="F14" s="30" t="s">
        <v>34</v>
      </c>
      <c r="G14" s="30" t="s">
        <v>13</v>
      </c>
      <c r="H14" s="142" t="s">
        <v>173</v>
      </c>
      <c r="I14" s="30" t="s">
        <v>17</v>
      </c>
      <c r="J14" s="129" t="s">
        <v>174</v>
      </c>
      <c r="K14" s="30" t="s">
        <v>36</v>
      </c>
      <c r="L14" s="30" t="s">
        <v>175</v>
      </c>
      <c r="M14" s="30" t="s">
        <v>69</v>
      </c>
      <c r="N14" s="30" t="s">
        <v>70</v>
      </c>
      <c r="O14" s="129" t="s">
        <v>114</v>
      </c>
      <c r="P14" s="129" t="s">
        <v>99</v>
      </c>
      <c r="Q14" s="2272" t="s">
        <v>150</v>
      </c>
      <c r="R14" s="2272"/>
      <c r="S14" s="129" t="s">
        <v>171</v>
      </c>
      <c r="T14" s="2235" t="s">
        <v>46</v>
      </c>
      <c r="U14" s="121" t="s">
        <v>176</v>
      </c>
      <c r="V14" s="2260">
        <v>5536</v>
      </c>
      <c r="W14" s="2268"/>
      <c r="X14" s="2261"/>
    </row>
    <row r="15" spans="1:25" ht="22.5" customHeight="1" x14ac:dyDescent="0.25">
      <c r="A15" s="100" t="s">
        <v>38</v>
      </c>
      <c r="B15" s="2260">
        <v>434772</v>
      </c>
      <c r="C15" s="2261"/>
      <c r="D15" s="126">
        <v>0</v>
      </c>
      <c r="E15" s="126">
        <v>1540</v>
      </c>
      <c r="F15" s="126">
        <v>7000</v>
      </c>
      <c r="G15" s="126">
        <v>0</v>
      </c>
      <c r="H15" s="126">
        <v>58</v>
      </c>
      <c r="I15" s="126">
        <v>54</v>
      </c>
      <c r="J15" s="126">
        <v>65</v>
      </c>
      <c r="K15" s="126">
        <v>57</v>
      </c>
      <c r="L15" s="126">
        <v>185</v>
      </c>
      <c r="M15" s="126">
        <v>0</v>
      </c>
      <c r="N15" s="126">
        <v>100</v>
      </c>
      <c r="O15" s="126">
        <v>0</v>
      </c>
      <c r="P15" s="126">
        <v>508</v>
      </c>
      <c r="Q15" s="2262">
        <v>6</v>
      </c>
      <c r="R15" s="2262"/>
      <c r="S15" s="121">
        <v>287</v>
      </c>
      <c r="T15" s="2235"/>
      <c r="U15" s="121" t="s">
        <v>64</v>
      </c>
      <c r="V15" s="2262">
        <v>172669</v>
      </c>
      <c r="W15" s="2262"/>
      <c r="X15" s="2262"/>
    </row>
    <row r="16" spans="1:25" ht="24.75" customHeight="1" x14ac:dyDescent="0.25">
      <c r="A16" s="100" t="s">
        <v>39</v>
      </c>
      <c r="B16" s="2260"/>
      <c r="C16" s="2261"/>
      <c r="D16" s="126"/>
      <c r="E16" s="126"/>
      <c r="F16" s="126"/>
      <c r="G16" s="126"/>
      <c r="H16" s="126"/>
      <c r="I16" s="126"/>
      <c r="J16" s="126">
        <v>25</v>
      </c>
      <c r="K16" s="126"/>
      <c r="L16" s="126"/>
      <c r="M16" s="126"/>
      <c r="N16" s="126"/>
      <c r="O16" s="126"/>
      <c r="P16" s="126"/>
      <c r="Q16" s="2225"/>
      <c r="R16" s="2225"/>
      <c r="S16" s="123"/>
      <c r="T16" s="2254" t="s">
        <v>55</v>
      </c>
      <c r="U16" s="2254"/>
      <c r="V16" s="2267">
        <f>Y12</f>
        <v>298631.15749999997</v>
      </c>
      <c r="W16" s="2267"/>
      <c r="X16" s="2262"/>
    </row>
    <row r="17" spans="1:25" ht="28.5" customHeight="1" x14ac:dyDescent="0.25">
      <c r="A17" s="101" t="s">
        <v>44</v>
      </c>
      <c r="B17" s="2260"/>
      <c r="C17" s="2261"/>
      <c r="D17" s="126"/>
      <c r="E17" s="126"/>
      <c r="F17" s="126"/>
      <c r="G17" s="126"/>
      <c r="H17" s="126"/>
      <c r="I17" s="126"/>
      <c r="J17" s="126"/>
      <c r="K17" s="126"/>
      <c r="L17" s="126"/>
      <c r="M17" s="126"/>
      <c r="N17" s="126"/>
      <c r="O17" s="126"/>
      <c r="P17" s="126"/>
      <c r="Q17" s="2225"/>
      <c r="R17" s="2225"/>
      <c r="S17" s="123"/>
      <c r="T17" s="2273" t="s">
        <v>181</v>
      </c>
      <c r="U17" s="2274"/>
      <c r="V17" s="2262">
        <v>13500</v>
      </c>
      <c r="W17" s="2262"/>
      <c r="X17" s="2262"/>
    </row>
    <row r="18" spans="1:25" ht="27" customHeight="1" x14ac:dyDescent="0.25">
      <c r="A18" s="100" t="s">
        <v>40</v>
      </c>
      <c r="B18" s="2264">
        <f>C12</f>
        <v>133267</v>
      </c>
      <c r="C18" s="2261"/>
      <c r="D18" s="127">
        <f>E12</f>
        <v>0</v>
      </c>
      <c r="E18" s="127">
        <f>G12</f>
        <v>470</v>
      </c>
      <c r="F18" s="127">
        <f>I12</f>
        <v>5300</v>
      </c>
      <c r="G18" s="127">
        <f>K12</f>
        <v>0</v>
      </c>
      <c r="H18" s="126">
        <v>25</v>
      </c>
      <c r="I18" s="127">
        <f>U12</f>
        <v>35</v>
      </c>
      <c r="J18" s="126"/>
      <c r="K18" s="127">
        <f>W12</f>
        <v>2</v>
      </c>
      <c r="L18" s="126"/>
      <c r="M18" s="127">
        <f>M12</f>
        <v>0</v>
      </c>
      <c r="N18" s="127">
        <f>O12</f>
        <v>0</v>
      </c>
      <c r="O18" s="128">
        <f>Q12</f>
        <v>0</v>
      </c>
      <c r="P18" s="126">
        <v>44</v>
      </c>
      <c r="Q18" s="2225"/>
      <c r="R18" s="2225"/>
      <c r="S18" s="121">
        <v>161</v>
      </c>
      <c r="T18" s="2254" t="s">
        <v>57</v>
      </c>
      <c r="U18" s="2254"/>
      <c r="V18" s="2262">
        <f>450+380+65562</f>
        <v>66392</v>
      </c>
      <c r="W18" s="2262"/>
      <c r="X18" s="2262"/>
      <c r="Y18" s="2269" t="s">
        <v>182</v>
      </c>
    </row>
    <row r="19" spans="1:25" ht="25.5" customHeight="1" x14ac:dyDescent="0.25">
      <c r="A19" s="100" t="s">
        <v>41</v>
      </c>
      <c r="B19" s="2260">
        <f>B15+B16+B17-B18</f>
        <v>301505</v>
      </c>
      <c r="C19" s="2261"/>
      <c r="D19" s="126">
        <f>D15+D16+D17-D18</f>
        <v>0</v>
      </c>
      <c r="E19" s="126">
        <f t="shared" ref="E19:N19" si="13">E15+E16+E17-E18</f>
        <v>1070</v>
      </c>
      <c r="F19" s="126">
        <f t="shared" si="13"/>
        <v>1700</v>
      </c>
      <c r="G19" s="126">
        <f t="shared" si="13"/>
        <v>0</v>
      </c>
      <c r="H19" s="126">
        <f t="shared" si="13"/>
        <v>33</v>
      </c>
      <c r="I19" s="126">
        <f t="shared" si="13"/>
        <v>19</v>
      </c>
      <c r="J19" s="126">
        <f t="shared" si="13"/>
        <v>90</v>
      </c>
      <c r="K19" s="126">
        <f t="shared" si="13"/>
        <v>55</v>
      </c>
      <c r="L19" s="126">
        <f t="shared" si="13"/>
        <v>185</v>
      </c>
      <c r="M19" s="126">
        <f t="shared" si="13"/>
        <v>0</v>
      </c>
      <c r="N19" s="126">
        <f t="shared" si="13"/>
        <v>100</v>
      </c>
      <c r="O19" s="126">
        <f>O15+O16+O17-O18</f>
        <v>0</v>
      </c>
      <c r="P19" s="126">
        <f>P15+P16+P17-P18</f>
        <v>464</v>
      </c>
      <c r="Q19" s="2260">
        <f t="shared" ref="Q19" si="14">Q15+Q16+Q17-Q18</f>
        <v>6</v>
      </c>
      <c r="R19" s="2261"/>
      <c r="S19" s="121">
        <f>S15+S16-S17-S18</f>
        <v>126</v>
      </c>
      <c r="T19" s="2256" t="s">
        <v>48</v>
      </c>
      <c r="U19" s="49" t="s">
        <v>58</v>
      </c>
      <c r="V19" s="2262"/>
      <c r="W19" s="2262"/>
      <c r="X19" s="2262"/>
      <c r="Y19" s="2269"/>
    </row>
    <row r="20" spans="1:25" ht="23.25" customHeight="1" x14ac:dyDescent="0.25">
      <c r="A20" s="11" t="s">
        <v>187</v>
      </c>
      <c r="B20" s="2278">
        <f>B19*0.9625</f>
        <v>290198.5625</v>
      </c>
      <c r="C20" s="2279"/>
      <c r="D20" s="123">
        <f>D19*13.56</f>
        <v>0</v>
      </c>
      <c r="E20" s="123">
        <f>28.2*E19</f>
        <v>30174</v>
      </c>
      <c r="F20" s="123">
        <f>18.31*F19</f>
        <v>31126.999999999996</v>
      </c>
      <c r="G20" s="123">
        <f>19.3*G19</f>
        <v>0</v>
      </c>
      <c r="H20" s="123">
        <f>241*H19</f>
        <v>7953</v>
      </c>
      <c r="I20" s="123">
        <f>223*I19</f>
        <v>4237</v>
      </c>
      <c r="J20" s="123">
        <f>241*J19</f>
        <v>21690</v>
      </c>
      <c r="K20" s="123">
        <f>K19*100</f>
        <v>5500</v>
      </c>
      <c r="L20" s="123">
        <f>241*L19</f>
        <v>44585</v>
      </c>
      <c r="M20" s="123">
        <f>9.65*M19</f>
        <v>0</v>
      </c>
      <c r="N20" s="123">
        <f>N19*48.2</f>
        <v>4820</v>
      </c>
      <c r="O20" s="123">
        <f>241*O19</f>
        <v>0</v>
      </c>
      <c r="P20" s="123">
        <f>241*P19</f>
        <v>111824</v>
      </c>
      <c r="Q20" s="2278">
        <f>241*Q19</f>
        <v>1446</v>
      </c>
      <c r="R20" s="2279"/>
      <c r="S20" s="123">
        <f>241*S19</f>
        <v>30366</v>
      </c>
      <c r="T20" s="2257"/>
      <c r="U20" s="49" t="s">
        <v>59</v>
      </c>
      <c r="V20" s="2262"/>
      <c r="W20" s="2262"/>
      <c r="X20" s="2262"/>
      <c r="Y20" s="2269"/>
    </row>
    <row r="21" spans="1:25" ht="32.25" customHeight="1" x14ac:dyDescent="0.25">
      <c r="A21" s="143" t="s">
        <v>186</v>
      </c>
      <c r="B21" s="2282">
        <f>SUM(B20:S20)</f>
        <v>583920.5625</v>
      </c>
      <c r="C21" s="2282"/>
      <c r="O21" s="130"/>
      <c r="P21" s="130"/>
      <c r="Q21" s="130"/>
      <c r="R21" s="130"/>
      <c r="T21" s="2273" t="s">
        <v>167</v>
      </c>
      <c r="U21" s="2274"/>
      <c r="V21" s="2260"/>
      <c r="W21" s="2268"/>
      <c r="X21" s="2261"/>
      <c r="Y21" s="2269"/>
    </row>
    <row r="22" spans="1:25" ht="35.25" customHeight="1" x14ac:dyDescent="0.25">
      <c r="A22" s="15"/>
      <c r="B22" s="2275" t="s">
        <v>49</v>
      </c>
      <c r="C22" s="2265">
        <v>836534</v>
      </c>
      <c r="D22" s="2265"/>
      <c r="E22" s="2265"/>
      <c r="F22" s="2265">
        <f>C22-D22+E22</f>
        <v>836534</v>
      </c>
      <c r="G22" s="130"/>
      <c r="Q22" s="130"/>
      <c r="R22" s="130"/>
      <c r="T22" s="2251" t="s">
        <v>83</v>
      </c>
      <c r="U22" s="50" t="s">
        <v>60</v>
      </c>
      <c r="V22" s="2262"/>
      <c r="W22" s="2262"/>
      <c r="X22" s="2262"/>
      <c r="Y22" s="2269"/>
    </row>
    <row r="23" spans="1:25" ht="39.75" customHeight="1" x14ac:dyDescent="0.25">
      <c r="A23" s="130"/>
      <c r="B23" s="2276"/>
      <c r="C23" s="2266"/>
      <c r="D23" s="2266"/>
      <c r="E23" s="2266"/>
      <c r="F23" s="2266"/>
      <c r="G23" s="130"/>
      <c r="Q23" s="130"/>
      <c r="R23" s="130"/>
      <c r="T23" s="2252"/>
      <c r="U23" s="50" t="s">
        <v>61</v>
      </c>
      <c r="V23" s="2262"/>
      <c r="W23" s="2262"/>
      <c r="X23" s="2262"/>
      <c r="Y23" s="2269"/>
    </row>
    <row r="24" spans="1:25" ht="47.25" customHeight="1" x14ac:dyDescent="0.25">
      <c r="A24" s="130"/>
      <c r="B24" s="2277"/>
      <c r="C24" s="121" t="s">
        <v>46</v>
      </c>
      <c r="D24" s="121" t="s">
        <v>50</v>
      </c>
      <c r="E24" s="121" t="s">
        <v>51</v>
      </c>
      <c r="F24" s="121" t="s">
        <v>52</v>
      </c>
      <c r="G24" s="130"/>
      <c r="Q24" s="130"/>
      <c r="R24" s="130"/>
      <c r="T24" s="2235" t="s">
        <v>47</v>
      </c>
      <c r="U24" s="51" t="s">
        <v>62</v>
      </c>
      <c r="V24" s="2263">
        <f>V14+V16+V17-V18-V19-V20-V22+V23-V21</f>
        <v>251275.15749999997</v>
      </c>
      <c r="W24" s="2263"/>
      <c r="X24" s="2263"/>
      <c r="Y24" s="2269"/>
    </row>
    <row r="25" spans="1:25" ht="40.5" customHeight="1" x14ac:dyDescent="0.25">
      <c r="T25" s="2235"/>
      <c r="U25" s="51" t="s">
        <v>63</v>
      </c>
      <c r="V25" s="2262">
        <f>V15+V22-V23</f>
        <v>172669</v>
      </c>
      <c r="W25" s="2262"/>
      <c r="X25" s="2262"/>
    </row>
    <row r="26" spans="1:25" ht="36" customHeight="1" x14ac:dyDescent="0.25"/>
    <row r="32" spans="1:25" x14ac:dyDescent="0.25">
      <c r="I32" s="2280"/>
      <c r="J32" s="2280"/>
      <c r="K32" s="2280"/>
      <c r="L32" s="2280"/>
    </row>
    <row r="33" spans="9:12" x14ac:dyDescent="0.25">
      <c r="I33" s="130"/>
      <c r="J33" s="130"/>
      <c r="K33" s="2280"/>
      <c r="L33" s="2280"/>
    </row>
  </sheetData>
  <mergeCells count="62">
    <mergeCell ref="K33:L33"/>
    <mergeCell ref="B21:C21"/>
    <mergeCell ref="V22:X22"/>
    <mergeCell ref="V23:X23"/>
    <mergeCell ref="T24:T25"/>
    <mergeCell ref="V24:X24"/>
    <mergeCell ref="V25:X25"/>
    <mergeCell ref="I32:J32"/>
    <mergeCell ref="K32:L32"/>
    <mergeCell ref="Y18:Y24"/>
    <mergeCell ref="B19:C19"/>
    <mergeCell ref="Q19:R19"/>
    <mergeCell ref="T19:T20"/>
    <mergeCell ref="V19:X19"/>
    <mergeCell ref="B20:C20"/>
    <mergeCell ref="Q20:R20"/>
    <mergeCell ref="V20:X20"/>
    <mergeCell ref="T21:U21"/>
    <mergeCell ref="V21:X21"/>
    <mergeCell ref="B22:B24"/>
    <mergeCell ref="C22:C23"/>
    <mergeCell ref="D22:D23"/>
    <mergeCell ref="E22:E23"/>
    <mergeCell ref="F22:F23"/>
    <mergeCell ref="T22:T23"/>
    <mergeCell ref="B17:C17"/>
    <mergeCell ref="Q17:R17"/>
    <mergeCell ref="T17:U17"/>
    <mergeCell ref="V17:X17"/>
    <mergeCell ref="B18:C18"/>
    <mergeCell ref="Q18:R18"/>
    <mergeCell ref="T18:U18"/>
    <mergeCell ref="V18:X18"/>
    <mergeCell ref="W4:X4"/>
    <mergeCell ref="B16:C16"/>
    <mergeCell ref="Q16:R16"/>
    <mergeCell ref="T16:U16"/>
    <mergeCell ref="V16:X16"/>
    <mergeCell ref="A12:B12"/>
    <mergeCell ref="B14:C14"/>
    <mergeCell ref="Q14:R14"/>
    <mergeCell ref="T14:T15"/>
    <mergeCell ref="V14:X14"/>
    <mergeCell ref="B15:C15"/>
    <mergeCell ref="Q15:R15"/>
    <mergeCell ref="V15:X15"/>
    <mergeCell ref="A1:Y1"/>
    <mergeCell ref="A2:Y2"/>
    <mergeCell ref="T3:Y3"/>
    <mergeCell ref="A4:A5"/>
    <mergeCell ref="B4:B5"/>
    <mergeCell ref="C4:D4"/>
    <mergeCell ref="E4:F4"/>
    <mergeCell ref="G4:H4"/>
    <mergeCell ref="I4:J4"/>
    <mergeCell ref="K4:L4"/>
    <mergeCell ref="Y4:Y5"/>
    <mergeCell ref="M4:N4"/>
    <mergeCell ref="O4:P4"/>
    <mergeCell ref="Q4:R4"/>
    <mergeCell ref="S4:T4"/>
    <mergeCell ref="U4:V4"/>
  </mergeCells>
  <pageMargins left="0.15748031496063" right="0.15748031496063" top="0" bottom="0" header="0" footer="0"/>
  <pageSetup paperSize="9" scale="47" orientation="landscape" r:id="rId1"/>
</worksheet>
</file>

<file path=xl/worksheets/sheet4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000-000000000000}">
  <sheetPr>
    <pageSetUpPr fitToPage="1"/>
  </sheetPr>
  <dimension ref="A1:Y33"/>
  <sheetViews>
    <sheetView topLeftCell="A11" zoomScale="69" zoomScaleNormal="69" zoomScaleSheetLayoutView="100" workbookViewId="0">
      <selection activeCell="D21" sqref="D21"/>
    </sheetView>
  </sheetViews>
  <sheetFormatPr defaultColWidth="9.140625" defaultRowHeight="15" x14ac:dyDescent="0.25"/>
  <cols>
    <col min="1" max="1" width="18.28515625" style="14" customWidth="1"/>
    <col min="2" max="2" width="10.7109375" style="14" customWidth="1"/>
    <col min="3" max="3" width="12.28515625" style="14" customWidth="1"/>
    <col min="4" max="4" width="11" style="14" customWidth="1"/>
    <col min="5" max="5" width="12" style="14" customWidth="1"/>
    <col min="6" max="6" width="12.5703125" style="14" bestFit="1" customWidth="1"/>
    <col min="7" max="7" width="9.28515625" style="14" bestFit="1" customWidth="1"/>
    <col min="8" max="8" width="10.140625" style="14" bestFit="1" customWidth="1"/>
    <col min="9" max="9" width="10.5703125" style="14" bestFit="1" customWidth="1"/>
    <col min="10" max="10" width="10.5703125" style="14" customWidth="1"/>
    <col min="11" max="11" width="10.28515625" style="14" bestFit="1" customWidth="1"/>
    <col min="12" max="12" width="9.42578125" style="14" bestFit="1" customWidth="1"/>
    <col min="13" max="13" width="9.85546875" style="14" bestFit="1" customWidth="1"/>
    <col min="14" max="14" width="10.140625" style="14" bestFit="1" customWidth="1"/>
    <col min="15" max="15" width="9" style="14" customWidth="1"/>
    <col min="16" max="16" width="12.85546875" style="14" bestFit="1" customWidth="1"/>
    <col min="17" max="18" width="9.42578125" style="14" customWidth="1"/>
    <col min="19" max="19" width="13.7109375" style="14" customWidth="1"/>
    <col min="20" max="20" width="12.140625" style="14" customWidth="1"/>
    <col min="21" max="21" width="19.5703125" style="14" bestFit="1" customWidth="1"/>
    <col min="22" max="22" width="9.85546875" style="14" customWidth="1"/>
    <col min="23" max="23" width="10.140625" style="14" bestFit="1" customWidth="1"/>
    <col min="24" max="24" width="10.28515625" style="14" customWidth="1"/>
    <col min="25" max="25" width="28" style="14" customWidth="1"/>
    <col min="26" max="16384" width="9.140625" style="14"/>
  </cols>
  <sheetData>
    <row r="1" spans="1:25" ht="46.15" customHeight="1" x14ac:dyDescent="0.25">
      <c r="A1" s="2240" t="s">
        <v>148</v>
      </c>
      <c r="B1" s="2240"/>
      <c r="C1" s="2240"/>
      <c r="D1" s="2240"/>
      <c r="E1" s="2240"/>
      <c r="F1" s="2240"/>
      <c r="G1" s="2240"/>
      <c r="H1" s="2240"/>
      <c r="I1" s="2240"/>
      <c r="J1" s="2240"/>
      <c r="K1" s="2240"/>
      <c r="L1" s="2240"/>
      <c r="M1" s="2240"/>
      <c r="N1" s="2240"/>
      <c r="O1" s="2240"/>
      <c r="P1" s="2240"/>
      <c r="Q1" s="2240"/>
      <c r="R1" s="2240"/>
      <c r="S1" s="2240"/>
      <c r="T1" s="2240"/>
      <c r="U1" s="2240"/>
      <c r="V1" s="2240"/>
      <c r="W1" s="2240"/>
      <c r="X1" s="2240"/>
      <c r="Y1" s="2240"/>
    </row>
    <row r="2" spans="1:25" ht="21.6" customHeight="1" x14ac:dyDescent="0.25">
      <c r="A2" s="2241" t="s">
        <v>77</v>
      </c>
      <c r="B2" s="2241"/>
      <c r="C2" s="2241"/>
      <c r="D2" s="2241"/>
      <c r="E2" s="2241"/>
      <c r="F2" s="2241"/>
      <c r="G2" s="2241"/>
      <c r="H2" s="2241"/>
      <c r="I2" s="2241"/>
      <c r="J2" s="2241"/>
      <c r="K2" s="2241"/>
      <c r="L2" s="2241"/>
      <c r="M2" s="2241"/>
      <c r="N2" s="2241"/>
      <c r="O2" s="2241"/>
      <c r="P2" s="2241"/>
      <c r="Q2" s="2241"/>
      <c r="R2" s="2241"/>
      <c r="S2" s="2241"/>
      <c r="T2" s="2241"/>
      <c r="U2" s="2241"/>
      <c r="V2" s="2241"/>
      <c r="W2" s="2241"/>
      <c r="X2" s="2241"/>
      <c r="Y2" s="2241"/>
    </row>
    <row r="3" spans="1:25" ht="21" customHeight="1" x14ac:dyDescent="0.25">
      <c r="A3" s="120"/>
      <c r="B3" s="120"/>
      <c r="C3" s="120"/>
      <c r="D3" s="120"/>
      <c r="E3" s="120"/>
      <c r="F3" s="120"/>
      <c r="G3" s="120"/>
      <c r="H3" s="120"/>
      <c r="I3" s="120"/>
      <c r="J3" s="120"/>
      <c r="K3" s="120"/>
      <c r="L3" s="120"/>
      <c r="M3" s="120"/>
      <c r="N3" s="120"/>
      <c r="O3" s="120"/>
      <c r="P3" s="120"/>
      <c r="Q3" s="120"/>
      <c r="R3" s="120"/>
      <c r="S3" s="120"/>
      <c r="T3" s="2242" t="s">
        <v>183</v>
      </c>
      <c r="U3" s="2242"/>
      <c r="V3" s="2242"/>
      <c r="W3" s="2242"/>
      <c r="X3" s="2242"/>
      <c r="Y3" s="2242"/>
    </row>
    <row r="4" spans="1:25" s="120" customFormat="1" ht="18" customHeight="1" x14ac:dyDescent="0.25">
      <c r="A4" s="2243" t="s">
        <v>25</v>
      </c>
      <c r="B4" s="2243" t="s">
        <v>26</v>
      </c>
      <c r="C4" s="2244" t="s">
        <v>27</v>
      </c>
      <c r="D4" s="2244"/>
      <c r="E4" s="2244" t="s">
        <v>28</v>
      </c>
      <c r="F4" s="2244"/>
      <c r="G4" s="2244" t="s">
        <v>65</v>
      </c>
      <c r="H4" s="2244"/>
      <c r="I4" s="2244" t="s">
        <v>29</v>
      </c>
      <c r="J4" s="2244"/>
      <c r="K4" s="2245" t="s">
        <v>13</v>
      </c>
      <c r="L4" s="2246"/>
      <c r="M4" s="2245" t="s">
        <v>67</v>
      </c>
      <c r="N4" s="2246"/>
      <c r="O4" s="2245" t="s">
        <v>68</v>
      </c>
      <c r="P4" s="2246"/>
      <c r="Q4" s="2245" t="s">
        <v>114</v>
      </c>
      <c r="R4" s="2246"/>
      <c r="S4" s="2244" t="s">
        <v>35</v>
      </c>
      <c r="T4" s="2244"/>
      <c r="U4" s="2245" t="s">
        <v>17</v>
      </c>
      <c r="V4" s="2246"/>
      <c r="W4" s="2247" t="s">
        <v>36</v>
      </c>
      <c r="X4" s="2248"/>
      <c r="Y4" s="2238" t="s">
        <v>30</v>
      </c>
    </row>
    <row r="5" spans="1:25" s="120" customFormat="1" ht="25.5" customHeight="1" x14ac:dyDescent="0.25">
      <c r="A5" s="2243"/>
      <c r="B5" s="2243"/>
      <c r="C5" s="122" t="s">
        <v>42</v>
      </c>
      <c r="D5" s="122" t="s">
        <v>43</v>
      </c>
      <c r="E5" s="122" t="s">
        <v>42</v>
      </c>
      <c r="F5" s="122" t="s">
        <v>43</v>
      </c>
      <c r="G5" s="122" t="s">
        <v>42</v>
      </c>
      <c r="H5" s="122" t="s">
        <v>43</v>
      </c>
      <c r="I5" s="122" t="s">
        <v>42</v>
      </c>
      <c r="J5" s="122" t="s">
        <v>43</v>
      </c>
      <c r="K5" s="122" t="s">
        <v>42</v>
      </c>
      <c r="L5" s="122" t="s">
        <v>43</v>
      </c>
      <c r="M5" s="122" t="s">
        <v>42</v>
      </c>
      <c r="N5" s="122" t="s">
        <v>43</v>
      </c>
      <c r="O5" s="122" t="s">
        <v>42</v>
      </c>
      <c r="P5" s="122" t="s">
        <v>43</v>
      </c>
      <c r="Q5" s="122" t="s">
        <v>42</v>
      </c>
      <c r="R5" s="122" t="s">
        <v>43</v>
      </c>
      <c r="S5" s="33" t="s">
        <v>42</v>
      </c>
      <c r="T5" s="33" t="s">
        <v>43</v>
      </c>
      <c r="U5" s="30" t="s">
        <v>42</v>
      </c>
      <c r="V5" s="30" t="s">
        <v>43</v>
      </c>
      <c r="W5" s="30" t="s">
        <v>42</v>
      </c>
      <c r="X5" s="30" t="s">
        <v>43</v>
      </c>
      <c r="Y5" s="2239"/>
    </row>
    <row r="6" spans="1:25" ht="34.5" customHeight="1" x14ac:dyDescent="0.25">
      <c r="A6" s="12">
        <v>1409935200</v>
      </c>
      <c r="B6" s="121" t="s">
        <v>71</v>
      </c>
      <c r="C6" s="124">
        <v>20369</v>
      </c>
      <c r="D6" s="125">
        <f>0.9725*C6</f>
        <v>19808.852500000001</v>
      </c>
      <c r="E6" s="124"/>
      <c r="F6" s="124">
        <f>13.7*E6</f>
        <v>0</v>
      </c>
      <c r="G6" s="124">
        <v>260</v>
      </c>
      <c r="H6" s="124">
        <f>28.2*G6</f>
        <v>7332</v>
      </c>
      <c r="I6" s="124">
        <v>250</v>
      </c>
      <c r="J6" s="124">
        <f>18.5*I6</f>
        <v>4625</v>
      </c>
      <c r="K6" s="124"/>
      <c r="L6" s="124">
        <f>19.5*K6</f>
        <v>0</v>
      </c>
      <c r="M6" s="124"/>
      <c r="N6" s="125">
        <f>M6*9.75</f>
        <v>0</v>
      </c>
      <c r="O6" s="124"/>
      <c r="P6" s="125">
        <f>O6*48.62</f>
        <v>0</v>
      </c>
      <c r="Q6" s="125"/>
      <c r="R6" s="125">
        <f>241*Q6</f>
        <v>0</v>
      </c>
      <c r="S6" s="124"/>
      <c r="T6" s="124">
        <f>241*S6</f>
        <v>0</v>
      </c>
      <c r="U6" s="124"/>
      <c r="V6" s="124">
        <f>232*U6</f>
        <v>0</v>
      </c>
      <c r="W6" s="124"/>
      <c r="X6" s="19">
        <f>W6*100</f>
        <v>0</v>
      </c>
      <c r="Y6" s="89">
        <f t="shared" ref="Y6:Y11" si="0">D6+F6+H6+J6+L6+N6+P6+R6+T6+V6+X6</f>
        <v>31765.852500000001</v>
      </c>
    </row>
    <row r="7" spans="1:25" ht="31.5" customHeight="1" x14ac:dyDescent="0.25">
      <c r="A7" s="12">
        <v>1984225578</v>
      </c>
      <c r="B7" s="121" t="s">
        <v>72</v>
      </c>
      <c r="C7" s="124">
        <v>43293</v>
      </c>
      <c r="D7" s="125">
        <f t="shared" ref="D7:D11" si="1">0.9725*C7</f>
        <v>42102.442500000005</v>
      </c>
      <c r="E7" s="124"/>
      <c r="F7" s="124">
        <f t="shared" ref="F7:F11" si="2">13.7*E7</f>
        <v>0</v>
      </c>
      <c r="G7" s="124">
        <v>140</v>
      </c>
      <c r="H7" s="124">
        <f t="shared" ref="H7:H11" si="3">28.2*G7</f>
        <v>3948</v>
      </c>
      <c r="I7" s="124">
        <v>200</v>
      </c>
      <c r="J7" s="124">
        <f t="shared" ref="J7:J11" si="4">18.5*I7</f>
        <v>3700</v>
      </c>
      <c r="K7" s="124"/>
      <c r="L7" s="124">
        <f t="shared" ref="L7:L11" si="5">19.5*K7</f>
        <v>0</v>
      </c>
      <c r="M7" s="124"/>
      <c r="N7" s="125">
        <f t="shared" ref="N7:N11" si="6">M7*9.75</f>
        <v>0</v>
      </c>
      <c r="O7" s="124"/>
      <c r="P7" s="125">
        <f t="shared" ref="P7:P11" si="7">O7*48.62</f>
        <v>0</v>
      </c>
      <c r="Q7" s="125"/>
      <c r="R7" s="125">
        <f t="shared" ref="R7:R11" si="8">241*Q7</f>
        <v>0</v>
      </c>
      <c r="S7" s="124">
        <v>5</v>
      </c>
      <c r="T7" s="124">
        <f t="shared" ref="T7:T11" si="9">241*S7</f>
        <v>1205</v>
      </c>
      <c r="U7" s="124"/>
      <c r="V7" s="124">
        <f t="shared" ref="V7:V11" si="10">232*U7</f>
        <v>0</v>
      </c>
      <c r="W7" s="124"/>
      <c r="X7" s="19">
        <f t="shared" ref="X7:X11" si="11">W7*100</f>
        <v>0</v>
      </c>
      <c r="Y7" s="89">
        <f t="shared" si="0"/>
        <v>50955.442500000005</v>
      </c>
    </row>
    <row r="8" spans="1:25" ht="35.25" customHeight="1" x14ac:dyDescent="0.25">
      <c r="A8" s="12">
        <v>1967020280</v>
      </c>
      <c r="B8" s="121" t="s">
        <v>73</v>
      </c>
      <c r="C8" s="124">
        <v>20344</v>
      </c>
      <c r="D8" s="125">
        <f t="shared" si="1"/>
        <v>19784.54</v>
      </c>
      <c r="E8" s="124"/>
      <c r="F8" s="124">
        <f t="shared" si="2"/>
        <v>0</v>
      </c>
      <c r="G8" s="124"/>
      <c r="H8" s="124">
        <f t="shared" si="3"/>
        <v>0</v>
      </c>
      <c r="I8" s="124"/>
      <c r="J8" s="124">
        <f t="shared" si="4"/>
        <v>0</v>
      </c>
      <c r="K8" s="124"/>
      <c r="L8" s="124">
        <f t="shared" si="5"/>
        <v>0</v>
      </c>
      <c r="M8" s="124"/>
      <c r="N8" s="125">
        <f t="shared" si="6"/>
        <v>0</v>
      </c>
      <c r="O8" s="124"/>
      <c r="P8" s="125">
        <f t="shared" si="7"/>
        <v>0</v>
      </c>
      <c r="Q8" s="125"/>
      <c r="R8" s="125">
        <f t="shared" si="8"/>
        <v>0</v>
      </c>
      <c r="S8" s="124"/>
      <c r="T8" s="124">
        <f t="shared" si="9"/>
        <v>0</v>
      </c>
      <c r="U8" s="124"/>
      <c r="V8" s="124">
        <f t="shared" si="10"/>
        <v>0</v>
      </c>
      <c r="W8" s="124"/>
      <c r="X8" s="19">
        <f t="shared" si="11"/>
        <v>0</v>
      </c>
      <c r="Y8" s="89">
        <f t="shared" si="0"/>
        <v>19784.54</v>
      </c>
    </row>
    <row r="9" spans="1:25" ht="38.25" customHeight="1" x14ac:dyDescent="0.25">
      <c r="A9" s="12">
        <v>1409935199</v>
      </c>
      <c r="B9" s="121" t="s">
        <v>75</v>
      </c>
      <c r="C9" s="124">
        <v>18398</v>
      </c>
      <c r="D9" s="125">
        <f t="shared" si="1"/>
        <v>17892.055</v>
      </c>
      <c r="E9" s="124"/>
      <c r="F9" s="124">
        <f t="shared" si="2"/>
        <v>0</v>
      </c>
      <c r="G9" s="124">
        <v>20</v>
      </c>
      <c r="H9" s="124">
        <f t="shared" si="3"/>
        <v>564</v>
      </c>
      <c r="I9" s="124">
        <v>1000</v>
      </c>
      <c r="J9" s="124">
        <f t="shared" si="4"/>
        <v>18500</v>
      </c>
      <c r="K9" s="124"/>
      <c r="L9" s="124">
        <f t="shared" si="5"/>
        <v>0</v>
      </c>
      <c r="M9" s="124"/>
      <c r="N9" s="125">
        <f t="shared" si="6"/>
        <v>0</v>
      </c>
      <c r="O9" s="124"/>
      <c r="P9" s="125">
        <f t="shared" si="7"/>
        <v>0</v>
      </c>
      <c r="Q9" s="125"/>
      <c r="R9" s="125">
        <f t="shared" si="8"/>
        <v>0</v>
      </c>
      <c r="S9" s="124"/>
      <c r="T9" s="124">
        <f t="shared" si="9"/>
        <v>0</v>
      </c>
      <c r="U9" s="124">
        <v>10</v>
      </c>
      <c r="V9" s="124">
        <f t="shared" si="10"/>
        <v>2320</v>
      </c>
      <c r="W9" s="124">
        <v>1</v>
      </c>
      <c r="X9" s="19">
        <f t="shared" si="11"/>
        <v>100</v>
      </c>
      <c r="Y9" s="89">
        <f t="shared" si="0"/>
        <v>39376.055</v>
      </c>
    </row>
    <row r="10" spans="1:25" ht="35.25" customHeight="1" x14ac:dyDescent="0.25">
      <c r="A10" s="12">
        <v>1984225580</v>
      </c>
      <c r="C10" s="124"/>
      <c r="D10" s="125">
        <f t="shared" si="1"/>
        <v>0</v>
      </c>
      <c r="E10" s="124"/>
      <c r="F10" s="124">
        <f t="shared" si="2"/>
        <v>0</v>
      </c>
      <c r="G10" s="124"/>
      <c r="H10" s="124">
        <f t="shared" si="3"/>
        <v>0</v>
      </c>
      <c r="I10" s="124"/>
      <c r="J10" s="124">
        <f t="shared" si="4"/>
        <v>0</v>
      </c>
      <c r="K10" s="124"/>
      <c r="L10" s="124">
        <f t="shared" si="5"/>
        <v>0</v>
      </c>
      <c r="M10" s="124"/>
      <c r="N10" s="125">
        <f t="shared" si="6"/>
        <v>0</v>
      </c>
      <c r="O10" s="124"/>
      <c r="P10" s="125">
        <f t="shared" si="7"/>
        <v>0</v>
      </c>
      <c r="Q10" s="125"/>
      <c r="R10" s="125">
        <f t="shared" si="8"/>
        <v>0</v>
      </c>
      <c r="S10" s="124"/>
      <c r="T10" s="124">
        <f t="shared" si="9"/>
        <v>0</v>
      </c>
      <c r="U10" s="124"/>
      <c r="V10" s="124">
        <f t="shared" si="10"/>
        <v>0</v>
      </c>
      <c r="W10" s="124"/>
      <c r="X10" s="19">
        <f t="shared" si="11"/>
        <v>0</v>
      </c>
      <c r="Y10" s="89">
        <f t="shared" si="0"/>
        <v>0</v>
      </c>
    </row>
    <row r="11" spans="1:25" ht="37.5" customHeight="1" x14ac:dyDescent="0.25">
      <c r="A11" s="12"/>
      <c r="B11" s="123"/>
      <c r="C11" s="124"/>
      <c r="D11" s="22">
        <f t="shared" si="1"/>
        <v>0</v>
      </c>
      <c r="E11" s="124"/>
      <c r="F11" s="124">
        <f t="shared" si="2"/>
        <v>0</v>
      </c>
      <c r="G11" s="124"/>
      <c r="H11" s="124">
        <f t="shared" si="3"/>
        <v>0</v>
      </c>
      <c r="I11" s="124"/>
      <c r="J11" s="124">
        <f t="shared" si="4"/>
        <v>0</v>
      </c>
      <c r="K11" s="124"/>
      <c r="L11" s="124">
        <f t="shared" si="5"/>
        <v>0</v>
      </c>
      <c r="M11" s="124"/>
      <c r="N11" s="125">
        <f t="shared" si="6"/>
        <v>0</v>
      </c>
      <c r="O11" s="124"/>
      <c r="P11" s="125">
        <f t="shared" si="7"/>
        <v>0</v>
      </c>
      <c r="Q11" s="125"/>
      <c r="R11" s="125">
        <f t="shared" si="8"/>
        <v>0</v>
      </c>
      <c r="S11" s="124"/>
      <c r="T11" s="124">
        <f t="shared" si="9"/>
        <v>0</v>
      </c>
      <c r="U11" s="124"/>
      <c r="V11" s="124">
        <f t="shared" si="10"/>
        <v>0</v>
      </c>
      <c r="W11" s="124"/>
      <c r="X11" s="19">
        <f t="shared" si="11"/>
        <v>0</v>
      </c>
      <c r="Y11" s="20">
        <f t="shared" si="0"/>
        <v>0</v>
      </c>
    </row>
    <row r="12" spans="1:25" ht="29.25" customHeight="1" x14ac:dyDescent="0.25">
      <c r="A12" s="2235" t="s">
        <v>31</v>
      </c>
      <c r="B12" s="2235"/>
      <c r="C12" s="18">
        <f t="shared" ref="C12:Y12" si="12">SUM(C6:C11)</f>
        <v>102404</v>
      </c>
      <c r="D12" s="18">
        <f t="shared" si="12"/>
        <v>99587.890000000014</v>
      </c>
      <c r="E12" s="18">
        <f t="shared" si="12"/>
        <v>0</v>
      </c>
      <c r="F12" s="18">
        <f t="shared" si="12"/>
        <v>0</v>
      </c>
      <c r="G12" s="18">
        <f t="shared" si="12"/>
        <v>420</v>
      </c>
      <c r="H12" s="18">
        <f t="shared" si="12"/>
        <v>11844</v>
      </c>
      <c r="I12" s="18">
        <f t="shared" si="12"/>
        <v>1450</v>
      </c>
      <c r="J12" s="18">
        <f t="shared" si="12"/>
        <v>26825</v>
      </c>
      <c r="K12" s="18">
        <f t="shared" si="12"/>
        <v>0</v>
      </c>
      <c r="L12" s="18">
        <f t="shared" si="12"/>
        <v>0</v>
      </c>
      <c r="M12" s="18">
        <f t="shared" si="12"/>
        <v>0</v>
      </c>
      <c r="N12" s="23">
        <f t="shared" si="12"/>
        <v>0</v>
      </c>
      <c r="O12" s="18">
        <f t="shared" si="12"/>
        <v>0</v>
      </c>
      <c r="P12" s="23">
        <f t="shared" si="12"/>
        <v>0</v>
      </c>
      <c r="Q12" s="23">
        <f t="shared" si="12"/>
        <v>0</v>
      </c>
      <c r="R12" s="23">
        <f>SUM(R6:R11)</f>
        <v>0</v>
      </c>
      <c r="S12" s="18">
        <f t="shared" si="12"/>
        <v>5</v>
      </c>
      <c r="T12" s="18">
        <f t="shared" si="12"/>
        <v>1205</v>
      </c>
      <c r="U12" s="18">
        <f t="shared" si="12"/>
        <v>10</v>
      </c>
      <c r="V12" s="18">
        <f t="shared" si="12"/>
        <v>2320</v>
      </c>
      <c r="W12" s="18">
        <f t="shared" si="12"/>
        <v>1</v>
      </c>
      <c r="X12" s="18">
        <f t="shared" si="12"/>
        <v>100</v>
      </c>
      <c r="Y12" s="18">
        <f t="shared" si="12"/>
        <v>141881.89000000001</v>
      </c>
    </row>
    <row r="14" spans="1:25" ht="41.25" customHeight="1" x14ac:dyDescent="0.25">
      <c r="A14" s="30" t="s">
        <v>32</v>
      </c>
      <c r="B14" s="2236" t="s">
        <v>27</v>
      </c>
      <c r="C14" s="2236"/>
      <c r="D14" s="30" t="s">
        <v>33</v>
      </c>
      <c r="E14" s="30" t="s">
        <v>65</v>
      </c>
      <c r="F14" s="30" t="s">
        <v>34</v>
      </c>
      <c r="G14" s="30" t="s">
        <v>13</v>
      </c>
      <c r="H14" s="142" t="s">
        <v>173</v>
      </c>
      <c r="I14" s="30" t="s">
        <v>17</v>
      </c>
      <c r="J14" s="129" t="s">
        <v>174</v>
      </c>
      <c r="K14" s="30" t="s">
        <v>36</v>
      </c>
      <c r="L14" s="30" t="s">
        <v>175</v>
      </c>
      <c r="M14" s="30" t="s">
        <v>69</v>
      </c>
      <c r="N14" s="30" t="s">
        <v>70</v>
      </c>
      <c r="O14" s="129" t="s">
        <v>114</v>
      </c>
      <c r="P14" s="129" t="s">
        <v>99</v>
      </c>
      <c r="Q14" s="2272" t="s">
        <v>150</v>
      </c>
      <c r="R14" s="2272"/>
      <c r="S14" s="129" t="s">
        <v>171</v>
      </c>
      <c r="T14" s="2235" t="s">
        <v>46</v>
      </c>
      <c r="U14" s="121" t="s">
        <v>176</v>
      </c>
      <c r="V14" s="2260">
        <v>251275</v>
      </c>
      <c r="W14" s="2268"/>
      <c r="X14" s="2261"/>
    </row>
    <row r="15" spans="1:25" ht="22.5" customHeight="1" x14ac:dyDescent="0.25">
      <c r="A15" s="100" t="s">
        <v>38</v>
      </c>
      <c r="B15" s="2260">
        <v>301505</v>
      </c>
      <c r="C15" s="2261"/>
      <c r="D15" s="126">
        <v>0</v>
      </c>
      <c r="E15" s="126">
        <v>1070</v>
      </c>
      <c r="F15" s="126">
        <v>1700</v>
      </c>
      <c r="G15" s="126">
        <v>0</v>
      </c>
      <c r="H15" s="126">
        <v>33</v>
      </c>
      <c r="I15" s="126">
        <v>19</v>
      </c>
      <c r="J15" s="126">
        <v>90</v>
      </c>
      <c r="K15" s="126">
        <v>55</v>
      </c>
      <c r="L15" s="126">
        <v>185</v>
      </c>
      <c r="M15" s="126">
        <v>0</v>
      </c>
      <c r="N15" s="126">
        <v>100</v>
      </c>
      <c r="O15" s="126">
        <v>0</v>
      </c>
      <c r="P15" s="126">
        <v>464</v>
      </c>
      <c r="Q15" s="2262">
        <v>6</v>
      </c>
      <c r="R15" s="2262"/>
      <c r="S15" s="121">
        <v>126</v>
      </c>
      <c r="T15" s="2235"/>
      <c r="U15" s="121" t="s">
        <v>64</v>
      </c>
      <c r="V15" s="2262">
        <v>172669</v>
      </c>
      <c r="W15" s="2262"/>
      <c r="X15" s="2262"/>
    </row>
    <row r="16" spans="1:25" ht="24.75" customHeight="1" x14ac:dyDescent="0.25">
      <c r="A16" s="100" t="s">
        <v>39</v>
      </c>
      <c r="B16" s="2260">
        <v>75636</v>
      </c>
      <c r="C16" s="2261"/>
      <c r="D16" s="126"/>
      <c r="E16" s="126"/>
      <c r="F16" s="126">
        <v>10000</v>
      </c>
      <c r="G16" s="126"/>
      <c r="H16" s="126">
        <v>100</v>
      </c>
      <c r="I16" s="126"/>
      <c r="J16" s="126"/>
      <c r="K16" s="126"/>
      <c r="L16" s="126"/>
      <c r="M16" s="126"/>
      <c r="N16" s="126"/>
      <c r="O16" s="126"/>
      <c r="P16" s="126"/>
      <c r="Q16" s="2225"/>
      <c r="R16" s="2225"/>
      <c r="S16" s="123"/>
      <c r="T16" s="2254" t="s">
        <v>55</v>
      </c>
      <c r="U16" s="2254"/>
      <c r="V16" s="2267">
        <f>Y12</f>
        <v>141881.89000000001</v>
      </c>
      <c r="W16" s="2267"/>
      <c r="X16" s="2262"/>
    </row>
    <row r="17" spans="1:25" ht="28.5" customHeight="1" x14ac:dyDescent="0.25">
      <c r="A17" s="101" t="s">
        <v>44</v>
      </c>
      <c r="B17" s="2260"/>
      <c r="C17" s="2261"/>
      <c r="D17" s="126"/>
      <c r="E17" s="126"/>
      <c r="F17" s="126"/>
      <c r="G17" s="126"/>
      <c r="H17" s="126"/>
      <c r="I17" s="126"/>
      <c r="J17" s="126"/>
      <c r="K17" s="126"/>
      <c r="L17" s="126"/>
      <c r="M17" s="126"/>
      <c r="N17" s="126"/>
      <c r="O17" s="126"/>
      <c r="P17" s="126"/>
      <c r="Q17" s="2225"/>
      <c r="R17" s="2225"/>
      <c r="S17" s="123"/>
      <c r="T17" s="2273" t="s">
        <v>181</v>
      </c>
      <c r="U17" s="2274"/>
      <c r="V17" s="2262"/>
      <c r="W17" s="2262"/>
      <c r="X17" s="2262"/>
    </row>
    <row r="18" spans="1:25" ht="27" customHeight="1" x14ac:dyDescent="0.25">
      <c r="A18" s="100" t="s">
        <v>40</v>
      </c>
      <c r="B18" s="2264">
        <f>C12</f>
        <v>102404</v>
      </c>
      <c r="C18" s="2261"/>
      <c r="D18" s="127">
        <f>E12</f>
        <v>0</v>
      </c>
      <c r="E18" s="127">
        <f>G12</f>
        <v>420</v>
      </c>
      <c r="F18" s="127">
        <f>I12</f>
        <v>1450</v>
      </c>
      <c r="G18" s="127">
        <f>K12</f>
        <v>0</v>
      </c>
      <c r="H18" s="126">
        <v>5</v>
      </c>
      <c r="I18" s="127">
        <f>U12</f>
        <v>10</v>
      </c>
      <c r="J18" s="126"/>
      <c r="K18" s="127">
        <f>W12</f>
        <v>1</v>
      </c>
      <c r="L18" s="126"/>
      <c r="M18" s="127">
        <f>M12</f>
        <v>0</v>
      </c>
      <c r="N18" s="127">
        <f>O12</f>
        <v>0</v>
      </c>
      <c r="O18" s="128">
        <f>Q12</f>
        <v>0</v>
      </c>
      <c r="P18" s="126"/>
      <c r="Q18" s="2225"/>
      <c r="R18" s="2225"/>
      <c r="S18" s="121"/>
      <c r="T18" s="2254" t="s">
        <v>57</v>
      </c>
      <c r="U18" s="2254"/>
      <c r="V18" s="2262">
        <v>450</v>
      </c>
      <c r="W18" s="2262"/>
      <c r="X18" s="2262"/>
      <c r="Y18" s="2269" t="s">
        <v>103</v>
      </c>
    </row>
    <row r="19" spans="1:25" ht="25.5" customHeight="1" x14ac:dyDescent="0.25">
      <c r="A19" s="100" t="s">
        <v>41</v>
      </c>
      <c r="B19" s="2260">
        <f>B15+B16+B17-B18</f>
        <v>274737</v>
      </c>
      <c r="C19" s="2261"/>
      <c r="D19" s="126">
        <f>D15+D16+D17-D18</f>
        <v>0</v>
      </c>
      <c r="E19" s="126">
        <f t="shared" ref="E19:N19" si="13">E15+E16+E17-E18</f>
        <v>650</v>
      </c>
      <c r="F19" s="126">
        <f t="shared" si="13"/>
        <v>10250</v>
      </c>
      <c r="G19" s="126">
        <f t="shared" si="13"/>
        <v>0</v>
      </c>
      <c r="H19" s="126">
        <f t="shared" si="13"/>
        <v>128</v>
      </c>
      <c r="I19" s="126">
        <f t="shared" si="13"/>
        <v>9</v>
      </c>
      <c r="J19" s="126">
        <f t="shared" si="13"/>
        <v>90</v>
      </c>
      <c r="K19" s="126">
        <f t="shared" si="13"/>
        <v>54</v>
      </c>
      <c r="L19" s="126">
        <f t="shared" si="13"/>
        <v>185</v>
      </c>
      <c r="M19" s="126">
        <f t="shared" si="13"/>
        <v>0</v>
      </c>
      <c r="N19" s="126">
        <f t="shared" si="13"/>
        <v>100</v>
      </c>
      <c r="O19" s="126">
        <f>O15+O16+O17-O18</f>
        <v>0</v>
      </c>
      <c r="P19" s="126">
        <f>P15+P16+P17-P18</f>
        <v>464</v>
      </c>
      <c r="Q19" s="2260">
        <f t="shared" ref="Q19" si="14">Q15+Q16+Q17-Q18</f>
        <v>6</v>
      </c>
      <c r="R19" s="2261"/>
      <c r="S19" s="121">
        <f>S15+S16-S17-S18</f>
        <v>126</v>
      </c>
      <c r="T19" s="2256" t="s">
        <v>48</v>
      </c>
      <c r="U19" s="49" t="s">
        <v>58</v>
      </c>
      <c r="V19" s="2262">
        <v>280000</v>
      </c>
      <c r="W19" s="2262"/>
      <c r="X19" s="2262"/>
      <c r="Y19" s="2269"/>
    </row>
    <row r="20" spans="1:25" ht="23.25" customHeight="1" x14ac:dyDescent="0.25">
      <c r="A20" s="11" t="s">
        <v>187</v>
      </c>
      <c r="B20" s="2278">
        <f>B19*0.9625</f>
        <v>264434.36249999999</v>
      </c>
      <c r="C20" s="2279"/>
      <c r="D20" s="123">
        <f>D19*13.56</f>
        <v>0</v>
      </c>
      <c r="E20" s="123">
        <f>28.2*E19</f>
        <v>18330</v>
      </c>
      <c r="F20" s="123">
        <f>18.31*F19</f>
        <v>187677.5</v>
      </c>
      <c r="G20" s="123">
        <f>19.3*G19</f>
        <v>0</v>
      </c>
      <c r="H20" s="123">
        <f>241*H19</f>
        <v>30848</v>
      </c>
      <c r="I20" s="123">
        <f>223*I19</f>
        <v>2007</v>
      </c>
      <c r="J20" s="123">
        <f>241*J19</f>
        <v>21690</v>
      </c>
      <c r="K20" s="123">
        <f>K19*100</f>
        <v>5400</v>
      </c>
      <c r="L20" s="123">
        <f>241*L19</f>
        <v>44585</v>
      </c>
      <c r="M20" s="123">
        <f>9.65*M19</f>
        <v>0</v>
      </c>
      <c r="N20" s="123">
        <f>N19*48.2</f>
        <v>4820</v>
      </c>
      <c r="O20" s="123">
        <f>241*O19</f>
        <v>0</v>
      </c>
      <c r="P20" s="123">
        <f>241*P19</f>
        <v>111824</v>
      </c>
      <c r="Q20" s="2278">
        <f>241*Q19</f>
        <v>1446</v>
      </c>
      <c r="R20" s="2279"/>
      <c r="S20" s="123">
        <f>241*S19</f>
        <v>30366</v>
      </c>
      <c r="T20" s="2257"/>
      <c r="U20" s="49" t="s">
        <v>59</v>
      </c>
      <c r="V20" s="2262"/>
      <c r="W20" s="2262"/>
      <c r="X20" s="2262"/>
      <c r="Y20" s="2269"/>
    </row>
    <row r="21" spans="1:25" ht="32.25" customHeight="1" x14ac:dyDescent="0.25">
      <c r="A21" s="143" t="s">
        <v>186</v>
      </c>
      <c r="B21" s="2282">
        <f>SUM(B20:S20)</f>
        <v>723427.86250000005</v>
      </c>
      <c r="C21" s="2282"/>
      <c r="O21" s="130"/>
      <c r="P21" s="130"/>
      <c r="Q21" s="130"/>
      <c r="R21" s="130"/>
      <c r="T21" s="2273" t="s">
        <v>167</v>
      </c>
      <c r="U21" s="2274"/>
      <c r="V21" s="2260">
        <v>80000</v>
      </c>
      <c r="W21" s="2268"/>
      <c r="X21" s="2261"/>
      <c r="Y21" s="2269"/>
    </row>
    <row r="22" spans="1:25" ht="35.25" customHeight="1" x14ac:dyDescent="0.25">
      <c r="A22" s="15"/>
      <c r="B22" s="2275" t="s">
        <v>49</v>
      </c>
      <c r="C22" s="2265">
        <v>836534</v>
      </c>
      <c r="D22" s="2265">
        <v>280000</v>
      </c>
      <c r="E22" s="2265">
        <v>280000</v>
      </c>
      <c r="F22" s="2265">
        <f>C22-D22+E22</f>
        <v>836534</v>
      </c>
      <c r="G22" s="130"/>
      <c r="Q22" s="130"/>
      <c r="R22" s="130"/>
      <c r="T22" s="2251" t="s">
        <v>83</v>
      </c>
      <c r="U22" s="50" t="s">
        <v>60</v>
      </c>
      <c r="V22" s="2262">
        <v>306510</v>
      </c>
      <c r="W22" s="2262"/>
      <c r="X22" s="2262"/>
      <c r="Y22" s="2269"/>
    </row>
    <row r="23" spans="1:25" ht="39.75" customHeight="1" x14ac:dyDescent="0.25">
      <c r="A23" s="130"/>
      <c r="B23" s="2276"/>
      <c r="C23" s="2266"/>
      <c r="D23" s="2266"/>
      <c r="E23" s="2266"/>
      <c r="F23" s="2266"/>
      <c r="G23" s="130"/>
      <c r="Q23" s="130"/>
      <c r="R23" s="130"/>
      <c r="T23" s="2252"/>
      <c r="U23" s="50" t="s">
        <v>61</v>
      </c>
      <c r="V23" s="2262">
        <v>280000</v>
      </c>
      <c r="W23" s="2262"/>
      <c r="X23" s="2262"/>
      <c r="Y23" s="2269"/>
    </row>
    <row r="24" spans="1:25" ht="47.25" customHeight="1" x14ac:dyDescent="0.25">
      <c r="A24" s="130"/>
      <c r="B24" s="2277"/>
      <c r="C24" s="121" t="s">
        <v>46</v>
      </c>
      <c r="D24" s="121" t="s">
        <v>50</v>
      </c>
      <c r="E24" s="121" t="s">
        <v>51</v>
      </c>
      <c r="F24" s="121" t="s">
        <v>52</v>
      </c>
      <c r="G24" s="130"/>
      <c r="Q24" s="130"/>
      <c r="R24" s="130"/>
      <c r="T24" s="2235" t="s">
        <v>47</v>
      </c>
      <c r="U24" s="51" t="s">
        <v>62</v>
      </c>
      <c r="V24" s="2263">
        <f>V14+V16+V17-V18-V19-V20-V22+V23-V21</f>
        <v>6196.890000000014</v>
      </c>
      <c r="W24" s="2263"/>
      <c r="X24" s="2263"/>
      <c r="Y24" s="2269"/>
    </row>
    <row r="25" spans="1:25" ht="40.5" customHeight="1" x14ac:dyDescent="0.25">
      <c r="T25" s="2235"/>
      <c r="U25" s="51" t="s">
        <v>63</v>
      </c>
      <c r="V25" s="2262">
        <f>V15+V22-V23</f>
        <v>199179</v>
      </c>
      <c r="W25" s="2262"/>
      <c r="X25" s="2262"/>
    </row>
    <row r="26" spans="1:25" ht="36" customHeight="1" x14ac:dyDescent="0.25"/>
    <row r="32" spans="1:25" x14ac:dyDescent="0.25">
      <c r="I32" s="2280"/>
      <c r="J32" s="2280"/>
      <c r="K32" s="2280"/>
      <c r="L32" s="2280"/>
    </row>
    <row r="33" spans="9:12" x14ac:dyDescent="0.25">
      <c r="I33" s="130"/>
      <c r="J33" s="130"/>
      <c r="K33" s="2280"/>
      <c r="L33" s="2280"/>
    </row>
  </sheetData>
  <mergeCells count="62">
    <mergeCell ref="I32:J32"/>
    <mergeCell ref="K32:L32"/>
    <mergeCell ref="K33:L33"/>
    <mergeCell ref="T22:T23"/>
    <mergeCell ref="V22:X22"/>
    <mergeCell ref="V23:X23"/>
    <mergeCell ref="T24:T25"/>
    <mergeCell ref="V24:X24"/>
    <mergeCell ref="V25:X25"/>
    <mergeCell ref="Y18:Y24"/>
    <mergeCell ref="B19:C19"/>
    <mergeCell ref="Q19:R19"/>
    <mergeCell ref="T19:T20"/>
    <mergeCell ref="V19:X19"/>
    <mergeCell ref="B20:C20"/>
    <mergeCell ref="B22:B24"/>
    <mergeCell ref="C22:C23"/>
    <mergeCell ref="D22:D23"/>
    <mergeCell ref="E22:E23"/>
    <mergeCell ref="F22:F23"/>
    <mergeCell ref="Q20:R20"/>
    <mergeCell ref="V20:X20"/>
    <mergeCell ref="B21:C21"/>
    <mergeCell ref="T21:U21"/>
    <mergeCell ref="V21:X21"/>
    <mergeCell ref="B17:C17"/>
    <mergeCell ref="Q17:R17"/>
    <mergeCell ref="T17:U17"/>
    <mergeCell ref="V17:X17"/>
    <mergeCell ref="B18:C18"/>
    <mergeCell ref="Q18:R18"/>
    <mergeCell ref="T18:U18"/>
    <mergeCell ref="V18:X18"/>
    <mergeCell ref="W4:X4"/>
    <mergeCell ref="B16:C16"/>
    <mergeCell ref="Q16:R16"/>
    <mergeCell ref="T16:U16"/>
    <mergeCell ref="V16:X16"/>
    <mergeCell ref="A12:B12"/>
    <mergeCell ref="B14:C14"/>
    <mergeCell ref="Q14:R14"/>
    <mergeCell ref="T14:T15"/>
    <mergeCell ref="V14:X14"/>
    <mergeCell ref="B15:C15"/>
    <mergeCell ref="Q15:R15"/>
    <mergeCell ref="V15:X15"/>
    <mergeCell ref="A1:Y1"/>
    <mergeCell ref="A2:Y2"/>
    <mergeCell ref="T3:Y3"/>
    <mergeCell ref="A4:A5"/>
    <mergeCell ref="B4:B5"/>
    <mergeCell ref="C4:D4"/>
    <mergeCell ref="E4:F4"/>
    <mergeCell ref="G4:H4"/>
    <mergeCell ref="I4:J4"/>
    <mergeCell ref="K4:L4"/>
    <mergeCell ref="Y4:Y5"/>
    <mergeCell ref="M4:N4"/>
    <mergeCell ref="O4:P4"/>
    <mergeCell ref="Q4:R4"/>
    <mergeCell ref="S4:T4"/>
    <mergeCell ref="U4:V4"/>
  </mergeCells>
  <pageMargins left="0.15748031496063" right="0.15748031496063" top="0" bottom="0" header="0" footer="0"/>
  <pageSetup paperSize="9" scale="47" orientation="landscape" r:id="rId1"/>
</worksheet>
</file>

<file path=xl/worksheets/sheet5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100-000000000000}">
  <sheetPr>
    <pageSetUpPr fitToPage="1"/>
  </sheetPr>
  <dimension ref="A1:Y33"/>
  <sheetViews>
    <sheetView topLeftCell="B9" zoomScale="69" zoomScaleNormal="69" zoomScaleSheetLayoutView="100" workbookViewId="0">
      <selection activeCell="V18" sqref="V18:X18"/>
    </sheetView>
  </sheetViews>
  <sheetFormatPr defaultColWidth="9.140625" defaultRowHeight="15" x14ac:dyDescent="0.25"/>
  <cols>
    <col min="1" max="1" width="18.28515625" style="14" customWidth="1"/>
    <col min="2" max="2" width="10.7109375" style="14" customWidth="1"/>
    <col min="3" max="3" width="12.28515625" style="14" customWidth="1"/>
    <col min="4" max="4" width="11" style="14" customWidth="1"/>
    <col min="5" max="5" width="12" style="14" customWidth="1"/>
    <col min="6" max="6" width="12.5703125" style="14" bestFit="1" customWidth="1"/>
    <col min="7" max="7" width="9.28515625" style="14" bestFit="1" customWidth="1"/>
    <col min="8" max="8" width="10.140625" style="14" bestFit="1" customWidth="1"/>
    <col min="9" max="9" width="10.5703125" style="14" bestFit="1" customWidth="1"/>
    <col min="10" max="10" width="10.5703125" style="14" customWidth="1"/>
    <col min="11" max="11" width="10.28515625" style="14" bestFit="1" customWidth="1"/>
    <col min="12" max="12" width="9.42578125" style="14" bestFit="1" customWidth="1"/>
    <col min="13" max="13" width="9.85546875" style="14" bestFit="1" customWidth="1"/>
    <col min="14" max="14" width="10.140625" style="14" bestFit="1" customWidth="1"/>
    <col min="15" max="15" width="9" style="14" customWidth="1"/>
    <col min="16" max="16" width="12.85546875" style="14" bestFit="1" customWidth="1"/>
    <col min="17" max="18" width="9.42578125" style="14" customWidth="1"/>
    <col min="19" max="19" width="13.7109375" style="14" customWidth="1"/>
    <col min="20" max="20" width="12.140625" style="14" customWidth="1"/>
    <col min="21" max="21" width="19.5703125" style="14" bestFit="1" customWidth="1"/>
    <col min="22" max="22" width="9.85546875" style="14" customWidth="1"/>
    <col min="23" max="23" width="10.140625" style="14" bestFit="1" customWidth="1"/>
    <col min="24" max="24" width="10.28515625" style="14" customWidth="1"/>
    <col min="25" max="25" width="28" style="14" customWidth="1"/>
    <col min="26" max="16384" width="9.140625" style="14"/>
  </cols>
  <sheetData>
    <row r="1" spans="1:25" ht="46.15" customHeight="1" x14ac:dyDescent="0.25">
      <c r="A1" s="2240" t="s">
        <v>148</v>
      </c>
      <c r="B1" s="2240"/>
      <c r="C1" s="2240"/>
      <c r="D1" s="2240"/>
      <c r="E1" s="2240"/>
      <c r="F1" s="2240"/>
      <c r="G1" s="2240"/>
      <c r="H1" s="2240"/>
      <c r="I1" s="2240"/>
      <c r="J1" s="2240"/>
      <c r="K1" s="2240"/>
      <c r="L1" s="2240"/>
      <c r="M1" s="2240"/>
      <c r="N1" s="2240"/>
      <c r="O1" s="2240"/>
      <c r="P1" s="2240"/>
      <c r="Q1" s="2240"/>
      <c r="R1" s="2240"/>
      <c r="S1" s="2240"/>
      <c r="T1" s="2240"/>
      <c r="U1" s="2240"/>
      <c r="V1" s="2240"/>
      <c r="W1" s="2240"/>
      <c r="X1" s="2240"/>
      <c r="Y1" s="2240"/>
    </row>
    <row r="2" spans="1:25" ht="21.6" customHeight="1" x14ac:dyDescent="0.25">
      <c r="A2" s="2241" t="s">
        <v>77</v>
      </c>
      <c r="B2" s="2241"/>
      <c r="C2" s="2241"/>
      <c r="D2" s="2241"/>
      <c r="E2" s="2241"/>
      <c r="F2" s="2241"/>
      <c r="G2" s="2241"/>
      <c r="H2" s="2241"/>
      <c r="I2" s="2241"/>
      <c r="J2" s="2241"/>
      <c r="K2" s="2241"/>
      <c r="L2" s="2241"/>
      <c r="M2" s="2241"/>
      <c r="N2" s="2241"/>
      <c r="O2" s="2241"/>
      <c r="P2" s="2241"/>
      <c r="Q2" s="2241"/>
      <c r="R2" s="2241"/>
      <c r="S2" s="2241"/>
      <c r="T2" s="2241"/>
      <c r="U2" s="2241"/>
      <c r="V2" s="2241"/>
      <c r="W2" s="2241"/>
      <c r="X2" s="2241"/>
      <c r="Y2" s="2241"/>
    </row>
    <row r="3" spans="1:25" ht="21" customHeight="1" x14ac:dyDescent="0.25">
      <c r="A3" s="120"/>
      <c r="B3" s="120"/>
      <c r="C3" s="120"/>
      <c r="D3" s="120"/>
      <c r="E3" s="120"/>
      <c r="F3" s="120"/>
      <c r="G3" s="120"/>
      <c r="H3" s="120"/>
      <c r="I3" s="120"/>
      <c r="J3" s="120"/>
      <c r="K3" s="120"/>
      <c r="L3" s="120"/>
      <c r="M3" s="120"/>
      <c r="N3" s="120"/>
      <c r="O3" s="120"/>
      <c r="P3" s="120"/>
      <c r="Q3" s="120"/>
      <c r="R3" s="120"/>
      <c r="S3" s="120"/>
      <c r="T3" s="2242" t="s">
        <v>184</v>
      </c>
      <c r="U3" s="2242"/>
      <c r="V3" s="2242"/>
      <c r="W3" s="2242"/>
      <c r="X3" s="2242"/>
      <c r="Y3" s="2242"/>
    </row>
    <row r="4" spans="1:25" s="120" customFormat="1" ht="18" customHeight="1" x14ac:dyDescent="0.25">
      <c r="A4" s="2243" t="s">
        <v>25</v>
      </c>
      <c r="B4" s="2243" t="s">
        <v>26</v>
      </c>
      <c r="C4" s="2244" t="s">
        <v>27</v>
      </c>
      <c r="D4" s="2244"/>
      <c r="E4" s="2244" t="s">
        <v>28</v>
      </c>
      <c r="F4" s="2244"/>
      <c r="G4" s="2244" t="s">
        <v>65</v>
      </c>
      <c r="H4" s="2244"/>
      <c r="I4" s="2244" t="s">
        <v>29</v>
      </c>
      <c r="J4" s="2244"/>
      <c r="K4" s="2245" t="s">
        <v>13</v>
      </c>
      <c r="L4" s="2246"/>
      <c r="M4" s="2245" t="s">
        <v>67</v>
      </c>
      <c r="N4" s="2246"/>
      <c r="O4" s="2245" t="s">
        <v>68</v>
      </c>
      <c r="P4" s="2246"/>
      <c r="Q4" s="2245" t="s">
        <v>114</v>
      </c>
      <c r="R4" s="2246"/>
      <c r="S4" s="2244" t="s">
        <v>35</v>
      </c>
      <c r="T4" s="2244"/>
      <c r="U4" s="2245" t="s">
        <v>17</v>
      </c>
      <c r="V4" s="2246"/>
      <c r="W4" s="2247" t="s">
        <v>36</v>
      </c>
      <c r="X4" s="2248"/>
      <c r="Y4" s="2238" t="s">
        <v>30</v>
      </c>
    </row>
    <row r="5" spans="1:25" s="120" customFormat="1" ht="25.5" customHeight="1" x14ac:dyDescent="0.25">
      <c r="A5" s="2243"/>
      <c r="B5" s="2243"/>
      <c r="C5" s="122" t="s">
        <v>42</v>
      </c>
      <c r="D5" s="122" t="s">
        <v>43</v>
      </c>
      <c r="E5" s="122" t="s">
        <v>42</v>
      </c>
      <c r="F5" s="122" t="s">
        <v>43</v>
      </c>
      <c r="G5" s="122" t="s">
        <v>42</v>
      </c>
      <c r="H5" s="122" t="s">
        <v>43</v>
      </c>
      <c r="I5" s="122" t="s">
        <v>42</v>
      </c>
      <c r="J5" s="122" t="s">
        <v>43</v>
      </c>
      <c r="K5" s="122" t="s">
        <v>42</v>
      </c>
      <c r="L5" s="122" t="s">
        <v>43</v>
      </c>
      <c r="M5" s="122" t="s">
        <v>42</v>
      </c>
      <c r="N5" s="122" t="s">
        <v>43</v>
      </c>
      <c r="O5" s="122" t="s">
        <v>42</v>
      </c>
      <c r="P5" s="122" t="s">
        <v>43</v>
      </c>
      <c r="Q5" s="122" t="s">
        <v>42</v>
      </c>
      <c r="R5" s="122" t="s">
        <v>43</v>
      </c>
      <c r="S5" s="33" t="s">
        <v>42</v>
      </c>
      <c r="T5" s="33" t="s">
        <v>43</v>
      </c>
      <c r="U5" s="30" t="s">
        <v>42</v>
      </c>
      <c r="V5" s="30" t="s">
        <v>43</v>
      </c>
      <c r="W5" s="30" t="s">
        <v>42</v>
      </c>
      <c r="X5" s="30" t="s">
        <v>43</v>
      </c>
      <c r="Y5" s="2239"/>
    </row>
    <row r="6" spans="1:25" ht="34.5" customHeight="1" x14ac:dyDescent="0.25">
      <c r="A6" s="12">
        <v>1409935200</v>
      </c>
      <c r="B6" s="121" t="s">
        <v>71</v>
      </c>
      <c r="C6" s="124">
        <v>40972</v>
      </c>
      <c r="D6" s="125">
        <f>0.9725*C6</f>
        <v>39845.270000000004</v>
      </c>
      <c r="E6" s="124"/>
      <c r="F6" s="124">
        <f>13.7*E6</f>
        <v>0</v>
      </c>
      <c r="G6" s="124"/>
      <c r="H6" s="124">
        <f>28.2*G6</f>
        <v>0</v>
      </c>
      <c r="I6" s="124">
        <v>250</v>
      </c>
      <c r="J6" s="124">
        <f>18.5*I6</f>
        <v>4625</v>
      </c>
      <c r="K6" s="124"/>
      <c r="L6" s="124">
        <f>19.5*K6</f>
        <v>0</v>
      </c>
      <c r="M6" s="124"/>
      <c r="N6" s="125">
        <f>M6*9.75</f>
        <v>0</v>
      </c>
      <c r="O6" s="124"/>
      <c r="P6" s="125">
        <f>O6*48.62</f>
        <v>0</v>
      </c>
      <c r="Q6" s="125"/>
      <c r="R6" s="125">
        <f>241*Q6</f>
        <v>0</v>
      </c>
      <c r="S6" s="124"/>
      <c r="T6" s="124">
        <f>241*S6</f>
        <v>0</v>
      </c>
      <c r="U6" s="124"/>
      <c r="V6" s="124">
        <f>232*U6</f>
        <v>0</v>
      </c>
      <c r="W6" s="124"/>
      <c r="X6" s="19">
        <f>W6*100</f>
        <v>0</v>
      </c>
      <c r="Y6" s="89">
        <f t="shared" ref="Y6:Y11" si="0">D6+F6+H6+J6+L6+N6+P6+R6+T6+V6+X6</f>
        <v>44470.270000000004</v>
      </c>
    </row>
    <row r="7" spans="1:25" ht="31.5" customHeight="1" x14ac:dyDescent="0.25">
      <c r="A7" s="12">
        <v>1984225578</v>
      </c>
      <c r="B7" s="121" t="s">
        <v>72</v>
      </c>
      <c r="C7" s="124">
        <v>26513</v>
      </c>
      <c r="D7" s="125">
        <f t="shared" ref="D7:D11" si="1">0.9725*C7</f>
        <v>25783.892500000002</v>
      </c>
      <c r="E7" s="124"/>
      <c r="F7" s="124">
        <f t="shared" ref="F7:F11" si="2">13.7*E7</f>
        <v>0</v>
      </c>
      <c r="G7" s="124"/>
      <c r="H7" s="124">
        <f t="shared" ref="H7:H11" si="3">28.2*G7</f>
        <v>0</v>
      </c>
      <c r="I7" s="124"/>
      <c r="J7" s="124">
        <f t="shared" ref="J7:J11" si="4">18.5*I7</f>
        <v>0</v>
      </c>
      <c r="K7" s="124"/>
      <c r="L7" s="124">
        <f t="shared" ref="L7:L11" si="5">19.5*K7</f>
        <v>0</v>
      </c>
      <c r="M7" s="124"/>
      <c r="N7" s="125">
        <f t="shared" ref="N7:N11" si="6">M7*9.75</f>
        <v>0</v>
      </c>
      <c r="O7" s="124"/>
      <c r="P7" s="125">
        <f t="shared" ref="P7:P11" si="7">O7*48.62</f>
        <v>0</v>
      </c>
      <c r="Q7" s="125"/>
      <c r="R7" s="125">
        <f t="shared" ref="R7:R11" si="8">241*Q7</f>
        <v>0</v>
      </c>
      <c r="S7" s="124"/>
      <c r="T7" s="124">
        <f t="shared" ref="T7:T11" si="9">241*S7</f>
        <v>0</v>
      </c>
      <c r="U7" s="124"/>
      <c r="V7" s="124">
        <f t="shared" ref="V7:V11" si="10">232*U7</f>
        <v>0</v>
      </c>
      <c r="W7" s="124"/>
      <c r="X7" s="19">
        <f t="shared" ref="X7:X11" si="11">W7*100</f>
        <v>0</v>
      </c>
      <c r="Y7" s="89">
        <f t="shared" si="0"/>
        <v>25783.892500000002</v>
      </c>
    </row>
    <row r="8" spans="1:25" ht="35.25" customHeight="1" x14ac:dyDescent="0.25">
      <c r="A8" s="12">
        <v>1967020280</v>
      </c>
      <c r="B8" s="121" t="s">
        <v>73</v>
      </c>
      <c r="C8" s="124">
        <v>29629</v>
      </c>
      <c r="D8" s="125">
        <f t="shared" si="1"/>
        <v>28814.202499999999</v>
      </c>
      <c r="E8" s="124"/>
      <c r="F8" s="124">
        <f t="shared" si="2"/>
        <v>0</v>
      </c>
      <c r="G8" s="124"/>
      <c r="H8" s="124">
        <f t="shared" si="3"/>
        <v>0</v>
      </c>
      <c r="I8" s="124"/>
      <c r="J8" s="124">
        <f t="shared" si="4"/>
        <v>0</v>
      </c>
      <c r="K8" s="124"/>
      <c r="L8" s="124">
        <f t="shared" si="5"/>
        <v>0</v>
      </c>
      <c r="M8" s="124"/>
      <c r="N8" s="125">
        <f t="shared" si="6"/>
        <v>0</v>
      </c>
      <c r="O8" s="124"/>
      <c r="P8" s="125">
        <f t="shared" si="7"/>
        <v>0</v>
      </c>
      <c r="Q8" s="125"/>
      <c r="R8" s="125">
        <f t="shared" si="8"/>
        <v>0</v>
      </c>
      <c r="S8" s="124"/>
      <c r="T8" s="124">
        <f t="shared" si="9"/>
        <v>0</v>
      </c>
      <c r="U8" s="124"/>
      <c r="V8" s="124">
        <f t="shared" si="10"/>
        <v>0</v>
      </c>
      <c r="W8" s="124"/>
      <c r="X8" s="19">
        <f t="shared" si="11"/>
        <v>0</v>
      </c>
      <c r="Y8" s="89">
        <f t="shared" si="0"/>
        <v>28814.202499999999</v>
      </c>
    </row>
    <row r="9" spans="1:25" ht="38.25" customHeight="1" x14ac:dyDescent="0.25">
      <c r="A9" s="12">
        <v>1409935199</v>
      </c>
      <c r="B9" s="121" t="s">
        <v>75</v>
      </c>
      <c r="C9" s="124">
        <v>38136</v>
      </c>
      <c r="D9" s="125">
        <f t="shared" si="1"/>
        <v>37087.26</v>
      </c>
      <c r="E9" s="124"/>
      <c r="F9" s="124">
        <f t="shared" si="2"/>
        <v>0</v>
      </c>
      <c r="G9" s="124">
        <v>50</v>
      </c>
      <c r="H9" s="124">
        <f t="shared" si="3"/>
        <v>1410</v>
      </c>
      <c r="I9" s="124"/>
      <c r="J9" s="124">
        <f t="shared" si="4"/>
        <v>0</v>
      </c>
      <c r="K9" s="124"/>
      <c r="L9" s="124">
        <f t="shared" si="5"/>
        <v>0</v>
      </c>
      <c r="M9" s="124"/>
      <c r="N9" s="125">
        <f t="shared" si="6"/>
        <v>0</v>
      </c>
      <c r="O9" s="124"/>
      <c r="P9" s="125">
        <f t="shared" si="7"/>
        <v>0</v>
      </c>
      <c r="Q9" s="125"/>
      <c r="R9" s="125">
        <f t="shared" si="8"/>
        <v>0</v>
      </c>
      <c r="S9" s="124"/>
      <c r="T9" s="124">
        <f t="shared" si="9"/>
        <v>0</v>
      </c>
      <c r="U9" s="124"/>
      <c r="V9" s="124">
        <f t="shared" si="10"/>
        <v>0</v>
      </c>
      <c r="W9" s="124"/>
      <c r="X9" s="19">
        <f t="shared" si="11"/>
        <v>0</v>
      </c>
      <c r="Y9" s="89">
        <f t="shared" si="0"/>
        <v>38497.26</v>
      </c>
    </row>
    <row r="10" spans="1:25" ht="35.25" customHeight="1" x14ac:dyDescent="0.25">
      <c r="A10" s="12">
        <v>1984225580</v>
      </c>
      <c r="C10" s="124"/>
      <c r="D10" s="125">
        <f t="shared" si="1"/>
        <v>0</v>
      </c>
      <c r="E10" s="124"/>
      <c r="F10" s="124">
        <f t="shared" si="2"/>
        <v>0</v>
      </c>
      <c r="G10" s="124"/>
      <c r="H10" s="124">
        <f t="shared" si="3"/>
        <v>0</v>
      </c>
      <c r="I10" s="124"/>
      <c r="J10" s="124">
        <f t="shared" si="4"/>
        <v>0</v>
      </c>
      <c r="K10" s="124"/>
      <c r="L10" s="124">
        <f t="shared" si="5"/>
        <v>0</v>
      </c>
      <c r="M10" s="124"/>
      <c r="N10" s="125">
        <f t="shared" si="6"/>
        <v>0</v>
      </c>
      <c r="O10" s="124"/>
      <c r="P10" s="125">
        <f t="shared" si="7"/>
        <v>0</v>
      </c>
      <c r="Q10" s="125"/>
      <c r="R10" s="125">
        <f t="shared" si="8"/>
        <v>0</v>
      </c>
      <c r="S10" s="124"/>
      <c r="T10" s="124">
        <f t="shared" si="9"/>
        <v>0</v>
      </c>
      <c r="U10" s="124"/>
      <c r="V10" s="124">
        <f t="shared" si="10"/>
        <v>0</v>
      </c>
      <c r="W10" s="124"/>
      <c r="X10" s="19">
        <f t="shared" si="11"/>
        <v>0</v>
      </c>
      <c r="Y10" s="89">
        <f t="shared" si="0"/>
        <v>0</v>
      </c>
    </row>
    <row r="11" spans="1:25" ht="37.5" customHeight="1" x14ac:dyDescent="0.25">
      <c r="A11" s="12"/>
      <c r="B11" s="123"/>
      <c r="C11" s="124"/>
      <c r="D11" s="22">
        <f t="shared" si="1"/>
        <v>0</v>
      </c>
      <c r="E11" s="124"/>
      <c r="F11" s="124">
        <f t="shared" si="2"/>
        <v>0</v>
      </c>
      <c r="G11" s="124"/>
      <c r="H11" s="124">
        <f t="shared" si="3"/>
        <v>0</v>
      </c>
      <c r="I11" s="124"/>
      <c r="J11" s="124">
        <f t="shared" si="4"/>
        <v>0</v>
      </c>
      <c r="K11" s="124"/>
      <c r="L11" s="124">
        <f t="shared" si="5"/>
        <v>0</v>
      </c>
      <c r="M11" s="124"/>
      <c r="N11" s="125">
        <f t="shared" si="6"/>
        <v>0</v>
      </c>
      <c r="O11" s="124"/>
      <c r="P11" s="125">
        <f t="shared" si="7"/>
        <v>0</v>
      </c>
      <c r="Q11" s="125"/>
      <c r="R11" s="125">
        <f t="shared" si="8"/>
        <v>0</v>
      </c>
      <c r="S11" s="124"/>
      <c r="T11" s="124">
        <f t="shared" si="9"/>
        <v>0</v>
      </c>
      <c r="U11" s="124"/>
      <c r="V11" s="124">
        <f t="shared" si="10"/>
        <v>0</v>
      </c>
      <c r="W11" s="124"/>
      <c r="X11" s="19">
        <f t="shared" si="11"/>
        <v>0</v>
      </c>
      <c r="Y11" s="20">
        <f t="shared" si="0"/>
        <v>0</v>
      </c>
    </row>
    <row r="12" spans="1:25" ht="29.25" customHeight="1" x14ac:dyDescent="0.25">
      <c r="A12" s="2235" t="s">
        <v>31</v>
      </c>
      <c r="B12" s="2235"/>
      <c r="C12" s="18">
        <f t="shared" ref="C12:Y12" si="12">SUM(C6:C11)</f>
        <v>135250</v>
      </c>
      <c r="D12" s="18">
        <f t="shared" si="12"/>
        <v>131530.625</v>
      </c>
      <c r="E12" s="18">
        <f t="shared" si="12"/>
        <v>0</v>
      </c>
      <c r="F12" s="18">
        <f t="shared" si="12"/>
        <v>0</v>
      </c>
      <c r="G12" s="18">
        <f t="shared" si="12"/>
        <v>50</v>
      </c>
      <c r="H12" s="18">
        <f t="shared" si="12"/>
        <v>1410</v>
      </c>
      <c r="I12" s="18">
        <f t="shared" si="12"/>
        <v>250</v>
      </c>
      <c r="J12" s="18">
        <f t="shared" si="12"/>
        <v>4625</v>
      </c>
      <c r="K12" s="18">
        <f t="shared" si="12"/>
        <v>0</v>
      </c>
      <c r="L12" s="18">
        <f t="shared" si="12"/>
        <v>0</v>
      </c>
      <c r="M12" s="18">
        <f t="shared" si="12"/>
        <v>0</v>
      </c>
      <c r="N12" s="23">
        <f t="shared" si="12"/>
        <v>0</v>
      </c>
      <c r="O12" s="18">
        <f t="shared" si="12"/>
        <v>0</v>
      </c>
      <c r="P12" s="23">
        <f t="shared" si="12"/>
        <v>0</v>
      </c>
      <c r="Q12" s="23">
        <f t="shared" si="12"/>
        <v>0</v>
      </c>
      <c r="R12" s="23">
        <f>SUM(R6:R11)</f>
        <v>0</v>
      </c>
      <c r="S12" s="18">
        <f t="shared" si="12"/>
        <v>0</v>
      </c>
      <c r="T12" s="18">
        <f t="shared" si="12"/>
        <v>0</v>
      </c>
      <c r="U12" s="18">
        <f t="shared" si="12"/>
        <v>0</v>
      </c>
      <c r="V12" s="18">
        <f t="shared" si="12"/>
        <v>0</v>
      </c>
      <c r="W12" s="18">
        <f t="shared" si="12"/>
        <v>0</v>
      </c>
      <c r="X12" s="18">
        <f t="shared" si="12"/>
        <v>0</v>
      </c>
      <c r="Y12" s="18">
        <f t="shared" si="12"/>
        <v>137565.625</v>
      </c>
    </row>
    <row r="14" spans="1:25" ht="41.25" customHeight="1" x14ac:dyDescent="0.25">
      <c r="A14" s="30" t="s">
        <v>32</v>
      </c>
      <c r="B14" s="2236" t="s">
        <v>27</v>
      </c>
      <c r="C14" s="2236"/>
      <c r="D14" s="30" t="s">
        <v>33</v>
      </c>
      <c r="E14" s="30" t="s">
        <v>65</v>
      </c>
      <c r="F14" s="30" t="s">
        <v>34</v>
      </c>
      <c r="G14" s="30" t="s">
        <v>13</v>
      </c>
      <c r="H14" s="142" t="s">
        <v>173</v>
      </c>
      <c r="I14" s="30" t="s">
        <v>17</v>
      </c>
      <c r="J14" s="129" t="s">
        <v>174</v>
      </c>
      <c r="K14" s="30" t="s">
        <v>36</v>
      </c>
      <c r="L14" s="30" t="s">
        <v>175</v>
      </c>
      <c r="M14" s="30" t="s">
        <v>69</v>
      </c>
      <c r="N14" s="30" t="s">
        <v>70</v>
      </c>
      <c r="O14" s="129" t="s">
        <v>114</v>
      </c>
      <c r="P14" s="129" t="s">
        <v>99</v>
      </c>
      <c r="Q14" s="2272" t="s">
        <v>150</v>
      </c>
      <c r="R14" s="2272"/>
      <c r="S14" s="129" t="s">
        <v>171</v>
      </c>
      <c r="T14" s="2235" t="s">
        <v>46</v>
      </c>
      <c r="U14" s="121" t="s">
        <v>176</v>
      </c>
      <c r="V14" s="2260">
        <v>6197</v>
      </c>
      <c r="W14" s="2268"/>
      <c r="X14" s="2261"/>
    </row>
    <row r="15" spans="1:25" ht="22.5" customHeight="1" x14ac:dyDescent="0.25">
      <c r="A15" s="100" t="s">
        <v>38</v>
      </c>
      <c r="B15" s="2260">
        <v>274737</v>
      </c>
      <c r="C15" s="2261"/>
      <c r="D15" s="126">
        <v>0</v>
      </c>
      <c r="E15" s="126">
        <v>650</v>
      </c>
      <c r="F15" s="126">
        <v>10250</v>
      </c>
      <c r="G15" s="126">
        <v>0</v>
      </c>
      <c r="H15" s="126">
        <v>128</v>
      </c>
      <c r="I15" s="126">
        <v>9</v>
      </c>
      <c r="J15" s="126">
        <v>90</v>
      </c>
      <c r="K15" s="126">
        <v>54</v>
      </c>
      <c r="L15" s="126">
        <v>185</v>
      </c>
      <c r="M15" s="126">
        <v>0</v>
      </c>
      <c r="N15" s="126">
        <v>100</v>
      </c>
      <c r="O15" s="126">
        <v>0</v>
      </c>
      <c r="P15" s="126">
        <v>464</v>
      </c>
      <c r="Q15" s="2262">
        <v>6</v>
      </c>
      <c r="R15" s="2262"/>
      <c r="S15" s="121">
        <v>126</v>
      </c>
      <c r="T15" s="2235"/>
      <c r="U15" s="121" t="s">
        <v>64</v>
      </c>
      <c r="V15" s="2262">
        <v>199179</v>
      </c>
      <c r="W15" s="2262"/>
      <c r="X15" s="2262"/>
    </row>
    <row r="16" spans="1:25" ht="24.75" customHeight="1" x14ac:dyDescent="0.25">
      <c r="A16" s="100" t="s">
        <v>39</v>
      </c>
      <c r="B16" s="2260">
        <v>136104</v>
      </c>
      <c r="C16" s="2261"/>
      <c r="D16" s="126"/>
      <c r="E16" s="126"/>
      <c r="F16" s="126"/>
      <c r="G16" s="126"/>
      <c r="H16" s="126"/>
      <c r="I16" s="126"/>
      <c r="J16" s="126"/>
      <c r="K16" s="126"/>
      <c r="L16" s="126"/>
      <c r="M16" s="126"/>
      <c r="N16" s="126"/>
      <c r="O16" s="126"/>
      <c r="P16" s="126"/>
      <c r="Q16" s="2225"/>
      <c r="R16" s="2225"/>
      <c r="S16" s="123"/>
      <c r="T16" s="2254" t="s">
        <v>55</v>
      </c>
      <c r="U16" s="2254"/>
      <c r="V16" s="2267">
        <f>Y12</f>
        <v>137565.625</v>
      </c>
      <c r="W16" s="2267"/>
      <c r="X16" s="2262"/>
    </row>
    <row r="17" spans="1:25" ht="28.5" customHeight="1" x14ac:dyDescent="0.25">
      <c r="A17" s="101" t="s">
        <v>44</v>
      </c>
      <c r="B17" s="2260"/>
      <c r="C17" s="2261"/>
      <c r="D17" s="126"/>
      <c r="E17" s="126"/>
      <c r="F17" s="126"/>
      <c r="G17" s="126"/>
      <c r="H17" s="126"/>
      <c r="I17" s="126"/>
      <c r="J17" s="126"/>
      <c r="K17" s="126"/>
      <c r="L17" s="126"/>
      <c r="M17" s="126"/>
      <c r="N17" s="126"/>
      <c r="O17" s="126"/>
      <c r="P17" s="126"/>
      <c r="Q17" s="2225"/>
      <c r="R17" s="2225"/>
      <c r="S17" s="123"/>
      <c r="T17" s="2273" t="s">
        <v>181</v>
      </c>
      <c r="U17" s="2274"/>
      <c r="V17" s="2262"/>
      <c r="W17" s="2262"/>
      <c r="X17" s="2262"/>
    </row>
    <row r="18" spans="1:25" ht="27" customHeight="1" x14ac:dyDescent="0.25">
      <c r="A18" s="100" t="s">
        <v>40</v>
      </c>
      <c r="B18" s="2264">
        <f>C12</f>
        <v>135250</v>
      </c>
      <c r="C18" s="2261"/>
      <c r="D18" s="127">
        <f>E12</f>
        <v>0</v>
      </c>
      <c r="E18" s="127">
        <f>G12</f>
        <v>50</v>
      </c>
      <c r="F18" s="127">
        <f>I12</f>
        <v>250</v>
      </c>
      <c r="G18" s="127">
        <f>K12</f>
        <v>0</v>
      </c>
      <c r="H18" s="126"/>
      <c r="I18" s="127">
        <f>U12</f>
        <v>0</v>
      </c>
      <c r="J18" s="126"/>
      <c r="K18" s="127">
        <f>W12</f>
        <v>0</v>
      </c>
      <c r="L18" s="126"/>
      <c r="M18" s="127">
        <f>M12</f>
        <v>0</v>
      </c>
      <c r="N18" s="127">
        <f>O12</f>
        <v>0</v>
      </c>
      <c r="O18" s="128">
        <f>Q12</f>
        <v>0</v>
      </c>
      <c r="P18" s="126"/>
      <c r="Q18" s="2225"/>
      <c r="R18" s="2225"/>
      <c r="S18" s="121"/>
      <c r="T18" s="2254" t="s">
        <v>57</v>
      </c>
      <c r="U18" s="2254"/>
      <c r="V18" s="2262">
        <f>450+100</f>
        <v>550</v>
      </c>
      <c r="W18" s="2262"/>
      <c r="X18" s="2262"/>
      <c r="Y18" s="2269" t="s">
        <v>185</v>
      </c>
    </row>
    <row r="19" spans="1:25" ht="25.5" customHeight="1" x14ac:dyDescent="0.25">
      <c r="A19" s="100" t="s">
        <v>41</v>
      </c>
      <c r="B19" s="2260">
        <f>B15+B16+B17-B18</f>
        <v>275591</v>
      </c>
      <c r="C19" s="2261"/>
      <c r="D19" s="126">
        <f>D15+D16+D17-D18</f>
        <v>0</v>
      </c>
      <c r="E19" s="126">
        <f t="shared" ref="E19:N19" si="13">E15+E16+E17-E18</f>
        <v>600</v>
      </c>
      <c r="F19" s="126">
        <f t="shared" si="13"/>
        <v>10000</v>
      </c>
      <c r="G19" s="126">
        <f t="shared" si="13"/>
        <v>0</v>
      </c>
      <c r="H19" s="126">
        <f t="shared" si="13"/>
        <v>128</v>
      </c>
      <c r="I19" s="126">
        <f t="shared" si="13"/>
        <v>9</v>
      </c>
      <c r="J19" s="126">
        <f t="shared" si="13"/>
        <v>90</v>
      </c>
      <c r="K19" s="126">
        <f t="shared" si="13"/>
        <v>54</v>
      </c>
      <c r="L19" s="126">
        <f t="shared" si="13"/>
        <v>185</v>
      </c>
      <c r="M19" s="126">
        <f t="shared" si="13"/>
        <v>0</v>
      </c>
      <c r="N19" s="126">
        <f t="shared" si="13"/>
        <v>100</v>
      </c>
      <c r="O19" s="126">
        <f>O15+O16+O17-O18</f>
        <v>0</v>
      </c>
      <c r="P19" s="126">
        <f>P15+P16+P17-P18</f>
        <v>464</v>
      </c>
      <c r="Q19" s="2260">
        <f t="shared" ref="Q19" si="14">Q15+Q16+Q17-Q18</f>
        <v>6</v>
      </c>
      <c r="R19" s="2261"/>
      <c r="S19" s="121">
        <f>S15+S16-S17-S18</f>
        <v>126</v>
      </c>
      <c r="T19" s="2256" t="s">
        <v>48</v>
      </c>
      <c r="U19" s="49" t="s">
        <v>58</v>
      </c>
      <c r="V19" s="2262"/>
      <c r="W19" s="2262"/>
      <c r="X19" s="2262"/>
      <c r="Y19" s="2269"/>
    </row>
    <row r="20" spans="1:25" ht="23.25" customHeight="1" x14ac:dyDescent="0.25">
      <c r="A20" s="11" t="s">
        <v>187</v>
      </c>
      <c r="B20" s="2278">
        <f>B19*0.9625</f>
        <v>265256.33750000002</v>
      </c>
      <c r="C20" s="2279"/>
      <c r="D20" s="123">
        <f>D19*13.56</f>
        <v>0</v>
      </c>
      <c r="E20" s="123">
        <f>28.2*E19</f>
        <v>16920</v>
      </c>
      <c r="F20" s="123">
        <f>18.31*F19</f>
        <v>183100</v>
      </c>
      <c r="G20" s="123">
        <f>19.3*G19</f>
        <v>0</v>
      </c>
      <c r="H20" s="123">
        <f>241*H19</f>
        <v>30848</v>
      </c>
      <c r="I20" s="123">
        <f>223*I19</f>
        <v>2007</v>
      </c>
      <c r="J20" s="123">
        <f>241*J19</f>
        <v>21690</v>
      </c>
      <c r="K20" s="123">
        <f>K19*100</f>
        <v>5400</v>
      </c>
      <c r="L20" s="123">
        <f>241*L19</f>
        <v>44585</v>
      </c>
      <c r="M20" s="123">
        <f>9.65*M19</f>
        <v>0</v>
      </c>
      <c r="N20" s="123">
        <f>N19*48.2</f>
        <v>4820</v>
      </c>
      <c r="O20" s="123">
        <f>241*O19</f>
        <v>0</v>
      </c>
      <c r="P20" s="123">
        <f>241*P19</f>
        <v>111824</v>
      </c>
      <c r="Q20" s="2278">
        <f>241*Q19</f>
        <v>1446</v>
      </c>
      <c r="R20" s="2279"/>
      <c r="S20" s="123">
        <f>241*S19</f>
        <v>30366</v>
      </c>
      <c r="T20" s="2257"/>
      <c r="U20" s="49" t="s">
        <v>59</v>
      </c>
      <c r="V20" s="2262">
        <v>131000</v>
      </c>
      <c r="W20" s="2262"/>
      <c r="X20" s="2262"/>
      <c r="Y20" s="2269"/>
    </row>
    <row r="21" spans="1:25" ht="32.25" customHeight="1" x14ac:dyDescent="0.25">
      <c r="A21" s="143" t="s">
        <v>186</v>
      </c>
      <c r="B21" s="2283">
        <f>SUM(B20:S20)</f>
        <v>718262.33750000002</v>
      </c>
      <c r="C21" s="2283"/>
      <c r="O21" s="130"/>
      <c r="P21" s="130"/>
      <c r="Q21" s="130"/>
      <c r="R21" s="130"/>
      <c r="T21" s="2273" t="s">
        <v>167</v>
      </c>
      <c r="U21" s="2274"/>
      <c r="V21" s="2260"/>
      <c r="W21" s="2268"/>
      <c r="X21" s="2261"/>
      <c r="Y21" s="2269"/>
    </row>
    <row r="22" spans="1:25" ht="35.25" customHeight="1" x14ac:dyDescent="0.25">
      <c r="A22" s="15"/>
      <c r="B22" s="2275" t="s">
        <v>49</v>
      </c>
      <c r="C22" s="2265">
        <v>836534</v>
      </c>
      <c r="D22" s="2265"/>
      <c r="E22" s="2265"/>
      <c r="F22" s="2265">
        <f>C22-D22+E22</f>
        <v>836534</v>
      </c>
      <c r="G22" s="130"/>
      <c r="Q22" s="130"/>
      <c r="R22" s="130"/>
      <c r="T22" s="2251" t="s">
        <v>83</v>
      </c>
      <c r="U22" s="50" t="s">
        <v>60</v>
      </c>
      <c r="V22" s="2262">
        <v>137030</v>
      </c>
      <c r="W22" s="2262"/>
      <c r="X22" s="2262"/>
      <c r="Y22" s="2269"/>
    </row>
    <row r="23" spans="1:25" ht="39.75" customHeight="1" x14ac:dyDescent="0.25">
      <c r="A23" s="130"/>
      <c r="B23" s="2276"/>
      <c r="C23" s="2266"/>
      <c r="D23" s="2266"/>
      <c r="E23" s="2266"/>
      <c r="F23" s="2266"/>
      <c r="G23" s="130"/>
      <c r="Q23" s="130"/>
      <c r="R23" s="130"/>
      <c r="T23" s="2252"/>
      <c r="U23" s="50" t="s">
        <v>61</v>
      </c>
      <c r="V23" s="2262">
        <v>131000</v>
      </c>
      <c r="W23" s="2262"/>
      <c r="X23" s="2262"/>
      <c r="Y23" s="2269"/>
    </row>
    <row r="24" spans="1:25" ht="47.25" customHeight="1" x14ac:dyDescent="0.25">
      <c r="A24" s="130"/>
      <c r="B24" s="2277"/>
      <c r="C24" s="121" t="s">
        <v>46</v>
      </c>
      <c r="D24" s="121" t="s">
        <v>50</v>
      </c>
      <c r="E24" s="121" t="s">
        <v>51</v>
      </c>
      <c r="F24" s="121" t="s">
        <v>52</v>
      </c>
      <c r="G24" s="130"/>
      <c r="Q24" s="130"/>
      <c r="R24" s="130"/>
      <c r="T24" s="2235" t="s">
        <v>47</v>
      </c>
      <c r="U24" s="51" t="s">
        <v>62</v>
      </c>
      <c r="V24" s="2263">
        <f>V14+V16+V17-V18-V19-V20-V22+V23-V21</f>
        <v>6182.625</v>
      </c>
      <c r="W24" s="2263"/>
      <c r="X24" s="2263"/>
      <c r="Y24" s="2269"/>
    </row>
    <row r="25" spans="1:25" ht="40.5" customHeight="1" x14ac:dyDescent="0.25">
      <c r="T25" s="2235"/>
      <c r="U25" s="51" t="s">
        <v>63</v>
      </c>
      <c r="V25" s="2262">
        <f>V15+V22-V23</f>
        <v>205209</v>
      </c>
      <c r="W25" s="2262"/>
      <c r="X25" s="2262"/>
    </row>
    <row r="26" spans="1:25" ht="36" customHeight="1" x14ac:dyDescent="0.25"/>
    <row r="32" spans="1:25" x14ac:dyDescent="0.25">
      <c r="I32" s="2280"/>
      <c r="J32" s="2280"/>
      <c r="K32" s="2280"/>
      <c r="L32" s="2280"/>
    </row>
    <row r="33" spans="9:12" x14ac:dyDescent="0.25">
      <c r="I33" s="130"/>
      <c r="J33" s="130"/>
      <c r="K33" s="2280"/>
      <c r="L33" s="2280"/>
    </row>
  </sheetData>
  <mergeCells count="62">
    <mergeCell ref="I32:J32"/>
    <mergeCell ref="K32:L32"/>
    <mergeCell ref="K33:L33"/>
    <mergeCell ref="T22:T23"/>
    <mergeCell ref="V22:X22"/>
    <mergeCell ref="V23:X23"/>
    <mergeCell ref="T24:T25"/>
    <mergeCell ref="V24:X24"/>
    <mergeCell ref="V25:X25"/>
    <mergeCell ref="Y18:Y24"/>
    <mergeCell ref="B19:C19"/>
    <mergeCell ref="Q19:R19"/>
    <mergeCell ref="T19:T20"/>
    <mergeCell ref="V19:X19"/>
    <mergeCell ref="B20:C20"/>
    <mergeCell ref="B22:B24"/>
    <mergeCell ref="C22:C23"/>
    <mergeCell ref="D22:D23"/>
    <mergeCell ref="E22:E23"/>
    <mergeCell ref="F22:F23"/>
    <mergeCell ref="Q20:R20"/>
    <mergeCell ref="V20:X20"/>
    <mergeCell ref="B21:C21"/>
    <mergeCell ref="T21:U21"/>
    <mergeCell ref="V21:X21"/>
    <mergeCell ref="B17:C17"/>
    <mergeCell ref="Q17:R17"/>
    <mergeCell ref="T17:U17"/>
    <mergeCell ref="V17:X17"/>
    <mergeCell ref="B18:C18"/>
    <mergeCell ref="Q18:R18"/>
    <mergeCell ref="T18:U18"/>
    <mergeCell ref="V18:X18"/>
    <mergeCell ref="W4:X4"/>
    <mergeCell ref="B16:C16"/>
    <mergeCell ref="Q16:R16"/>
    <mergeCell ref="T16:U16"/>
    <mergeCell ref="V16:X16"/>
    <mergeCell ref="A12:B12"/>
    <mergeCell ref="B14:C14"/>
    <mergeCell ref="Q14:R14"/>
    <mergeCell ref="T14:T15"/>
    <mergeCell ref="V14:X14"/>
    <mergeCell ref="B15:C15"/>
    <mergeCell ref="Q15:R15"/>
    <mergeCell ref="V15:X15"/>
    <mergeCell ref="A1:Y1"/>
    <mergeCell ref="A2:Y2"/>
    <mergeCell ref="T3:Y3"/>
    <mergeCell ref="A4:A5"/>
    <mergeCell ref="B4:B5"/>
    <mergeCell ref="C4:D4"/>
    <mergeCell ref="E4:F4"/>
    <mergeCell ref="G4:H4"/>
    <mergeCell ref="I4:J4"/>
    <mergeCell ref="K4:L4"/>
    <mergeCell ref="Y4:Y5"/>
    <mergeCell ref="M4:N4"/>
    <mergeCell ref="O4:P4"/>
    <mergeCell ref="Q4:R4"/>
    <mergeCell ref="S4:T4"/>
    <mergeCell ref="U4:V4"/>
  </mergeCells>
  <pageMargins left="0.15748031496063" right="0.15748031496063" top="0" bottom="0" header="0" footer="0"/>
  <pageSetup paperSize="9" scale="47" orientation="landscape" r:id="rId1"/>
  <legacyDrawing r:id="rId2"/>
</worksheet>
</file>

<file path=xl/worksheets/sheet5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200-000000000000}">
  <sheetPr>
    <pageSetUpPr fitToPage="1"/>
  </sheetPr>
  <dimension ref="A1:Y33"/>
  <sheetViews>
    <sheetView topLeftCell="A12" zoomScale="69" zoomScaleNormal="69" zoomScaleSheetLayoutView="100" workbookViewId="0">
      <selection activeCell="L29" sqref="L29"/>
    </sheetView>
  </sheetViews>
  <sheetFormatPr defaultColWidth="9.140625" defaultRowHeight="15" x14ac:dyDescent="0.25"/>
  <cols>
    <col min="1" max="1" width="18.28515625" style="14" customWidth="1"/>
    <col min="2" max="2" width="10.7109375" style="14" customWidth="1"/>
    <col min="3" max="3" width="12.28515625" style="14" customWidth="1"/>
    <col min="4" max="4" width="11" style="14" customWidth="1"/>
    <col min="5" max="5" width="12" style="14" customWidth="1"/>
    <col min="6" max="6" width="12.5703125" style="14" bestFit="1" customWidth="1"/>
    <col min="7" max="7" width="9.28515625" style="14" bestFit="1" customWidth="1"/>
    <col min="8" max="8" width="10.140625" style="14" bestFit="1" customWidth="1"/>
    <col min="9" max="9" width="10.5703125" style="14" bestFit="1" customWidth="1"/>
    <col min="10" max="10" width="10.5703125" style="14" customWidth="1"/>
    <col min="11" max="11" width="10.28515625" style="14" bestFit="1" customWidth="1"/>
    <col min="12" max="12" width="9.42578125" style="14" bestFit="1" customWidth="1"/>
    <col min="13" max="13" width="9.85546875" style="14" bestFit="1" customWidth="1"/>
    <col min="14" max="14" width="10.140625" style="14" bestFit="1" customWidth="1"/>
    <col min="15" max="15" width="9" style="14" customWidth="1"/>
    <col min="16" max="16" width="12.85546875" style="14" bestFit="1" customWidth="1"/>
    <col min="17" max="18" width="9.42578125" style="14" customWidth="1"/>
    <col min="19" max="19" width="13.7109375" style="14" customWidth="1"/>
    <col min="20" max="20" width="12.140625" style="14" customWidth="1"/>
    <col min="21" max="21" width="19.5703125" style="14" bestFit="1" customWidth="1"/>
    <col min="22" max="22" width="9.85546875" style="14" customWidth="1"/>
    <col min="23" max="23" width="10.140625" style="14" bestFit="1" customWidth="1"/>
    <col min="24" max="24" width="10.28515625" style="14" customWidth="1"/>
    <col min="25" max="25" width="28" style="14" customWidth="1"/>
    <col min="26" max="16384" width="9.140625" style="14"/>
  </cols>
  <sheetData>
    <row r="1" spans="1:25" ht="46.15" customHeight="1" x14ac:dyDescent="0.25">
      <c r="A1" s="2240" t="s">
        <v>148</v>
      </c>
      <c r="B1" s="2240"/>
      <c r="C1" s="2240"/>
      <c r="D1" s="2240"/>
      <c r="E1" s="2240"/>
      <c r="F1" s="2240"/>
      <c r="G1" s="2240"/>
      <c r="H1" s="2240"/>
      <c r="I1" s="2240"/>
      <c r="J1" s="2240"/>
      <c r="K1" s="2240"/>
      <c r="L1" s="2240"/>
      <c r="M1" s="2240"/>
      <c r="N1" s="2240"/>
      <c r="O1" s="2240"/>
      <c r="P1" s="2240"/>
      <c r="Q1" s="2240"/>
      <c r="R1" s="2240"/>
      <c r="S1" s="2240"/>
      <c r="T1" s="2240"/>
      <c r="U1" s="2240"/>
      <c r="V1" s="2240"/>
      <c r="W1" s="2240"/>
      <c r="X1" s="2240"/>
      <c r="Y1" s="2240"/>
    </row>
    <row r="2" spans="1:25" ht="21.6" customHeight="1" x14ac:dyDescent="0.25">
      <c r="A2" s="2241" t="s">
        <v>77</v>
      </c>
      <c r="B2" s="2241"/>
      <c r="C2" s="2241"/>
      <c r="D2" s="2241"/>
      <c r="E2" s="2241"/>
      <c r="F2" s="2241"/>
      <c r="G2" s="2241"/>
      <c r="H2" s="2241"/>
      <c r="I2" s="2241"/>
      <c r="J2" s="2241"/>
      <c r="K2" s="2241"/>
      <c r="L2" s="2241"/>
      <c r="M2" s="2241"/>
      <c r="N2" s="2241"/>
      <c r="O2" s="2241"/>
      <c r="P2" s="2241"/>
      <c r="Q2" s="2241"/>
      <c r="R2" s="2241"/>
      <c r="S2" s="2241"/>
      <c r="T2" s="2241"/>
      <c r="U2" s="2241"/>
      <c r="V2" s="2241"/>
      <c r="W2" s="2241"/>
      <c r="X2" s="2241"/>
      <c r="Y2" s="2241"/>
    </row>
    <row r="3" spans="1:25" ht="21" customHeight="1" x14ac:dyDescent="0.25">
      <c r="A3" s="120"/>
      <c r="B3" s="120"/>
      <c r="C3" s="120"/>
      <c r="D3" s="120"/>
      <c r="E3" s="120"/>
      <c r="F3" s="120"/>
      <c r="G3" s="120"/>
      <c r="H3" s="120"/>
      <c r="I3" s="120"/>
      <c r="J3" s="120"/>
      <c r="K3" s="120"/>
      <c r="L3" s="120"/>
      <c r="M3" s="120"/>
      <c r="N3" s="120"/>
      <c r="O3" s="120"/>
      <c r="P3" s="120"/>
      <c r="Q3" s="120"/>
      <c r="R3" s="120"/>
      <c r="S3" s="120"/>
      <c r="T3" s="2242" t="s">
        <v>188</v>
      </c>
      <c r="U3" s="2242"/>
      <c r="V3" s="2242"/>
      <c r="W3" s="2242"/>
      <c r="X3" s="2242"/>
      <c r="Y3" s="2242"/>
    </row>
    <row r="4" spans="1:25" s="120" customFormat="1" ht="18" customHeight="1" x14ac:dyDescent="0.25">
      <c r="A4" s="2243" t="s">
        <v>25</v>
      </c>
      <c r="B4" s="2243" t="s">
        <v>26</v>
      </c>
      <c r="C4" s="2244" t="s">
        <v>27</v>
      </c>
      <c r="D4" s="2244"/>
      <c r="E4" s="2244" t="s">
        <v>28</v>
      </c>
      <c r="F4" s="2244"/>
      <c r="G4" s="2244" t="s">
        <v>65</v>
      </c>
      <c r="H4" s="2244"/>
      <c r="I4" s="2244" t="s">
        <v>29</v>
      </c>
      <c r="J4" s="2244"/>
      <c r="K4" s="2245" t="s">
        <v>13</v>
      </c>
      <c r="L4" s="2246"/>
      <c r="M4" s="2245" t="s">
        <v>67</v>
      </c>
      <c r="N4" s="2246"/>
      <c r="O4" s="2245" t="s">
        <v>68</v>
      </c>
      <c r="P4" s="2246"/>
      <c r="Q4" s="2245" t="s">
        <v>114</v>
      </c>
      <c r="R4" s="2246"/>
      <c r="S4" s="2244" t="s">
        <v>35</v>
      </c>
      <c r="T4" s="2244"/>
      <c r="U4" s="2245" t="s">
        <v>17</v>
      </c>
      <c r="V4" s="2246"/>
      <c r="W4" s="2247" t="s">
        <v>36</v>
      </c>
      <c r="X4" s="2248"/>
      <c r="Y4" s="2238" t="s">
        <v>30</v>
      </c>
    </row>
    <row r="5" spans="1:25" s="120" customFormat="1" ht="25.5" customHeight="1" x14ac:dyDescent="0.25">
      <c r="A5" s="2243"/>
      <c r="B5" s="2243"/>
      <c r="C5" s="122" t="s">
        <v>42</v>
      </c>
      <c r="D5" s="122" t="s">
        <v>43</v>
      </c>
      <c r="E5" s="122" t="s">
        <v>42</v>
      </c>
      <c r="F5" s="122" t="s">
        <v>43</v>
      </c>
      <c r="G5" s="122" t="s">
        <v>42</v>
      </c>
      <c r="H5" s="122" t="s">
        <v>43</v>
      </c>
      <c r="I5" s="122" t="s">
        <v>42</v>
      </c>
      <c r="J5" s="122" t="s">
        <v>43</v>
      </c>
      <c r="K5" s="122" t="s">
        <v>42</v>
      </c>
      <c r="L5" s="122" t="s">
        <v>43</v>
      </c>
      <c r="M5" s="122" t="s">
        <v>42</v>
      </c>
      <c r="N5" s="122" t="s">
        <v>43</v>
      </c>
      <c r="O5" s="122" t="s">
        <v>42</v>
      </c>
      <c r="P5" s="122" t="s">
        <v>43</v>
      </c>
      <c r="Q5" s="122" t="s">
        <v>42</v>
      </c>
      <c r="R5" s="122" t="s">
        <v>43</v>
      </c>
      <c r="S5" s="33" t="s">
        <v>42</v>
      </c>
      <c r="T5" s="33" t="s">
        <v>43</v>
      </c>
      <c r="U5" s="30" t="s">
        <v>42</v>
      </c>
      <c r="V5" s="30" t="s">
        <v>43</v>
      </c>
      <c r="W5" s="30" t="s">
        <v>42</v>
      </c>
      <c r="X5" s="30" t="s">
        <v>43</v>
      </c>
      <c r="Y5" s="2239"/>
    </row>
    <row r="6" spans="1:25" ht="34.5" customHeight="1" x14ac:dyDescent="0.25">
      <c r="A6" s="12">
        <v>1409935200</v>
      </c>
      <c r="B6" s="121" t="s">
        <v>71</v>
      </c>
      <c r="C6" s="124">
        <v>38752</v>
      </c>
      <c r="D6" s="125">
        <f>0.9725*C6</f>
        <v>37686.32</v>
      </c>
      <c r="E6" s="124"/>
      <c r="F6" s="124">
        <f>13.7*E6</f>
        <v>0</v>
      </c>
      <c r="G6" s="124"/>
      <c r="H6" s="124">
        <f>28.2*G6</f>
        <v>0</v>
      </c>
      <c r="I6" s="124"/>
      <c r="J6" s="124">
        <f>18.5*I6</f>
        <v>0</v>
      </c>
      <c r="K6" s="124"/>
      <c r="L6" s="124">
        <f>19.5*K6</f>
        <v>0</v>
      </c>
      <c r="M6" s="124"/>
      <c r="N6" s="125">
        <f>M6*9.75</f>
        <v>0</v>
      </c>
      <c r="O6" s="124"/>
      <c r="P6" s="125">
        <f>O6*48.62</f>
        <v>0</v>
      </c>
      <c r="Q6" s="125"/>
      <c r="R6" s="125">
        <f>241*Q6</f>
        <v>0</v>
      </c>
      <c r="S6" s="124"/>
      <c r="T6" s="124">
        <f>241*S6</f>
        <v>0</v>
      </c>
      <c r="U6" s="124">
        <v>9</v>
      </c>
      <c r="V6" s="124">
        <f>232*U6</f>
        <v>2088</v>
      </c>
      <c r="W6" s="124"/>
      <c r="X6" s="19">
        <f>W6*100</f>
        <v>0</v>
      </c>
      <c r="Y6" s="89">
        <f t="shared" ref="Y6:Y11" si="0">D6+F6+H6+J6+L6+N6+P6+R6+T6+V6+X6</f>
        <v>39774.32</v>
      </c>
    </row>
    <row r="7" spans="1:25" ht="31.5" customHeight="1" x14ac:dyDescent="0.25">
      <c r="A7" s="12">
        <v>1984225578</v>
      </c>
      <c r="B7" s="121" t="s">
        <v>72</v>
      </c>
      <c r="C7" s="124">
        <v>62190</v>
      </c>
      <c r="D7" s="125">
        <f t="shared" ref="D7:D11" si="1">0.9725*C7</f>
        <v>60479.775000000001</v>
      </c>
      <c r="E7" s="124"/>
      <c r="F7" s="124">
        <f t="shared" ref="F7:F11" si="2">13.7*E7</f>
        <v>0</v>
      </c>
      <c r="G7" s="124">
        <v>30</v>
      </c>
      <c r="H7" s="124">
        <f t="shared" ref="H7:H11" si="3">28.2*G7</f>
        <v>846</v>
      </c>
      <c r="I7" s="124"/>
      <c r="J7" s="124">
        <f t="shared" ref="J7:J11" si="4">18.5*I7</f>
        <v>0</v>
      </c>
      <c r="K7" s="124"/>
      <c r="L7" s="124">
        <f t="shared" ref="L7:L11" si="5">19.5*K7</f>
        <v>0</v>
      </c>
      <c r="M7" s="124"/>
      <c r="N7" s="125">
        <f t="shared" ref="N7:N11" si="6">M7*9.75</f>
        <v>0</v>
      </c>
      <c r="O7" s="124"/>
      <c r="P7" s="125">
        <f t="shared" ref="P7:P11" si="7">O7*48.62</f>
        <v>0</v>
      </c>
      <c r="Q7" s="125"/>
      <c r="R7" s="125">
        <f t="shared" ref="R7:R11" si="8">241*Q7</f>
        <v>0</v>
      </c>
      <c r="S7" s="124">
        <v>4</v>
      </c>
      <c r="T7" s="124">
        <f t="shared" ref="T7:T11" si="9">241*S7</f>
        <v>964</v>
      </c>
      <c r="U7" s="124"/>
      <c r="V7" s="124">
        <f t="shared" ref="V7:V11" si="10">232*U7</f>
        <v>0</v>
      </c>
      <c r="W7" s="124"/>
      <c r="X7" s="19">
        <f t="shared" ref="X7:X11" si="11">W7*100</f>
        <v>0</v>
      </c>
      <c r="Y7" s="89">
        <f t="shared" si="0"/>
        <v>62289.775000000001</v>
      </c>
    </row>
    <row r="8" spans="1:25" ht="35.25" customHeight="1" x14ac:dyDescent="0.25">
      <c r="A8" s="12">
        <v>1967020280</v>
      </c>
      <c r="B8" s="121" t="s">
        <v>73</v>
      </c>
      <c r="C8" s="124">
        <v>25794</v>
      </c>
      <c r="D8" s="125">
        <f t="shared" si="1"/>
        <v>25084.665000000001</v>
      </c>
      <c r="E8" s="124"/>
      <c r="F8" s="124">
        <f t="shared" si="2"/>
        <v>0</v>
      </c>
      <c r="G8" s="124"/>
      <c r="H8" s="124">
        <f t="shared" si="3"/>
        <v>0</v>
      </c>
      <c r="I8" s="124"/>
      <c r="J8" s="124">
        <f t="shared" si="4"/>
        <v>0</v>
      </c>
      <c r="K8" s="124"/>
      <c r="L8" s="124">
        <f t="shared" si="5"/>
        <v>0</v>
      </c>
      <c r="M8" s="124"/>
      <c r="N8" s="125">
        <f t="shared" si="6"/>
        <v>0</v>
      </c>
      <c r="O8" s="124"/>
      <c r="P8" s="125">
        <f t="shared" si="7"/>
        <v>0</v>
      </c>
      <c r="Q8" s="125"/>
      <c r="R8" s="125">
        <f t="shared" si="8"/>
        <v>0</v>
      </c>
      <c r="S8" s="124"/>
      <c r="T8" s="124">
        <f t="shared" si="9"/>
        <v>0</v>
      </c>
      <c r="U8" s="124"/>
      <c r="V8" s="124">
        <f t="shared" si="10"/>
        <v>0</v>
      </c>
      <c r="W8" s="124"/>
      <c r="X8" s="19">
        <f t="shared" si="11"/>
        <v>0</v>
      </c>
      <c r="Y8" s="89">
        <f t="shared" si="0"/>
        <v>25084.665000000001</v>
      </c>
    </row>
    <row r="9" spans="1:25" ht="38.25" customHeight="1" x14ac:dyDescent="0.25">
      <c r="A9" s="12">
        <v>1409935199</v>
      </c>
      <c r="B9" s="121" t="s">
        <v>75</v>
      </c>
      <c r="C9" s="124">
        <v>20457</v>
      </c>
      <c r="D9" s="125">
        <f t="shared" si="1"/>
        <v>19894.432499999999</v>
      </c>
      <c r="E9" s="124"/>
      <c r="F9" s="124">
        <f t="shared" si="2"/>
        <v>0</v>
      </c>
      <c r="G9" s="124">
        <v>70</v>
      </c>
      <c r="H9" s="124">
        <f t="shared" si="3"/>
        <v>1974</v>
      </c>
      <c r="I9" s="124"/>
      <c r="J9" s="124">
        <f t="shared" si="4"/>
        <v>0</v>
      </c>
      <c r="K9" s="124"/>
      <c r="L9" s="124">
        <f t="shared" si="5"/>
        <v>0</v>
      </c>
      <c r="M9" s="124"/>
      <c r="N9" s="125">
        <f t="shared" si="6"/>
        <v>0</v>
      </c>
      <c r="O9" s="124"/>
      <c r="P9" s="125">
        <f t="shared" si="7"/>
        <v>0</v>
      </c>
      <c r="Q9" s="125"/>
      <c r="R9" s="125">
        <f t="shared" si="8"/>
        <v>0</v>
      </c>
      <c r="S9" s="124"/>
      <c r="T9" s="124">
        <f t="shared" si="9"/>
        <v>0</v>
      </c>
      <c r="U9" s="124"/>
      <c r="V9" s="124">
        <f t="shared" si="10"/>
        <v>0</v>
      </c>
      <c r="W9" s="124">
        <v>2</v>
      </c>
      <c r="X9" s="19">
        <f t="shared" si="11"/>
        <v>200</v>
      </c>
      <c r="Y9" s="89">
        <f t="shared" si="0"/>
        <v>22068.432499999999</v>
      </c>
    </row>
    <row r="10" spans="1:25" ht="35.25" customHeight="1" x14ac:dyDescent="0.25">
      <c r="A10" s="12">
        <v>1984225580</v>
      </c>
      <c r="C10" s="124"/>
      <c r="D10" s="125">
        <f t="shared" si="1"/>
        <v>0</v>
      </c>
      <c r="E10" s="124"/>
      <c r="F10" s="124">
        <f t="shared" si="2"/>
        <v>0</v>
      </c>
      <c r="G10" s="124"/>
      <c r="H10" s="124">
        <f t="shared" si="3"/>
        <v>0</v>
      </c>
      <c r="I10" s="124"/>
      <c r="J10" s="124">
        <f t="shared" si="4"/>
        <v>0</v>
      </c>
      <c r="K10" s="124"/>
      <c r="L10" s="124">
        <f t="shared" si="5"/>
        <v>0</v>
      </c>
      <c r="M10" s="124"/>
      <c r="N10" s="125">
        <f t="shared" si="6"/>
        <v>0</v>
      </c>
      <c r="O10" s="124"/>
      <c r="P10" s="125">
        <f t="shared" si="7"/>
        <v>0</v>
      </c>
      <c r="Q10" s="125"/>
      <c r="R10" s="125">
        <f t="shared" si="8"/>
        <v>0</v>
      </c>
      <c r="S10" s="124"/>
      <c r="T10" s="124">
        <f t="shared" si="9"/>
        <v>0</v>
      </c>
      <c r="U10" s="124"/>
      <c r="V10" s="124">
        <f t="shared" si="10"/>
        <v>0</v>
      </c>
      <c r="W10" s="124"/>
      <c r="X10" s="19">
        <f t="shared" si="11"/>
        <v>0</v>
      </c>
      <c r="Y10" s="89">
        <f t="shared" si="0"/>
        <v>0</v>
      </c>
    </row>
    <row r="11" spans="1:25" ht="37.5" customHeight="1" x14ac:dyDescent="0.25">
      <c r="A11" s="12"/>
      <c r="B11" s="123"/>
      <c r="C11" s="124"/>
      <c r="D11" s="22">
        <f t="shared" si="1"/>
        <v>0</v>
      </c>
      <c r="E11" s="124"/>
      <c r="F11" s="124">
        <f t="shared" si="2"/>
        <v>0</v>
      </c>
      <c r="G11" s="124"/>
      <c r="H11" s="124">
        <f t="shared" si="3"/>
        <v>0</v>
      </c>
      <c r="I11" s="124"/>
      <c r="J11" s="124">
        <f t="shared" si="4"/>
        <v>0</v>
      </c>
      <c r="K11" s="124"/>
      <c r="L11" s="124">
        <f t="shared" si="5"/>
        <v>0</v>
      </c>
      <c r="M11" s="124"/>
      <c r="N11" s="125">
        <f t="shared" si="6"/>
        <v>0</v>
      </c>
      <c r="O11" s="124"/>
      <c r="P11" s="125">
        <f t="shared" si="7"/>
        <v>0</v>
      </c>
      <c r="Q11" s="125"/>
      <c r="R11" s="125">
        <f t="shared" si="8"/>
        <v>0</v>
      </c>
      <c r="S11" s="124"/>
      <c r="T11" s="124">
        <f t="shared" si="9"/>
        <v>0</v>
      </c>
      <c r="U11" s="124"/>
      <c r="V11" s="124">
        <f t="shared" si="10"/>
        <v>0</v>
      </c>
      <c r="W11" s="124"/>
      <c r="X11" s="19">
        <f t="shared" si="11"/>
        <v>0</v>
      </c>
      <c r="Y11" s="20">
        <f t="shared" si="0"/>
        <v>0</v>
      </c>
    </row>
    <row r="12" spans="1:25" ht="29.25" customHeight="1" x14ac:dyDescent="0.25">
      <c r="A12" s="2235" t="s">
        <v>31</v>
      </c>
      <c r="B12" s="2235"/>
      <c r="C12" s="18">
        <f t="shared" ref="C12:Y12" si="12">SUM(C6:C11)</f>
        <v>147193</v>
      </c>
      <c r="D12" s="18">
        <f t="shared" si="12"/>
        <v>143145.1925</v>
      </c>
      <c r="E12" s="18">
        <f t="shared" si="12"/>
        <v>0</v>
      </c>
      <c r="F12" s="18">
        <f t="shared" si="12"/>
        <v>0</v>
      </c>
      <c r="G12" s="18">
        <f t="shared" si="12"/>
        <v>100</v>
      </c>
      <c r="H12" s="18">
        <f t="shared" si="12"/>
        <v>2820</v>
      </c>
      <c r="I12" s="18">
        <f t="shared" si="12"/>
        <v>0</v>
      </c>
      <c r="J12" s="18">
        <f t="shared" si="12"/>
        <v>0</v>
      </c>
      <c r="K12" s="18">
        <f t="shared" si="12"/>
        <v>0</v>
      </c>
      <c r="L12" s="18">
        <f t="shared" si="12"/>
        <v>0</v>
      </c>
      <c r="M12" s="18">
        <f t="shared" si="12"/>
        <v>0</v>
      </c>
      <c r="N12" s="23">
        <f t="shared" si="12"/>
        <v>0</v>
      </c>
      <c r="O12" s="18">
        <f t="shared" si="12"/>
        <v>0</v>
      </c>
      <c r="P12" s="23">
        <f t="shared" si="12"/>
        <v>0</v>
      </c>
      <c r="Q12" s="23">
        <f t="shared" si="12"/>
        <v>0</v>
      </c>
      <c r="R12" s="23">
        <f>SUM(R6:R11)</f>
        <v>0</v>
      </c>
      <c r="S12" s="18">
        <f t="shared" si="12"/>
        <v>4</v>
      </c>
      <c r="T12" s="18">
        <f t="shared" si="12"/>
        <v>964</v>
      </c>
      <c r="U12" s="18">
        <f t="shared" si="12"/>
        <v>9</v>
      </c>
      <c r="V12" s="18">
        <f t="shared" si="12"/>
        <v>2088</v>
      </c>
      <c r="W12" s="18">
        <f t="shared" si="12"/>
        <v>2</v>
      </c>
      <c r="X12" s="18">
        <f t="shared" si="12"/>
        <v>200</v>
      </c>
      <c r="Y12" s="18">
        <f t="shared" si="12"/>
        <v>149217.1925</v>
      </c>
    </row>
    <row r="14" spans="1:25" ht="41.25" customHeight="1" x14ac:dyDescent="0.25">
      <c r="A14" s="30" t="s">
        <v>32</v>
      </c>
      <c r="B14" s="2236" t="s">
        <v>27</v>
      </c>
      <c r="C14" s="2236"/>
      <c r="D14" s="30" t="s">
        <v>33</v>
      </c>
      <c r="E14" s="30" t="s">
        <v>65</v>
      </c>
      <c r="F14" s="30" t="s">
        <v>34</v>
      </c>
      <c r="G14" s="30" t="s">
        <v>13</v>
      </c>
      <c r="H14" s="142" t="s">
        <v>173</v>
      </c>
      <c r="I14" s="30" t="s">
        <v>17</v>
      </c>
      <c r="J14" s="129" t="s">
        <v>174</v>
      </c>
      <c r="K14" s="30" t="s">
        <v>36</v>
      </c>
      <c r="L14" s="30" t="s">
        <v>175</v>
      </c>
      <c r="M14" s="30" t="s">
        <v>69</v>
      </c>
      <c r="N14" s="30" t="s">
        <v>70</v>
      </c>
      <c r="O14" s="129" t="s">
        <v>114</v>
      </c>
      <c r="P14" s="129" t="s">
        <v>99</v>
      </c>
      <c r="Q14" s="2272" t="s">
        <v>150</v>
      </c>
      <c r="R14" s="2272"/>
      <c r="S14" s="129" t="s">
        <v>171</v>
      </c>
      <c r="T14" s="2235" t="s">
        <v>46</v>
      </c>
      <c r="U14" s="121" t="s">
        <v>176</v>
      </c>
      <c r="V14" s="2260">
        <v>6183</v>
      </c>
      <c r="W14" s="2268"/>
      <c r="X14" s="2261"/>
    </row>
    <row r="15" spans="1:25" ht="22.5" customHeight="1" x14ac:dyDescent="0.25">
      <c r="A15" s="100" t="s">
        <v>38</v>
      </c>
      <c r="B15" s="2260">
        <v>275591</v>
      </c>
      <c r="C15" s="2261"/>
      <c r="D15" s="126">
        <v>0</v>
      </c>
      <c r="E15" s="126">
        <v>600</v>
      </c>
      <c r="F15" s="126">
        <v>10000</v>
      </c>
      <c r="G15" s="126">
        <v>0</v>
      </c>
      <c r="H15" s="126">
        <v>128</v>
      </c>
      <c r="I15" s="126">
        <v>9</v>
      </c>
      <c r="J15" s="126">
        <v>90</v>
      </c>
      <c r="K15" s="126">
        <v>54</v>
      </c>
      <c r="L15" s="126">
        <v>185</v>
      </c>
      <c r="M15" s="126">
        <v>0</v>
      </c>
      <c r="N15" s="126">
        <v>100</v>
      </c>
      <c r="O15" s="126">
        <v>0</v>
      </c>
      <c r="P15" s="126">
        <v>464</v>
      </c>
      <c r="Q15" s="2262">
        <v>6</v>
      </c>
      <c r="R15" s="2262"/>
      <c r="S15" s="121">
        <v>126</v>
      </c>
      <c r="T15" s="2235"/>
      <c r="U15" s="121" t="s">
        <v>64</v>
      </c>
      <c r="V15" s="2262">
        <v>205209</v>
      </c>
      <c r="W15" s="2262"/>
      <c r="X15" s="2262"/>
    </row>
    <row r="16" spans="1:25" ht="24.75" customHeight="1" x14ac:dyDescent="0.25">
      <c r="A16" s="100" t="s">
        <v>39</v>
      </c>
      <c r="B16" s="2260">
        <v>278232</v>
      </c>
      <c r="C16" s="2261"/>
      <c r="D16" s="126"/>
      <c r="E16" s="126"/>
      <c r="F16" s="126"/>
      <c r="G16" s="126"/>
      <c r="H16" s="126"/>
      <c r="I16" s="126"/>
      <c r="J16" s="126"/>
      <c r="K16" s="126"/>
      <c r="L16" s="126"/>
      <c r="M16" s="126"/>
      <c r="N16" s="126"/>
      <c r="O16" s="126"/>
      <c r="P16" s="126"/>
      <c r="Q16" s="2225"/>
      <c r="R16" s="2225"/>
      <c r="S16" s="123"/>
      <c r="T16" s="2254" t="s">
        <v>55</v>
      </c>
      <c r="U16" s="2254"/>
      <c r="V16" s="2267">
        <f>Y12</f>
        <v>149217.1925</v>
      </c>
      <c r="W16" s="2267"/>
      <c r="X16" s="2262"/>
    </row>
    <row r="17" spans="1:25" ht="28.5" customHeight="1" x14ac:dyDescent="0.25">
      <c r="A17" s="101" t="s">
        <v>44</v>
      </c>
      <c r="B17" s="2260"/>
      <c r="C17" s="2261"/>
      <c r="D17" s="126"/>
      <c r="E17" s="126"/>
      <c r="F17" s="126"/>
      <c r="G17" s="126"/>
      <c r="H17" s="126"/>
      <c r="I17" s="126"/>
      <c r="J17" s="126"/>
      <c r="K17" s="126"/>
      <c r="L17" s="126"/>
      <c r="M17" s="126"/>
      <c r="N17" s="126"/>
      <c r="O17" s="126"/>
      <c r="P17" s="126"/>
      <c r="Q17" s="2225"/>
      <c r="R17" s="2225"/>
      <c r="S17" s="123"/>
      <c r="T17" s="2273" t="s">
        <v>181</v>
      </c>
      <c r="U17" s="2274"/>
      <c r="V17" s="2262"/>
      <c r="W17" s="2262"/>
      <c r="X17" s="2262"/>
    </row>
    <row r="18" spans="1:25" ht="27" customHeight="1" x14ac:dyDescent="0.25">
      <c r="A18" s="100" t="s">
        <v>40</v>
      </c>
      <c r="B18" s="2264">
        <f>C12</f>
        <v>147193</v>
      </c>
      <c r="C18" s="2261"/>
      <c r="D18" s="127">
        <f>E12</f>
        <v>0</v>
      </c>
      <c r="E18" s="127">
        <f>G12</f>
        <v>100</v>
      </c>
      <c r="F18" s="127">
        <f>I12</f>
        <v>0</v>
      </c>
      <c r="G18" s="127">
        <f>K12</f>
        <v>0</v>
      </c>
      <c r="H18" s="126">
        <v>4</v>
      </c>
      <c r="I18" s="127">
        <f>U12</f>
        <v>9</v>
      </c>
      <c r="J18" s="126"/>
      <c r="K18" s="127">
        <f>W12</f>
        <v>2</v>
      </c>
      <c r="L18" s="126"/>
      <c r="M18" s="127">
        <f>M12</f>
        <v>0</v>
      </c>
      <c r="N18" s="127">
        <f>O12</f>
        <v>0</v>
      </c>
      <c r="O18" s="128">
        <f>Q12</f>
        <v>0</v>
      </c>
      <c r="P18" s="126"/>
      <c r="Q18" s="2225"/>
      <c r="R18" s="2225"/>
      <c r="S18" s="121"/>
      <c r="T18" s="2254" t="s">
        <v>57</v>
      </c>
      <c r="U18" s="2254"/>
      <c r="V18" s="2262">
        <v>450</v>
      </c>
      <c r="W18" s="2262"/>
      <c r="X18" s="2262"/>
      <c r="Y18" s="2269" t="s">
        <v>189</v>
      </c>
    </row>
    <row r="19" spans="1:25" ht="25.5" customHeight="1" x14ac:dyDescent="0.25">
      <c r="A19" s="100" t="s">
        <v>41</v>
      </c>
      <c r="B19" s="2260">
        <f>B15+B16+B17-B18</f>
        <v>406630</v>
      </c>
      <c r="C19" s="2261"/>
      <c r="D19" s="126">
        <f>D15+D16+D17-D18</f>
        <v>0</v>
      </c>
      <c r="E19" s="126">
        <f t="shared" ref="E19:N19" si="13">E15+E16+E17-E18</f>
        <v>500</v>
      </c>
      <c r="F19" s="126">
        <f t="shared" si="13"/>
        <v>10000</v>
      </c>
      <c r="G19" s="126">
        <f t="shared" si="13"/>
        <v>0</v>
      </c>
      <c r="H19" s="126">
        <f t="shared" si="13"/>
        <v>124</v>
      </c>
      <c r="I19" s="126">
        <f t="shared" si="13"/>
        <v>0</v>
      </c>
      <c r="J19" s="126">
        <f t="shared" si="13"/>
        <v>90</v>
      </c>
      <c r="K19" s="126">
        <f t="shared" si="13"/>
        <v>52</v>
      </c>
      <c r="L19" s="126">
        <f t="shared" si="13"/>
        <v>185</v>
      </c>
      <c r="M19" s="126">
        <f t="shared" si="13"/>
        <v>0</v>
      </c>
      <c r="N19" s="126">
        <f t="shared" si="13"/>
        <v>100</v>
      </c>
      <c r="O19" s="126">
        <f>O15+O16+O17-O18</f>
        <v>0</v>
      </c>
      <c r="P19" s="126">
        <f>P15+P16+P17-P18</f>
        <v>464</v>
      </c>
      <c r="Q19" s="2260">
        <f t="shared" ref="Q19" si="14">Q15+Q16+Q17-Q18</f>
        <v>6</v>
      </c>
      <c r="R19" s="2261"/>
      <c r="S19" s="121">
        <f>S15+S16-S17-S18</f>
        <v>126</v>
      </c>
      <c r="T19" s="2256" t="s">
        <v>48</v>
      </c>
      <c r="U19" s="49" t="s">
        <v>58</v>
      </c>
      <c r="V19" s="2262"/>
      <c r="W19" s="2262"/>
      <c r="X19" s="2262"/>
      <c r="Y19" s="2269"/>
    </row>
    <row r="20" spans="1:25" ht="23.25" customHeight="1" x14ac:dyDescent="0.25">
      <c r="A20" s="11" t="s">
        <v>187</v>
      </c>
      <c r="B20" s="2278">
        <f>B19*0.9625</f>
        <v>391381.375</v>
      </c>
      <c r="C20" s="2279"/>
      <c r="D20" s="123">
        <f>D19*13.56</f>
        <v>0</v>
      </c>
      <c r="E20" s="123">
        <f>28.2*E19</f>
        <v>14100</v>
      </c>
      <c r="F20" s="123">
        <f>18.31*F19</f>
        <v>183100</v>
      </c>
      <c r="G20" s="123">
        <f>19.3*G19</f>
        <v>0</v>
      </c>
      <c r="H20" s="123">
        <f>241*H19</f>
        <v>29884</v>
      </c>
      <c r="I20" s="123">
        <f>223*I19</f>
        <v>0</v>
      </c>
      <c r="J20" s="123">
        <f>241*J19</f>
        <v>21690</v>
      </c>
      <c r="K20" s="123">
        <f>K19*100</f>
        <v>5200</v>
      </c>
      <c r="L20" s="123">
        <f>241*L19</f>
        <v>44585</v>
      </c>
      <c r="M20" s="123">
        <f>9.65*M19</f>
        <v>0</v>
      </c>
      <c r="N20" s="123">
        <f>N19*48.2</f>
        <v>4820</v>
      </c>
      <c r="O20" s="123">
        <f>241*O19</f>
        <v>0</v>
      </c>
      <c r="P20" s="123">
        <f>241*P19</f>
        <v>111824</v>
      </c>
      <c r="Q20" s="2278">
        <f>241*Q19</f>
        <v>1446</v>
      </c>
      <c r="R20" s="2279"/>
      <c r="S20" s="123">
        <f>241*S19</f>
        <v>30366</v>
      </c>
      <c r="T20" s="2257"/>
      <c r="U20" s="49" t="s">
        <v>59</v>
      </c>
      <c r="V20" s="2262">
        <v>147800</v>
      </c>
      <c r="W20" s="2262"/>
      <c r="X20" s="2262"/>
      <c r="Y20" s="2269"/>
    </row>
    <row r="21" spans="1:25" ht="32.25" customHeight="1" x14ac:dyDescent="0.25">
      <c r="A21" s="143" t="s">
        <v>186</v>
      </c>
      <c r="B21" s="2283">
        <f>SUM(B20:S20)</f>
        <v>838396.375</v>
      </c>
      <c r="C21" s="2283"/>
      <c r="O21" s="130"/>
      <c r="P21" s="130"/>
      <c r="Q21" s="130"/>
      <c r="R21" s="130"/>
      <c r="T21" s="2273" t="s">
        <v>167</v>
      </c>
      <c r="U21" s="2274"/>
      <c r="V21" s="2260"/>
      <c r="W21" s="2268"/>
      <c r="X21" s="2261"/>
      <c r="Y21" s="2269"/>
    </row>
    <row r="22" spans="1:25" ht="35.25" customHeight="1" x14ac:dyDescent="0.25">
      <c r="A22" s="15"/>
      <c r="B22" s="2275" t="s">
        <v>49</v>
      </c>
      <c r="C22" s="2265">
        <v>836534</v>
      </c>
      <c r="D22" s="2265"/>
      <c r="E22" s="2265">
        <v>120000</v>
      </c>
      <c r="F22" s="2265">
        <f>C22-D22+E22</f>
        <v>956534</v>
      </c>
      <c r="G22" s="130"/>
      <c r="Q22" s="130"/>
      <c r="R22" s="130"/>
      <c r="T22" s="2251" t="s">
        <v>83</v>
      </c>
      <c r="U22" s="50" t="s">
        <v>60</v>
      </c>
      <c r="V22" s="2262"/>
      <c r="W22" s="2262"/>
      <c r="X22" s="2262"/>
      <c r="Y22" s="2269"/>
    </row>
    <row r="23" spans="1:25" ht="39.75" customHeight="1" x14ac:dyDescent="0.25">
      <c r="A23" s="130"/>
      <c r="B23" s="2276"/>
      <c r="C23" s="2266"/>
      <c r="D23" s="2266"/>
      <c r="E23" s="2266"/>
      <c r="F23" s="2266"/>
      <c r="G23" s="130"/>
      <c r="Q23" s="130"/>
      <c r="R23" s="130"/>
      <c r="T23" s="2252"/>
      <c r="U23" s="50" t="s">
        <v>61</v>
      </c>
      <c r="V23" s="2262"/>
      <c r="W23" s="2262"/>
      <c r="X23" s="2262"/>
      <c r="Y23" s="2269"/>
    </row>
    <row r="24" spans="1:25" ht="47.25" customHeight="1" x14ac:dyDescent="0.25">
      <c r="A24" s="130"/>
      <c r="B24" s="2277"/>
      <c r="C24" s="121" t="s">
        <v>46</v>
      </c>
      <c r="D24" s="121" t="s">
        <v>50</v>
      </c>
      <c r="E24" s="121" t="s">
        <v>51</v>
      </c>
      <c r="F24" s="121" t="s">
        <v>52</v>
      </c>
      <c r="G24" s="130"/>
      <c r="Q24" s="130"/>
      <c r="R24" s="130"/>
      <c r="T24" s="2235" t="s">
        <v>47</v>
      </c>
      <c r="U24" s="51" t="s">
        <v>62</v>
      </c>
      <c r="V24" s="2263">
        <f>V14+V16+V17-V18-V19-V20-V22+V23-V21</f>
        <v>7150.1925000000047</v>
      </c>
      <c r="W24" s="2263"/>
      <c r="X24" s="2263"/>
      <c r="Y24" s="2269"/>
    </row>
    <row r="25" spans="1:25" ht="40.5" customHeight="1" x14ac:dyDescent="0.25">
      <c r="T25" s="2235"/>
      <c r="U25" s="51" t="s">
        <v>63</v>
      </c>
      <c r="V25" s="2262">
        <f>V15+V22-V23</f>
        <v>205209</v>
      </c>
      <c r="W25" s="2262"/>
      <c r="X25" s="2262"/>
    </row>
    <row r="26" spans="1:25" ht="36" customHeight="1" x14ac:dyDescent="0.25"/>
    <row r="32" spans="1:25" x14ac:dyDescent="0.25">
      <c r="I32" s="2280"/>
      <c r="J32" s="2280"/>
      <c r="K32" s="2280"/>
      <c r="L32" s="2280"/>
    </row>
    <row r="33" spans="9:12" x14ac:dyDescent="0.25">
      <c r="I33" s="130"/>
      <c r="J33" s="130"/>
      <c r="K33" s="2280"/>
      <c r="L33" s="2280"/>
    </row>
  </sheetData>
  <mergeCells count="62">
    <mergeCell ref="I32:J32"/>
    <mergeCell ref="K32:L32"/>
    <mergeCell ref="K33:L33"/>
    <mergeCell ref="T22:T23"/>
    <mergeCell ref="V22:X22"/>
    <mergeCell ref="V23:X23"/>
    <mergeCell ref="T24:T25"/>
    <mergeCell ref="V24:X24"/>
    <mergeCell ref="V25:X25"/>
    <mergeCell ref="Y18:Y24"/>
    <mergeCell ref="B19:C19"/>
    <mergeCell ref="Q19:R19"/>
    <mergeCell ref="T19:T20"/>
    <mergeCell ref="V19:X19"/>
    <mergeCell ref="B20:C20"/>
    <mergeCell ref="B22:B24"/>
    <mergeCell ref="C22:C23"/>
    <mergeCell ref="D22:D23"/>
    <mergeCell ref="E22:E23"/>
    <mergeCell ref="F22:F23"/>
    <mergeCell ref="Q20:R20"/>
    <mergeCell ref="V20:X20"/>
    <mergeCell ref="B21:C21"/>
    <mergeCell ref="T21:U21"/>
    <mergeCell ref="V21:X21"/>
    <mergeCell ref="B17:C17"/>
    <mergeCell ref="Q17:R17"/>
    <mergeCell ref="T17:U17"/>
    <mergeCell ref="V17:X17"/>
    <mergeCell ref="B18:C18"/>
    <mergeCell ref="Q18:R18"/>
    <mergeCell ref="T18:U18"/>
    <mergeCell ref="V18:X18"/>
    <mergeCell ref="W4:X4"/>
    <mergeCell ref="B16:C16"/>
    <mergeCell ref="Q16:R16"/>
    <mergeCell ref="T16:U16"/>
    <mergeCell ref="V16:X16"/>
    <mergeCell ref="A12:B12"/>
    <mergeCell ref="B14:C14"/>
    <mergeCell ref="Q14:R14"/>
    <mergeCell ref="T14:T15"/>
    <mergeCell ref="V14:X14"/>
    <mergeCell ref="B15:C15"/>
    <mergeCell ref="Q15:R15"/>
    <mergeCell ref="V15:X15"/>
    <mergeCell ref="A1:Y1"/>
    <mergeCell ref="A2:Y2"/>
    <mergeCell ref="T3:Y3"/>
    <mergeCell ref="A4:A5"/>
    <mergeCell ref="B4:B5"/>
    <mergeCell ref="C4:D4"/>
    <mergeCell ref="E4:F4"/>
    <mergeCell ref="G4:H4"/>
    <mergeCell ref="I4:J4"/>
    <mergeCell ref="K4:L4"/>
    <mergeCell ref="Y4:Y5"/>
    <mergeCell ref="M4:N4"/>
    <mergeCell ref="O4:P4"/>
    <mergeCell ref="Q4:R4"/>
    <mergeCell ref="S4:T4"/>
    <mergeCell ref="U4:V4"/>
  </mergeCells>
  <pageMargins left="0.15748031496063" right="0.15748031496063" top="0" bottom="0" header="0" footer="0"/>
  <pageSetup paperSize="9" scale="47" orientation="landscape" r:id="rId1"/>
  <legacyDrawing r:id="rId2"/>
</worksheet>
</file>

<file path=xl/worksheets/sheet5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300-000000000000}">
  <sheetPr>
    <pageSetUpPr fitToPage="1"/>
  </sheetPr>
  <dimension ref="A1:Y33"/>
  <sheetViews>
    <sheetView topLeftCell="A10" zoomScale="69" zoomScaleNormal="69" zoomScaleSheetLayoutView="100" workbookViewId="0">
      <selection activeCell="K26" sqref="K26"/>
    </sheetView>
  </sheetViews>
  <sheetFormatPr defaultColWidth="9.140625" defaultRowHeight="15" x14ac:dyDescent="0.25"/>
  <cols>
    <col min="1" max="1" width="18.28515625" style="14" customWidth="1"/>
    <col min="2" max="2" width="10.7109375" style="14" customWidth="1"/>
    <col min="3" max="3" width="12.28515625" style="14" customWidth="1"/>
    <col min="4" max="4" width="11" style="14" customWidth="1"/>
    <col min="5" max="5" width="12" style="14" customWidth="1"/>
    <col min="6" max="6" width="12.5703125" style="14" bestFit="1" customWidth="1"/>
    <col min="7" max="7" width="9.28515625" style="14" bestFit="1" customWidth="1"/>
    <col min="8" max="8" width="10.140625" style="14" bestFit="1" customWidth="1"/>
    <col min="9" max="9" width="10.5703125" style="14" bestFit="1" customWidth="1"/>
    <col min="10" max="10" width="10.5703125" style="14" customWidth="1"/>
    <col min="11" max="11" width="10.28515625" style="14" bestFit="1" customWidth="1"/>
    <col min="12" max="12" width="9.42578125" style="14" bestFit="1" customWidth="1"/>
    <col min="13" max="13" width="9.85546875" style="14" bestFit="1" customWidth="1"/>
    <col min="14" max="14" width="10.140625" style="14" bestFit="1" customWidth="1"/>
    <col min="15" max="15" width="9" style="14" customWidth="1"/>
    <col min="16" max="16" width="12.85546875" style="14" bestFit="1" customWidth="1"/>
    <col min="17" max="18" width="9.42578125" style="14" customWidth="1"/>
    <col min="19" max="19" width="13.7109375" style="14" customWidth="1"/>
    <col min="20" max="20" width="12.140625" style="14" customWidth="1"/>
    <col min="21" max="21" width="19.5703125" style="14" bestFit="1" customWidth="1"/>
    <col min="22" max="22" width="9.85546875" style="14" customWidth="1"/>
    <col min="23" max="23" width="10.140625" style="14" bestFit="1" customWidth="1"/>
    <col min="24" max="24" width="10.28515625" style="14" customWidth="1"/>
    <col min="25" max="25" width="28" style="14" customWidth="1"/>
    <col min="26" max="16384" width="9.140625" style="14"/>
  </cols>
  <sheetData>
    <row r="1" spans="1:25" ht="46.15" customHeight="1" x14ac:dyDescent="0.25">
      <c r="A1" s="2240" t="s">
        <v>148</v>
      </c>
      <c r="B1" s="2240"/>
      <c r="C1" s="2240"/>
      <c r="D1" s="2240"/>
      <c r="E1" s="2240"/>
      <c r="F1" s="2240"/>
      <c r="G1" s="2240"/>
      <c r="H1" s="2240"/>
      <c r="I1" s="2240"/>
      <c r="J1" s="2240"/>
      <c r="K1" s="2240"/>
      <c r="L1" s="2240"/>
      <c r="M1" s="2240"/>
      <c r="N1" s="2240"/>
      <c r="O1" s="2240"/>
      <c r="P1" s="2240"/>
      <c r="Q1" s="2240"/>
      <c r="R1" s="2240"/>
      <c r="S1" s="2240"/>
      <c r="T1" s="2240"/>
      <c r="U1" s="2240"/>
      <c r="V1" s="2240"/>
      <c r="W1" s="2240"/>
      <c r="X1" s="2240"/>
      <c r="Y1" s="2240"/>
    </row>
    <row r="2" spans="1:25" ht="21.6" customHeight="1" x14ac:dyDescent="0.25">
      <c r="A2" s="2241" t="s">
        <v>77</v>
      </c>
      <c r="B2" s="2241"/>
      <c r="C2" s="2241"/>
      <c r="D2" s="2241"/>
      <c r="E2" s="2241"/>
      <c r="F2" s="2241"/>
      <c r="G2" s="2241"/>
      <c r="H2" s="2241"/>
      <c r="I2" s="2241"/>
      <c r="J2" s="2241"/>
      <c r="K2" s="2241"/>
      <c r="L2" s="2241"/>
      <c r="M2" s="2241"/>
      <c r="N2" s="2241"/>
      <c r="O2" s="2241"/>
      <c r="P2" s="2241"/>
      <c r="Q2" s="2241"/>
      <c r="R2" s="2241"/>
      <c r="S2" s="2241"/>
      <c r="T2" s="2241"/>
      <c r="U2" s="2241"/>
      <c r="V2" s="2241"/>
      <c r="W2" s="2241"/>
      <c r="X2" s="2241"/>
      <c r="Y2" s="2241"/>
    </row>
    <row r="3" spans="1:25" ht="21" customHeight="1" x14ac:dyDescent="0.25">
      <c r="A3" s="120"/>
      <c r="B3" s="120"/>
      <c r="C3" s="120"/>
      <c r="D3" s="120"/>
      <c r="E3" s="120"/>
      <c r="F3" s="120"/>
      <c r="G3" s="120"/>
      <c r="H3" s="120"/>
      <c r="I3" s="120"/>
      <c r="J3" s="120"/>
      <c r="K3" s="120"/>
      <c r="L3" s="120"/>
      <c r="M3" s="120"/>
      <c r="N3" s="120"/>
      <c r="O3" s="120"/>
      <c r="P3" s="120"/>
      <c r="Q3" s="120"/>
      <c r="R3" s="120"/>
      <c r="S3" s="120"/>
      <c r="T3" s="2242" t="s">
        <v>190</v>
      </c>
      <c r="U3" s="2242"/>
      <c r="V3" s="2242"/>
      <c r="W3" s="2242"/>
      <c r="X3" s="2242"/>
      <c r="Y3" s="2242"/>
    </row>
    <row r="4" spans="1:25" s="120" customFormat="1" ht="18" customHeight="1" x14ac:dyDescent="0.25">
      <c r="A4" s="2243" t="s">
        <v>25</v>
      </c>
      <c r="B4" s="2243" t="s">
        <v>26</v>
      </c>
      <c r="C4" s="2244" t="s">
        <v>27</v>
      </c>
      <c r="D4" s="2244"/>
      <c r="E4" s="2244" t="s">
        <v>28</v>
      </c>
      <c r="F4" s="2244"/>
      <c r="G4" s="2244" t="s">
        <v>65</v>
      </c>
      <c r="H4" s="2244"/>
      <c r="I4" s="2244" t="s">
        <v>29</v>
      </c>
      <c r="J4" s="2244"/>
      <c r="K4" s="2245" t="s">
        <v>13</v>
      </c>
      <c r="L4" s="2246"/>
      <c r="M4" s="2245" t="s">
        <v>67</v>
      </c>
      <c r="N4" s="2246"/>
      <c r="O4" s="2245" t="s">
        <v>68</v>
      </c>
      <c r="P4" s="2246"/>
      <c r="Q4" s="2245" t="s">
        <v>114</v>
      </c>
      <c r="R4" s="2246"/>
      <c r="S4" s="2244" t="s">
        <v>35</v>
      </c>
      <c r="T4" s="2244"/>
      <c r="U4" s="2245" t="s">
        <v>17</v>
      </c>
      <c r="V4" s="2246"/>
      <c r="W4" s="2247" t="s">
        <v>36</v>
      </c>
      <c r="X4" s="2248"/>
      <c r="Y4" s="2238" t="s">
        <v>30</v>
      </c>
    </row>
    <row r="5" spans="1:25" s="120" customFormat="1" ht="25.5" customHeight="1" x14ac:dyDescent="0.25">
      <c r="A5" s="2243"/>
      <c r="B5" s="2243"/>
      <c r="C5" s="122" t="s">
        <v>42</v>
      </c>
      <c r="D5" s="122" t="s">
        <v>43</v>
      </c>
      <c r="E5" s="122" t="s">
        <v>42</v>
      </c>
      <c r="F5" s="122" t="s">
        <v>43</v>
      </c>
      <c r="G5" s="122" t="s">
        <v>42</v>
      </c>
      <c r="H5" s="122" t="s">
        <v>43</v>
      </c>
      <c r="I5" s="122" t="s">
        <v>42</v>
      </c>
      <c r="J5" s="122" t="s">
        <v>43</v>
      </c>
      <c r="K5" s="122" t="s">
        <v>42</v>
      </c>
      <c r="L5" s="122" t="s">
        <v>43</v>
      </c>
      <c r="M5" s="122" t="s">
        <v>42</v>
      </c>
      <c r="N5" s="122" t="s">
        <v>43</v>
      </c>
      <c r="O5" s="122" t="s">
        <v>42</v>
      </c>
      <c r="P5" s="122" t="s">
        <v>43</v>
      </c>
      <c r="Q5" s="122" t="s">
        <v>42</v>
      </c>
      <c r="R5" s="122" t="s">
        <v>43</v>
      </c>
      <c r="S5" s="33" t="s">
        <v>42</v>
      </c>
      <c r="T5" s="33" t="s">
        <v>43</v>
      </c>
      <c r="U5" s="30" t="s">
        <v>42</v>
      </c>
      <c r="V5" s="30" t="s">
        <v>43</v>
      </c>
      <c r="W5" s="30" t="s">
        <v>42</v>
      </c>
      <c r="X5" s="30" t="s">
        <v>43</v>
      </c>
      <c r="Y5" s="2239"/>
    </row>
    <row r="6" spans="1:25" ht="34.5" customHeight="1" x14ac:dyDescent="0.25">
      <c r="A6" s="12">
        <v>1409935200</v>
      </c>
      <c r="B6" s="121" t="s">
        <v>71</v>
      </c>
      <c r="C6" s="124">
        <v>39474</v>
      </c>
      <c r="D6" s="125">
        <f>0.9725*C6</f>
        <v>38388.465000000004</v>
      </c>
      <c r="E6" s="124"/>
      <c r="F6" s="124">
        <f>13.7*E6</f>
        <v>0</v>
      </c>
      <c r="G6" s="124"/>
      <c r="H6" s="124">
        <f>28.2*G6</f>
        <v>0</v>
      </c>
      <c r="I6" s="124"/>
      <c r="J6" s="124">
        <f>18.5*I6</f>
        <v>0</v>
      </c>
      <c r="K6" s="124"/>
      <c r="L6" s="124">
        <f>19.5*K6</f>
        <v>0</v>
      </c>
      <c r="M6" s="124"/>
      <c r="N6" s="125">
        <f>M6*9.75</f>
        <v>0</v>
      </c>
      <c r="O6" s="124"/>
      <c r="P6" s="125">
        <f>O6*48.62</f>
        <v>0</v>
      </c>
      <c r="Q6" s="125"/>
      <c r="R6" s="125">
        <f>241*Q6</f>
        <v>0</v>
      </c>
      <c r="S6" s="124"/>
      <c r="T6" s="124">
        <f>241*S6</f>
        <v>0</v>
      </c>
      <c r="U6" s="124"/>
      <c r="V6" s="124">
        <f>232*U6</f>
        <v>0</v>
      </c>
      <c r="W6" s="124"/>
      <c r="X6" s="19">
        <f>W6*100</f>
        <v>0</v>
      </c>
      <c r="Y6" s="89">
        <f t="shared" ref="Y6:Y11" si="0">D6+F6+H6+J6+L6+N6+P6+R6+T6+V6+X6</f>
        <v>38388.465000000004</v>
      </c>
    </row>
    <row r="7" spans="1:25" ht="31.5" customHeight="1" x14ac:dyDescent="0.25">
      <c r="A7" s="12">
        <v>1984225578</v>
      </c>
      <c r="B7" s="121" t="s">
        <v>72</v>
      </c>
      <c r="C7" s="124"/>
      <c r="D7" s="125">
        <f t="shared" ref="D7:D11" si="1">0.9725*C7</f>
        <v>0</v>
      </c>
      <c r="E7" s="124"/>
      <c r="F7" s="124">
        <f t="shared" ref="F7:F11" si="2">13.7*E7</f>
        <v>0</v>
      </c>
      <c r="G7" s="124"/>
      <c r="H7" s="124">
        <f t="shared" ref="H7:H11" si="3">28.2*G7</f>
        <v>0</v>
      </c>
      <c r="I7" s="124"/>
      <c r="J7" s="124">
        <f t="shared" ref="J7:J11" si="4">18.5*I7</f>
        <v>0</v>
      </c>
      <c r="K7" s="124"/>
      <c r="L7" s="124">
        <f t="shared" ref="L7:L11" si="5">19.5*K7</f>
        <v>0</v>
      </c>
      <c r="M7" s="124"/>
      <c r="N7" s="125">
        <f t="shared" ref="N7:N11" si="6">M7*9.75</f>
        <v>0</v>
      </c>
      <c r="O7" s="124"/>
      <c r="P7" s="125">
        <f t="shared" ref="P7:P11" si="7">O7*48.62</f>
        <v>0</v>
      </c>
      <c r="Q7" s="125"/>
      <c r="R7" s="125">
        <f t="shared" ref="R7:R11" si="8">241*Q7</f>
        <v>0</v>
      </c>
      <c r="S7" s="124"/>
      <c r="T7" s="124">
        <f t="shared" ref="T7:T11" si="9">241*S7</f>
        <v>0</v>
      </c>
      <c r="U7" s="124"/>
      <c r="V7" s="124">
        <f t="shared" ref="V7:V11" si="10">232*U7</f>
        <v>0</v>
      </c>
      <c r="W7" s="124"/>
      <c r="X7" s="19">
        <f t="shared" ref="X7:X11" si="11">W7*100</f>
        <v>0</v>
      </c>
      <c r="Y7" s="89">
        <f t="shared" si="0"/>
        <v>0</v>
      </c>
    </row>
    <row r="8" spans="1:25" ht="35.25" customHeight="1" x14ac:dyDescent="0.25">
      <c r="A8" s="12">
        <v>1967020280</v>
      </c>
      <c r="B8" s="121" t="s">
        <v>73</v>
      </c>
      <c r="C8" s="124">
        <v>21578</v>
      </c>
      <c r="D8" s="125">
        <f t="shared" si="1"/>
        <v>20984.605</v>
      </c>
      <c r="E8" s="124"/>
      <c r="F8" s="124">
        <f t="shared" si="2"/>
        <v>0</v>
      </c>
      <c r="G8" s="124"/>
      <c r="H8" s="124">
        <f t="shared" si="3"/>
        <v>0</v>
      </c>
      <c r="I8" s="124"/>
      <c r="J8" s="124">
        <f t="shared" si="4"/>
        <v>0</v>
      </c>
      <c r="K8" s="124"/>
      <c r="L8" s="124">
        <f t="shared" si="5"/>
        <v>0</v>
      </c>
      <c r="M8" s="124"/>
      <c r="N8" s="125">
        <f t="shared" si="6"/>
        <v>0</v>
      </c>
      <c r="O8" s="124"/>
      <c r="P8" s="125">
        <f t="shared" si="7"/>
        <v>0</v>
      </c>
      <c r="Q8" s="125"/>
      <c r="R8" s="125">
        <f t="shared" si="8"/>
        <v>0</v>
      </c>
      <c r="S8" s="124"/>
      <c r="T8" s="124">
        <f t="shared" si="9"/>
        <v>0</v>
      </c>
      <c r="U8" s="124"/>
      <c r="V8" s="124">
        <f t="shared" si="10"/>
        <v>0</v>
      </c>
      <c r="W8" s="124"/>
      <c r="X8" s="19">
        <f t="shared" si="11"/>
        <v>0</v>
      </c>
      <c r="Y8" s="89">
        <f t="shared" si="0"/>
        <v>20984.605</v>
      </c>
    </row>
    <row r="9" spans="1:25" ht="38.25" customHeight="1" x14ac:dyDescent="0.25">
      <c r="A9" s="12">
        <v>1409935199</v>
      </c>
      <c r="B9" s="121" t="s">
        <v>75</v>
      </c>
      <c r="C9" s="124">
        <v>20046</v>
      </c>
      <c r="D9" s="125">
        <f t="shared" si="1"/>
        <v>19494.735000000001</v>
      </c>
      <c r="E9" s="124"/>
      <c r="F9" s="124">
        <f t="shared" si="2"/>
        <v>0</v>
      </c>
      <c r="G9" s="124">
        <v>250</v>
      </c>
      <c r="H9" s="124">
        <f t="shared" si="3"/>
        <v>7050</v>
      </c>
      <c r="I9" s="124"/>
      <c r="J9" s="124">
        <f t="shared" si="4"/>
        <v>0</v>
      </c>
      <c r="K9" s="124"/>
      <c r="L9" s="124">
        <f t="shared" si="5"/>
        <v>0</v>
      </c>
      <c r="M9" s="124"/>
      <c r="N9" s="125">
        <f t="shared" si="6"/>
        <v>0</v>
      </c>
      <c r="O9" s="124"/>
      <c r="P9" s="125">
        <f t="shared" si="7"/>
        <v>0</v>
      </c>
      <c r="Q9" s="125"/>
      <c r="R9" s="125">
        <f t="shared" si="8"/>
        <v>0</v>
      </c>
      <c r="S9" s="124"/>
      <c r="T9" s="124">
        <f t="shared" si="9"/>
        <v>0</v>
      </c>
      <c r="U9" s="124"/>
      <c r="V9" s="124">
        <f t="shared" si="10"/>
        <v>0</v>
      </c>
      <c r="W9" s="124"/>
      <c r="X9" s="19">
        <f t="shared" si="11"/>
        <v>0</v>
      </c>
      <c r="Y9" s="89">
        <f t="shared" si="0"/>
        <v>26544.735000000001</v>
      </c>
    </row>
    <row r="10" spans="1:25" ht="35.25" customHeight="1" x14ac:dyDescent="0.25">
      <c r="A10" s="12">
        <v>1984225580</v>
      </c>
      <c r="C10" s="124"/>
      <c r="D10" s="125">
        <f t="shared" si="1"/>
        <v>0</v>
      </c>
      <c r="E10" s="124"/>
      <c r="F10" s="124">
        <f t="shared" si="2"/>
        <v>0</v>
      </c>
      <c r="G10" s="124"/>
      <c r="H10" s="124">
        <f t="shared" si="3"/>
        <v>0</v>
      </c>
      <c r="I10" s="124"/>
      <c r="J10" s="124">
        <f t="shared" si="4"/>
        <v>0</v>
      </c>
      <c r="K10" s="124"/>
      <c r="L10" s="124">
        <f t="shared" si="5"/>
        <v>0</v>
      </c>
      <c r="M10" s="124"/>
      <c r="N10" s="125">
        <f t="shared" si="6"/>
        <v>0</v>
      </c>
      <c r="O10" s="124"/>
      <c r="P10" s="125">
        <f t="shared" si="7"/>
        <v>0</v>
      </c>
      <c r="Q10" s="125"/>
      <c r="R10" s="125">
        <f t="shared" si="8"/>
        <v>0</v>
      </c>
      <c r="S10" s="124"/>
      <c r="T10" s="124">
        <f t="shared" si="9"/>
        <v>0</v>
      </c>
      <c r="U10" s="124"/>
      <c r="V10" s="124">
        <f t="shared" si="10"/>
        <v>0</v>
      </c>
      <c r="W10" s="124"/>
      <c r="X10" s="19">
        <f t="shared" si="11"/>
        <v>0</v>
      </c>
      <c r="Y10" s="89">
        <f t="shared" si="0"/>
        <v>0</v>
      </c>
    </row>
    <row r="11" spans="1:25" ht="37.5" customHeight="1" x14ac:dyDescent="0.25">
      <c r="A11" s="12"/>
      <c r="B11" s="123"/>
      <c r="C11" s="124"/>
      <c r="D11" s="22">
        <f t="shared" si="1"/>
        <v>0</v>
      </c>
      <c r="E11" s="124"/>
      <c r="F11" s="124">
        <f t="shared" si="2"/>
        <v>0</v>
      </c>
      <c r="G11" s="124"/>
      <c r="H11" s="124">
        <f t="shared" si="3"/>
        <v>0</v>
      </c>
      <c r="I11" s="124"/>
      <c r="J11" s="124">
        <f t="shared" si="4"/>
        <v>0</v>
      </c>
      <c r="K11" s="124"/>
      <c r="L11" s="124">
        <f t="shared" si="5"/>
        <v>0</v>
      </c>
      <c r="M11" s="124"/>
      <c r="N11" s="125">
        <f t="shared" si="6"/>
        <v>0</v>
      </c>
      <c r="O11" s="124"/>
      <c r="P11" s="125">
        <f t="shared" si="7"/>
        <v>0</v>
      </c>
      <c r="Q11" s="125"/>
      <c r="R11" s="125">
        <f t="shared" si="8"/>
        <v>0</v>
      </c>
      <c r="S11" s="124"/>
      <c r="T11" s="124">
        <f t="shared" si="9"/>
        <v>0</v>
      </c>
      <c r="U11" s="124"/>
      <c r="V11" s="124">
        <f t="shared" si="10"/>
        <v>0</v>
      </c>
      <c r="W11" s="124"/>
      <c r="X11" s="19">
        <f t="shared" si="11"/>
        <v>0</v>
      </c>
      <c r="Y11" s="20">
        <f t="shared" si="0"/>
        <v>0</v>
      </c>
    </row>
    <row r="12" spans="1:25" ht="29.25" customHeight="1" x14ac:dyDescent="0.25">
      <c r="A12" s="2235" t="s">
        <v>31</v>
      </c>
      <c r="B12" s="2235"/>
      <c r="C12" s="18">
        <f t="shared" ref="C12:Y12" si="12">SUM(C6:C11)</f>
        <v>81098</v>
      </c>
      <c r="D12" s="18">
        <f t="shared" si="12"/>
        <v>78867.805000000008</v>
      </c>
      <c r="E12" s="18">
        <f t="shared" si="12"/>
        <v>0</v>
      </c>
      <c r="F12" s="18">
        <f t="shared" si="12"/>
        <v>0</v>
      </c>
      <c r="G12" s="18">
        <f t="shared" si="12"/>
        <v>250</v>
      </c>
      <c r="H12" s="18">
        <f t="shared" si="12"/>
        <v>7050</v>
      </c>
      <c r="I12" s="18">
        <f t="shared" si="12"/>
        <v>0</v>
      </c>
      <c r="J12" s="18">
        <f t="shared" si="12"/>
        <v>0</v>
      </c>
      <c r="K12" s="18">
        <f t="shared" si="12"/>
        <v>0</v>
      </c>
      <c r="L12" s="18">
        <f t="shared" si="12"/>
        <v>0</v>
      </c>
      <c r="M12" s="18">
        <f t="shared" si="12"/>
        <v>0</v>
      </c>
      <c r="N12" s="23">
        <f t="shared" si="12"/>
        <v>0</v>
      </c>
      <c r="O12" s="18">
        <f t="shared" si="12"/>
        <v>0</v>
      </c>
      <c r="P12" s="23">
        <f t="shared" si="12"/>
        <v>0</v>
      </c>
      <c r="Q12" s="23">
        <f t="shared" si="12"/>
        <v>0</v>
      </c>
      <c r="R12" s="23">
        <f>SUM(R6:R11)</f>
        <v>0</v>
      </c>
      <c r="S12" s="18">
        <f t="shared" si="12"/>
        <v>0</v>
      </c>
      <c r="T12" s="18">
        <f t="shared" si="12"/>
        <v>0</v>
      </c>
      <c r="U12" s="18">
        <f t="shared" si="12"/>
        <v>0</v>
      </c>
      <c r="V12" s="18">
        <f t="shared" si="12"/>
        <v>0</v>
      </c>
      <c r="W12" s="18">
        <f t="shared" si="12"/>
        <v>0</v>
      </c>
      <c r="X12" s="18">
        <f t="shared" si="12"/>
        <v>0</v>
      </c>
      <c r="Y12" s="18">
        <f t="shared" si="12"/>
        <v>85917.805000000008</v>
      </c>
    </row>
    <row r="14" spans="1:25" ht="41.25" customHeight="1" x14ac:dyDescent="0.25">
      <c r="A14" s="30" t="s">
        <v>32</v>
      </c>
      <c r="B14" s="2236" t="s">
        <v>27</v>
      </c>
      <c r="C14" s="2236"/>
      <c r="D14" s="30" t="s">
        <v>33</v>
      </c>
      <c r="E14" s="30" t="s">
        <v>65</v>
      </c>
      <c r="F14" s="30" t="s">
        <v>34</v>
      </c>
      <c r="G14" s="30" t="s">
        <v>13</v>
      </c>
      <c r="H14" s="142" t="s">
        <v>173</v>
      </c>
      <c r="I14" s="30" t="s">
        <v>17</v>
      </c>
      <c r="J14" s="129" t="s">
        <v>174</v>
      </c>
      <c r="K14" s="30" t="s">
        <v>36</v>
      </c>
      <c r="L14" s="30" t="s">
        <v>175</v>
      </c>
      <c r="M14" s="30" t="s">
        <v>69</v>
      </c>
      <c r="N14" s="30" t="s">
        <v>70</v>
      </c>
      <c r="O14" s="129" t="s">
        <v>114</v>
      </c>
      <c r="P14" s="129" t="s">
        <v>99</v>
      </c>
      <c r="Q14" s="2272" t="s">
        <v>150</v>
      </c>
      <c r="R14" s="2272"/>
      <c r="S14" s="129" t="s">
        <v>171</v>
      </c>
      <c r="T14" s="2235" t="s">
        <v>46</v>
      </c>
      <c r="U14" s="121" t="s">
        <v>176</v>
      </c>
      <c r="V14" s="2260">
        <v>7150</v>
      </c>
      <c r="W14" s="2268"/>
      <c r="X14" s="2261"/>
    </row>
    <row r="15" spans="1:25" ht="22.5" customHeight="1" x14ac:dyDescent="0.25">
      <c r="A15" s="100" t="s">
        <v>38</v>
      </c>
      <c r="B15" s="2260">
        <v>406630</v>
      </c>
      <c r="C15" s="2261"/>
      <c r="D15" s="126">
        <v>0</v>
      </c>
      <c r="E15" s="126">
        <v>500</v>
      </c>
      <c r="F15" s="126">
        <v>10000</v>
      </c>
      <c r="G15" s="126">
        <v>0</v>
      </c>
      <c r="H15" s="126">
        <v>124</v>
      </c>
      <c r="I15" s="126">
        <v>0</v>
      </c>
      <c r="J15" s="126">
        <v>90</v>
      </c>
      <c r="K15" s="126">
        <v>52</v>
      </c>
      <c r="L15" s="126">
        <v>185</v>
      </c>
      <c r="M15" s="126">
        <v>0</v>
      </c>
      <c r="N15" s="126">
        <v>100</v>
      </c>
      <c r="O15" s="126">
        <v>0</v>
      </c>
      <c r="P15" s="126">
        <v>464</v>
      </c>
      <c r="Q15" s="2262">
        <v>6</v>
      </c>
      <c r="R15" s="2262"/>
      <c r="S15" s="121">
        <v>126</v>
      </c>
      <c r="T15" s="2235"/>
      <c r="U15" s="121" t="s">
        <v>64</v>
      </c>
      <c r="V15" s="2262">
        <v>205209</v>
      </c>
      <c r="W15" s="2262"/>
      <c r="X15" s="2262"/>
    </row>
    <row r="16" spans="1:25" ht="24.75" customHeight="1" x14ac:dyDescent="0.25">
      <c r="A16" s="100" t="s">
        <v>39</v>
      </c>
      <c r="B16" s="2260"/>
      <c r="C16" s="2261"/>
      <c r="D16" s="126"/>
      <c r="E16" s="126"/>
      <c r="F16" s="126"/>
      <c r="G16" s="126"/>
      <c r="H16" s="126"/>
      <c r="I16" s="126"/>
      <c r="J16" s="126">
        <v>18</v>
      </c>
      <c r="K16" s="126"/>
      <c r="L16" s="126"/>
      <c r="M16" s="126"/>
      <c r="N16" s="126"/>
      <c r="O16" s="126"/>
      <c r="P16" s="126"/>
      <c r="Q16" s="2225"/>
      <c r="R16" s="2225"/>
      <c r="S16" s="123"/>
      <c r="T16" s="2254" t="s">
        <v>55</v>
      </c>
      <c r="U16" s="2254"/>
      <c r="V16" s="2267">
        <f>Y12</f>
        <v>85917.805000000008</v>
      </c>
      <c r="W16" s="2267"/>
      <c r="X16" s="2262"/>
    </row>
    <row r="17" spans="1:25" ht="28.5" customHeight="1" x14ac:dyDescent="0.25">
      <c r="A17" s="101" t="s">
        <v>44</v>
      </c>
      <c r="B17" s="2260"/>
      <c r="C17" s="2261"/>
      <c r="D17" s="126"/>
      <c r="E17" s="126"/>
      <c r="F17" s="126"/>
      <c r="G17" s="126"/>
      <c r="H17" s="126"/>
      <c r="I17" s="126"/>
      <c r="J17" s="126"/>
      <c r="K17" s="126"/>
      <c r="L17" s="126"/>
      <c r="M17" s="126"/>
      <c r="N17" s="126"/>
      <c r="O17" s="126"/>
      <c r="P17" s="126"/>
      <c r="Q17" s="2225"/>
      <c r="R17" s="2225"/>
      <c r="S17" s="123"/>
      <c r="T17" s="2273" t="s">
        <v>181</v>
      </c>
      <c r="U17" s="2274"/>
      <c r="V17" s="2262"/>
      <c r="W17" s="2262"/>
      <c r="X17" s="2262"/>
    </row>
    <row r="18" spans="1:25" ht="27" customHeight="1" x14ac:dyDescent="0.25">
      <c r="A18" s="100" t="s">
        <v>40</v>
      </c>
      <c r="B18" s="2264">
        <f>C12</f>
        <v>81098</v>
      </c>
      <c r="C18" s="2261"/>
      <c r="D18" s="127">
        <f>E12</f>
        <v>0</v>
      </c>
      <c r="E18" s="127">
        <f>G12</f>
        <v>250</v>
      </c>
      <c r="F18" s="127">
        <f>I12</f>
        <v>0</v>
      </c>
      <c r="G18" s="127">
        <f>K12</f>
        <v>0</v>
      </c>
      <c r="H18" s="126">
        <v>18</v>
      </c>
      <c r="I18" s="127">
        <f>U12</f>
        <v>0</v>
      </c>
      <c r="J18" s="126"/>
      <c r="K18" s="127">
        <f>W12</f>
        <v>0</v>
      </c>
      <c r="L18" s="126"/>
      <c r="M18" s="127">
        <f>M12</f>
        <v>0</v>
      </c>
      <c r="N18" s="127">
        <f>O12</f>
        <v>0</v>
      </c>
      <c r="O18" s="128">
        <f>Q12</f>
        <v>0</v>
      </c>
      <c r="P18" s="126"/>
      <c r="Q18" s="2225"/>
      <c r="R18" s="2225"/>
      <c r="S18" s="121"/>
      <c r="T18" s="2254" t="s">
        <v>57</v>
      </c>
      <c r="U18" s="2254"/>
      <c r="V18" s="2262">
        <v>450</v>
      </c>
      <c r="W18" s="2262"/>
      <c r="X18" s="2262"/>
      <c r="Y18" s="2269" t="s">
        <v>189</v>
      </c>
    </row>
    <row r="19" spans="1:25" ht="25.5" customHeight="1" x14ac:dyDescent="0.25">
      <c r="A19" s="100" t="s">
        <v>41</v>
      </c>
      <c r="B19" s="2260">
        <f>B15+B16+B17-B18</f>
        <v>325532</v>
      </c>
      <c r="C19" s="2261"/>
      <c r="D19" s="126">
        <f>D15+D16+D17-D18</f>
        <v>0</v>
      </c>
      <c r="E19" s="126">
        <f t="shared" ref="E19:N19" si="13">E15+E16+E17-E18</f>
        <v>250</v>
      </c>
      <c r="F19" s="126">
        <f t="shared" si="13"/>
        <v>10000</v>
      </c>
      <c r="G19" s="126">
        <f t="shared" si="13"/>
        <v>0</v>
      </c>
      <c r="H19" s="126">
        <f t="shared" si="13"/>
        <v>106</v>
      </c>
      <c r="I19" s="126">
        <f t="shared" si="13"/>
        <v>0</v>
      </c>
      <c r="J19" s="126">
        <f t="shared" si="13"/>
        <v>108</v>
      </c>
      <c r="K19" s="126">
        <f t="shared" si="13"/>
        <v>52</v>
      </c>
      <c r="L19" s="126">
        <f t="shared" si="13"/>
        <v>185</v>
      </c>
      <c r="M19" s="126">
        <f t="shared" si="13"/>
        <v>0</v>
      </c>
      <c r="N19" s="126">
        <f t="shared" si="13"/>
        <v>100</v>
      </c>
      <c r="O19" s="126">
        <f>O15+O16+O17-O18</f>
        <v>0</v>
      </c>
      <c r="P19" s="126">
        <f>P15+P16+P17-P18</f>
        <v>464</v>
      </c>
      <c r="Q19" s="2260">
        <f t="shared" ref="Q19" si="14">Q15+Q16+Q17-Q18</f>
        <v>6</v>
      </c>
      <c r="R19" s="2261"/>
      <c r="S19" s="121">
        <f>S15+S16-S17-S18</f>
        <v>126</v>
      </c>
      <c r="T19" s="2256" t="s">
        <v>48</v>
      </c>
      <c r="U19" s="49" t="s">
        <v>58</v>
      </c>
      <c r="V19" s="2262"/>
      <c r="W19" s="2262"/>
      <c r="X19" s="2262"/>
      <c r="Y19" s="2269"/>
    </row>
    <row r="20" spans="1:25" ht="23.25" customHeight="1" x14ac:dyDescent="0.25">
      <c r="A20" s="11" t="s">
        <v>187</v>
      </c>
      <c r="B20" s="2278">
        <f>B19*0.9625</f>
        <v>313324.55</v>
      </c>
      <c r="C20" s="2279"/>
      <c r="D20" s="123">
        <f>D19*13.56</f>
        <v>0</v>
      </c>
      <c r="E20" s="123">
        <f>28.2*E19</f>
        <v>7050</v>
      </c>
      <c r="F20" s="123">
        <f>18.31*F19</f>
        <v>183100</v>
      </c>
      <c r="G20" s="123">
        <f>19.3*G19</f>
        <v>0</v>
      </c>
      <c r="H20" s="123">
        <f>241*H19</f>
        <v>25546</v>
      </c>
      <c r="I20" s="123">
        <f>223*I19</f>
        <v>0</v>
      </c>
      <c r="J20" s="123">
        <f>241*J19</f>
        <v>26028</v>
      </c>
      <c r="K20" s="123">
        <f>K19*100</f>
        <v>5200</v>
      </c>
      <c r="L20" s="123">
        <f>241*L19</f>
        <v>44585</v>
      </c>
      <c r="M20" s="123">
        <f>9.65*M19</f>
        <v>0</v>
      </c>
      <c r="N20" s="123">
        <f>N19*48.2</f>
        <v>4820</v>
      </c>
      <c r="O20" s="123">
        <f>241*O19</f>
        <v>0</v>
      </c>
      <c r="P20" s="123">
        <f>241*P19</f>
        <v>111824</v>
      </c>
      <c r="Q20" s="2278">
        <f>241*Q19</f>
        <v>1446</v>
      </c>
      <c r="R20" s="2279"/>
      <c r="S20" s="123">
        <f>241*S19</f>
        <v>30366</v>
      </c>
      <c r="T20" s="2257"/>
      <c r="U20" s="49" t="s">
        <v>59</v>
      </c>
      <c r="V20" s="2262"/>
      <c r="W20" s="2262"/>
      <c r="X20" s="2262"/>
      <c r="Y20" s="2269"/>
    </row>
    <row r="21" spans="1:25" ht="32.25" customHeight="1" x14ac:dyDescent="0.25">
      <c r="A21" s="143" t="s">
        <v>186</v>
      </c>
      <c r="B21" s="2283">
        <f>SUM(B20:S20)</f>
        <v>753289.55</v>
      </c>
      <c r="C21" s="2283"/>
      <c r="O21" s="130"/>
      <c r="P21" s="130"/>
      <c r="Q21" s="130"/>
      <c r="R21" s="130"/>
      <c r="T21" s="2273" t="s">
        <v>167</v>
      </c>
      <c r="U21" s="2274"/>
      <c r="V21" s="2260"/>
      <c r="W21" s="2268"/>
      <c r="X21" s="2261"/>
      <c r="Y21" s="2269"/>
    </row>
    <row r="22" spans="1:25" ht="35.25" customHeight="1" x14ac:dyDescent="0.25">
      <c r="A22" s="15"/>
      <c r="B22" s="2275" t="s">
        <v>49</v>
      </c>
      <c r="C22" s="2265">
        <v>956534</v>
      </c>
      <c r="D22" s="2265"/>
      <c r="E22" s="2265"/>
      <c r="F22" s="2265">
        <f>C22-D22+E22</f>
        <v>956534</v>
      </c>
      <c r="G22" s="130"/>
      <c r="Q22" s="130"/>
      <c r="R22" s="130"/>
      <c r="T22" s="2251" t="s">
        <v>83</v>
      </c>
      <c r="U22" s="50" t="s">
        <v>60</v>
      </c>
      <c r="V22" s="2262"/>
      <c r="W22" s="2262"/>
      <c r="X22" s="2262"/>
      <c r="Y22" s="2269"/>
    </row>
    <row r="23" spans="1:25" ht="39.75" customHeight="1" x14ac:dyDescent="0.25">
      <c r="A23" s="130"/>
      <c r="B23" s="2276"/>
      <c r="C23" s="2266"/>
      <c r="D23" s="2266"/>
      <c r="E23" s="2266"/>
      <c r="F23" s="2266"/>
      <c r="G23" s="130"/>
      <c r="Q23" s="130"/>
      <c r="R23" s="130"/>
      <c r="T23" s="2252"/>
      <c r="U23" s="50" t="s">
        <v>61</v>
      </c>
      <c r="V23" s="2262"/>
      <c r="W23" s="2262"/>
      <c r="X23" s="2262"/>
      <c r="Y23" s="2269"/>
    </row>
    <row r="24" spans="1:25" ht="47.25" customHeight="1" x14ac:dyDescent="0.25">
      <c r="A24" s="130"/>
      <c r="B24" s="2277"/>
      <c r="C24" s="121" t="s">
        <v>46</v>
      </c>
      <c r="D24" s="121" t="s">
        <v>50</v>
      </c>
      <c r="E24" s="121" t="s">
        <v>51</v>
      </c>
      <c r="F24" s="121" t="s">
        <v>52</v>
      </c>
      <c r="G24" s="130"/>
      <c r="Q24" s="130"/>
      <c r="R24" s="130"/>
      <c r="T24" s="2235" t="s">
        <v>47</v>
      </c>
      <c r="U24" s="51" t="s">
        <v>62</v>
      </c>
      <c r="V24" s="2263">
        <f>V14+V16+V17-V18-V19-V20-V22+V23-V21</f>
        <v>92617.805000000008</v>
      </c>
      <c r="W24" s="2263"/>
      <c r="X24" s="2263"/>
      <c r="Y24" s="2269"/>
    </row>
    <row r="25" spans="1:25" ht="40.5" customHeight="1" x14ac:dyDescent="0.25">
      <c r="T25" s="2235"/>
      <c r="U25" s="51" t="s">
        <v>63</v>
      </c>
      <c r="V25" s="2262">
        <f>V15+V22-V23</f>
        <v>205209</v>
      </c>
      <c r="W25" s="2262"/>
      <c r="X25" s="2262"/>
    </row>
    <row r="26" spans="1:25" ht="36" customHeight="1" x14ac:dyDescent="0.25"/>
    <row r="32" spans="1:25" x14ac:dyDescent="0.25">
      <c r="I32" s="2280"/>
      <c r="J32" s="2280"/>
      <c r="K32" s="2280"/>
      <c r="L32" s="2280"/>
    </row>
    <row r="33" spans="9:12" x14ac:dyDescent="0.25">
      <c r="I33" s="130"/>
      <c r="J33" s="130"/>
      <c r="K33" s="2280"/>
      <c r="L33" s="2280"/>
    </row>
  </sheetData>
  <mergeCells count="62">
    <mergeCell ref="I32:J32"/>
    <mergeCell ref="K32:L32"/>
    <mergeCell ref="K33:L33"/>
    <mergeCell ref="T22:T23"/>
    <mergeCell ref="V22:X22"/>
    <mergeCell ref="V23:X23"/>
    <mergeCell ref="T24:T25"/>
    <mergeCell ref="V24:X24"/>
    <mergeCell ref="V25:X25"/>
    <mergeCell ref="Y18:Y24"/>
    <mergeCell ref="B19:C19"/>
    <mergeCell ref="Q19:R19"/>
    <mergeCell ref="T19:T20"/>
    <mergeCell ref="V19:X19"/>
    <mergeCell ref="B20:C20"/>
    <mergeCell ref="B22:B24"/>
    <mergeCell ref="C22:C23"/>
    <mergeCell ref="D22:D23"/>
    <mergeCell ref="E22:E23"/>
    <mergeCell ref="F22:F23"/>
    <mergeCell ref="Q20:R20"/>
    <mergeCell ref="V20:X20"/>
    <mergeCell ref="B21:C21"/>
    <mergeCell ref="T21:U21"/>
    <mergeCell ref="V21:X21"/>
    <mergeCell ref="B17:C17"/>
    <mergeCell ref="Q17:R17"/>
    <mergeCell ref="T17:U17"/>
    <mergeCell ref="V17:X17"/>
    <mergeCell ref="B18:C18"/>
    <mergeCell ref="Q18:R18"/>
    <mergeCell ref="T18:U18"/>
    <mergeCell ref="V18:X18"/>
    <mergeCell ref="W4:X4"/>
    <mergeCell ref="B16:C16"/>
    <mergeCell ref="Q16:R16"/>
    <mergeCell ref="T16:U16"/>
    <mergeCell ref="V16:X16"/>
    <mergeCell ref="A12:B12"/>
    <mergeCell ref="B14:C14"/>
    <mergeCell ref="Q14:R14"/>
    <mergeCell ref="T14:T15"/>
    <mergeCell ref="V14:X14"/>
    <mergeCell ref="B15:C15"/>
    <mergeCell ref="Q15:R15"/>
    <mergeCell ref="V15:X15"/>
    <mergeCell ref="A1:Y1"/>
    <mergeCell ref="A2:Y2"/>
    <mergeCell ref="T3:Y3"/>
    <mergeCell ref="A4:A5"/>
    <mergeCell ref="B4:B5"/>
    <mergeCell ref="C4:D4"/>
    <mergeCell ref="E4:F4"/>
    <mergeCell ref="G4:H4"/>
    <mergeCell ref="I4:J4"/>
    <mergeCell ref="K4:L4"/>
    <mergeCell ref="Y4:Y5"/>
    <mergeCell ref="M4:N4"/>
    <mergeCell ref="O4:P4"/>
    <mergeCell ref="Q4:R4"/>
    <mergeCell ref="S4:T4"/>
    <mergeCell ref="U4:V4"/>
  </mergeCells>
  <pageMargins left="0.15748031496063" right="0.15748031496063" top="0" bottom="0" header="0" footer="0"/>
  <pageSetup paperSize="9" scale="47" orientation="landscape" r:id="rId1"/>
  <legacyDrawing r:id="rId2"/>
</worksheet>
</file>

<file path=xl/worksheets/sheet5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400-000000000000}">
  <sheetPr>
    <pageSetUpPr fitToPage="1"/>
  </sheetPr>
  <dimension ref="A1:Y33"/>
  <sheetViews>
    <sheetView topLeftCell="D10" zoomScale="69" zoomScaleNormal="69" zoomScaleSheetLayoutView="100" workbookViewId="0">
      <selection activeCell="P23" sqref="P23"/>
    </sheetView>
  </sheetViews>
  <sheetFormatPr defaultColWidth="9.140625" defaultRowHeight="15" x14ac:dyDescent="0.25"/>
  <cols>
    <col min="1" max="1" width="18.28515625" style="14" customWidth="1"/>
    <col min="2" max="2" width="10.7109375" style="14" customWidth="1"/>
    <col min="3" max="3" width="12.28515625" style="14" customWidth="1"/>
    <col min="4" max="4" width="11" style="14" customWidth="1"/>
    <col min="5" max="5" width="12" style="14" customWidth="1"/>
    <col min="6" max="6" width="12.5703125" style="14" bestFit="1" customWidth="1"/>
    <col min="7" max="7" width="9.28515625" style="14" bestFit="1" customWidth="1"/>
    <col min="8" max="8" width="10.140625" style="14" bestFit="1" customWidth="1"/>
    <col min="9" max="9" width="10.5703125" style="14" bestFit="1" customWidth="1"/>
    <col min="10" max="10" width="10.5703125" style="14" customWidth="1"/>
    <col min="11" max="11" width="10.28515625" style="14" bestFit="1" customWidth="1"/>
    <col min="12" max="12" width="9.42578125" style="14" bestFit="1" customWidth="1"/>
    <col min="13" max="13" width="9.85546875" style="14" bestFit="1" customWidth="1"/>
    <col min="14" max="14" width="10.140625" style="14" bestFit="1" customWidth="1"/>
    <col min="15" max="15" width="9" style="14" customWidth="1"/>
    <col min="16" max="16" width="12.85546875" style="14" bestFit="1" customWidth="1"/>
    <col min="17" max="18" width="9.42578125" style="14" customWidth="1"/>
    <col min="19" max="19" width="13.7109375" style="14" customWidth="1"/>
    <col min="20" max="20" width="12.140625" style="14" customWidth="1"/>
    <col min="21" max="21" width="19.5703125" style="14" bestFit="1" customWidth="1"/>
    <col min="22" max="22" width="9.85546875" style="14" customWidth="1"/>
    <col min="23" max="23" width="10.140625" style="14" bestFit="1" customWidth="1"/>
    <col min="24" max="24" width="10.28515625" style="14" customWidth="1"/>
    <col min="25" max="25" width="28" style="14" customWidth="1"/>
    <col min="26" max="16384" width="9.140625" style="14"/>
  </cols>
  <sheetData>
    <row r="1" spans="1:25" ht="46.15" customHeight="1" x14ac:dyDescent="0.25">
      <c r="A1" s="2240" t="s">
        <v>148</v>
      </c>
      <c r="B1" s="2240"/>
      <c r="C1" s="2240"/>
      <c r="D1" s="2240"/>
      <c r="E1" s="2240"/>
      <c r="F1" s="2240"/>
      <c r="G1" s="2240"/>
      <c r="H1" s="2240"/>
      <c r="I1" s="2240"/>
      <c r="J1" s="2240"/>
      <c r="K1" s="2240"/>
      <c r="L1" s="2240"/>
      <c r="M1" s="2240"/>
      <c r="N1" s="2240"/>
      <c r="O1" s="2240"/>
      <c r="P1" s="2240"/>
      <c r="Q1" s="2240"/>
      <c r="R1" s="2240"/>
      <c r="S1" s="2240"/>
      <c r="T1" s="2240"/>
      <c r="U1" s="2240"/>
      <c r="V1" s="2240"/>
      <c r="W1" s="2240"/>
      <c r="X1" s="2240"/>
      <c r="Y1" s="2240"/>
    </row>
    <row r="2" spans="1:25" ht="21.6" customHeight="1" x14ac:dyDescent="0.25">
      <c r="A2" s="2241" t="s">
        <v>77</v>
      </c>
      <c r="B2" s="2241"/>
      <c r="C2" s="2241"/>
      <c r="D2" s="2241"/>
      <c r="E2" s="2241"/>
      <c r="F2" s="2241"/>
      <c r="G2" s="2241"/>
      <c r="H2" s="2241"/>
      <c r="I2" s="2241"/>
      <c r="J2" s="2241"/>
      <c r="K2" s="2241"/>
      <c r="L2" s="2241"/>
      <c r="M2" s="2241"/>
      <c r="N2" s="2241"/>
      <c r="O2" s="2241"/>
      <c r="P2" s="2241"/>
      <c r="Q2" s="2241"/>
      <c r="R2" s="2241"/>
      <c r="S2" s="2241"/>
      <c r="T2" s="2241"/>
      <c r="U2" s="2241"/>
      <c r="V2" s="2241"/>
      <c r="W2" s="2241"/>
      <c r="X2" s="2241"/>
      <c r="Y2" s="2241"/>
    </row>
    <row r="3" spans="1:25" ht="21" customHeight="1" x14ac:dyDescent="0.25">
      <c r="A3" s="120"/>
      <c r="B3" s="120"/>
      <c r="C3" s="120"/>
      <c r="D3" s="120"/>
      <c r="E3" s="120"/>
      <c r="F3" s="120"/>
      <c r="G3" s="120"/>
      <c r="H3" s="120"/>
      <c r="I3" s="120"/>
      <c r="J3" s="120"/>
      <c r="K3" s="120"/>
      <c r="L3" s="120"/>
      <c r="M3" s="120"/>
      <c r="N3" s="120"/>
      <c r="O3" s="120"/>
      <c r="P3" s="120"/>
      <c r="Q3" s="120"/>
      <c r="R3" s="120"/>
      <c r="S3" s="120"/>
      <c r="T3" s="2242" t="s">
        <v>191</v>
      </c>
      <c r="U3" s="2242"/>
      <c r="V3" s="2242"/>
      <c r="W3" s="2242"/>
      <c r="X3" s="2242"/>
      <c r="Y3" s="2242"/>
    </row>
    <row r="4" spans="1:25" s="120" customFormat="1" ht="18" customHeight="1" x14ac:dyDescent="0.25">
      <c r="A4" s="2243" t="s">
        <v>25</v>
      </c>
      <c r="B4" s="2243" t="s">
        <v>26</v>
      </c>
      <c r="C4" s="2244" t="s">
        <v>27</v>
      </c>
      <c r="D4" s="2244"/>
      <c r="E4" s="2244" t="s">
        <v>28</v>
      </c>
      <c r="F4" s="2244"/>
      <c r="G4" s="2244" t="s">
        <v>65</v>
      </c>
      <c r="H4" s="2244"/>
      <c r="I4" s="2244" t="s">
        <v>29</v>
      </c>
      <c r="J4" s="2244"/>
      <c r="K4" s="2245" t="s">
        <v>13</v>
      </c>
      <c r="L4" s="2246"/>
      <c r="M4" s="2245" t="s">
        <v>67</v>
      </c>
      <c r="N4" s="2246"/>
      <c r="O4" s="2245" t="s">
        <v>68</v>
      </c>
      <c r="P4" s="2246"/>
      <c r="Q4" s="2245" t="s">
        <v>114</v>
      </c>
      <c r="R4" s="2246"/>
      <c r="S4" s="2244" t="s">
        <v>35</v>
      </c>
      <c r="T4" s="2244"/>
      <c r="U4" s="2245" t="s">
        <v>17</v>
      </c>
      <c r="V4" s="2246"/>
      <c r="W4" s="2247" t="s">
        <v>36</v>
      </c>
      <c r="X4" s="2248"/>
      <c r="Y4" s="2238" t="s">
        <v>30</v>
      </c>
    </row>
    <row r="5" spans="1:25" s="120" customFormat="1" ht="25.5" customHeight="1" x14ac:dyDescent="0.25">
      <c r="A5" s="2243"/>
      <c r="B5" s="2243"/>
      <c r="C5" s="122" t="s">
        <v>42</v>
      </c>
      <c r="D5" s="122" t="s">
        <v>43</v>
      </c>
      <c r="E5" s="122" t="s">
        <v>42</v>
      </c>
      <c r="F5" s="122" t="s">
        <v>43</v>
      </c>
      <c r="G5" s="122" t="s">
        <v>42</v>
      </c>
      <c r="H5" s="122" t="s">
        <v>43</v>
      </c>
      <c r="I5" s="122" t="s">
        <v>42</v>
      </c>
      <c r="J5" s="122" t="s">
        <v>43</v>
      </c>
      <c r="K5" s="122" t="s">
        <v>42</v>
      </c>
      <c r="L5" s="122" t="s">
        <v>43</v>
      </c>
      <c r="M5" s="122" t="s">
        <v>42</v>
      </c>
      <c r="N5" s="122" t="s">
        <v>43</v>
      </c>
      <c r="O5" s="122" t="s">
        <v>42</v>
      </c>
      <c r="P5" s="122" t="s">
        <v>43</v>
      </c>
      <c r="Q5" s="122" t="s">
        <v>42</v>
      </c>
      <c r="R5" s="122" t="s">
        <v>43</v>
      </c>
      <c r="S5" s="33" t="s">
        <v>42</v>
      </c>
      <c r="T5" s="33" t="s">
        <v>43</v>
      </c>
      <c r="U5" s="30" t="s">
        <v>42</v>
      </c>
      <c r="V5" s="30" t="s">
        <v>43</v>
      </c>
      <c r="W5" s="30" t="s">
        <v>42</v>
      </c>
      <c r="X5" s="30" t="s">
        <v>43</v>
      </c>
      <c r="Y5" s="2239"/>
    </row>
    <row r="6" spans="1:25" ht="34.5" customHeight="1" x14ac:dyDescent="0.25">
      <c r="A6" s="12">
        <v>1409935200</v>
      </c>
      <c r="B6" s="121" t="s">
        <v>71</v>
      </c>
      <c r="C6" s="124">
        <v>26736</v>
      </c>
      <c r="D6" s="125">
        <f>0.9725*C6</f>
        <v>26000.760000000002</v>
      </c>
      <c r="E6" s="124"/>
      <c r="F6" s="124">
        <f>13.7*E6</f>
        <v>0</v>
      </c>
      <c r="G6" s="124">
        <v>100</v>
      </c>
      <c r="H6" s="124">
        <f>28.2*G6</f>
        <v>2820</v>
      </c>
      <c r="I6" s="124">
        <v>550</v>
      </c>
      <c r="J6" s="124">
        <f>18.5*I6</f>
        <v>10175</v>
      </c>
      <c r="K6" s="124"/>
      <c r="L6" s="124">
        <f>19.5*K6</f>
        <v>0</v>
      </c>
      <c r="M6" s="124"/>
      <c r="N6" s="125">
        <f>M6*9.75</f>
        <v>0</v>
      </c>
      <c r="O6" s="124"/>
      <c r="P6" s="125">
        <f>O6*48.62</f>
        <v>0</v>
      </c>
      <c r="Q6" s="125"/>
      <c r="R6" s="125">
        <f>241*Q6</f>
        <v>0</v>
      </c>
      <c r="S6" s="124"/>
      <c r="T6" s="124">
        <f>241*S6</f>
        <v>0</v>
      </c>
      <c r="U6" s="124"/>
      <c r="V6" s="124">
        <f>232*U6</f>
        <v>0</v>
      </c>
      <c r="W6" s="124"/>
      <c r="X6" s="19">
        <f>W6*100</f>
        <v>0</v>
      </c>
      <c r="Y6" s="89">
        <f t="shared" ref="Y6:Y11" si="0">D6+F6+H6+J6+L6+N6+P6+R6+T6+V6+X6</f>
        <v>38995.760000000002</v>
      </c>
    </row>
    <row r="7" spans="1:25" ht="31.5" customHeight="1" x14ac:dyDescent="0.25">
      <c r="A7" s="12">
        <v>1984225578</v>
      </c>
      <c r="B7" s="121" t="s">
        <v>72</v>
      </c>
      <c r="C7" s="124">
        <v>41626</v>
      </c>
      <c r="D7" s="125">
        <f t="shared" ref="D7:D11" si="1">0.9725*C7</f>
        <v>40481.285000000003</v>
      </c>
      <c r="E7" s="124"/>
      <c r="F7" s="124">
        <f t="shared" ref="F7:F11" si="2">13.7*E7</f>
        <v>0</v>
      </c>
      <c r="G7" s="124">
        <v>30</v>
      </c>
      <c r="H7" s="124">
        <f t="shared" ref="H7:H11" si="3">28.2*G7</f>
        <v>846</v>
      </c>
      <c r="I7" s="124">
        <v>1560</v>
      </c>
      <c r="J7" s="124">
        <f t="shared" ref="J7:J11" si="4">18.5*I7</f>
        <v>28860</v>
      </c>
      <c r="K7" s="124"/>
      <c r="L7" s="124">
        <f t="shared" ref="L7:L11" si="5">19.5*K7</f>
        <v>0</v>
      </c>
      <c r="M7" s="124"/>
      <c r="N7" s="125">
        <f t="shared" ref="N7:N11" si="6">M7*9.75</f>
        <v>0</v>
      </c>
      <c r="O7" s="124"/>
      <c r="P7" s="125">
        <f t="shared" ref="P7:P11" si="7">O7*48.62</f>
        <v>0</v>
      </c>
      <c r="Q7" s="125"/>
      <c r="R7" s="125">
        <f t="shared" ref="R7:R11" si="8">241*Q7</f>
        <v>0</v>
      </c>
      <c r="S7" s="124"/>
      <c r="T7" s="124">
        <f t="shared" ref="T7:T11" si="9">241*S7</f>
        <v>0</v>
      </c>
      <c r="U7" s="124"/>
      <c r="V7" s="124">
        <f t="shared" ref="V7:V11" si="10">232*U7</f>
        <v>0</v>
      </c>
      <c r="W7" s="124"/>
      <c r="X7" s="19">
        <f t="shared" ref="X7:X11" si="11">W7*100</f>
        <v>0</v>
      </c>
      <c r="Y7" s="89">
        <f t="shared" si="0"/>
        <v>70187.285000000003</v>
      </c>
    </row>
    <row r="8" spans="1:25" ht="35.25" customHeight="1" x14ac:dyDescent="0.25">
      <c r="A8" s="12">
        <v>1967020280</v>
      </c>
      <c r="B8" s="121" t="s">
        <v>73</v>
      </c>
      <c r="C8" s="124">
        <v>43985</v>
      </c>
      <c r="D8" s="125">
        <f t="shared" si="1"/>
        <v>42775.412499999999</v>
      </c>
      <c r="E8" s="124"/>
      <c r="F8" s="124">
        <f t="shared" si="2"/>
        <v>0</v>
      </c>
      <c r="G8" s="124"/>
      <c r="H8" s="124">
        <f t="shared" si="3"/>
        <v>0</v>
      </c>
      <c r="I8" s="124">
        <v>1300</v>
      </c>
      <c r="J8" s="124">
        <f t="shared" si="4"/>
        <v>24050</v>
      </c>
      <c r="K8" s="124"/>
      <c r="L8" s="124">
        <f t="shared" si="5"/>
        <v>0</v>
      </c>
      <c r="M8" s="124"/>
      <c r="N8" s="125">
        <f t="shared" si="6"/>
        <v>0</v>
      </c>
      <c r="O8" s="124"/>
      <c r="P8" s="125">
        <f t="shared" si="7"/>
        <v>0</v>
      </c>
      <c r="Q8" s="125"/>
      <c r="R8" s="125">
        <f t="shared" si="8"/>
        <v>0</v>
      </c>
      <c r="S8" s="124">
        <v>5</v>
      </c>
      <c r="T8" s="124">
        <f t="shared" si="9"/>
        <v>1205</v>
      </c>
      <c r="U8" s="124"/>
      <c r="V8" s="124">
        <f t="shared" si="10"/>
        <v>0</v>
      </c>
      <c r="W8" s="124"/>
      <c r="X8" s="19">
        <f t="shared" si="11"/>
        <v>0</v>
      </c>
      <c r="Y8" s="89">
        <f t="shared" si="0"/>
        <v>68030.412500000006</v>
      </c>
    </row>
    <row r="9" spans="1:25" ht="38.25" customHeight="1" x14ac:dyDescent="0.25">
      <c r="A9" s="12">
        <v>1409935199</v>
      </c>
      <c r="B9" s="121" t="s">
        <v>75</v>
      </c>
      <c r="C9" s="124">
        <v>55238</v>
      </c>
      <c r="D9" s="125">
        <f t="shared" si="1"/>
        <v>53718.955000000002</v>
      </c>
      <c r="E9" s="124"/>
      <c r="F9" s="124">
        <f t="shared" si="2"/>
        <v>0</v>
      </c>
      <c r="G9" s="124"/>
      <c r="H9" s="124">
        <f t="shared" si="3"/>
        <v>0</v>
      </c>
      <c r="I9" s="124">
        <v>540</v>
      </c>
      <c r="J9" s="124">
        <f t="shared" si="4"/>
        <v>9990</v>
      </c>
      <c r="K9" s="124"/>
      <c r="L9" s="124">
        <f t="shared" si="5"/>
        <v>0</v>
      </c>
      <c r="M9" s="124"/>
      <c r="N9" s="125">
        <f t="shared" si="6"/>
        <v>0</v>
      </c>
      <c r="O9" s="124"/>
      <c r="P9" s="125">
        <f t="shared" si="7"/>
        <v>0</v>
      </c>
      <c r="Q9" s="125"/>
      <c r="R9" s="125">
        <f t="shared" si="8"/>
        <v>0</v>
      </c>
      <c r="S9" s="124"/>
      <c r="T9" s="124">
        <f t="shared" si="9"/>
        <v>0</v>
      </c>
      <c r="U9" s="124"/>
      <c r="V9" s="124">
        <f t="shared" si="10"/>
        <v>0</v>
      </c>
      <c r="W9" s="124"/>
      <c r="X9" s="19">
        <f t="shared" si="11"/>
        <v>0</v>
      </c>
      <c r="Y9" s="89">
        <f t="shared" si="0"/>
        <v>63708.955000000002</v>
      </c>
    </row>
    <row r="10" spans="1:25" ht="35.25" customHeight="1" x14ac:dyDescent="0.25">
      <c r="A10" s="12">
        <v>1984225580</v>
      </c>
      <c r="C10" s="124"/>
      <c r="D10" s="125">
        <f t="shared" si="1"/>
        <v>0</v>
      </c>
      <c r="E10" s="124"/>
      <c r="F10" s="124">
        <f t="shared" si="2"/>
        <v>0</v>
      </c>
      <c r="G10" s="124"/>
      <c r="H10" s="124">
        <f t="shared" si="3"/>
        <v>0</v>
      </c>
      <c r="I10" s="124"/>
      <c r="J10" s="124">
        <f t="shared" si="4"/>
        <v>0</v>
      </c>
      <c r="K10" s="124"/>
      <c r="L10" s="124">
        <f t="shared" si="5"/>
        <v>0</v>
      </c>
      <c r="M10" s="124"/>
      <c r="N10" s="125">
        <f t="shared" si="6"/>
        <v>0</v>
      </c>
      <c r="O10" s="124"/>
      <c r="P10" s="125">
        <f t="shared" si="7"/>
        <v>0</v>
      </c>
      <c r="Q10" s="125"/>
      <c r="R10" s="125">
        <f t="shared" si="8"/>
        <v>0</v>
      </c>
      <c r="S10" s="124"/>
      <c r="T10" s="124">
        <f t="shared" si="9"/>
        <v>0</v>
      </c>
      <c r="U10" s="124"/>
      <c r="V10" s="124">
        <f t="shared" si="10"/>
        <v>0</v>
      </c>
      <c r="W10" s="124"/>
      <c r="X10" s="19">
        <f t="shared" si="11"/>
        <v>0</v>
      </c>
      <c r="Y10" s="89">
        <f t="shared" si="0"/>
        <v>0</v>
      </c>
    </row>
    <row r="11" spans="1:25" ht="37.5" customHeight="1" x14ac:dyDescent="0.25">
      <c r="A11" s="12"/>
      <c r="B11" s="123"/>
      <c r="C11" s="124"/>
      <c r="D11" s="22">
        <f t="shared" si="1"/>
        <v>0</v>
      </c>
      <c r="E11" s="124"/>
      <c r="F11" s="124">
        <f t="shared" si="2"/>
        <v>0</v>
      </c>
      <c r="G11" s="124"/>
      <c r="H11" s="124">
        <f t="shared" si="3"/>
        <v>0</v>
      </c>
      <c r="I11" s="124"/>
      <c r="J11" s="124">
        <f t="shared" si="4"/>
        <v>0</v>
      </c>
      <c r="K11" s="124"/>
      <c r="L11" s="124">
        <f t="shared" si="5"/>
        <v>0</v>
      </c>
      <c r="M11" s="124"/>
      <c r="N11" s="125">
        <f t="shared" si="6"/>
        <v>0</v>
      </c>
      <c r="O11" s="124"/>
      <c r="P11" s="125">
        <f t="shared" si="7"/>
        <v>0</v>
      </c>
      <c r="Q11" s="125"/>
      <c r="R11" s="125">
        <f t="shared" si="8"/>
        <v>0</v>
      </c>
      <c r="S11" s="124"/>
      <c r="T11" s="124">
        <f t="shared" si="9"/>
        <v>0</v>
      </c>
      <c r="U11" s="124"/>
      <c r="V11" s="124">
        <f t="shared" si="10"/>
        <v>0</v>
      </c>
      <c r="W11" s="124"/>
      <c r="X11" s="19">
        <f t="shared" si="11"/>
        <v>0</v>
      </c>
      <c r="Y11" s="20">
        <f t="shared" si="0"/>
        <v>0</v>
      </c>
    </row>
    <row r="12" spans="1:25" ht="29.25" customHeight="1" x14ac:dyDescent="0.25">
      <c r="A12" s="2235" t="s">
        <v>31</v>
      </c>
      <c r="B12" s="2235"/>
      <c r="C12" s="18">
        <f t="shared" ref="C12:Y12" si="12">SUM(C6:C11)</f>
        <v>167585</v>
      </c>
      <c r="D12" s="18">
        <f t="shared" si="12"/>
        <v>162976.41250000003</v>
      </c>
      <c r="E12" s="18">
        <f t="shared" si="12"/>
        <v>0</v>
      </c>
      <c r="F12" s="18">
        <f t="shared" si="12"/>
        <v>0</v>
      </c>
      <c r="G12" s="18">
        <f t="shared" si="12"/>
        <v>130</v>
      </c>
      <c r="H12" s="18">
        <f t="shared" si="12"/>
        <v>3666</v>
      </c>
      <c r="I12" s="18">
        <f t="shared" si="12"/>
        <v>3950</v>
      </c>
      <c r="J12" s="18">
        <f t="shared" si="12"/>
        <v>73075</v>
      </c>
      <c r="K12" s="18">
        <f t="shared" si="12"/>
        <v>0</v>
      </c>
      <c r="L12" s="18">
        <f t="shared" si="12"/>
        <v>0</v>
      </c>
      <c r="M12" s="18">
        <f t="shared" si="12"/>
        <v>0</v>
      </c>
      <c r="N12" s="23">
        <f t="shared" si="12"/>
        <v>0</v>
      </c>
      <c r="O12" s="18">
        <f t="shared" si="12"/>
        <v>0</v>
      </c>
      <c r="P12" s="23">
        <f t="shared" si="12"/>
        <v>0</v>
      </c>
      <c r="Q12" s="23">
        <f t="shared" si="12"/>
        <v>0</v>
      </c>
      <c r="R12" s="23">
        <f>SUM(R6:R11)</f>
        <v>0</v>
      </c>
      <c r="S12" s="18">
        <f t="shared" si="12"/>
        <v>5</v>
      </c>
      <c r="T12" s="18">
        <f t="shared" si="12"/>
        <v>1205</v>
      </c>
      <c r="U12" s="18">
        <f t="shared" si="12"/>
        <v>0</v>
      </c>
      <c r="V12" s="18">
        <f t="shared" si="12"/>
        <v>0</v>
      </c>
      <c r="W12" s="18">
        <f t="shared" si="12"/>
        <v>0</v>
      </c>
      <c r="X12" s="18">
        <f t="shared" si="12"/>
        <v>0</v>
      </c>
      <c r="Y12" s="18">
        <f t="shared" si="12"/>
        <v>240922.41250000003</v>
      </c>
    </row>
    <row r="14" spans="1:25" ht="41.25" customHeight="1" x14ac:dyDescent="0.25">
      <c r="A14" s="30" t="s">
        <v>32</v>
      </c>
      <c r="B14" s="2236" t="s">
        <v>27</v>
      </c>
      <c r="C14" s="2236"/>
      <c r="D14" s="30" t="s">
        <v>33</v>
      </c>
      <c r="E14" s="30" t="s">
        <v>65</v>
      </c>
      <c r="F14" s="30" t="s">
        <v>34</v>
      </c>
      <c r="G14" s="30" t="s">
        <v>13</v>
      </c>
      <c r="H14" s="142" t="s">
        <v>173</v>
      </c>
      <c r="I14" s="30" t="s">
        <v>17</v>
      </c>
      <c r="J14" s="129" t="s">
        <v>174</v>
      </c>
      <c r="K14" s="30" t="s">
        <v>36</v>
      </c>
      <c r="L14" s="30" t="s">
        <v>175</v>
      </c>
      <c r="M14" s="30" t="s">
        <v>69</v>
      </c>
      <c r="N14" s="30" t="s">
        <v>70</v>
      </c>
      <c r="O14" s="129" t="s">
        <v>114</v>
      </c>
      <c r="P14" s="129" t="s">
        <v>99</v>
      </c>
      <c r="Q14" s="2272" t="s">
        <v>150</v>
      </c>
      <c r="R14" s="2272"/>
      <c r="S14" s="129" t="s">
        <v>171</v>
      </c>
      <c r="T14" s="2235" t="s">
        <v>46</v>
      </c>
      <c r="U14" s="121" t="s">
        <v>176</v>
      </c>
      <c r="V14" s="2260">
        <v>92618</v>
      </c>
      <c r="W14" s="2268"/>
      <c r="X14" s="2261"/>
    </row>
    <row r="15" spans="1:25" ht="22.5" customHeight="1" x14ac:dyDescent="0.25">
      <c r="A15" s="100" t="s">
        <v>38</v>
      </c>
      <c r="B15" s="2260">
        <v>325532</v>
      </c>
      <c r="C15" s="2261"/>
      <c r="D15" s="126">
        <v>0</v>
      </c>
      <c r="E15" s="126">
        <v>250</v>
      </c>
      <c r="F15" s="126">
        <v>10000</v>
      </c>
      <c r="G15" s="126">
        <v>0</v>
      </c>
      <c r="H15" s="126">
        <v>106</v>
      </c>
      <c r="I15" s="126">
        <v>0</v>
      </c>
      <c r="J15" s="126">
        <v>108</v>
      </c>
      <c r="K15" s="126">
        <v>52</v>
      </c>
      <c r="L15" s="126">
        <v>185</v>
      </c>
      <c r="M15" s="126">
        <v>0</v>
      </c>
      <c r="N15" s="126">
        <v>100</v>
      </c>
      <c r="O15" s="126">
        <v>0</v>
      </c>
      <c r="P15" s="126">
        <v>464</v>
      </c>
      <c r="Q15" s="2262">
        <v>6</v>
      </c>
      <c r="R15" s="2262"/>
      <c r="S15" s="121">
        <v>126</v>
      </c>
      <c r="T15" s="2235"/>
      <c r="U15" s="121" t="s">
        <v>64</v>
      </c>
      <c r="V15" s="2262">
        <v>205209</v>
      </c>
      <c r="W15" s="2262"/>
      <c r="X15" s="2262"/>
    </row>
    <row r="16" spans="1:25" ht="24.75" customHeight="1" x14ac:dyDescent="0.25">
      <c r="A16" s="100" t="s">
        <v>39</v>
      </c>
      <c r="B16" s="2260">
        <v>234701</v>
      </c>
      <c r="C16" s="2261"/>
      <c r="D16" s="126"/>
      <c r="E16" s="126"/>
      <c r="F16" s="126"/>
      <c r="G16" s="126"/>
      <c r="H16" s="126">
        <v>100</v>
      </c>
      <c r="I16" s="126"/>
      <c r="J16" s="126"/>
      <c r="K16" s="126"/>
      <c r="L16" s="126"/>
      <c r="M16" s="126"/>
      <c r="N16" s="126"/>
      <c r="O16" s="126"/>
      <c r="P16" s="126"/>
      <c r="Q16" s="2225"/>
      <c r="R16" s="2225"/>
      <c r="S16" s="123"/>
      <c r="T16" s="2254" t="s">
        <v>55</v>
      </c>
      <c r="U16" s="2254"/>
      <c r="V16" s="2267">
        <f>Y12</f>
        <v>240922.41250000003</v>
      </c>
      <c r="W16" s="2267"/>
      <c r="X16" s="2262"/>
    </row>
    <row r="17" spans="1:25" ht="28.5" customHeight="1" x14ac:dyDescent="0.25">
      <c r="A17" s="101" t="s">
        <v>44</v>
      </c>
      <c r="B17" s="2260"/>
      <c r="C17" s="2261"/>
      <c r="D17" s="126"/>
      <c r="E17" s="126"/>
      <c r="F17" s="126"/>
      <c r="G17" s="126"/>
      <c r="H17" s="126"/>
      <c r="I17" s="126"/>
      <c r="J17" s="126"/>
      <c r="K17" s="126"/>
      <c r="L17" s="126"/>
      <c r="M17" s="126"/>
      <c r="N17" s="126"/>
      <c r="O17" s="126"/>
      <c r="P17" s="126"/>
      <c r="Q17" s="2225"/>
      <c r="R17" s="2225"/>
      <c r="S17" s="123"/>
      <c r="T17" s="2273" t="s">
        <v>205</v>
      </c>
      <c r="U17" s="2274"/>
      <c r="V17" s="2262"/>
      <c r="W17" s="2262"/>
      <c r="X17" s="2262"/>
    </row>
    <row r="18" spans="1:25" ht="27" customHeight="1" x14ac:dyDescent="0.25">
      <c r="A18" s="100" t="s">
        <v>40</v>
      </c>
      <c r="B18" s="2264">
        <f>C12</f>
        <v>167585</v>
      </c>
      <c r="C18" s="2261"/>
      <c r="D18" s="127">
        <f>E12</f>
        <v>0</v>
      </c>
      <c r="E18" s="127">
        <f>G12</f>
        <v>130</v>
      </c>
      <c r="F18" s="127">
        <f>I12</f>
        <v>3950</v>
      </c>
      <c r="G18" s="127">
        <f>K12</f>
        <v>0</v>
      </c>
      <c r="H18" s="126">
        <v>5</v>
      </c>
      <c r="I18" s="127">
        <f>U12</f>
        <v>0</v>
      </c>
      <c r="J18" s="126"/>
      <c r="K18" s="127">
        <f>W12</f>
        <v>0</v>
      </c>
      <c r="L18" s="126"/>
      <c r="M18" s="127">
        <f>M12</f>
        <v>0</v>
      </c>
      <c r="N18" s="127">
        <f>O12</f>
        <v>0</v>
      </c>
      <c r="O18" s="128">
        <f>Q12</f>
        <v>0</v>
      </c>
      <c r="P18" s="126"/>
      <c r="Q18" s="2225"/>
      <c r="R18" s="2225"/>
      <c r="S18" s="121"/>
      <c r="T18" s="2254" t="s">
        <v>57</v>
      </c>
      <c r="U18" s="2254"/>
      <c r="V18" s="2262">
        <f>450+120+160+150</f>
        <v>880</v>
      </c>
      <c r="W18" s="2262"/>
      <c r="X18" s="2262"/>
      <c r="Y18" s="2269" t="s">
        <v>192</v>
      </c>
    </row>
    <row r="19" spans="1:25" ht="25.5" customHeight="1" x14ac:dyDescent="0.25">
      <c r="A19" s="100" t="s">
        <v>41</v>
      </c>
      <c r="B19" s="2260">
        <f>B15+B16+B17-B18</f>
        <v>392648</v>
      </c>
      <c r="C19" s="2261"/>
      <c r="D19" s="126">
        <f>D15+D16+D17-D18</f>
        <v>0</v>
      </c>
      <c r="E19" s="126">
        <f t="shared" ref="E19:N19" si="13">E15+E16+E17-E18</f>
        <v>120</v>
      </c>
      <c r="F19" s="126">
        <f t="shared" si="13"/>
        <v>6050</v>
      </c>
      <c r="G19" s="126">
        <f t="shared" si="13"/>
        <v>0</v>
      </c>
      <c r="H19" s="126">
        <f t="shared" si="13"/>
        <v>201</v>
      </c>
      <c r="I19" s="126">
        <f t="shared" si="13"/>
        <v>0</v>
      </c>
      <c r="J19" s="126">
        <f t="shared" si="13"/>
        <v>108</v>
      </c>
      <c r="K19" s="126">
        <f t="shared" si="13"/>
        <v>52</v>
      </c>
      <c r="L19" s="126">
        <f t="shared" si="13"/>
        <v>185</v>
      </c>
      <c r="M19" s="126">
        <f t="shared" si="13"/>
        <v>0</v>
      </c>
      <c r="N19" s="126">
        <f t="shared" si="13"/>
        <v>100</v>
      </c>
      <c r="O19" s="126">
        <f>O15+O16+O17-O18</f>
        <v>0</v>
      </c>
      <c r="P19" s="126">
        <f>P15+P16+P17-P18</f>
        <v>464</v>
      </c>
      <c r="Q19" s="2260">
        <f t="shared" ref="Q19" si="14">Q15+Q16+Q17-Q18</f>
        <v>6</v>
      </c>
      <c r="R19" s="2261"/>
      <c r="S19" s="121">
        <f>S15+S16-S17-S18</f>
        <v>126</v>
      </c>
      <c r="T19" s="2256" t="s">
        <v>48</v>
      </c>
      <c r="U19" s="49" t="s">
        <v>58</v>
      </c>
      <c r="V19" s="2262">
        <v>370000</v>
      </c>
      <c r="W19" s="2262"/>
      <c r="X19" s="2262"/>
      <c r="Y19" s="2269"/>
    </row>
    <row r="20" spans="1:25" ht="23.25" customHeight="1" x14ac:dyDescent="0.25">
      <c r="A20" s="11" t="s">
        <v>187</v>
      </c>
      <c r="B20" s="2278">
        <f>B19*0.9625</f>
        <v>377923.7</v>
      </c>
      <c r="C20" s="2279"/>
      <c r="D20" s="123">
        <f>D19*13.56</f>
        <v>0</v>
      </c>
      <c r="E20" s="123">
        <f>28.2*E19</f>
        <v>3384</v>
      </c>
      <c r="F20" s="123">
        <f>18.31*F19</f>
        <v>110775.49999999999</v>
      </c>
      <c r="G20" s="123">
        <f>19.3*G19</f>
        <v>0</v>
      </c>
      <c r="H20" s="123">
        <f>241*H19</f>
        <v>48441</v>
      </c>
      <c r="I20" s="123">
        <f>223*I19</f>
        <v>0</v>
      </c>
      <c r="J20" s="123">
        <f>241*J19</f>
        <v>26028</v>
      </c>
      <c r="K20" s="123">
        <f>K19*100</f>
        <v>5200</v>
      </c>
      <c r="L20" s="123">
        <f>241*L19</f>
        <v>44585</v>
      </c>
      <c r="M20" s="123">
        <f>9.65*M19</f>
        <v>0</v>
      </c>
      <c r="N20" s="123">
        <f>N19*48.2</f>
        <v>4820</v>
      </c>
      <c r="O20" s="123">
        <f>241*O19</f>
        <v>0</v>
      </c>
      <c r="P20" s="123">
        <f>241*P19</f>
        <v>111824</v>
      </c>
      <c r="Q20" s="2278">
        <f>241*Q19</f>
        <v>1446</v>
      </c>
      <c r="R20" s="2279"/>
      <c r="S20" s="123">
        <f>241*S19</f>
        <v>30366</v>
      </c>
      <c r="T20" s="2257"/>
      <c r="U20" s="49" t="s">
        <v>59</v>
      </c>
      <c r="V20" s="2262"/>
      <c r="W20" s="2262"/>
      <c r="X20" s="2262"/>
      <c r="Y20" s="2269"/>
    </row>
    <row r="21" spans="1:25" ht="32.25" customHeight="1" x14ac:dyDescent="0.25">
      <c r="A21" s="143" t="s">
        <v>186</v>
      </c>
      <c r="B21" s="2283">
        <f>SUM(B20:S20)</f>
        <v>764793.2</v>
      </c>
      <c r="C21" s="2283"/>
      <c r="O21" s="130"/>
      <c r="P21" s="130"/>
      <c r="Q21" s="130"/>
      <c r="R21" s="130"/>
      <c r="T21" s="2273" t="s">
        <v>167</v>
      </c>
      <c r="U21" s="2274"/>
      <c r="V21" s="2260"/>
      <c r="W21" s="2268"/>
      <c r="X21" s="2261"/>
      <c r="Y21" s="2269"/>
    </row>
    <row r="22" spans="1:25" ht="35.25" customHeight="1" x14ac:dyDescent="0.25">
      <c r="A22" s="15"/>
      <c r="B22" s="2275" t="s">
        <v>49</v>
      </c>
      <c r="C22" s="2265">
        <v>956534</v>
      </c>
      <c r="D22" s="2265">
        <v>370000</v>
      </c>
      <c r="E22" s="2265">
        <v>250000</v>
      </c>
      <c r="F22" s="2265">
        <f>C22-D22+E22</f>
        <v>836534</v>
      </c>
      <c r="G22" s="130"/>
      <c r="Q22" s="130"/>
      <c r="R22" s="130"/>
      <c r="T22" s="2251" t="s">
        <v>83</v>
      </c>
      <c r="U22" s="50" t="s">
        <v>60</v>
      </c>
      <c r="V22" s="2262">
        <v>324840</v>
      </c>
      <c r="W22" s="2262"/>
      <c r="X22" s="2262"/>
      <c r="Y22" s="2269"/>
    </row>
    <row r="23" spans="1:25" ht="39.75" customHeight="1" x14ac:dyDescent="0.25">
      <c r="A23" s="130"/>
      <c r="B23" s="2276"/>
      <c r="C23" s="2266"/>
      <c r="D23" s="2266"/>
      <c r="E23" s="2266"/>
      <c r="F23" s="2266"/>
      <c r="G23" s="130"/>
      <c r="Q23" s="130"/>
      <c r="R23" s="130"/>
      <c r="T23" s="2252"/>
      <c r="U23" s="50" t="s">
        <v>61</v>
      </c>
      <c r="V23" s="2262">
        <v>370000</v>
      </c>
      <c r="W23" s="2262"/>
      <c r="X23" s="2262"/>
      <c r="Y23" s="2269"/>
    </row>
    <row r="24" spans="1:25" ht="47.25" customHeight="1" x14ac:dyDescent="0.25">
      <c r="A24" s="130"/>
      <c r="B24" s="2277"/>
      <c r="C24" s="121" t="s">
        <v>46</v>
      </c>
      <c r="D24" s="121" t="s">
        <v>50</v>
      </c>
      <c r="E24" s="121" t="s">
        <v>51</v>
      </c>
      <c r="F24" s="121" t="s">
        <v>52</v>
      </c>
      <c r="G24" s="130"/>
      <c r="Q24" s="130"/>
      <c r="R24" s="130"/>
      <c r="T24" s="2235" t="s">
        <v>47</v>
      </c>
      <c r="U24" s="51" t="s">
        <v>62</v>
      </c>
      <c r="V24" s="2263">
        <f>V14+V16+V17-V18-V19-V20-V22+V23-V21</f>
        <v>7820.4125000000349</v>
      </c>
      <c r="W24" s="2263"/>
      <c r="X24" s="2263"/>
      <c r="Y24" s="2269"/>
    </row>
    <row r="25" spans="1:25" ht="40.5" customHeight="1" x14ac:dyDescent="0.25">
      <c r="T25" s="2235"/>
      <c r="U25" s="51" t="s">
        <v>63</v>
      </c>
      <c r="V25" s="2262">
        <f>V15+V22-V23</f>
        <v>160049</v>
      </c>
      <c r="W25" s="2262"/>
      <c r="X25" s="2262"/>
    </row>
    <row r="26" spans="1:25" ht="36" customHeight="1" x14ac:dyDescent="0.25"/>
    <row r="32" spans="1:25" x14ac:dyDescent="0.25">
      <c r="I32" s="2280"/>
      <c r="J32" s="2280"/>
      <c r="K32" s="2280"/>
      <c r="L32" s="2280"/>
    </row>
    <row r="33" spans="9:12" x14ac:dyDescent="0.25">
      <c r="I33" s="130"/>
      <c r="J33" s="130"/>
      <c r="K33" s="2280"/>
      <c r="L33" s="2280"/>
    </row>
  </sheetData>
  <mergeCells count="62">
    <mergeCell ref="I32:J32"/>
    <mergeCell ref="K32:L32"/>
    <mergeCell ref="K33:L33"/>
    <mergeCell ref="T22:T23"/>
    <mergeCell ref="V22:X22"/>
    <mergeCell ref="V23:X23"/>
    <mergeCell ref="T24:T25"/>
    <mergeCell ref="V24:X24"/>
    <mergeCell ref="V25:X25"/>
    <mergeCell ref="Y18:Y24"/>
    <mergeCell ref="B19:C19"/>
    <mergeCell ref="Q19:R19"/>
    <mergeCell ref="T19:T20"/>
    <mergeCell ref="V19:X19"/>
    <mergeCell ref="B20:C20"/>
    <mergeCell ref="B22:B24"/>
    <mergeCell ref="C22:C23"/>
    <mergeCell ref="D22:D23"/>
    <mergeCell ref="E22:E23"/>
    <mergeCell ref="F22:F23"/>
    <mergeCell ref="Q20:R20"/>
    <mergeCell ref="V20:X20"/>
    <mergeCell ref="B21:C21"/>
    <mergeCell ref="T21:U21"/>
    <mergeCell ref="V21:X21"/>
    <mergeCell ref="B17:C17"/>
    <mergeCell ref="Q17:R17"/>
    <mergeCell ref="T17:U17"/>
    <mergeCell ref="V17:X17"/>
    <mergeCell ref="B18:C18"/>
    <mergeCell ref="Q18:R18"/>
    <mergeCell ref="T18:U18"/>
    <mergeCell ref="V18:X18"/>
    <mergeCell ref="W4:X4"/>
    <mergeCell ref="B16:C16"/>
    <mergeCell ref="Q16:R16"/>
    <mergeCell ref="T16:U16"/>
    <mergeCell ref="V16:X16"/>
    <mergeCell ref="A12:B12"/>
    <mergeCell ref="B14:C14"/>
    <mergeCell ref="Q14:R14"/>
    <mergeCell ref="T14:T15"/>
    <mergeCell ref="V14:X14"/>
    <mergeCell ref="B15:C15"/>
    <mergeCell ref="Q15:R15"/>
    <mergeCell ref="V15:X15"/>
    <mergeCell ref="A1:Y1"/>
    <mergeCell ref="A2:Y2"/>
    <mergeCell ref="T3:Y3"/>
    <mergeCell ref="A4:A5"/>
    <mergeCell ref="B4:B5"/>
    <mergeCell ref="C4:D4"/>
    <mergeCell ref="E4:F4"/>
    <mergeCell ref="G4:H4"/>
    <mergeCell ref="I4:J4"/>
    <mergeCell ref="K4:L4"/>
    <mergeCell ref="Y4:Y5"/>
    <mergeCell ref="M4:N4"/>
    <mergeCell ref="O4:P4"/>
    <mergeCell ref="Q4:R4"/>
    <mergeCell ref="S4:T4"/>
    <mergeCell ref="U4:V4"/>
  </mergeCells>
  <pageMargins left="0.15748031496063" right="0.15748031496063" top="0" bottom="0" header="0" footer="0"/>
  <pageSetup paperSize="9" scale="47" orientation="landscape" r:id="rId1"/>
  <legacyDrawing r:id="rId2"/>
</worksheet>
</file>

<file path=xl/worksheets/sheet5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500-000000000000}">
  <sheetPr>
    <pageSetUpPr fitToPage="1"/>
  </sheetPr>
  <dimension ref="A1:Y33"/>
  <sheetViews>
    <sheetView topLeftCell="A10" zoomScale="69" zoomScaleNormal="69" zoomScaleSheetLayoutView="100" workbookViewId="0">
      <selection activeCell="T18" sqref="T18:U18"/>
    </sheetView>
  </sheetViews>
  <sheetFormatPr defaultColWidth="9.140625" defaultRowHeight="15" x14ac:dyDescent="0.25"/>
  <cols>
    <col min="1" max="1" width="18.28515625" style="14" customWidth="1"/>
    <col min="2" max="2" width="10.7109375" style="14" customWidth="1"/>
    <col min="3" max="3" width="12.28515625" style="14" customWidth="1"/>
    <col min="4" max="4" width="11" style="14" customWidth="1"/>
    <col min="5" max="5" width="12" style="14" customWidth="1"/>
    <col min="6" max="6" width="12.5703125" style="14" bestFit="1" customWidth="1"/>
    <col min="7" max="7" width="9.28515625" style="14" bestFit="1" customWidth="1"/>
    <col min="8" max="8" width="10.140625" style="14" bestFit="1" customWidth="1"/>
    <col min="9" max="9" width="10.5703125" style="14" bestFit="1" customWidth="1"/>
    <col min="10" max="10" width="10.5703125" style="14" customWidth="1"/>
    <col min="11" max="11" width="10.28515625" style="14" bestFit="1" customWidth="1"/>
    <col min="12" max="12" width="9.42578125" style="14" bestFit="1" customWidth="1"/>
    <col min="13" max="13" width="9.85546875" style="14" bestFit="1" customWidth="1"/>
    <col min="14" max="14" width="10.140625" style="14" bestFit="1" customWidth="1"/>
    <col min="15" max="15" width="9" style="14" customWidth="1"/>
    <col min="16" max="16" width="12.85546875" style="14" bestFit="1" customWidth="1"/>
    <col min="17" max="18" width="9.42578125" style="14" customWidth="1"/>
    <col min="19" max="19" width="13.7109375" style="14" customWidth="1"/>
    <col min="20" max="20" width="12.140625" style="14" customWidth="1"/>
    <col min="21" max="21" width="19.5703125" style="14" bestFit="1" customWidth="1"/>
    <col min="22" max="22" width="9.85546875" style="14" customWidth="1"/>
    <col min="23" max="23" width="10.140625" style="14" bestFit="1" customWidth="1"/>
    <col min="24" max="24" width="10.28515625" style="14" customWidth="1"/>
    <col min="25" max="25" width="28" style="14" customWidth="1"/>
    <col min="26" max="16384" width="9.140625" style="14"/>
  </cols>
  <sheetData>
    <row r="1" spans="1:25" ht="46.15" customHeight="1" x14ac:dyDescent="0.25">
      <c r="A1" s="2240" t="s">
        <v>148</v>
      </c>
      <c r="B1" s="2240"/>
      <c r="C1" s="2240"/>
      <c r="D1" s="2240"/>
      <c r="E1" s="2240"/>
      <c r="F1" s="2240"/>
      <c r="G1" s="2240"/>
      <c r="H1" s="2240"/>
      <c r="I1" s="2240"/>
      <c r="J1" s="2240"/>
      <c r="K1" s="2240"/>
      <c r="L1" s="2240"/>
      <c r="M1" s="2240"/>
      <c r="N1" s="2240"/>
      <c r="O1" s="2240"/>
      <c r="P1" s="2240"/>
      <c r="Q1" s="2240"/>
      <c r="R1" s="2240"/>
      <c r="S1" s="2240"/>
      <c r="T1" s="2240"/>
      <c r="U1" s="2240"/>
      <c r="V1" s="2240"/>
      <c r="W1" s="2240"/>
      <c r="X1" s="2240"/>
      <c r="Y1" s="2240"/>
    </row>
    <row r="2" spans="1:25" ht="21.6" customHeight="1" x14ac:dyDescent="0.25">
      <c r="A2" s="2241" t="s">
        <v>77</v>
      </c>
      <c r="B2" s="2241"/>
      <c r="C2" s="2241"/>
      <c r="D2" s="2241"/>
      <c r="E2" s="2241"/>
      <c r="F2" s="2241"/>
      <c r="G2" s="2241"/>
      <c r="H2" s="2241"/>
      <c r="I2" s="2241"/>
      <c r="J2" s="2241"/>
      <c r="K2" s="2241"/>
      <c r="L2" s="2241"/>
      <c r="M2" s="2241"/>
      <c r="N2" s="2241"/>
      <c r="O2" s="2241"/>
      <c r="P2" s="2241"/>
      <c r="Q2" s="2241"/>
      <c r="R2" s="2241"/>
      <c r="S2" s="2241"/>
      <c r="T2" s="2241"/>
      <c r="U2" s="2241"/>
      <c r="V2" s="2241"/>
      <c r="W2" s="2241"/>
      <c r="X2" s="2241"/>
      <c r="Y2" s="2241"/>
    </row>
    <row r="3" spans="1:25" ht="21" customHeight="1" x14ac:dyDescent="0.25">
      <c r="A3" s="136"/>
      <c r="B3" s="136"/>
      <c r="C3" s="136"/>
      <c r="D3" s="136"/>
      <c r="E3" s="136"/>
      <c r="F3" s="136"/>
      <c r="G3" s="136"/>
      <c r="H3" s="136"/>
      <c r="I3" s="136"/>
      <c r="J3" s="136"/>
      <c r="K3" s="136"/>
      <c r="L3" s="136"/>
      <c r="M3" s="136"/>
      <c r="N3" s="136"/>
      <c r="O3" s="136"/>
      <c r="P3" s="136"/>
      <c r="Q3" s="136"/>
      <c r="R3" s="136"/>
      <c r="S3" s="136"/>
      <c r="T3" s="2242" t="s">
        <v>194</v>
      </c>
      <c r="U3" s="2242"/>
      <c r="V3" s="2242"/>
      <c r="W3" s="2242"/>
      <c r="X3" s="2242"/>
      <c r="Y3" s="2242"/>
    </row>
    <row r="4" spans="1:25" s="136" customFormat="1" ht="18" customHeight="1" x14ac:dyDescent="0.25">
      <c r="A4" s="2243" t="s">
        <v>25</v>
      </c>
      <c r="B4" s="2243" t="s">
        <v>26</v>
      </c>
      <c r="C4" s="2244" t="s">
        <v>27</v>
      </c>
      <c r="D4" s="2244"/>
      <c r="E4" s="2244" t="s">
        <v>28</v>
      </c>
      <c r="F4" s="2244"/>
      <c r="G4" s="2244" t="s">
        <v>65</v>
      </c>
      <c r="H4" s="2244"/>
      <c r="I4" s="2244" t="s">
        <v>29</v>
      </c>
      <c r="J4" s="2244"/>
      <c r="K4" s="2245" t="s">
        <v>13</v>
      </c>
      <c r="L4" s="2246"/>
      <c r="M4" s="2245" t="s">
        <v>67</v>
      </c>
      <c r="N4" s="2246"/>
      <c r="O4" s="2245" t="s">
        <v>68</v>
      </c>
      <c r="P4" s="2246"/>
      <c r="Q4" s="2245" t="s">
        <v>114</v>
      </c>
      <c r="R4" s="2246"/>
      <c r="S4" s="2244" t="s">
        <v>35</v>
      </c>
      <c r="T4" s="2244"/>
      <c r="U4" s="2245" t="s">
        <v>17</v>
      </c>
      <c r="V4" s="2246"/>
      <c r="W4" s="2247" t="s">
        <v>36</v>
      </c>
      <c r="X4" s="2248"/>
      <c r="Y4" s="2238" t="s">
        <v>30</v>
      </c>
    </row>
    <row r="5" spans="1:25" s="136" customFormat="1" ht="25.5" customHeight="1" x14ac:dyDescent="0.25">
      <c r="A5" s="2243"/>
      <c r="B5" s="2243"/>
      <c r="C5" s="135" t="s">
        <v>42</v>
      </c>
      <c r="D5" s="135" t="s">
        <v>43</v>
      </c>
      <c r="E5" s="135" t="s">
        <v>42</v>
      </c>
      <c r="F5" s="135" t="s">
        <v>43</v>
      </c>
      <c r="G5" s="135" t="s">
        <v>42</v>
      </c>
      <c r="H5" s="135" t="s">
        <v>43</v>
      </c>
      <c r="I5" s="135" t="s">
        <v>42</v>
      </c>
      <c r="J5" s="135" t="s">
        <v>43</v>
      </c>
      <c r="K5" s="135" t="s">
        <v>42</v>
      </c>
      <c r="L5" s="135" t="s">
        <v>43</v>
      </c>
      <c r="M5" s="135" t="s">
        <v>42</v>
      </c>
      <c r="N5" s="135" t="s">
        <v>43</v>
      </c>
      <c r="O5" s="135" t="s">
        <v>42</v>
      </c>
      <c r="P5" s="135" t="s">
        <v>43</v>
      </c>
      <c r="Q5" s="135" t="s">
        <v>42</v>
      </c>
      <c r="R5" s="135" t="s">
        <v>43</v>
      </c>
      <c r="S5" s="33" t="s">
        <v>42</v>
      </c>
      <c r="T5" s="33" t="s">
        <v>43</v>
      </c>
      <c r="U5" s="30" t="s">
        <v>42</v>
      </c>
      <c r="V5" s="30" t="s">
        <v>43</v>
      </c>
      <c r="W5" s="30" t="s">
        <v>42</v>
      </c>
      <c r="X5" s="30" t="s">
        <v>43</v>
      </c>
      <c r="Y5" s="2239"/>
    </row>
    <row r="6" spans="1:25" ht="34.5" customHeight="1" x14ac:dyDescent="0.25">
      <c r="A6" s="12">
        <v>1409935200</v>
      </c>
      <c r="B6" s="134" t="s">
        <v>71</v>
      </c>
      <c r="C6" s="132">
        <v>50000</v>
      </c>
      <c r="D6" s="131">
        <f>0.9725*C6</f>
        <v>48625</v>
      </c>
      <c r="E6" s="132"/>
      <c r="F6" s="132">
        <f>13.7*E6</f>
        <v>0</v>
      </c>
      <c r="G6" s="132"/>
      <c r="H6" s="132">
        <f>28.2*G6</f>
        <v>0</v>
      </c>
      <c r="I6" s="132">
        <v>1028</v>
      </c>
      <c r="J6" s="132">
        <f>18.5*I6</f>
        <v>19018</v>
      </c>
      <c r="K6" s="132"/>
      <c r="L6" s="132">
        <f>19.5*K6</f>
        <v>0</v>
      </c>
      <c r="M6" s="132"/>
      <c r="N6" s="131">
        <f>M6*9.75</f>
        <v>0</v>
      </c>
      <c r="O6" s="132"/>
      <c r="P6" s="131">
        <f>O6*48.62</f>
        <v>0</v>
      </c>
      <c r="Q6" s="131"/>
      <c r="R6" s="131">
        <f>241*Q6</f>
        <v>0</v>
      </c>
      <c r="S6" s="132"/>
      <c r="T6" s="132">
        <f>241*S6</f>
        <v>0</v>
      </c>
      <c r="U6" s="132"/>
      <c r="V6" s="132">
        <f>232*U6</f>
        <v>0</v>
      </c>
      <c r="W6" s="132"/>
      <c r="X6" s="19">
        <f>W6*100</f>
        <v>0</v>
      </c>
      <c r="Y6" s="89">
        <f t="shared" ref="Y6:Y11" si="0">D6+F6+H6+J6+L6+N6+P6+R6+T6+V6+X6</f>
        <v>67643</v>
      </c>
    </row>
    <row r="7" spans="1:25" ht="31.5" customHeight="1" x14ac:dyDescent="0.25">
      <c r="A7" s="12">
        <v>1984225578</v>
      </c>
      <c r="B7" s="134" t="s">
        <v>72</v>
      </c>
      <c r="C7" s="132">
        <v>48086</v>
      </c>
      <c r="D7" s="131">
        <f t="shared" ref="D7:D11" si="1">0.9725*C7</f>
        <v>46763.635000000002</v>
      </c>
      <c r="E7" s="132"/>
      <c r="F7" s="132">
        <f t="shared" ref="F7:F11" si="2">13.7*E7</f>
        <v>0</v>
      </c>
      <c r="G7" s="132">
        <v>30</v>
      </c>
      <c r="H7" s="132">
        <f t="shared" ref="H7:H11" si="3">28.2*G7</f>
        <v>846</v>
      </c>
      <c r="I7" s="132">
        <v>240</v>
      </c>
      <c r="J7" s="132">
        <f t="shared" ref="J7:J11" si="4">18.5*I7</f>
        <v>4440</v>
      </c>
      <c r="K7" s="132"/>
      <c r="L7" s="132">
        <f t="shared" ref="L7:L11" si="5">19.5*K7</f>
        <v>0</v>
      </c>
      <c r="M7" s="132"/>
      <c r="N7" s="131">
        <f t="shared" ref="N7:N11" si="6">M7*9.75</f>
        <v>0</v>
      </c>
      <c r="O7" s="132"/>
      <c r="P7" s="131">
        <f t="shared" ref="P7:P11" si="7">O7*48.62</f>
        <v>0</v>
      </c>
      <c r="Q7" s="131"/>
      <c r="R7" s="131">
        <f t="shared" ref="R7:R11" si="8">241*Q7</f>
        <v>0</v>
      </c>
      <c r="S7" s="132"/>
      <c r="T7" s="132">
        <f t="shared" ref="T7:T11" si="9">241*S7</f>
        <v>0</v>
      </c>
      <c r="U7" s="132"/>
      <c r="V7" s="132">
        <f t="shared" ref="V7:V11" si="10">232*U7</f>
        <v>0</v>
      </c>
      <c r="W7" s="132"/>
      <c r="X7" s="19">
        <f t="shared" ref="X7:X11" si="11">W7*100</f>
        <v>0</v>
      </c>
      <c r="Y7" s="89">
        <f t="shared" si="0"/>
        <v>52049.635000000002</v>
      </c>
    </row>
    <row r="8" spans="1:25" ht="35.25" customHeight="1" x14ac:dyDescent="0.25">
      <c r="A8" s="12">
        <v>1967020280</v>
      </c>
      <c r="B8" s="134" t="s">
        <v>73</v>
      </c>
      <c r="C8" s="132">
        <v>34982</v>
      </c>
      <c r="D8" s="131">
        <f t="shared" si="1"/>
        <v>34019.995000000003</v>
      </c>
      <c r="E8" s="132"/>
      <c r="F8" s="132">
        <f t="shared" si="2"/>
        <v>0</v>
      </c>
      <c r="G8" s="132">
        <v>50</v>
      </c>
      <c r="H8" s="132">
        <f t="shared" si="3"/>
        <v>1410</v>
      </c>
      <c r="I8" s="132">
        <v>1120</v>
      </c>
      <c r="J8" s="132">
        <f t="shared" si="4"/>
        <v>20720</v>
      </c>
      <c r="K8" s="132"/>
      <c r="L8" s="132">
        <f t="shared" si="5"/>
        <v>0</v>
      </c>
      <c r="M8" s="132"/>
      <c r="N8" s="131">
        <f t="shared" si="6"/>
        <v>0</v>
      </c>
      <c r="O8" s="132"/>
      <c r="P8" s="131">
        <f t="shared" si="7"/>
        <v>0</v>
      </c>
      <c r="Q8" s="131"/>
      <c r="R8" s="131">
        <f t="shared" si="8"/>
        <v>0</v>
      </c>
      <c r="S8" s="132"/>
      <c r="T8" s="132">
        <f t="shared" si="9"/>
        <v>0</v>
      </c>
      <c r="U8" s="132"/>
      <c r="V8" s="132">
        <f t="shared" si="10"/>
        <v>0</v>
      </c>
      <c r="W8" s="132"/>
      <c r="X8" s="19">
        <f t="shared" si="11"/>
        <v>0</v>
      </c>
      <c r="Y8" s="89">
        <f t="shared" si="0"/>
        <v>56149.995000000003</v>
      </c>
    </row>
    <row r="9" spans="1:25" ht="38.25" customHeight="1" x14ac:dyDescent="0.25">
      <c r="A9" s="12">
        <v>1409935199</v>
      </c>
      <c r="B9" s="134" t="s">
        <v>75</v>
      </c>
      <c r="C9" s="132">
        <v>19201</v>
      </c>
      <c r="D9" s="131">
        <f t="shared" si="1"/>
        <v>18672.9725</v>
      </c>
      <c r="E9" s="132"/>
      <c r="F9" s="132">
        <f t="shared" si="2"/>
        <v>0</v>
      </c>
      <c r="G9" s="132"/>
      <c r="H9" s="132">
        <f t="shared" si="3"/>
        <v>0</v>
      </c>
      <c r="I9" s="132">
        <v>1240</v>
      </c>
      <c r="J9" s="132">
        <f t="shared" si="4"/>
        <v>22940</v>
      </c>
      <c r="K9" s="132"/>
      <c r="L9" s="132">
        <f t="shared" si="5"/>
        <v>0</v>
      </c>
      <c r="M9" s="132"/>
      <c r="N9" s="131">
        <f t="shared" si="6"/>
        <v>0</v>
      </c>
      <c r="O9" s="132"/>
      <c r="P9" s="131">
        <f t="shared" si="7"/>
        <v>0</v>
      </c>
      <c r="Q9" s="131"/>
      <c r="R9" s="131">
        <f t="shared" si="8"/>
        <v>0</v>
      </c>
      <c r="S9" s="132"/>
      <c r="T9" s="132">
        <f t="shared" si="9"/>
        <v>0</v>
      </c>
      <c r="U9" s="132"/>
      <c r="V9" s="132">
        <f t="shared" si="10"/>
        <v>0</v>
      </c>
      <c r="W9" s="132"/>
      <c r="X9" s="19">
        <f t="shared" si="11"/>
        <v>0</v>
      </c>
      <c r="Y9" s="89">
        <f t="shared" si="0"/>
        <v>41612.972500000003</v>
      </c>
    </row>
    <row r="10" spans="1:25" ht="35.25" customHeight="1" x14ac:dyDescent="0.25">
      <c r="A10" s="12">
        <v>1984225580</v>
      </c>
      <c r="C10" s="132"/>
      <c r="D10" s="131">
        <f t="shared" si="1"/>
        <v>0</v>
      </c>
      <c r="E10" s="132"/>
      <c r="F10" s="132">
        <f t="shared" si="2"/>
        <v>0</v>
      </c>
      <c r="G10" s="132"/>
      <c r="H10" s="132">
        <f t="shared" si="3"/>
        <v>0</v>
      </c>
      <c r="I10" s="132"/>
      <c r="J10" s="132">
        <f t="shared" si="4"/>
        <v>0</v>
      </c>
      <c r="K10" s="132"/>
      <c r="L10" s="132">
        <f t="shared" si="5"/>
        <v>0</v>
      </c>
      <c r="M10" s="132"/>
      <c r="N10" s="131">
        <f t="shared" si="6"/>
        <v>0</v>
      </c>
      <c r="O10" s="132"/>
      <c r="P10" s="131">
        <f t="shared" si="7"/>
        <v>0</v>
      </c>
      <c r="Q10" s="131"/>
      <c r="R10" s="131">
        <f t="shared" si="8"/>
        <v>0</v>
      </c>
      <c r="S10" s="132"/>
      <c r="T10" s="132">
        <f t="shared" si="9"/>
        <v>0</v>
      </c>
      <c r="U10" s="132"/>
      <c r="V10" s="132">
        <f t="shared" si="10"/>
        <v>0</v>
      </c>
      <c r="W10" s="132"/>
      <c r="X10" s="19">
        <f t="shared" si="11"/>
        <v>0</v>
      </c>
      <c r="Y10" s="89">
        <f t="shared" si="0"/>
        <v>0</v>
      </c>
    </row>
    <row r="11" spans="1:25" ht="37.5" customHeight="1" x14ac:dyDescent="0.25">
      <c r="A11" s="12"/>
      <c r="B11" s="133"/>
      <c r="C11" s="132"/>
      <c r="D11" s="22">
        <f t="shared" si="1"/>
        <v>0</v>
      </c>
      <c r="E11" s="132"/>
      <c r="F11" s="132">
        <f t="shared" si="2"/>
        <v>0</v>
      </c>
      <c r="G11" s="132"/>
      <c r="H11" s="132">
        <f t="shared" si="3"/>
        <v>0</v>
      </c>
      <c r="I11" s="132"/>
      <c r="J11" s="132">
        <f t="shared" si="4"/>
        <v>0</v>
      </c>
      <c r="K11" s="132"/>
      <c r="L11" s="132">
        <f t="shared" si="5"/>
        <v>0</v>
      </c>
      <c r="M11" s="132"/>
      <c r="N11" s="131">
        <f t="shared" si="6"/>
        <v>0</v>
      </c>
      <c r="O11" s="132"/>
      <c r="P11" s="131">
        <f t="shared" si="7"/>
        <v>0</v>
      </c>
      <c r="Q11" s="131"/>
      <c r="R11" s="131">
        <f t="shared" si="8"/>
        <v>0</v>
      </c>
      <c r="S11" s="132"/>
      <c r="T11" s="132">
        <f t="shared" si="9"/>
        <v>0</v>
      </c>
      <c r="U11" s="132"/>
      <c r="V11" s="132">
        <f t="shared" si="10"/>
        <v>0</v>
      </c>
      <c r="W11" s="132"/>
      <c r="X11" s="19">
        <f t="shared" si="11"/>
        <v>0</v>
      </c>
      <c r="Y11" s="20">
        <f t="shared" si="0"/>
        <v>0</v>
      </c>
    </row>
    <row r="12" spans="1:25" ht="29.25" customHeight="1" x14ac:dyDescent="0.25">
      <c r="A12" s="2235" t="s">
        <v>31</v>
      </c>
      <c r="B12" s="2235"/>
      <c r="C12" s="18">
        <f t="shared" ref="C12:Y12" si="12">SUM(C6:C11)</f>
        <v>152269</v>
      </c>
      <c r="D12" s="18">
        <f t="shared" si="12"/>
        <v>148081.60250000001</v>
      </c>
      <c r="E12" s="18">
        <f t="shared" si="12"/>
        <v>0</v>
      </c>
      <c r="F12" s="18">
        <f t="shared" si="12"/>
        <v>0</v>
      </c>
      <c r="G12" s="18">
        <f t="shared" si="12"/>
        <v>80</v>
      </c>
      <c r="H12" s="18">
        <f t="shared" si="12"/>
        <v>2256</v>
      </c>
      <c r="I12" s="18">
        <f t="shared" si="12"/>
        <v>3628</v>
      </c>
      <c r="J12" s="18">
        <f t="shared" si="12"/>
        <v>67118</v>
      </c>
      <c r="K12" s="18">
        <f t="shared" si="12"/>
        <v>0</v>
      </c>
      <c r="L12" s="18">
        <f t="shared" si="12"/>
        <v>0</v>
      </c>
      <c r="M12" s="18">
        <f t="shared" si="12"/>
        <v>0</v>
      </c>
      <c r="N12" s="23">
        <f t="shared" si="12"/>
        <v>0</v>
      </c>
      <c r="O12" s="18">
        <f t="shared" si="12"/>
        <v>0</v>
      </c>
      <c r="P12" s="23">
        <f t="shared" si="12"/>
        <v>0</v>
      </c>
      <c r="Q12" s="23">
        <f t="shared" si="12"/>
        <v>0</v>
      </c>
      <c r="R12" s="23">
        <f>SUM(R6:R11)</f>
        <v>0</v>
      </c>
      <c r="S12" s="18">
        <f t="shared" si="12"/>
        <v>0</v>
      </c>
      <c r="T12" s="18">
        <f t="shared" si="12"/>
        <v>0</v>
      </c>
      <c r="U12" s="18">
        <f t="shared" si="12"/>
        <v>0</v>
      </c>
      <c r="V12" s="18">
        <f t="shared" si="12"/>
        <v>0</v>
      </c>
      <c r="W12" s="18">
        <f t="shared" si="12"/>
        <v>0</v>
      </c>
      <c r="X12" s="18">
        <f t="shared" si="12"/>
        <v>0</v>
      </c>
      <c r="Y12" s="18">
        <f t="shared" si="12"/>
        <v>217455.60250000001</v>
      </c>
    </row>
    <row r="14" spans="1:25" ht="41.25" customHeight="1" x14ac:dyDescent="0.25">
      <c r="A14" s="30" t="s">
        <v>32</v>
      </c>
      <c r="B14" s="2236" t="s">
        <v>27</v>
      </c>
      <c r="C14" s="2236"/>
      <c r="D14" s="30" t="s">
        <v>33</v>
      </c>
      <c r="E14" s="30" t="s">
        <v>65</v>
      </c>
      <c r="F14" s="30" t="s">
        <v>34</v>
      </c>
      <c r="G14" s="30" t="s">
        <v>13</v>
      </c>
      <c r="H14" s="142" t="s">
        <v>173</v>
      </c>
      <c r="I14" s="30" t="s">
        <v>17</v>
      </c>
      <c r="J14" s="140" t="s">
        <v>174</v>
      </c>
      <c r="K14" s="30" t="s">
        <v>36</v>
      </c>
      <c r="L14" s="30" t="s">
        <v>175</v>
      </c>
      <c r="M14" s="30" t="s">
        <v>69</v>
      </c>
      <c r="N14" s="30" t="s">
        <v>70</v>
      </c>
      <c r="O14" s="140" t="s">
        <v>114</v>
      </c>
      <c r="P14" s="140" t="s">
        <v>99</v>
      </c>
      <c r="Q14" s="2272" t="s">
        <v>150</v>
      </c>
      <c r="R14" s="2272"/>
      <c r="S14" s="140" t="s">
        <v>171</v>
      </c>
      <c r="T14" s="2235" t="s">
        <v>46</v>
      </c>
      <c r="U14" s="134" t="s">
        <v>176</v>
      </c>
      <c r="V14" s="2260">
        <v>7820</v>
      </c>
      <c r="W14" s="2268"/>
      <c r="X14" s="2261"/>
    </row>
    <row r="15" spans="1:25" ht="22.5" customHeight="1" x14ac:dyDescent="0.25">
      <c r="A15" s="100" t="s">
        <v>38</v>
      </c>
      <c r="B15" s="2260">
        <v>392648</v>
      </c>
      <c r="C15" s="2261"/>
      <c r="D15" s="137">
        <v>0</v>
      </c>
      <c r="E15" s="137">
        <v>120</v>
      </c>
      <c r="F15" s="137">
        <v>6050</v>
      </c>
      <c r="G15" s="137">
        <v>0</v>
      </c>
      <c r="H15" s="137">
        <v>201</v>
      </c>
      <c r="I15" s="137">
        <v>0</v>
      </c>
      <c r="J15" s="137">
        <v>108</v>
      </c>
      <c r="K15" s="137">
        <v>52</v>
      </c>
      <c r="L15" s="137">
        <v>185</v>
      </c>
      <c r="M15" s="137">
        <v>0</v>
      </c>
      <c r="N15" s="137">
        <v>100</v>
      </c>
      <c r="O15" s="137">
        <v>0</v>
      </c>
      <c r="P15" s="137">
        <v>464</v>
      </c>
      <c r="Q15" s="2262">
        <v>6</v>
      </c>
      <c r="R15" s="2262"/>
      <c r="S15" s="134">
        <v>126</v>
      </c>
      <c r="T15" s="2235"/>
      <c r="U15" s="134" t="s">
        <v>64</v>
      </c>
      <c r="V15" s="2262">
        <v>160049</v>
      </c>
      <c r="W15" s="2262"/>
      <c r="X15" s="2262"/>
    </row>
    <row r="16" spans="1:25" ht="24.75" customHeight="1" x14ac:dyDescent="0.25">
      <c r="A16" s="100" t="s">
        <v>39</v>
      </c>
      <c r="B16" s="2260"/>
      <c r="C16" s="2261"/>
      <c r="D16" s="137"/>
      <c r="E16" s="137"/>
      <c r="F16" s="137"/>
      <c r="G16" s="137"/>
      <c r="H16" s="137"/>
      <c r="I16" s="137"/>
      <c r="J16" s="137"/>
      <c r="K16" s="137"/>
      <c r="L16" s="137"/>
      <c r="M16" s="137"/>
      <c r="N16" s="137"/>
      <c r="O16" s="137"/>
      <c r="P16" s="137"/>
      <c r="Q16" s="2225"/>
      <c r="R16" s="2225"/>
      <c r="S16" s="133"/>
      <c r="T16" s="2254" t="s">
        <v>55</v>
      </c>
      <c r="U16" s="2254"/>
      <c r="V16" s="2267">
        <f>Y12</f>
        <v>217455.60250000001</v>
      </c>
      <c r="W16" s="2267"/>
      <c r="X16" s="2262"/>
    </row>
    <row r="17" spans="1:25" ht="28.5" customHeight="1" x14ac:dyDescent="0.25">
      <c r="A17" s="101" t="s">
        <v>44</v>
      </c>
      <c r="B17" s="2260">
        <v>34668</v>
      </c>
      <c r="C17" s="2261"/>
      <c r="D17" s="137"/>
      <c r="E17" s="137"/>
      <c r="F17" s="137"/>
      <c r="G17" s="137"/>
      <c r="H17" s="137"/>
      <c r="I17" s="137"/>
      <c r="J17" s="137"/>
      <c r="K17" s="137"/>
      <c r="L17" s="137"/>
      <c r="M17" s="137"/>
      <c r="N17" s="137"/>
      <c r="O17" s="137"/>
      <c r="P17" s="137"/>
      <c r="Q17" s="2225"/>
      <c r="R17" s="2225"/>
      <c r="S17" s="133"/>
      <c r="T17" s="2273" t="s">
        <v>205</v>
      </c>
      <c r="U17" s="2274"/>
      <c r="V17" s="2262"/>
      <c r="W17" s="2262"/>
      <c r="X17" s="2262"/>
    </row>
    <row r="18" spans="1:25" ht="27" customHeight="1" x14ac:dyDescent="0.25">
      <c r="A18" s="100" t="s">
        <v>40</v>
      </c>
      <c r="B18" s="2264">
        <f>C12</f>
        <v>152269</v>
      </c>
      <c r="C18" s="2261"/>
      <c r="D18" s="139">
        <f>E12</f>
        <v>0</v>
      </c>
      <c r="E18" s="139">
        <f>G12</f>
        <v>80</v>
      </c>
      <c r="F18" s="139">
        <f>I12</f>
        <v>3628</v>
      </c>
      <c r="G18" s="139">
        <f>K12</f>
        <v>0</v>
      </c>
      <c r="H18" s="137"/>
      <c r="I18" s="139">
        <f>U12</f>
        <v>0</v>
      </c>
      <c r="J18" s="137"/>
      <c r="K18" s="139">
        <f>W12</f>
        <v>0</v>
      </c>
      <c r="L18" s="137"/>
      <c r="M18" s="139">
        <f>M12</f>
        <v>0</v>
      </c>
      <c r="N18" s="139">
        <f>O12</f>
        <v>0</v>
      </c>
      <c r="O18" s="138">
        <f>Q12</f>
        <v>0</v>
      </c>
      <c r="P18" s="137"/>
      <c r="Q18" s="2225"/>
      <c r="R18" s="2225"/>
      <c r="S18" s="134"/>
      <c r="T18" s="2254" t="s">
        <v>57</v>
      </c>
      <c r="U18" s="2254"/>
      <c r="V18" s="2262">
        <v>450</v>
      </c>
      <c r="W18" s="2262"/>
      <c r="X18" s="2262"/>
      <c r="Y18" s="2269" t="s">
        <v>193</v>
      </c>
    </row>
    <row r="19" spans="1:25" ht="25.5" customHeight="1" x14ac:dyDescent="0.25">
      <c r="A19" s="100" t="s">
        <v>41</v>
      </c>
      <c r="B19" s="2260">
        <f>B15+B16+B17-B18</f>
        <v>275047</v>
      </c>
      <c r="C19" s="2261"/>
      <c r="D19" s="137">
        <f>D15+D16+D17-D18</f>
        <v>0</v>
      </c>
      <c r="E19" s="137">
        <f t="shared" ref="E19:N19" si="13">E15+E16+E17-E18</f>
        <v>40</v>
      </c>
      <c r="F19" s="137">
        <f t="shared" si="13"/>
        <v>2422</v>
      </c>
      <c r="G19" s="137">
        <f t="shared" si="13"/>
        <v>0</v>
      </c>
      <c r="H19" s="137">
        <f t="shared" si="13"/>
        <v>201</v>
      </c>
      <c r="I19" s="137">
        <f t="shared" si="13"/>
        <v>0</v>
      </c>
      <c r="J19" s="137">
        <f t="shared" si="13"/>
        <v>108</v>
      </c>
      <c r="K19" s="137">
        <f t="shared" si="13"/>
        <v>52</v>
      </c>
      <c r="L19" s="137">
        <f t="shared" si="13"/>
        <v>185</v>
      </c>
      <c r="M19" s="137">
        <f t="shared" si="13"/>
        <v>0</v>
      </c>
      <c r="N19" s="137">
        <f t="shared" si="13"/>
        <v>100</v>
      </c>
      <c r="O19" s="137">
        <f>O15+O16+O17-O18</f>
        <v>0</v>
      </c>
      <c r="P19" s="137">
        <f>P15+P16+P17-P18</f>
        <v>464</v>
      </c>
      <c r="Q19" s="2260">
        <f t="shared" ref="Q19" si="14">Q15+Q16+Q17-Q18</f>
        <v>6</v>
      </c>
      <c r="R19" s="2261"/>
      <c r="S19" s="134">
        <f>S15+S16-S17-S18</f>
        <v>126</v>
      </c>
      <c r="T19" s="2256" t="s">
        <v>48</v>
      </c>
      <c r="U19" s="49" t="s">
        <v>58</v>
      </c>
      <c r="V19" s="2262"/>
      <c r="W19" s="2262"/>
      <c r="X19" s="2262"/>
      <c r="Y19" s="2269"/>
    </row>
    <row r="20" spans="1:25" ht="23.25" customHeight="1" x14ac:dyDescent="0.25">
      <c r="A20" s="11" t="s">
        <v>187</v>
      </c>
      <c r="B20" s="2278">
        <f>B19*0.9625</f>
        <v>264732.73749999999</v>
      </c>
      <c r="C20" s="2279"/>
      <c r="D20" s="133">
        <f>D19*13.56</f>
        <v>0</v>
      </c>
      <c r="E20" s="133">
        <f>28.2*E19</f>
        <v>1128</v>
      </c>
      <c r="F20" s="133">
        <f>18.31*F19</f>
        <v>44346.82</v>
      </c>
      <c r="G20" s="133">
        <f>19.3*G19</f>
        <v>0</v>
      </c>
      <c r="H20" s="133">
        <f>241*H19</f>
        <v>48441</v>
      </c>
      <c r="I20" s="133">
        <f>223*I19</f>
        <v>0</v>
      </c>
      <c r="J20" s="133">
        <f>241*J19</f>
        <v>26028</v>
      </c>
      <c r="K20" s="133">
        <f>K19*100</f>
        <v>5200</v>
      </c>
      <c r="L20" s="133">
        <f>241*L19</f>
        <v>44585</v>
      </c>
      <c r="M20" s="133">
        <f>9.65*M19</f>
        <v>0</v>
      </c>
      <c r="N20" s="133">
        <f>N19*48.2</f>
        <v>4820</v>
      </c>
      <c r="O20" s="133">
        <f>241*O19</f>
        <v>0</v>
      </c>
      <c r="P20" s="133">
        <f>241*P19</f>
        <v>111824</v>
      </c>
      <c r="Q20" s="2278">
        <f>241*Q19</f>
        <v>1446</v>
      </c>
      <c r="R20" s="2279"/>
      <c r="S20" s="133">
        <f>241*S19</f>
        <v>30366</v>
      </c>
      <c r="T20" s="2257"/>
      <c r="U20" s="49" t="s">
        <v>59</v>
      </c>
      <c r="V20" s="2262"/>
      <c r="W20" s="2262"/>
      <c r="X20" s="2262"/>
      <c r="Y20" s="2269"/>
    </row>
    <row r="21" spans="1:25" ht="32.25" customHeight="1" x14ac:dyDescent="0.25">
      <c r="A21" s="143" t="s">
        <v>186</v>
      </c>
      <c r="B21" s="2283">
        <f>SUM(B20:S20)</f>
        <v>582917.5575</v>
      </c>
      <c r="C21" s="2283"/>
      <c r="O21" s="141"/>
      <c r="P21" s="141"/>
      <c r="Q21" s="141"/>
      <c r="R21" s="141"/>
      <c r="T21" s="2273" t="s">
        <v>167</v>
      </c>
      <c r="U21" s="2274"/>
      <c r="V21" s="2260"/>
      <c r="W21" s="2268"/>
      <c r="X21" s="2261"/>
      <c r="Y21" s="2269"/>
    </row>
    <row r="22" spans="1:25" ht="35.25" customHeight="1" x14ac:dyDescent="0.25">
      <c r="A22" s="15"/>
      <c r="B22" s="2275" t="s">
        <v>49</v>
      </c>
      <c r="C22" s="2265">
        <v>836534</v>
      </c>
      <c r="D22" s="2265"/>
      <c r="E22" s="2265"/>
      <c r="F22" s="2265">
        <f>C22-D22+E22</f>
        <v>836534</v>
      </c>
      <c r="G22" s="141"/>
      <c r="Q22" s="141"/>
      <c r="R22" s="141"/>
      <c r="T22" s="2251" t="s">
        <v>83</v>
      </c>
      <c r="U22" s="50" t="s">
        <v>60</v>
      </c>
      <c r="V22" s="2262"/>
      <c r="W22" s="2262"/>
      <c r="X22" s="2262"/>
      <c r="Y22" s="2269"/>
    </row>
    <row r="23" spans="1:25" ht="39.75" customHeight="1" x14ac:dyDescent="0.25">
      <c r="A23" s="141"/>
      <c r="B23" s="2276"/>
      <c r="C23" s="2266"/>
      <c r="D23" s="2266"/>
      <c r="E23" s="2266"/>
      <c r="F23" s="2266"/>
      <c r="G23" s="141"/>
      <c r="Q23" s="141"/>
      <c r="R23" s="141"/>
      <c r="T23" s="2252"/>
      <c r="U23" s="50" t="s">
        <v>61</v>
      </c>
      <c r="V23" s="2262"/>
      <c r="W23" s="2262"/>
      <c r="X23" s="2262"/>
      <c r="Y23" s="2269"/>
    </row>
    <row r="24" spans="1:25" ht="47.25" customHeight="1" x14ac:dyDescent="0.25">
      <c r="A24" s="141"/>
      <c r="B24" s="2277"/>
      <c r="C24" s="134" t="s">
        <v>46</v>
      </c>
      <c r="D24" s="134" t="s">
        <v>50</v>
      </c>
      <c r="E24" s="134" t="s">
        <v>51</v>
      </c>
      <c r="F24" s="134" t="s">
        <v>52</v>
      </c>
      <c r="G24" s="141"/>
      <c r="Q24" s="141"/>
      <c r="R24" s="141"/>
      <c r="T24" s="2235" t="s">
        <v>47</v>
      </c>
      <c r="U24" s="51" t="s">
        <v>62</v>
      </c>
      <c r="V24" s="2263">
        <f>V14+V16+V17-V18-V19-V20-V22+V23-V21</f>
        <v>224825.60250000001</v>
      </c>
      <c r="W24" s="2263"/>
      <c r="X24" s="2263"/>
      <c r="Y24" s="2269"/>
    </row>
    <row r="25" spans="1:25" ht="40.5" customHeight="1" x14ac:dyDescent="0.25">
      <c r="T25" s="2235"/>
      <c r="U25" s="51" t="s">
        <v>63</v>
      </c>
      <c r="V25" s="2262">
        <f>V15+V22-V23</f>
        <v>160049</v>
      </c>
      <c r="W25" s="2262"/>
      <c r="X25" s="2262"/>
    </row>
    <row r="26" spans="1:25" ht="36" customHeight="1" x14ac:dyDescent="0.25"/>
    <row r="32" spans="1:25" x14ac:dyDescent="0.25">
      <c r="I32" s="2280"/>
      <c r="J32" s="2280"/>
      <c r="K32" s="2280"/>
      <c r="L32" s="2280"/>
    </row>
    <row r="33" spans="9:12" x14ac:dyDescent="0.25">
      <c r="I33" s="141"/>
      <c r="J33" s="141"/>
      <c r="K33" s="2280"/>
      <c r="L33" s="2280"/>
    </row>
  </sheetData>
  <mergeCells count="62">
    <mergeCell ref="A1:Y1"/>
    <mergeCell ref="A2:Y2"/>
    <mergeCell ref="T3:Y3"/>
    <mergeCell ref="A4:A5"/>
    <mergeCell ref="B4:B5"/>
    <mergeCell ref="C4:D4"/>
    <mergeCell ref="E4:F4"/>
    <mergeCell ref="G4:H4"/>
    <mergeCell ref="I4:J4"/>
    <mergeCell ref="K4:L4"/>
    <mergeCell ref="Y4:Y5"/>
    <mergeCell ref="M4:N4"/>
    <mergeCell ref="O4:P4"/>
    <mergeCell ref="Q4:R4"/>
    <mergeCell ref="S4:T4"/>
    <mergeCell ref="U4:V4"/>
    <mergeCell ref="W4:X4"/>
    <mergeCell ref="B16:C16"/>
    <mergeCell ref="Q16:R16"/>
    <mergeCell ref="T16:U16"/>
    <mergeCell ref="V16:X16"/>
    <mergeCell ref="A12:B12"/>
    <mergeCell ref="B14:C14"/>
    <mergeCell ref="Q14:R14"/>
    <mergeCell ref="T14:T15"/>
    <mergeCell ref="V14:X14"/>
    <mergeCell ref="B15:C15"/>
    <mergeCell ref="Q15:R15"/>
    <mergeCell ref="V15:X15"/>
    <mergeCell ref="B17:C17"/>
    <mergeCell ref="Q17:R17"/>
    <mergeCell ref="T17:U17"/>
    <mergeCell ref="V17:X17"/>
    <mergeCell ref="B18:C18"/>
    <mergeCell ref="Q18:R18"/>
    <mergeCell ref="T18:U18"/>
    <mergeCell ref="V18:X18"/>
    <mergeCell ref="Y18:Y24"/>
    <mergeCell ref="B19:C19"/>
    <mergeCell ref="Q19:R19"/>
    <mergeCell ref="T19:T20"/>
    <mergeCell ref="V19:X19"/>
    <mergeCell ref="B20:C20"/>
    <mergeCell ref="B22:B24"/>
    <mergeCell ref="C22:C23"/>
    <mergeCell ref="D22:D23"/>
    <mergeCell ref="E22:E23"/>
    <mergeCell ref="F22:F23"/>
    <mergeCell ref="Q20:R20"/>
    <mergeCell ref="V20:X20"/>
    <mergeCell ref="B21:C21"/>
    <mergeCell ref="T21:U21"/>
    <mergeCell ref="V21:X21"/>
    <mergeCell ref="I32:J32"/>
    <mergeCell ref="K32:L32"/>
    <mergeCell ref="K33:L33"/>
    <mergeCell ref="T22:T23"/>
    <mergeCell ref="V22:X22"/>
    <mergeCell ref="V23:X23"/>
    <mergeCell ref="T24:T25"/>
    <mergeCell ref="V24:X24"/>
    <mergeCell ref="V25:X25"/>
  </mergeCells>
  <pageMargins left="0.15748031496063" right="0.15748031496063" top="0" bottom="0" header="0" footer="0"/>
  <pageSetup paperSize="9" scale="47" orientation="landscape" r:id="rId1"/>
  <legacyDrawing r:id="rId2"/>
</worksheet>
</file>

<file path=xl/worksheets/sheet5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600-000000000000}">
  <sheetPr>
    <pageSetUpPr fitToPage="1"/>
  </sheetPr>
  <dimension ref="A1:Y33"/>
  <sheetViews>
    <sheetView topLeftCell="C9" zoomScale="69" zoomScaleNormal="69" zoomScaleSheetLayoutView="100" workbookViewId="0">
      <selection activeCell="Q23" sqref="Q23"/>
    </sheetView>
  </sheetViews>
  <sheetFormatPr defaultColWidth="9.140625" defaultRowHeight="15" x14ac:dyDescent="0.25"/>
  <cols>
    <col min="1" max="1" width="18.28515625" style="14" customWidth="1"/>
    <col min="2" max="2" width="10.7109375" style="14" customWidth="1"/>
    <col min="3" max="3" width="12.28515625" style="14" customWidth="1"/>
    <col min="4" max="4" width="11" style="14" customWidth="1"/>
    <col min="5" max="5" width="12" style="14" customWidth="1"/>
    <col min="6" max="6" width="12.5703125" style="14" bestFit="1" customWidth="1"/>
    <col min="7" max="7" width="9.28515625" style="14" bestFit="1" customWidth="1"/>
    <col min="8" max="8" width="10.140625" style="14" bestFit="1" customWidth="1"/>
    <col min="9" max="9" width="10.5703125" style="14" bestFit="1" customWidth="1"/>
    <col min="10" max="10" width="10.5703125" style="14" customWidth="1"/>
    <col min="11" max="11" width="10.28515625" style="14" bestFit="1" customWidth="1"/>
    <col min="12" max="12" width="9.42578125" style="14" bestFit="1" customWidth="1"/>
    <col min="13" max="13" width="9.85546875" style="14" bestFit="1" customWidth="1"/>
    <col min="14" max="14" width="10.140625" style="14" bestFit="1" customWidth="1"/>
    <col min="15" max="15" width="9" style="14" customWidth="1"/>
    <col min="16" max="16" width="12.85546875" style="14" bestFit="1" customWidth="1"/>
    <col min="17" max="18" width="9.42578125" style="14" customWidth="1"/>
    <col min="19" max="19" width="13.7109375" style="14" customWidth="1"/>
    <col min="20" max="20" width="12.140625" style="14" customWidth="1"/>
    <col min="21" max="21" width="19.5703125" style="14" bestFit="1" customWidth="1"/>
    <col min="22" max="22" width="9.85546875" style="14" customWidth="1"/>
    <col min="23" max="23" width="10.140625" style="14" bestFit="1" customWidth="1"/>
    <col min="24" max="24" width="10.28515625" style="14" customWidth="1"/>
    <col min="25" max="25" width="28" style="14" customWidth="1"/>
    <col min="26" max="16384" width="9.140625" style="14"/>
  </cols>
  <sheetData>
    <row r="1" spans="1:25" ht="46.15" customHeight="1" x14ac:dyDescent="0.25">
      <c r="A1" s="2240" t="s">
        <v>148</v>
      </c>
      <c r="B1" s="2240"/>
      <c r="C1" s="2240"/>
      <c r="D1" s="2240"/>
      <c r="E1" s="2240"/>
      <c r="F1" s="2240"/>
      <c r="G1" s="2240"/>
      <c r="H1" s="2240"/>
      <c r="I1" s="2240"/>
      <c r="J1" s="2240"/>
      <c r="K1" s="2240"/>
      <c r="L1" s="2240"/>
      <c r="M1" s="2240"/>
      <c r="N1" s="2240"/>
      <c r="O1" s="2240"/>
      <c r="P1" s="2240"/>
      <c r="Q1" s="2240"/>
      <c r="R1" s="2240"/>
      <c r="S1" s="2240"/>
      <c r="T1" s="2240"/>
      <c r="U1" s="2240"/>
      <c r="V1" s="2240"/>
      <c r="W1" s="2240"/>
      <c r="X1" s="2240"/>
      <c r="Y1" s="2240"/>
    </row>
    <row r="2" spans="1:25" ht="21.6" customHeight="1" x14ac:dyDescent="0.25">
      <c r="A2" s="2241" t="s">
        <v>77</v>
      </c>
      <c r="B2" s="2241"/>
      <c r="C2" s="2241"/>
      <c r="D2" s="2241"/>
      <c r="E2" s="2241"/>
      <c r="F2" s="2241"/>
      <c r="G2" s="2241"/>
      <c r="H2" s="2241"/>
      <c r="I2" s="2241"/>
      <c r="J2" s="2241"/>
      <c r="K2" s="2241"/>
      <c r="L2" s="2241"/>
      <c r="M2" s="2241"/>
      <c r="N2" s="2241"/>
      <c r="O2" s="2241"/>
      <c r="P2" s="2241"/>
      <c r="Q2" s="2241"/>
      <c r="R2" s="2241"/>
      <c r="S2" s="2241"/>
      <c r="T2" s="2241"/>
      <c r="U2" s="2241"/>
      <c r="V2" s="2241"/>
      <c r="W2" s="2241"/>
      <c r="X2" s="2241"/>
      <c r="Y2" s="2241"/>
    </row>
    <row r="3" spans="1:25" ht="21" customHeight="1" x14ac:dyDescent="0.25">
      <c r="A3" s="136"/>
      <c r="B3" s="136"/>
      <c r="C3" s="136"/>
      <c r="D3" s="136"/>
      <c r="E3" s="136"/>
      <c r="F3" s="136"/>
      <c r="G3" s="136"/>
      <c r="H3" s="136"/>
      <c r="I3" s="136"/>
      <c r="J3" s="136"/>
      <c r="K3" s="136"/>
      <c r="L3" s="136"/>
      <c r="M3" s="136"/>
      <c r="N3" s="136"/>
      <c r="O3" s="136"/>
      <c r="P3" s="136"/>
      <c r="Q3" s="136"/>
      <c r="R3" s="136"/>
      <c r="S3" s="136"/>
      <c r="T3" s="2242" t="s">
        <v>195</v>
      </c>
      <c r="U3" s="2242"/>
      <c r="V3" s="2242"/>
      <c r="W3" s="2242"/>
      <c r="X3" s="2242"/>
      <c r="Y3" s="2242"/>
    </row>
    <row r="4" spans="1:25" s="136" customFormat="1" ht="18" customHeight="1" x14ac:dyDescent="0.25">
      <c r="A4" s="2243" t="s">
        <v>25</v>
      </c>
      <c r="B4" s="2243" t="s">
        <v>26</v>
      </c>
      <c r="C4" s="2244" t="s">
        <v>27</v>
      </c>
      <c r="D4" s="2244"/>
      <c r="E4" s="2244" t="s">
        <v>28</v>
      </c>
      <c r="F4" s="2244"/>
      <c r="G4" s="2244" t="s">
        <v>65</v>
      </c>
      <c r="H4" s="2244"/>
      <c r="I4" s="2244" t="s">
        <v>29</v>
      </c>
      <c r="J4" s="2244"/>
      <c r="K4" s="2245" t="s">
        <v>13</v>
      </c>
      <c r="L4" s="2246"/>
      <c r="M4" s="2245" t="s">
        <v>67</v>
      </c>
      <c r="N4" s="2246"/>
      <c r="O4" s="2245" t="s">
        <v>68</v>
      </c>
      <c r="P4" s="2246"/>
      <c r="Q4" s="2245" t="s">
        <v>114</v>
      </c>
      <c r="R4" s="2246"/>
      <c r="S4" s="2244" t="s">
        <v>35</v>
      </c>
      <c r="T4" s="2244"/>
      <c r="U4" s="2245" t="s">
        <v>17</v>
      </c>
      <c r="V4" s="2246"/>
      <c r="W4" s="2247" t="s">
        <v>36</v>
      </c>
      <c r="X4" s="2248"/>
      <c r="Y4" s="2238" t="s">
        <v>30</v>
      </c>
    </row>
    <row r="5" spans="1:25" s="136" customFormat="1" ht="25.5" customHeight="1" x14ac:dyDescent="0.25">
      <c r="A5" s="2243"/>
      <c r="B5" s="2243"/>
      <c r="C5" s="135" t="s">
        <v>42</v>
      </c>
      <c r="D5" s="135" t="s">
        <v>43</v>
      </c>
      <c r="E5" s="135" t="s">
        <v>42</v>
      </c>
      <c r="F5" s="135" t="s">
        <v>43</v>
      </c>
      <c r="G5" s="135" t="s">
        <v>42</v>
      </c>
      <c r="H5" s="135" t="s">
        <v>43</v>
      </c>
      <c r="I5" s="135" t="s">
        <v>42</v>
      </c>
      <c r="J5" s="135" t="s">
        <v>43</v>
      </c>
      <c r="K5" s="135" t="s">
        <v>42</v>
      </c>
      <c r="L5" s="135" t="s">
        <v>43</v>
      </c>
      <c r="M5" s="135" t="s">
        <v>42</v>
      </c>
      <c r="N5" s="135" t="s">
        <v>43</v>
      </c>
      <c r="O5" s="135" t="s">
        <v>42</v>
      </c>
      <c r="P5" s="135" t="s">
        <v>43</v>
      </c>
      <c r="Q5" s="135" t="s">
        <v>42</v>
      </c>
      <c r="R5" s="135" t="s">
        <v>43</v>
      </c>
      <c r="S5" s="33" t="s">
        <v>42</v>
      </c>
      <c r="T5" s="33" t="s">
        <v>43</v>
      </c>
      <c r="U5" s="30" t="s">
        <v>42</v>
      </c>
      <c r="V5" s="30" t="s">
        <v>43</v>
      </c>
      <c r="W5" s="30" t="s">
        <v>42</v>
      </c>
      <c r="X5" s="30" t="s">
        <v>43</v>
      </c>
      <c r="Y5" s="2239"/>
    </row>
    <row r="6" spans="1:25" ht="34.5" customHeight="1" x14ac:dyDescent="0.25">
      <c r="A6" s="12">
        <v>1409935200</v>
      </c>
      <c r="B6" s="134" t="s">
        <v>71</v>
      </c>
      <c r="C6" s="132">
        <v>30753</v>
      </c>
      <c r="D6" s="131">
        <f>0.9725*C6</f>
        <v>29907.2925</v>
      </c>
      <c r="E6" s="132"/>
      <c r="F6" s="132">
        <f>13.7*E6</f>
        <v>0</v>
      </c>
      <c r="G6" s="132"/>
      <c r="H6" s="132">
        <f>28.2*G6</f>
        <v>0</v>
      </c>
      <c r="I6" s="132">
        <v>922</v>
      </c>
      <c r="J6" s="132">
        <f>18.5*I6</f>
        <v>17057</v>
      </c>
      <c r="K6" s="132"/>
      <c r="L6" s="132">
        <f>19.5*K6</f>
        <v>0</v>
      </c>
      <c r="M6" s="132"/>
      <c r="N6" s="131">
        <f>M6*9.75</f>
        <v>0</v>
      </c>
      <c r="O6" s="132"/>
      <c r="P6" s="131">
        <f>O6*48.62</f>
        <v>0</v>
      </c>
      <c r="Q6" s="131"/>
      <c r="R6" s="131">
        <f>241*Q6</f>
        <v>0</v>
      </c>
      <c r="S6" s="132"/>
      <c r="T6" s="132">
        <f>241*S6</f>
        <v>0</v>
      </c>
      <c r="U6" s="132"/>
      <c r="V6" s="132">
        <f>232*U6</f>
        <v>0</v>
      </c>
      <c r="W6" s="132"/>
      <c r="X6" s="19">
        <f>W6*100</f>
        <v>0</v>
      </c>
      <c r="Y6" s="89">
        <f t="shared" ref="Y6:Y11" si="0">D6+F6+H6+J6+L6+N6+P6+R6+T6+V6+X6</f>
        <v>46964.292499999996</v>
      </c>
    </row>
    <row r="7" spans="1:25" ht="31.5" customHeight="1" x14ac:dyDescent="0.25">
      <c r="A7" s="12">
        <v>1984225578</v>
      </c>
      <c r="B7" s="134" t="s">
        <v>72</v>
      </c>
      <c r="C7" s="132">
        <v>32272</v>
      </c>
      <c r="D7" s="131">
        <f t="shared" ref="D7:D11" si="1">0.9725*C7</f>
        <v>31384.52</v>
      </c>
      <c r="E7" s="132"/>
      <c r="F7" s="132">
        <f t="shared" ref="F7:F11" si="2">13.7*E7</f>
        <v>0</v>
      </c>
      <c r="G7" s="132"/>
      <c r="H7" s="132">
        <f t="shared" ref="H7:H11" si="3">28.2*G7</f>
        <v>0</v>
      </c>
      <c r="I7" s="132">
        <v>450</v>
      </c>
      <c r="J7" s="132">
        <f t="shared" ref="J7:J11" si="4">18.5*I7</f>
        <v>8325</v>
      </c>
      <c r="K7" s="132"/>
      <c r="L7" s="132">
        <f t="shared" ref="L7:L11" si="5">19.5*K7</f>
        <v>0</v>
      </c>
      <c r="M7" s="132"/>
      <c r="N7" s="131">
        <f t="shared" ref="N7:N11" si="6">M7*9.75</f>
        <v>0</v>
      </c>
      <c r="O7" s="132"/>
      <c r="P7" s="131">
        <f t="shared" ref="P7:P11" si="7">O7*48.62</f>
        <v>0</v>
      </c>
      <c r="Q7" s="131"/>
      <c r="R7" s="131">
        <f t="shared" ref="R7:R11" si="8">241*Q7</f>
        <v>0</v>
      </c>
      <c r="S7" s="132">
        <v>20</v>
      </c>
      <c r="T7" s="132">
        <f t="shared" ref="T7:T11" si="9">241*S7</f>
        <v>4820</v>
      </c>
      <c r="U7" s="132"/>
      <c r="V7" s="132">
        <f t="shared" ref="V7:V11" si="10">232*U7</f>
        <v>0</v>
      </c>
      <c r="W7" s="132"/>
      <c r="X7" s="19">
        <f t="shared" ref="X7:X11" si="11">W7*100</f>
        <v>0</v>
      </c>
      <c r="Y7" s="89">
        <f t="shared" si="0"/>
        <v>44529.520000000004</v>
      </c>
    </row>
    <row r="8" spans="1:25" ht="35.25" customHeight="1" x14ac:dyDescent="0.25">
      <c r="A8" s="12">
        <v>1967020280</v>
      </c>
      <c r="B8" s="134" t="s">
        <v>73</v>
      </c>
      <c r="C8" s="132">
        <v>26820</v>
      </c>
      <c r="D8" s="131">
        <f t="shared" si="1"/>
        <v>26082.45</v>
      </c>
      <c r="E8" s="132"/>
      <c r="F8" s="132">
        <f t="shared" si="2"/>
        <v>0</v>
      </c>
      <c r="G8" s="132"/>
      <c r="H8" s="132">
        <f t="shared" si="3"/>
        <v>0</v>
      </c>
      <c r="I8" s="132">
        <v>80</v>
      </c>
      <c r="J8" s="132">
        <f t="shared" si="4"/>
        <v>1480</v>
      </c>
      <c r="K8" s="132"/>
      <c r="L8" s="132">
        <f t="shared" si="5"/>
        <v>0</v>
      </c>
      <c r="M8" s="132"/>
      <c r="N8" s="131">
        <f t="shared" si="6"/>
        <v>0</v>
      </c>
      <c r="O8" s="132"/>
      <c r="P8" s="131">
        <f t="shared" si="7"/>
        <v>0</v>
      </c>
      <c r="Q8" s="131"/>
      <c r="R8" s="131">
        <f t="shared" si="8"/>
        <v>0</v>
      </c>
      <c r="S8" s="132"/>
      <c r="T8" s="132">
        <f t="shared" si="9"/>
        <v>0</v>
      </c>
      <c r="U8" s="132"/>
      <c r="V8" s="132">
        <f t="shared" si="10"/>
        <v>0</v>
      </c>
      <c r="W8" s="132"/>
      <c r="X8" s="19">
        <f t="shared" si="11"/>
        <v>0</v>
      </c>
      <c r="Y8" s="89">
        <f t="shared" si="0"/>
        <v>27562.45</v>
      </c>
    </row>
    <row r="9" spans="1:25" ht="38.25" customHeight="1" x14ac:dyDescent="0.25">
      <c r="A9" s="12">
        <v>1409935199</v>
      </c>
      <c r="B9" s="134" t="s">
        <v>75</v>
      </c>
      <c r="C9" s="132">
        <v>17270</v>
      </c>
      <c r="D9" s="131">
        <f t="shared" si="1"/>
        <v>16795.075000000001</v>
      </c>
      <c r="E9" s="132"/>
      <c r="F9" s="132">
        <f t="shared" si="2"/>
        <v>0</v>
      </c>
      <c r="G9" s="132"/>
      <c r="H9" s="132">
        <f t="shared" si="3"/>
        <v>0</v>
      </c>
      <c r="I9" s="132">
        <v>270</v>
      </c>
      <c r="J9" s="132">
        <f t="shared" si="4"/>
        <v>4995</v>
      </c>
      <c r="K9" s="132"/>
      <c r="L9" s="132">
        <f t="shared" si="5"/>
        <v>0</v>
      </c>
      <c r="M9" s="132"/>
      <c r="N9" s="131">
        <f t="shared" si="6"/>
        <v>0</v>
      </c>
      <c r="O9" s="132"/>
      <c r="P9" s="131">
        <f t="shared" si="7"/>
        <v>0</v>
      </c>
      <c r="Q9" s="131"/>
      <c r="R9" s="131">
        <f t="shared" si="8"/>
        <v>0</v>
      </c>
      <c r="S9" s="132"/>
      <c r="T9" s="132">
        <f t="shared" si="9"/>
        <v>0</v>
      </c>
      <c r="U9" s="132"/>
      <c r="V9" s="132">
        <f t="shared" si="10"/>
        <v>0</v>
      </c>
      <c r="W9" s="132"/>
      <c r="X9" s="19">
        <f t="shared" si="11"/>
        <v>0</v>
      </c>
      <c r="Y9" s="89">
        <f t="shared" si="0"/>
        <v>21790.075000000001</v>
      </c>
    </row>
    <row r="10" spans="1:25" ht="35.25" customHeight="1" x14ac:dyDescent="0.25">
      <c r="A10" s="12">
        <v>1984225580</v>
      </c>
      <c r="C10" s="132"/>
      <c r="D10" s="131">
        <f t="shared" si="1"/>
        <v>0</v>
      </c>
      <c r="E10" s="132"/>
      <c r="F10" s="132">
        <f t="shared" si="2"/>
        <v>0</v>
      </c>
      <c r="G10" s="132"/>
      <c r="H10" s="132">
        <f t="shared" si="3"/>
        <v>0</v>
      </c>
      <c r="I10" s="132"/>
      <c r="J10" s="132">
        <f t="shared" si="4"/>
        <v>0</v>
      </c>
      <c r="K10" s="132"/>
      <c r="L10" s="132">
        <f t="shared" si="5"/>
        <v>0</v>
      </c>
      <c r="M10" s="132"/>
      <c r="N10" s="131">
        <f t="shared" si="6"/>
        <v>0</v>
      </c>
      <c r="O10" s="132"/>
      <c r="P10" s="131">
        <f t="shared" si="7"/>
        <v>0</v>
      </c>
      <c r="Q10" s="131"/>
      <c r="R10" s="131">
        <f t="shared" si="8"/>
        <v>0</v>
      </c>
      <c r="S10" s="132"/>
      <c r="T10" s="132">
        <f t="shared" si="9"/>
        <v>0</v>
      </c>
      <c r="U10" s="132"/>
      <c r="V10" s="132">
        <f t="shared" si="10"/>
        <v>0</v>
      </c>
      <c r="W10" s="132"/>
      <c r="X10" s="19">
        <f t="shared" si="11"/>
        <v>0</v>
      </c>
      <c r="Y10" s="89">
        <f t="shared" si="0"/>
        <v>0</v>
      </c>
    </row>
    <row r="11" spans="1:25" ht="37.5" customHeight="1" x14ac:dyDescent="0.25">
      <c r="A11" s="12"/>
      <c r="B11" s="133"/>
      <c r="C11" s="132"/>
      <c r="D11" s="22">
        <f t="shared" si="1"/>
        <v>0</v>
      </c>
      <c r="E11" s="132"/>
      <c r="F11" s="132">
        <f t="shared" si="2"/>
        <v>0</v>
      </c>
      <c r="G11" s="132"/>
      <c r="H11" s="132">
        <f t="shared" si="3"/>
        <v>0</v>
      </c>
      <c r="I11" s="132"/>
      <c r="J11" s="132">
        <f t="shared" si="4"/>
        <v>0</v>
      </c>
      <c r="K11" s="132"/>
      <c r="L11" s="132">
        <f t="shared" si="5"/>
        <v>0</v>
      </c>
      <c r="M11" s="132"/>
      <c r="N11" s="131">
        <f t="shared" si="6"/>
        <v>0</v>
      </c>
      <c r="O11" s="132"/>
      <c r="P11" s="131">
        <f t="shared" si="7"/>
        <v>0</v>
      </c>
      <c r="Q11" s="131"/>
      <c r="R11" s="131">
        <f t="shared" si="8"/>
        <v>0</v>
      </c>
      <c r="S11" s="132"/>
      <c r="T11" s="132">
        <f t="shared" si="9"/>
        <v>0</v>
      </c>
      <c r="U11" s="132"/>
      <c r="V11" s="132">
        <f t="shared" si="10"/>
        <v>0</v>
      </c>
      <c r="W11" s="132"/>
      <c r="X11" s="19">
        <f t="shared" si="11"/>
        <v>0</v>
      </c>
      <c r="Y11" s="20">
        <f t="shared" si="0"/>
        <v>0</v>
      </c>
    </row>
    <row r="12" spans="1:25" ht="29.25" customHeight="1" x14ac:dyDescent="0.25">
      <c r="A12" s="2235" t="s">
        <v>31</v>
      </c>
      <c r="B12" s="2235"/>
      <c r="C12" s="18">
        <f t="shared" ref="C12:Y12" si="12">SUM(C6:C11)</f>
        <v>107115</v>
      </c>
      <c r="D12" s="18">
        <f t="shared" si="12"/>
        <v>104169.33749999999</v>
      </c>
      <c r="E12" s="18">
        <f t="shared" si="12"/>
        <v>0</v>
      </c>
      <c r="F12" s="18">
        <f t="shared" si="12"/>
        <v>0</v>
      </c>
      <c r="G12" s="18">
        <f t="shared" si="12"/>
        <v>0</v>
      </c>
      <c r="H12" s="18">
        <f t="shared" si="12"/>
        <v>0</v>
      </c>
      <c r="I12" s="18">
        <f t="shared" si="12"/>
        <v>1722</v>
      </c>
      <c r="J12" s="18">
        <f t="shared" si="12"/>
        <v>31857</v>
      </c>
      <c r="K12" s="18">
        <f t="shared" si="12"/>
        <v>0</v>
      </c>
      <c r="L12" s="18">
        <f t="shared" si="12"/>
        <v>0</v>
      </c>
      <c r="M12" s="18">
        <f t="shared" si="12"/>
        <v>0</v>
      </c>
      <c r="N12" s="23">
        <f t="shared" si="12"/>
        <v>0</v>
      </c>
      <c r="O12" s="18">
        <f t="shared" si="12"/>
        <v>0</v>
      </c>
      <c r="P12" s="23">
        <f t="shared" si="12"/>
        <v>0</v>
      </c>
      <c r="Q12" s="23">
        <f t="shared" si="12"/>
        <v>0</v>
      </c>
      <c r="R12" s="23">
        <f>SUM(R6:R11)</f>
        <v>0</v>
      </c>
      <c r="S12" s="18">
        <f t="shared" si="12"/>
        <v>20</v>
      </c>
      <c r="T12" s="18">
        <f t="shared" si="12"/>
        <v>4820</v>
      </c>
      <c r="U12" s="18">
        <f t="shared" si="12"/>
        <v>0</v>
      </c>
      <c r="V12" s="18">
        <f t="shared" si="12"/>
        <v>0</v>
      </c>
      <c r="W12" s="18">
        <f t="shared" si="12"/>
        <v>0</v>
      </c>
      <c r="X12" s="18">
        <f t="shared" si="12"/>
        <v>0</v>
      </c>
      <c r="Y12" s="18">
        <f t="shared" si="12"/>
        <v>140846.33749999999</v>
      </c>
    </row>
    <row r="14" spans="1:25" ht="41.25" customHeight="1" x14ac:dyDescent="0.25">
      <c r="A14" s="30" t="s">
        <v>32</v>
      </c>
      <c r="B14" s="2236" t="s">
        <v>27</v>
      </c>
      <c r="C14" s="2236"/>
      <c r="D14" s="30" t="s">
        <v>33</v>
      </c>
      <c r="E14" s="30" t="s">
        <v>65</v>
      </c>
      <c r="F14" s="30" t="s">
        <v>34</v>
      </c>
      <c r="G14" s="30" t="s">
        <v>13</v>
      </c>
      <c r="H14" s="142" t="s">
        <v>173</v>
      </c>
      <c r="I14" s="30" t="s">
        <v>17</v>
      </c>
      <c r="J14" s="140" t="s">
        <v>174</v>
      </c>
      <c r="K14" s="30" t="s">
        <v>36</v>
      </c>
      <c r="L14" s="30" t="s">
        <v>175</v>
      </c>
      <c r="M14" s="30" t="s">
        <v>69</v>
      </c>
      <c r="N14" s="30" t="s">
        <v>70</v>
      </c>
      <c r="O14" s="140" t="s">
        <v>114</v>
      </c>
      <c r="P14" s="140" t="s">
        <v>99</v>
      </c>
      <c r="Q14" s="2272" t="s">
        <v>150</v>
      </c>
      <c r="R14" s="2272"/>
      <c r="S14" s="140" t="s">
        <v>171</v>
      </c>
      <c r="T14" s="2235" t="s">
        <v>46</v>
      </c>
      <c r="U14" s="134" t="s">
        <v>176</v>
      </c>
      <c r="V14" s="2260">
        <v>224826</v>
      </c>
      <c r="W14" s="2268"/>
      <c r="X14" s="2261"/>
    </row>
    <row r="15" spans="1:25" ht="22.5" customHeight="1" x14ac:dyDescent="0.25">
      <c r="A15" s="100" t="s">
        <v>38</v>
      </c>
      <c r="B15" s="2260">
        <v>275047</v>
      </c>
      <c r="C15" s="2261"/>
      <c r="D15" s="137">
        <v>0</v>
      </c>
      <c r="E15" s="137">
        <v>40</v>
      </c>
      <c r="F15" s="137">
        <v>2422</v>
      </c>
      <c r="G15" s="137">
        <v>0</v>
      </c>
      <c r="H15" s="137">
        <v>201</v>
      </c>
      <c r="I15" s="137">
        <v>0</v>
      </c>
      <c r="J15" s="137">
        <v>108</v>
      </c>
      <c r="K15" s="137">
        <v>52</v>
      </c>
      <c r="L15" s="137">
        <v>185</v>
      </c>
      <c r="M15" s="137">
        <v>0</v>
      </c>
      <c r="N15" s="137">
        <v>100</v>
      </c>
      <c r="O15" s="137">
        <v>0</v>
      </c>
      <c r="P15" s="137">
        <v>464</v>
      </c>
      <c r="Q15" s="2262">
        <v>6</v>
      </c>
      <c r="R15" s="2262"/>
      <c r="S15" s="134">
        <v>126</v>
      </c>
      <c r="T15" s="2235"/>
      <c r="U15" s="134" t="s">
        <v>64</v>
      </c>
      <c r="V15" s="2262">
        <v>160049</v>
      </c>
      <c r="W15" s="2262"/>
      <c r="X15" s="2262"/>
    </row>
    <row r="16" spans="1:25" ht="24.75" customHeight="1" x14ac:dyDescent="0.25">
      <c r="A16" s="100" t="s">
        <v>39</v>
      </c>
      <c r="B16" s="2260">
        <v>114285</v>
      </c>
      <c r="C16" s="2261"/>
      <c r="D16" s="137"/>
      <c r="E16" s="137"/>
      <c r="F16" s="137">
        <v>10000</v>
      </c>
      <c r="G16" s="137"/>
      <c r="H16" s="137"/>
      <c r="I16" s="137"/>
      <c r="J16" s="137">
        <v>32</v>
      </c>
      <c r="K16" s="137"/>
      <c r="L16" s="137">
        <v>25</v>
      </c>
      <c r="M16" s="137"/>
      <c r="N16" s="137"/>
      <c r="O16" s="137"/>
      <c r="P16" s="137"/>
      <c r="Q16" s="2225"/>
      <c r="R16" s="2225"/>
      <c r="S16" s="133"/>
      <c r="T16" s="2254" t="s">
        <v>55</v>
      </c>
      <c r="U16" s="2254"/>
      <c r="V16" s="2267">
        <f>Y12</f>
        <v>140846.33749999999</v>
      </c>
      <c r="W16" s="2267"/>
      <c r="X16" s="2262"/>
    </row>
    <row r="17" spans="1:25" ht="28.5" customHeight="1" x14ac:dyDescent="0.25">
      <c r="A17" s="101" t="s">
        <v>44</v>
      </c>
      <c r="B17" s="2260"/>
      <c r="C17" s="2261"/>
      <c r="D17" s="137"/>
      <c r="E17" s="137"/>
      <c r="F17" s="137"/>
      <c r="G17" s="137"/>
      <c r="H17" s="137"/>
      <c r="I17" s="137"/>
      <c r="J17" s="137"/>
      <c r="K17" s="137"/>
      <c r="L17" s="137"/>
      <c r="M17" s="137"/>
      <c r="N17" s="137"/>
      <c r="O17" s="137"/>
      <c r="P17" s="137"/>
      <c r="Q17" s="2225"/>
      <c r="R17" s="2225"/>
      <c r="S17" s="133"/>
      <c r="T17" s="2273" t="s">
        <v>181</v>
      </c>
      <c r="U17" s="2274"/>
      <c r="V17" s="2262"/>
      <c r="W17" s="2262"/>
      <c r="X17" s="2262"/>
    </row>
    <row r="18" spans="1:25" ht="27" customHeight="1" x14ac:dyDescent="0.25">
      <c r="A18" s="100" t="s">
        <v>40</v>
      </c>
      <c r="B18" s="2264">
        <f>C12</f>
        <v>107115</v>
      </c>
      <c r="C18" s="2261"/>
      <c r="D18" s="139">
        <f>E12</f>
        <v>0</v>
      </c>
      <c r="E18" s="139">
        <f>G12</f>
        <v>0</v>
      </c>
      <c r="F18" s="139">
        <f>I12</f>
        <v>1722</v>
      </c>
      <c r="G18" s="139">
        <f>K12</f>
        <v>0</v>
      </c>
      <c r="H18" s="137">
        <v>77</v>
      </c>
      <c r="I18" s="139">
        <f>U12</f>
        <v>0</v>
      </c>
      <c r="J18" s="137"/>
      <c r="K18" s="139">
        <f>W12</f>
        <v>0</v>
      </c>
      <c r="L18" s="137"/>
      <c r="M18" s="139">
        <f>M12</f>
        <v>0</v>
      </c>
      <c r="N18" s="139">
        <f>O12</f>
        <v>0</v>
      </c>
      <c r="O18" s="138">
        <f>Q12</f>
        <v>0</v>
      </c>
      <c r="P18" s="137"/>
      <c r="Q18" s="2225"/>
      <c r="R18" s="2225"/>
      <c r="S18" s="134"/>
      <c r="T18" s="2254" t="s">
        <v>57</v>
      </c>
      <c r="U18" s="2254"/>
      <c r="V18" s="2262">
        <f>450+260</f>
        <v>710</v>
      </c>
      <c r="W18" s="2262"/>
      <c r="X18" s="2262"/>
      <c r="Y18" s="2269" t="s">
        <v>196</v>
      </c>
    </row>
    <row r="19" spans="1:25" ht="25.5" customHeight="1" x14ac:dyDescent="0.25">
      <c r="A19" s="100" t="s">
        <v>41</v>
      </c>
      <c r="B19" s="2260">
        <f>B15+B16+B17-B18</f>
        <v>282217</v>
      </c>
      <c r="C19" s="2261"/>
      <c r="D19" s="137">
        <f>D15+D16+D17-D18</f>
        <v>0</v>
      </c>
      <c r="E19" s="137">
        <f t="shared" ref="E19:N19" si="13">E15+E16+E17-E18</f>
        <v>40</v>
      </c>
      <c r="F19" s="137">
        <f t="shared" si="13"/>
        <v>10700</v>
      </c>
      <c r="G19" s="137">
        <f t="shared" si="13"/>
        <v>0</v>
      </c>
      <c r="H19" s="137">
        <f t="shared" si="13"/>
        <v>124</v>
      </c>
      <c r="I19" s="137">
        <f t="shared" si="13"/>
        <v>0</v>
      </c>
      <c r="J19" s="137">
        <f t="shared" si="13"/>
        <v>140</v>
      </c>
      <c r="K19" s="137">
        <f t="shared" si="13"/>
        <v>52</v>
      </c>
      <c r="L19" s="137">
        <f t="shared" si="13"/>
        <v>210</v>
      </c>
      <c r="M19" s="137">
        <f t="shared" si="13"/>
        <v>0</v>
      </c>
      <c r="N19" s="137">
        <f t="shared" si="13"/>
        <v>100</v>
      </c>
      <c r="O19" s="137">
        <f>O15+O16+O17-O18</f>
        <v>0</v>
      </c>
      <c r="P19" s="137">
        <f>P15+P16+P17-P18</f>
        <v>464</v>
      </c>
      <c r="Q19" s="2260">
        <f t="shared" ref="Q19" si="14">Q15+Q16+Q17-Q18</f>
        <v>6</v>
      </c>
      <c r="R19" s="2261"/>
      <c r="S19" s="134">
        <f>S15+S16-S17-S18</f>
        <v>126</v>
      </c>
      <c r="T19" s="2256" t="s">
        <v>48</v>
      </c>
      <c r="U19" s="49" t="s">
        <v>58</v>
      </c>
      <c r="V19" s="2262">
        <v>507500</v>
      </c>
      <c r="W19" s="2262"/>
      <c r="X19" s="2262"/>
      <c r="Y19" s="2269"/>
    </row>
    <row r="20" spans="1:25" ht="23.25" customHeight="1" x14ac:dyDescent="0.25">
      <c r="A20" s="11" t="s">
        <v>187</v>
      </c>
      <c r="B20" s="2278">
        <f>B19*0.9625</f>
        <v>271633.86249999999</v>
      </c>
      <c r="C20" s="2279"/>
      <c r="D20" s="133">
        <f>D19*13.56</f>
        <v>0</v>
      </c>
      <c r="E20" s="133">
        <f>28.2*E19</f>
        <v>1128</v>
      </c>
      <c r="F20" s="133">
        <f>18.31*F19</f>
        <v>195917</v>
      </c>
      <c r="G20" s="133">
        <f>19.3*G19</f>
        <v>0</v>
      </c>
      <c r="H20" s="133">
        <f>241*H19</f>
        <v>29884</v>
      </c>
      <c r="I20" s="133">
        <f>223*I19</f>
        <v>0</v>
      </c>
      <c r="J20" s="133">
        <f>241*J19</f>
        <v>33740</v>
      </c>
      <c r="K20" s="133">
        <f>K19*100</f>
        <v>5200</v>
      </c>
      <c r="L20" s="133">
        <f>241*L19</f>
        <v>50610</v>
      </c>
      <c r="M20" s="133">
        <f>9.65*M19</f>
        <v>0</v>
      </c>
      <c r="N20" s="133">
        <f>N19*48.2</f>
        <v>4820</v>
      </c>
      <c r="O20" s="133">
        <f>241*O19</f>
        <v>0</v>
      </c>
      <c r="P20" s="133">
        <f>241*P19</f>
        <v>111824</v>
      </c>
      <c r="Q20" s="2278">
        <f>241*Q19</f>
        <v>1446</v>
      </c>
      <c r="R20" s="2279"/>
      <c r="S20" s="133">
        <f>241*S19</f>
        <v>30366</v>
      </c>
      <c r="T20" s="2257"/>
      <c r="U20" s="49" t="s">
        <v>59</v>
      </c>
      <c r="V20" s="2262"/>
      <c r="W20" s="2262"/>
      <c r="X20" s="2262"/>
      <c r="Y20" s="2269"/>
    </row>
    <row r="21" spans="1:25" ht="32.25" customHeight="1" x14ac:dyDescent="0.25">
      <c r="A21" s="143" t="s">
        <v>186</v>
      </c>
      <c r="B21" s="2283">
        <f>SUM(B20:S20)</f>
        <v>736568.86250000005</v>
      </c>
      <c r="C21" s="2283"/>
      <c r="O21" s="141"/>
      <c r="P21" s="141"/>
      <c r="Q21" s="141"/>
      <c r="R21" s="141"/>
      <c r="T21" s="2273" t="s">
        <v>167</v>
      </c>
      <c r="U21" s="2274"/>
      <c r="V21" s="2260"/>
      <c r="W21" s="2268"/>
      <c r="X21" s="2261"/>
      <c r="Y21" s="2269"/>
    </row>
    <row r="22" spans="1:25" ht="35.25" customHeight="1" x14ac:dyDescent="0.25">
      <c r="A22" s="15"/>
      <c r="B22" s="2275" t="s">
        <v>49</v>
      </c>
      <c r="C22" s="2265">
        <v>836534</v>
      </c>
      <c r="D22" s="2265">
        <v>507500</v>
      </c>
      <c r="E22" s="2265">
        <v>293099</v>
      </c>
      <c r="F22" s="2265">
        <f>C22-D22+E22</f>
        <v>622133</v>
      </c>
      <c r="G22" s="141"/>
      <c r="Q22" s="141"/>
      <c r="R22" s="141"/>
      <c r="T22" s="2251" t="s">
        <v>83</v>
      </c>
      <c r="U22" s="50" t="s">
        <v>60</v>
      </c>
      <c r="V22" s="2262">
        <v>357520</v>
      </c>
      <c r="W22" s="2262"/>
      <c r="X22" s="2262"/>
      <c r="Y22" s="2269"/>
    </row>
    <row r="23" spans="1:25" ht="39.75" customHeight="1" x14ac:dyDescent="0.25">
      <c r="A23" s="141"/>
      <c r="B23" s="2276"/>
      <c r="C23" s="2266"/>
      <c r="D23" s="2266"/>
      <c r="E23" s="2266"/>
      <c r="F23" s="2266"/>
      <c r="G23" s="141"/>
      <c r="Q23" s="141"/>
      <c r="R23" s="141"/>
      <c r="T23" s="2252"/>
      <c r="U23" s="50" t="s">
        <v>61</v>
      </c>
      <c r="V23" s="2262">
        <v>507500</v>
      </c>
      <c r="W23" s="2262"/>
      <c r="X23" s="2262"/>
      <c r="Y23" s="2269"/>
    </row>
    <row r="24" spans="1:25" ht="47.25" customHeight="1" x14ac:dyDescent="0.25">
      <c r="A24" s="141"/>
      <c r="B24" s="2277"/>
      <c r="C24" s="134" t="s">
        <v>46</v>
      </c>
      <c r="D24" s="134" t="s">
        <v>50</v>
      </c>
      <c r="E24" s="134" t="s">
        <v>51</v>
      </c>
      <c r="F24" s="134" t="s">
        <v>52</v>
      </c>
      <c r="G24" s="141"/>
      <c r="Q24" s="141"/>
      <c r="R24" s="141"/>
      <c r="T24" s="2235" t="s">
        <v>47</v>
      </c>
      <c r="U24" s="51" t="s">
        <v>62</v>
      </c>
      <c r="V24" s="2263">
        <f>V14+V16+V17-V18-V19-V20-V22+V23-V21</f>
        <v>7442.3375000000233</v>
      </c>
      <c r="W24" s="2263"/>
      <c r="X24" s="2263"/>
      <c r="Y24" s="2269"/>
    </row>
    <row r="25" spans="1:25" ht="40.5" customHeight="1" x14ac:dyDescent="0.25">
      <c r="T25" s="2235"/>
      <c r="U25" s="51" t="s">
        <v>63</v>
      </c>
      <c r="V25" s="2262">
        <f>V15+V22-V23</f>
        <v>10069</v>
      </c>
      <c r="W25" s="2262"/>
      <c r="X25" s="2262"/>
    </row>
    <row r="26" spans="1:25" ht="36" customHeight="1" x14ac:dyDescent="0.25"/>
    <row r="32" spans="1:25" x14ac:dyDescent="0.25">
      <c r="I32" s="2280"/>
      <c r="J32" s="2280"/>
      <c r="K32" s="2280"/>
      <c r="L32" s="2280"/>
    </row>
    <row r="33" spans="9:12" x14ac:dyDescent="0.25">
      <c r="I33" s="141"/>
      <c r="J33" s="141"/>
      <c r="K33" s="2280"/>
      <c r="L33" s="2280"/>
    </row>
  </sheetData>
  <mergeCells count="62">
    <mergeCell ref="A1:Y1"/>
    <mergeCell ref="A2:Y2"/>
    <mergeCell ref="T3:Y3"/>
    <mergeCell ref="A4:A5"/>
    <mergeCell ref="B4:B5"/>
    <mergeCell ref="C4:D4"/>
    <mergeCell ref="E4:F4"/>
    <mergeCell ref="G4:H4"/>
    <mergeCell ref="I4:J4"/>
    <mergeCell ref="K4:L4"/>
    <mergeCell ref="Y4:Y5"/>
    <mergeCell ref="M4:N4"/>
    <mergeCell ref="O4:P4"/>
    <mergeCell ref="Q4:R4"/>
    <mergeCell ref="S4:T4"/>
    <mergeCell ref="U4:V4"/>
    <mergeCell ref="W4:X4"/>
    <mergeCell ref="B16:C16"/>
    <mergeCell ref="Q16:R16"/>
    <mergeCell ref="T16:U16"/>
    <mergeCell ref="V16:X16"/>
    <mergeCell ref="A12:B12"/>
    <mergeCell ref="B14:C14"/>
    <mergeCell ref="Q14:R14"/>
    <mergeCell ref="T14:T15"/>
    <mergeCell ref="V14:X14"/>
    <mergeCell ref="B15:C15"/>
    <mergeCell ref="Q15:R15"/>
    <mergeCell ref="V15:X15"/>
    <mergeCell ref="B17:C17"/>
    <mergeCell ref="Q17:R17"/>
    <mergeCell ref="T17:U17"/>
    <mergeCell ref="V17:X17"/>
    <mergeCell ref="B18:C18"/>
    <mergeCell ref="Q18:R18"/>
    <mergeCell ref="T18:U18"/>
    <mergeCell ref="V18:X18"/>
    <mergeCell ref="Y18:Y24"/>
    <mergeCell ref="B19:C19"/>
    <mergeCell ref="Q19:R19"/>
    <mergeCell ref="T19:T20"/>
    <mergeCell ref="V19:X19"/>
    <mergeCell ref="B20:C20"/>
    <mergeCell ref="B22:B24"/>
    <mergeCell ref="C22:C23"/>
    <mergeCell ref="D22:D23"/>
    <mergeCell ref="E22:E23"/>
    <mergeCell ref="F22:F23"/>
    <mergeCell ref="Q20:R20"/>
    <mergeCell ref="V20:X20"/>
    <mergeCell ref="B21:C21"/>
    <mergeCell ref="T21:U21"/>
    <mergeCell ref="V21:X21"/>
    <mergeCell ref="I32:J32"/>
    <mergeCell ref="K32:L32"/>
    <mergeCell ref="K33:L33"/>
    <mergeCell ref="T22:T23"/>
    <mergeCell ref="V22:X22"/>
    <mergeCell ref="V23:X23"/>
    <mergeCell ref="T24:T25"/>
    <mergeCell ref="V24:X24"/>
    <mergeCell ref="V25:X25"/>
  </mergeCells>
  <pageMargins left="0.15748031496063" right="0.15748031496063" top="0" bottom="0" header="0" footer="0"/>
  <pageSetup paperSize="9" scale="47" orientation="landscape" r:id="rId1"/>
  <legacyDrawing r:id="rId2"/>
</worksheet>
</file>

<file path=xl/worksheets/sheet5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700-000000000000}">
  <sheetPr>
    <pageSetUpPr fitToPage="1"/>
  </sheetPr>
  <dimension ref="A1:Y33"/>
  <sheetViews>
    <sheetView topLeftCell="C7" zoomScale="69" zoomScaleNormal="69" zoomScaleSheetLayoutView="100" workbookViewId="0">
      <selection activeCell="V18" sqref="V18:X18"/>
    </sheetView>
  </sheetViews>
  <sheetFormatPr defaultColWidth="9.140625" defaultRowHeight="15" x14ac:dyDescent="0.25"/>
  <cols>
    <col min="1" max="1" width="18.28515625" style="14" customWidth="1"/>
    <col min="2" max="2" width="10.7109375" style="14" customWidth="1"/>
    <col min="3" max="3" width="12.28515625" style="14" customWidth="1"/>
    <col min="4" max="4" width="11" style="14" customWidth="1"/>
    <col min="5" max="5" width="12" style="14" customWidth="1"/>
    <col min="6" max="6" width="12.5703125" style="14" bestFit="1" customWidth="1"/>
    <col min="7" max="7" width="9.28515625" style="14" bestFit="1" customWidth="1"/>
    <col min="8" max="8" width="10.140625" style="14" bestFit="1" customWidth="1"/>
    <col min="9" max="9" width="10.5703125" style="14" bestFit="1" customWidth="1"/>
    <col min="10" max="10" width="10.5703125" style="14" customWidth="1"/>
    <col min="11" max="11" width="10.28515625" style="14" bestFit="1" customWidth="1"/>
    <col min="12" max="12" width="9.42578125" style="14" bestFit="1" customWidth="1"/>
    <col min="13" max="13" width="9.85546875" style="14" bestFit="1" customWidth="1"/>
    <col min="14" max="14" width="10.140625" style="14" bestFit="1" customWidth="1"/>
    <col min="15" max="15" width="9" style="14" customWidth="1"/>
    <col min="16" max="16" width="12.85546875" style="14" bestFit="1" customWidth="1"/>
    <col min="17" max="18" width="9.42578125" style="14" customWidth="1"/>
    <col min="19" max="19" width="13.7109375" style="14" customWidth="1"/>
    <col min="20" max="20" width="12.140625" style="14" customWidth="1"/>
    <col min="21" max="21" width="19.5703125" style="14" bestFit="1" customWidth="1"/>
    <col min="22" max="22" width="9.85546875" style="14" customWidth="1"/>
    <col min="23" max="23" width="10.140625" style="14" bestFit="1" customWidth="1"/>
    <col min="24" max="24" width="10.28515625" style="14" customWidth="1"/>
    <col min="25" max="25" width="28" style="14" customWidth="1"/>
    <col min="26" max="16384" width="9.140625" style="14"/>
  </cols>
  <sheetData>
    <row r="1" spans="1:25" ht="46.15" customHeight="1" x14ac:dyDescent="0.25">
      <c r="A1" s="2240" t="s">
        <v>148</v>
      </c>
      <c r="B1" s="2240"/>
      <c r="C1" s="2240"/>
      <c r="D1" s="2240"/>
      <c r="E1" s="2240"/>
      <c r="F1" s="2240"/>
      <c r="G1" s="2240"/>
      <c r="H1" s="2240"/>
      <c r="I1" s="2240"/>
      <c r="J1" s="2240"/>
      <c r="K1" s="2240"/>
      <c r="L1" s="2240"/>
      <c r="M1" s="2240"/>
      <c r="N1" s="2240"/>
      <c r="O1" s="2240"/>
      <c r="P1" s="2240"/>
      <c r="Q1" s="2240"/>
      <c r="R1" s="2240"/>
      <c r="S1" s="2240"/>
      <c r="T1" s="2240"/>
      <c r="U1" s="2240"/>
      <c r="V1" s="2240"/>
      <c r="W1" s="2240"/>
      <c r="X1" s="2240"/>
      <c r="Y1" s="2240"/>
    </row>
    <row r="2" spans="1:25" ht="21.6" customHeight="1" x14ac:dyDescent="0.25">
      <c r="A2" s="2241" t="s">
        <v>77</v>
      </c>
      <c r="B2" s="2241"/>
      <c r="C2" s="2241"/>
      <c r="D2" s="2241"/>
      <c r="E2" s="2241"/>
      <c r="F2" s="2241"/>
      <c r="G2" s="2241"/>
      <c r="H2" s="2241"/>
      <c r="I2" s="2241"/>
      <c r="J2" s="2241"/>
      <c r="K2" s="2241"/>
      <c r="L2" s="2241"/>
      <c r="M2" s="2241"/>
      <c r="N2" s="2241"/>
      <c r="O2" s="2241"/>
      <c r="P2" s="2241"/>
      <c r="Q2" s="2241"/>
      <c r="R2" s="2241"/>
      <c r="S2" s="2241"/>
      <c r="T2" s="2241"/>
      <c r="U2" s="2241"/>
      <c r="V2" s="2241"/>
      <c r="W2" s="2241"/>
      <c r="X2" s="2241"/>
      <c r="Y2" s="2241"/>
    </row>
    <row r="3" spans="1:25" ht="21" customHeight="1" x14ac:dyDescent="0.25">
      <c r="A3" s="136"/>
      <c r="B3" s="136"/>
      <c r="C3" s="136"/>
      <c r="D3" s="136"/>
      <c r="E3" s="136"/>
      <c r="F3" s="136"/>
      <c r="G3" s="136"/>
      <c r="H3" s="136"/>
      <c r="I3" s="136"/>
      <c r="J3" s="136"/>
      <c r="K3" s="136"/>
      <c r="L3" s="136"/>
      <c r="M3" s="136"/>
      <c r="N3" s="136"/>
      <c r="O3" s="136"/>
      <c r="P3" s="136"/>
      <c r="Q3" s="136"/>
      <c r="R3" s="136"/>
      <c r="S3" s="136"/>
      <c r="T3" s="2242" t="s">
        <v>197</v>
      </c>
      <c r="U3" s="2242"/>
      <c r="V3" s="2242"/>
      <c r="W3" s="2242"/>
      <c r="X3" s="2242"/>
      <c r="Y3" s="2242"/>
    </row>
    <row r="4" spans="1:25" s="136" customFormat="1" ht="18" customHeight="1" x14ac:dyDescent="0.25">
      <c r="A4" s="2243" t="s">
        <v>25</v>
      </c>
      <c r="B4" s="2243" t="s">
        <v>26</v>
      </c>
      <c r="C4" s="2244" t="s">
        <v>27</v>
      </c>
      <c r="D4" s="2244"/>
      <c r="E4" s="2244" t="s">
        <v>28</v>
      </c>
      <c r="F4" s="2244"/>
      <c r="G4" s="2244" t="s">
        <v>65</v>
      </c>
      <c r="H4" s="2244"/>
      <c r="I4" s="2244" t="s">
        <v>29</v>
      </c>
      <c r="J4" s="2244"/>
      <c r="K4" s="2245" t="s">
        <v>13</v>
      </c>
      <c r="L4" s="2246"/>
      <c r="M4" s="2245" t="s">
        <v>67</v>
      </c>
      <c r="N4" s="2246"/>
      <c r="O4" s="2245" t="s">
        <v>68</v>
      </c>
      <c r="P4" s="2246"/>
      <c r="Q4" s="2245" t="s">
        <v>114</v>
      </c>
      <c r="R4" s="2246"/>
      <c r="S4" s="2244" t="s">
        <v>35</v>
      </c>
      <c r="T4" s="2244"/>
      <c r="U4" s="2245" t="s">
        <v>17</v>
      </c>
      <c r="V4" s="2246"/>
      <c r="W4" s="2247" t="s">
        <v>36</v>
      </c>
      <c r="X4" s="2248"/>
      <c r="Y4" s="2238" t="s">
        <v>30</v>
      </c>
    </row>
    <row r="5" spans="1:25" s="136" customFormat="1" ht="25.5" customHeight="1" x14ac:dyDescent="0.25">
      <c r="A5" s="2243"/>
      <c r="B5" s="2243"/>
      <c r="C5" s="135" t="s">
        <v>42</v>
      </c>
      <c r="D5" s="135" t="s">
        <v>43</v>
      </c>
      <c r="E5" s="135" t="s">
        <v>42</v>
      </c>
      <c r="F5" s="135" t="s">
        <v>43</v>
      </c>
      <c r="G5" s="135" t="s">
        <v>42</v>
      </c>
      <c r="H5" s="135" t="s">
        <v>43</v>
      </c>
      <c r="I5" s="135" t="s">
        <v>42</v>
      </c>
      <c r="J5" s="135" t="s">
        <v>43</v>
      </c>
      <c r="K5" s="135" t="s">
        <v>42</v>
      </c>
      <c r="L5" s="135" t="s">
        <v>43</v>
      </c>
      <c r="M5" s="135" t="s">
        <v>42</v>
      </c>
      <c r="N5" s="135" t="s">
        <v>43</v>
      </c>
      <c r="O5" s="135" t="s">
        <v>42</v>
      </c>
      <c r="P5" s="135" t="s">
        <v>43</v>
      </c>
      <c r="Q5" s="135" t="s">
        <v>42</v>
      </c>
      <c r="R5" s="135" t="s">
        <v>43</v>
      </c>
      <c r="S5" s="33" t="s">
        <v>42</v>
      </c>
      <c r="T5" s="33" t="s">
        <v>43</v>
      </c>
      <c r="U5" s="30" t="s">
        <v>42</v>
      </c>
      <c r="V5" s="30" t="s">
        <v>43</v>
      </c>
      <c r="W5" s="30" t="s">
        <v>42</v>
      </c>
      <c r="X5" s="30" t="s">
        <v>43</v>
      </c>
      <c r="Y5" s="2239"/>
    </row>
    <row r="6" spans="1:25" ht="34.5" customHeight="1" x14ac:dyDescent="0.25">
      <c r="A6" s="12">
        <v>1409935200</v>
      </c>
      <c r="B6" s="134" t="s">
        <v>71</v>
      </c>
      <c r="C6" s="132">
        <v>45510</v>
      </c>
      <c r="D6" s="131">
        <f>0.9725*C6</f>
        <v>44258.474999999999</v>
      </c>
      <c r="E6" s="132"/>
      <c r="F6" s="132">
        <f>13.7*E6</f>
        <v>0</v>
      </c>
      <c r="G6" s="132"/>
      <c r="H6" s="132">
        <f>28.2*G6</f>
        <v>0</v>
      </c>
      <c r="I6" s="132"/>
      <c r="J6" s="132">
        <f>18.5*I6</f>
        <v>0</v>
      </c>
      <c r="K6" s="132"/>
      <c r="L6" s="132">
        <f>19.5*K6</f>
        <v>0</v>
      </c>
      <c r="M6" s="132"/>
      <c r="N6" s="131">
        <f>M6*9.75</f>
        <v>0</v>
      </c>
      <c r="O6" s="132"/>
      <c r="P6" s="131">
        <f>O6*48.62</f>
        <v>0</v>
      </c>
      <c r="Q6" s="131"/>
      <c r="R6" s="131">
        <f>241*Q6</f>
        <v>0</v>
      </c>
      <c r="S6" s="132"/>
      <c r="T6" s="132">
        <f>241*S6</f>
        <v>0</v>
      </c>
      <c r="U6" s="132"/>
      <c r="V6" s="132">
        <f>232*U6</f>
        <v>0</v>
      </c>
      <c r="W6" s="132"/>
      <c r="X6" s="19">
        <f>W6*100</f>
        <v>0</v>
      </c>
      <c r="Y6" s="89">
        <f t="shared" ref="Y6:Y11" si="0">D6+F6+H6+J6+L6+N6+P6+R6+T6+V6+X6</f>
        <v>44258.474999999999</v>
      </c>
    </row>
    <row r="7" spans="1:25" ht="31.5" customHeight="1" x14ac:dyDescent="0.25">
      <c r="A7" s="12">
        <v>1984225578</v>
      </c>
      <c r="B7" s="134" t="s">
        <v>72</v>
      </c>
      <c r="C7" s="132">
        <v>24113</v>
      </c>
      <c r="D7" s="131">
        <f t="shared" ref="D7:D11" si="1">0.9725*C7</f>
        <v>23449.892500000002</v>
      </c>
      <c r="E7" s="132"/>
      <c r="F7" s="132">
        <f t="shared" ref="F7:F11" si="2">13.7*E7</f>
        <v>0</v>
      </c>
      <c r="G7" s="132"/>
      <c r="H7" s="132">
        <f t="shared" ref="H7:H11" si="3">28.2*G7</f>
        <v>0</v>
      </c>
      <c r="I7" s="132">
        <v>190</v>
      </c>
      <c r="J7" s="132">
        <f t="shared" ref="J7:J11" si="4">18.5*I7</f>
        <v>3515</v>
      </c>
      <c r="K7" s="132"/>
      <c r="L7" s="132">
        <f t="shared" ref="L7:L11" si="5">19.5*K7</f>
        <v>0</v>
      </c>
      <c r="M7" s="132"/>
      <c r="N7" s="131">
        <f t="shared" ref="N7:N11" si="6">M7*9.75</f>
        <v>0</v>
      </c>
      <c r="O7" s="132"/>
      <c r="P7" s="131">
        <f t="shared" ref="P7:P11" si="7">O7*48.62</f>
        <v>0</v>
      </c>
      <c r="Q7" s="131"/>
      <c r="R7" s="131">
        <f t="shared" ref="R7:R11" si="8">241*Q7</f>
        <v>0</v>
      </c>
      <c r="S7" s="132">
        <v>25</v>
      </c>
      <c r="T7" s="132">
        <f t="shared" ref="T7:T11" si="9">241*S7</f>
        <v>6025</v>
      </c>
      <c r="U7" s="132"/>
      <c r="V7" s="132">
        <f t="shared" ref="V7:V11" si="10">232*U7</f>
        <v>0</v>
      </c>
      <c r="W7" s="132"/>
      <c r="X7" s="19">
        <f t="shared" ref="X7:X11" si="11">W7*100</f>
        <v>0</v>
      </c>
      <c r="Y7" s="89">
        <f t="shared" si="0"/>
        <v>32989.892500000002</v>
      </c>
    </row>
    <row r="8" spans="1:25" ht="35.25" customHeight="1" x14ac:dyDescent="0.25">
      <c r="A8" s="12">
        <v>1967020280</v>
      </c>
      <c r="B8" s="134" t="s">
        <v>73</v>
      </c>
      <c r="C8" s="132">
        <v>20452</v>
      </c>
      <c r="D8" s="131">
        <f t="shared" si="1"/>
        <v>19889.57</v>
      </c>
      <c r="E8" s="132"/>
      <c r="F8" s="132">
        <f t="shared" si="2"/>
        <v>0</v>
      </c>
      <c r="G8" s="132"/>
      <c r="H8" s="132">
        <f t="shared" si="3"/>
        <v>0</v>
      </c>
      <c r="I8" s="132"/>
      <c r="J8" s="132">
        <f t="shared" si="4"/>
        <v>0</v>
      </c>
      <c r="K8" s="132"/>
      <c r="L8" s="132">
        <f t="shared" si="5"/>
        <v>0</v>
      </c>
      <c r="M8" s="132"/>
      <c r="N8" s="131">
        <f t="shared" si="6"/>
        <v>0</v>
      </c>
      <c r="O8" s="132"/>
      <c r="P8" s="131">
        <f t="shared" si="7"/>
        <v>0</v>
      </c>
      <c r="Q8" s="131"/>
      <c r="R8" s="131">
        <f t="shared" si="8"/>
        <v>0</v>
      </c>
      <c r="S8" s="132">
        <v>15</v>
      </c>
      <c r="T8" s="132">
        <f t="shared" si="9"/>
        <v>3615</v>
      </c>
      <c r="U8" s="132"/>
      <c r="V8" s="132">
        <f t="shared" si="10"/>
        <v>0</v>
      </c>
      <c r="W8" s="132"/>
      <c r="X8" s="19">
        <f t="shared" si="11"/>
        <v>0</v>
      </c>
      <c r="Y8" s="89">
        <f t="shared" si="0"/>
        <v>23504.57</v>
      </c>
    </row>
    <row r="9" spans="1:25" ht="38.25" customHeight="1" x14ac:dyDescent="0.25">
      <c r="A9" s="12">
        <v>1409935199</v>
      </c>
      <c r="B9" s="134" t="s">
        <v>75</v>
      </c>
      <c r="C9" s="132">
        <v>31860</v>
      </c>
      <c r="D9" s="131">
        <f t="shared" si="1"/>
        <v>30983.850000000002</v>
      </c>
      <c r="E9" s="132"/>
      <c r="F9" s="132">
        <f t="shared" si="2"/>
        <v>0</v>
      </c>
      <c r="G9" s="132">
        <v>30</v>
      </c>
      <c r="H9" s="132">
        <f t="shared" si="3"/>
        <v>846</v>
      </c>
      <c r="I9" s="132">
        <v>140</v>
      </c>
      <c r="J9" s="132">
        <f t="shared" si="4"/>
        <v>2590</v>
      </c>
      <c r="K9" s="132"/>
      <c r="L9" s="132">
        <f t="shared" si="5"/>
        <v>0</v>
      </c>
      <c r="M9" s="132"/>
      <c r="N9" s="131">
        <f t="shared" si="6"/>
        <v>0</v>
      </c>
      <c r="O9" s="132"/>
      <c r="P9" s="131">
        <f t="shared" si="7"/>
        <v>0</v>
      </c>
      <c r="Q9" s="131"/>
      <c r="R9" s="131">
        <f t="shared" si="8"/>
        <v>0</v>
      </c>
      <c r="S9" s="132">
        <v>10</v>
      </c>
      <c r="T9" s="132">
        <f t="shared" si="9"/>
        <v>2410</v>
      </c>
      <c r="U9" s="132"/>
      <c r="V9" s="132">
        <f t="shared" si="10"/>
        <v>0</v>
      </c>
      <c r="W9" s="132"/>
      <c r="X9" s="19">
        <f t="shared" si="11"/>
        <v>0</v>
      </c>
      <c r="Y9" s="89">
        <f t="shared" si="0"/>
        <v>36829.850000000006</v>
      </c>
    </row>
    <row r="10" spans="1:25" ht="35.25" customHeight="1" x14ac:dyDescent="0.25">
      <c r="A10" s="12">
        <v>1984225580</v>
      </c>
      <c r="C10" s="132"/>
      <c r="D10" s="131">
        <f t="shared" si="1"/>
        <v>0</v>
      </c>
      <c r="E10" s="132"/>
      <c r="F10" s="132">
        <f t="shared" si="2"/>
        <v>0</v>
      </c>
      <c r="G10" s="132"/>
      <c r="H10" s="132">
        <f t="shared" si="3"/>
        <v>0</v>
      </c>
      <c r="I10" s="132"/>
      <c r="J10" s="132">
        <f t="shared" si="4"/>
        <v>0</v>
      </c>
      <c r="K10" s="132"/>
      <c r="L10" s="132">
        <f t="shared" si="5"/>
        <v>0</v>
      </c>
      <c r="M10" s="132"/>
      <c r="N10" s="131">
        <f t="shared" si="6"/>
        <v>0</v>
      </c>
      <c r="O10" s="132"/>
      <c r="P10" s="131">
        <f t="shared" si="7"/>
        <v>0</v>
      </c>
      <c r="Q10" s="131"/>
      <c r="R10" s="131">
        <f t="shared" si="8"/>
        <v>0</v>
      </c>
      <c r="S10" s="132"/>
      <c r="T10" s="132">
        <f t="shared" si="9"/>
        <v>0</v>
      </c>
      <c r="U10" s="132"/>
      <c r="V10" s="132">
        <f t="shared" si="10"/>
        <v>0</v>
      </c>
      <c r="W10" s="132"/>
      <c r="X10" s="19">
        <f t="shared" si="11"/>
        <v>0</v>
      </c>
      <c r="Y10" s="89">
        <f t="shared" si="0"/>
        <v>0</v>
      </c>
    </row>
    <row r="11" spans="1:25" ht="37.5" customHeight="1" x14ac:dyDescent="0.25">
      <c r="A11" s="12"/>
      <c r="B11" s="133"/>
      <c r="C11" s="132"/>
      <c r="D11" s="22">
        <f t="shared" si="1"/>
        <v>0</v>
      </c>
      <c r="E11" s="132"/>
      <c r="F11" s="132">
        <f t="shared" si="2"/>
        <v>0</v>
      </c>
      <c r="G11" s="132"/>
      <c r="H11" s="132">
        <f t="shared" si="3"/>
        <v>0</v>
      </c>
      <c r="I11" s="132"/>
      <c r="J11" s="132">
        <f t="shared" si="4"/>
        <v>0</v>
      </c>
      <c r="K11" s="132"/>
      <c r="L11" s="132">
        <f t="shared" si="5"/>
        <v>0</v>
      </c>
      <c r="M11" s="132"/>
      <c r="N11" s="131">
        <f t="shared" si="6"/>
        <v>0</v>
      </c>
      <c r="O11" s="132"/>
      <c r="P11" s="131">
        <f t="shared" si="7"/>
        <v>0</v>
      </c>
      <c r="Q11" s="131"/>
      <c r="R11" s="131">
        <f t="shared" si="8"/>
        <v>0</v>
      </c>
      <c r="S11" s="132"/>
      <c r="T11" s="132">
        <f t="shared" si="9"/>
        <v>0</v>
      </c>
      <c r="U11" s="132"/>
      <c r="V11" s="132">
        <f t="shared" si="10"/>
        <v>0</v>
      </c>
      <c r="W11" s="132"/>
      <c r="X11" s="19">
        <f t="shared" si="11"/>
        <v>0</v>
      </c>
      <c r="Y11" s="20">
        <f t="shared" si="0"/>
        <v>0</v>
      </c>
    </row>
    <row r="12" spans="1:25" ht="29.25" customHeight="1" x14ac:dyDescent="0.25">
      <c r="A12" s="2235" t="s">
        <v>31</v>
      </c>
      <c r="B12" s="2235"/>
      <c r="C12" s="18">
        <f t="shared" ref="C12:Y12" si="12">SUM(C6:C11)</f>
        <v>121935</v>
      </c>
      <c r="D12" s="18">
        <f t="shared" si="12"/>
        <v>118581.78750000001</v>
      </c>
      <c r="E12" s="18">
        <f t="shared" si="12"/>
        <v>0</v>
      </c>
      <c r="F12" s="18">
        <f t="shared" si="12"/>
        <v>0</v>
      </c>
      <c r="G12" s="18">
        <f t="shared" si="12"/>
        <v>30</v>
      </c>
      <c r="H12" s="18">
        <f t="shared" si="12"/>
        <v>846</v>
      </c>
      <c r="I12" s="18">
        <f t="shared" si="12"/>
        <v>330</v>
      </c>
      <c r="J12" s="18">
        <f t="shared" si="12"/>
        <v>6105</v>
      </c>
      <c r="K12" s="18">
        <f t="shared" si="12"/>
        <v>0</v>
      </c>
      <c r="L12" s="18">
        <f t="shared" si="12"/>
        <v>0</v>
      </c>
      <c r="M12" s="18">
        <f t="shared" si="12"/>
        <v>0</v>
      </c>
      <c r="N12" s="23">
        <f t="shared" si="12"/>
        <v>0</v>
      </c>
      <c r="O12" s="18">
        <f t="shared" si="12"/>
        <v>0</v>
      </c>
      <c r="P12" s="23">
        <f t="shared" si="12"/>
        <v>0</v>
      </c>
      <c r="Q12" s="23">
        <f t="shared" si="12"/>
        <v>0</v>
      </c>
      <c r="R12" s="23">
        <f>SUM(R6:R11)</f>
        <v>0</v>
      </c>
      <c r="S12" s="18">
        <f t="shared" si="12"/>
        <v>50</v>
      </c>
      <c r="T12" s="18">
        <f t="shared" si="12"/>
        <v>12050</v>
      </c>
      <c r="U12" s="18">
        <f t="shared" si="12"/>
        <v>0</v>
      </c>
      <c r="V12" s="18">
        <f t="shared" si="12"/>
        <v>0</v>
      </c>
      <c r="W12" s="18">
        <f t="shared" si="12"/>
        <v>0</v>
      </c>
      <c r="X12" s="18">
        <f t="shared" si="12"/>
        <v>0</v>
      </c>
      <c r="Y12" s="18">
        <f t="shared" si="12"/>
        <v>137582.78750000001</v>
      </c>
    </row>
    <row r="14" spans="1:25" ht="41.25" customHeight="1" x14ac:dyDescent="0.25">
      <c r="A14" s="30" t="s">
        <v>32</v>
      </c>
      <c r="B14" s="2236" t="s">
        <v>27</v>
      </c>
      <c r="C14" s="2236"/>
      <c r="D14" s="30" t="s">
        <v>33</v>
      </c>
      <c r="E14" s="30" t="s">
        <v>65</v>
      </c>
      <c r="F14" s="30" t="s">
        <v>34</v>
      </c>
      <c r="G14" s="30" t="s">
        <v>13</v>
      </c>
      <c r="H14" s="142" t="s">
        <v>173</v>
      </c>
      <c r="I14" s="30" t="s">
        <v>17</v>
      </c>
      <c r="J14" s="140" t="s">
        <v>174</v>
      </c>
      <c r="K14" s="30" t="s">
        <v>36</v>
      </c>
      <c r="L14" s="30" t="s">
        <v>175</v>
      </c>
      <c r="M14" s="30" t="s">
        <v>69</v>
      </c>
      <c r="N14" s="30" t="s">
        <v>70</v>
      </c>
      <c r="O14" s="140" t="s">
        <v>114</v>
      </c>
      <c r="P14" s="140" t="s">
        <v>99</v>
      </c>
      <c r="Q14" s="2272" t="s">
        <v>150</v>
      </c>
      <c r="R14" s="2272"/>
      <c r="S14" s="140" t="s">
        <v>171</v>
      </c>
      <c r="T14" s="2235" t="s">
        <v>46</v>
      </c>
      <c r="U14" s="134" t="s">
        <v>176</v>
      </c>
      <c r="V14" s="2260">
        <v>7442</v>
      </c>
      <c r="W14" s="2268"/>
      <c r="X14" s="2261"/>
    </row>
    <row r="15" spans="1:25" ht="22.5" customHeight="1" x14ac:dyDescent="0.25">
      <c r="A15" s="100" t="s">
        <v>38</v>
      </c>
      <c r="B15" s="2260">
        <v>282217</v>
      </c>
      <c r="C15" s="2261"/>
      <c r="D15" s="137">
        <v>0</v>
      </c>
      <c r="E15" s="137">
        <v>40</v>
      </c>
      <c r="F15" s="137">
        <v>10700</v>
      </c>
      <c r="G15" s="137">
        <v>0</v>
      </c>
      <c r="H15" s="137">
        <v>124</v>
      </c>
      <c r="I15" s="137">
        <v>0</v>
      </c>
      <c r="J15" s="137">
        <v>140</v>
      </c>
      <c r="K15" s="137">
        <v>52</v>
      </c>
      <c r="L15" s="137">
        <v>210</v>
      </c>
      <c r="M15" s="137">
        <v>0</v>
      </c>
      <c r="N15" s="137">
        <v>100</v>
      </c>
      <c r="O15" s="137">
        <v>0</v>
      </c>
      <c r="P15" s="137">
        <v>464</v>
      </c>
      <c r="Q15" s="2262">
        <v>6</v>
      </c>
      <c r="R15" s="2262"/>
      <c r="S15" s="134">
        <v>126</v>
      </c>
      <c r="T15" s="2235"/>
      <c r="U15" s="134" t="s">
        <v>64</v>
      </c>
      <c r="V15" s="2262">
        <v>10069</v>
      </c>
      <c r="W15" s="2262"/>
      <c r="X15" s="2262"/>
    </row>
    <row r="16" spans="1:25" ht="24.75" customHeight="1" x14ac:dyDescent="0.25">
      <c r="A16" s="100" t="s">
        <v>39</v>
      </c>
      <c r="B16" s="2260"/>
      <c r="C16" s="2261"/>
      <c r="D16" s="137"/>
      <c r="E16" s="137"/>
      <c r="F16" s="137"/>
      <c r="G16" s="137"/>
      <c r="H16" s="137"/>
      <c r="I16" s="137"/>
      <c r="J16" s="137"/>
      <c r="K16" s="137"/>
      <c r="L16" s="137">
        <v>34</v>
      </c>
      <c r="M16" s="137"/>
      <c r="N16" s="137"/>
      <c r="O16" s="137"/>
      <c r="P16" s="137"/>
      <c r="Q16" s="2225"/>
      <c r="R16" s="2225"/>
      <c r="S16" s="133"/>
      <c r="T16" s="2254" t="s">
        <v>55</v>
      </c>
      <c r="U16" s="2254"/>
      <c r="V16" s="2267">
        <f>Y12</f>
        <v>137582.78750000001</v>
      </c>
      <c r="W16" s="2267"/>
      <c r="X16" s="2262"/>
    </row>
    <row r="17" spans="1:25" ht="28.5" customHeight="1" x14ac:dyDescent="0.25">
      <c r="A17" s="101" t="s">
        <v>44</v>
      </c>
      <c r="B17" s="2260"/>
      <c r="C17" s="2261"/>
      <c r="D17" s="137"/>
      <c r="E17" s="137"/>
      <c r="F17" s="137"/>
      <c r="G17" s="137"/>
      <c r="H17" s="137"/>
      <c r="I17" s="137"/>
      <c r="J17" s="137"/>
      <c r="K17" s="137"/>
      <c r="L17" s="137"/>
      <c r="M17" s="137"/>
      <c r="N17" s="137"/>
      <c r="O17" s="137"/>
      <c r="P17" s="137"/>
      <c r="Q17" s="2225"/>
      <c r="R17" s="2225"/>
      <c r="S17" s="133"/>
      <c r="T17" s="2273" t="s">
        <v>181</v>
      </c>
      <c r="U17" s="2274"/>
      <c r="V17" s="2262"/>
      <c r="W17" s="2262"/>
      <c r="X17" s="2262"/>
    </row>
    <row r="18" spans="1:25" ht="27" customHeight="1" x14ac:dyDescent="0.25">
      <c r="A18" s="100" t="s">
        <v>40</v>
      </c>
      <c r="B18" s="2264">
        <f>C12</f>
        <v>121935</v>
      </c>
      <c r="C18" s="2261"/>
      <c r="D18" s="139">
        <f>E12</f>
        <v>0</v>
      </c>
      <c r="E18" s="139">
        <f>G12</f>
        <v>30</v>
      </c>
      <c r="F18" s="139">
        <f>I12</f>
        <v>330</v>
      </c>
      <c r="G18" s="139">
        <f>K12</f>
        <v>0</v>
      </c>
      <c r="H18" s="137">
        <v>84</v>
      </c>
      <c r="I18" s="139">
        <f>U12</f>
        <v>0</v>
      </c>
      <c r="J18" s="137"/>
      <c r="K18" s="139">
        <f>W12</f>
        <v>0</v>
      </c>
      <c r="L18" s="137"/>
      <c r="M18" s="139">
        <f>M12</f>
        <v>0</v>
      </c>
      <c r="N18" s="139">
        <f>O12</f>
        <v>0</v>
      </c>
      <c r="O18" s="138">
        <f>Q12</f>
        <v>0</v>
      </c>
      <c r="P18" s="137"/>
      <c r="Q18" s="2225"/>
      <c r="R18" s="2225"/>
      <c r="S18" s="134"/>
      <c r="T18" s="2254" t="s">
        <v>57</v>
      </c>
      <c r="U18" s="2254"/>
      <c r="V18" s="2262">
        <f>450+100</f>
        <v>550</v>
      </c>
      <c r="W18" s="2262"/>
      <c r="X18" s="2262"/>
      <c r="Y18" s="2269" t="s">
        <v>198</v>
      </c>
    </row>
    <row r="19" spans="1:25" ht="25.5" customHeight="1" x14ac:dyDescent="0.25">
      <c r="A19" s="100" t="s">
        <v>41</v>
      </c>
      <c r="B19" s="2260">
        <f>B15+B16+B17-B18</f>
        <v>160282</v>
      </c>
      <c r="C19" s="2261"/>
      <c r="D19" s="137">
        <f>D15+D16+D17-D18</f>
        <v>0</v>
      </c>
      <c r="E19" s="137">
        <f t="shared" ref="E19:N19" si="13">E15+E16+E17-E18</f>
        <v>10</v>
      </c>
      <c r="F19" s="137">
        <f t="shared" si="13"/>
        <v>10370</v>
      </c>
      <c r="G19" s="137">
        <f t="shared" si="13"/>
        <v>0</v>
      </c>
      <c r="H19" s="137">
        <f t="shared" si="13"/>
        <v>40</v>
      </c>
      <c r="I19" s="137">
        <f t="shared" si="13"/>
        <v>0</v>
      </c>
      <c r="J19" s="137">
        <f t="shared" si="13"/>
        <v>140</v>
      </c>
      <c r="K19" s="137">
        <f t="shared" si="13"/>
        <v>52</v>
      </c>
      <c r="L19" s="137">
        <f t="shared" si="13"/>
        <v>244</v>
      </c>
      <c r="M19" s="137">
        <f t="shared" si="13"/>
        <v>0</v>
      </c>
      <c r="N19" s="137">
        <f t="shared" si="13"/>
        <v>100</v>
      </c>
      <c r="O19" s="137">
        <f>O15+O16+O17-O18</f>
        <v>0</v>
      </c>
      <c r="P19" s="137">
        <f>P15+P16+P17-P18</f>
        <v>464</v>
      </c>
      <c r="Q19" s="2260">
        <f t="shared" ref="Q19" si="14">Q15+Q16+Q17-Q18</f>
        <v>6</v>
      </c>
      <c r="R19" s="2261"/>
      <c r="S19" s="134">
        <f>S15+S16-S17-S18</f>
        <v>126</v>
      </c>
      <c r="T19" s="2256" t="s">
        <v>48</v>
      </c>
      <c r="U19" s="49" t="s">
        <v>58</v>
      </c>
      <c r="V19" s="2262"/>
      <c r="W19" s="2262"/>
      <c r="X19" s="2262"/>
      <c r="Y19" s="2269"/>
    </row>
    <row r="20" spans="1:25" ht="23.25" customHeight="1" x14ac:dyDescent="0.25">
      <c r="A20" s="11" t="s">
        <v>187</v>
      </c>
      <c r="B20" s="2278">
        <f>B19*0.9625</f>
        <v>154271.42500000002</v>
      </c>
      <c r="C20" s="2279"/>
      <c r="D20" s="133">
        <f>D19*13.56</f>
        <v>0</v>
      </c>
      <c r="E20" s="133">
        <f>28.2*E19</f>
        <v>282</v>
      </c>
      <c r="F20" s="133">
        <f>18.31*F19</f>
        <v>189874.69999999998</v>
      </c>
      <c r="G20" s="133">
        <f>19.3*G19</f>
        <v>0</v>
      </c>
      <c r="H20" s="133">
        <f>241*H19</f>
        <v>9640</v>
      </c>
      <c r="I20" s="133">
        <f>223*I19</f>
        <v>0</v>
      </c>
      <c r="J20" s="133">
        <f>241*J19</f>
        <v>33740</v>
      </c>
      <c r="K20" s="133">
        <f>K19*100</f>
        <v>5200</v>
      </c>
      <c r="L20" s="133">
        <f>241*L19</f>
        <v>58804</v>
      </c>
      <c r="M20" s="133">
        <f>9.65*M19</f>
        <v>0</v>
      </c>
      <c r="N20" s="133">
        <f>N19*48.2</f>
        <v>4820</v>
      </c>
      <c r="O20" s="133">
        <f>241*O19</f>
        <v>0</v>
      </c>
      <c r="P20" s="133">
        <f>241*P19</f>
        <v>111824</v>
      </c>
      <c r="Q20" s="2278">
        <f>241*Q19</f>
        <v>1446</v>
      </c>
      <c r="R20" s="2279"/>
      <c r="S20" s="133">
        <f>241*S19</f>
        <v>30366</v>
      </c>
      <c r="T20" s="2257"/>
      <c r="U20" s="49" t="s">
        <v>59</v>
      </c>
      <c r="V20" s="2262"/>
      <c r="W20" s="2262"/>
      <c r="X20" s="2262"/>
      <c r="Y20" s="2269"/>
    </row>
    <row r="21" spans="1:25" ht="32.25" customHeight="1" x14ac:dyDescent="0.25">
      <c r="A21" s="143" t="s">
        <v>186</v>
      </c>
      <c r="B21" s="2283">
        <f>SUM(B20:S20)</f>
        <v>600268.125</v>
      </c>
      <c r="C21" s="2283"/>
      <c r="O21" s="141"/>
      <c r="P21" s="141"/>
      <c r="Q21" s="141"/>
      <c r="R21" s="141"/>
      <c r="T21" s="2273" t="s">
        <v>167</v>
      </c>
      <c r="U21" s="2274"/>
      <c r="V21" s="2260"/>
      <c r="W21" s="2268"/>
      <c r="X21" s="2261"/>
      <c r="Y21" s="2269"/>
    </row>
    <row r="22" spans="1:25" ht="35.25" customHeight="1" x14ac:dyDescent="0.25">
      <c r="A22" s="15"/>
      <c r="B22" s="2275" t="s">
        <v>49</v>
      </c>
      <c r="C22" s="2265">
        <v>622133</v>
      </c>
      <c r="D22" s="2265"/>
      <c r="E22" s="2265"/>
      <c r="F22" s="2265">
        <f>C22-D22+E22</f>
        <v>622133</v>
      </c>
      <c r="G22" s="141"/>
      <c r="Q22" s="141"/>
      <c r="R22" s="141"/>
      <c r="T22" s="2251" t="s">
        <v>83</v>
      </c>
      <c r="U22" s="50" t="s">
        <v>60</v>
      </c>
      <c r="V22" s="2262"/>
      <c r="W22" s="2262"/>
      <c r="X22" s="2262"/>
      <c r="Y22" s="2269"/>
    </row>
    <row r="23" spans="1:25" ht="39.75" customHeight="1" x14ac:dyDescent="0.25">
      <c r="A23" s="141"/>
      <c r="B23" s="2276"/>
      <c r="C23" s="2266"/>
      <c r="D23" s="2266"/>
      <c r="E23" s="2266"/>
      <c r="F23" s="2266"/>
      <c r="G23" s="141"/>
      <c r="Q23" s="141"/>
      <c r="R23" s="141"/>
      <c r="T23" s="2252"/>
      <c r="U23" s="50" t="s">
        <v>61</v>
      </c>
      <c r="V23" s="2262"/>
      <c r="W23" s="2262"/>
      <c r="X23" s="2262"/>
      <c r="Y23" s="2269"/>
    </row>
    <row r="24" spans="1:25" ht="48" customHeight="1" x14ac:dyDescent="0.25">
      <c r="A24" s="141"/>
      <c r="B24" s="2277"/>
      <c r="C24" s="134" t="s">
        <v>46</v>
      </c>
      <c r="D24" s="134" t="s">
        <v>50</v>
      </c>
      <c r="E24" s="134" t="s">
        <v>51</v>
      </c>
      <c r="F24" s="134" t="s">
        <v>52</v>
      </c>
      <c r="G24" s="141"/>
      <c r="Q24" s="141"/>
      <c r="R24" s="141"/>
      <c r="T24" s="2235" t="s">
        <v>47</v>
      </c>
      <c r="U24" s="51" t="s">
        <v>62</v>
      </c>
      <c r="V24" s="2263">
        <f>V14+V16+V17-V18-V19-V20-V22+V23-V21</f>
        <v>144474.78750000001</v>
      </c>
      <c r="W24" s="2263"/>
      <c r="X24" s="2263"/>
      <c r="Y24" s="2269"/>
    </row>
    <row r="25" spans="1:25" ht="40.5" customHeight="1" x14ac:dyDescent="0.25">
      <c r="T25" s="2235"/>
      <c r="U25" s="51" t="s">
        <v>63</v>
      </c>
      <c r="V25" s="2262">
        <f>V15+V22-V23</f>
        <v>10069</v>
      </c>
      <c r="W25" s="2262"/>
      <c r="X25" s="2262"/>
    </row>
    <row r="26" spans="1:25" ht="36" customHeight="1" x14ac:dyDescent="0.25"/>
    <row r="32" spans="1:25" x14ac:dyDescent="0.25">
      <c r="I32" s="2280"/>
      <c r="J32" s="2280"/>
      <c r="K32" s="2280"/>
      <c r="L32" s="2280"/>
    </row>
    <row r="33" spans="9:12" x14ac:dyDescent="0.25">
      <c r="I33" s="141"/>
      <c r="J33" s="141"/>
      <c r="K33" s="2280"/>
      <c r="L33" s="2280"/>
    </row>
  </sheetData>
  <mergeCells count="62">
    <mergeCell ref="A1:Y1"/>
    <mergeCell ref="A2:Y2"/>
    <mergeCell ref="T3:Y3"/>
    <mergeCell ref="A4:A5"/>
    <mergeCell ref="B4:B5"/>
    <mergeCell ref="C4:D4"/>
    <mergeCell ref="E4:F4"/>
    <mergeCell ref="G4:H4"/>
    <mergeCell ref="I4:J4"/>
    <mergeCell ref="K4:L4"/>
    <mergeCell ref="Y4:Y5"/>
    <mergeCell ref="M4:N4"/>
    <mergeCell ref="O4:P4"/>
    <mergeCell ref="Q4:R4"/>
    <mergeCell ref="S4:T4"/>
    <mergeCell ref="U4:V4"/>
    <mergeCell ref="W4:X4"/>
    <mergeCell ref="B16:C16"/>
    <mergeCell ref="Q16:R16"/>
    <mergeCell ref="T16:U16"/>
    <mergeCell ref="V16:X16"/>
    <mergeCell ref="A12:B12"/>
    <mergeCell ref="B14:C14"/>
    <mergeCell ref="Q14:R14"/>
    <mergeCell ref="T14:T15"/>
    <mergeCell ref="V14:X14"/>
    <mergeCell ref="B15:C15"/>
    <mergeCell ref="Q15:R15"/>
    <mergeCell ref="V15:X15"/>
    <mergeCell ref="B17:C17"/>
    <mergeCell ref="Q17:R17"/>
    <mergeCell ref="T17:U17"/>
    <mergeCell ref="V17:X17"/>
    <mergeCell ref="B18:C18"/>
    <mergeCell ref="Q18:R18"/>
    <mergeCell ref="T18:U18"/>
    <mergeCell ref="V18:X18"/>
    <mergeCell ref="Y18:Y24"/>
    <mergeCell ref="B19:C19"/>
    <mergeCell ref="Q19:R19"/>
    <mergeCell ref="T19:T20"/>
    <mergeCell ref="V19:X19"/>
    <mergeCell ref="B20:C20"/>
    <mergeCell ref="B22:B24"/>
    <mergeCell ref="C22:C23"/>
    <mergeCell ref="D22:D23"/>
    <mergeCell ref="E22:E23"/>
    <mergeCell ref="F22:F23"/>
    <mergeCell ref="Q20:R20"/>
    <mergeCell ref="V20:X20"/>
    <mergeCell ref="B21:C21"/>
    <mergeCell ref="T21:U21"/>
    <mergeCell ref="V21:X21"/>
    <mergeCell ref="I32:J32"/>
    <mergeCell ref="K32:L32"/>
    <mergeCell ref="K33:L33"/>
    <mergeCell ref="T22:T23"/>
    <mergeCell ref="V22:X22"/>
    <mergeCell ref="V23:X23"/>
    <mergeCell ref="T24:T25"/>
    <mergeCell ref="V24:X24"/>
    <mergeCell ref="V25:X25"/>
  </mergeCells>
  <pageMargins left="0.15748031496063" right="0.15748031496063" top="0" bottom="0" header="0" footer="0"/>
  <pageSetup paperSize="9" scale="47" orientation="landscape" r:id="rId1"/>
  <legacyDrawing r:id="rId2"/>
</worksheet>
</file>

<file path=xl/worksheets/sheet5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E7640D5-3C01-4E1B-9524-A70F491ADEC7}">
  <sheetPr>
    <pageSetUpPr fitToPage="1"/>
  </sheetPr>
  <dimension ref="A1:Y33"/>
  <sheetViews>
    <sheetView topLeftCell="B13" zoomScale="69" zoomScaleNormal="69" zoomScaleSheetLayoutView="100" workbookViewId="0">
      <selection activeCell="P27" sqref="P27"/>
    </sheetView>
  </sheetViews>
  <sheetFormatPr defaultColWidth="9.140625" defaultRowHeight="15" x14ac:dyDescent="0.25"/>
  <cols>
    <col min="1" max="1" width="18.28515625" style="14" customWidth="1"/>
    <col min="2" max="2" width="10.7109375" style="14" customWidth="1"/>
    <col min="3" max="3" width="12.28515625" style="14" customWidth="1"/>
    <col min="4" max="4" width="11" style="14" customWidth="1"/>
    <col min="5" max="5" width="12" style="14" customWidth="1"/>
    <col min="6" max="6" width="12.5703125" style="14" bestFit="1" customWidth="1"/>
    <col min="7" max="7" width="9.28515625" style="14" bestFit="1" customWidth="1"/>
    <col min="8" max="8" width="10.140625" style="14" bestFit="1" customWidth="1"/>
    <col min="9" max="9" width="10.5703125" style="14" bestFit="1" customWidth="1"/>
    <col min="10" max="10" width="10.5703125" style="14" customWidth="1"/>
    <col min="11" max="11" width="10.28515625" style="14" bestFit="1" customWidth="1"/>
    <col min="12" max="12" width="9.42578125" style="14" bestFit="1" customWidth="1"/>
    <col min="13" max="13" width="9.85546875" style="14" bestFit="1" customWidth="1"/>
    <col min="14" max="14" width="10.140625" style="14" bestFit="1" customWidth="1"/>
    <col min="15" max="15" width="9" style="14" customWidth="1"/>
    <col min="16" max="16" width="12.85546875" style="14" bestFit="1" customWidth="1"/>
    <col min="17" max="18" width="9.42578125" style="14" customWidth="1"/>
    <col min="19" max="19" width="13.7109375" style="14" customWidth="1"/>
    <col min="20" max="20" width="12.140625" style="14" customWidth="1"/>
    <col min="21" max="21" width="19.5703125" style="14" bestFit="1" customWidth="1"/>
    <col min="22" max="22" width="9.85546875" style="14" customWidth="1"/>
    <col min="23" max="23" width="10.140625" style="14" bestFit="1" customWidth="1"/>
    <col min="24" max="24" width="10.28515625" style="14" customWidth="1"/>
    <col min="25" max="25" width="28" style="14" customWidth="1"/>
    <col min="26" max="16384" width="9.140625" style="14"/>
  </cols>
  <sheetData>
    <row r="1" spans="1:25" ht="46.15" customHeight="1" x14ac:dyDescent="0.25">
      <c r="A1" s="2240" t="s">
        <v>148</v>
      </c>
      <c r="B1" s="2240"/>
      <c r="C1" s="2240"/>
      <c r="D1" s="2240"/>
      <c r="E1" s="2240"/>
      <c r="F1" s="2240"/>
      <c r="G1" s="2240"/>
      <c r="H1" s="2240"/>
      <c r="I1" s="2240"/>
      <c r="J1" s="2240"/>
      <c r="K1" s="2240"/>
      <c r="L1" s="2240"/>
      <c r="M1" s="2240"/>
      <c r="N1" s="2240"/>
      <c r="O1" s="2240"/>
      <c r="P1" s="2240"/>
      <c r="Q1" s="2240"/>
      <c r="R1" s="2240"/>
      <c r="S1" s="2240"/>
      <c r="T1" s="2240"/>
      <c r="U1" s="2240"/>
      <c r="V1" s="2240"/>
      <c r="W1" s="2240"/>
      <c r="X1" s="2240"/>
      <c r="Y1" s="2240"/>
    </row>
    <row r="2" spans="1:25" ht="21.6" customHeight="1" x14ac:dyDescent="0.25">
      <c r="A2" s="2241" t="s">
        <v>77</v>
      </c>
      <c r="B2" s="2241"/>
      <c r="C2" s="2241"/>
      <c r="D2" s="2241"/>
      <c r="E2" s="2241"/>
      <c r="F2" s="2241"/>
      <c r="G2" s="2241"/>
      <c r="H2" s="2241"/>
      <c r="I2" s="2241"/>
      <c r="J2" s="2241"/>
      <c r="K2" s="2241"/>
      <c r="L2" s="2241"/>
      <c r="M2" s="2241"/>
      <c r="N2" s="2241"/>
      <c r="O2" s="2241"/>
      <c r="P2" s="2241"/>
      <c r="Q2" s="2241"/>
      <c r="R2" s="2241"/>
      <c r="S2" s="2241"/>
      <c r="T2" s="2241"/>
      <c r="U2" s="2241"/>
      <c r="V2" s="2241"/>
      <c r="W2" s="2241"/>
      <c r="X2" s="2241"/>
      <c r="Y2" s="2241"/>
    </row>
    <row r="3" spans="1:25" ht="21" customHeight="1" x14ac:dyDescent="0.25">
      <c r="A3" s="144"/>
      <c r="B3" s="144"/>
      <c r="C3" s="144"/>
      <c r="D3" s="144"/>
      <c r="E3" s="144"/>
      <c r="F3" s="144"/>
      <c r="G3" s="144"/>
      <c r="H3" s="144"/>
      <c r="I3" s="144"/>
      <c r="J3" s="144"/>
      <c r="K3" s="144"/>
      <c r="L3" s="144"/>
      <c r="M3" s="144"/>
      <c r="N3" s="144"/>
      <c r="O3" s="144"/>
      <c r="P3" s="144"/>
      <c r="Q3" s="144"/>
      <c r="R3" s="144"/>
      <c r="S3" s="144"/>
      <c r="T3" s="2242" t="s">
        <v>199</v>
      </c>
      <c r="U3" s="2242"/>
      <c r="V3" s="2242"/>
      <c r="W3" s="2242"/>
      <c r="X3" s="2242"/>
      <c r="Y3" s="2242"/>
    </row>
    <row r="4" spans="1:25" s="144" customFormat="1" ht="18" customHeight="1" x14ac:dyDescent="0.25">
      <c r="A4" s="2243" t="s">
        <v>25</v>
      </c>
      <c r="B4" s="2243" t="s">
        <v>26</v>
      </c>
      <c r="C4" s="2244" t="s">
        <v>27</v>
      </c>
      <c r="D4" s="2244"/>
      <c r="E4" s="2244" t="s">
        <v>28</v>
      </c>
      <c r="F4" s="2244"/>
      <c r="G4" s="2244" t="s">
        <v>65</v>
      </c>
      <c r="H4" s="2244"/>
      <c r="I4" s="2244" t="s">
        <v>29</v>
      </c>
      <c r="J4" s="2244"/>
      <c r="K4" s="2245" t="s">
        <v>13</v>
      </c>
      <c r="L4" s="2246"/>
      <c r="M4" s="2245" t="s">
        <v>67</v>
      </c>
      <c r="N4" s="2246"/>
      <c r="O4" s="2245" t="s">
        <v>68</v>
      </c>
      <c r="P4" s="2246"/>
      <c r="Q4" s="2245" t="s">
        <v>114</v>
      </c>
      <c r="R4" s="2246"/>
      <c r="S4" s="2244" t="s">
        <v>35</v>
      </c>
      <c r="T4" s="2244"/>
      <c r="U4" s="2245" t="s">
        <v>17</v>
      </c>
      <c r="V4" s="2246"/>
      <c r="W4" s="2247" t="s">
        <v>36</v>
      </c>
      <c r="X4" s="2248"/>
      <c r="Y4" s="2238" t="s">
        <v>30</v>
      </c>
    </row>
    <row r="5" spans="1:25" s="144" customFormat="1" ht="25.5" customHeight="1" x14ac:dyDescent="0.25">
      <c r="A5" s="2243"/>
      <c r="B5" s="2243"/>
      <c r="C5" s="146" t="s">
        <v>42</v>
      </c>
      <c r="D5" s="146" t="s">
        <v>43</v>
      </c>
      <c r="E5" s="146" t="s">
        <v>42</v>
      </c>
      <c r="F5" s="146" t="s">
        <v>43</v>
      </c>
      <c r="G5" s="146" t="s">
        <v>42</v>
      </c>
      <c r="H5" s="146" t="s">
        <v>43</v>
      </c>
      <c r="I5" s="146" t="s">
        <v>42</v>
      </c>
      <c r="J5" s="146" t="s">
        <v>43</v>
      </c>
      <c r="K5" s="146" t="s">
        <v>42</v>
      </c>
      <c r="L5" s="146" t="s">
        <v>43</v>
      </c>
      <c r="M5" s="146" t="s">
        <v>42</v>
      </c>
      <c r="N5" s="146" t="s">
        <v>43</v>
      </c>
      <c r="O5" s="146" t="s">
        <v>42</v>
      </c>
      <c r="P5" s="146" t="s">
        <v>43</v>
      </c>
      <c r="Q5" s="146" t="s">
        <v>42</v>
      </c>
      <c r="R5" s="146" t="s">
        <v>43</v>
      </c>
      <c r="S5" s="33" t="s">
        <v>42</v>
      </c>
      <c r="T5" s="33" t="s">
        <v>43</v>
      </c>
      <c r="U5" s="30" t="s">
        <v>42</v>
      </c>
      <c r="V5" s="30" t="s">
        <v>43</v>
      </c>
      <c r="W5" s="30" t="s">
        <v>42</v>
      </c>
      <c r="X5" s="30" t="s">
        <v>43</v>
      </c>
      <c r="Y5" s="2239"/>
    </row>
    <row r="6" spans="1:25" ht="34.5" customHeight="1" x14ac:dyDescent="0.25">
      <c r="A6" s="12">
        <v>1409935200</v>
      </c>
      <c r="B6" s="145" t="s">
        <v>71</v>
      </c>
      <c r="C6" s="148">
        <v>25925</v>
      </c>
      <c r="D6" s="149">
        <f>0.9725*C6</f>
        <v>25212.0625</v>
      </c>
      <c r="E6" s="148"/>
      <c r="F6" s="148">
        <f>13.7*E6</f>
        <v>0</v>
      </c>
      <c r="G6" s="148"/>
      <c r="H6" s="148">
        <f>28.2*G6</f>
        <v>0</v>
      </c>
      <c r="I6" s="148">
        <v>1000</v>
      </c>
      <c r="J6" s="148">
        <f>18.5*I6</f>
        <v>18500</v>
      </c>
      <c r="K6" s="148"/>
      <c r="L6" s="148">
        <f>19.5*K6</f>
        <v>0</v>
      </c>
      <c r="M6" s="148"/>
      <c r="N6" s="149">
        <f>M6*9.75</f>
        <v>0</v>
      </c>
      <c r="O6" s="148"/>
      <c r="P6" s="149">
        <f>O6*48.62</f>
        <v>0</v>
      </c>
      <c r="Q6" s="149"/>
      <c r="R6" s="149">
        <f>241*Q6</f>
        <v>0</v>
      </c>
      <c r="S6" s="148"/>
      <c r="T6" s="148">
        <f>241*S6</f>
        <v>0</v>
      </c>
      <c r="U6" s="148"/>
      <c r="V6" s="148">
        <f>232*U6</f>
        <v>0</v>
      </c>
      <c r="W6" s="148">
        <v>1</v>
      </c>
      <c r="X6" s="19">
        <f>W6*100</f>
        <v>100</v>
      </c>
      <c r="Y6" s="89">
        <f t="shared" ref="Y6:Y11" si="0">D6+F6+H6+J6+L6+N6+P6+R6+T6+V6+X6</f>
        <v>43812.0625</v>
      </c>
    </row>
    <row r="7" spans="1:25" ht="31.5" customHeight="1" x14ac:dyDescent="0.25">
      <c r="A7" s="12">
        <v>1984225578</v>
      </c>
      <c r="B7" s="145" t="s">
        <v>72</v>
      </c>
      <c r="C7" s="148">
        <v>26876</v>
      </c>
      <c r="D7" s="149">
        <f t="shared" ref="D7:D11" si="1">0.9725*C7</f>
        <v>26136.91</v>
      </c>
      <c r="E7" s="148"/>
      <c r="F7" s="148">
        <f t="shared" ref="F7:F11" si="2">13.7*E7</f>
        <v>0</v>
      </c>
      <c r="G7" s="148"/>
      <c r="H7" s="148">
        <f t="shared" ref="H7:H11" si="3">28.2*G7</f>
        <v>0</v>
      </c>
      <c r="I7" s="148">
        <v>560</v>
      </c>
      <c r="J7" s="148">
        <f t="shared" ref="J7:J11" si="4">18.5*I7</f>
        <v>10360</v>
      </c>
      <c r="K7" s="148"/>
      <c r="L7" s="148">
        <f t="shared" ref="L7:L11" si="5">19.5*K7</f>
        <v>0</v>
      </c>
      <c r="M7" s="148"/>
      <c r="N7" s="149">
        <f t="shared" ref="N7:N11" si="6">M7*9.75</f>
        <v>0</v>
      </c>
      <c r="O7" s="148"/>
      <c r="P7" s="149">
        <f t="shared" ref="P7:P11" si="7">O7*48.62</f>
        <v>0</v>
      </c>
      <c r="Q7" s="149"/>
      <c r="R7" s="149">
        <f t="shared" ref="R7:R11" si="8">241*Q7</f>
        <v>0</v>
      </c>
      <c r="S7" s="148"/>
      <c r="T7" s="148">
        <f t="shared" ref="T7:T11" si="9">241*S7</f>
        <v>0</v>
      </c>
      <c r="U7" s="148"/>
      <c r="V7" s="148">
        <f t="shared" ref="V7:V11" si="10">232*U7</f>
        <v>0</v>
      </c>
      <c r="W7" s="148"/>
      <c r="X7" s="19">
        <f t="shared" ref="X7:X11" si="11">W7*100</f>
        <v>0</v>
      </c>
      <c r="Y7" s="89">
        <f t="shared" si="0"/>
        <v>36496.910000000003</v>
      </c>
    </row>
    <row r="8" spans="1:25" ht="35.25" customHeight="1" x14ac:dyDescent="0.25">
      <c r="A8" s="12">
        <v>1967020280</v>
      </c>
      <c r="B8" s="145" t="s">
        <v>73</v>
      </c>
      <c r="C8" s="148">
        <v>24407</v>
      </c>
      <c r="D8" s="149">
        <f t="shared" si="1"/>
        <v>23735.807499999999</v>
      </c>
      <c r="E8" s="148"/>
      <c r="F8" s="148">
        <f t="shared" si="2"/>
        <v>0</v>
      </c>
      <c r="G8" s="148"/>
      <c r="H8" s="148">
        <f t="shared" si="3"/>
        <v>0</v>
      </c>
      <c r="I8" s="148">
        <v>500</v>
      </c>
      <c r="J8" s="148">
        <f t="shared" si="4"/>
        <v>9250</v>
      </c>
      <c r="K8" s="148"/>
      <c r="L8" s="148">
        <f t="shared" si="5"/>
        <v>0</v>
      </c>
      <c r="M8" s="148"/>
      <c r="N8" s="149">
        <f t="shared" si="6"/>
        <v>0</v>
      </c>
      <c r="O8" s="148"/>
      <c r="P8" s="149">
        <f t="shared" si="7"/>
        <v>0</v>
      </c>
      <c r="Q8" s="149"/>
      <c r="R8" s="149">
        <f t="shared" si="8"/>
        <v>0</v>
      </c>
      <c r="S8" s="148"/>
      <c r="T8" s="148">
        <f t="shared" si="9"/>
        <v>0</v>
      </c>
      <c r="U8" s="148"/>
      <c r="V8" s="148">
        <f t="shared" si="10"/>
        <v>0</v>
      </c>
      <c r="W8" s="148"/>
      <c r="X8" s="19">
        <f t="shared" si="11"/>
        <v>0</v>
      </c>
      <c r="Y8" s="89">
        <f t="shared" si="0"/>
        <v>32985.807499999995</v>
      </c>
    </row>
    <row r="9" spans="1:25" ht="38.25" customHeight="1" x14ac:dyDescent="0.25">
      <c r="A9" s="12">
        <v>1409935199</v>
      </c>
      <c r="B9" s="145" t="s">
        <v>75</v>
      </c>
      <c r="C9" s="148">
        <v>2056</v>
      </c>
      <c r="D9" s="149">
        <f t="shared" si="1"/>
        <v>1999.46</v>
      </c>
      <c r="E9" s="148"/>
      <c r="F9" s="148">
        <f t="shared" si="2"/>
        <v>0</v>
      </c>
      <c r="G9" s="148"/>
      <c r="H9" s="148">
        <f t="shared" si="3"/>
        <v>0</v>
      </c>
      <c r="I9" s="148">
        <v>8000</v>
      </c>
      <c r="J9" s="148">
        <f t="shared" si="4"/>
        <v>148000</v>
      </c>
      <c r="K9" s="148"/>
      <c r="L9" s="148">
        <f t="shared" si="5"/>
        <v>0</v>
      </c>
      <c r="M9" s="148"/>
      <c r="N9" s="149">
        <f t="shared" si="6"/>
        <v>0</v>
      </c>
      <c r="O9" s="148"/>
      <c r="P9" s="149">
        <f t="shared" si="7"/>
        <v>0</v>
      </c>
      <c r="Q9" s="149"/>
      <c r="R9" s="149">
        <f t="shared" si="8"/>
        <v>0</v>
      </c>
      <c r="S9" s="148"/>
      <c r="T9" s="148">
        <f t="shared" si="9"/>
        <v>0</v>
      </c>
      <c r="U9" s="148"/>
      <c r="V9" s="148">
        <f t="shared" si="10"/>
        <v>0</v>
      </c>
      <c r="W9" s="148"/>
      <c r="X9" s="19">
        <f t="shared" si="11"/>
        <v>0</v>
      </c>
      <c r="Y9" s="89">
        <f t="shared" si="0"/>
        <v>149999.46</v>
      </c>
    </row>
    <row r="10" spans="1:25" ht="35.25" customHeight="1" x14ac:dyDescent="0.25">
      <c r="A10" s="12">
        <v>1984225580</v>
      </c>
      <c r="C10" s="148"/>
      <c r="D10" s="149">
        <f t="shared" si="1"/>
        <v>0</v>
      </c>
      <c r="E10" s="148"/>
      <c r="F10" s="148">
        <f t="shared" si="2"/>
        <v>0</v>
      </c>
      <c r="G10" s="148"/>
      <c r="H10" s="148">
        <f t="shared" si="3"/>
        <v>0</v>
      </c>
      <c r="I10" s="148"/>
      <c r="J10" s="148">
        <f t="shared" si="4"/>
        <v>0</v>
      </c>
      <c r="K10" s="148"/>
      <c r="L10" s="148">
        <f t="shared" si="5"/>
        <v>0</v>
      </c>
      <c r="M10" s="148"/>
      <c r="N10" s="149">
        <f t="shared" si="6"/>
        <v>0</v>
      </c>
      <c r="O10" s="148"/>
      <c r="P10" s="149">
        <f t="shared" si="7"/>
        <v>0</v>
      </c>
      <c r="Q10" s="149"/>
      <c r="R10" s="149">
        <f t="shared" si="8"/>
        <v>0</v>
      </c>
      <c r="S10" s="148"/>
      <c r="T10" s="148">
        <f t="shared" si="9"/>
        <v>0</v>
      </c>
      <c r="U10" s="148"/>
      <c r="V10" s="148">
        <f t="shared" si="10"/>
        <v>0</v>
      </c>
      <c r="W10" s="148"/>
      <c r="X10" s="19">
        <f t="shared" si="11"/>
        <v>0</v>
      </c>
      <c r="Y10" s="89">
        <f t="shared" si="0"/>
        <v>0</v>
      </c>
    </row>
    <row r="11" spans="1:25" ht="37.5" customHeight="1" x14ac:dyDescent="0.25">
      <c r="A11" s="12"/>
      <c r="B11" s="147"/>
      <c r="C11" s="148"/>
      <c r="D11" s="22">
        <f t="shared" si="1"/>
        <v>0</v>
      </c>
      <c r="E11" s="148"/>
      <c r="F11" s="148">
        <f t="shared" si="2"/>
        <v>0</v>
      </c>
      <c r="G11" s="148"/>
      <c r="H11" s="148">
        <f t="shared" si="3"/>
        <v>0</v>
      </c>
      <c r="I11" s="148"/>
      <c r="J11" s="148">
        <f t="shared" si="4"/>
        <v>0</v>
      </c>
      <c r="K11" s="148"/>
      <c r="L11" s="148">
        <f t="shared" si="5"/>
        <v>0</v>
      </c>
      <c r="M11" s="148"/>
      <c r="N11" s="149">
        <f t="shared" si="6"/>
        <v>0</v>
      </c>
      <c r="O11" s="148"/>
      <c r="P11" s="149">
        <f t="shared" si="7"/>
        <v>0</v>
      </c>
      <c r="Q11" s="149"/>
      <c r="R11" s="149">
        <f t="shared" si="8"/>
        <v>0</v>
      </c>
      <c r="S11" s="148"/>
      <c r="T11" s="148">
        <f t="shared" si="9"/>
        <v>0</v>
      </c>
      <c r="U11" s="148"/>
      <c r="V11" s="148">
        <f t="shared" si="10"/>
        <v>0</v>
      </c>
      <c r="W11" s="148"/>
      <c r="X11" s="19">
        <f t="shared" si="11"/>
        <v>0</v>
      </c>
      <c r="Y11" s="20">
        <f t="shared" si="0"/>
        <v>0</v>
      </c>
    </row>
    <row r="12" spans="1:25" ht="29.25" customHeight="1" x14ac:dyDescent="0.25">
      <c r="A12" s="2235" t="s">
        <v>31</v>
      </c>
      <c r="B12" s="2235"/>
      <c r="C12" s="18">
        <f t="shared" ref="C12:Y12" si="12">SUM(C6:C11)</f>
        <v>79264</v>
      </c>
      <c r="D12" s="18">
        <f t="shared" si="12"/>
        <v>77084.240000000005</v>
      </c>
      <c r="E12" s="18">
        <f t="shared" si="12"/>
        <v>0</v>
      </c>
      <c r="F12" s="18">
        <f t="shared" si="12"/>
        <v>0</v>
      </c>
      <c r="G12" s="18">
        <f t="shared" si="12"/>
        <v>0</v>
      </c>
      <c r="H12" s="18">
        <f t="shared" si="12"/>
        <v>0</v>
      </c>
      <c r="I12" s="18">
        <f t="shared" si="12"/>
        <v>10060</v>
      </c>
      <c r="J12" s="18">
        <f t="shared" si="12"/>
        <v>186110</v>
      </c>
      <c r="K12" s="18">
        <f t="shared" si="12"/>
        <v>0</v>
      </c>
      <c r="L12" s="18">
        <f t="shared" si="12"/>
        <v>0</v>
      </c>
      <c r="M12" s="18">
        <f t="shared" si="12"/>
        <v>0</v>
      </c>
      <c r="N12" s="23">
        <f t="shared" si="12"/>
        <v>0</v>
      </c>
      <c r="O12" s="18">
        <f t="shared" si="12"/>
        <v>0</v>
      </c>
      <c r="P12" s="23">
        <f t="shared" si="12"/>
        <v>0</v>
      </c>
      <c r="Q12" s="23">
        <f t="shared" si="12"/>
        <v>0</v>
      </c>
      <c r="R12" s="23">
        <f>SUM(R6:R11)</f>
        <v>0</v>
      </c>
      <c r="S12" s="18">
        <f t="shared" si="12"/>
        <v>0</v>
      </c>
      <c r="T12" s="18">
        <f t="shared" si="12"/>
        <v>0</v>
      </c>
      <c r="U12" s="18">
        <f t="shared" si="12"/>
        <v>0</v>
      </c>
      <c r="V12" s="18">
        <f t="shared" si="12"/>
        <v>0</v>
      </c>
      <c r="W12" s="18">
        <f t="shared" si="12"/>
        <v>1</v>
      </c>
      <c r="X12" s="18">
        <f t="shared" si="12"/>
        <v>100</v>
      </c>
      <c r="Y12" s="18">
        <f t="shared" si="12"/>
        <v>263294.24</v>
      </c>
    </row>
    <row r="14" spans="1:25" ht="41.25" customHeight="1" x14ac:dyDescent="0.25">
      <c r="A14" s="30" t="s">
        <v>32</v>
      </c>
      <c r="B14" s="2236" t="s">
        <v>27</v>
      </c>
      <c r="C14" s="2236"/>
      <c r="D14" s="30" t="s">
        <v>33</v>
      </c>
      <c r="E14" s="30" t="s">
        <v>65</v>
      </c>
      <c r="F14" s="30" t="s">
        <v>34</v>
      </c>
      <c r="G14" s="30" t="s">
        <v>13</v>
      </c>
      <c r="H14" s="142" t="s">
        <v>173</v>
      </c>
      <c r="I14" s="30" t="s">
        <v>17</v>
      </c>
      <c r="J14" s="153" t="s">
        <v>174</v>
      </c>
      <c r="K14" s="30" t="s">
        <v>36</v>
      </c>
      <c r="L14" s="30" t="s">
        <v>175</v>
      </c>
      <c r="M14" s="30" t="s">
        <v>69</v>
      </c>
      <c r="N14" s="30" t="s">
        <v>70</v>
      </c>
      <c r="O14" s="153" t="s">
        <v>114</v>
      </c>
      <c r="P14" s="153" t="s">
        <v>99</v>
      </c>
      <c r="Q14" s="2272" t="s">
        <v>150</v>
      </c>
      <c r="R14" s="2272"/>
      <c r="S14" s="153" t="s">
        <v>171</v>
      </c>
      <c r="T14" s="2235" t="s">
        <v>46</v>
      </c>
      <c r="U14" s="145" t="s">
        <v>176</v>
      </c>
      <c r="V14" s="2260">
        <v>144475</v>
      </c>
      <c r="W14" s="2268"/>
      <c r="X14" s="2261"/>
    </row>
    <row r="15" spans="1:25" ht="22.5" customHeight="1" x14ac:dyDescent="0.25">
      <c r="A15" s="100" t="s">
        <v>38</v>
      </c>
      <c r="B15" s="2260">
        <v>160282</v>
      </c>
      <c r="C15" s="2261"/>
      <c r="D15" s="150">
        <v>0</v>
      </c>
      <c r="E15" s="150">
        <v>10</v>
      </c>
      <c r="F15" s="150">
        <v>10370</v>
      </c>
      <c r="G15" s="150">
        <v>0</v>
      </c>
      <c r="H15" s="150">
        <v>40</v>
      </c>
      <c r="I15" s="150">
        <v>0</v>
      </c>
      <c r="J15" s="150">
        <v>140</v>
      </c>
      <c r="K15" s="150">
        <v>52</v>
      </c>
      <c r="L15" s="150">
        <v>244</v>
      </c>
      <c r="M15" s="150">
        <v>0</v>
      </c>
      <c r="N15" s="150">
        <v>100</v>
      </c>
      <c r="O15" s="150">
        <v>0</v>
      </c>
      <c r="P15" s="150">
        <v>464</v>
      </c>
      <c r="Q15" s="2262">
        <v>6</v>
      </c>
      <c r="R15" s="2262"/>
      <c r="S15" s="145">
        <v>126</v>
      </c>
      <c r="T15" s="2235"/>
      <c r="U15" s="145" t="s">
        <v>64</v>
      </c>
      <c r="V15" s="2262">
        <v>10069</v>
      </c>
      <c r="W15" s="2262"/>
      <c r="X15" s="2262"/>
    </row>
    <row r="16" spans="1:25" ht="24.75" customHeight="1" x14ac:dyDescent="0.25">
      <c r="A16" s="100" t="s">
        <v>39</v>
      </c>
      <c r="B16" s="2260">
        <v>202597</v>
      </c>
      <c r="C16" s="2261"/>
      <c r="D16" s="150"/>
      <c r="E16" s="150"/>
      <c r="F16" s="150"/>
      <c r="G16" s="150"/>
      <c r="H16" s="150"/>
      <c r="I16" s="150"/>
      <c r="J16" s="150"/>
      <c r="K16" s="150"/>
      <c r="L16" s="150"/>
      <c r="M16" s="150"/>
      <c r="N16" s="150"/>
      <c r="O16" s="150"/>
      <c r="P16" s="150"/>
      <c r="Q16" s="2225"/>
      <c r="R16" s="2225"/>
      <c r="S16" s="147"/>
      <c r="T16" s="2254" t="s">
        <v>55</v>
      </c>
      <c r="U16" s="2254"/>
      <c r="V16" s="2267">
        <f>Y12</f>
        <v>263294.24</v>
      </c>
      <c r="W16" s="2267"/>
      <c r="X16" s="2262"/>
    </row>
    <row r="17" spans="1:25" ht="28.5" customHeight="1" x14ac:dyDescent="0.25">
      <c r="A17" s="101" t="s">
        <v>44</v>
      </c>
      <c r="B17" s="2260"/>
      <c r="C17" s="2261"/>
      <c r="D17" s="150"/>
      <c r="E17" s="150"/>
      <c r="F17" s="150"/>
      <c r="G17" s="150"/>
      <c r="H17" s="150"/>
      <c r="I17" s="150"/>
      <c r="J17" s="150"/>
      <c r="K17" s="150"/>
      <c r="L17" s="150"/>
      <c r="M17" s="150"/>
      <c r="N17" s="150"/>
      <c r="O17" s="150"/>
      <c r="P17" s="150"/>
      <c r="Q17" s="2225"/>
      <c r="R17" s="2225"/>
      <c r="S17" s="147"/>
      <c r="T17" s="2273" t="s">
        <v>87</v>
      </c>
      <c r="U17" s="2274"/>
      <c r="V17" s="2262">
        <v>100000</v>
      </c>
      <c r="W17" s="2262"/>
      <c r="X17" s="2262"/>
    </row>
    <row r="18" spans="1:25" ht="27" customHeight="1" x14ac:dyDescent="0.25">
      <c r="A18" s="100" t="s">
        <v>40</v>
      </c>
      <c r="B18" s="2264">
        <f>C12</f>
        <v>79264</v>
      </c>
      <c r="C18" s="2261"/>
      <c r="D18" s="151">
        <f>E12</f>
        <v>0</v>
      </c>
      <c r="E18" s="151">
        <f>G12</f>
        <v>0</v>
      </c>
      <c r="F18" s="151">
        <f>I12</f>
        <v>10060</v>
      </c>
      <c r="G18" s="151">
        <f>K12</f>
        <v>0</v>
      </c>
      <c r="H18" s="150"/>
      <c r="I18" s="151">
        <f>U12</f>
        <v>0</v>
      </c>
      <c r="J18" s="150"/>
      <c r="K18" s="151">
        <f>W12</f>
        <v>1</v>
      </c>
      <c r="L18" s="150"/>
      <c r="M18" s="151">
        <f>M12</f>
        <v>0</v>
      </c>
      <c r="N18" s="151">
        <f>O12</f>
        <v>0</v>
      </c>
      <c r="O18" s="152">
        <f>Q12</f>
        <v>0</v>
      </c>
      <c r="P18" s="150"/>
      <c r="Q18" s="2225"/>
      <c r="R18" s="2225"/>
      <c r="S18" s="145"/>
      <c r="T18" s="2254" t="s">
        <v>57</v>
      </c>
      <c r="U18" s="2254"/>
      <c r="V18" s="2262">
        <f>450+2000</f>
        <v>2450</v>
      </c>
      <c r="W18" s="2262"/>
      <c r="X18" s="2262"/>
      <c r="Y18" s="2269" t="s">
        <v>200</v>
      </c>
    </row>
    <row r="19" spans="1:25" ht="25.5" customHeight="1" x14ac:dyDescent="0.25">
      <c r="A19" s="100" t="s">
        <v>41</v>
      </c>
      <c r="B19" s="2260">
        <f>B15+B16+B17-B18</f>
        <v>283615</v>
      </c>
      <c r="C19" s="2261"/>
      <c r="D19" s="150">
        <f>D15+D16+D17-D18</f>
        <v>0</v>
      </c>
      <c r="E19" s="150">
        <f t="shared" ref="E19:N19" si="13">E15+E16+E17-E18</f>
        <v>10</v>
      </c>
      <c r="F19" s="150">
        <f t="shared" si="13"/>
        <v>310</v>
      </c>
      <c r="G19" s="150">
        <f t="shared" si="13"/>
        <v>0</v>
      </c>
      <c r="H19" s="150">
        <f t="shared" si="13"/>
        <v>40</v>
      </c>
      <c r="I19" s="150">
        <f t="shared" si="13"/>
        <v>0</v>
      </c>
      <c r="J19" s="150">
        <f t="shared" si="13"/>
        <v>140</v>
      </c>
      <c r="K19" s="150">
        <f t="shared" si="13"/>
        <v>51</v>
      </c>
      <c r="L19" s="150">
        <f t="shared" si="13"/>
        <v>244</v>
      </c>
      <c r="M19" s="150">
        <f t="shared" si="13"/>
        <v>0</v>
      </c>
      <c r="N19" s="150">
        <f t="shared" si="13"/>
        <v>100</v>
      </c>
      <c r="O19" s="150">
        <f>O15+O16+O17-O18</f>
        <v>0</v>
      </c>
      <c r="P19" s="150">
        <f>P15+P16+P17-P18</f>
        <v>464</v>
      </c>
      <c r="Q19" s="2260">
        <f t="shared" ref="Q19" si="14">Q15+Q16+Q17-Q18</f>
        <v>6</v>
      </c>
      <c r="R19" s="2261"/>
      <c r="S19" s="145">
        <f>S15+S16-S17-S18</f>
        <v>126</v>
      </c>
      <c r="T19" s="2256" t="s">
        <v>48</v>
      </c>
      <c r="U19" s="49" t="s">
        <v>58</v>
      </c>
      <c r="V19" s="2262">
        <v>394131</v>
      </c>
      <c r="W19" s="2262"/>
      <c r="X19" s="2262"/>
      <c r="Y19" s="2269"/>
    </row>
    <row r="20" spans="1:25" ht="23.25" customHeight="1" x14ac:dyDescent="0.25">
      <c r="A20" s="11" t="s">
        <v>187</v>
      </c>
      <c r="B20" s="2278">
        <f>B19*0.9625</f>
        <v>272979.4375</v>
      </c>
      <c r="C20" s="2279"/>
      <c r="D20" s="147">
        <f>D19*13.56</f>
        <v>0</v>
      </c>
      <c r="E20" s="147">
        <f>28.2*E19</f>
        <v>282</v>
      </c>
      <c r="F20" s="147">
        <f>18.31*F19</f>
        <v>5676.0999999999995</v>
      </c>
      <c r="G20" s="147">
        <f>19.3*G19</f>
        <v>0</v>
      </c>
      <c r="H20" s="147">
        <f>241*H19</f>
        <v>9640</v>
      </c>
      <c r="I20" s="147">
        <f>223*I19</f>
        <v>0</v>
      </c>
      <c r="J20" s="147">
        <f>241*J19</f>
        <v>33740</v>
      </c>
      <c r="K20" s="147">
        <f>K19*100</f>
        <v>5100</v>
      </c>
      <c r="L20" s="147">
        <f>241*L19</f>
        <v>58804</v>
      </c>
      <c r="M20" s="147">
        <f>9.65*M19</f>
        <v>0</v>
      </c>
      <c r="N20" s="147">
        <f>N19*48.2</f>
        <v>4820</v>
      </c>
      <c r="O20" s="147">
        <f>241*O19</f>
        <v>0</v>
      </c>
      <c r="P20" s="147">
        <f>241*P19</f>
        <v>111824</v>
      </c>
      <c r="Q20" s="2278">
        <f>241*Q19</f>
        <v>1446</v>
      </c>
      <c r="R20" s="2279"/>
      <c r="S20" s="147">
        <f>241*S19</f>
        <v>30366</v>
      </c>
      <c r="T20" s="2257"/>
      <c r="U20" s="49" t="s">
        <v>59</v>
      </c>
      <c r="V20" s="2262">
        <v>100000</v>
      </c>
      <c r="W20" s="2262"/>
      <c r="X20" s="2262"/>
      <c r="Y20" s="2269"/>
    </row>
    <row r="21" spans="1:25" ht="32.25" customHeight="1" x14ac:dyDescent="0.25">
      <c r="A21" s="143" t="s">
        <v>186</v>
      </c>
      <c r="B21" s="2283">
        <f>SUM(B20:S20)</f>
        <v>534677.53749999998</v>
      </c>
      <c r="C21" s="2283"/>
      <c r="O21" s="154"/>
      <c r="P21" s="154"/>
      <c r="Q21" s="154"/>
      <c r="R21" s="154"/>
      <c r="T21" s="2273" t="s">
        <v>167</v>
      </c>
      <c r="U21" s="2274"/>
      <c r="V21" s="2260"/>
      <c r="W21" s="2268"/>
      <c r="X21" s="2261"/>
      <c r="Y21" s="2269"/>
    </row>
    <row r="22" spans="1:25" ht="35.25" customHeight="1" x14ac:dyDescent="0.25">
      <c r="A22" s="15"/>
      <c r="B22" s="2275" t="s">
        <v>49</v>
      </c>
      <c r="C22" s="2265">
        <v>622133</v>
      </c>
      <c r="D22" s="2265">
        <v>494131</v>
      </c>
      <c r="E22" s="2265">
        <v>195000</v>
      </c>
      <c r="F22" s="2265">
        <f>C22-D22+E22</f>
        <v>323002</v>
      </c>
      <c r="G22" s="154"/>
      <c r="Q22" s="154"/>
      <c r="R22" s="154"/>
      <c r="T22" s="2251" t="s">
        <v>83</v>
      </c>
      <c r="U22" s="50" t="s">
        <v>60</v>
      </c>
      <c r="V22" s="2262">
        <v>393510</v>
      </c>
      <c r="W22" s="2262"/>
      <c r="X22" s="2262"/>
      <c r="Y22" s="2269"/>
    </row>
    <row r="23" spans="1:25" ht="39.75" customHeight="1" x14ac:dyDescent="0.25">
      <c r="A23" s="154"/>
      <c r="B23" s="2276"/>
      <c r="C23" s="2266"/>
      <c r="D23" s="2266"/>
      <c r="E23" s="2266"/>
      <c r="F23" s="2266"/>
      <c r="G23" s="154"/>
      <c r="Q23" s="154"/>
      <c r="R23" s="154"/>
      <c r="T23" s="2252"/>
      <c r="U23" s="50" t="s">
        <v>61</v>
      </c>
      <c r="V23" s="2262">
        <v>394131</v>
      </c>
      <c r="W23" s="2262"/>
      <c r="X23" s="2262"/>
      <c r="Y23" s="2269"/>
    </row>
    <row r="24" spans="1:25" ht="48" customHeight="1" x14ac:dyDescent="0.25">
      <c r="A24" s="154"/>
      <c r="B24" s="2277"/>
      <c r="C24" s="145" t="s">
        <v>46</v>
      </c>
      <c r="D24" s="145" t="s">
        <v>50</v>
      </c>
      <c r="E24" s="145" t="s">
        <v>51</v>
      </c>
      <c r="F24" s="145" t="s">
        <v>52</v>
      </c>
      <c r="G24" s="154"/>
      <c r="Q24" s="154"/>
      <c r="R24" s="154"/>
      <c r="T24" s="2235" t="s">
        <v>47</v>
      </c>
      <c r="U24" s="51" t="s">
        <v>62</v>
      </c>
      <c r="V24" s="2263">
        <f>V14+V16+V17-V18-V19-V20-V22+V23-V21</f>
        <v>11809.239999999991</v>
      </c>
      <c r="W24" s="2263"/>
      <c r="X24" s="2263"/>
      <c r="Y24" s="2269"/>
    </row>
    <row r="25" spans="1:25" ht="40.5" customHeight="1" x14ac:dyDescent="0.25">
      <c r="T25" s="2235"/>
      <c r="U25" s="51" t="s">
        <v>63</v>
      </c>
      <c r="V25" s="2262">
        <f>V15+V22-V23</f>
        <v>9448</v>
      </c>
      <c r="W25" s="2262"/>
      <c r="X25" s="2262"/>
    </row>
    <row r="26" spans="1:25" ht="36" customHeight="1" x14ac:dyDescent="0.25"/>
    <row r="32" spans="1:25" x14ac:dyDescent="0.25">
      <c r="I32" s="2280"/>
      <c r="J32" s="2280"/>
      <c r="K32" s="2280"/>
      <c r="L32" s="2280"/>
    </row>
    <row r="33" spans="9:12" x14ac:dyDescent="0.25">
      <c r="I33" s="154"/>
      <c r="J33" s="154"/>
      <c r="K33" s="2280"/>
      <c r="L33" s="2280"/>
    </row>
  </sheetData>
  <mergeCells count="62">
    <mergeCell ref="I32:J32"/>
    <mergeCell ref="K32:L32"/>
    <mergeCell ref="K33:L33"/>
    <mergeCell ref="T22:T23"/>
    <mergeCell ref="V22:X22"/>
    <mergeCell ref="V23:X23"/>
    <mergeCell ref="T24:T25"/>
    <mergeCell ref="V24:X24"/>
    <mergeCell ref="V25:X25"/>
    <mergeCell ref="Y18:Y24"/>
    <mergeCell ref="B19:C19"/>
    <mergeCell ref="Q19:R19"/>
    <mergeCell ref="T19:T20"/>
    <mergeCell ref="V19:X19"/>
    <mergeCell ref="B20:C20"/>
    <mergeCell ref="B22:B24"/>
    <mergeCell ref="C22:C23"/>
    <mergeCell ref="D22:D23"/>
    <mergeCell ref="E22:E23"/>
    <mergeCell ref="F22:F23"/>
    <mergeCell ref="Q20:R20"/>
    <mergeCell ref="V20:X20"/>
    <mergeCell ref="B21:C21"/>
    <mergeCell ref="T21:U21"/>
    <mergeCell ref="V21:X21"/>
    <mergeCell ref="B17:C17"/>
    <mergeCell ref="Q17:R17"/>
    <mergeCell ref="T17:U17"/>
    <mergeCell ref="V17:X17"/>
    <mergeCell ref="B18:C18"/>
    <mergeCell ref="Q18:R18"/>
    <mergeCell ref="T18:U18"/>
    <mergeCell ref="V18:X18"/>
    <mergeCell ref="W4:X4"/>
    <mergeCell ref="B16:C16"/>
    <mergeCell ref="Q16:R16"/>
    <mergeCell ref="T16:U16"/>
    <mergeCell ref="V16:X16"/>
    <mergeCell ref="A12:B12"/>
    <mergeCell ref="B14:C14"/>
    <mergeCell ref="Q14:R14"/>
    <mergeCell ref="T14:T15"/>
    <mergeCell ref="V14:X14"/>
    <mergeCell ref="B15:C15"/>
    <mergeCell ref="Q15:R15"/>
    <mergeCell ref="V15:X15"/>
    <mergeCell ref="A1:Y1"/>
    <mergeCell ref="A2:Y2"/>
    <mergeCell ref="T3:Y3"/>
    <mergeCell ref="A4:A5"/>
    <mergeCell ref="B4:B5"/>
    <mergeCell ref="C4:D4"/>
    <mergeCell ref="E4:F4"/>
    <mergeCell ref="G4:H4"/>
    <mergeCell ref="I4:J4"/>
    <mergeCell ref="K4:L4"/>
    <mergeCell ref="Y4:Y5"/>
    <mergeCell ref="M4:N4"/>
    <mergeCell ref="O4:P4"/>
    <mergeCell ref="Q4:R4"/>
    <mergeCell ref="S4:T4"/>
    <mergeCell ref="U4:V4"/>
  </mergeCells>
  <pageMargins left="0.15748031496063" right="0.15748031496063" top="0" bottom="0" header="0" footer="0"/>
  <pageSetup paperSize="9" scale="47" orientation="landscape" r:id="rId1"/>
  <legacyDrawing r:id="rId2"/>
</worksheet>
</file>

<file path=xl/worksheets/sheet5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FEE57CA-2567-410E-9D7F-F9CA6A889248}">
  <sheetPr>
    <pageSetUpPr fitToPage="1"/>
  </sheetPr>
  <dimension ref="A1:Y33"/>
  <sheetViews>
    <sheetView topLeftCell="D13" zoomScale="69" zoomScaleNormal="69" zoomScaleSheetLayoutView="100" workbookViewId="0">
      <selection activeCell="Q27" sqref="Q27"/>
    </sheetView>
  </sheetViews>
  <sheetFormatPr defaultColWidth="9.140625" defaultRowHeight="15" x14ac:dyDescent="0.25"/>
  <cols>
    <col min="1" max="1" width="18.28515625" style="14" customWidth="1"/>
    <col min="2" max="2" width="10.7109375" style="14" customWidth="1"/>
    <col min="3" max="3" width="12.28515625" style="14" customWidth="1"/>
    <col min="4" max="4" width="11" style="14" customWidth="1"/>
    <col min="5" max="5" width="12" style="14" customWidth="1"/>
    <col min="6" max="6" width="12.5703125" style="14" bestFit="1" customWidth="1"/>
    <col min="7" max="7" width="9.28515625" style="14" bestFit="1" customWidth="1"/>
    <col min="8" max="8" width="10.140625" style="14" bestFit="1" customWidth="1"/>
    <col min="9" max="9" width="10.5703125" style="14" bestFit="1" customWidth="1"/>
    <col min="10" max="10" width="10.5703125" style="14" customWidth="1"/>
    <col min="11" max="11" width="10.28515625" style="14" bestFit="1" customWidth="1"/>
    <col min="12" max="12" width="9.42578125" style="14" bestFit="1" customWidth="1"/>
    <col min="13" max="13" width="9.85546875" style="14" bestFit="1" customWidth="1"/>
    <col min="14" max="14" width="10.140625" style="14" bestFit="1" customWidth="1"/>
    <col min="15" max="15" width="9" style="14" customWidth="1"/>
    <col min="16" max="16" width="12.85546875" style="14" bestFit="1" customWidth="1"/>
    <col min="17" max="18" width="9.42578125" style="14" customWidth="1"/>
    <col min="19" max="19" width="13.7109375" style="14" customWidth="1"/>
    <col min="20" max="20" width="12.140625" style="14" customWidth="1"/>
    <col min="21" max="21" width="19.5703125" style="14" bestFit="1" customWidth="1"/>
    <col min="22" max="22" width="9.85546875" style="14" customWidth="1"/>
    <col min="23" max="23" width="10.140625" style="14" bestFit="1" customWidth="1"/>
    <col min="24" max="24" width="10.28515625" style="14" customWidth="1"/>
    <col min="25" max="25" width="28" style="14" customWidth="1"/>
    <col min="26" max="16384" width="9.140625" style="14"/>
  </cols>
  <sheetData>
    <row r="1" spans="1:25" ht="46.15" customHeight="1" x14ac:dyDescent="0.25">
      <c r="A1" s="2240" t="s">
        <v>148</v>
      </c>
      <c r="B1" s="2240"/>
      <c r="C1" s="2240"/>
      <c r="D1" s="2240"/>
      <c r="E1" s="2240"/>
      <c r="F1" s="2240"/>
      <c r="G1" s="2240"/>
      <c r="H1" s="2240"/>
      <c r="I1" s="2240"/>
      <c r="J1" s="2240"/>
      <c r="K1" s="2240"/>
      <c r="L1" s="2240"/>
      <c r="M1" s="2240"/>
      <c r="N1" s="2240"/>
      <c r="O1" s="2240"/>
      <c r="P1" s="2240"/>
      <c r="Q1" s="2240"/>
      <c r="R1" s="2240"/>
      <c r="S1" s="2240"/>
      <c r="T1" s="2240"/>
      <c r="U1" s="2240"/>
      <c r="V1" s="2240"/>
      <c r="W1" s="2240"/>
      <c r="X1" s="2240"/>
      <c r="Y1" s="2240"/>
    </row>
    <row r="2" spans="1:25" ht="21.6" customHeight="1" x14ac:dyDescent="0.25">
      <c r="A2" s="2241" t="s">
        <v>77</v>
      </c>
      <c r="B2" s="2241"/>
      <c r="C2" s="2241"/>
      <c r="D2" s="2241"/>
      <c r="E2" s="2241"/>
      <c r="F2" s="2241"/>
      <c r="G2" s="2241"/>
      <c r="H2" s="2241"/>
      <c r="I2" s="2241"/>
      <c r="J2" s="2241"/>
      <c r="K2" s="2241"/>
      <c r="L2" s="2241"/>
      <c r="M2" s="2241"/>
      <c r="N2" s="2241"/>
      <c r="O2" s="2241"/>
      <c r="P2" s="2241"/>
      <c r="Q2" s="2241"/>
      <c r="R2" s="2241"/>
      <c r="S2" s="2241"/>
      <c r="T2" s="2241"/>
      <c r="U2" s="2241"/>
      <c r="V2" s="2241"/>
      <c r="W2" s="2241"/>
      <c r="X2" s="2241"/>
      <c r="Y2" s="2241"/>
    </row>
    <row r="3" spans="1:25" ht="21" customHeight="1" x14ac:dyDescent="0.25">
      <c r="A3" s="144"/>
      <c r="B3" s="144"/>
      <c r="C3" s="144"/>
      <c r="D3" s="144"/>
      <c r="E3" s="144"/>
      <c r="F3" s="144"/>
      <c r="G3" s="144"/>
      <c r="H3" s="144"/>
      <c r="I3" s="144"/>
      <c r="J3" s="144"/>
      <c r="K3" s="144"/>
      <c r="L3" s="144"/>
      <c r="M3" s="144"/>
      <c r="N3" s="144"/>
      <c r="O3" s="144"/>
      <c r="P3" s="144"/>
      <c r="Q3" s="144"/>
      <c r="R3" s="144"/>
      <c r="S3" s="144"/>
      <c r="T3" s="2242" t="s">
        <v>201</v>
      </c>
      <c r="U3" s="2242"/>
      <c r="V3" s="2242"/>
      <c r="W3" s="2242"/>
      <c r="X3" s="2242"/>
      <c r="Y3" s="2242"/>
    </row>
    <row r="4" spans="1:25" s="144" customFormat="1" ht="18" customHeight="1" x14ac:dyDescent="0.25">
      <c r="A4" s="2243" t="s">
        <v>25</v>
      </c>
      <c r="B4" s="2243" t="s">
        <v>26</v>
      </c>
      <c r="C4" s="2244" t="s">
        <v>27</v>
      </c>
      <c r="D4" s="2244"/>
      <c r="E4" s="2244" t="s">
        <v>28</v>
      </c>
      <c r="F4" s="2244"/>
      <c r="G4" s="2244" t="s">
        <v>65</v>
      </c>
      <c r="H4" s="2244"/>
      <c r="I4" s="2244" t="s">
        <v>29</v>
      </c>
      <c r="J4" s="2244"/>
      <c r="K4" s="2245" t="s">
        <v>13</v>
      </c>
      <c r="L4" s="2246"/>
      <c r="M4" s="2245" t="s">
        <v>67</v>
      </c>
      <c r="N4" s="2246"/>
      <c r="O4" s="2245" t="s">
        <v>68</v>
      </c>
      <c r="P4" s="2246"/>
      <c r="Q4" s="2245" t="s">
        <v>114</v>
      </c>
      <c r="R4" s="2246"/>
      <c r="S4" s="2244" t="s">
        <v>35</v>
      </c>
      <c r="T4" s="2244"/>
      <c r="U4" s="2245" t="s">
        <v>17</v>
      </c>
      <c r="V4" s="2246"/>
      <c r="W4" s="2247" t="s">
        <v>36</v>
      </c>
      <c r="X4" s="2248"/>
      <c r="Y4" s="2238" t="s">
        <v>30</v>
      </c>
    </row>
    <row r="5" spans="1:25" s="144" customFormat="1" ht="25.5" customHeight="1" x14ac:dyDescent="0.25">
      <c r="A5" s="2243"/>
      <c r="B5" s="2243"/>
      <c r="C5" s="146" t="s">
        <v>42</v>
      </c>
      <c r="D5" s="146" t="s">
        <v>43</v>
      </c>
      <c r="E5" s="146" t="s">
        <v>42</v>
      </c>
      <c r="F5" s="146" t="s">
        <v>43</v>
      </c>
      <c r="G5" s="146" t="s">
        <v>42</v>
      </c>
      <c r="H5" s="146" t="s">
        <v>43</v>
      </c>
      <c r="I5" s="146" t="s">
        <v>42</v>
      </c>
      <c r="J5" s="146" t="s">
        <v>43</v>
      </c>
      <c r="K5" s="146" t="s">
        <v>42</v>
      </c>
      <c r="L5" s="146" t="s">
        <v>43</v>
      </c>
      <c r="M5" s="146" t="s">
        <v>42</v>
      </c>
      <c r="N5" s="146" t="s">
        <v>43</v>
      </c>
      <c r="O5" s="146" t="s">
        <v>42</v>
      </c>
      <c r="P5" s="146" t="s">
        <v>43</v>
      </c>
      <c r="Q5" s="146" t="s">
        <v>42</v>
      </c>
      <c r="R5" s="146" t="s">
        <v>43</v>
      </c>
      <c r="S5" s="33" t="s">
        <v>42</v>
      </c>
      <c r="T5" s="33" t="s">
        <v>43</v>
      </c>
      <c r="U5" s="30" t="s">
        <v>42</v>
      </c>
      <c r="V5" s="30" t="s">
        <v>43</v>
      </c>
      <c r="W5" s="30" t="s">
        <v>42</v>
      </c>
      <c r="X5" s="30" t="s">
        <v>43</v>
      </c>
      <c r="Y5" s="2239"/>
    </row>
    <row r="6" spans="1:25" ht="34.5" customHeight="1" x14ac:dyDescent="0.25">
      <c r="A6" s="12">
        <v>1409935200</v>
      </c>
      <c r="B6" s="145" t="s">
        <v>71</v>
      </c>
      <c r="C6" s="148">
        <v>41966</v>
      </c>
      <c r="D6" s="149">
        <f>0.9725*C6</f>
        <v>40811.934999999998</v>
      </c>
      <c r="E6" s="148"/>
      <c r="F6" s="148">
        <f>13.7*E6</f>
        <v>0</v>
      </c>
      <c r="G6" s="148"/>
      <c r="H6" s="148">
        <f>28.2*G6</f>
        <v>0</v>
      </c>
      <c r="I6" s="148"/>
      <c r="J6" s="148">
        <f>18.5*I6</f>
        <v>0</v>
      </c>
      <c r="K6" s="148"/>
      <c r="L6" s="148">
        <f>19.5*K6</f>
        <v>0</v>
      </c>
      <c r="M6" s="148"/>
      <c r="N6" s="149">
        <f>M6*9.75</f>
        <v>0</v>
      </c>
      <c r="O6" s="148"/>
      <c r="P6" s="149">
        <f>O6*48.62</f>
        <v>0</v>
      </c>
      <c r="Q6" s="149"/>
      <c r="R6" s="149">
        <f>241*Q6</f>
        <v>0</v>
      </c>
      <c r="S6" s="148"/>
      <c r="T6" s="148">
        <f>241*S6</f>
        <v>0</v>
      </c>
      <c r="U6" s="148"/>
      <c r="V6" s="148">
        <f>232*U6</f>
        <v>0</v>
      </c>
      <c r="W6" s="148">
        <v>1</v>
      </c>
      <c r="X6" s="19">
        <f>W6*100</f>
        <v>100</v>
      </c>
      <c r="Y6" s="89">
        <f t="shared" ref="Y6:Y11" si="0">D6+F6+H6+J6+L6+N6+P6+R6+T6+V6+X6</f>
        <v>40911.934999999998</v>
      </c>
    </row>
    <row r="7" spans="1:25" ht="31.5" customHeight="1" x14ac:dyDescent="0.25">
      <c r="A7" s="12">
        <v>1984225578</v>
      </c>
      <c r="B7" s="145" t="s">
        <v>72</v>
      </c>
      <c r="C7" s="148">
        <v>32368</v>
      </c>
      <c r="D7" s="149">
        <f t="shared" ref="D7:D11" si="1">0.9725*C7</f>
        <v>31477.88</v>
      </c>
      <c r="E7" s="148"/>
      <c r="F7" s="148">
        <f t="shared" ref="F7:F11" si="2">13.7*E7</f>
        <v>0</v>
      </c>
      <c r="G7" s="148"/>
      <c r="H7" s="148">
        <f t="shared" ref="H7:H11" si="3">28.2*G7</f>
        <v>0</v>
      </c>
      <c r="I7" s="148"/>
      <c r="J7" s="148">
        <f t="shared" ref="J7:J11" si="4">18.5*I7</f>
        <v>0</v>
      </c>
      <c r="K7" s="148"/>
      <c r="L7" s="148">
        <f t="shared" ref="L7:L11" si="5">19.5*K7</f>
        <v>0</v>
      </c>
      <c r="M7" s="148"/>
      <c r="N7" s="149">
        <f t="shared" ref="N7:N11" si="6">M7*9.75</f>
        <v>0</v>
      </c>
      <c r="O7" s="148"/>
      <c r="P7" s="149">
        <f t="shared" ref="P7:P11" si="7">O7*48.62</f>
        <v>0</v>
      </c>
      <c r="Q7" s="149"/>
      <c r="R7" s="149">
        <f t="shared" ref="R7:R11" si="8">241*Q7</f>
        <v>0</v>
      </c>
      <c r="S7" s="148"/>
      <c r="T7" s="148">
        <f t="shared" ref="T7:T11" si="9">241*S7</f>
        <v>0</v>
      </c>
      <c r="U7" s="148"/>
      <c r="V7" s="148">
        <f t="shared" ref="V7:V11" si="10">232*U7</f>
        <v>0</v>
      </c>
      <c r="W7" s="148"/>
      <c r="X7" s="19">
        <f t="shared" ref="X7:X11" si="11">W7*100</f>
        <v>0</v>
      </c>
      <c r="Y7" s="89">
        <f t="shared" si="0"/>
        <v>31477.88</v>
      </c>
    </row>
    <row r="8" spans="1:25" ht="35.25" customHeight="1" x14ac:dyDescent="0.25">
      <c r="A8" s="12">
        <v>1967020280</v>
      </c>
      <c r="B8" s="145" t="s">
        <v>73</v>
      </c>
      <c r="C8" s="148">
        <v>20038</v>
      </c>
      <c r="D8" s="149">
        <f t="shared" si="1"/>
        <v>19486.955000000002</v>
      </c>
      <c r="E8" s="148"/>
      <c r="F8" s="148">
        <f t="shared" si="2"/>
        <v>0</v>
      </c>
      <c r="G8" s="148"/>
      <c r="H8" s="148">
        <f t="shared" si="3"/>
        <v>0</v>
      </c>
      <c r="I8" s="148"/>
      <c r="J8" s="148">
        <f t="shared" si="4"/>
        <v>0</v>
      </c>
      <c r="K8" s="148"/>
      <c r="L8" s="148">
        <f t="shared" si="5"/>
        <v>0</v>
      </c>
      <c r="M8" s="148"/>
      <c r="N8" s="149">
        <f t="shared" si="6"/>
        <v>0</v>
      </c>
      <c r="O8" s="148"/>
      <c r="P8" s="149">
        <f t="shared" si="7"/>
        <v>0</v>
      </c>
      <c r="Q8" s="149"/>
      <c r="R8" s="149">
        <f t="shared" si="8"/>
        <v>0</v>
      </c>
      <c r="S8" s="148"/>
      <c r="T8" s="148">
        <f t="shared" si="9"/>
        <v>0</v>
      </c>
      <c r="U8" s="148"/>
      <c r="V8" s="148">
        <f t="shared" si="10"/>
        <v>0</v>
      </c>
      <c r="W8" s="148"/>
      <c r="X8" s="19">
        <f t="shared" si="11"/>
        <v>0</v>
      </c>
      <c r="Y8" s="89">
        <f t="shared" si="0"/>
        <v>19486.955000000002</v>
      </c>
    </row>
    <row r="9" spans="1:25" ht="38.25" customHeight="1" x14ac:dyDescent="0.25">
      <c r="A9" s="12">
        <v>1409935199</v>
      </c>
      <c r="B9" s="145" t="s">
        <v>75</v>
      </c>
      <c r="C9" s="148">
        <v>31769</v>
      </c>
      <c r="D9" s="149">
        <f t="shared" si="1"/>
        <v>30895.352500000001</v>
      </c>
      <c r="E9" s="148"/>
      <c r="F9" s="148">
        <f t="shared" si="2"/>
        <v>0</v>
      </c>
      <c r="G9" s="148"/>
      <c r="H9" s="148">
        <f t="shared" si="3"/>
        <v>0</v>
      </c>
      <c r="I9" s="148">
        <v>310</v>
      </c>
      <c r="J9" s="148">
        <f t="shared" si="4"/>
        <v>5735</v>
      </c>
      <c r="K9" s="148"/>
      <c r="L9" s="148">
        <f t="shared" si="5"/>
        <v>0</v>
      </c>
      <c r="M9" s="148"/>
      <c r="N9" s="149">
        <f t="shared" si="6"/>
        <v>0</v>
      </c>
      <c r="O9" s="148"/>
      <c r="P9" s="149">
        <f t="shared" si="7"/>
        <v>0</v>
      </c>
      <c r="Q9" s="149"/>
      <c r="R9" s="149">
        <f t="shared" si="8"/>
        <v>0</v>
      </c>
      <c r="S9" s="148"/>
      <c r="T9" s="148">
        <f t="shared" si="9"/>
        <v>0</v>
      </c>
      <c r="U9" s="148"/>
      <c r="V9" s="148">
        <f t="shared" si="10"/>
        <v>0</v>
      </c>
      <c r="W9" s="148"/>
      <c r="X9" s="19">
        <f t="shared" si="11"/>
        <v>0</v>
      </c>
      <c r="Y9" s="89">
        <f t="shared" si="0"/>
        <v>36630.352500000001</v>
      </c>
    </row>
    <row r="10" spans="1:25" ht="35.25" customHeight="1" x14ac:dyDescent="0.25">
      <c r="A10" s="12">
        <v>1984225580</v>
      </c>
      <c r="C10" s="148"/>
      <c r="D10" s="149">
        <f t="shared" si="1"/>
        <v>0</v>
      </c>
      <c r="E10" s="148"/>
      <c r="F10" s="148">
        <f t="shared" si="2"/>
        <v>0</v>
      </c>
      <c r="G10" s="148"/>
      <c r="H10" s="148">
        <f t="shared" si="3"/>
        <v>0</v>
      </c>
      <c r="I10" s="148"/>
      <c r="J10" s="148">
        <f t="shared" si="4"/>
        <v>0</v>
      </c>
      <c r="K10" s="148"/>
      <c r="L10" s="148">
        <f t="shared" si="5"/>
        <v>0</v>
      </c>
      <c r="M10" s="148"/>
      <c r="N10" s="149">
        <f t="shared" si="6"/>
        <v>0</v>
      </c>
      <c r="O10" s="148"/>
      <c r="P10" s="149">
        <f t="shared" si="7"/>
        <v>0</v>
      </c>
      <c r="Q10" s="149"/>
      <c r="R10" s="149">
        <f t="shared" si="8"/>
        <v>0</v>
      </c>
      <c r="S10" s="148"/>
      <c r="T10" s="148">
        <f t="shared" si="9"/>
        <v>0</v>
      </c>
      <c r="U10" s="148"/>
      <c r="V10" s="148">
        <f t="shared" si="10"/>
        <v>0</v>
      </c>
      <c r="W10" s="148"/>
      <c r="X10" s="19">
        <f t="shared" si="11"/>
        <v>0</v>
      </c>
      <c r="Y10" s="89">
        <f t="shared" si="0"/>
        <v>0</v>
      </c>
    </row>
    <row r="11" spans="1:25" ht="37.5" customHeight="1" x14ac:dyDescent="0.25">
      <c r="A11" s="12"/>
      <c r="B11" s="147"/>
      <c r="C11" s="148"/>
      <c r="D11" s="22">
        <f t="shared" si="1"/>
        <v>0</v>
      </c>
      <c r="E11" s="148"/>
      <c r="F11" s="148">
        <f t="shared" si="2"/>
        <v>0</v>
      </c>
      <c r="G11" s="148"/>
      <c r="H11" s="148">
        <f t="shared" si="3"/>
        <v>0</v>
      </c>
      <c r="I11" s="148"/>
      <c r="J11" s="148">
        <f t="shared" si="4"/>
        <v>0</v>
      </c>
      <c r="K11" s="148"/>
      <c r="L11" s="148">
        <f t="shared" si="5"/>
        <v>0</v>
      </c>
      <c r="M11" s="148"/>
      <c r="N11" s="149">
        <f t="shared" si="6"/>
        <v>0</v>
      </c>
      <c r="O11" s="148"/>
      <c r="P11" s="149">
        <f t="shared" si="7"/>
        <v>0</v>
      </c>
      <c r="Q11" s="149"/>
      <c r="R11" s="149">
        <f t="shared" si="8"/>
        <v>0</v>
      </c>
      <c r="S11" s="148">
        <v>119</v>
      </c>
      <c r="T11" s="148">
        <f t="shared" si="9"/>
        <v>28679</v>
      </c>
      <c r="U11" s="148"/>
      <c r="V11" s="148">
        <f t="shared" si="10"/>
        <v>0</v>
      </c>
      <c r="W11" s="148"/>
      <c r="X11" s="19">
        <f t="shared" si="11"/>
        <v>0</v>
      </c>
      <c r="Y11" s="20">
        <f t="shared" si="0"/>
        <v>28679</v>
      </c>
    </row>
    <row r="12" spans="1:25" ht="29.25" customHeight="1" x14ac:dyDescent="0.25">
      <c r="A12" s="2235" t="s">
        <v>31</v>
      </c>
      <c r="B12" s="2235"/>
      <c r="C12" s="18">
        <f t="shared" ref="C12:Y12" si="12">SUM(C6:C11)</f>
        <v>126141</v>
      </c>
      <c r="D12" s="18">
        <f t="shared" si="12"/>
        <v>122672.1225</v>
      </c>
      <c r="E12" s="18">
        <f t="shared" si="12"/>
        <v>0</v>
      </c>
      <c r="F12" s="18">
        <f t="shared" si="12"/>
        <v>0</v>
      </c>
      <c r="G12" s="18">
        <f t="shared" si="12"/>
        <v>0</v>
      </c>
      <c r="H12" s="18">
        <f t="shared" si="12"/>
        <v>0</v>
      </c>
      <c r="I12" s="18">
        <f t="shared" si="12"/>
        <v>310</v>
      </c>
      <c r="J12" s="18">
        <f t="shared" si="12"/>
        <v>5735</v>
      </c>
      <c r="K12" s="18">
        <f t="shared" si="12"/>
        <v>0</v>
      </c>
      <c r="L12" s="18">
        <f t="shared" si="12"/>
        <v>0</v>
      </c>
      <c r="M12" s="18">
        <f t="shared" si="12"/>
        <v>0</v>
      </c>
      <c r="N12" s="23">
        <f t="shared" si="12"/>
        <v>0</v>
      </c>
      <c r="O12" s="18">
        <f t="shared" si="12"/>
        <v>0</v>
      </c>
      <c r="P12" s="23">
        <f t="shared" si="12"/>
        <v>0</v>
      </c>
      <c r="Q12" s="23">
        <f t="shared" si="12"/>
        <v>0</v>
      </c>
      <c r="R12" s="23">
        <f>SUM(R6:R11)</f>
        <v>0</v>
      </c>
      <c r="S12" s="18">
        <f t="shared" si="12"/>
        <v>119</v>
      </c>
      <c r="T12" s="18">
        <f t="shared" si="12"/>
        <v>28679</v>
      </c>
      <c r="U12" s="18">
        <f t="shared" si="12"/>
        <v>0</v>
      </c>
      <c r="V12" s="18">
        <f t="shared" si="12"/>
        <v>0</v>
      </c>
      <c r="W12" s="18">
        <f t="shared" si="12"/>
        <v>1</v>
      </c>
      <c r="X12" s="18">
        <f t="shared" si="12"/>
        <v>100</v>
      </c>
      <c r="Y12" s="18">
        <f t="shared" si="12"/>
        <v>157186.1225</v>
      </c>
    </row>
    <row r="14" spans="1:25" ht="41.25" customHeight="1" x14ac:dyDescent="0.25">
      <c r="A14" s="30" t="s">
        <v>32</v>
      </c>
      <c r="B14" s="2236" t="s">
        <v>27</v>
      </c>
      <c r="C14" s="2236"/>
      <c r="D14" s="30" t="s">
        <v>33</v>
      </c>
      <c r="E14" s="30" t="s">
        <v>65</v>
      </c>
      <c r="F14" s="30" t="s">
        <v>34</v>
      </c>
      <c r="G14" s="30" t="s">
        <v>13</v>
      </c>
      <c r="H14" s="142" t="s">
        <v>173</v>
      </c>
      <c r="I14" s="30" t="s">
        <v>17</v>
      </c>
      <c r="J14" s="153" t="s">
        <v>174</v>
      </c>
      <c r="K14" s="30" t="s">
        <v>36</v>
      </c>
      <c r="L14" s="30" t="s">
        <v>175</v>
      </c>
      <c r="M14" s="30" t="s">
        <v>69</v>
      </c>
      <c r="N14" s="30" t="s">
        <v>70</v>
      </c>
      <c r="O14" s="153" t="s">
        <v>114</v>
      </c>
      <c r="P14" s="153" t="s">
        <v>99</v>
      </c>
      <c r="Q14" s="2272" t="s">
        <v>150</v>
      </c>
      <c r="R14" s="2272"/>
      <c r="S14" s="153" t="s">
        <v>171</v>
      </c>
      <c r="T14" s="2235" t="s">
        <v>46</v>
      </c>
      <c r="U14" s="145" t="s">
        <v>176</v>
      </c>
      <c r="V14" s="2260">
        <v>11809</v>
      </c>
      <c r="W14" s="2268"/>
      <c r="X14" s="2261"/>
    </row>
    <row r="15" spans="1:25" ht="22.5" customHeight="1" x14ac:dyDescent="0.25">
      <c r="A15" s="100" t="s">
        <v>38</v>
      </c>
      <c r="B15" s="2260">
        <v>283615</v>
      </c>
      <c r="C15" s="2261"/>
      <c r="D15" s="150">
        <v>0</v>
      </c>
      <c r="E15" s="150">
        <v>10</v>
      </c>
      <c r="F15" s="150">
        <v>310</v>
      </c>
      <c r="G15" s="150">
        <v>0</v>
      </c>
      <c r="H15" s="150">
        <v>40</v>
      </c>
      <c r="I15" s="150">
        <v>0</v>
      </c>
      <c r="J15" s="150">
        <v>140</v>
      </c>
      <c r="K15" s="150">
        <v>51</v>
      </c>
      <c r="L15" s="150">
        <v>244</v>
      </c>
      <c r="M15" s="150">
        <v>0</v>
      </c>
      <c r="N15" s="150">
        <v>100</v>
      </c>
      <c r="O15" s="150">
        <v>0</v>
      </c>
      <c r="P15" s="150">
        <v>464</v>
      </c>
      <c r="Q15" s="2262">
        <v>6</v>
      </c>
      <c r="R15" s="2262"/>
      <c r="S15" s="145">
        <v>126</v>
      </c>
      <c r="T15" s="2235"/>
      <c r="U15" s="145" t="s">
        <v>64</v>
      </c>
      <c r="V15" s="2262">
        <v>9448</v>
      </c>
      <c r="W15" s="2262"/>
      <c r="X15" s="2262"/>
    </row>
    <row r="16" spans="1:25" ht="24.75" customHeight="1" x14ac:dyDescent="0.25">
      <c r="A16" s="100" t="s">
        <v>39</v>
      </c>
      <c r="B16" s="2260">
        <v>119480</v>
      </c>
      <c r="C16" s="2261"/>
      <c r="D16" s="150"/>
      <c r="E16" s="150"/>
      <c r="F16" s="150"/>
      <c r="G16" s="150"/>
      <c r="H16" s="150">
        <v>100</v>
      </c>
      <c r="I16" s="150"/>
      <c r="J16" s="150"/>
      <c r="K16" s="150"/>
      <c r="L16" s="150"/>
      <c r="M16" s="150"/>
      <c r="N16" s="150"/>
      <c r="O16" s="150"/>
      <c r="P16" s="150"/>
      <c r="Q16" s="2225"/>
      <c r="R16" s="2225"/>
      <c r="S16" s="147"/>
      <c r="T16" s="2254" t="s">
        <v>55</v>
      </c>
      <c r="U16" s="2254"/>
      <c r="V16" s="2267">
        <f>Y12</f>
        <v>157186.1225</v>
      </c>
      <c r="W16" s="2267"/>
      <c r="X16" s="2262"/>
    </row>
    <row r="17" spans="1:25" ht="28.5" customHeight="1" x14ac:dyDescent="0.25">
      <c r="A17" s="101" t="s">
        <v>44</v>
      </c>
      <c r="B17" s="2260"/>
      <c r="C17" s="2261"/>
      <c r="D17" s="150"/>
      <c r="E17" s="150"/>
      <c r="F17" s="150"/>
      <c r="G17" s="150"/>
      <c r="H17" s="150"/>
      <c r="I17" s="150"/>
      <c r="J17" s="150"/>
      <c r="K17" s="150"/>
      <c r="L17" s="150"/>
      <c r="M17" s="150"/>
      <c r="N17" s="150"/>
      <c r="O17" s="150"/>
      <c r="P17" s="150"/>
      <c r="Q17" s="2225"/>
      <c r="R17" s="2225"/>
      <c r="S17" s="147"/>
      <c r="T17" s="2273" t="s">
        <v>205</v>
      </c>
      <c r="U17" s="2274"/>
      <c r="V17" s="2262"/>
      <c r="W17" s="2262"/>
      <c r="X17" s="2262"/>
    </row>
    <row r="18" spans="1:25" ht="27" customHeight="1" x14ac:dyDescent="0.25">
      <c r="A18" s="100" t="s">
        <v>40</v>
      </c>
      <c r="B18" s="2264">
        <f>C12</f>
        <v>126141</v>
      </c>
      <c r="C18" s="2261"/>
      <c r="D18" s="151">
        <f>E12</f>
        <v>0</v>
      </c>
      <c r="E18" s="151">
        <f>G12</f>
        <v>0</v>
      </c>
      <c r="F18" s="151">
        <f>I12</f>
        <v>310</v>
      </c>
      <c r="G18" s="151">
        <f>K12</f>
        <v>0</v>
      </c>
      <c r="H18" s="150"/>
      <c r="I18" s="151">
        <f>U12</f>
        <v>0</v>
      </c>
      <c r="J18" s="150">
        <v>72</v>
      </c>
      <c r="K18" s="151">
        <f>W12</f>
        <v>1</v>
      </c>
      <c r="L18" s="150">
        <v>32</v>
      </c>
      <c r="M18" s="151">
        <f>M12</f>
        <v>0</v>
      </c>
      <c r="N18" s="151">
        <f>O12</f>
        <v>0</v>
      </c>
      <c r="O18" s="152">
        <f>Q12</f>
        <v>0</v>
      </c>
      <c r="P18" s="150"/>
      <c r="Q18" s="2225"/>
      <c r="R18" s="2225"/>
      <c r="S18" s="145">
        <v>15</v>
      </c>
      <c r="T18" s="2254" t="s">
        <v>57</v>
      </c>
      <c r="U18" s="2254"/>
      <c r="V18" s="2262">
        <f>450+28778</f>
        <v>29228</v>
      </c>
      <c r="W18" s="2262"/>
      <c r="X18" s="2262"/>
      <c r="Y18" s="2269" t="s">
        <v>203</v>
      </c>
    </row>
    <row r="19" spans="1:25" ht="25.5" customHeight="1" x14ac:dyDescent="0.25">
      <c r="A19" s="100" t="s">
        <v>41</v>
      </c>
      <c r="B19" s="2260">
        <f>B15+B16+B17-B18</f>
        <v>276954</v>
      </c>
      <c r="C19" s="2261"/>
      <c r="D19" s="150">
        <f>D15+D16+D17-D18</f>
        <v>0</v>
      </c>
      <c r="E19" s="150">
        <f t="shared" ref="E19:N19" si="13">E15+E16+E17-E18</f>
        <v>10</v>
      </c>
      <c r="F19" s="150">
        <f t="shared" si="13"/>
        <v>0</v>
      </c>
      <c r="G19" s="150">
        <f t="shared" si="13"/>
        <v>0</v>
      </c>
      <c r="H19" s="150">
        <f t="shared" si="13"/>
        <v>140</v>
      </c>
      <c r="I19" s="150">
        <f t="shared" si="13"/>
        <v>0</v>
      </c>
      <c r="J19" s="150">
        <f t="shared" si="13"/>
        <v>68</v>
      </c>
      <c r="K19" s="150">
        <f t="shared" si="13"/>
        <v>50</v>
      </c>
      <c r="L19" s="150">
        <f t="shared" si="13"/>
        <v>212</v>
      </c>
      <c r="M19" s="150">
        <f t="shared" si="13"/>
        <v>0</v>
      </c>
      <c r="N19" s="150">
        <f t="shared" si="13"/>
        <v>100</v>
      </c>
      <c r="O19" s="150">
        <f>O15+O16+O17-O18</f>
        <v>0</v>
      </c>
      <c r="P19" s="150">
        <f>P15+P16+P17-P18</f>
        <v>464</v>
      </c>
      <c r="Q19" s="2260">
        <f t="shared" ref="Q19" si="14">Q15+Q16+Q17-Q18</f>
        <v>6</v>
      </c>
      <c r="R19" s="2261"/>
      <c r="S19" s="145">
        <f>S15+S16-S17-S18</f>
        <v>111</v>
      </c>
      <c r="T19" s="2256" t="s">
        <v>48</v>
      </c>
      <c r="U19" s="49" t="s">
        <v>58</v>
      </c>
      <c r="V19" s="2262">
        <v>126000</v>
      </c>
      <c r="W19" s="2262"/>
      <c r="X19" s="2262"/>
      <c r="Y19" s="2269"/>
    </row>
    <row r="20" spans="1:25" ht="23.25" customHeight="1" x14ac:dyDescent="0.25">
      <c r="A20" s="11" t="s">
        <v>187</v>
      </c>
      <c r="B20" s="2278">
        <f>B19*0.9625</f>
        <v>266568.22500000003</v>
      </c>
      <c r="C20" s="2279"/>
      <c r="D20" s="147">
        <f>D19*13.56</f>
        <v>0</v>
      </c>
      <c r="E20" s="147">
        <f>28.2*E19</f>
        <v>282</v>
      </c>
      <c r="F20" s="147">
        <f>18.31*F19</f>
        <v>0</v>
      </c>
      <c r="G20" s="147">
        <f>19.3*G19</f>
        <v>0</v>
      </c>
      <c r="H20" s="147">
        <f>241*H19</f>
        <v>33740</v>
      </c>
      <c r="I20" s="147">
        <f>223*I19</f>
        <v>0</v>
      </c>
      <c r="J20" s="147">
        <f>241*J19</f>
        <v>16388</v>
      </c>
      <c r="K20" s="147">
        <f>K19*100</f>
        <v>5000</v>
      </c>
      <c r="L20" s="147">
        <f>241*L19</f>
        <v>51092</v>
      </c>
      <c r="M20" s="147">
        <f>9.65*M19</f>
        <v>0</v>
      </c>
      <c r="N20" s="147">
        <f>N19*48.2</f>
        <v>4820</v>
      </c>
      <c r="O20" s="147">
        <f>241*O19</f>
        <v>0</v>
      </c>
      <c r="P20" s="147">
        <f>241*P19</f>
        <v>111824</v>
      </c>
      <c r="Q20" s="2278">
        <f>241*Q19</f>
        <v>1446</v>
      </c>
      <c r="R20" s="2279"/>
      <c r="S20" s="147">
        <f>241*S19</f>
        <v>26751</v>
      </c>
      <c r="T20" s="2257"/>
      <c r="U20" s="49" t="s">
        <v>59</v>
      </c>
      <c r="V20" s="2262"/>
      <c r="W20" s="2262"/>
      <c r="X20" s="2262"/>
      <c r="Y20" s="2269"/>
    </row>
    <row r="21" spans="1:25" ht="32.25" customHeight="1" x14ac:dyDescent="0.25">
      <c r="A21" s="143" t="s">
        <v>186</v>
      </c>
      <c r="B21" s="2283">
        <f>SUM(B20:S20)</f>
        <v>517911.22500000003</v>
      </c>
      <c r="C21" s="2283"/>
      <c r="O21" s="154"/>
      <c r="P21" s="154"/>
      <c r="Q21" s="154"/>
      <c r="R21" s="154"/>
      <c r="T21" s="2273" t="s">
        <v>167</v>
      </c>
      <c r="U21" s="2274"/>
      <c r="V21" s="2260"/>
      <c r="W21" s="2268"/>
      <c r="X21" s="2261"/>
      <c r="Y21" s="2269"/>
    </row>
    <row r="22" spans="1:25" ht="35.25" customHeight="1" x14ac:dyDescent="0.25">
      <c r="A22" s="15"/>
      <c r="B22" s="2275" t="s">
        <v>49</v>
      </c>
      <c r="C22" s="2265">
        <v>323002</v>
      </c>
      <c r="D22" s="2265">
        <v>126000</v>
      </c>
      <c r="E22" s="2265">
        <v>139100</v>
      </c>
      <c r="F22" s="2265">
        <f>C22-D22+E22</f>
        <v>336102</v>
      </c>
      <c r="G22" s="154"/>
      <c r="Q22" s="154"/>
      <c r="R22" s="154"/>
      <c r="T22" s="2251" t="s">
        <v>83</v>
      </c>
      <c r="U22" s="50" t="s">
        <v>60</v>
      </c>
      <c r="V22" s="2262">
        <v>126440</v>
      </c>
      <c r="W22" s="2262"/>
      <c r="X22" s="2262"/>
      <c r="Y22" s="2269"/>
    </row>
    <row r="23" spans="1:25" ht="39.75" customHeight="1" x14ac:dyDescent="0.25">
      <c r="A23" s="154"/>
      <c r="B23" s="2276"/>
      <c r="C23" s="2266"/>
      <c r="D23" s="2266"/>
      <c r="E23" s="2266"/>
      <c r="F23" s="2266"/>
      <c r="G23" s="154"/>
      <c r="Q23" s="154"/>
      <c r="R23" s="154"/>
      <c r="T23" s="2252"/>
      <c r="U23" s="50" t="s">
        <v>61</v>
      </c>
      <c r="V23" s="2262">
        <v>126000</v>
      </c>
      <c r="W23" s="2262"/>
      <c r="X23" s="2262"/>
      <c r="Y23" s="2269"/>
    </row>
    <row r="24" spans="1:25" ht="48" customHeight="1" x14ac:dyDescent="0.25">
      <c r="A24" s="154"/>
      <c r="B24" s="2277"/>
      <c r="C24" s="145" t="s">
        <v>46</v>
      </c>
      <c r="D24" s="145" t="s">
        <v>50</v>
      </c>
      <c r="E24" s="145" t="s">
        <v>51</v>
      </c>
      <c r="F24" s="145" t="s">
        <v>52</v>
      </c>
      <c r="G24" s="154"/>
      <c r="Q24" s="154"/>
      <c r="R24" s="154"/>
      <c r="T24" s="2235" t="s">
        <v>47</v>
      </c>
      <c r="U24" s="51" t="s">
        <v>62</v>
      </c>
      <c r="V24" s="2263">
        <f>V14+V16+V17-V18-V19-V20-V22+V23-V21</f>
        <v>13327.122499999998</v>
      </c>
      <c r="W24" s="2263"/>
      <c r="X24" s="2263"/>
      <c r="Y24" s="2269"/>
    </row>
    <row r="25" spans="1:25" ht="40.5" customHeight="1" x14ac:dyDescent="0.25">
      <c r="T25" s="2235"/>
      <c r="U25" s="51" t="s">
        <v>63</v>
      </c>
      <c r="V25" s="2262">
        <f>V15+V22-V23</f>
        <v>9888</v>
      </c>
      <c r="W25" s="2262"/>
      <c r="X25" s="2262"/>
    </row>
    <row r="26" spans="1:25" ht="36" customHeight="1" x14ac:dyDescent="0.25"/>
    <row r="32" spans="1:25" x14ac:dyDescent="0.25">
      <c r="I32" s="2280"/>
      <c r="J32" s="2280"/>
      <c r="K32" s="2280"/>
      <c r="L32" s="2280"/>
    </row>
    <row r="33" spans="9:12" x14ac:dyDescent="0.25">
      <c r="I33" s="154"/>
      <c r="J33" s="154"/>
      <c r="K33" s="2280"/>
      <c r="L33" s="2280"/>
    </row>
  </sheetData>
  <mergeCells count="62">
    <mergeCell ref="I32:J32"/>
    <mergeCell ref="K32:L32"/>
    <mergeCell ref="K33:L33"/>
    <mergeCell ref="T22:T23"/>
    <mergeCell ref="V22:X22"/>
    <mergeCell ref="V23:X23"/>
    <mergeCell ref="T24:T25"/>
    <mergeCell ref="V24:X24"/>
    <mergeCell ref="V25:X25"/>
    <mergeCell ref="Y18:Y24"/>
    <mergeCell ref="B19:C19"/>
    <mergeCell ref="Q19:R19"/>
    <mergeCell ref="T19:T20"/>
    <mergeCell ref="V19:X19"/>
    <mergeCell ref="B20:C20"/>
    <mergeCell ref="B22:B24"/>
    <mergeCell ref="C22:C23"/>
    <mergeCell ref="D22:D23"/>
    <mergeCell ref="E22:E23"/>
    <mergeCell ref="F22:F23"/>
    <mergeCell ref="Q20:R20"/>
    <mergeCell ref="V20:X20"/>
    <mergeCell ref="B21:C21"/>
    <mergeCell ref="T21:U21"/>
    <mergeCell ref="V21:X21"/>
    <mergeCell ref="B17:C17"/>
    <mergeCell ref="Q17:R17"/>
    <mergeCell ref="T17:U17"/>
    <mergeCell ref="V17:X17"/>
    <mergeCell ref="B18:C18"/>
    <mergeCell ref="Q18:R18"/>
    <mergeCell ref="T18:U18"/>
    <mergeCell ref="V18:X18"/>
    <mergeCell ref="W4:X4"/>
    <mergeCell ref="B16:C16"/>
    <mergeCell ref="Q16:R16"/>
    <mergeCell ref="T16:U16"/>
    <mergeCell ref="V16:X16"/>
    <mergeCell ref="A12:B12"/>
    <mergeCell ref="B14:C14"/>
    <mergeCell ref="Q14:R14"/>
    <mergeCell ref="T14:T15"/>
    <mergeCell ref="V14:X14"/>
    <mergeCell ref="B15:C15"/>
    <mergeCell ref="Q15:R15"/>
    <mergeCell ref="V15:X15"/>
    <mergeCell ref="A1:Y1"/>
    <mergeCell ref="A2:Y2"/>
    <mergeCell ref="T3:Y3"/>
    <mergeCell ref="A4:A5"/>
    <mergeCell ref="B4:B5"/>
    <mergeCell ref="C4:D4"/>
    <mergeCell ref="E4:F4"/>
    <mergeCell ref="G4:H4"/>
    <mergeCell ref="I4:J4"/>
    <mergeCell ref="K4:L4"/>
    <mergeCell ref="Y4:Y5"/>
    <mergeCell ref="M4:N4"/>
    <mergeCell ref="O4:P4"/>
    <mergeCell ref="Q4:R4"/>
    <mergeCell ref="S4:T4"/>
    <mergeCell ref="U4:V4"/>
  </mergeCells>
  <pageMargins left="0.15748031496063" right="0.15748031496063" top="0" bottom="0" header="0" footer="0"/>
  <pageSetup paperSize="9" scale="47" orientation="landscape" r:id="rId1"/>
  <legacyDrawing r:id="rId2"/>
</worksheet>
</file>

<file path=xl/worksheets/sheet5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F467540-324D-4D37-8096-5F929358BB76}">
  <sheetPr>
    <pageSetUpPr fitToPage="1"/>
  </sheetPr>
  <dimension ref="A1:Y33"/>
  <sheetViews>
    <sheetView topLeftCell="A12" zoomScale="69" zoomScaleNormal="69" zoomScaleSheetLayoutView="100" workbookViewId="0">
      <selection activeCell="V18" sqref="V18:X18"/>
    </sheetView>
  </sheetViews>
  <sheetFormatPr defaultColWidth="9.140625" defaultRowHeight="15" x14ac:dyDescent="0.25"/>
  <cols>
    <col min="1" max="1" width="18.28515625" style="14" customWidth="1"/>
    <col min="2" max="2" width="10.7109375" style="14" customWidth="1"/>
    <col min="3" max="3" width="12.28515625" style="14" customWidth="1"/>
    <col min="4" max="4" width="11" style="14" customWidth="1"/>
    <col min="5" max="5" width="12" style="14" customWidth="1"/>
    <col min="6" max="6" width="12.5703125" style="14" bestFit="1" customWidth="1"/>
    <col min="7" max="7" width="9.28515625" style="14" bestFit="1" customWidth="1"/>
    <col min="8" max="8" width="10.140625" style="14" bestFit="1" customWidth="1"/>
    <col min="9" max="9" width="10.5703125" style="14" bestFit="1" customWidth="1"/>
    <col min="10" max="10" width="10.5703125" style="14" customWidth="1"/>
    <col min="11" max="11" width="10.28515625" style="14" bestFit="1" customWidth="1"/>
    <col min="12" max="12" width="9.42578125" style="14" bestFit="1" customWidth="1"/>
    <col min="13" max="13" width="9.85546875" style="14" bestFit="1" customWidth="1"/>
    <col min="14" max="14" width="10.140625" style="14" bestFit="1" customWidth="1"/>
    <col min="15" max="15" width="9" style="14" customWidth="1"/>
    <col min="16" max="16" width="12.85546875" style="14" bestFit="1" customWidth="1"/>
    <col min="17" max="18" width="9.42578125" style="14" customWidth="1"/>
    <col min="19" max="19" width="13.7109375" style="14" customWidth="1"/>
    <col min="20" max="20" width="12.140625" style="14" customWidth="1"/>
    <col min="21" max="21" width="19.5703125" style="14" bestFit="1" customWidth="1"/>
    <col min="22" max="22" width="9.85546875" style="14" customWidth="1"/>
    <col min="23" max="23" width="10.140625" style="14" bestFit="1" customWidth="1"/>
    <col min="24" max="24" width="10.28515625" style="14" customWidth="1"/>
    <col min="25" max="25" width="28" style="14" customWidth="1"/>
    <col min="26" max="16384" width="9.140625" style="14"/>
  </cols>
  <sheetData>
    <row r="1" spans="1:25" ht="46.15" customHeight="1" x14ac:dyDescent="0.25">
      <c r="A1" s="2240" t="s">
        <v>148</v>
      </c>
      <c r="B1" s="2240"/>
      <c r="C1" s="2240"/>
      <c r="D1" s="2240"/>
      <c r="E1" s="2240"/>
      <c r="F1" s="2240"/>
      <c r="G1" s="2240"/>
      <c r="H1" s="2240"/>
      <c r="I1" s="2240"/>
      <c r="J1" s="2240"/>
      <c r="K1" s="2240"/>
      <c r="L1" s="2240"/>
      <c r="M1" s="2240"/>
      <c r="N1" s="2240"/>
      <c r="O1" s="2240"/>
      <c r="P1" s="2240"/>
      <c r="Q1" s="2240"/>
      <c r="R1" s="2240"/>
      <c r="S1" s="2240"/>
      <c r="T1" s="2240"/>
      <c r="U1" s="2240"/>
      <c r="V1" s="2240"/>
      <c r="W1" s="2240"/>
      <c r="X1" s="2240"/>
      <c r="Y1" s="2240"/>
    </row>
    <row r="2" spans="1:25" ht="21.6" customHeight="1" x14ac:dyDescent="0.25">
      <c r="A2" s="2241" t="s">
        <v>77</v>
      </c>
      <c r="B2" s="2241"/>
      <c r="C2" s="2241"/>
      <c r="D2" s="2241"/>
      <c r="E2" s="2241"/>
      <c r="F2" s="2241"/>
      <c r="G2" s="2241"/>
      <c r="H2" s="2241"/>
      <c r="I2" s="2241"/>
      <c r="J2" s="2241"/>
      <c r="K2" s="2241"/>
      <c r="L2" s="2241"/>
      <c r="M2" s="2241"/>
      <c r="N2" s="2241"/>
      <c r="O2" s="2241"/>
      <c r="P2" s="2241"/>
      <c r="Q2" s="2241"/>
      <c r="R2" s="2241"/>
      <c r="S2" s="2241"/>
      <c r="T2" s="2241"/>
      <c r="U2" s="2241"/>
      <c r="V2" s="2241"/>
      <c r="W2" s="2241"/>
      <c r="X2" s="2241"/>
      <c r="Y2" s="2241"/>
    </row>
    <row r="3" spans="1:25" ht="21" customHeight="1" x14ac:dyDescent="0.25">
      <c r="A3" s="160"/>
      <c r="B3" s="160"/>
      <c r="C3" s="160"/>
      <c r="D3" s="160"/>
      <c r="E3" s="160"/>
      <c r="F3" s="160"/>
      <c r="G3" s="160"/>
      <c r="H3" s="160"/>
      <c r="I3" s="160"/>
      <c r="J3" s="160"/>
      <c r="K3" s="160"/>
      <c r="L3" s="160"/>
      <c r="M3" s="160"/>
      <c r="N3" s="160"/>
      <c r="O3" s="160"/>
      <c r="P3" s="160"/>
      <c r="Q3" s="160"/>
      <c r="R3" s="160"/>
      <c r="S3" s="160"/>
      <c r="T3" s="2242" t="s">
        <v>204</v>
      </c>
      <c r="U3" s="2242"/>
      <c r="V3" s="2242"/>
      <c r="W3" s="2242"/>
      <c r="X3" s="2242"/>
      <c r="Y3" s="2242"/>
    </row>
    <row r="4" spans="1:25" s="160" customFormat="1" ht="18" customHeight="1" x14ac:dyDescent="0.25">
      <c r="A4" s="2243" t="s">
        <v>25</v>
      </c>
      <c r="B4" s="2243" t="s">
        <v>26</v>
      </c>
      <c r="C4" s="2244" t="s">
        <v>27</v>
      </c>
      <c r="D4" s="2244"/>
      <c r="E4" s="2244" t="s">
        <v>28</v>
      </c>
      <c r="F4" s="2244"/>
      <c r="G4" s="2244" t="s">
        <v>65</v>
      </c>
      <c r="H4" s="2244"/>
      <c r="I4" s="2244" t="s">
        <v>29</v>
      </c>
      <c r="J4" s="2244"/>
      <c r="K4" s="2245" t="s">
        <v>13</v>
      </c>
      <c r="L4" s="2246"/>
      <c r="M4" s="2245" t="s">
        <v>67</v>
      </c>
      <c r="N4" s="2246"/>
      <c r="O4" s="2245" t="s">
        <v>68</v>
      </c>
      <c r="P4" s="2246"/>
      <c r="Q4" s="2245" t="s">
        <v>114</v>
      </c>
      <c r="R4" s="2246"/>
      <c r="S4" s="2244" t="s">
        <v>35</v>
      </c>
      <c r="T4" s="2244"/>
      <c r="U4" s="2245" t="s">
        <v>17</v>
      </c>
      <c r="V4" s="2246"/>
      <c r="W4" s="2247" t="s">
        <v>36</v>
      </c>
      <c r="X4" s="2248"/>
      <c r="Y4" s="2238" t="s">
        <v>30</v>
      </c>
    </row>
    <row r="5" spans="1:25" s="160" customFormat="1" ht="25.5" customHeight="1" x14ac:dyDescent="0.25">
      <c r="A5" s="2243"/>
      <c r="B5" s="2243"/>
      <c r="C5" s="159" t="s">
        <v>42</v>
      </c>
      <c r="D5" s="159" t="s">
        <v>43</v>
      </c>
      <c r="E5" s="159" t="s">
        <v>42</v>
      </c>
      <c r="F5" s="159" t="s">
        <v>43</v>
      </c>
      <c r="G5" s="159" t="s">
        <v>42</v>
      </c>
      <c r="H5" s="159" t="s">
        <v>43</v>
      </c>
      <c r="I5" s="159" t="s">
        <v>42</v>
      </c>
      <c r="J5" s="159" t="s">
        <v>43</v>
      </c>
      <c r="K5" s="159" t="s">
        <v>42</v>
      </c>
      <c r="L5" s="159" t="s">
        <v>43</v>
      </c>
      <c r="M5" s="159" t="s">
        <v>42</v>
      </c>
      <c r="N5" s="159" t="s">
        <v>43</v>
      </c>
      <c r="O5" s="159" t="s">
        <v>42</v>
      </c>
      <c r="P5" s="159" t="s">
        <v>43</v>
      </c>
      <c r="Q5" s="159" t="s">
        <v>42</v>
      </c>
      <c r="R5" s="159" t="s">
        <v>43</v>
      </c>
      <c r="S5" s="33" t="s">
        <v>42</v>
      </c>
      <c r="T5" s="33" t="s">
        <v>43</v>
      </c>
      <c r="U5" s="30" t="s">
        <v>42</v>
      </c>
      <c r="V5" s="30" t="s">
        <v>43</v>
      </c>
      <c r="W5" s="30" t="s">
        <v>42</v>
      </c>
      <c r="X5" s="30" t="s">
        <v>43</v>
      </c>
      <c r="Y5" s="2239"/>
    </row>
    <row r="6" spans="1:25" ht="34.5" customHeight="1" x14ac:dyDescent="0.25">
      <c r="A6" s="12">
        <v>1409935200</v>
      </c>
      <c r="B6" s="158" t="s">
        <v>71</v>
      </c>
      <c r="C6" s="156">
        <v>29697</v>
      </c>
      <c r="D6" s="155">
        <f>0.9725*C6</f>
        <v>28880.3325</v>
      </c>
      <c r="E6" s="156"/>
      <c r="F6" s="156">
        <f>13.7*E6</f>
        <v>0</v>
      </c>
      <c r="G6" s="156"/>
      <c r="H6" s="156">
        <f>28.2*G6</f>
        <v>0</v>
      </c>
      <c r="I6" s="156"/>
      <c r="J6" s="156">
        <f>18.5*I6</f>
        <v>0</v>
      </c>
      <c r="K6" s="156"/>
      <c r="L6" s="156">
        <f>19.5*K6</f>
        <v>0</v>
      </c>
      <c r="M6" s="156"/>
      <c r="N6" s="155">
        <f>M6*9.75</f>
        <v>0</v>
      </c>
      <c r="O6" s="156"/>
      <c r="P6" s="155">
        <f>O6*48.62</f>
        <v>0</v>
      </c>
      <c r="Q6" s="155"/>
      <c r="R6" s="155">
        <f>241*Q6</f>
        <v>0</v>
      </c>
      <c r="S6" s="156"/>
      <c r="T6" s="156">
        <f>241*S6</f>
        <v>0</v>
      </c>
      <c r="U6" s="156"/>
      <c r="V6" s="156">
        <f>232*U6</f>
        <v>0</v>
      </c>
      <c r="W6" s="156"/>
      <c r="X6" s="19">
        <f>W6*100</f>
        <v>0</v>
      </c>
      <c r="Y6" s="89">
        <f t="shared" ref="Y6:Y11" si="0">D6+F6+H6+J6+L6+N6+P6+R6+T6+V6+X6</f>
        <v>28880.3325</v>
      </c>
    </row>
    <row r="7" spans="1:25" ht="31.5" customHeight="1" x14ac:dyDescent="0.25">
      <c r="A7" s="12">
        <v>1984225578</v>
      </c>
      <c r="B7" s="158" t="s">
        <v>72</v>
      </c>
      <c r="C7" s="156">
        <v>56735</v>
      </c>
      <c r="D7" s="155">
        <f t="shared" ref="D7:D11" si="1">0.9725*C7</f>
        <v>55174.787499999999</v>
      </c>
      <c r="E7" s="156"/>
      <c r="F7" s="156">
        <f t="shared" ref="F7:F11" si="2">13.7*E7</f>
        <v>0</v>
      </c>
      <c r="G7" s="156"/>
      <c r="H7" s="156">
        <f t="shared" ref="H7:H11" si="3">28.2*G7</f>
        <v>0</v>
      </c>
      <c r="I7" s="156"/>
      <c r="J7" s="156">
        <f t="shared" ref="J7:J11" si="4">18.5*I7</f>
        <v>0</v>
      </c>
      <c r="K7" s="156"/>
      <c r="L7" s="156">
        <f t="shared" ref="L7:L11" si="5">19.5*K7</f>
        <v>0</v>
      </c>
      <c r="M7" s="156"/>
      <c r="N7" s="155">
        <f t="shared" ref="N7:N11" si="6">M7*9.75</f>
        <v>0</v>
      </c>
      <c r="O7" s="156"/>
      <c r="P7" s="155">
        <f t="shared" ref="P7:P11" si="7">O7*48.62</f>
        <v>0</v>
      </c>
      <c r="Q7" s="155"/>
      <c r="R7" s="155">
        <f t="shared" ref="R7:R11" si="8">241*Q7</f>
        <v>0</v>
      </c>
      <c r="S7" s="156"/>
      <c r="T7" s="156">
        <f t="shared" ref="T7:T11" si="9">241*S7</f>
        <v>0</v>
      </c>
      <c r="U7" s="156"/>
      <c r="V7" s="156">
        <f t="shared" ref="V7:V11" si="10">232*U7</f>
        <v>0</v>
      </c>
      <c r="W7" s="156"/>
      <c r="X7" s="19">
        <f t="shared" ref="X7:X11" si="11">W7*100</f>
        <v>0</v>
      </c>
      <c r="Y7" s="89">
        <f t="shared" si="0"/>
        <v>55174.787499999999</v>
      </c>
    </row>
    <row r="8" spans="1:25" ht="35.25" customHeight="1" x14ac:dyDescent="0.25">
      <c r="A8" s="12">
        <v>1967020280</v>
      </c>
      <c r="B8" s="158" t="s">
        <v>73</v>
      </c>
      <c r="C8" s="156">
        <v>24940</v>
      </c>
      <c r="D8" s="155">
        <f t="shared" si="1"/>
        <v>24254.15</v>
      </c>
      <c r="E8" s="156"/>
      <c r="F8" s="156">
        <f t="shared" si="2"/>
        <v>0</v>
      </c>
      <c r="G8" s="156"/>
      <c r="H8" s="156">
        <f t="shared" si="3"/>
        <v>0</v>
      </c>
      <c r="I8" s="156"/>
      <c r="J8" s="156">
        <f t="shared" si="4"/>
        <v>0</v>
      </c>
      <c r="K8" s="156"/>
      <c r="L8" s="156">
        <f t="shared" si="5"/>
        <v>0</v>
      </c>
      <c r="M8" s="156"/>
      <c r="N8" s="155">
        <f t="shared" si="6"/>
        <v>0</v>
      </c>
      <c r="O8" s="156"/>
      <c r="P8" s="155">
        <f t="shared" si="7"/>
        <v>0</v>
      </c>
      <c r="Q8" s="155"/>
      <c r="R8" s="155">
        <f t="shared" si="8"/>
        <v>0</v>
      </c>
      <c r="S8" s="156">
        <v>3</v>
      </c>
      <c r="T8" s="156">
        <f t="shared" si="9"/>
        <v>723</v>
      </c>
      <c r="U8" s="156"/>
      <c r="V8" s="156">
        <f t="shared" si="10"/>
        <v>0</v>
      </c>
      <c r="W8" s="156"/>
      <c r="X8" s="19">
        <f t="shared" si="11"/>
        <v>0</v>
      </c>
      <c r="Y8" s="89">
        <f t="shared" si="0"/>
        <v>24977.15</v>
      </c>
    </row>
    <row r="9" spans="1:25" ht="38.25" customHeight="1" x14ac:dyDescent="0.25">
      <c r="A9" s="12">
        <v>1409935199</v>
      </c>
      <c r="B9" s="158" t="s">
        <v>75</v>
      </c>
      <c r="C9" s="156">
        <v>35361</v>
      </c>
      <c r="D9" s="155">
        <f t="shared" si="1"/>
        <v>34388.572500000002</v>
      </c>
      <c r="E9" s="156"/>
      <c r="F9" s="156">
        <f t="shared" si="2"/>
        <v>0</v>
      </c>
      <c r="G9" s="156"/>
      <c r="H9" s="156">
        <f t="shared" si="3"/>
        <v>0</v>
      </c>
      <c r="I9" s="156"/>
      <c r="J9" s="156">
        <f t="shared" si="4"/>
        <v>0</v>
      </c>
      <c r="K9" s="156"/>
      <c r="L9" s="156">
        <f t="shared" si="5"/>
        <v>0</v>
      </c>
      <c r="M9" s="156"/>
      <c r="N9" s="155">
        <f t="shared" si="6"/>
        <v>0</v>
      </c>
      <c r="O9" s="156"/>
      <c r="P9" s="155">
        <f t="shared" si="7"/>
        <v>0</v>
      </c>
      <c r="Q9" s="155"/>
      <c r="R9" s="155">
        <f t="shared" si="8"/>
        <v>0</v>
      </c>
      <c r="S9" s="156"/>
      <c r="T9" s="156">
        <f t="shared" si="9"/>
        <v>0</v>
      </c>
      <c r="U9" s="156"/>
      <c r="V9" s="156">
        <f t="shared" si="10"/>
        <v>0</v>
      </c>
      <c r="W9" s="156"/>
      <c r="X9" s="19">
        <f t="shared" si="11"/>
        <v>0</v>
      </c>
      <c r="Y9" s="89">
        <f t="shared" si="0"/>
        <v>34388.572500000002</v>
      </c>
    </row>
    <row r="10" spans="1:25" ht="35.25" customHeight="1" x14ac:dyDescent="0.25">
      <c r="A10" s="12">
        <v>1984225580</v>
      </c>
      <c r="C10" s="156"/>
      <c r="D10" s="155">
        <f t="shared" si="1"/>
        <v>0</v>
      </c>
      <c r="E10" s="156"/>
      <c r="F10" s="156">
        <f t="shared" si="2"/>
        <v>0</v>
      </c>
      <c r="G10" s="156"/>
      <c r="H10" s="156">
        <f t="shared" si="3"/>
        <v>0</v>
      </c>
      <c r="I10" s="156"/>
      <c r="J10" s="156">
        <f t="shared" si="4"/>
        <v>0</v>
      </c>
      <c r="K10" s="156"/>
      <c r="L10" s="156">
        <f t="shared" si="5"/>
        <v>0</v>
      </c>
      <c r="M10" s="156"/>
      <c r="N10" s="155">
        <f t="shared" si="6"/>
        <v>0</v>
      </c>
      <c r="O10" s="156"/>
      <c r="P10" s="155">
        <f t="shared" si="7"/>
        <v>0</v>
      </c>
      <c r="Q10" s="155"/>
      <c r="R10" s="155">
        <f t="shared" si="8"/>
        <v>0</v>
      </c>
      <c r="S10" s="156"/>
      <c r="T10" s="156">
        <f t="shared" si="9"/>
        <v>0</v>
      </c>
      <c r="U10" s="156"/>
      <c r="V10" s="156">
        <f t="shared" si="10"/>
        <v>0</v>
      </c>
      <c r="W10" s="156"/>
      <c r="X10" s="19">
        <f t="shared" si="11"/>
        <v>0</v>
      </c>
      <c r="Y10" s="89">
        <f t="shared" si="0"/>
        <v>0</v>
      </c>
    </row>
    <row r="11" spans="1:25" ht="37.5" customHeight="1" x14ac:dyDescent="0.25">
      <c r="A11" s="12"/>
      <c r="B11" s="157"/>
      <c r="C11" s="156"/>
      <c r="D11" s="22">
        <f t="shared" si="1"/>
        <v>0</v>
      </c>
      <c r="E11" s="156"/>
      <c r="F11" s="156">
        <f t="shared" si="2"/>
        <v>0</v>
      </c>
      <c r="G11" s="156"/>
      <c r="H11" s="156">
        <f t="shared" si="3"/>
        <v>0</v>
      </c>
      <c r="I11" s="156"/>
      <c r="J11" s="156">
        <f t="shared" si="4"/>
        <v>0</v>
      </c>
      <c r="K11" s="156"/>
      <c r="L11" s="156">
        <f t="shared" si="5"/>
        <v>0</v>
      </c>
      <c r="M11" s="156"/>
      <c r="N11" s="155">
        <f t="shared" si="6"/>
        <v>0</v>
      </c>
      <c r="O11" s="156"/>
      <c r="P11" s="155">
        <f t="shared" si="7"/>
        <v>0</v>
      </c>
      <c r="Q11" s="155"/>
      <c r="R11" s="155">
        <f t="shared" si="8"/>
        <v>0</v>
      </c>
      <c r="S11" s="156">
        <v>6</v>
      </c>
      <c r="T11" s="156">
        <f t="shared" si="9"/>
        <v>1446</v>
      </c>
      <c r="U11" s="156"/>
      <c r="V11" s="156">
        <f t="shared" si="10"/>
        <v>0</v>
      </c>
      <c r="W11" s="156"/>
      <c r="X11" s="19">
        <f t="shared" si="11"/>
        <v>0</v>
      </c>
      <c r="Y11" s="20">
        <f t="shared" si="0"/>
        <v>1446</v>
      </c>
    </row>
    <row r="12" spans="1:25" ht="29.25" customHeight="1" x14ac:dyDescent="0.25">
      <c r="A12" s="2235" t="s">
        <v>31</v>
      </c>
      <c r="B12" s="2235"/>
      <c r="C12" s="18">
        <f t="shared" ref="C12:Y12" si="12">SUM(C6:C11)</f>
        <v>146733</v>
      </c>
      <c r="D12" s="18">
        <f t="shared" si="12"/>
        <v>142697.8425</v>
      </c>
      <c r="E12" s="18">
        <f t="shared" si="12"/>
        <v>0</v>
      </c>
      <c r="F12" s="18">
        <f t="shared" si="12"/>
        <v>0</v>
      </c>
      <c r="G12" s="18">
        <f t="shared" si="12"/>
        <v>0</v>
      </c>
      <c r="H12" s="18">
        <f t="shared" si="12"/>
        <v>0</v>
      </c>
      <c r="I12" s="18">
        <f t="shared" si="12"/>
        <v>0</v>
      </c>
      <c r="J12" s="18">
        <f t="shared" si="12"/>
        <v>0</v>
      </c>
      <c r="K12" s="18">
        <f t="shared" si="12"/>
        <v>0</v>
      </c>
      <c r="L12" s="18">
        <f t="shared" si="12"/>
        <v>0</v>
      </c>
      <c r="M12" s="18">
        <f t="shared" si="12"/>
        <v>0</v>
      </c>
      <c r="N12" s="23">
        <f t="shared" si="12"/>
        <v>0</v>
      </c>
      <c r="O12" s="18">
        <f t="shared" si="12"/>
        <v>0</v>
      </c>
      <c r="P12" s="23">
        <f t="shared" si="12"/>
        <v>0</v>
      </c>
      <c r="Q12" s="23">
        <f t="shared" si="12"/>
        <v>0</v>
      </c>
      <c r="R12" s="23">
        <f>SUM(R6:R11)</f>
        <v>0</v>
      </c>
      <c r="S12" s="18">
        <f t="shared" si="12"/>
        <v>9</v>
      </c>
      <c r="T12" s="18">
        <f t="shared" si="12"/>
        <v>2169</v>
      </c>
      <c r="U12" s="18">
        <f t="shared" si="12"/>
        <v>0</v>
      </c>
      <c r="V12" s="18">
        <f t="shared" si="12"/>
        <v>0</v>
      </c>
      <c r="W12" s="18">
        <f t="shared" si="12"/>
        <v>0</v>
      </c>
      <c r="X12" s="18">
        <f t="shared" si="12"/>
        <v>0</v>
      </c>
      <c r="Y12" s="18">
        <f t="shared" si="12"/>
        <v>144866.8425</v>
      </c>
    </row>
    <row r="14" spans="1:25" ht="41.25" customHeight="1" x14ac:dyDescent="0.25">
      <c r="A14" s="30" t="s">
        <v>32</v>
      </c>
      <c r="B14" s="2236" t="s">
        <v>27</v>
      </c>
      <c r="C14" s="2236"/>
      <c r="D14" s="30" t="s">
        <v>33</v>
      </c>
      <c r="E14" s="30" t="s">
        <v>65</v>
      </c>
      <c r="F14" s="30" t="s">
        <v>34</v>
      </c>
      <c r="G14" s="30" t="s">
        <v>13</v>
      </c>
      <c r="H14" s="142" t="s">
        <v>173</v>
      </c>
      <c r="I14" s="30" t="s">
        <v>17</v>
      </c>
      <c r="J14" s="164" t="s">
        <v>174</v>
      </c>
      <c r="K14" s="30" t="s">
        <v>36</v>
      </c>
      <c r="L14" s="30" t="s">
        <v>175</v>
      </c>
      <c r="M14" s="30" t="s">
        <v>69</v>
      </c>
      <c r="N14" s="30" t="s">
        <v>70</v>
      </c>
      <c r="O14" s="164" t="s">
        <v>114</v>
      </c>
      <c r="P14" s="164" t="s">
        <v>99</v>
      </c>
      <c r="Q14" s="2272" t="s">
        <v>150</v>
      </c>
      <c r="R14" s="2272"/>
      <c r="S14" s="164" t="s">
        <v>171</v>
      </c>
      <c r="T14" s="2235" t="s">
        <v>46</v>
      </c>
      <c r="U14" s="158" t="s">
        <v>176</v>
      </c>
      <c r="V14" s="2260">
        <v>13327</v>
      </c>
      <c r="W14" s="2268"/>
      <c r="X14" s="2261"/>
    </row>
    <row r="15" spans="1:25" ht="22.5" customHeight="1" x14ac:dyDescent="0.25">
      <c r="A15" s="100" t="s">
        <v>38</v>
      </c>
      <c r="B15" s="2260">
        <v>276954</v>
      </c>
      <c r="C15" s="2261"/>
      <c r="D15" s="161">
        <v>0</v>
      </c>
      <c r="E15" s="161">
        <v>10</v>
      </c>
      <c r="F15" s="161">
        <v>0</v>
      </c>
      <c r="G15" s="161">
        <v>0</v>
      </c>
      <c r="H15" s="161">
        <v>140</v>
      </c>
      <c r="I15" s="161">
        <v>0</v>
      </c>
      <c r="J15" s="161">
        <v>68</v>
      </c>
      <c r="K15" s="161">
        <v>50</v>
      </c>
      <c r="L15" s="161">
        <v>212</v>
      </c>
      <c r="M15" s="161">
        <v>0</v>
      </c>
      <c r="N15" s="161">
        <v>100</v>
      </c>
      <c r="O15" s="161">
        <v>0</v>
      </c>
      <c r="P15" s="161">
        <v>464</v>
      </c>
      <c r="Q15" s="2262">
        <v>6</v>
      </c>
      <c r="R15" s="2262"/>
      <c r="S15" s="158">
        <v>111</v>
      </c>
      <c r="T15" s="2235"/>
      <c r="U15" s="158" t="s">
        <v>64</v>
      </c>
      <c r="V15" s="2262">
        <v>9888</v>
      </c>
      <c r="W15" s="2262"/>
      <c r="X15" s="2262"/>
    </row>
    <row r="16" spans="1:25" ht="24.75" customHeight="1" x14ac:dyDescent="0.25">
      <c r="A16" s="100" t="s">
        <v>39</v>
      </c>
      <c r="B16" s="2260">
        <v>214959</v>
      </c>
      <c r="C16" s="2261"/>
      <c r="D16" s="161"/>
      <c r="E16" s="161"/>
      <c r="F16" s="161"/>
      <c r="G16" s="161"/>
      <c r="H16" s="161"/>
      <c r="I16" s="161"/>
      <c r="J16" s="161"/>
      <c r="K16" s="161"/>
      <c r="L16" s="161"/>
      <c r="M16" s="161"/>
      <c r="N16" s="161"/>
      <c r="O16" s="161"/>
      <c r="P16" s="161"/>
      <c r="Q16" s="2225"/>
      <c r="R16" s="2225"/>
      <c r="S16" s="157"/>
      <c r="T16" s="2254" t="s">
        <v>55</v>
      </c>
      <c r="U16" s="2254"/>
      <c r="V16" s="2267">
        <f>Y12</f>
        <v>144866.8425</v>
      </c>
      <c r="W16" s="2267"/>
      <c r="X16" s="2262"/>
    </row>
    <row r="17" spans="1:25" ht="28.5" customHeight="1" x14ac:dyDescent="0.25">
      <c r="A17" s="101" t="s">
        <v>44</v>
      </c>
      <c r="B17" s="2260">
        <v>1696</v>
      </c>
      <c r="C17" s="2261"/>
      <c r="D17" s="161"/>
      <c r="E17" s="161"/>
      <c r="F17" s="161"/>
      <c r="G17" s="161"/>
      <c r="H17" s="161"/>
      <c r="I17" s="161"/>
      <c r="J17" s="161"/>
      <c r="K17" s="161"/>
      <c r="L17" s="161"/>
      <c r="M17" s="161"/>
      <c r="N17" s="161"/>
      <c r="O17" s="161"/>
      <c r="P17" s="161"/>
      <c r="Q17" s="2225"/>
      <c r="R17" s="2225"/>
      <c r="S17" s="157"/>
      <c r="T17" s="2273" t="s">
        <v>202</v>
      </c>
      <c r="U17" s="2274"/>
      <c r="V17" s="2262"/>
      <c r="W17" s="2262"/>
      <c r="X17" s="2262"/>
    </row>
    <row r="18" spans="1:25" ht="27" customHeight="1" x14ac:dyDescent="0.25">
      <c r="A18" s="100" t="s">
        <v>40</v>
      </c>
      <c r="B18" s="2264">
        <f>C12</f>
        <v>146733</v>
      </c>
      <c r="C18" s="2261"/>
      <c r="D18" s="163">
        <f>E12</f>
        <v>0</v>
      </c>
      <c r="E18" s="163">
        <f>G12</f>
        <v>0</v>
      </c>
      <c r="F18" s="163">
        <f>I12</f>
        <v>0</v>
      </c>
      <c r="G18" s="163">
        <f>K12</f>
        <v>0</v>
      </c>
      <c r="H18" s="161"/>
      <c r="I18" s="163">
        <f>U12</f>
        <v>0</v>
      </c>
      <c r="J18" s="161"/>
      <c r="K18" s="163">
        <f>W12</f>
        <v>0</v>
      </c>
      <c r="L18" s="161">
        <v>9</v>
      </c>
      <c r="M18" s="163">
        <f>M12</f>
        <v>0</v>
      </c>
      <c r="N18" s="163">
        <f>O12</f>
        <v>0</v>
      </c>
      <c r="O18" s="162">
        <f>Q12</f>
        <v>0</v>
      </c>
      <c r="P18" s="161"/>
      <c r="Q18" s="2225"/>
      <c r="R18" s="2225"/>
      <c r="S18" s="158"/>
      <c r="T18" s="2254" t="s">
        <v>57</v>
      </c>
      <c r="U18" s="2254"/>
      <c r="V18" s="2262">
        <f>450+90+1632</f>
        <v>2172</v>
      </c>
      <c r="W18" s="2262"/>
      <c r="X18" s="2262"/>
      <c r="Y18" s="2269" t="s">
        <v>206</v>
      </c>
    </row>
    <row r="19" spans="1:25" ht="25.5" customHeight="1" x14ac:dyDescent="0.25">
      <c r="A19" s="100" t="s">
        <v>41</v>
      </c>
      <c r="B19" s="2260">
        <f>B15+B16+B17-B18</f>
        <v>346876</v>
      </c>
      <c r="C19" s="2261"/>
      <c r="D19" s="161">
        <f>D15+D16+D17-D18</f>
        <v>0</v>
      </c>
      <c r="E19" s="161">
        <f t="shared" ref="E19:N19" si="13">E15+E16+E17-E18</f>
        <v>10</v>
      </c>
      <c r="F19" s="161">
        <f t="shared" si="13"/>
        <v>0</v>
      </c>
      <c r="G19" s="161">
        <f t="shared" si="13"/>
        <v>0</v>
      </c>
      <c r="H19" s="161">
        <f t="shared" si="13"/>
        <v>140</v>
      </c>
      <c r="I19" s="161">
        <f t="shared" si="13"/>
        <v>0</v>
      </c>
      <c r="J19" s="161">
        <f t="shared" si="13"/>
        <v>68</v>
      </c>
      <c r="K19" s="161">
        <f t="shared" si="13"/>
        <v>50</v>
      </c>
      <c r="L19" s="161">
        <f t="shared" si="13"/>
        <v>203</v>
      </c>
      <c r="M19" s="161">
        <f t="shared" si="13"/>
        <v>0</v>
      </c>
      <c r="N19" s="161">
        <f t="shared" si="13"/>
        <v>100</v>
      </c>
      <c r="O19" s="161">
        <f>O15+O16+O17-O18</f>
        <v>0</v>
      </c>
      <c r="P19" s="161">
        <f>P15+P16+P17-P18</f>
        <v>464</v>
      </c>
      <c r="Q19" s="2260">
        <f t="shared" ref="Q19" si="14">Q15+Q16+Q17-Q18</f>
        <v>6</v>
      </c>
      <c r="R19" s="2261"/>
      <c r="S19" s="158">
        <f>S15+S16-S17-S18</f>
        <v>111</v>
      </c>
      <c r="T19" s="2256" t="s">
        <v>48</v>
      </c>
      <c r="U19" s="49" t="s">
        <v>58</v>
      </c>
      <c r="V19" s="2262">
        <v>143000</v>
      </c>
      <c r="W19" s="2262"/>
      <c r="X19" s="2262"/>
      <c r="Y19" s="2269"/>
    </row>
    <row r="20" spans="1:25" ht="23.25" customHeight="1" x14ac:dyDescent="0.25">
      <c r="A20" s="11" t="s">
        <v>187</v>
      </c>
      <c r="B20" s="2278">
        <f>B19*0.9625</f>
        <v>333868.15000000002</v>
      </c>
      <c r="C20" s="2279"/>
      <c r="D20" s="157">
        <f>D19*13.56</f>
        <v>0</v>
      </c>
      <c r="E20" s="157">
        <f>28.2*E19</f>
        <v>282</v>
      </c>
      <c r="F20" s="157">
        <f>18.31*F19</f>
        <v>0</v>
      </c>
      <c r="G20" s="157">
        <f>19.3*G19</f>
        <v>0</v>
      </c>
      <c r="H20" s="157">
        <f>241*H19</f>
        <v>33740</v>
      </c>
      <c r="I20" s="157">
        <f>223*I19</f>
        <v>0</v>
      </c>
      <c r="J20" s="157">
        <f>241*J19</f>
        <v>16388</v>
      </c>
      <c r="K20" s="157">
        <f>K19*100</f>
        <v>5000</v>
      </c>
      <c r="L20" s="157">
        <f>241*L19</f>
        <v>48923</v>
      </c>
      <c r="M20" s="157">
        <f>9.65*M19</f>
        <v>0</v>
      </c>
      <c r="N20" s="157">
        <f>N19*48.2</f>
        <v>4820</v>
      </c>
      <c r="O20" s="157">
        <f>241*O19</f>
        <v>0</v>
      </c>
      <c r="P20" s="157">
        <f>241*P19</f>
        <v>111824</v>
      </c>
      <c r="Q20" s="2278">
        <f>241*Q19</f>
        <v>1446</v>
      </c>
      <c r="R20" s="2279"/>
      <c r="S20" s="157">
        <f>241*S19</f>
        <v>26751</v>
      </c>
      <c r="T20" s="2257"/>
      <c r="U20" s="49" t="s">
        <v>59</v>
      </c>
      <c r="V20" s="2262"/>
      <c r="W20" s="2262"/>
      <c r="X20" s="2262"/>
      <c r="Y20" s="2269"/>
    </row>
    <row r="21" spans="1:25" ht="32.25" customHeight="1" x14ac:dyDescent="0.25">
      <c r="A21" s="143" t="s">
        <v>186</v>
      </c>
      <c r="B21" s="2283">
        <f>SUM(B20:S20)</f>
        <v>583042.15</v>
      </c>
      <c r="C21" s="2283"/>
      <c r="O21" s="165"/>
      <c r="P21" s="165"/>
      <c r="Q21" s="165"/>
      <c r="R21" s="165"/>
      <c r="T21" s="2273" t="s">
        <v>167</v>
      </c>
      <c r="U21" s="2274"/>
      <c r="V21" s="2260"/>
      <c r="W21" s="2268"/>
      <c r="X21" s="2261"/>
      <c r="Y21" s="2269"/>
    </row>
    <row r="22" spans="1:25" ht="35.25" customHeight="1" x14ac:dyDescent="0.25">
      <c r="A22" s="15"/>
      <c r="B22" s="2275" t="s">
        <v>49</v>
      </c>
      <c r="C22" s="2265">
        <v>336102</v>
      </c>
      <c r="D22" s="2265">
        <v>143000</v>
      </c>
      <c r="E22" s="2265">
        <v>206898</v>
      </c>
      <c r="F22" s="2265">
        <f>C22-D22+E22</f>
        <v>400000</v>
      </c>
      <c r="G22" s="165"/>
      <c r="Q22" s="165"/>
      <c r="R22" s="165"/>
      <c r="T22" s="2251" t="s">
        <v>83</v>
      </c>
      <c r="U22" s="50" t="s">
        <v>60</v>
      </c>
      <c r="V22" s="2262">
        <v>142990</v>
      </c>
      <c r="W22" s="2262"/>
      <c r="X22" s="2262"/>
      <c r="Y22" s="2269"/>
    </row>
    <row r="23" spans="1:25" ht="39.75" customHeight="1" x14ac:dyDescent="0.25">
      <c r="A23" s="165"/>
      <c r="B23" s="2276"/>
      <c r="C23" s="2266"/>
      <c r="D23" s="2266"/>
      <c r="E23" s="2266"/>
      <c r="F23" s="2266"/>
      <c r="G23" s="165"/>
      <c r="Q23" s="165"/>
      <c r="R23" s="165"/>
      <c r="T23" s="2252"/>
      <c r="U23" s="50" t="s">
        <v>61</v>
      </c>
      <c r="V23" s="2262">
        <v>143000</v>
      </c>
      <c r="W23" s="2262"/>
      <c r="X23" s="2262"/>
      <c r="Y23" s="2269"/>
    </row>
    <row r="24" spans="1:25" ht="48" customHeight="1" x14ac:dyDescent="0.25">
      <c r="A24" s="165"/>
      <c r="B24" s="2277"/>
      <c r="C24" s="158" t="s">
        <v>46</v>
      </c>
      <c r="D24" s="158" t="s">
        <v>50</v>
      </c>
      <c r="E24" s="158" t="s">
        <v>51</v>
      </c>
      <c r="F24" s="158" t="s">
        <v>52</v>
      </c>
      <c r="G24" s="165"/>
      <c r="Q24" s="165"/>
      <c r="R24" s="165"/>
      <c r="T24" s="2235" t="s">
        <v>47</v>
      </c>
      <c r="U24" s="51" t="s">
        <v>62</v>
      </c>
      <c r="V24" s="2263">
        <f>V14+V16+V17-V18-V19-V20-V22+V23-V21</f>
        <v>13031.842499999999</v>
      </c>
      <c r="W24" s="2263"/>
      <c r="X24" s="2263"/>
      <c r="Y24" s="2269"/>
    </row>
    <row r="25" spans="1:25" ht="40.5" customHeight="1" x14ac:dyDescent="0.25">
      <c r="T25" s="2235"/>
      <c r="U25" s="51" t="s">
        <v>63</v>
      </c>
      <c r="V25" s="2262">
        <f>V15+V22-V23</f>
        <v>9878</v>
      </c>
      <c r="W25" s="2262"/>
      <c r="X25" s="2262"/>
    </row>
    <row r="26" spans="1:25" ht="36" customHeight="1" x14ac:dyDescent="0.25"/>
    <row r="32" spans="1:25" x14ac:dyDescent="0.25">
      <c r="I32" s="2280"/>
      <c r="J32" s="2280"/>
      <c r="K32" s="2280"/>
      <c r="L32" s="2280"/>
    </row>
    <row r="33" spans="9:12" x14ac:dyDescent="0.25">
      <c r="I33" s="165"/>
      <c r="J33" s="165"/>
      <c r="K33" s="2280"/>
      <c r="L33" s="2280"/>
    </row>
  </sheetData>
  <mergeCells count="62">
    <mergeCell ref="A1:Y1"/>
    <mergeCell ref="A2:Y2"/>
    <mergeCell ref="T3:Y3"/>
    <mergeCell ref="A4:A5"/>
    <mergeCell ref="B4:B5"/>
    <mergeCell ref="C4:D4"/>
    <mergeCell ref="E4:F4"/>
    <mergeCell ref="G4:H4"/>
    <mergeCell ref="I4:J4"/>
    <mergeCell ref="K4:L4"/>
    <mergeCell ref="Y4:Y5"/>
    <mergeCell ref="M4:N4"/>
    <mergeCell ref="O4:P4"/>
    <mergeCell ref="Q4:R4"/>
    <mergeCell ref="S4:T4"/>
    <mergeCell ref="U4:V4"/>
    <mergeCell ref="W4:X4"/>
    <mergeCell ref="B16:C16"/>
    <mergeCell ref="Q16:R16"/>
    <mergeCell ref="T16:U16"/>
    <mergeCell ref="V16:X16"/>
    <mergeCell ref="A12:B12"/>
    <mergeCell ref="B14:C14"/>
    <mergeCell ref="Q14:R14"/>
    <mergeCell ref="T14:T15"/>
    <mergeCell ref="V14:X14"/>
    <mergeCell ref="B15:C15"/>
    <mergeCell ref="Q15:R15"/>
    <mergeCell ref="V15:X15"/>
    <mergeCell ref="B17:C17"/>
    <mergeCell ref="Q17:R17"/>
    <mergeCell ref="T17:U17"/>
    <mergeCell ref="V17:X17"/>
    <mergeCell ref="B18:C18"/>
    <mergeCell ref="Q18:R18"/>
    <mergeCell ref="T18:U18"/>
    <mergeCell ref="V18:X18"/>
    <mergeCell ref="Y18:Y24"/>
    <mergeCell ref="B19:C19"/>
    <mergeCell ref="Q19:R19"/>
    <mergeCell ref="T19:T20"/>
    <mergeCell ref="V19:X19"/>
    <mergeCell ref="B20:C20"/>
    <mergeCell ref="B22:B24"/>
    <mergeCell ref="C22:C23"/>
    <mergeCell ref="D22:D23"/>
    <mergeCell ref="E22:E23"/>
    <mergeCell ref="F22:F23"/>
    <mergeCell ref="Q20:R20"/>
    <mergeCell ref="V20:X20"/>
    <mergeCell ref="B21:C21"/>
    <mergeCell ref="T21:U21"/>
    <mergeCell ref="V21:X21"/>
    <mergeCell ref="I32:J32"/>
    <mergeCell ref="K32:L32"/>
    <mergeCell ref="K33:L33"/>
    <mergeCell ref="T22:T23"/>
    <mergeCell ref="V22:X22"/>
    <mergeCell ref="V23:X23"/>
    <mergeCell ref="T24:T25"/>
    <mergeCell ref="V24:X24"/>
    <mergeCell ref="V25:X25"/>
  </mergeCells>
  <pageMargins left="0.15748031496063" right="0.15748031496063" top="0" bottom="0" header="0" footer="0"/>
  <pageSetup paperSize="9" scale="47" orientation="landscape" r:id="rId1"/>
  <legacyDrawing r:id="rId2"/>
</worksheet>
</file>

<file path=xl/worksheets/sheet6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404B524-2239-4117-8A1A-BCF22FBB332E}">
  <sheetPr>
    <pageSetUpPr fitToPage="1"/>
  </sheetPr>
  <dimension ref="A1:Y33"/>
  <sheetViews>
    <sheetView topLeftCell="A9" zoomScale="69" zoomScaleNormal="69" zoomScaleSheetLayoutView="100" workbookViewId="0">
      <selection activeCell="N23" sqref="N23"/>
    </sheetView>
  </sheetViews>
  <sheetFormatPr defaultColWidth="9.140625" defaultRowHeight="15" x14ac:dyDescent="0.25"/>
  <cols>
    <col min="1" max="1" width="18.28515625" style="14" customWidth="1"/>
    <col min="2" max="2" width="10.7109375" style="14" customWidth="1"/>
    <col min="3" max="3" width="12.28515625" style="14" customWidth="1"/>
    <col min="4" max="4" width="11" style="14" customWidth="1"/>
    <col min="5" max="5" width="12" style="14" customWidth="1"/>
    <col min="6" max="6" width="12.5703125" style="14" bestFit="1" customWidth="1"/>
    <col min="7" max="7" width="9.28515625" style="14" bestFit="1" customWidth="1"/>
    <col min="8" max="8" width="10.140625" style="14" bestFit="1" customWidth="1"/>
    <col min="9" max="9" width="10.5703125" style="14" bestFit="1" customWidth="1"/>
    <col min="10" max="10" width="10.5703125" style="14" customWidth="1"/>
    <col min="11" max="11" width="10.28515625" style="14" bestFit="1" customWidth="1"/>
    <col min="12" max="12" width="9.42578125" style="14" bestFit="1" customWidth="1"/>
    <col min="13" max="13" width="9.85546875" style="14" bestFit="1" customWidth="1"/>
    <col min="14" max="14" width="10.140625" style="14" bestFit="1" customWidth="1"/>
    <col min="15" max="15" width="9" style="14" customWidth="1"/>
    <col min="16" max="16" width="12.85546875" style="14" bestFit="1" customWidth="1"/>
    <col min="17" max="18" width="9.42578125" style="14" customWidth="1"/>
    <col min="19" max="19" width="13.7109375" style="14" customWidth="1"/>
    <col min="20" max="20" width="12.140625" style="14" customWidth="1"/>
    <col min="21" max="21" width="19.5703125" style="14" bestFit="1" customWidth="1"/>
    <col min="22" max="22" width="9.85546875" style="14" customWidth="1"/>
    <col min="23" max="23" width="10.140625" style="14" bestFit="1" customWidth="1"/>
    <col min="24" max="24" width="10.28515625" style="14" customWidth="1"/>
    <col min="25" max="25" width="28" style="14" customWidth="1"/>
    <col min="26" max="16384" width="9.140625" style="14"/>
  </cols>
  <sheetData>
    <row r="1" spans="1:25" ht="46.15" customHeight="1" x14ac:dyDescent="0.25">
      <c r="A1" s="2240" t="s">
        <v>148</v>
      </c>
      <c r="B1" s="2240"/>
      <c r="C1" s="2240"/>
      <c r="D1" s="2240"/>
      <c r="E1" s="2240"/>
      <c r="F1" s="2240"/>
      <c r="G1" s="2240"/>
      <c r="H1" s="2240"/>
      <c r="I1" s="2240"/>
      <c r="J1" s="2240"/>
      <c r="K1" s="2240"/>
      <c r="L1" s="2240"/>
      <c r="M1" s="2240"/>
      <c r="N1" s="2240"/>
      <c r="O1" s="2240"/>
      <c r="P1" s="2240"/>
      <c r="Q1" s="2240"/>
      <c r="R1" s="2240"/>
      <c r="S1" s="2240"/>
      <c r="T1" s="2240"/>
      <c r="U1" s="2240"/>
      <c r="V1" s="2240"/>
      <c r="W1" s="2240"/>
      <c r="X1" s="2240"/>
      <c r="Y1" s="2240"/>
    </row>
    <row r="2" spans="1:25" ht="21.6" customHeight="1" x14ac:dyDescent="0.25">
      <c r="A2" s="2241" t="s">
        <v>77</v>
      </c>
      <c r="B2" s="2241"/>
      <c r="C2" s="2241"/>
      <c r="D2" s="2241"/>
      <c r="E2" s="2241"/>
      <c r="F2" s="2241"/>
      <c r="G2" s="2241"/>
      <c r="H2" s="2241"/>
      <c r="I2" s="2241"/>
      <c r="J2" s="2241"/>
      <c r="K2" s="2241"/>
      <c r="L2" s="2241"/>
      <c r="M2" s="2241"/>
      <c r="N2" s="2241"/>
      <c r="O2" s="2241"/>
      <c r="P2" s="2241"/>
      <c r="Q2" s="2241"/>
      <c r="R2" s="2241"/>
      <c r="S2" s="2241"/>
      <c r="T2" s="2241"/>
      <c r="U2" s="2241"/>
      <c r="V2" s="2241"/>
      <c r="W2" s="2241"/>
      <c r="X2" s="2241"/>
      <c r="Y2" s="2241"/>
    </row>
    <row r="3" spans="1:25" ht="21" customHeight="1" x14ac:dyDescent="0.25">
      <c r="A3" s="166"/>
      <c r="B3" s="166"/>
      <c r="C3" s="166"/>
      <c r="D3" s="166"/>
      <c r="E3" s="166"/>
      <c r="F3" s="166"/>
      <c r="G3" s="166"/>
      <c r="H3" s="166"/>
      <c r="I3" s="166"/>
      <c r="J3" s="166"/>
      <c r="K3" s="166"/>
      <c r="L3" s="166"/>
      <c r="M3" s="166"/>
      <c r="N3" s="166"/>
      <c r="O3" s="166"/>
      <c r="P3" s="166"/>
      <c r="Q3" s="166"/>
      <c r="R3" s="166"/>
      <c r="S3" s="166"/>
      <c r="T3" s="2242" t="s">
        <v>207</v>
      </c>
      <c r="U3" s="2242"/>
      <c r="V3" s="2242"/>
      <c r="W3" s="2242"/>
      <c r="X3" s="2242"/>
      <c r="Y3" s="2242"/>
    </row>
    <row r="4" spans="1:25" s="166" customFormat="1" ht="18" customHeight="1" x14ac:dyDescent="0.25">
      <c r="A4" s="2243" t="s">
        <v>25</v>
      </c>
      <c r="B4" s="2243" t="s">
        <v>26</v>
      </c>
      <c r="C4" s="2244" t="s">
        <v>27</v>
      </c>
      <c r="D4" s="2244"/>
      <c r="E4" s="2244" t="s">
        <v>28</v>
      </c>
      <c r="F4" s="2244"/>
      <c r="G4" s="2244" t="s">
        <v>65</v>
      </c>
      <c r="H4" s="2244"/>
      <c r="I4" s="2244" t="s">
        <v>29</v>
      </c>
      <c r="J4" s="2244"/>
      <c r="K4" s="2245" t="s">
        <v>13</v>
      </c>
      <c r="L4" s="2246"/>
      <c r="M4" s="2245" t="s">
        <v>67</v>
      </c>
      <c r="N4" s="2246"/>
      <c r="O4" s="2245" t="s">
        <v>68</v>
      </c>
      <c r="P4" s="2246"/>
      <c r="Q4" s="2245" t="s">
        <v>114</v>
      </c>
      <c r="R4" s="2246"/>
      <c r="S4" s="2244" t="s">
        <v>35</v>
      </c>
      <c r="T4" s="2244"/>
      <c r="U4" s="2245" t="s">
        <v>17</v>
      </c>
      <c r="V4" s="2246"/>
      <c r="W4" s="2247" t="s">
        <v>36</v>
      </c>
      <c r="X4" s="2248"/>
      <c r="Y4" s="2238" t="s">
        <v>30</v>
      </c>
    </row>
    <row r="5" spans="1:25" s="166" customFormat="1" ht="25.5" customHeight="1" x14ac:dyDescent="0.25">
      <c r="A5" s="2243"/>
      <c r="B5" s="2243"/>
      <c r="C5" s="168" t="s">
        <v>42</v>
      </c>
      <c r="D5" s="168" t="s">
        <v>43</v>
      </c>
      <c r="E5" s="168" t="s">
        <v>42</v>
      </c>
      <c r="F5" s="168" t="s">
        <v>43</v>
      </c>
      <c r="G5" s="168" t="s">
        <v>42</v>
      </c>
      <c r="H5" s="168" t="s">
        <v>43</v>
      </c>
      <c r="I5" s="168" t="s">
        <v>42</v>
      </c>
      <c r="J5" s="168" t="s">
        <v>43</v>
      </c>
      <c r="K5" s="168" t="s">
        <v>42</v>
      </c>
      <c r="L5" s="168" t="s">
        <v>43</v>
      </c>
      <c r="M5" s="168" t="s">
        <v>42</v>
      </c>
      <c r="N5" s="168" t="s">
        <v>43</v>
      </c>
      <c r="O5" s="168" t="s">
        <v>42</v>
      </c>
      <c r="P5" s="168" t="s">
        <v>43</v>
      </c>
      <c r="Q5" s="168" t="s">
        <v>42</v>
      </c>
      <c r="R5" s="168" t="s">
        <v>43</v>
      </c>
      <c r="S5" s="33" t="s">
        <v>42</v>
      </c>
      <c r="T5" s="33" t="s">
        <v>43</v>
      </c>
      <c r="U5" s="30" t="s">
        <v>42</v>
      </c>
      <c r="V5" s="30" t="s">
        <v>43</v>
      </c>
      <c r="W5" s="30" t="s">
        <v>42</v>
      </c>
      <c r="X5" s="30" t="s">
        <v>43</v>
      </c>
      <c r="Y5" s="2239"/>
    </row>
    <row r="6" spans="1:25" ht="34.5" customHeight="1" x14ac:dyDescent="0.25">
      <c r="A6" s="12">
        <v>1409935200</v>
      </c>
      <c r="B6" s="167" t="s">
        <v>71</v>
      </c>
      <c r="C6" s="170">
        <v>65978</v>
      </c>
      <c r="D6" s="171">
        <f>0.9725*C6</f>
        <v>64163.605000000003</v>
      </c>
      <c r="E6" s="170"/>
      <c r="F6" s="170">
        <f>13.7*E6</f>
        <v>0</v>
      </c>
      <c r="G6" s="170">
        <v>80</v>
      </c>
      <c r="H6" s="170">
        <f>28.2*G6</f>
        <v>2256</v>
      </c>
      <c r="I6" s="170">
        <v>690</v>
      </c>
      <c r="J6" s="170">
        <f>18.5*I6</f>
        <v>12765</v>
      </c>
      <c r="K6" s="170"/>
      <c r="L6" s="170">
        <f>19.5*K6</f>
        <v>0</v>
      </c>
      <c r="M6" s="170"/>
      <c r="N6" s="171">
        <f>M6*9.75</f>
        <v>0</v>
      </c>
      <c r="O6" s="170"/>
      <c r="P6" s="171">
        <f>O6*48.62</f>
        <v>0</v>
      </c>
      <c r="Q6" s="171"/>
      <c r="R6" s="171">
        <f>241*Q6</f>
        <v>0</v>
      </c>
      <c r="S6" s="170"/>
      <c r="T6" s="170">
        <f>241*S6</f>
        <v>0</v>
      </c>
      <c r="U6" s="170"/>
      <c r="V6" s="170">
        <f>232*U6</f>
        <v>0</v>
      </c>
      <c r="W6" s="170"/>
      <c r="X6" s="19">
        <f>W6*100</f>
        <v>0</v>
      </c>
      <c r="Y6" s="89">
        <f t="shared" ref="Y6:Y11" si="0">D6+F6+H6+J6+L6+N6+P6+R6+T6+V6+X6</f>
        <v>79184.60500000001</v>
      </c>
    </row>
    <row r="7" spans="1:25" ht="31.5" customHeight="1" x14ac:dyDescent="0.25">
      <c r="A7" s="12">
        <v>1984225578</v>
      </c>
      <c r="B7" s="167" t="s">
        <v>72</v>
      </c>
      <c r="C7" s="170">
        <v>60209</v>
      </c>
      <c r="D7" s="171">
        <f t="shared" ref="D7:D11" si="1">0.9725*C7</f>
        <v>58553.252500000002</v>
      </c>
      <c r="E7" s="170"/>
      <c r="F7" s="170">
        <f t="shared" ref="F7:F11" si="2">13.7*E7</f>
        <v>0</v>
      </c>
      <c r="G7" s="170">
        <v>30</v>
      </c>
      <c r="H7" s="170">
        <f t="shared" ref="H7:H11" si="3">28.2*G7</f>
        <v>846</v>
      </c>
      <c r="I7" s="170">
        <v>1020</v>
      </c>
      <c r="J7" s="170">
        <f t="shared" ref="J7:J11" si="4">18.5*I7</f>
        <v>18870</v>
      </c>
      <c r="K7" s="170"/>
      <c r="L7" s="170">
        <f t="shared" ref="L7:L11" si="5">19.5*K7</f>
        <v>0</v>
      </c>
      <c r="M7" s="170"/>
      <c r="N7" s="171">
        <f t="shared" ref="N7:N11" si="6">M7*9.75</f>
        <v>0</v>
      </c>
      <c r="O7" s="170"/>
      <c r="P7" s="171">
        <f t="shared" ref="P7:P11" si="7">O7*48.62</f>
        <v>0</v>
      </c>
      <c r="Q7" s="171"/>
      <c r="R7" s="171">
        <f t="shared" ref="R7:R11" si="8">241*Q7</f>
        <v>0</v>
      </c>
      <c r="S7" s="170"/>
      <c r="T7" s="170">
        <f t="shared" ref="T7:T11" si="9">241*S7</f>
        <v>0</v>
      </c>
      <c r="U7" s="170">
        <v>40</v>
      </c>
      <c r="V7" s="170">
        <f t="shared" ref="V7:V11" si="10">232*U7</f>
        <v>9280</v>
      </c>
      <c r="W7" s="170"/>
      <c r="X7" s="19">
        <f t="shared" ref="X7:X11" si="11">W7*100</f>
        <v>0</v>
      </c>
      <c r="Y7" s="89">
        <f t="shared" si="0"/>
        <v>87549.252500000002</v>
      </c>
    </row>
    <row r="8" spans="1:25" ht="35.25" customHeight="1" x14ac:dyDescent="0.25">
      <c r="A8" s="12">
        <v>1967020280</v>
      </c>
      <c r="B8" s="167" t="s">
        <v>73</v>
      </c>
      <c r="C8" s="170">
        <v>45403</v>
      </c>
      <c r="D8" s="171">
        <f t="shared" si="1"/>
        <v>44154.417500000003</v>
      </c>
      <c r="E8" s="170"/>
      <c r="F8" s="170">
        <f t="shared" si="2"/>
        <v>0</v>
      </c>
      <c r="G8" s="170">
        <v>40</v>
      </c>
      <c r="H8" s="170">
        <f t="shared" si="3"/>
        <v>1128</v>
      </c>
      <c r="I8" s="170">
        <v>1420</v>
      </c>
      <c r="J8" s="170">
        <f t="shared" si="4"/>
        <v>26270</v>
      </c>
      <c r="K8" s="170"/>
      <c r="L8" s="170">
        <f t="shared" si="5"/>
        <v>0</v>
      </c>
      <c r="M8" s="170"/>
      <c r="N8" s="171">
        <f t="shared" si="6"/>
        <v>0</v>
      </c>
      <c r="O8" s="170"/>
      <c r="P8" s="171">
        <f t="shared" si="7"/>
        <v>0</v>
      </c>
      <c r="Q8" s="171"/>
      <c r="R8" s="171">
        <f t="shared" si="8"/>
        <v>0</v>
      </c>
      <c r="S8" s="170"/>
      <c r="T8" s="170">
        <f t="shared" si="9"/>
        <v>0</v>
      </c>
      <c r="U8" s="170">
        <v>50</v>
      </c>
      <c r="V8" s="170">
        <f t="shared" si="10"/>
        <v>11600</v>
      </c>
      <c r="W8" s="170"/>
      <c r="X8" s="19">
        <f t="shared" si="11"/>
        <v>0</v>
      </c>
      <c r="Y8" s="89">
        <f t="shared" si="0"/>
        <v>83152.41750000001</v>
      </c>
    </row>
    <row r="9" spans="1:25" ht="38.25" customHeight="1" x14ac:dyDescent="0.25">
      <c r="A9" s="12">
        <v>1409935199</v>
      </c>
      <c r="B9" s="167" t="s">
        <v>75</v>
      </c>
      <c r="C9" s="170">
        <v>25803</v>
      </c>
      <c r="D9" s="171">
        <f t="shared" si="1"/>
        <v>25093.4175</v>
      </c>
      <c r="E9" s="170"/>
      <c r="F9" s="170">
        <f t="shared" si="2"/>
        <v>0</v>
      </c>
      <c r="G9" s="170"/>
      <c r="H9" s="170">
        <f t="shared" si="3"/>
        <v>0</v>
      </c>
      <c r="I9" s="170">
        <v>700</v>
      </c>
      <c r="J9" s="170">
        <f t="shared" si="4"/>
        <v>12950</v>
      </c>
      <c r="K9" s="170"/>
      <c r="L9" s="170">
        <f t="shared" si="5"/>
        <v>0</v>
      </c>
      <c r="M9" s="170"/>
      <c r="N9" s="171">
        <f t="shared" si="6"/>
        <v>0</v>
      </c>
      <c r="O9" s="170"/>
      <c r="P9" s="171">
        <f t="shared" si="7"/>
        <v>0</v>
      </c>
      <c r="Q9" s="171"/>
      <c r="R9" s="171">
        <f t="shared" si="8"/>
        <v>0</v>
      </c>
      <c r="S9" s="170"/>
      <c r="T9" s="170">
        <f t="shared" si="9"/>
        <v>0</v>
      </c>
      <c r="U9" s="170"/>
      <c r="V9" s="170">
        <f t="shared" si="10"/>
        <v>0</v>
      </c>
      <c r="W9" s="170"/>
      <c r="X9" s="19">
        <f t="shared" si="11"/>
        <v>0</v>
      </c>
      <c r="Y9" s="89">
        <f t="shared" si="0"/>
        <v>38043.417499999996</v>
      </c>
    </row>
    <row r="10" spans="1:25" ht="35.25" customHeight="1" x14ac:dyDescent="0.25">
      <c r="A10" s="12">
        <v>1984225580</v>
      </c>
      <c r="C10" s="170"/>
      <c r="D10" s="171">
        <f t="shared" si="1"/>
        <v>0</v>
      </c>
      <c r="E10" s="170"/>
      <c r="F10" s="170">
        <f t="shared" si="2"/>
        <v>0</v>
      </c>
      <c r="G10" s="170"/>
      <c r="H10" s="170">
        <f t="shared" si="3"/>
        <v>0</v>
      </c>
      <c r="I10" s="170"/>
      <c r="J10" s="170">
        <f t="shared" si="4"/>
        <v>0</v>
      </c>
      <c r="K10" s="170"/>
      <c r="L10" s="170">
        <f t="shared" si="5"/>
        <v>0</v>
      </c>
      <c r="M10" s="170"/>
      <c r="N10" s="171">
        <f t="shared" si="6"/>
        <v>0</v>
      </c>
      <c r="O10" s="170"/>
      <c r="P10" s="171">
        <f t="shared" si="7"/>
        <v>0</v>
      </c>
      <c r="Q10" s="171"/>
      <c r="R10" s="171">
        <f t="shared" si="8"/>
        <v>0</v>
      </c>
      <c r="S10" s="170"/>
      <c r="T10" s="170">
        <f t="shared" si="9"/>
        <v>0</v>
      </c>
      <c r="U10" s="170"/>
      <c r="V10" s="170">
        <f t="shared" si="10"/>
        <v>0</v>
      </c>
      <c r="W10" s="170"/>
      <c r="X10" s="19">
        <f t="shared" si="11"/>
        <v>0</v>
      </c>
      <c r="Y10" s="89">
        <f t="shared" si="0"/>
        <v>0</v>
      </c>
    </row>
    <row r="11" spans="1:25" ht="37.5" customHeight="1" x14ac:dyDescent="0.25">
      <c r="A11" s="12"/>
      <c r="B11" s="169"/>
      <c r="C11" s="170"/>
      <c r="D11" s="22">
        <f t="shared" si="1"/>
        <v>0</v>
      </c>
      <c r="E11" s="170"/>
      <c r="F11" s="170">
        <f t="shared" si="2"/>
        <v>0</v>
      </c>
      <c r="G11" s="170"/>
      <c r="H11" s="170">
        <f t="shared" si="3"/>
        <v>0</v>
      </c>
      <c r="I11" s="170"/>
      <c r="J11" s="170">
        <f t="shared" si="4"/>
        <v>0</v>
      </c>
      <c r="K11" s="170"/>
      <c r="L11" s="170">
        <f t="shared" si="5"/>
        <v>0</v>
      </c>
      <c r="M11" s="170"/>
      <c r="N11" s="171">
        <f t="shared" si="6"/>
        <v>0</v>
      </c>
      <c r="O11" s="170"/>
      <c r="P11" s="171">
        <f t="shared" si="7"/>
        <v>0</v>
      </c>
      <c r="Q11" s="171"/>
      <c r="R11" s="171">
        <f t="shared" si="8"/>
        <v>0</v>
      </c>
      <c r="S11" s="170">
        <v>31</v>
      </c>
      <c r="T11" s="170">
        <f t="shared" si="9"/>
        <v>7471</v>
      </c>
      <c r="U11" s="170"/>
      <c r="V11" s="170">
        <f t="shared" si="10"/>
        <v>0</v>
      </c>
      <c r="W11" s="170"/>
      <c r="X11" s="19">
        <f t="shared" si="11"/>
        <v>0</v>
      </c>
      <c r="Y11" s="20">
        <f t="shared" si="0"/>
        <v>7471</v>
      </c>
    </row>
    <row r="12" spans="1:25" ht="29.25" customHeight="1" x14ac:dyDescent="0.25">
      <c r="A12" s="2235" t="s">
        <v>31</v>
      </c>
      <c r="B12" s="2235"/>
      <c r="C12" s="18">
        <f t="shared" ref="C12:Y12" si="12">SUM(C6:C11)</f>
        <v>197393</v>
      </c>
      <c r="D12" s="18">
        <f t="shared" si="12"/>
        <v>191964.69250000003</v>
      </c>
      <c r="E12" s="18">
        <f t="shared" si="12"/>
        <v>0</v>
      </c>
      <c r="F12" s="18">
        <f t="shared" si="12"/>
        <v>0</v>
      </c>
      <c r="G12" s="18">
        <f t="shared" si="12"/>
        <v>150</v>
      </c>
      <c r="H12" s="18">
        <f t="shared" si="12"/>
        <v>4230</v>
      </c>
      <c r="I12" s="18">
        <f t="shared" si="12"/>
        <v>3830</v>
      </c>
      <c r="J12" s="18">
        <f t="shared" si="12"/>
        <v>70855</v>
      </c>
      <c r="K12" s="18">
        <f t="shared" si="12"/>
        <v>0</v>
      </c>
      <c r="L12" s="18">
        <f t="shared" si="12"/>
        <v>0</v>
      </c>
      <c r="M12" s="18">
        <f t="shared" si="12"/>
        <v>0</v>
      </c>
      <c r="N12" s="23">
        <f t="shared" si="12"/>
        <v>0</v>
      </c>
      <c r="O12" s="18">
        <f t="shared" si="12"/>
        <v>0</v>
      </c>
      <c r="P12" s="23">
        <f t="shared" si="12"/>
        <v>0</v>
      </c>
      <c r="Q12" s="23">
        <f t="shared" si="12"/>
        <v>0</v>
      </c>
      <c r="R12" s="23">
        <f>SUM(R6:R11)</f>
        <v>0</v>
      </c>
      <c r="S12" s="18">
        <f t="shared" si="12"/>
        <v>31</v>
      </c>
      <c r="T12" s="18">
        <f t="shared" si="12"/>
        <v>7471</v>
      </c>
      <c r="U12" s="18">
        <f t="shared" si="12"/>
        <v>90</v>
      </c>
      <c r="V12" s="18">
        <f t="shared" si="12"/>
        <v>20880</v>
      </c>
      <c r="W12" s="18">
        <f t="shared" si="12"/>
        <v>0</v>
      </c>
      <c r="X12" s="18">
        <f t="shared" si="12"/>
        <v>0</v>
      </c>
      <c r="Y12" s="18">
        <f t="shared" si="12"/>
        <v>295400.6925</v>
      </c>
    </row>
    <row r="14" spans="1:25" ht="41.25" customHeight="1" x14ac:dyDescent="0.25">
      <c r="A14" s="30" t="s">
        <v>32</v>
      </c>
      <c r="B14" s="2236" t="s">
        <v>27</v>
      </c>
      <c r="C14" s="2236"/>
      <c r="D14" s="30" t="s">
        <v>33</v>
      </c>
      <c r="E14" s="30" t="s">
        <v>65</v>
      </c>
      <c r="F14" s="30" t="s">
        <v>34</v>
      </c>
      <c r="G14" s="30" t="s">
        <v>13</v>
      </c>
      <c r="H14" s="142" t="s">
        <v>173</v>
      </c>
      <c r="I14" s="30" t="s">
        <v>17</v>
      </c>
      <c r="J14" s="175" t="s">
        <v>174</v>
      </c>
      <c r="K14" s="30" t="s">
        <v>36</v>
      </c>
      <c r="L14" s="30" t="s">
        <v>175</v>
      </c>
      <c r="M14" s="30" t="s">
        <v>69</v>
      </c>
      <c r="N14" s="30" t="s">
        <v>70</v>
      </c>
      <c r="O14" s="175" t="s">
        <v>114</v>
      </c>
      <c r="P14" s="175" t="s">
        <v>99</v>
      </c>
      <c r="Q14" s="2272" t="s">
        <v>150</v>
      </c>
      <c r="R14" s="2272"/>
      <c r="S14" s="175" t="s">
        <v>171</v>
      </c>
      <c r="T14" s="2235" t="s">
        <v>46</v>
      </c>
      <c r="U14" s="167" t="s">
        <v>176</v>
      </c>
      <c r="V14" s="2260">
        <v>13032</v>
      </c>
      <c r="W14" s="2268"/>
      <c r="X14" s="2261"/>
    </row>
    <row r="15" spans="1:25" ht="22.5" customHeight="1" x14ac:dyDescent="0.25">
      <c r="A15" s="100" t="s">
        <v>38</v>
      </c>
      <c r="B15" s="2260">
        <v>346876</v>
      </c>
      <c r="C15" s="2261"/>
      <c r="D15" s="172">
        <v>0</v>
      </c>
      <c r="E15" s="172">
        <v>10</v>
      </c>
      <c r="F15" s="172">
        <v>0</v>
      </c>
      <c r="G15" s="172">
        <v>0</v>
      </c>
      <c r="H15" s="172">
        <v>140</v>
      </c>
      <c r="I15" s="172">
        <v>0</v>
      </c>
      <c r="J15" s="172">
        <v>68</v>
      </c>
      <c r="K15" s="172">
        <v>50</v>
      </c>
      <c r="L15" s="172">
        <v>203</v>
      </c>
      <c r="M15" s="172">
        <v>0</v>
      </c>
      <c r="N15" s="172">
        <v>100</v>
      </c>
      <c r="O15" s="172">
        <v>0</v>
      </c>
      <c r="P15" s="172">
        <v>464</v>
      </c>
      <c r="Q15" s="2262">
        <v>6</v>
      </c>
      <c r="R15" s="2262"/>
      <c r="S15" s="167">
        <v>111</v>
      </c>
      <c r="T15" s="2235"/>
      <c r="U15" s="167" t="s">
        <v>64</v>
      </c>
      <c r="V15" s="2262">
        <v>9878</v>
      </c>
      <c r="W15" s="2262"/>
      <c r="X15" s="2262"/>
    </row>
    <row r="16" spans="1:25" ht="24.75" customHeight="1" x14ac:dyDescent="0.25">
      <c r="A16" s="100" t="s">
        <v>39</v>
      </c>
      <c r="B16" s="2260"/>
      <c r="C16" s="2261"/>
      <c r="D16" s="172"/>
      <c r="E16" s="172">
        <v>500</v>
      </c>
      <c r="F16" s="172">
        <v>19000</v>
      </c>
      <c r="G16" s="172"/>
      <c r="H16" s="172">
        <v>631</v>
      </c>
      <c r="I16" s="172">
        <v>200</v>
      </c>
      <c r="J16" s="172"/>
      <c r="K16" s="172"/>
      <c r="L16" s="172"/>
      <c r="M16" s="172"/>
      <c r="N16" s="172"/>
      <c r="O16" s="172"/>
      <c r="P16" s="172"/>
      <c r="Q16" s="2225"/>
      <c r="R16" s="2225"/>
      <c r="S16" s="172">
        <v>6</v>
      </c>
      <c r="T16" s="2254" t="s">
        <v>55</v>
      </c>
      <c r="U16" s="2254"/>
      <c r="V16" s="2267">
        <f>Y12</f>
        <v>295400.6925</v>
      </c>
      <c r="W16" s="2267"/>
      <c r="X16" s="2262"/>
    </row>
    <row r="17" spans="1:25" ht="28.5" customHeight="1" x14ac:dyDescent="0.25">
      <c r="A17" s="101" t="s">
        <v>44</v>
      </c>
      <c r="B17" s="2260"/>
      <c r="C17" s="2261"/>
      <c r="D17" s="172"/>
      <c r="E17" s="172"/>
      <c r="F17" s="172"/>
      <c r="G17" s="172"/>
      <c r="H17" s="172"/>
      <c r="I17" s="172"/>
      <c r="J17" s="172"/>
      <c r="K17" s="172"/>
      <c r="L17" s="172"/>
      <c r="M17" s="172"/>
      <c r="N17" s="172"/>
      <c r="O17" s="172"/>
      <c r="P17" s="172"/>
      <c r="Q17" s="2225"/>
      <c r="R17" s="2225"/>
      <c r="S17" s="169"/>
      <c r="T17" s="2273" t="s">
        <v>209</v>
      </c>
      <c r="U17" s="2274"/>
      <c r="V17" s="2262"/>
      <c r="W17" s="2262"/>
      <c r="X17" s="2262"/>
    </row>
    <row r="18" spans="1:25" ht="27" customHeight="1" x14ac:dyDescent="0.25">
      <c r="A18" s="100" t="s">
        <v>40</v>
      </c>
      <c r="B18" s="2264">
        <f>C12</f>
        <v>197393</v>
      </c>
      <c r="C18" s="2261"/>
      <c r="D18" s="173">
        <f>E12</f>
        <v>0</v>
      </c>
      <c r="E18" s="173">
        <f>G12</f>
        <v>150</v>
      </c>
      <c r="F18" s="173">
        <f>I12</f>
        <v>3830</v>
      </c>
      <c r="G18" s="173">
        <f>K12</f>
        <v>0</v>
      </c>
      <c r="H18" s="172">
        <v>6</v>
      </c>
      <c r="I18" s="173">
        <f>U12</f>
        <v>90</v>
      </c>
      <c r="J18" s="172"/>
      <c r="K18" s="173">
        <f>W12</f>
        <v>0</v>
      </c>
      <c r="L18" s="172">
        <v>25</v>
      </c>
      <c r="M18" s="173">
        <f>M12</f>
        <v>0</v>
      </c>
      <c r="N18" s="173">
        <f>O12</f>
        <v>0</v>
      </c>
      <c r="O18" s="174">
        <f>Q12</f>
        <v>0</v>
      </c>
      <c r="P18" s="172"/>
      <c r="Q18" s="2262">
        <v>6</v>
      </c>
      <c r="R18" s="2262"/>
      <c r="S18" s="167"/>
      <c r="T18" s="2254" t="s">
        <v>57</v>
      </c>
      <c r="U18" s="2254"/>
      <c r="V18" s="2262">
        <f>450</f>
        <v>450</v>
      </c>
      <c r="W18" s="2262"/>
      <c r="X18" s="2262"/>
      <c r="Y18" s="2269" t="s">
        <v>208</v>
      </c>
    </row>
    <row r="19" spans="1:25" ht="25.5" customHeight="1" x14ac:dyDescent="0.25">
      <c r="A19" s="100" t="s">
        <v>41</v>
      </c>
      <c r="B19" s="2260">
        <f>B15+B16+B17-B18</f>
        <v>149483</v>
      </c>
      <c r="C19" s="2261"/>
      <c r="D19" s="172">
        <f>D15+D16+D17-D18</f>
        <v>0</v>
      </c>
      <c r="E19" s="172">
        <f t="shared" ref="E19:N19" si="13">E15+E16+E17-E18</f>
        <v>360</v>
      </c>
      <c r="F19" s="172">
        <f t="shared" si="13"/>
        <v>15170</v>
      </c>
      <c r="G19" s="172">
        <f t="shared" si="13"/>
        <v>0</v>
      </c>
      <c r="H19" s="172">
        <f t="shared" si="13"/>
        <v>765</v>
      </c>
      <c r="I19" s="172">
        <f t="shared" si="13"/>
        <v>110</v>
      </c>
      <c r="J19" s="172">
        <f t="shared" si="13"/>
        <v>68</v>
      </c>
      <c r="K19" s="172">
        <f t="shared" si="13"/>
        <v>50</v>
      </c>
      <c r="L19" s="172">
        <f t="shared" si="13"/>
        <v>178</v>
      </c>
      <c r="M19" s="172">
        <f t="shared" si="13"/>
        <v>0</v>
      </c>
      <c r="N19" s="172">
        <f t="shared" si="13"/>
        <v>100</v>
      </c>
      <c r="O19" s="172">
        <f>O15+O16+O17-O18</f>
        <v>0</v>
      </c>
      <c r="P19" s="172">
        <f>P15+P16+P17-P18</f>
        <v>464</v>
      </c>
      <c r="Q19" s="2260">
        <f t="shared" ref="Q19" si="14">Q15+Q16+Q17-Q18</f>
        <v>0</v>
      </c>
      <c r="R19" s="2261"/>
      <c r="S19" s="167">
        <f>S15+S16-S17-S18</f>
        <v>117</v>
      </c>
      <c r="T19" s="2256" t="s">
        <v>48</v>
      </c>
      <c r="U19" s="49" t="s">
        <v>58</v>
      </c>
      <c r="V19" s="2262"/>
      <c r="W19" s="2262"/>
      <c r="X19" s="2262"/>
      <c r="Y19" s="2269"/>
    </row>
    <row r="20" spans="1:25" ht="23.25" customHeight="1" x14ac:dyDescent="0.25">
      <c r="A20" s="11" t="s">
        <v>187</v>
      </c>
      <c r="B20" s="2278">
        <f>B19*0.9625</f>
        <v>143877.38750000001</v>
      </c>
      <c r="C20" s="2279"/>
      <c r="D20" s="169">
        <f>D19*13.56</f>
        <v>0</v>
      </c>
      <c r="E20" s="169">
        <f>28.2*E19</f>
        <v>10152</v>
      </c>
      <c r="F20" s="169">
        <f>18.31*F19</f>
        <v>277762.69999999995</v>
      </c>
      <c r="G20" s="169">
        <f>19.3*G19</f>
        <v>0</v>
      </c>
      <c r="H20" s="169">
        <f>241*H19</f>
        <v>184365</v>
      </c>
      <c r="I20" s="169">
        <f>223*I19</f>
        <v>24530</v>
      </c>
      <c r="J20" s="169">
        <f>241*J19</f>
        <v>16388</v>
      </c>
      <c r="K20" s="169">
        <f>K19*100</f>
        <v>5000</v>
      </c>
      <c r="L20" s="169">
        <f>241*L19</f>
        <v>42898</v>
      </c>
      <c r="M20" s="169">
        <f>9.65*M19</f>
        <v>0</v>
      </c>
      <c r="N20" s="169">
        <f>N19*48.2</f>
        <v>4820</v>
      </c>
      <c r="O20" s="169">
        <f>241*O19</f>
        <v>0</v>
      </c>
      <c r="P20" s="169">
        <f>241*P19</f>
        <v>111824</v>
      </c>
      <c r="Q20" s="2278">
        <f>241*Q19</f>
        <v>0</v>
      </c>
      <c r="R20" s="2279"/>
      <c r="S20" s="169">
        <f>241*S19</f>
        <v>28197</v>
      </c>
      <c r="T20" s="2257"/>
      <c r="U20" s="49" t="s">
        <v>59</v>
      </c>
      <c r="V20" s="2262">
        <v>7471</v>
      </c>
      <c r="W20" s="2262"/>
      <c r="X20" s="2262"/>
      <c r="Y20" s="2269"/>
    </row>
    <row r="21" spans="1:25" ht="32.25" customHeight="1" x14ac:dyDescent="0.25">
      <c r="A21" s="143" t="s">
        <v>186</v>
      </c>
      <c r="B21" s="2283">
        <f>SUM(B20:S20)</f>
        <v>849814.08749999991</v>
      </c>
      <c r="C21" s="2283"/>
      <c r="O21" s="176"/>
      <c r="P21" s="176"/>
      <c r="Q21" s="176"/>
      <c r="R21" s="176"/>
      <c r="T21" s="2273" t="s">
        <v>167</v>
      </c>
      <c r="U21" s="2274"/>
      <c r="V21" s="2260">
        <v>100000</v>
      </c>
      <c r="W21" s="2268"/>
      <c r="X21" s="2261"/>
      <c r="Y21" s="2269"/>
    </row>
    <row r="22" spans="1:25" ht="35.25" customHeight="1" x14ac:dyDescent="0.25">
      <c r="A22" s="15"/>
      <c r="B22" s="2275" t="s">
        <v>49</v>
      </c>
      <c r="C22" s="2265">
        <v>400000</v>
      </c>
      <c r="D22" s="2265"/>
      <c r="E22" s="2265">
        <v>551046</v>
      </c>
      <c r="F22" s="2265">
        <f>C22-D22+E22</f>
        <v>951046</v>
      </c>
      <c r="G22" s="176"/>
      <c r="Q22" s="176"/>
      <c r="R22" s="176"/>
      <c r="T22" s="2251" t="s">
        <v>83</v>
      </c>
      <c r="U22" s="50" t="s">
        <v>60</v>
      </c>
      <c r="V22" s="2262"/>
      <c r="W22" s="2262"/>
      <c r="X22" s="2262"/>
      <c r="Y22" s="2269"/>
    </row>
    <row r="23" spans="1:25" ht="39.75" customHeight="1" x14ac:dyDescent="0.25">
      <c r="A23" s="176"/>
      <c r="B23" s="2276"/>
      <c r="C23" s="2266"/>
      <c r="D23" s="2266"/>
      <c r="E23" s="2266"/>
      <c r="F23" s="2266"/>
      <c r="G23" s="176"/>
      <c r="Q23" s="176"/>
      <c r="R23" s="176"/>
      <c r="T23" s="2252"/>
      <c r="U23" s="50" t="s">
        <v>61</v>
      </c>
      <c r="V23" s="2262"/>
      <c r="W23" s="2262"/>
      <c r="X23" s="2262"/>
      <c r="Y23" s="2269"/>
    </row>
    <row r="24" spans="1:25" ht="48" customHeight="1" x14ac:dyDescent="0.25">
      <c r="A24" s="176"/>
      <c r="B24" s="2277"/>
      <c r="C24" s="167" t="s">
        <v>46</v>
      </c>
      <c r="D24" s="167" t="s">
        <v>50</v>
      </c>
      <c r="E24" s="167" t="s">
        <v>51</v>
      </c>
      <c r="F24" s="167" t="s">
        <v>52</v>
      </c>
      <c r="G24" s="176"/>
      <c r="Q24" s="176"/>
      <c r="R24" s="176"/>
      <c r="T24" s="2235" t="s">
        <v>47</v>
      </c>
      <c r="U24" s="51" t="s">
        <v>62</v>
      </c>
      <c r="V24" s="2263">
        <f>V14+V16+V17-V18-V19-V20-V22+V23-V21</f>
        <v>200511.6925</v>
      </c>
      <c r="W24" s="2263"/>
      <c r="X24" s="2263"/>
      <c r="Y24" s="2269"/>
    </row>
    <row r="25" spans="1:25" ht="40.5" customHeight="1" x14ac:dyDescent="0.25">
      <c r="T25" s="2235"/>
      <c r="U25" s="51" t="s">
        <v>63</v>
      </c>
      <c r="V25" s="2262">
        <f>V15+V22-V23</f>
        <v>9878</v>
      </c>
      <c r="W25" s="2262"/>
      <c r="X25" s="2262"/>
    </row>
    <row r="26" spans="1:25" ht="36" customHeight="1" x14ac:dyDescent="0.25"/>
    <row r="32" spans="1:25" x14ac:dyDescent="0.25">
      <c r="I32" s="2280"/>
      <c r="J32" s="2280"/>
      <c r="K32" s="2280"/>
      <c r="L32" s="2280"/>
    </row>
    <row r="33" spans="9:12" x14ac:dyDescent="0.25">
      <c r="I33" s="176"/>
      <c r="J33" s="176"/>
      <c r="K33" s="2280"/>
      <c r="L33" s="2280"/>
    </row>
  </sheetData>
  <mergeCells count="62">
    <mergeCell ref="I32:J32"/>
    <mergeCell ref="K32:L32"/>
    <mergeCell ref="K33:L33"/>
    <mergeCell ref="T22:T23"/>
    <mergeCell ref="V22:X22"/>
    <mergeCell ref="V23:X23"/>
    <mergeCell ref="T24:T25"/>
    <mergeCell ref="V24:X24"/>
    <mergeCell ref="V25:X25"/>
    <mergeCell ref="Y18:Y24"/>
    <mergeCell ref="B19:C19"/>
    <mergeCell ref="Q19:R19"/>
    <mergeCell ref="T19:T20"/>
    <mergeCell ref="V19:X19"/>
    <mergeCell ref="B20:C20"/>
    <mergeCell ref="B22:B24"/>
    <mergeCell ref="C22:C23"/>
    <mergeCell ref="D22:D23"/>
    <mergeCell ref="E22:E23"/>
    <mergeCell ref="F22:F23"/>
    <mergeCell ref="Q20:R20"/>
    <mergeCell ref="V20:X20"/>
    <mergeCell ref="B21:C21"/>
    <mergeCell ref="T21:U21"/>
    <mergeCell ref="V21:X21"/>
    <mergeCell ref="B17:C17"/>
    <mergeCell ref="Q17:R17"/>
    <mergeCell ref="T17:U17"/>
    <mergeCell ref="V17:X17"/>
    <mergeCell ref="B18:C18"/>
    <mergeCell ref="Q18:R18"/>
    <mergeCell ref="T18:U18"/>
    <mergeCell ref="V18:X18"/>
    <mergeCell ref="W4:X4"/>
    <mergeCell ref="B16:C16"/>
    <mergeCell ref="Q16:R16"/>
    <mergeCell ref="T16:U16"/>
    <mergeCell ref="V16:X16"/>
    <mergeCell ref="A12:B12"/>
    <mergeCell ref="B14:C14"/>
    <mergeCell ref="Q14:R14"/>
    <mergeCell ref="T14:T15"/>
    <mergeCell ref="V14:X14"/>
    <mergeCell ref="B15:C15"/>
    <mergeCell ref="Q15:R15"/>
    <mergeCell ref="V15:X15"/>
    <mergeCell ref="A1:Y1"/>
    <mergeCell ref="A2:Y2"/>
    <mergeCell ref="T3:Y3"/>
    <mergeCell ref="A4:A5"/>
    <mergeCell ref="B4:B5"/>
    <mergeCell ref="C4:D4"/>
    <mergeCell ref="E4:F4"/>
    <mergeCell ref="G4:H4"/>
    <mergeCell ref="I4:J4"/>
    <mergeCell ref="K4:L4"/>
    <mergeCell ref="Y4:Y5"/>
    <mergeCell ref="M4:N4"/>
    <mergeCell ref="O4:P4"/>
    <mergeCell ref="Q4:R4"/>
    <mergeCell ref="S4:T4"/>
    <mergeCell ref="U4:V4"/>
  </mergeCells>
  <pageMargins left="0.15748031496063" right="0.15748031496063" top="0" bottom="0" header="0" footer="0"/>
  <pageSetup paperSize="9" scale="47" orientation="landscape" r:id="rId1"/>
  <legacyDrawing r:id="rId2"/>
</worksheet>
</file>

<file path=xl/worksheets/sheet6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DB1E20D-7003-48BA-9CCC-3B082BD6DB8F}">
  <sheetPr>
    <pageSetUpPr fitToPage="1"/>
  </sheetPr>
  <dimension ref="A1:Y33"/>
  <sheetViews>
    <sheetView topLeftCell="A10" zoomScale="69" zoomScaleNormal="69" zoomScaleSheetLayoutView="100" workbookViewId="0">
      <selection activeCell="L22" sqref="L22"/>
    </sheetView>
  </sheetViews>
  <sheetFormatPr defaultColWidth="9.140625" defaultRowHeight="15" x14ac:dyDescent="0.25"/>
  <cols>
    <col min="1" max="1" width="18.28515625" style="14" customWidth="1"/>
    <col min="2" max="2" width="10.7109375" style="14" customWidth="1"/>
    <col min="3" max="3" width="12.28515625" style="14" customWidth="1"/>
    <col min="4" max="4" width="11" style="14" customWidth="1"/>
    <col min="5" max="5" width="12" style="14" customWidth="1"/>
    <col min="6" max="6" width="12.5703125" style="14" bestFit="1" customWidth="1"/>
    <col min="7" max="7" width="9.28515625" style="14" bestFit="1" customWidth="1"/>
    <col min="8" max="8" width="10.140625" style="14" bestFit="1" customWidth="1"/>
    <col min="9" max="9" width="10.5703125" style="14" bestFit="1" customWidth="1"/>
    <col min="10" max="10" width="10.5703125" style="14" customWidth="1"/>
    <col min="11" max="11" width="10.28515625" style="14" bestFit="1" customWidth="1"/>
    <col min="12" max="12" width="9.42578125" style="14" bestFit="1" customWidth="1"/>
    <col min="13" max="13" width="9.85546875" style="14" bestFit="1" customWidth="1"/>
    <col min="14" max="14" width="10.140625" style="14" bestFit="1" customWidth="1"/>
    <col min="15" max="15" width="9" style="14" customWidth="1"/>
    <col min="16" max="16" width="12.85546875" style="14" bestFit="1" customWidth="1"/>
    <col min="17" max="18" width="9.42578125" style="14" customWidth="1"/>
    <col min="19" max="19" width="13.7109375" style="14" customWidth="1"/>
    <col min="20" max="20" width="12.140625" style="14" customWidth="1"/>
    <col min="21" max="21" width="19.5703125" style="14" bestFit="1" customWidth="1"/>
    <col min="22" max="22" width="9.85546875" style="14" customWidth="1"/>
    <col min="23" max="23" width="10.140625" style="14" bestFit="1" customWidth="1"/>
    <col min="24" max="24" width="10.28515625" style="14" customWidth="1"/>
    <col min="25" max="25" width="28" style="14" customWidth="1"/>
    <col min="26" max="16384" width="9.140625" style="14"/>
  </cols>
  <sheetData>
    <row r="1" spans="1:25" ht="46.15" customHeight="1" x14ac:dyDescent="0.25">
      <c r="A1" s="2240" t="s">
        <v>148</v>
      </c>
      <c r="B1" s="2240"/>
      <c r="C1" s="2240"/>
      <c r="D1" s="2240"/>
      <c r="E1" s="2240"/>
      <c r="F1" s="2240"/>
      <c r="G1" s="2240"/>
      <c r="H1" s="2240"/>
      <c r="I1" s="2240"/>
      <c r="J1" s="2240"/>
      <c r="K1" s="2240"/>
      <c r="L1" s="2240"/>
      <c r="M1" s="2240"/>
      <c r="N1" s="2240"/>
      <c r="O1" s="2240"/>
      <c r="P1" s="2240"/>
      <c r="Q1" s="2240"/>
      <c r="R1" s="2240"/>
      <c r="S1" s="2240"/>
      <c r="T1" s="2240"/>
      <c r="U1" s="2240"/>
      <c r="V1" s="2240"/>
      <c r="W1" s="2240"/>
      <c r="X1" s="2240"/>
      <c r="Y1" s="2240"/>
    </row>
    <row r="2" spans="1:25" ht="21.6" customHeight="1" x14ac:dyDescent="0.25">
      <c r="A2" s="2241" t="s">
        <v>77</v>
      </c>
      <c r="B2" s="2241"/>
      <c r="C2" s="2241"/>
      <c r="D2" s="2241"/>
      <c r="E2" s="2241"/>
      <c r="F2" s="2241"/>
      <c r="G2" s="2241"/>
      <c r="H2" s="2241"/>
      <c r="I2" s="2241"/>
      <c r="J2" s="2241"/>
      <c r="K2" s="2241"/>
      <c r="L2" s="2241"/>
      <c r="M2" s="2241"/>
      <c r="N2" s="2241"/>
      <c r="O2" s="2241"/>
      <c r="P2" s="2241"/>
      <c r="Q2" s="2241"/>
      <c r="R2" s="2241"/>
      <c r="S2" s="2241"/>
      <c r="T2" s="2241"/>
      <c r="U2" s="2241"/>
      <c r="V2" s="2241"/>
      <c r="W2" s="2241"/>
      <c r="X2" s="2241"/>
      <c r="Y2" s="2241"/>
    </row>
    <row r="3" spans="1:25" ht="21" customHeight="1" x14ac:dyDescent="0.25">
      <c r="A3" s="166"/>
      <c r="B3" s="166"/>
      <c r="C3" s="166"/>
      <c r="D3" s="166"/>
      <c r="E3" s="166"/>
      <c r="F3" s="166"/>
      <c r="G3" s="166"/>
      <c r="H3" s="166"/>
      <c r="I3" s="166"/>
      <c r="J3" s="166"/>
      <c r="K3" s="166"/>
      <c r="L3" s="166"/>
      <c r="M3" s="166"/>
      <c r="N3" s="166"/>
      <c r="O3" s="166"/>
      <c r="P3" s="166"/>
      <c r="Q3" s="166"/>
      <c r="R3" s="166"/>
      <c r="S3" s="166"/>
      <c r="T3" s="2242" t="s">
        <v>210</v>
      </c>
      <c r="U3" s="2242"/>
      <c r="V3" s="2242"/>
      <c r="W3" s="2242"/>
      <c r="X3" s="2242"/>
      <c r="Y3" s="2242"/>
    </row>
    <row r="4" spans="1:25" s="166" customFormat="1" ht="18" customHeight="1" x14ac:dyDescent="0.25">
      <c r="A4" s="2243" t="s">
        <v>25</v>
      </c>
      <c r="B4" s="2243" t="s">
        <v>26</v>
      </c>
      <c r="C4" s="2244" t="s">
        <v>27</v>
      </c>
      <c r="D4" s="2244"/>
      <c r="E4" s="2244" t="s">
        <v>28</v>
      </c>
      <c r="F4" s="2244"/>
      <c r="G4" s="2244" t="s">
        <v>65</v>
      </c>
      <c r="H4" s="2244"/>
      <c r="I4" s="2244" t="s">
        <v>29</v>
      </c>
      <c r="J4" s="2244"/>
      <c r="K4" s="2245" t="s">
        <v>13</v>
      </c>
      <c r="L4" s="2246"/>
      <c r="M4" s="2245" t="s">
        <v>67</v>
      </c>
      <c r="N4" s="2246"/>
      <c r="O4" s="2245" t="s">
        <v>68</v>
      </c>
      <c r="P4" s="2246"/>
      <c r="Q4" s="2245" t="s">
        <v>114</v>
      </c>
      <c r="R4" s="2246"/>
      <c r="S4" s="2244" t="s">
        <v>35</v>
      </c>
      <c r="T4" s="2244"/>
      <c r="U4" s="2245" t="s">
        <v>17</v>
      </c>
      <c r="V4" s="2246"/>
      <c r="W4" s="2247" t="s">
        <v>36</v>
      </c>
      <c r="X4" s="2248"/>
      <c r="Y4" s="2238" t="s">
        <v>30</v>
      </c>
    </row>
    <row r="5" spans="1:25" s="166" customFormat="1" ht="25.5" customHeight="1" x14ac:dyDescent="0.25">
      <c r="A5" s="2243"/>
      <c r="B5" s="2243"/>
      <c r="C5" s="168" t="s">
        <v>42</v>
      </c>
      <c r="D5" s="168" t="s">
        <v>43</v>
      </c>
      <c r="E5" s="168" t="s">
        <v>42</v>
      </c>
      <c r="F5" s="168" t="s">
        <v>43</v>
      </c>
      <c r="G5" s="168" t="s">
        <v>42</v>
      </c>
      <c r="H5" s="168" t="s">
        <v>43</v>
      </c>
      <c r="I5" s="168" t="s">
        <v>42</v>
      </c>
      <c r="J5" s="168" t="s">
        <v>43</v>
      </c>
      <c r="K5" s="168" t="s">
        <v>42</v>
      </c>
      <c r="L5" s="168" t="s">
        <v>43</v>
      </c>
      <c r="M5" s="168" t="s">
        <v>42</v>
      </c>
      <c r="N5" s="168" t="s">
        <v>43</v>
      </c>
      <c r="O5" s="168" t="s">
        <v>42</v>
      </c>
      <c r="P5" s="168" t="s">
        <v>43</v>
      </c>
      <c r="Q5" s="168" t="s">
        <v>42</v>
      </c>
      <c r="R5" s="168" t="s">
        <v>43</v>
      </c>
      <c r="S5" s="33" t="s">
        <v>42</v>
      </c>
      <c r="T5" s="33" t="s">
        <v>43</v>
      </c>
      <c r="U5" s="30" t="s">
        <v>42</v>
      </c>
      <c r="V5" s="30" t="s">
        <v>43</v>
      </c>
      <c r="W5" s="30" t="s">
        <v>42</v>
      </c>
      <c r="X5" s="30" t="s">
        <v>43</v>
      </c>
      <c r="Y5" s="2239"/>
    </row>
    <row r="6" spans="1:25" ht="34.5" customHeight="1" x14ac:dyDescent="0.25">
      <c r="A6" s="12">
        <v>1409935200</v>
      </c>
      <c r="B6" s="167" t="s">
        <v>71</v>
      </c>
      <c r="C6" s="170">
        <v>35654</v>
      </c>
      <c r="D6" s="171">
        <f>0.9725*C6</f>
        <v>34673.514999999999</v>
      </c>
      <c r="E6" s="170"/>
      <c r="F6" s="170">
        <f>13.7*E6</f>
        <v>0</v>
      </c>
      <c r="G6" s="170">
        <v>20</v>
      </c>
      <c r="H6" s="170">
        <f>28.2*G6</f>
        <v>564</v>
      </c>
      <c r="I6" s="170">
        <v>260</v>
      </c>
      <c r="J6" s="170">
        <f>18.5*I6</f>
        <v>4810</v>
      </c>
      <c r="K6" s="170"/>
      <c r="L6" s="170">
        <f>19.5*K6</f>
        <v>0</v>
      </c>
      <c r="M6" s="170"/>
      <c r="N6" s="171">
        <f>M6*9.75</f>
        <v>0</v>
      </c>
      <c r="O6" s="170"/>
      <c r="P6" s="171">
        <f>O6*48.62</f>
        <v>0</v>
      </c>
      <c r="Q6" s="171"/>
      <c r="R6" s="171">
        <f>241*Q6</f>
        <v>0</v>
      </c>
      <c r="S6" s="170"/>
      <c r="T6" s="170">
        <f>241*S6</f>
        <v>0</v>
      </c>
      <c r="U6" s="170">
        <v>15</v>
      </c>
      <c r="V6" s="170">
        <f>232*U6</f>
        <v>3480</v>
      </c>
      <c r="W6" s="170"/>
      <c r="X6" s="19">
        <f>W6*100</f>
        <v>0</v>
      </c>
      <c r="Y6" s="89">
        <f t="shared" ref="Y6:Y11" si="0">D6+F6+H6+J6+L6+N6+P6+R6+T6+V6+X6</f>
        <v>43527.514999999999</v>
      </c>
    </row>
    <row r="7" spans="1:25" ht="31.5" customHeight="1" x14ac:dyDescent="0.25">
      <c r="A7" s="12">
        <v>1984225578</v>
      </c>
      <c r="B7" s="167" t="s">
        <v>72</v>
      </c>
      <c r="C7" s="170">
        <v>71000</v>
      </c>
      <c r="D7" s="171">
        <f t="shared" ref="D7:D11" si="1">0.9725*C7</f>
        <v>69047.5</v>
      </c>
      <c r="E7" s="170"/>
      <c r="F7" s="170">
        <f t="shared" ref="F7:F11" si="2">13.7*E7</f>
        <v>0</v>
      </c>
      <c r="G7" s="170">
        <v>100</v>
      </c>
      <c r="H7" s="170">
        <f t="shared" ref="H7:H11" si="3">28.2*G7</f>
        <v>2820</v>
      </c>
      <c r="I7" s="170">
        <v>1030</v>
      </c>
      <c r="J7" s="170">
        <f t="shared" ref="J7:J11" si="4">18.5*I7</f>
        <v>19055</v>
      </c>
      <c r="K7" s="170"/>
      <c r="L7" s="170">
        <f t="shared" ref="L7:L11" si="5">19.5*K7</f>
        <v>0</v>
      </c>
      <c r="M7" s="170"/>
      <c r="N7" s="171">
        <f t="shared" ref="N7:N11" si="6">M7*9.75</f>
        <v>0</v>
      </c>
      <c r="O7" s="170"/>
      <c r="P7" s="171">
        <f t="shared" ref="P7:P11" si="7">O7*48.62</f>
        <v>0</v>
      </c>
      <c r="Q7" s="171"/>
      <c r="R7" s="171">
        <f t="shared" ref="R7:R11" si="8">241*Q7</f>
        <v>0</v>
      </c>
      <c r="S7" s="170"/>
      <c r="T7" s="170">
        <f t="shared" ref="T7:T11" si="9">241*S7</f>
        <v>0</v>
      </c>
      <c r="U7" s="170"/>
      <c r="V7" s="170">
        <f t="shared" ref="V7:V11" si="10">232*U7</f>
        <v>0</v>
      </c>
      <c r="W7" s="170"/>
      <c r="X7" s="19">
        <f t="shared" ref="X7:X11" si="11">W7*100</f>
        <v>0</v>
      </c>
      <c r="Y7" s="89">
        <f t="shared" si="0"/>
        <v>90922.5</v>
      </c>
    </row>
    <row r="8" spans="1:25" ht="35.25" customHeight="1" x14ac:dyDescent="0.25">
      <c r="A8" s="12">
        <v>1967020280</v>
      </c>
      <c r="B8" s="167" t="s">
        <v>73</v>
      </c>
      <c r="C8" s="170">
        <v>32401</v>
      </c>
      <c r="D8" s="171">
        <f t="shared" si="1"/>
        <v>31509.9725</v>
      </c>
      <c r="E8" s="170"/>
      <c r="F8" s="170">
        <f t="shared" si="2"/>
        <v>0</v>
      </c>
      <c r="G8" s="170">
        <v>50</v>
      </c>
      <c r="H8" s="170">
        <f t="shared" si="3"/>
        <v>1410</v>
      </c>
      <c r="I8" s="170">
        <v>990</v>
      </c>
      <c r="J8" s="170">
        <f t="shared" si="4"/>
        <v>18315</v>
      </c>
      <c r="K8" s="170"/>
      <c r="L8" s="170">
        <f t="shared" si="5"/>
        <v>0</v>
      </c>
      <c r="M8" s="170"/>
      <c r="N8" s="171">
        <f t="shared" si="6"/>
        <v>0</v>
      </c>
      <c r="O8" s="170"/>
      <c r="P8" s="171">
        <f t="shared" si="7"/>
        <v>0</v>
      </c>
      <c r="Q8" s="171"/>
      <c r="R8" s="171">
        <f t="shared" si="8"/>
        <v>0</v>
      </c>
      <c r="S8" s="170"/>
      <c r="T8" s="170">
        <f t="shared" si="9"/>
        <v>0</v>
      </c>
      <c r="U8" s="170">
        <v>5</v>
      </c>
      <c r="V8" s="170">
        <f t="shared" si="10"/>
        <v>1160</v>
      </c>
      <c r="W8" s="170"/>
      <c r="X8" s="19">
        <f t="shared" si="11"/>
        <v>0</v>
      </c>
      <c r="Y8" s="89">
        <f t="shared" si="0"/>
        <v>52394.972500000003</v>
      </c>
    </row>
    <row r="9" spans="1:25" ht="38.25" customHeight="1" x14ac:dyDescent="0.25">
      <c r="A9" s="12">
        <v>1409935199</v>
      </c>
      <c r="B9" s="167" t="s">
        <v>75</v>
      </c>
      <c r="C9" s="170">
        <v>18915</v>
      </c>
      <c r="D9" s="171">
        <f t="shared" si="1"/>
        <v>18394.837500000001</v>
      </c>
      <c r="E9" s="170"/>
      <c r="F9" s="170">
        <f t="shared" si="2"/>
        <v>0</v>
      </c>
      <c r="G9" s="170"/>
      <c r="H9" s="170">
        <f t="shared" si="3"/>
        <v>0</v>
      </c>
      <c r="I9" s="170">
        <v>230</v>
      </c>
      <c r="J9" s="170">
        <f t="shared" si="4"/>
        <v>4255</v>
      </c>
      <c r="K9" s="170"/>
      <c r="L9" s="170">
        <f t="shared" si="5"/>
        <v>0</v>
      </c>
      <c r="M9" s="170"/>
      <c r="N9" s="171">
        <f t="shared" si="6"/>
        <v>0</v>
      </c>
      <c r="O9" s="170"/>
      <c r="P9" s="171">
        <f t="shared" si="7"/>
        <v>0</v>
      </c>
      <c r="Q9" s="171"/>
      <c r="R9" s="171">
        <f t="shared" si="8"/>
        <v>0</v>
      </c>
      <c r="S9" s="170"/>
      <c r="T9" s="170">
        <f t="shared" si="9"/>
        <v>0</v>
      </c>
      <c r="U9" s="170"/>
      <c r="V9" s="170">
        <f t="shared" si="10"/>
        <v>0</v>
      </c>
      <c r="W9" s="170"/>
      <c r="X9" s="19">
        <f t="shared" si="11"/>
        <v>0</v>
      </c>
      <c r="Y9" s="89">
        <f t="shared" si="0"/>
        <v>22649.837500000001</v>
      </c>
    </row>
    <row r="10" spans="1:25" ht="35.25" customHeight="1" x14ac:dyDescent="0.25">
      <c r="A10" s="12">
        <v>1984225580</v>
      </c>
      <c r="C10" s="170"/>
      <c r="D10" s="171">
        <f t="shared" si="1"/>
        <v>0</v>
      </c>
      <c r="E10" s="170"/>
      <c r="F10" s="170">
        <f t="shared" si="2"/>
        <v>0</v>
      </c>
      <c r="G10" s="170"/>
      <c r="H10" s="170">
        <f t="shared" si="3"/>
        <v>0</v>
      </c>
      <c r="I10" s="170"/>
      <c r="J10" s="170">
        <f t="shared" si="4"/>
        <v>0</v>
      </c>
      <c r="K10" s="170"/>
      <c r="L10" s="170">
        <f t="shared" si="5"/>
        <v>0</v>
      </c>
      <c r="M10" s="170"/>
      <c r="N10" s="171">
        <f t="shared" si="6"/>
        <v>0</v>
      </c>
      <c r="O10" s="170"/>
      <c r="P10" s="171">
        <f t="shared" si="7"/>
        <v>0</v>
      </c>
      <c r="Q10" s="171"/>
      <c r="R10" s="171">
        <f t="shared" si="8"/>
        <v>0</v>
      </c>
      <c r="S10" s="170"/>
      <c r="T10" s="170">
        <f t="shared" si="9"/>
        <v>0</v>
      </c>
      <c r="U10" s="170"/>
      <c r="V10" s="170">
        <f t="shared" si="10"/>
        <v>0</v>
      </c>
      <c r="W10" s="170"/>
      <c r="X10" s="19">
        <f t="shared" si="11"/>
        <v>0</v>
      </c>
      <c r="Y10" s="89">
        <f t="shared" si="0"/>
        <v>0</v>
      </c>
    </row>
    <row r="11" spans="1:25" ht="37.5" customHeight="1" x14ac:dyDescent="0.25">
      <c r="A11" s="12"/>
      <c r="B11" s="169"/>
      <c r="C11" s="170"/>
      <c r="D11" s="22">
        <f t="shared" si="1"/>
        <v>0</v>
      </c>
      <c r="E11" s="170"/>
      <c r="F11" s="170">
        <f t="shared" si="2"/>
        <v>0</v>
      </c>
      <c r="G11" s="170"/>
      <c r="H11" s="170">
        <f t="shared" si="3"/>
        <v>0</v>
      </c>
      <c r="I11" s="170"/>
      <c r="J11" s="170">
        <f t="shared" si="4"/>
        <v>0</v>
      </c>
      <c r="K11" s="170"/>
      <c r="L11" s="170">
        <f t="shared" si="5"/>
        <v>0</v>
      </c>
      <c r="M11" s="170"/>
      <c r="N11" s="171">
        <f t="shared" si="6"/>
        <v>0</v>
      </c>
      <c r="O11" s="170"/>
      <c r="P11" s="171">
        <f t="shared" si="7"/>
        <v>0</v>
      </c>
      <c r="Q11" s="171"/>
      <c r="R11" s="171">
        <f t="shared" si="8"/>
        <v>0</v>
      </c>
      <c r="S11" s="170"/>
      <c r="T11" s="170">
        <f t="shared" si="9"/>
        <v>0</v>
      </c>
      <c r="U11" s="170"/>
      <c r="V11" s="170">
        <f t="shared" si="10"/>
        <v>0</v>
      </c>
      <c r="W11" s="170"/>
      <c r="X11" s="19">
        <f t="shared" si="11"/>
        <v>0</v>
      </c>
      <c r="Y11" s="20">
        <f t="shared" si="0"/>
        <v>0</v>
      </c>
    </row>
    <row r="12" spans="1:25" ht="29.25" customHeight="1" x14ac:dyDescent="0.25">
      <c r="A12" s="2235" t="s">
        <v>31</v>
      </c>
      <c r="B12" s="2235"/>
      <c r="C12" s="18">
        <f t="shared" ref="C12:Y12" si="12">SUM(C6:C11)</f>
        <v>157970</v>
      </c>
      <c r="D12" s="18">
        <f t="shared" si="12"/>
        <v>153625.82499999998</v>
      </c>
      <c r="E12" s="18">
        <f t="shared" si="12"/>
        <v>0</v>
      </c>
      <c r="F12" s="18">
        <f t="shared" si="12"/>
        <v>0</v>
      </c>
      <c r="G12" s="18">
        <f t="shared" si="12"/>
        <v>170</v>
      </c>
      <c r="H12" s="18">
        <f t="shared" si="12"/>
        <v>4794</v>
      </c>
      <c r="I12" s="18">
        <f t="shared" si="12"/>
        <v>2510</v>
      </c>
      <c r="J12" s="18">
        <f t="shared" si="12"/>
        <v>46435</v>
      </c>
      <c r="K12" s="18">
        <f t="shared" si="12"/>
        <v>0</v>
      </c>
      <c r="L12" s="18">
        <f t="shared" si="12"/>
        <v>0</v>
      </c>
      <c r="M12" s="18">
        <f t="shared" si="12"/>
        <v>0</v>
      </c>
      <c r="N12" s="23">
        <f t="shared" si="12"/>
        <v>0</v>
      </c>
      <c r="O12" s="18">
        <f t="shared" si="12"/>
        <v>0</v>
      </c>
      <c r="P12" s="23">
        <f t="shared" si="12"/>
        <v>0</v>
      </c>
      <c r="Q12" s="23">
        <f t="shared" si="12"/>
        <v>0</v>
      </c>
      <c r="R12" s="23">
        <f>SUM(R6:R11)</f>
        <v>0</v>
      </c>
      <c r="S12" s="18">
        <f t="shared" si="12"/>
        <v>0</v>
      </c>
      <c r="T12" s="18">
        <f t="shared" si="12"/>
        <v>0</v>
      </c>
      <c r="U12" s="18">
        <f t="shared" si="12"/>
        <v>20</v>
      </c>
      <c r="V12" s="18">
        <f t="shared" si="12"/>
        <v>4640</v>
      </c>
      <c r="W12" s="18">
        <f t="shared" si="12"/>
        <v>0</v>
      </c>
      <c r="X12" s="18">
        <f t="shared" si="12"/>
        <v>0</v>
      </c>
      <c r="Y12" s="18">
        <f t="shared" si="12"/>
        <v>209494.82500000001</v>
      </c>
    </row>
    <row r="14" spans="1:25" ht="41.25" customHeight="1" x14ac:dyDescent="0.25">
      <c r="A14" s="30" t="s">
        <v>32</v>
      </c>
      <c r="B14" s="2236" t="s">
        <v>27</v>
      </c>
      <c r="C14" s="2236"/>
      <c r="D14" s="30" t="s">
        <v>33</v>
      </c>
      <c r="E14" s="30" t="s">
        <v>65</v>
      </c>
      <c r="F14" s="30" t="s">
        <v>34</v>
      </c>
      <c r="G14" s="30" t="s">
        <v>13</v>
      </c>
      <c r="H14" s="142" t="s">
        <v>173</v>
      </c>
      <c r="I14" s="30" t="s">
        <v>17</v>
      </c>
      <c r="J14" s="175" t="s">
        <v>174</v>
      </c>
      <c r="K14" s="30" t="s">
        <v>36</v>
      </c>
      <c r="L14" s="30" t="s">
        <v>175</v>
      </c>
      <c r="M14" s="30" t="s">
        <v>69</v>
      </c>
      <c r="N14" s="30" t="s">
        <v>70</v>
      </c>
      <c r="O14" s="175" t="s">
        <v>114</v>
      </c>
      <c r="P14" s="175" t="s">
        <v>99</v>
      </c>
      <c r="Q14" s="2272" t="s">
        <v>212</v>
      </c>
      <c r="R14" s="2272"/>
      <c r="S14" s="175" t="s">
        <v>171</v>
      </c>
      <c r="T14" s="2235" t="s">
        <v>46</v>
      </c>
      <c r="U14" s="167" t="s">
        <v>176</v>
      </c>
      <c r="V14" s="2260">
        <v>200512</v>
      </c>
      <c r="W14" s="2268"/>
      <c r="X14" s="2261"/>
    </row>
    <row r="15" spans="1:25" ht="22.5" customHeight="1" x14ac:dyDescent="0.25">
      <c r="A15" s="100" t="s">
        <v>38</v>
      </c>
      <c r="B15" s="2260">
        <v>149483</v>
      </c>
      <c r="C15" s="2261"/>
      <c r="D15" s="172">
        <v>0</v>
      </c>
      <c r="E15" s="172">
        <v>360</v>
      </c>
      <c r="F15" s="172">
        <v>15170</v>
      </c>
      <c r="G15" s="172">
        <v>0</v>
      </c>
      <c r="H15" s="172">
        <v>765</v>
      </c>
      <c r="I15" s="172">
        <v>110</v>
      </c>
      <c r="J15" s="172">
        <v>68</v>
      </c>
      <c r="K15" s="172">
        <v>50</v>
      </c>
      <c r="L15" s="172">
        <v>0</v>
      </c>
      <c r="M15" s="172">
        <v>0</v>
      </c>
      <c r="N15" s="172">
        <v>100</v>
      </c>
      <c r="O15" s="172">
        <v>0</v>
      </c>
      <c r="P15" s="172">
        <v>464</v>
      </c>
      <c r="Q15" s="2262">
        <v>178</v>
      </c>
      <c r="R15" s="2262"/>
      <c r="S15" s="167">
        <v>117</v>
      </c>
      <c r="T15" s="2235"/>
      <c r="U15" s="167" t="s">
        <v>64</v>
      </c>
      <c r="V15" s="2262">
        <v>9878</v>
      </c>
      <c r="W15" s="2262"/>
      <c r="X15" s="2262"/>
    </row>
    <row r="16" spans="1:25" ht="24.75" customHeight="1" x14ac:dyDescent="0.25">
      <c r="A16" s="100" t="s">
        <v>39</v>
      </c>
      <c r="B16" s="2260">
        <v>291948</v>
      </c>
      <c r="C16" s="2261"/>
      <c r="D16" s="172"/>
      <c r="E16" s="172"/>
      <c r="F16" s="172"/>
      <c r="G16" s="172"/>
      <c r="H16" s="172"/>
      <c r="I16" s="172"/>
      <c r="J16" s="172">
        <v>50</v>
      </c>
      <c r="K16" s="172"/>
      <c r="L16" s="172">
        <v>360</v>
      </c>
      <c r="M16" s="172"/>
      <c r="N16" s="172"/>
      <c r="O16" s="172"/>
      <c r="P16" s="172"/>
      <c r="Q16" s="2225"/>
      <c r="R16" s="2225"/>
      <c r="S16" s="172"/>
      <c r="T16" s="2254" t="s">
        <v>55</v>
      </c>
      <c r="U16" s="2254"/>
      <c r="V16" s="2267">
        <f>Y12</f>
        <v>209494.82500000001</v>
      </c>
      <c r="W16" s="2267"/>
      <c r="X16" s="2262"/>
    </row>
    <row r="17" spans="1:25" ht="28.5" customHeight="1" x14ac:dyDescent="0.25">
      <c r="A17" s="101" t="s">
        <v>44</v>
      </c>
      <c r="B17" s="2260"/>
      <c r="C17" s="2261"/>
      <c r="D17" s="172"/>
      <c r="E17" s="172"/>
      <c r="F17" s="172"/>
      <c r="G17" s="172"/>
      <c r="H17" s="172"/>
      <c r="I17" s="172"/>
      <c r="J17" s="172"/>
      <c r="K17" s="172"/>
      <c r="L17" s="172"/>
      <c r="M17" s="172"/>
      <c r="N17" s="172"/>
      <c r="O17" s="172"/>
      <c r="P17" s="172"/>
      <c r="Q17" s="2225"/>
      <c r="R17" s="2225"/>
      <c r="S17" s="169"/>
      <c r="T17" s="2273" t="s">
        <v>211</v>
      </c>
      <c r="U17" s="2274"/>
      <c r="V17" s="2262">
        <v>100000</v>
      </c>
      <c r="W17" s="2262"/>
      <c r="X17" s="2262"/>
    </row>
    <row r="18" spans="1:25" ht="27" customHeight="1" x14ac:dyDescent="0.25">
      <c r="A18" s="100" t="s">
        <v>40</v>
      </c>
      <c r="B18" s="2264">
        <f>C12</f>
        <v>157970</v>
      </c>
      <c r="C18" s="2261"/>
      <c r="D18" s="173">
        <f>E12</f>
        <v>0</v>
      </c>
      <c r="E18" s="173">
        <f>G12</f>
        <v>170</v>
      </c>
      <c r="F18" s="173">
        <f>I12</f>
        <v>2510</v>
      </c>
      <c r="G18" s="173">
        <f>K12</f>
        <v>0</v>
      </c>
      <c r="H18" s="172">
        <v>410</v>
      </c>
      <c r="I18" s="173">
        <f>U12</f>
        <v>20</v>
      </c>
      <c r="J18" s="172"/>
      <c r="K18" s="173">
        <f>W12</f>
        <v>0</v>
      </c>
      <c r="L18" s="172"/>
      <c r="M18" s="173">
        <f>M12</f>
        <v>0</v>
      </c>
      <c r="N18" s="173">
        <f>O12</f>
        <v>0</v>
      </c>
      <c r="O18" s="174">
        <f>Q12</f>
        <v>0</v>
      </c>
      <c r="P18" s="172"/>
      <c r="Q18" s="2262"/>
      <c r="R18" s="2262"/>
      <c r="S18" s="167"/>
      <c r="T18" s="2254" t="s">
        <v>57</v>
      </c>
      <c r="U18" s="2254"/>
      <c r="V18" s="2262">
        <v>450</v>
      </c>
      <c r="W18" s="2262"/>
      <c r="X18" s="2262"/>
      <c r="Y18" s="2269" t="s">
        <v>208</v>
      </c>
    </row>
    <row r="19" spans="1:25" ht="25.5" customHeight="1" x14ac:dyDescent="0.25">
      <c r="A19" s="100" t="s">
        <v>41</v>
      </c>
      <c r="B19" s="2260">
        <f>B15+B16+B17-B18</f>
        <v>283461</v>
      </c>
      <c r="C19" s="2261"/>
      <c r="D19" s="172">
        <f>D15+D16+D17-D18</f>
        <v>0</v>
      </c>
      <c r="E19" s="172">
        <f t="shared" ref="E19:N19" si="13">E15+E16+E17-E18</f>
        <v>190</v>
      </c>
      <c r="F19" s="172">
        <f t="shared" si="13"/>
        <v>12660</v>
      </c>
      <c r="G19" s="172">
        <f t="shared" si="13"/>
        <v>0</v>
      </c>
      <c r="H19" s="172">
        <f t="shared" si="13"/>
        <v>355</v>
      </c>
      <c r="I19" s="172">
        <f t="shared" si="13"/>
        <v>90</v>
      </c>
      <c r="J19" s="172">
        <f t="shared" si="13"/>
        <v>118</v>
      </c>
      <c r="K19" s="172">
        <f t="shared" si="13"/>
        <v>50</v>
      </c>
      <c r="L19" s="172">
        <f t="shared" si="13"/>
        <v>360</v>
      </c>
      <c r="M19" s="172">
        <f t="shared" si="13"/>
        <v>0</v>
      </c>
      <c r="N19" s="172">
        <f t="shared" si="13"/>
        <v>100</v>
      </c>
      <c r="O19" s="172">
        <f>O15+O16+O17-O18</f>
        <v>0</v>
      </c>
      <c r="P19" s="172">
        <f>P15+P16+P17-P18</f>
        <v>464</v>
      </c>
      <c r="Q19" s="2260">
        <f t="shared" ref="Q19" si="14">Q15+Q16+Q17-Q18</f>
        <v>178</v>
      </c>
      <c r="R19" s="2261"/>
      <c r="S19" s="167">
        <f>S15+S16-S17-S18</f>
        <v>117</v>
      </c>
      <c r="T19" s="2256" t="s">
        <v>48</v>
      </c>
      <c r="U19" s="49" t="s">
        <v>58</v>
      </c>
      <c r="V19" s="2262">
        <v>281000</v>
      </c>
      <c r="W19" s="2262"/>
      <c r="X19" s="2262"/>
      <c r="Y19" s="2269"/>
    </row>
    <row r="20" spans="1:25" ht="23.25" customHeight="1" x14ac:dyDescent="0.25">
      <c r="A20" s="11" t="s">
        <v>187</v>
      </c>
      <c r="B20" s="2278">
        <f>B19*0.9625</f>
        <v>272831.21250000002</v>
      </c>
      <c r="C20" s="2279"/>
      <c r="D20" s="169">
        <f>D19*13.56</f>
        <v>0</v>
      </c>
      <c r="E20" s="169">
        <f>28.2*E19</f>
        <v>5358</v>
      </c>
      <c r="F20" s="169">
        <f>18.31*F19</f>
        <v>231804.59999999998</v>
      </c>
      <c r="G20" s="169">
        <f>19.3*G19</f>
        <v>0</v>
      </c>
      <c r="H20" s="169">
        <f>241*H19</f>
        <v>85555</v>
      </c>
      <c r="I20" s="169">
        <f>223*I19</f>
        <v>20070</v>
      </c>
      <c r="J20" s="169">
        <f>241*J19</f>
        <v>28438</v>
      </c>
      <c r="K20" s="169">
        <f>K19*100</f>
        <v>5000</v>
      </c>
      <c r="L20" s="169">
        <f>241*L19</f>
        <v>86760</v>
      </c>
      <c r="M20" s="169">
        <f>9.65*M19</f>
        <v>0</v>
      </c>
      <c r="N20" s="169">
        <f>N19*48.2</f>
        <v>4820</v>
      </c>
      <c r="O20" s="169">
        <f>241*O19</f>
        <v>0</v>
      </c>
      <c r="P20" s="169">
        <f>241*P19</f>
        <v>111824</v>
      </c>
      <c r="Q20" s="2278">
        <f>241*Q19</f>
        <v>42898</v>
      </c>
      <c r="R20" s="2279"/>
      <c r="S20" s="169">
        <f>241*S19</f>
        <v>28197</v>
      </c>
      <c r="T20" s="2257"/>
      <c r="U20" s="49" t="s">
        <v>59</v>
      </c>
      <c r="V20" s="2262"/>
      <c r="W20" s="2262"/>
      <c r="X20" s="2262"/>
      <c r="Y20" s="2269"/>
    </row>
    <row r="21" spans="1:25" ht="32.25" customHeight="1" x14ac:dyDescent="0.25">
      <c r="A21" s="143" t="s">
        <v>186</v>
      </c>
      <c r="B21" s="2283">
        <f>SUM(B20:S20)</f>
        <v>923555.8125</v>
      </c>
      <c r="C21" s="2283"/>
      <c r="O21" s="176"/>
      <c r="P21" s="176"/>
      <c r="Q21" s="176"/>
      <c r="R21" s="176"/>
      <c r="T21" s="2273" t="s">
        <v>167</v>
      </c>
      <c r="U21" s="2274"/>
      <c r="V21" s="2260"/>
      <c r="W21" s="2268"/>
      <c r="X21" s="2261"/>
      <c r="Y21" s="2269"/>
    </row>
    <row r="22" spans="1:25" ht="35.25" customHeight="1" x14ac:dyDescent="0.25">
      <c r="A22" s="15"/>
      <c r="B22" s="2275" t="s">
        <v>49</v>
      </c>
      <c r="C22" s="2265">
        <v>951046</v>
      </c>
      <c r="D22" s="2265">
        <v>281000</v>
      </c>
      <c r="E22" s="2265">
        <v>281000</v>
      </c>
      <c r="F22" s="2265">
        <f>C22-D22+E22</f>
        <v>951046</v>
      </c>
      <c r="G22" s="176"/>
      <c r="Q22" s="176"/>
      <c r="R22" s="176"/>
      <c r="T22" s="2251" t="s">
        <v>83</v>
      </c>
      <c r="U22" s="50" t="s">
        <v>60</v>
      </c>
      <c r="V22" s="2262">
        <v>494360</v>
      </c>
      <c r="W22" s="2262"/>
      <c r="X22" s="2262"/>
      <c r="Y22" s="2269"/>
    </row>
    <row r="23" spans="1:25" ht="39.75" customHeight="1" x14ac:dyDescent="0.25">
      <c r="A23" s="176"/>
      <c r="B23" s="2276"/>
      <c r="C23" s="2266"/>
      <c r="D23" s="2266"/>
      <c r="E23" s="2266"/>
      <c r="F23" s="2266"/>
      <c r="G23" s="176"/>
      <c r="Q23" s="176"/>
      <c r="R23" s="176"/>
      <c r="T23" s="2252"/>
      <c r="U23" s="50" t="s">
        <v>61</v>
      </c>
      <c r="V23" s="2262">
        <v>281000</v>
      </c>
      <c r="W23" s="2262"/>
      <c r="X23" s="2262"/>
      <c r="Y23" s="2269"/>
    </row>
    <row r="24" spans="1:25" ht="48" customHeight="1" x14ac:dyDescent="0.25">
      <c r="A24" s="176"/>
      <c r="B24" s="2277"/>
      <c r="C24" s="167" t="s">
        <v>46</v>
      </c>
      <c r="D24" s="167" t="s">
        <v>50</v>
      </c>
      <c r="E24" s="167" t="s">
        <v>51</v>
      </c>
      <c r="F24" s="167" t="s">
        <v>52</v>
      </c>
      <c r="G24" s="176"/>
      <c r="Q24" s="176"/>
      <c r="R24" s="176"/>
      <c r="T24" s="2235" t="s">
        <v>47</v>
      </c>
      <c r="U24" s="51" t="s">
        <v>62</v>
      </c>
      <c r="V24" s="2263">
        <f>V14+V16+V17-V18-V19-V20-V22+V23-V21</f>
        <v>15196.825000000012</v>
      </c>
      <c r="W24" s="2263"/>
      <c r="X24" s="2263"/>
      <c r="Y24" s="2269"/>
    </row>
    <row r="25" spans="1:25" ht="40.5" customHeight="1" x14ac:dyDescent="0.25">
      <c r="T25" s="2235"/>
      <c r="U25" s="51" t="s">
        <v>63</v>
      </c>
      <c r="V25" s="2262">
        <f>V15+V22-V23</f>
        <v>223238</v>
      </c>
      <c r="W25" s="2262"/>
      <c r="X25" s="2262"/>
    </row>
    <row r="26" spans="1:25" ht="36" customHeight="1" x14ac:dyDescent="0.25"/>
    <row r="32" spans="1:25" x14ac:dyDescent="0.25">
      <c r="I32" s="2280"/>
      <c r="J32" s="2280"/>
      <c r="K32" s="2280"/>
      <c r="L32" s="2280"/>
    </row>
    <row r="33" spans="9:12" x14ac:dyDescent="0.25">
      <c r="I33" s="176"/>
      <c r="J33" s="176"/>
      <c r="K33" s="2280"/>
      <c r="L33" s="2280"/>
    </row>
  </sheetData>
  <mergeCells count="62">
    <mergeCell ref="I32:J32"/>
    <mergeCell ref="K32:L32"/>
    <mergeCell ref="K33:L33"/>
    <mergeCell ref="T22:T23"/>
    <mergeCell ref="V22:X22"/>
    <mergeCell ref="V23:X23"/>
    <mergeCell ref="T24:T25"/>
    <mergeCell ref="V24:X24"/>
    <mergeCell ref="V25:X25"/>
    <mergeCell ref="Y18:Y24"/>
    <mergeCell ref="B19:C19"/>
    <mergeCell ref="Q19:R19"/>
    <mergeCell ref="T19:T20"/>
    <mergeCell ref="V19:X19"/>
    <mergeCell ref="B20:C20"/>
    <mergeCell ref="B22:B24"/>
    <mergeCell ref="C22:C23"/>
    <mergeCell ref="D22:D23"/>
    <mergeCell ref="E22:E23"/>
    <mergeCell ref="F22:F23"/>
    <mergeCell ref="Q20:R20"/>
    <mergeCell ref="V20:X20"/>
    <mergeCell ref="B21:C21"/>
    <mergeCell ref="T21:U21"/>
    <mergeCell ref="V21:X21"/>
    <mergeCell ref="B17:C17"/>
    <mergeCell ref="Q17:R17"/>
    <mergeCell ref="T17:U17"/>
    <mergeCell ref="V17:X17"/>
    <mergeCell ref="B18:C18"/>
    <mergeCell ref="Q18:R18"/>
    <mergeCell ref="T18:U18"/>
    <mergeCell ref="V18:X18"/>
    <mergeCell ref="W4:X4"/>
    <mergeCell ref="B16:C16"/>
    <mergeCell ref="Q16:R16"/>
    <mergeCell ref="T16:U16"/>
    <mergeCell ref="V16:X16"/>
    <mergeCell ref="A12:B12"/>
    <mergeCell ref="B14:C14"/>
    <mergeCell ref="Q14:R14"/>
    <mergeCell ref="T14:T15"/>
    <mergeCell ref="V14:X14"/>
    <mergeCell ref="B15:C15"/>
    <mergeCell ref="Q15:R15"/>
    <mergeCell ref="V15:X15"/>
    <mergeCell ref="A1:Y1"/>
    <mergeCell ref="A2:Y2"/>
    <mergeCell ref="T3:Y3"/>
    <mergeCell ref="A4:A5"/>
    <mergeCell ref="B4:B5"/>
    <mergeCell ref="C4:D4"/>
    <mergeCell ref="E4:F4"/>
    <mergeCell ref="G4:H4"/>
    <mergeCell ref="I4:J4"/>
    <mergeCell ref="K4:L4"/>
    <mergeCell ref="Y4:Y5"/>
    <mergeCell ref="M4:N4"/>
    <mergeCell ref="O4:P4"/>
    <mergeCell ref="Q4:R4"/>
    <mergeCell ref="S4:T4"/>
    <mergeCell ref="U4:V4"/>
  </mergeCells>
  <pageMargins left="0.15748031496063" right="0.15748031496063" top="0" bottom="0" header="0" footer="0"/>
  <pageSetup paperSize="9" scale="47" orientation="landscape" r:id="rId1"/>
  <legacyDrawing r:id="rId2"/>
</worksheet>
</file>

<file path=xl/worksheets/sheet6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039BA57-1F57-4C90-BE79-F1DE51B96B85}">
  <sheetPr>
    <pageSetUpPr fitToPage="1"/>
  </sheetPr>
  <dimension ref="A1:Y33"/>
  <sheetViews>
    <sheetView topLeftCell="D10" zoomScale="69" zoomScaleNormal="69" zoomScaleSheetLayoutView="100" workbookViewId="0">
      <selection activeCell="V18" sqref="V18:X18"/>
    </sheetView>
  </sheetViews>
  <sheetFormatPr defaultColWidth="9.140625" defaultRowHeight="15" x14ac:dyDescent="0.25"/>
  <cols>
    <col min="1" max="1" width="18.28515625" style="14" customWidth="1"/>
    <col min="2" max="2" width="10.7109375" style="14" customWidth="1"/>
    <col min="3" max="3" width="12.28515625" style="14" customWidth="1"/>
    <col min="4" max="4" width="11" style="14" customWidth="1"/>
    <col min="5" max="5" width="12" style="14" customWidth="1"/>
    <col min="6" max="6" width="12.5703125" style="14" bestFit="1" customWidth="1"/>
    <col min="7" max="7" width="9.28515625" style="14" bestFit="1" customWidth="1"/>
    <col min="8" max="8" width="10.140625" style="14" bestFit="1" customWidth="1"/>
    <col min="9" max="9" width="10.5703125" style="14" bestFit="1" customWidth="1"/>
    <col min="10" max="10" width="10.5703125" style="14" customWidth="1"/>
    <col min="11" max="11" width="10.28515625" style="14" bestFit="1" customWidth="1"/>
    <col min="12" max="12" width="9.42578125" style="14" bestFit="1" customWidth="1"/>
    <col min="13" max="13" width="9.85546875" style="14" bestFit="1" customWidth="1"/>
    <col min="14" max="14" width="10.140625" style="14" bestFit="1" customWidth="1"/>
    <col min="15" max="15" width="9" style="14" customWidth="1"/>
    <col min="16" max="16" width="12.85546875" style="14" bestFit="1" customWidth="1"/>
    <col min="17" max="18" width="9.42578125" style="14" customWidth="1"/>
    <col min="19" max="19" width="13.7109375" style="14" customWidth="1"/>
    <col min="20" max="20" width="12.140625" style="14" customWidth="1"/>
    <col min="21" max="21" width="19.5703125" style="14" bestFit="1" customWidth="1"/>
    <col min="22" max="22" width="9.85546875" style="14" customWidth="1"/>
    <col min="23" max="23" width="10.140625" style="14" bestFit="1" customWidth="1"/>
    <col min="24" max="24" width="10.28515625" style="14" customWidth="1"/>
    <col min="25" max="25" width="28" style="14" customWidth="1"/>
    <col min="26" max="16384" width="9.140625" style="14"/>
  </cols>
  <sheetData>
    <row r="1" spans="1:25" ht="46.15" customHeight="1" x14ac:dyDescent="0.25">
      <c r="A1" s="2240" t="s">
        <v>148</v>
      </c>
      <c r="B1" s="2240"/>
      <c r="C1" s="2240"/>
      <c r="D1" s="2240"/>
      <c r="E1" s="2240"/>
      <c r="F1" s="2240"/>
      <c r="G1" s="2240"/>
      <c r="H1" s="2240"/>
      <c r="I1" s="2240"/>
      <c r="J1" s="2240"/>
      <c r="K1" s="2240"/>
      <c r="L1" s="2240"/>
      <c r="M1" s="2240"/>
      <c r="N1" s="2240"/>
      <c r="O1" s="2240"/>
      <c r="P1" s="2240"/>
      <c r="Q1" s="2240"/>
      <c r="R1" s="2240"/>
      <c r="S1" s="2240"/>
      <c r="T1" s="2240"/>
      <c r="U1" s="2240"/>
      <c r="V1" s="2240"/>
      <c r="W1" s="2240"/>
      <c r="X1" s="2240"/>
      <c r="Y1" s="2240"/>
    </row>
    <row r="2" spans="1:25" ht="21.6" customHeight="1" x14ac:dyDescent="0.25">
      <c r="A2" s="2241" t="s">
        <v>77</v>
      </c>
      <c r="B2" s="2241"/>
      <c r="C2" s="2241"/>
      <c r="D2" s="2241"/>
      <c r="E2" s="2241"/>
      <c r="F2" s="2241"/>
      <c r="G2" s="2241"/>
      <c r="H2" s="2241"/>
      <c r="I2" s="2241"/>
      <c r="J2" s="2241"/>
      <c r="K2" s="2241"/>
      <c r="L2" s="2241"/>
      <c r="M2" s="2241"/>
      <c r="N2" s="2241"/>
      <c r="O2" s="2241"/>
      <c r="P2" s="2241"/>
      <c r="Q2" s="2241"/>
      <c r="R2" s="2241"/>
      <c r="S2" s="2241"/>
      <c r="T2" s="2241"/>
      <c r="U2" s="2241"/>
      <c r="V2" s="2241"/>
      <c r="W2" s="2241"/>
      <c r="X2" s="2241"/>
      <c r="Y2" s="2241"/>
    </row>
    <row r="3" spans="1:25" ht="21" customHeight="1" x14ac:dyDescent="0.25">
      <c r="A3" s="166"/>
      <c r="B3" s="166"/>
      <c r="C3" s="166"/>
      <c r="D3" s="166"/>
      <c r="E3" s="166"/>
      <c r="F3" s="166"/>
      <c r="G3" s="166"/>
      <c r="H3" s="166"/>
      <c r="I3" s="166"/>
      <c r="J3" s="166"/>
      <c r="K3" s="166"/>
      <c r="L3" s="166"/>
      <c r="M3" s="166"/>
      <c r="N3" s="166"/>
      <c r="O3" s="166"/>
      <c r="P3" s="166"/>
      <c r="Q3" s="166"/>
      <c r="R3" s="166"/>
      <c r="S3" s="166"/>
      <c r="T3" s="2242" t="s">
        <v>213</v>
      </c>
      <c r="U3" s="2242"/>
      <c r="V3" s="2242"/>
      <c r="W3" s="2242"/>
      <c r="X3" s="2242"/>
      <c r="Y3" s="2242"/>
    </row>
    <row r="4" spans="1:25" s="166" customFormat="1" ht="18" customHeight="1" x14ac:dyDescent="0.25">
      <c r="A4" s="2243" t="s">
        <v>25</v>
      </c>
      <c r="B4" s="2243" t="s">
        <v>26</v>
      </c>
      <c r="C4" s="2244" t="s">
        <v>27</v>
      </c>
      <c r="D4" s="2244"/>
      <c r="E4" s="2244" t="s">
        <v>28</v>
      </c>
      <c r="F4" s="2244"/>
      <c r="G4" s="2244" t="s">
        <v>65</v>
      </c>
      <c r="H4" s="2244"/>
      <c r="I4" s="2244" t="s">
        <v>29</v>
      </c>
      <c r="J4" s="2244"/>
      <c r="K4" s="2245" t="s">
        <v>13</v>
      </c>
      <c r="L4" s="2246"/>
      <c r="M4" s="2245" t="s">
        <v>67</v>
      </c>
      <c r="N4" s="2246"/>
      <c r="O4" s="2245" t="s">
        <v>68</v>
      </c>
      <c r="P4" s="2246"/>
      <c r="Q4" s="2245" t="s">
        <v>114</v>
      </c>
      <c r="R4" s="2246"/>
      <c r="S4" s="2244" t="s">
        <v>35</v>
      </c>
      <c r="T4" s="2244"/>
      <c r="U4" s="2245" t="s">
        <v>17</v>
      </c>
      <c r="V4" s="2246"/>
      <c r="W4" s="2247" t="s">
        <v>36</v>
      </c>
      <c r="X4" s="2248"/>
      <c r="Y4" s="2238" t="s">
        <v>30</v>
      </c>
    </row>
    <row r="5" spans="1:25" s="166" customFormat="1" ht="25.5" customHeight="1" x14ac:dyDescent="0.25">
      <c r="A5" s="2243"/>
      <c r="B5" s="2243"/>
      <c r="C5" s="168" t="s">
        <v>42</v>
      </c>
      <c r="D5" s="168" t="s">
        <v>43</v>
      </c>
      <c r="E5" s="168" t="s">
        <v>42</v>
      </c>
      <c r="F5" s="168" t="s">
        <v>43</v>
      </c>
      <c r="G5" s="168" t="s">
        <v>42</v>
      </c>
      <c r="H5" s="168" t="s">
        <v>43</v>
      </c>
      <c r="I5" s="168" t="s">
        <v>42</v>
      </c>
      <c r="J5" s="168" t="s">
        <v>43</v>
      </c>
      <c r="K5" s="168" t="s">
        <v>42</v>
      </c>
      <c r="L5" s="168" t="s">
        <v>43</v>
      </c>
      <c r="M5" s="168" t="s">
        <v>42</v>
      </c>
      <c r="N5" s="168" t="s">
        <v>43</v>
      </c>
      <c r="O5" s="168" t="s">
        <v>42</v>
      </c>
      <c r="P5" s="168" t="s">
        <v>43</v>
      </c>
      <c r="Q5" s="168" t="s">
        <v>42</v>
      </c>
      <c r="R5" s="168" t="s">
        <v>43</v>
      </c>
      <c r="S5" s="33" t="s">
        <v>42</v>
      </c>
      <c r="T5" s="33" t="s">
        <v>43</v>
      </c>
      <c r="U5" s="30" t="s">
        <v>42</v>
      </c>
      <c r="V5" s="30" t="s">
        <v>43</v>
      </c>
      <c r="W5" s="30" t="s">
        <v>42</v>
      </c>
      <c r="X5" s="30" t="s">
        <v>43</v>
      </c>
      <c r="Y5" s="2239"/>
    </row>
    <row r="6" spans="1:25" ht="34.5" customHeight="1" x14ac:dyDescent="0.25">
      <c r="A6" s="12">
        <v>1409935200</v>
      </c>
      <c r="B6" s="167" t="s">
        <v>71</v>
      </c>
      <c r="C6" s="170">
        <v>32722</v>
      </c>
      <c r="D6" s="171">
        <f>0.9725*C6</f>
        <v>31822.145</v>
      </c>
      <c r="E6" s="170"/>
      <c r="F6" s="170">
        <f>13.7*E6</f>
        <v>0</v>
      </c>
      <c r="G6" s="170">
        <v>100</v>
      </c>
      <c r="H6" s="170">
        <f>28.2*G6</f>
        <v>2820</v>
      </c>
      <c r="I6" s="170">
        <v>760</v>
      </c>
      <c r="J6" s="170">
        <f>18.5*I6</f>
        <v>14060</v>
      </c>
      <c r="K6" s="170"/>
      <c r="L6" s="170">
        <f>19.5*K6</f>
        <v>0</v>
      </c>
      <c r="M6" s="170"/>
      <c r="N6" s="171">
        <f>M6*9.75</f>
        <v>0</v>
      </c>
      <c r="O6" s="170"/>
      <c r="P6" s="171">
        <f>O6*48.62</f>
        <v>0</v>
      </c>
      <c r="Q6" s="171"/>
      <c r="R6" s="171">
        <f>241*Q6</f>
        <v>0</v>
      </c>
      <c r="S6" s="170">
        <v>3</v>
      </c>
      <c r="T6" s="170">
        <f>241*S6</f>
        <v>723</v>
      </c>
      <c r="U6" s="170"/>
      <c r="V6" s="170">
        <f>232*U6</f>
        <v>0</v>
      </c>
      <c r="W6" s="170"/>
      <c r="X6" s="19">
        <f>W6*100</f>
        <v>0</v>
      </c>
      <c r="Y6" s="89">
        <f t="shared" ref="Y6:Y11" si="0">D6+F6+H6+J6+L6+N6+P6+R6+T6+V6+X6</f>
        <v>49425.145000000004</v>
      </c>
    </row>
    <row r="7" spans="1:25" ht="31.5" customHeight="1" x14ac:dyDescent="0.25">
      <c r="A7" s="12">
        <v>1984225578</v>
      </c>
      <c r="B7" s="167" t="s">
        <v>72</v>
      </c>
      <c r="C7" s="170">
        <v>64264</v>
      </c>
      <c r="D7" s="171">
        <f t="shared" ref="D7:D11" si="1">0.9725*C7</f>
        <v>62496.740000000005</v>
      </c>
      <c r="E7" s="170"/>
      <c r="F7" s="170">
        <f t="shared" ref="F7:F11" si="2">13.7*E7</f>
        <v>0</v>
      </c>
      <c r="G7" s="170">
        <v>20</v>
      </c>
      <c r="H7" s="170">
        <f t="shared" ref="H7:H11" si="3">28.2*G7</f>
        <v>564</v>
      </c>
      <c r="I7" s="170">
        <v>230</v>
      </c>
      <c r="J7" s="170">
        <f t="shared" ref="J7:J11" si="4">18.5*I7</f>
        <v>4255</v>
      </c>
      <c r="K7" s="170"/>
      <c r="L7" s="170">
        <f t="shared" ref="L7:L11" si="5">19.5*K7</f>
        <v>0</v>
      </c>
      <c r="M7" s="170"/>
      <c r="N7" s="171">
        <f t="shared" ref="N7:N11" si="6">M7*9.75</f>
        <v>0</v>
      </c>
      <c r="O7" s="170"/>
      <c r="P7" s="171">
        <f t="shared" ref="P7:P11" si="7">O7*48.62</f>
        <v>0</v>
      </c>
      <c r="Q7" s="171"/>
      <c r="R7" s="171">
        <f t="shared" ref="R7:R11" si="8">241*Q7</f>
        <v>0</v>
      </c>
      <c r="S7" s="170"/>
      <c r="T7" s="170">
        <f t="shared" ref="T7:T11" si="9">241*S7</f>
        <v>0</v>
      </c>
      <c r="U7" s="170"/>
      <c r="V7" s="170">
        <f t="shared" ref="V7:V11" si="10">232*U7</f>
        <v>0</v>
      </c>
      <c r="W7" s="170"/>
      <c r="X7" s="19">
        <f t="shared" ref="X7:X11" si="11">W7*100</f>
        <v>0</v>
      </c>
      <c r="Y7" s="89">
        <f t="shared" si="0"/>
        <v>67315.740000000005</v>
      </c>
    </row>
    <row r="8" spans="1:25" ht="35.25" customHeight="1" x14ac:dyDescent="0.25">
      <c r="A8" s="12">
        <v>1967020280</v>
      </c>
      <c r="B8" s="167" t="s">
        <v>73</v>
      </c>
      <c r="C8" s="170">
        <v>38527</v>
      </c>
      <c r="D8" s="171">
        <f t="shared" si="1"/>
        <v>37467.5075</v>
      </c>
      <c r="E8" s="170"/>
      <c r="F8" s="170">
        <f t="shared" si="2"/>
        <v>0</v>
      </c>
      <c r="G8" s="170"/>
      <c r="H8" s="170">
        <f t="shared" si="3"/>
        <v>0</v>
      </c>
      <c r="I8" s="170">
        <v>220</v>
      </c>
      <c r="J8" s="170">
        <f t="shared" si="4"/>
        <v>4070</v>
      </c>
      <c r="K8" s="170"/>
      <c r="L8" s="170">
        <f t="shared" si="5"/>
        <v>0</v>
      </c>
      <c r="M8" s="170"/>
      <c r="N8" s="171">
        <f t="shared" si="6"/>
        <v>0</v>
      </c>
      <c r="O8" s="170"/>
      <c r="P8" s="171">
        <f t="shared" si="7"/>
        <v>0</v>
      </c>
      <c r="Q8" s="171"/>
      <c r="R8" s="171">
        <f t="shared" si="8"/>
        <v>0</v>
      </c>
      <c r="S8" s="170"/>
      <c r="T8" s="170">
        <f t="shared" si="9"/>
        <v>0</v>
      </c>
      <c r="U8" s="170"/>
      <c r="V8" s="170">
        <f t="shared" si="10"/>
        <v>0</v>
      </c>
      <c r="W8" s="170"/>
      <c r="X8" s="19">
        <f t="shared" si="11"/>
        <v>0</v>
      </c>
      <c r="Y8" s="89">
        <f t="shared" si="0"/>
        <v>41537.5075</v>
      </c>
    </row>
    <row r="9" spans="1:25" ht="38.25" customHeight="1" x14ac:dyDescent="0.25">
      <c r="A9" s="12">
        <v>1409935199</v>
      </c>
      <c r="B9" s="167" t="s">
        <v>75</v>
      </c>
      <c r="C9" s="170">
        <v>66760</v>
      </c>
      <c r="D9" s="171">
        <f t="shared" si="1"/>
        <v>64924.1</v>
      </c>
      <c r="E9" s="170"/>
      <c r="F9" s="170">
        <f t="shared" si="2"/>
        <v>0</v>
      </c>
      <c r="G9" s="170">
        <v>10</v>
      </c>
      <c r="H9" s="170">
        <f t="shared" si="3"/>
        <v>282</v>
      </c>
      <c r="I9" s="170">
        <v>570</v>
      </c>
      <c r="J9" s="170">
        <f t="shared" si="4"/>
        <v>10545</v>
      </c>
      <c r="K9" s="170"/>
      <c r="L9" s="170">
        <f t="shared" si="5"/>
        <v>0</v>
      </c>
      <c r="M9" s="170"/>
      <c r="N9" s="171">
        <f t="shared" si="6"/>
        <v>0</v>
      </c>
      <c r="O9" s="170"/>
      <c r="P9" s="171">
        <f t="shared" si="7"/>
        <v>0</v>
      </c>
      <c r="Q9" s="171"/>
      <c r="R9" s="171">
        <f t="shared" si="8"/>
        <v>0</v>
      </c>
      <c r="S9" s="170"/>
      <c r="T9" s="170">
        <f t="shared" si="9"/>
        <v>0</v>
      </c>
      <c r="U9" s="170">
        <v>10</v>
      </c>
      <c r="V9" s="170">
        <f t="shared" si="10"/>
        <v>2320</v>
      </c>
      <c r="W9" s="170"/>
      <c r="X9" s="19">
        <f t="shared" si="11"/>
        <v>0</v>
      </c>
      <c r="Y9" s="89">
        <f t="shared" si="0"/>
        <v>78071.100000000006</v>
      </c>
    </row>
    <row r="10" spans="1:25" ht="35.25" customHeight="1" x14ac:dyDescent="0.25">
      <c r="A10" s="12">
        <v>1984225580</v>
      </c>
      <c r="C10" s="170"/>
      <c r="D10" s="171">
        <f t="shared" si="1"/>
        <v>0</v>
      </c>
      <c r="E10" s="170"/>
      <c r="F10" s="170">
        <f t="shared" si="2"/>
        <v>0</v>
      </c>
      <c r="G10" s="170"/>
      <c r="H10" s="170">
        <f t="shared" si="3"/>
        <v>0</v>
      </c>
      <c r="I10" s="170"/>
      <c r="J10" s="170">
        <f t="shared" si="4"/>
        <v>0</v>
      </c>
      <c r="K10" s="170"/>
      <c r="L10" s="170">
        <f t="shared" si="5"/>
        <v>0</v>
      </c>
      <c r="M10" s="170"/>
      <c r="N10" s="171">
        <f t="shared" si="6"/>
        <v>0</v>
      </c>
      <c r="O10" s="170"/>
      <c r="P10" s="171">
        <f t="shared" si="7"/>
        <v>0</v>
      </c>
      <c r="Q10" s="171"/>
      <c r="R10" s="171">
        <f t="shared" si="8"/>
        <v>0</v>
      </c>
      <c r="S10" s="170"/>
      <c r="T10" s="170">
        <f t="shared" si="9"/>
        <v>0</v>
      </c>
      <c r="U10" s="170"/>
      <c r="V10" s="170">
        <f t="shared" si="10"/>
        <v>0</v>
      </c>
      <c r="W10" s="170"/>
      <c r="X10" s="19">
        <f t="shared" si="11"/>
        <v>0</v>
      </c>
      <c r="Y10" s="89">
        <f t="shared" si="0"/>
        <v>0</v>
      </c>
    </row>
    <row r="11" spans="1:25" ht="37.5" customHeight="1" x14ac:dyDescent="0.25">
      <c r="A11" s="12"/>
      <c r="B11" s="169"/>
      <c r="C11" s="170"/>
      <c r="D11" s="22">
        <f t="shared" si="1"/>
        <v>0</v>
      </c>
      <c r="E11" s="170"/>
      <c r="F11" s="170">
        <f t="shared" si="2"/>
        <v>0</v>
      </c>
      <c r="G11" s="170"/>
      <c r="H11" s="170">
        <f t="shared" si="3"/>
        <v>0</v>
      </c>
      <c r="I11" s="170"/>
      <c r="J11" s="170">
        <f t="shared" si="4"/>
        <v>0</v>
      </c>
      <c r="K11" s="170"/>
      <c r="L11" s="170">
        <f t="shared" si="5"/>
        <v>0</v>
      </c>
      <c r="M11" s="170"/>
      <c r="N11" s="171">
        <f t="shared" si="6"/>
        <v>0</v>
      </c>
      <c r="O11" s="170"/>
      <c r="P11" s="171">
        <f t="shared" si="7"/>
        <v>0</v>
      </c>
      <c r="Q11" s="171"/>
      <c r="R11" s="171">
        <f t="shared" si="8"/>
        <v>0</v>
      </c>
      <c r="S11" s="170"/>
      <c r="T11" s="170">
        <f t="shared" si="9"/>
        <v>0</v>
      </c>
      <c r="U11" s="170"/>
      <c r="V11" s="170">
        <f t="shared" si="10"/>
        <v>0</v>
      </c>
      <c r="W11" s="170"/>
      <c r="X11" s="19">
        <f t="shared" si="11"/>
        <v>0</v>
      </c>
      <c r="Y11" s="20">
        <f t="shared" si="0"/>
        <v>0</v>
      </c>
    </row>
    <row r="12" spans="1:25" ht="29.25" customHeight="1" x14ac:dyDescent="0.25">
      <c r="A12" s="2235" t="s">
        <v>31</v>
      </c>
      <c r="B12" s="2235"/>
      <c r="C12" s="18">
        <f t="shared" ref="C12:Y12" si="12">SUM(C6:C11)</f>
        <v>202273</v>
      </c>
      <c r="D12" s="18">
        <f t="shared" si="12"/>
        <v>196710.49250000002</v>
      </c>
      <c r="E12" s="18">
        <f t="shared" si="12"/>
        <v>0</v>
      </c>
      <c r="F12" s="18">
        <f t="shared" si="12"/>
        <v>0</v>
      </c>
      <c r="G12" s="18">
        <f t="shared" si="12"/>
        <v>130</v>
      </c>
      <c r="H12" s="18">
        <f t="shared" si="12"/>
        <v>3666</v>
      </c>
      <c r="I12" s="18">
        <f t="shared" si="12"/>
        <v>1780</v>
      </c>
      <c r="J12" s="18">
        <f t="shared" si="12"/>
        <v>32930</v>
      </c>
      <c r="K12" s="18">
        <f t="shared" si="12"/>
        <v>0</v>
      </c>
      <c r="L12" s="18">
        <f t="shared" si="12"/>
        <v>0</v>
      </c>
      <c r="M12" s="18">
        <f t="shared" si="12"/>
        <v>0</v>
      </c>
      <c r="N12" s="23">
        <f t="shared" si="12"/>
        <v>0</v>
      </c>
      <c r="O12" s="18">
        <f t="shared" si="12"/>
        <v>0</v>
      </c>
      <c r="P12" s="23">
        <f t="shared" si="12"/>
        <v>0</v>
      </c>
      <c r="Q12" s="23">
        <f t="shared" si="12"/>
        <v>0</v>
      </c>
      <c r="R12" s="23">
        <f>SUM(R6:R11)</f>
        <v>0</v>
      </c>
      <c r="S12" s="18">
        <f t="shared" si="12"/>
        <v>3</v>
      </c>
      <c r="T12" s="18">
        <f t="shared" si="12"/>
        <v>723</v>
      </c>
      <c r="U12" s="18">
        <f t="shared" si="12"/>
        <v>10</v>
      </c>
      <c r="V12" s="18">
        <f t="shared" si="12"/>
        <v>2320</v>
      </c>
      <c r="W12" s="18">
        <f t="shared" si="12"/>
        <v>0</v>
      </c>
      <c r="X12" s="18">
        <f t="shared" si="12"/>
        <v>0</v>
      </c>
      <c r="Y12" s="18">
        <f t="shared" si="12"/>
        <v>236349.49250000002</v>
      </c>
    </row>
    <row r="14" spans="1:25" ht="41.25" customHeight="1" x14ac:dyDescent="0.25">
      <c r="A14" s="30" t="s">
        <v>32</v>
      </c>
      <c r="B14" s="2236" t="s">
        <v>27</v>
      </c>
      <c r="C14" s="2236"/>
      <c r="D14" s="30" t="s">
        <v>33</v>
      </c>
      <c r="E14" s="30" t="s">
        <v>65</v>
      </c>
      <c r="F14" s="30" t="s">
        <v>34</v>
      </c>
      <c r="G14" s="30" t="s">
        <v>13</v>
      </c>
      <c r="H14" s="142" t="s">
        <v>173</v>
      </c>
      <c r="I14" s="30" t="s">
        <v>17</v>
      </c>
      <c r="J14" s="175" t="s">
        <v>174</v>
      </c>
      <c r="K14" s="30" t="s">
        <v>36</v>
      </c>
      <c r="L14" s="30" t="s">
        <v>175</v>
      </c>
      <c r="M14" s="30" t="s">
        <v>69</v>
      </c>
      <c r="N14" s="30" t="s">
        <v>70</v>
      </c>
      <c r="O14" s="175" t="s">
        <v>114</v>
      </c>
      <c r="P14" s="175" t="s">
        <v>99</v>
      </c>
      <c r="Q14" s="2272" t="s">
        <v>215</v>
      </c>
      <c r="R14" s="2272"/>
      <c r="S14" s="175" t="s">
        <v>171</v>
      </c>
      <c r="T14" s="2235" t="s">
        <v>46</v>
      </c>
      <c r="U14" s="167" t="s">
        <v>176</v>
      </c>
      <c r="V14" s="2260">
        <v>15197</v>
      </c>
      <c r="W14" s="2268"/>
      <c r="X14" s="2261"/>
    </row>
    <row r="15" spans="1:25" ht="22.5" customHeight="1" x14ac:dyDescent="0.25">
      <c r="A15" s="100" t="s">
        <v>38</v>
      </c>
      <c r="B15" s="2260">
        <v>283461</v>
      </c>
      <c r="C15" s="2261"/>
      <c r="D15" s="172">
        <v>0</v>
      </c>
      <c r="E15" s="172">
        <v>190</v>
      </c>
      <c r="F15" s="172">
        <v>12660</v>
      </c>
      <c r="G15" s="172">
        <v>0</v>
      </c>
      <c r="H15" s="172">
        <v>355</v>
      </c>
      <c r="I15" s="172">
        <v>90</v>
      </c>
      <c r="J15" s="172">
        <v>118</v>
      </c>
      <c r="K15" s="172">
        <v>50</v>
      </c>
      <c r="L15" s="172">
        <v>360</v>
      </c>
      <c r="M15" s="172">
        <v>0</v>
      </c>
      <c r="N15" s="172">
        <v>100</v>
      </c>
      <c r="O15" s="172">
        <v>0</v>
      </c>
      <c r="P15" s="172">
        <v>464</v>
      </c>
      <c r="Q15" s="2262">
        <v>178</v>
      </c>
      <c r="R15" s="2262"/>
      <c r="S15" s="167">
        <v>117</v>
      </c>
      <c r="T15" s="2235"/>
      <c r="U15" s="167" t="s">
        <v>64</v>
      </c>
      <c r="V15" s="2262">
        <v>223238</v>
      </c>
      <c r="W15" s="2262"/>
      <c r="X15" s="2262"/>
    </row>
    <row r="16" spans="1:25" ht="24.75" customHeight="1" x14ac:dyDescent="0.25">
      <c r="A16" s="100" t="s">
        <v>39</v>
      </c>
      <c r="B16" s="2260">
        <v>150649</v>
      </c>
      <c r="C16" s="2261"/>
      <c r="D16" s="172"/>
      <c r="E16" s="172"/>
      <c r="F16" s="172"/>
      <c r="G16" s="172"/>
      <c r="H16" s="172">
        <v>400</v>
      </c>
      <c r="I16" s="172"/>
      <c r="J16" s="172"/>
      <c r="K16" s="172"/>
      <c r="L16" s="172">
        <v>50</v>
      </c>
      <c r="M16" s="172"/>
      <c r="N16" s="172"/>
      <c r="O16" s="172"/>
      <c r="P16" s="172"/>
      <c r="Q16" s="2225"/>
      <c r="R16" s="2225"/>
      <c r="S16" s="172"/>
      <c r="T16" s="2254" t="s">
        <v>55</v>
      </c>
      <c r="U16" s="2254"/>
      <c r="V16" s="2267">
        <f>Y12</f>
        <v>236349.49250000002</v>
      </c>
      <c r="W16" s="2267"/>
      <c r="X16" s="2262"/>
    </row>
    <row r="17" spans="1:25" ht="28.5" customHeight="1" x14ac:dyDescent="0.25">
      <c r="A17" s="101" t="s">
        <v>44</v>
      </c>
      <c r="B17" s="2260"/>
      <c r="C17" s="2261"/>
      <c r="D17" s="172"/>
      <c r="E17" s="172"/>
      <c r="F17" s="172"/>
      <c r="G17" s="172"/>
      <c r="H17" s="172"/>
      <c r="I17" s="172"/>
      <c r="J17" s="172"/>
      <c r="K17" s="172"/>
      <c r="L17" s="172"/>
      <c r="M17" s="172"/>
      <c r="N17" s="172"/>
      <c r="O17" s="172"/>
      <c r="P17" s="172"/>
      <c r="Q17" s="2225"/>
      <c r="R17" s="2225"/>
      <c r="S17" s="169"/>
      <c r="T17" s="2273" t="s">
        <v>211</v>
      </c>
      <c r="U17" s="2274"/>
      <c r="V17" s="2262"/>
      <c r="W17" s="2262"/>
      <c r="X17" s="2262"/>
    </row>
    <row r="18" spans="1:25" ht="27" customHeight="1" x14ac:dyDescent="0.25">
      <c r="A18" s="100" t="s">
        <v>40</v>
      </c>
      <c r="B18" s="2264">
        <f>C12</f>
        <v>202273</v>
      </c>
      <c r="C18" s="2261"/>
      <c r="D18" s="173">
        <f>E12</f>
        <v>0</v>
      </c>
      <c r="E18" s="173">
        <f>G12</f>
        <v>130</v>
      </c>
      <c r="F18" s="173">
        <f>I12</f>
        <v>1780</v>
      </c>
      <c r="G18" s="173">
        <f>K12</f>
        <v>0</v>
      </c>
      <c r="H18" s="172">
        <v>53</v>
      </c>
      <c r="I18" s="173">
        <f>U12</f>
        <v>10</v>
      </c>
      <c r="J18" s="172"/>
      <c r="K18" s="173">
        <f>W12</f>
        <v>0</v>
      </c>
      <c r="L18" s="172"/>
      <c r="M18" s="173">
        <f>M12</f>
        <v>0</v>
      </c>
      <c r="N18" s="173">
        <f>O12</f>
        <v>0</v>
      </c>
      <c r="O18" s="174">
        <f>Q12</f>
        <v>0</v>
      </c>
      <c r="P18" s="172"/>
      <c r="Q18" s="2262"/>
      <c r="R18" s="2262"/>
      <c r="S18" s="167"/>
      <c r="T18" s="2254" t="s">
        <v>57</v>
      </c>
      <c r="U18" s="2254"/>
      <c r="V18" s="2262">
        <f>500+180+23500</f>
        <v>24180</v>
      </c>
      <c r="W18" s="2262"/>
      <c r="X18" s="2262"/>
      <c r="Y18" s="2269" t="s">
        <v>214</v>
      </c>
    </row>
    <row r="19" spans="1:25" ht="25.5" customHeight="1" x14ac:dyDescent="0.25">
      <c r="A19" s="100" t="s">
        <v>41</v>
      </c>
      <c r="B19" s="2260">
        <f>B15+B16+B17-B18</f>
        <v>231837</v>
      </c>
      <c r="C19" s="2261"/>
      <c r="D19" s="172">
        <f>D15+D16+D17-D18</f>
        <v>0</v>
      </c>
      <c r="E19" s="172">
        <f t="shared" ref="E19:N19" si="13">E15+E16+E17-E18</f>
        <v>60</v>
      </c>
      <c r="F19" s="172">
        <f t="shared" si="13"/>
        <v>10880</v>
      </c>
      <c r="G19" s="172">
        <f t="shared" si="13"/>
        <v>0</v>
      </c>
      <c r="H19" s="172">
        <f t="shared" si="13"/>
        <v>702</v>
      </c>
      <c r="I19" s="172">
        <f t="shared" si="13"/>
        <v>80</v>
      </c>
      <c r="J19" s="172">
        <f t="shared" si="13"/>
        <v>118</v>
      </c>
      <c r="K19" s="172">
        <f t="shared" si="13"/>
        <v>50</v>
      </c>
      <c r="L19" s="172">
        <f t="shared" si="13"/>
        <v>410</v>
      </c>
      <c r="M19" s="172">
        <f t="shared" si="13"/>
        <v>0</v>
      </c>
      <c r="N19" s="172">
        <f t="shared" si="13"/>
        <v>100</v>
      </c>
      <c r="O19" s="172">
        <f>O15+O16+O17-O18</f>
        <v>0</v>
      </c>
      <c r="P19" s="172">
        <f>P15+P16+P17-P18</f>
        <v>464</v>
      </c>
      <c r="Q19" s="2260">
        <f t="shared" ref="Q19" si="14">Q15+Q16+Q17-Q18</f>
        <v>178</v>
      </c>
      <c r="R19" s="2261"/>
      <c r="S19" s="167">
        <f>S15+S16-S17-S18</f>
        <v>117</v>
      </c>
      <c r="T19" s="2256" t="s">
        <v>48</v>
      </c>
      <c r="U19" s="49" t="s">
        <v>58</v>
      </c>
      <c r="V19" s="2262">
        <v>400000</v>
      </c>
      <c r="W19" s="2262"/>
      <c r="X19" s="2262"/>
      <c r="Y19" s="2269"/>
    </row>
    <row r="20" spans="1:25" ht="23.25" customHeight="1" x14ac:dyDescent="0.25">
      <c r="A20" s="11" t="s">
        <v>187</v>
      </c>
      <c r="B20" s="2278">
        <f>B19*0.9625</f>
        <v>223143.11250000002</v>
      </c>
      <c r="C20" s="2279"/>
      <c r="D20" s="169">
        <f>D19*13.56</f>
        <v>0</v>
      </c>
      <c r="E20" s="169">
        <f>28.2*E19</f>
        <v>1692</v>
      </c>
      <c r="F20" s="169">
        <f>18.31*F19</f>
        <v>199212.79999999999</v>
      </c>
      <c r="G20" s="169">
        <f>19.3*G19</f>
        <v>0</v>
      </c>
      <c r="H20" s="169">
        <f>241*H19</f>
        <v>169182</v>
      </c>
      <c r="I20" s="169">
        <f>223*I19</f>
        <v>17840</v>
      </c>
      <c r="J20" s="169">
        <f>241*J19</f>
        <v>28438</v>
      </c>
      <c r="K20" s="169">
        <f>K19*100</f>
        <v>5000</v>
      </c>
      <c r="L20" s="169">
        <f>241*L19</f>
        <v>98810</v>
      </c>
      <c r="M20" s="169">
        <f>9.65*M19</f>
        <v>0</v>
      </c>
      <c r="N20" s="169">
        <f>N19*48.2</f>
        <v>4820</v>
      </c>
      <c r="O20" s="169">
        <f>241*O19</f>
        <v>0</v>
      </c>
      <c r="P20" s="169">
        <f>241*P19</f>
        <v>111824</v>
      </c>
      <c r="Q20" s="2278">
        <f>241*Q19</f>
        <v>42898</v>
      </c>
      <c r="R20" s="2279"/>
      <c r="S20" s="169">
        <f>241*S19</f>
        <v>28197</v>
      </c>
      <c r="T20" s="2257"/>
      <c r="U20" s="49" t="s">
        <v>59</v>
      </c>
      <c r="V20" s="2262"/>
      <c r="W20" s="2262"/>
      <c r="X20" s="2262"/>
      <c r="Y20" s="2269"/>
    </row>
    <row r="21" spans="1:25" ht="32.25" customHeight="1" x14ac:dyDescent="0.25">
      <c r="A21" s="143" t="s">
        <v>186</v>
      </c>
      <c r="B21" s="2283">
        <f>SUM(B20:S20)</f>
        <v>931056.91249999998</v>
      </c>
      <c r="C21" s="2283"/>
      <c r="O21" s="176"/>
      <c r="P21" s="176"/>
      <c r="Q21" s="176"/>
      <c r="R21" s="176"/>
      <c r="T21" s="2273" t="s">
        <v>167</v>
      </c>
      <c r="U21" s="2274"/>
      <c r="V21" s="2260"/>
      <c r="W21" s="2268"/>
      <c r="X21" s="2261"/>
      <c r="Y21" s="2269"/>
    </row>
    <row r="22" spans="1:25" ht="35.25" customHeight="1" x14ac:dyDescent="0.25">
      <c r="A22" s="15"/>
      <c r="B22" s="2275" t="s">
        <v>49</v>
      </c>
      <c r="C22" s="2265">
        <v>951046</v>
      </c>
      <c r="D22" s="2265">
        <v>400000</v>
      </c>
      <c r="E22" s="2265">
        <v>241400</v>
      </c>
      <c r="F22" s="2265">
        <f>C22-D22+E22</f>
        <v>792446</v>
      </c>
      <c r="G22" s="176"/>
      <c r="Q22" s="176"/>
      <c r="R22" s="176"/>
      <c r="T22" s="2251" t="s">
        <v>83</v>
      </c>
      <c r="U22" s="50" t="s">
        <v>60</v>
      </c>
      <c r="V22" s="2262">
        <v>226060</v>
      </c>
      <c r="W22" s="2262"/>
      <c r="X22" s="2262"/>
      <c r="Y22" s="2269"/>
    </row>
    <row r="23" spans="1:25" ht="39.75" customHeight="1" x14ac:dyDescent="0.25">
      <c r="A23" s="176"/>
      <c r="B23" s="2276"/>
      <c r="C23" s="2266"/>
      <c r="D23" s="2266"/>
      <c r="E23" s="2266"/>
      <c r="F23" s="2266"/>
      <c r="G23" s="176"/>
      <c r="Q23" s="176"/>
      <c r="R23" s="176"/>
      <c r="T23" s="2252"/>
      <c r="U23" s="50" t="s">
        <v>61</v>
      </c>
      <c r="V23" s="2262">
        <v>400000</v>
      </c>
      <c r="W23" s="2262"/>
      <c r="X23" s="2262"/>
      <c r="Y23" s="2269"/>
    </row>
    <row r="24" spans="1:25" ht="48" customHeight="1" x14ac:dyDescent="0.25">
      <c r="A24" s="176"/>
      <c r="B24" s="2277"/>
      <c r="C24" s="167" t="s">
        <v>46</v>
      </c>
      <c r="D24" s="167" t="s">
        <v>50</v>
      </c>
      <c r="E24" s="167" t="s">
        <v>51</v>
      </c>
      <c r="F24" s="167" t="s">
        <v>52</v>
      </c>
      <c r="G24" s="176"/>
      <c r="Q24" s="176"/>
      <c r="R24" s="176"/>
      <c r="T24" s="2235" t="s">
        <v>47</v>
      </c>
      <c r="U24" s="51" t="s">
        <v>62</v>
      </c>
      <c r="V24" s="2263">
        <f>V14+V16+V17-V18-V19-V20-V22+V23-V21</f>
        <v>1306.4925000000512</v>
      </c>
      <c r="W24" s="2263"/>
      <c r="X24" s="2263"/>
      <c r="Y24" s="2269"/>
    </row>
    <row r="25" spans="1:25" ht="40.5" customHeight="1" x14ac:dyDescent="0.25">
      <c r="T25" s="2235"/>
      <c r="U25" s="51" t="s">
        <v>63</v>
      </c>
      <c r="V25" s="2262">
        <f>V15+V22-V23</f>
        <v>49298</v>
      </c>
      <c r="W25" s="2262"/>
      <c r="X25" s="2262"/>
    </row>
    <row r="26" spans="1:25" ht="36" customHeight="1" x14ac:dyDescent="0.25"/>
    <row r="32" spans="1:25" x14ac:dyDescent="0.25">
      <c r="I32" s="2280"/>
      <c r="J32" s="2280"/>
      <c r="K32" s="2280"/>
      <c r="L32" s="2280"/>
    </row>
    <row r="33" spans="9:12" x14ac:dyDescent="0.25">
      <c r="I33" s="176"/>
      <c r="J33" s="176"/>
      <c r="K33" s="2280"/>
      <c r="L33" s="2280"/>
    </row>
  </sheetData>
  <mergeCells count="62">
    <mergeCell ref="I32:J32"/>
    <mergeCell ref="K32:L32"/>
    <mergeCell ref="K33:L33"/>
    <mergeCell ref="T22:T23"/>
    <mergeCell ref="V22:X22"/>
    <mergeCell ref="V23:X23"/>
    <mergeCell ref="T24:T25"/>
    <mergeCell ref="V24:X24"/>
    <mergeCell ref="V25:X25"/>
    <mergeCell ref="Y18:Y24"/>
    <mergeCell ref="B19:C19"/>
    <mergeCell ref="Q19:R19"/>
    <mergeCell ref="T19:T20"/>
    <mergeCell ref="V19:X19"/>
    <mergeCell ref="B20:C20"/>
    <mergeCell ref="B22:B24"/>
    <mergeCell ref="C22:C23"/>
    <mergeCell ref="D22:D23"/>
    <mergeCell ref="E22:E23"/>
    <mergeCell ref="F22:F23"/>
    <mergeCell ref="Q20:R20"/>
    <mergeCell ref="V20:X20"/>
    <mergeCell ref="B21:C21"/>
    <mergeCell ref="T21:U21"/>
    <mergeCell ref="V21:X21"/>
    <mergeCell ref="B17:C17"/>
    <mergeCell ref="Q17:R17"/>
    <mergeCell ref="T17:U17"/>
    <mergeCell ref="V17:X17"/>
    <mergeCell ref="B18:C18"/>
    <mergeCell ref="Q18:R18"/>
    <mergeCell ref="T18:U18"/>
    <mergeCell ref="V18:X18"/>
    <mergeCell ref="W4:X4"/>
    <mergeCell ref="B16:C16"/>
    <mergeCell ref="Q16:R16"/>
    <mergeCell ref="T16:U16"/>
    <mergeCell ref="V16:X16"/>
    <mergeCell ref="A12:B12"/>
    <mergeCell ref="B14:C14"/>
    <mergeCell ref="Q14:R14"/>
    <mergeCell ref="T14:T15"/>
    <mergeCell ref="V14:X14"/>
    <mergeCell ref="B15:C15"/>
    <mergeCell ref="Q15:R15"/>
    <mergeCell ref="V15:X15"/>
    <mergeCell ref="A1:Y1"/>
    <mergeCell ref="A2:Y2"/>
    <mergeCell ref="T3:Y3"/>
    <mergeCell ref="A4:A5"/>
    <mergeCell ref="B4:B5"/>
    <mergeCell ref="C4:D4"/>
    <mergeCell ref="E4:F4"/>
    <mergeCell ref="G4:H4"/>
    <mergeCell ref="I4:J4"/>
    <mergeCell ref="K4:L4"/>
    <mergeCell ref="Y4:Y5"/>
    <mergeCell ref="M4:N4"/>
    <mergeCell ref="O4:P4"/>
    <mergeCell ref="Q4:R4"/>
    <mergeCell ref="S4:T4"/>
    <mergeCell ref="U4:V4"/>
  </mergeCells>
  <pageMargins left="0.15748031496063" right="0.15748031496063" top="0" bottom="0" header="0" footer="0"/>
  <pageSetup paperSize="9" scale="47" orientation="landscape" r:id="rId1"/>
  <legacyDrawing r:id="rId2"/>
</worksheet>
</file>

<file path=xl/worksheets/sheet6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0005C2F-CB75-49D9-801C-50DFCE8ADA63}">
  <sheetPr>
    <pageSetUpPr fitToPage="1"/>
  </sheetPr>
  <dimension ref="A1:Y33"/>
  <sheetViews>
    <sheetView topLeftCell="A10" zoomScale="69" zoomScaleNormal="69" zoomScaleSheetLayoutView="100" workbookViewId="0">
      <selection activeCell="L24" sqref="L24"/>
    </sheetView>
  </sheetViews>
  <sheetFormatPr defaultColWidth="9.140625" defaultRowHeight="15" x14ac:dyDescent="0.25"/>
  <cols>
    <col min="1" max="1" width="18.28515625" style="14" customWidth="1"/>
    <col min="2" max="2" width="10.7109375" style="14" customWidth="1"/>
    <col min="3" max="3" width="12.28515625" style="14" customWidth="1"/>
    <col min="4" max="4" width="11" style="14" customWidth="1"/>
    <col min="5" max="5" width="12" style="14" customWidth="1"/>
    <col min="6" max="6" width="12.5703125" style="14" bestFit="1" customWidth="1"/>
    <col min="7" max="7" width="9.28515625" style="14" bestFit="1" customWidth="1"/>
    <col min="8" max="8" width="10.140625" style="14" bestFit="1" customWidth="1"/>
    <col min="9" max="9" width="10.5703125" style="14" bestFit="1" customWidth="1"/>
    <col min="10" max="10" width="10.5703125" style="14" customWidth="1"/>
    <col min="11" max="11" width="10.28515625" style="14" bestFit="1" customWidth="1"/>
    <col min="12" max="12" width="9.42578125" style="14" bestFit="1" customWidth="1"/>
    <col min="13" max="13" width="9.85546875" style="14" bestFit="1" customWidth="1"/>
    <col min="14" max="14" width="10.140625" style="14" bestFit="1" customWidth="1"/>
    <col min="15" max="15" width="9" style="14" customWidth="1"/>
    <col min="16" max="16" width="12.85546875" style="14" bestFit="1" customWidth="1"/>
    <col min="17" max="18" width="9.42578125" style="14" customWidth="1"/>
    <col min="19" max="19" width="13.7109375" style="14" customWidth="1"/>
    <col min="20" max="20" width="12.140625" style="14" customWidth="1"/>
    <col min="21" max="21" width="19.5703125" style="14" bestFit="1" customWidth="1"/>
    <col min="22" max="22" width="9.85546875" style="14" customWidth="1"/>
    <col min="23" max="23" width="10.140625" style="14" bestFit="1" customWidth="1"/>
    <col min="24" max="24" width="10.28515625" style="14" customWidth="1"/>
    <col min="25" max="25" width="28" style="14" customWidth="1"/>
    <col min="26" max="16384" width="9.140625" style="14"/>
  </cols>
  <sheetData>
    <row r="1" spans="1:25" ht="46.15" customHeight="1" x14ac:dyDescent="0.25">
      <c r="A1" s="2240" t="s">
        <v>148</v>
      </c>
      <c r="B1" s="2240"/>
      <c r="C1" s="2240"/>
      <c r="D1" s="2240"/>
      <c r="E1" s="2240"/>
      <c r="F1" s="2240"/>
      <c r="G1" s="2240"/>
      <c r="H1" s="2240"/>
      <c r="I1" s="2240"/>
      <c r="J1" s="2240"/>
      <c r="K1" s="2240"/>
      <c r="L1" s="2240"/>
      <c r="M1" s="2240"/>
      <c r="N1" s="2240"/>
      <c r="O1" s="2240"/>
      <c r="P1" s="2240"/>
      <c r="Q1" s="2240"/>
      <c r="R1" s="2240"/>
      <c r="S1" s="2240"/>
      <c r="T1" s="2240"/>
      <c r="U1" s="2240"/>
      <c r="V1" s="2240"/>
      <c r="W1" s="2240"/>
      <c r="X1" s="2240"/>
      <c r="Y1" s="2240"/>
    </row>
    <row r="2" spans="1:25" ht="21.6" customHeight="1" x14ac:dyDescent="0.25">
      <c r="A2" s="2241" t="s">
        <v>77</v>
      </c>
      <c r="B2" s="2241"/>
      <c r="C2" s="2241"/>
      <c r="D2" s="2241"/>
      <c r="E2" s="2241"/>
      <c r="F2" s="2241"/>
      <c r="G2" s="2241"/>
      <c r="H2" s="2241"/>
      <c r="I2" s="2241"/>
      <c r="J2" s="2241"/>
      <c r="K2" s="2241"/>
      <c r="L2" s="2241"/>
      <c r="M2" s="2241"/>
      <c r="N2" s="2241"/>
      <c r="O2" s="2241"/>
      <c r="P2" s="2241"/>
      <c r="Q2" s="2241"/>
      <c r="R2" s="2241"/>
      <c r="S2" s="2241"/>
      <c r="T2" s="2241"/>
      <c r="U2" s="2241"/>
      <c r="V2" s="2241"/>
      <c r="W2" s="2241"/>
      <c r="X2" s="2241"/>
      <c r="Y2" s="2241"/>
    </row>
    <row r="3" spans="1:25" ht="21" customHeight="1" x14ac:dyDescent="0.25">
      <c r="A3" s="166"/>
      <c r="B3" s="166"/>
      <c r="C3" s="166"/>
      <c r="D3" s="166"/>
      <c r="E3" s="166"/>
      <c r="F3" s="166"/>
      <c r="G3" s="166"/>
      <c r="H3" s="166"/>
      <c r="I3" s="166"/>
      <c r="J3" s="166"/>
      <c r="K3" s="166"/>
      <c r="L3" s="166"/>
      <c r="M3" s="166"/>
      <c r="N3" s="166"/>
      <c r="O3" s="166"/>
      <c r="P3" s="166"/>
      <c r="Q3" s="166"/>
      <c r="R3" s="166"/>
      <c r="S3" s="166"/>
      <c r="T3" s="2242" t="s">
        <v>216</v>
      </c>
      <c r="U3" s="2242"/>
      <c r="V3" s="2242"/>
      <c r="W3" s="2242"/>
      <c r="X3" s="2242"/>
      <c r="Y3" s="2242"/>
    </row>
    <row r="4" spans="1:25" s="166" customFormat="1" ht="18" customHeight="1" x14ac:dyDescent="0.25">
      <c r="A4" s="2243" t="s">
        <v>25</v>
      </c>
      <c r="B4" s="2243" t="s">
        <v>26</v>
      </c>
      <c r="C4" s="2244" t="s">
        <v>27</v>
      </c>
      <c r="D4" s="2244"/>
      <c r="E4" s="2244" t="s">
        <v>28</v>
      </c>
      <c r="F4" s="2244"/>
      <c r="G4" s="2244" t="s">
        <v>65</v>
      </c>
      <c r="H4" s="2244"/>
      <c r="I4" s="2244" t="s">
        <v>29</v>
      </c>
      <c r="J4" s="2244"/>
      <c r="K4" s="2245" t="s">
        <v>13</v>
      </c>
      <c r="L4" s="2246"/>
      <c r="M4" s="2245" t="s">
        <v>67</v>
      </c>
      <c r="N4" s="2246"/>
      <c r="O4" s="2245" t="s">
        <v>68</v>
      </c>
      <c r="P4" s="2246"/>
      <c r="Q4" s="2245" t="s">
        <v>114</v>
      </c>
      <c r="R4" s="2246"/>
      <c r="S4" s="2244" t="s">
        <v>35</v>
      </c>
      <c r="T4" s="2244"/>
      <c r="U4" s="2245" t="s">
        <v>17</v>
      </c>
      <c r="V4" s="2246"/>
      <c r="W4" s="2247" t="s">
        <v>36</v>
      </c>
      <c r="X4" s="2248"/>
      <c r="Y4" s="2238" t="s">
        <v>30</v>
      </c>
    </row>
    <row r="5" spans="1:25" s="166" customFormat="1" ht="25.5" customHeight="1" x14ac:dyDescent="0.25">
      <c r="A5" s="2243"/>
      <c r="B5" s="2243"/>
      <c r="C5" s="168" t="s">
        <v>42</v>
      </c>
      <c r="D5" s="168" t="s">
        <v>43</v>
      </c>
      <c r="E5" s="168" t="s">
        <v>42</v>
      </c>
      <c r="F5" s="168" t="s">
        <v>43</v>
      </c>
      <c r="G5" s="168" t="s">
        <v>42</v>
      </c>
      <c r="H5" s="168" t="s">
        <v>43</v>
      </c>
      <c r="I5" s="168" t="s">
        <v>42</v>
      </c>
      <c r="J5" s="168" t="s">
        <v>43</v>
      </c>
      <c r="K5" s="168" t="s">
        <v>42</v>
      </c>
      <c r="L5" s="168" t="s">
        <v>43</v>
      </c>
      <c r="M5" s="168" t="s">
        <v>42</v>
      </c>
      <c r="N5" s="168" t="s">
        <v>43</v>
      </c>
      <c r="O5" s="168" t="s">
        <v>42</v>
      </c>
      <c r="P5" s="168" t="s">
        <v>43</v>
      </c>
      <c r="Q5" s="168" t="s">
        <v>42</v>
      </c>
      <c r="R5" s="168" t="s">
        <v>43</v>
      </c>
      <c r="S5" s="33" t="s">
        <v>42</v>
      </c>
      <c r="T5" s="33" t="s">
        <v>43</v>
      </c>
      <c r="U5" s="30" t="s">
        <v>42</v>
      </c>
      <c r="V5" s="30" t="s">
        <v>43</v>
      </c>
      <c r="W5" s="30" t="s">
        <v>42</v>
      </c>
      <c r="X5" s="30" t="s">
        <v>43</v>
      </c>
      <c r="Y5" s="2239"/>
    </row>
    <row r="6" spans="1:25" ht="34.5" customHeight="1" x14ac:dyDescent="0.25">
      <c r="A6" s="12">
        <v>1409935200</v>
      </c>
      <c r="B6" s="167" t="s">
        <v>71</v>
      </c>
      <c r="C6" s="170">
        <v>25799</v>
      </c>
      <c r="D6" s="171">
        <f>0.9725*C6</f>
        <v>25089.5275</v>
      </c>
      <c r="E6" s="170"/>
      <c r="F6" s="170">
        <f>13.7*E6</f>
        <v>0</v>
      </c>
      <c r="G6" s="170"/>
      <c r="H6" s="170">
        <f>28.2*G6</f>
        <v>0</v>
      </c>
      <c r="I6" s="170">
        <v>260</v>
      </c>
      <c r="J6" s="170">
        <f>18.5*I6</f>
        <v>4810</v>
      </c>
      <c r="K6" s="170"/>
      <c r="L6" s="170">
        <f>19.5*K6</f>
        <v>0</v>
      </c>
      <c r="M6" s="170"/>
      <c r="N6" s="171">
        <f>M6*9.75</f>
        <v>0</v>
      </c>
      <c r="O6" s="170"/>
      <c r="P6" s="171">
        <f>O6*48.62</f>
        <v>0</v>
      </c>
      <c r="Q6" s="171"/>
      <c r="R6" s="171">
        <f>241*Q6</f>
        <v>0</v>
      </c>
      <c r="S6" s="170"/>
      <c r="T6" s="170">
        <f>241*S6</f>
        <v>0</v>
      </c>
      <c r="U6" s="170">
        <v>2</v>
      </c>
      <c r="V6" s="170">
        <f>232*U6</f>
        <v>464</v>
      </c>
      <c r="W6" s="170"/>
      <c r="X6" s="19">
        <f>W6*100</f>
        <v>0</v>
      </c>
      <c r="Y6" s="89">
        <f t="shared" ref="Y6:Y11" si="0">D6+F6+H6+J6+L6+N6+P6+R6+T6+V6+X6</f>
        <v>30363.5275</v>
      </c>
    </row>
    <row r="7" spans="1:25" ht="31.5" customHeight="1" x14ac:dyDescent="0.25">
      <c r="A7" s="12">
        <v>1984225578</v>
      </c>
      <c r="B7" s="167" t="s">
        <v>72</v>
      </c>
      <c r="C7" s="170">
        <v>33346</v>
      </c>
      <c r="D7" s="171">
        <f t="shared" ref="D7:D11" si="1">0.9725*C7</f>
        <v>32428.985000000001</v>
      </c>
      <c r="E7" s="170"/>
      <c r="F7" s="170">
        <f t="shared" ref="F7:F11" si="2">13.7*E7</f>
        <v>0</v>
      </c>
      <c r="G7" s="170"/>
      <c r="H7" s="170">
        <f t="shared" ref="H7:H11" si="3">28.2*G7</f>
        <v>0</v>
      </c>
      <c r="I7" s="170">
        <v>180</v>
      </c>
      <c r="J7" s="170">
        <f t="shared" ref="J7:J11" si="4">18.5*I7</f>
        <v>3330</v>
      </c>
      <c r="K7" s="170"/>
      <c r="L7" s="170">
        <f t="shared" ref="L7:L11" si="5">19.5*K7</f>
        <v>0</v>
      </c>
      <c r="M7" s="170"/>
      <c r="N7" s="171">
        <f t="shared" ref="N7:N11" si="6">M7*9.75</f>
        <v>0</v>
      </c>
      <c r="O7" s="170"/>
      <c r="P7" s="171">
        <f t="shared" ref="P7:P11" si="7">O7*48.62</f>
        <v>0</v>
      </c>
      <c r="Q7" s="171"/>
      <c r="R7" s="171">
        <f t="shared" ref="R7:R11" si="8">241*Q7</f>
        <v>0</v>
      </c>
      <c r="S7" s="170"/>
      <c r="T7" s="170">
        <f t="shared" ref="T7:T11" si="9">241*S7</f>
        <v>0</v>
      </c>
      <c r="U7" s="170"/>
      <c r="V7" s="170">
        <f t="shared" ref="V7:V11" si="10">232*U7</f>
        <v>0</v>
      </c>
      <c r="W7" s="170"/>
      <c r="X7" s="19">
        <f t="shared" ref="X7:X11" si="11">W7*100</f>
        <v>0</v>
      </c>
      <c r="Y7" s="89">
        <f t="shared" si="0"/>
        <v>35758.985000000001</v>
      </c>
    </row>
    <row r="8" spans="1:25" ht="35.25" customHeight="1" x14ac:dyDescent="0.25">
      <c r="A8" s="12">
        <v>1967020280</v>
      </c>
      <c r="B8" s="167" t="s">
        <v>73</v>
      </c>
      <c r="C8" s="170">
        <v>29459</v>
      </c>
      <c r="D8" s="171">
        <f t="shared" si="1"/>
        <v>28648.877500000002</v>
      </c>
      <c r="E8" s="170"/>
      <c r="F8" s="170">
        <f t="shared" si="2"/>
        <v>0</v>
      </c>
      <c r="G8" s="170">
        <v>60</v>
      </c>
      <c r="H8" s="170">
        <f t="shared" si="3"/>
        <v>1692</v>
      </c>
      <c r="I8" s="170">
        <v>160</v>
      </c>
      <c r="J8" s="170">
        <f t="shared" si="4"/>
        <v>2960</v>
      </c>
      <c r="K8" s="170"/>
      <c r="L8" s="170">
        <f t="shared" si="5"/>
        <v>0</v>
      </c>
      <c r="M8" s="170"/>
      <c r="N8" s="171">
        <f t="shared" si="6"/>
        <v>0</v>
      </c>
      <c r="O8" s="170"/>
      <c r="P8" s="171">
        <f t="shared" si="7"/>
        <v>0</v>
      </c>
      <c r="Q8" s="171"/>
      <c r="R8" s="171">
        <f t="shared" si="8"/>
        <v>0</v>
      </c>
      <c r="S8" s="170"/>
      <c r="T8" s="170">
        <f t="shared" si="9"/>
        <v>0</v>
      </c>
      <c r="U8" s="170"/>
      <c r="V8" s="170">
        <f t="shared" si="10"/>
        <v>0</v>
      </c>
      <c r="W8" s="170"/>
      <c r="X8" s="19">
        <f t="shared" si="11"/>
        <v>0</v>
      </c>
      <c r="Y8" s="89">
        <f t="shared" si="0"/>
        <v>33300.877500000002</v>
      </c>
    </row>
    <row r="9" spans="1:25" ht="38.25" customHeight="1" x14ac:dyDescent="0.25">
      <c r="A9" s="12">
        <v>1409935199</v>
      </c>
      <c r="B9" s="167" t="s">
        <v>75</v>
      </c>
      <c r="C9" s="170">
        <v>43307</v>
      </c>
      <c r="D9" s="171">
        <f t="shared" si="1"/>
        <v>42116.057500000003</v>
      </c>
      <c r="E9" s="170"/>
      <c r="F9" s="170">
        <f t="shared" si="2"/>
        <v>0</v>
      </c>
      <c r="G9" s="170"/>
      <c r="H9" s="170">
        <f t="shared" si="3"/>
        <v>0</v>
      </c>
      <c r="I9" s="170">
        <v>810</v>
      </c>
      <c r="J9" s="170">
        <f t="shared" si="4"/>
        <v>14985</v>
      </c>
      <c r="K9" s="170"/>
      <c r="L9" s="170">
        <f t="shared" si="5"/>
        <v>0</v>
      </c>
      <c r="M9" s="170"/>
      <c r="N9" s="171">
        <f t="shared" si="6"/>
        <v>0</v>
      </c>
      <c r="O9" s="170"/>
      <c r="P9" s="171">
        <f t="shared" si="7"/>
        <v>0</v>
      </c>
      <c r="Q9" s="171"/>
      <c r="R9" s="171">
        <f t="shared" si="8"/>
        <v>0</v>
      </c>
      <c r="S9" s="170"/>
      <c r="T9" s="170">
        <f t="shared" si="9"/>
        <v>0</v>
      </c>
      <c r="U9" s="170"/>
      <c r="V9" s="170">
        <f t="shared" si="10"/>
        <v>0</v>
      </c>
      <c r="W9" s="170"/>
      <c r="X9" s="19">
        <f t="shared" si="11"/>
        <v>0</v>
      </c>
      <c r="Y9" s="89">
        <f t="shared" si="0"/>
        <v>57101.057500000003</v>
      </c>
    </row>
    <row r="10" spans="1:25" ht="35.25" customHeight="1" x14ac:dyDescent="0.25">
      <c r="A10" s="12">
        <v>1984225580</v>
      </c>
      <c r="C10" s="170"/>
      <c r="D10" s="171">
        <f t="shared" si="1"/>
        <v>0</v>
      </c>
      <c r="E10" s="170"/>
      <c r="F10" s="170">
        <f t="shared" si="2"/>
        <v>0</v>
      </c>
      <c r="G10" s="170"/>
      <c r="H10" s="170">
        <f t="shared" si="3"/>
        <v>0</v>
      </c>
      <c r="I10" s="170"/>
      <c r="J10" s="170">
        <f t="shared" si="4"/>
        <v>0</v>
      </c>
      <c r="K10" s="170"/>
      <c r="L10" s="170">
        <f t="shared" si="5"/>
        <v>0</v>
      </c>
      <c r="M10" s="170"/>
      <c r="N10" s="171">
        <f t="shared" si="6"/>
        <v>0</v>
      </c>
      <c r="O10" s="170"/>
      <c r="P10" s="171">
        <f t="shared" si="7"/>
        <v>0</v>
      </c>
      <c r="Q10" s="171"/>
      <c r="R10" s="171">
        <f t="shared" si="8"/>
        <v>0</v>
      </c>
      <c r="S10" s="170"/>
      <c r="T10" s="170">
        <f t="shared" si="9"/>
        <v>0</v>
      </c>
      <c r="U10" s="170"/>
      <c r="V10" s="170">
        <f t="shared" si="10"/>
        <v>0</v>
      </c>
      <c r="W10" s="170"/>
      <c r="X10" s="19">
        <f t="shared" si="11"/>
        <v>0</v>
      </c>
      <c r="Y10" s="89">
        <f t="shared" si="0"/>
        <v>0</v>
      </c>
    </row>
    <row r="11" spans="1:25" ht="37.5" customHeight="1" x14ac:dyDescent="0.25">
      <c r="A11" s="12"/>
      <c r="B11" s="169"/>
      <c r="C11" s="170"/>
      <c r="D11" s="22">
        <f t="shared" si="1"/>
        <v>0</v>
      </c>
      <c r="E11" s="170"/>
      <c r="F11" s="170">
        <f t="shared" si="2"/>
        <v>0</v>
      </c>
      <c r="G11" s="170"/>
      <c r="H11" s="170">
        <f t="shared" si="3"/>
        <v>0</v>
      </c>
      <c r="I11" s="170"/>
      <c r="J11" s="170">
        <f t="shared" si="4"/>
        <v>0</v>
      </c>
      <c r="K11" s="170"/>
      <c r="L11" s="170">
        <f t="shared" si="5"/>
        <v>0</v>
      </c>
      <c r="M11" s="170"/>
      <c r="N11" s="171">
        <f t="shared" si="6"/>
        <v>0</v>
      </c>
      <c r="O11" s="170"/>
      <c r="P11" s="171">
        <f t="shared" si="7"/>
        <v>0</v>
      </c>
      <c r="Q11" s="171"/>
      <c r="R11" s="171">
        <f t="shared" si="8"/>
        <v>0</v>
      </c>
      <c r="S11" s="170"/>
      <c r="T11" s="170">
        <f t="shared" si="9"/>
        <v>0</v>
      </c>
      <c r="U11" s="170"/>
      <c r="V11" s="170">
        <f t="shared" si="10"/>
        <v>0</v>
      </c>
      <c r="W11" s="170"/>
      <c r="X11" s="19">
        <f t="shared" si="11"/>
        <v>0</v>
      </c>
      <c r="Y11" s="20">
        <f t="shared" si="0"/>
        <v>0</v>
      </c>
    </row>
    <row r="12" spans="1:25" ht="29.25" customHeight="1" x14ac:dyDescent="0.25">
      <c r="A12" s="2235" t="s">
        <v>31</v>
      </c>
      <c r="B12" s="2235"/>
      <c r="C12" s="18">
        <f t="shared" ref="C12:Y12" si="12">SUM(C6:C11)</f>
        <v>131911</v>
      </c>
      <c r="D12" s="18">
        <f t="shared" si="12"/>
        <v>128283.44750000001</v>
      </c>
      <c r="E12" s="18">
        <f t="shared" si="12"/>
        <v>0</v>
      </c>
      <c r="F12" s="18">
        <f t="shared" si="12"/>
        <v>0</v>
      </c>
      <c r="G12" s="18">
        <f t="shared" si="12"/>
        <v>60</v>
      </c>
      <c r="H12" s="18">
        <f t="shared" si="12"/>
        <v>1692</v>
      </c>
      <c r="I12" s="18">
        <f t="shared" si="12"/>
        <v>1410</v>
      </c>
      <c r="J12" s="18">
        <f t="shared" si="12"/>
        <v>26085</v>
      </c>
      <c r="K12" s="18">
        <f t="shared" si="12"/>
        <v>0</v>
      </c>
      <c r="L12" s="18">
        <f t="shared" si="12"/>
        <v>0</v>
      </c>
      <c r="M12" s="18">
        <f t="shared" si="12"/>
        <v>0</v>
      </c>
      <c r="N12" s="23">
        <f t="shared" si="12"/>
        <v>0</v>
      </c>
      <c r="O12" s="18">
        <f t="shared" si="12"/>
        <v>0</v>
      </c>
      <c r="P12" s="23">
        <f t="shared" si="12"/>
        <v>0</v>
      </c>
      <c r="Q12" s="23">
        <f t="shared" si="12"/>
        <v>0</v>
      </c>
      <c r="R12" s="23">
        <f>SUM(R6:R11)</f>
        <v>0</v>
      </c>
      <c r="S12" s="18">
        <f t="shared" si="12"/>
        <v>0</v>
      </c>
      <c r="T12" s="18">
        <f t="shared" si="12"/>
        <v>0</v>
      </c>
      <c r="U12" s="18">
        <f t="shared" si="12"/>
        <v>2</v>
      </c>
      <c r="V12" s="18">
        <f t="shared" si="12"/>
        <v>464</v>
      </c>
      <c r="W12" s="18">
        <f t="shared" si="12"/>
        <v>0</v>
      </c>
      <c r="X12" s="18">
        <f t="shared" si="12"/>
        <v>0</v>
      </c>
      <c r="Y12" s="18">
        <f t="shared" si="12"/>
        <v>156524.44750000001</v>
      </c>
    </row>
    <row r="14" spans="1:25" ht="41.25" customHeight="1" x14ac:dyDescent="0.25">
      <c r="A14" s="30" t="s">
        <v>32</v>
      </c>
      <c r="B14" s="2236" t="s">
        <v>27</v>
      </c>
      <c r="C14" s="2236"/>
      <c r="D14" s="30" t="s">
        <v>33</v>
      </c>
      <c r="E14" s="30" t="s">
        <v>65</v>
      </c>
      <c r="F14" s="30" t="s">
        <v>34</v>
      </c>
      <c r="G14" s="30" t="s">
        <v>13</v>
      </c>
      <c r="H14" s="142" t="s">
        <v>173</v>
      </c>
      <c r="I14" s="30" t="s">
        <v>17</v>
      </c>
      <c r="J14" s="175" t="s">
        <v>174</v>
      </c>
      <c r="K14" s="30" t="s">
        <v>36</v>
      </c>
      <c r="L14" s="30" t="s">
        <v>175</v>
      </c>
      <c r="M14" s="30" t="s">
        <v>69</v>
      </c>
      <c r="N14" s="30" t="s">
        <v>70</v>
      </c>
      <c r="O14" s="175" t="s">
        <v>114</v>
      </c>
      <c r="P14" s="175" t="s">
        <v>99</v>
      </c>
      <c r="Q14" s="2272" t="s">
        <v>215</v>
      </c>
      <c r="R14" s="2272"/>
      <c r="S14" s="175" t="s">
        <v>171</v>
      </c>
      <c r="T14" s="2235" t="s">
        <v>46</v>
      </c>
      <c r="U14" s="167" t="s">
        <v>176</v>
      </c>
      <c r="V14" s="2260">
        <v>1306</v>
      </c>
      <c r="W14" s="2268"/>
      <c r="X14" s="2261"/>
    </row>
    <row r="15" spans="1:25" ht="22.5" customHeight="1" x14ac:dyDescent="0.25">
      <c r="A15" s="100" t="s">
        <v>38</v>
      </c>
      <c r="B15" s="2260">
        <v>231837</v>
      </c>
      <c r="C15" s="2261"/>
      <c r="D15" s="172">
        <v>0</v>
      </c>
      <c r="E15" s="172">
        <v>60</v>
      </c>
      <c r="F15" s="172">
        <v>10880</v>
      </c>
      <c r="G15" s="172">
        <v>0</v>
      </c>
      <c r="H15" s="172">
        <v>702</v>
      </c>
      <c r="I15" s="172">
        <v>80</v>
      </c>
      <c r="J15" s="172">
        <v>118</v>
      </c>
      <c r="K15" s="172">
        <v>50</v>
      </c>
      <c r="L15" s="172">
        <v>410</v>
      </c>
      <c r="M15" s="172">
        <v>0</v>
      </c>
      <c r="N15" s="172">
        <v>100</v>
      </c>
      <c r="O15" s="172">
        <v>0</v>
      </c>
      <c r="P15" s="172">
        <v>464</v>
      </c>
      <c r="Q15" s="2262">
        <v>178</v>
      </c>
      <c r="R15" s="2262"/>
      <c r="S15" s="167">
        <v>117</v>
      </c>
      <c r="T15" s="2235"/>
      <c r="U15" s="167" t="s">
        <v>64</v>
      </c>
      <c r="V15" s="2262">
        <v>49298</v>
      </c>
      <c r="W15" s="2262"/>
      <c r="X15" s="2262"/>
    </row>
    <row r="16" spans="1:25" ht="24.75" customHeight="1" x14ac:dyDescent="0.25">
      <c r="A16" s="100" t="s">
        <v>39</v>
      </c>
      <c r="B16" s="2260">
        <v>135064</v>
      </c>
      <c r="C16" s="2261"/>
      <c r="D16" s="172"/>
      <c r="E16" s="172"/>
      <c r="F16" s="172"/>
      <c r="G16" s="172"/>
      <c r="H16" s="172"/>
      <c r="I16" s="172"/>
      <c r="J16" s="172"/>
      <c r="K16" s="172"/>
      <c r="L16" s="172">
        <v>149</v>
      </c>
      <c r="M16" s="172"/>
      <c r="N16" s="172"/>
      <c r="O16" s="172"/>
      <c r="P16" s="172"/>
      <c r="Q16" s="2225"/>
      <c r="R16" s="2225"/>
      <c r="S16" s="172"/>
      <c r="T16" s="2254" t="s">
        <v>55</v>
      </c>
      <c r="U16" s="2254"/>
      <c r="V16" s="2267">
        <f>Y12</f>
        <v>156524.44750000001</v>
      </c>
      <c r="W16" s="2267"/>
      <c r="X16" s="2262"/>
    </row>
    <row r="17" spans="1:25" ht="28.5" customHeight="1" x14ac:dyDescent="0.25">
      <c r="A17" s="101" t="s">
        <v>44</v>
      </c>
      <c r="B17" s="2260"/>
      <c r="C17" s="2261"/>
      <c r="D17" s="172"/>
      <c r="E17" s="172"/>
      <c r="F17" s="172"/>
      <c r="G17" s="172"/>
      <c r="H17" s="172"/>
      <c r="I17" s="172"/>
      <c r="J17" s="172"/>
      <c r="K17" s="172"/>
      <c r="L17" s="172"/>
      <c r="M17" s="172"/>
      <c r="N17" s="172"/>
      <c r="O17" s="172"/>
      <c r="P17" s="172"/>
      <c r="Q17" s="2225"/>
      <c r="R17" s="2225"/>
      <c r="S17" s="169"/>
      <c r="T17" s="2273" t="s">
        <v>211</v>
      </c>
      <c r="U17" s="2274"/>
      <c r="V17" s="2262"/>
      <c r="W17" s="2262"/>
      <c r="X17" s="2262"/>
    </row>
    <row r="18" spans="1:25" ht="27" customHeight="1" x14ac:dyDescent="0.25">
      <c r="A18" s="100" t="s">
        <v>40</v>
      </c>
      <c r="B18" s="2264">
        <f>C12</f>
        <v>131911</v>
      </c>
      <c r="C18" s="2261"/>
      <c r="D18" s="173">
        <f>E12</f>
        <v>0</v>
      </c>
      <c r="E18" s="173">
        <f>G12</f>
        <v>60</v>
      </c>
      <c r="F18" s="173">
        <f>I12</f>
        <v>1410</v>
      </c>
      <c r="G18" s="173">
        <f>K12</f>
        <v>0</v>
      </c>
      <c r="H18" s="172">
        <v>149</v>
      </c>
      <c r="I18" s="173">
        <f>U12</f>
        <v>2</v>
      </c>
      <c r="J18" s="172"/>
      <c r="K18" s="173">
        <f>W12</f>
        <v>0</v>
      </c>
      <c r="L18" s="172"/>
      <c r="M18" s="173">
        <f>M12</f>
        <v>0</v>
      </c>
      <c r="N18" s="173">
        <f>O12</f>
        <v>0</v>
      </c>
      <c r="O18" s="174">
        <f>Q12</f>
        <v>0</v>
      </c>
      <c r="P18" s="172"/>
      <c r="Q18" s="2262"/>
      <c r="R18" s="2262"/>
      <c r="S18" s="167"/>
      <c r="T18" s="2254" t="s">
        <v>57</v>
      </c>
      <c r="U18" s="2254"/>
      <c r="V18" s="2262">
        <v>450</v>
      </c>
      <c r="W18" s="2262"/>
      <c r="X18" s="2262"/>
      <c r="Y18" s="2269" t="s">
        <v>217</v>
      </c>
    </row>
    <row r="19" spans="1:25" ht="25.5" customHeight="1" x14ac:dyDescent="0.25">
      <c r="A19" s="100" t="s">
        <v>41</v>
      </c>
      <c r="B19" s="2260">
        <f>B15+B16+B17-B18</f>
        <v>234990</v>
      </c>
      <c r="C19" s="2261"/>
      <c r="D19" s="172">
        <f>D15+D16+D17-D18</f>
        <v>0</v>
      </c>
      <c r="E19" s="172">
        <f t="shared" ref="E19:N19" si="13">E15+E16+E17-E18</f>
        <v>0</v>
      </c>
      <c r="F19" s="172">
        <f t="shared" si="13"/>
        <v>9470</v>
      </c>
      <c r="G19" s="172">
        <f t="shared" si="13"/>
        <v>0</v>
      </c>
      <c r="H19" s="172">
        <f t="shared" si="13"/>
        <v>553</v>
      </c>
      <c r="I19" s="172">
        <f t="shared" si="13"/>
        <v>78</v>
      </c>
      <c r="J19" s="172">
        <f t="shared" si="13"/>
        <v>118</v>
      </c>
      <c r="K19" s="172">
        <f t="shared" si="13"/>
        <v>50</v>
      </c>
      <c r="L19" s="172">
        <f t="shared" si="13"/>
        <v>559</v>
      </c>
      <c r="M19" s="172">
        <f t="shared" si="13"/>
        <v>0</v>
      </c>
      <c r="N19" s="172">
        <f t="shared" si="13"/>
        <v>100</v>
      </c>
      <c r="O19" s="172">
        <f>O15+O16+O17-O18</f>
        <v>0</v>
      </c>
      <c r="P19" s="172">
        <f>P15+P16+P17-P18</f>
        <v>464</v>
      </c>
      <c r="Q19" s="2260">
        <f t="shared" ref="Q19" si="14">Q15+Q16+Q17-Q18</f>
        <v>178</v>
      </c>
      <c r="R19" s="2261"/>
      <c r="S19" s="167">
        <f>S15+S16-S17-S18</f>
        <v>117</v>
      </c>
      <c r="T19" s="2256" t="s">
        <v>48</v>
      </c>
      <c r="U19" s="49" t="s">
        <v>58</v>
      </c>
      <c r="V19" s="2262">
        <v>130000</v>
      </c>
      <c r="W19" s="2262"/>
      <c r="X19" s="2262"/>
      <c r="Y19" s="2269"/>
    </row>
    <row r="20" spans="1:25" ht="23.25" customHeight="1" x14ac:dyDescent="0.25">
      <c r="A20" s="11" t="s">
        <v>187</v>
      </c>
      <c r="B20" s="2278">
        <f>B19*0.9625</f>
        <v>226177.875</v>
      </c>
      <c r="C20" s="2279"/>
      <c r="D20" s="169">
        <f>D19*13.56</f>
        <v>0</v>
      </c>
      <c r="E20" s="169">
        <f>28.2*E19</f>
        <v>0</v>
      </c>
      <c r="F20" s="169">
        <f>18.31*F19</f>
        <v>173395.69999999998</v>
      </c>
      <c r="G20" s="169">
        <f>19.3*G19</f>
        <v>0</v>
      </c>
      <c r="H20" s="169">
        <f>241*H19</f>
        <v>133273</v>
      </c>
      <c r="I20" s="169">
        <f>223*I19</f>
        <v>17394</v>
      </c>
      <c r="J20" s="169">
        <f>241*J19</f>
        <v>28438</v>
      </c>
      <c r="K20" s="169">
        <f>K19*100</f>
        <v>5000</v>
      </c>
      <c r="L20" s="169">
        <f>241*L19</f>
        <v>134719</v>
      </c>
      <c r="M20" s="169">
        <f>9.65*M19</f>
        <v>0</v>
      </c>
      <c r="N20" s="169">
        <f>N19*48.2</f>
        <v>4820</v>
      </c>
      <c r="O20" s="169">
        <f>241*O19</f>
        <v>0</v>
      </c>
      <c r="P20" s="169">
        <f>241*P19</f>
        <v>111824</v>
      </c>
      <c r="Q20" s="2278">
        <f>241*Q19</f>
        <v>42898</v>
      </c>
      <c r="R20" s="2279"/>
      <c r="S20" s="169">
        <f>241*S19</f>
        <v>28197</v>
      </c>
      <c r="T20" s="2257"/>
      <c r="U20" s="49" t="s">
        <v>59</v>
      </c>
      <c r="V20" s="2262"/>
      <c r="W20" s="2262"/>
      <c r="X20" s="2262"/>
      <c r="Y20" s="2269"/>
    </row>
    <row r="21" spans="1:25" ht="32.25" customHeight="1" x14ac:dyDescent="0.25">
      <c r="A21" s="143" t="s">
        <v>186</v>
      </c>
      <c r="B21" s="2283">
        <f>SUM(B20:S20)</f>
        <v>906136.57499999995</v>
      </c>
      <c r="C21" s="2283"/>
      <c r="O21" s="176"/>
      <c r="P21" s="176"/>
      <c r="Q21" s="176"/>
      <c r="R21" s="176"/>
      <c r="T21" s="2273" t="s">
        <v>167</v>
      </c>
      <c r="U21" s="2274"/>
      <c r="V21" s="2260"/>
      <c r="W21" s="2268"/>
      <c r="X21" s="2261"/>
      <c r="Y21" s="2269"/>
    </row>
    <row r="22" spans="1:25" ht="35.25" customHeight="1" x14ac:dyDescent="0.25">
      <c r="A22" s="15"/>
      <c r="B22" s="2275" t="s">
        <v>49</v>
      </c>
      <c r="C22" s="2265">
        <v>792446</v>
      </c>
      <c r="D22" s="2265">
        <v>130000</v>
      </c>
      <c r="E22" s="2265">
        <v>130000</v>
      </c>
      <c r="F22" s="2265">
        <f>C22-D22+E22</f>
        <v>792446</v>
      </c>
      <c r="G22" s="176"/>
      <c r="Q22" s="176"/>
      <c r="R22" s="176"/>
      <c r="T22" s="2251" t="s">
        <v>83</v>
      </c>
      <c r="U22" s="50" t="s">
        <v>60</v>
      </c>
      <c r="V22" s="2262">
        <v>152930</v>
      </c>
      <c r="W22" s="2262"/>
      <c r="X22" s="2262"/>
      <c r="Y22" s="2269"/>
    </row>
    <row r="23" spans="1:25" ht="39.75" customHeight="1" x14ac:dyDescent="0.25">
      <c r="A23" s="176"/>
      <c r="B23" s="2276"/>
      <c r="C23" s="2266"/>
      <c r="D23" s="2266"/>
      <c r="E23" s="2266"/>
      <c r="F23" s="2266"/>
      <c r="G23" s="176"/>
      <c r="Q23" s="176"/>
      <c r="R23" s="176"/>
      <c r="T23" s="2252"/>
      <c r="U23" s="50" t="s">
        <v>61</v>
      </c>
      <c r="V23" s="2262">
        <v>130000</v>
      </c>
      <c r="W23" s="2262"/>
      <c r="X23" s="2262"/>
      <c r="Y23" s="2269"/>
    </row>
    <row r="24" spans="1:25" ht="48" customHeight="1" x14ac:dyDescent="0.25">
      <c r="A24" s="176"/>
      <c r="B24" s="2277"/>
      <c r="C24" s="167" t="s">
        <v>46</v>
      </c>
      <c r="D24" s="167" t="s">
        <v>50</v>
      </c>
      <c r="E24" s="167" t="s">
        <v>51</v>
      </c>
      <c r="F24" s="167" t="s">
        <v>52</v>
      </c>
      <c r="G24" s="176"/>
      <c r="Q24" s="176"/>
      <c r="R24" s="176"/>
      <c r="T24" s="2235" t="s">
        <v>47</v>
      </c>
      <c r="U24" s="51" t="s">
        <v>62</v>
      </c>
      <c r="V24" s="2263">
        <f>V14+V16+V17-V18-V19-V20-V22+V23-V21</f>
        <v>4450.4475000000093</v>
      </c>
      <c r="W24" s="2263"/>
      <c r="X24" s="2263"/>
      <c r="Y24" s="2269"/>
    </row>
    <row r="25" spans="1:25" ht="40.5" customHeight="1" x14ac:dyDescent="0.25">
      <c r="T25" s="2235"/>
      <c r="U25" s="51" t="s">
        <v>63</v>
      </c>
      <c r="V25" s="2262">
        <f>V15+V22-V23</f>
        <v>72228</v>
      </c>
      <c r="W25" s="2262"/>
      <c r="X25" s="2262"/>
    </row>
    <row r="26" spans="1:25" ht="36" customHeight="1" x14ac:dyDescent="0.25"/>
    <row r="32" spans="1:25" x14ac:dyDescent="0.25">
      <c r="I32" s="2280"/>
      <c r="J32" s="2280"/>
      <c r="K32" s="2280"/>
      <c r="L32" s="2280"/>
    </row>
    <row r="33" spans="9:12" x14ac:dyDescent="0.25">
      <c r="I33" s="176"/>
      <c r="J33" s="176"/>
      <c r="K33" s="2280"/>
      <c r="L33" s="2280"/>
    </row>
  </sheetData>
  <mergeCells count="62">
    <mergeCell ref="I32:J32"/>
    <mergeCell ref="K32:L32"/>
    <mergeCell ref="K33:L33"/>
    <mergeCell ref="T22:T23"/>
    <mergeCell ref="V22:X22"/>
    <mergeCell ref="V23:X23"/>
    <mergeCell ref="T24:T25"/>
    <mergeCell ref="V24:X24"/>
    <mergeCell ref="V25:X25"/>
    <mergeCell ref="Y18:Y24"/>
    <mergeCell ref="B19:C19"/>
    <mergeCell ref="Q19:R19"/>
    <mergeCell ref="T19:T20"/>
    <mergeCell ref="V19:X19"/>
    <mergeCell ref="B20:C20"/>
    <mergeCell ref="B22:B24"/>
    <mergeCell ref="C22:C23"/>
    <mergeCell ref="D22:D23"/>
    <mergeCell ref="E22:E23"/>
    <mergeCell ref="F22:F23"/>
    <mergeCell ref="Q20:R20"/>
    <mergeCell ref="V20:X20"/>
    <mergeCell ref="B21:C21"/>
    <mergeCell ref="T21:U21"/>
    <mergeCell ref="V21:X21"/>
    <mergeCell ref="B17:C17"/>
    <mergeCell ref="Q17:R17"/>
    <mergeCell ref="T17:U17"/>
    <mergeCell ref="V17:X17"/>
    <mergeCell ref="B18:C18"/>
    <mergeCell ref="Q18:R18"/>
    <mergeCell ref="T18:U18"/>
    <mergeCell ref="V18:X18"/>
    <mergeCell ref="W4:X4"/>
    <mergeCell ref="B16:C16"/>
    <mergeCell ref="Q16:R16"/>
    <mergeCell ref="T16:U16"/>
    <mergeCell ref="V16:X16"/>
    <mergeCell ref="A12:B12"/>
    <mergeCell ref="B14:C14"/>
    <mergeCell ref="Q14:R14"/>
    <mergeCell ref="T14:T15"/>
    <mergeCell ref="V14:X14"/>
    <mergeCell ref="B15:C15"/>
    <mergeCell ref="Q15:R15"/>
    <mergeCell ref="V15:X15"/>
    <mergeCell ref="A1:Y1"/>
    <mergeCell ref="A2:Y2"/>
    <mergeCell ref="T3:Y3"/>
    <mergeCell ref="A4:A5"/>
    <mergeCell ref="B4:B5"/>
    <mergeCell ref="C4:D4"/>
    <mergeCell ref="E4:F4"/>
    <mergeCell ref="G4:H4"/>
    <mergeCell ref="I4:J4"/>
    <mergeCell ref="K4:L4"/>
    <mergeCell ref="Y4:Y5"/>
    <mergeCell ref="M4:N4"/>
    <mergeCell ref="O4:P4"/>
    <mergeCell ref="Q4:R4"/>
    <mergeCell ref="S4:T4"/>
    <mergeCell ref="U4:V4"/>
  </mergeCells>
  <pageMargins left="0.15748031496063" right="0.15748031496063" top="0" bottom="0" header="0" footer="0"/>
  <pageSetup paperSize="9" scale="47" orientation="landscape" r:id="rId1"/>
  <legacyDrawing r:id="rId2"/>
</worksheet>
</file>

<file path=xl/worksheets/sheet6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4ED0A4E-62C0-4FD7-9A49-52E71726E19D}">
  <sheetPr>
    <pageSetUpPr fitToPage="1"/>
  </sheetPr>
  <dimension ref="A1:Y33"/>
  <sheetViews>
    <sheetView topLeftCell="C9" zoomScale="69" zoomScaleNormal="69" zoomScaleSheetLayoutView="100" workbookViewId="0">
      <selection activeCell="Y18" sqref="Y18:Y24"/>
    </sheetView>
  </sheetViews>
  <sheetFormatPr defaultColWidth="9.140625" defaultRowHeight="15" x14ac:dyDescent="0.25"/>
  <cols>
    <col min="1" max="1" width="18.28515625" style="14" customWidth="1"/>
    <col min="2" max="2" width="10.7109375" style="14" customWidth="1"/>
    <col min="3" max="3" width="12.28515625" style="14" customWidth="1"/>
    <col min="4" max="4" width="11" style="14" customWidth="1"/>
    <col min="5" max="5" width="12" style="14" customWidth="1"/>
    <col min="6" max="6" width="12.5703125" style="14" bestFit="1" customWidth="1"/>
    <col min="7" max="7" width="9.28515625" style="14" bestFit="1" customWidth="1"/>
    <col min="8" max="8" width="10.140625" style="14" bestFit="1" customWidth="1"/>
    <col min="9" max="9" width="10.5703125" style="14" bestFit="1" customWidth="1"/>
    <col min="10" max="10" width="10.5703125" style="14" customWidth="1"/>
    <col min="11" max="11" width="10.28515625" style="14" bestFit="1" customWidth="1"/>
    <col min="12" max="12" width="9.42578125" style="14" bestFit="1" customWidth="1"/>
    <col min="13" max="13" width="9.85546875" style="14" bestFit="1" customWidth="1"/>
    <col min="14" max="14" width="10.140625" style="14" bestFit="1" customWidth="1"/>
    <col min="15" max="15" width="9" style="14" customWidth="1"/>
    <col min="16" max="16" width="12.85546875" style="14" bestFit="1" customWidth="1"/>
    <col min="17" max="18" width="9.42578125" style="14" customWidth="1"/>
    <col min="19" max="19" width="13.7109375" style="14" customWidth="1"/>
    <col min="20" max="20" width="12.140625" style="14" customWidth="1"/>
    <col min="21" max="21" width="19.5703125" style="14" bestFit="1" customWidth="1"/>
    <col min="22" max="22" width="9.85546875" style="14" customWidth="1"/>
    <col min="23" max="23" width="10.140625" style="14" bestFit="1" customWidth="1"/>
    <col min="24" max="24" width="10.28515625" style="14" customWidth="1"/>
    <col min="25" max="25" width="28" style="14" customWidth="1"/>
    <col min="26" max="16384" width="9.140625" style="14"/>
  </cols>
  <sheetData>
    <row r="1" spans="1:25" ht="46.15" customHeight="1" x14ac:dyDescent="0.25">
      <c r="A1" s="2240" t="s">
        <v>148</v>
      </c>
      <c r="B1" s="2240"/>
      <c r="C1" s="2240"/>
      <c r="D1" s="2240"/>
      <c r="E1" s="2240"/>
      <c r="F1" s="2240"/>
      <c r="G1" s="2240"/>
      <c r="H1" s="2240"/>
      <c r="I1" s="2240"/>
      <c r="J1" s="2240"/>
      <c r="K1" s="2240"/>
      <c r="L1" s="2240"/>
      <c r="M1" s="2240"/>
      <c r="N1" s="2240"/>
      <c r="O1" s="2240"/>
      <c r="P1" s="2240"/>
      <c r="Q1" s="2240"/>
      <c r="R1" s="2240"/>
      <c r="S1" s="2240"/>
      <c r="T1" s="2240"/>
      <c r="U1" s="2240"/>
      <c r="V1" s="2240"/>
      <c r="W1" s="2240"/>
      <c r="X1" s="2240"/>
      <c r="Y1" s="2240"/>
    </row>
    <row r="2" spans="1:25" ht="21.6" customHeight="1" x14ac:dyDescent="0.25">
      <c r="A2" s="2241" t="s">
        <v>77</v>
      </c>
      <c r="B2" s="2241"/>
      <c r="C2" s="2241"/>
      <c r="D2" s="2241"/>
      <c r="E2" s="2241"/>
      <c r="F2" s="2241"/>
      <c r="G2" s="2241"/>
      <c r="H2" s="2241"/>
      <c r="I2" s="2241"/>
      <c r="J2" s="2241"/>
      <c r="K2" s="2241"/>
      <c r="L2" s="2241"/>
      <c r="M2" s="2241"/>
      <c r="N2" s="2241"/>
      <c r="O2" s="2241"/>
      <c r="P2" s="2241"/>
      <c r="Q2" s="2241"/>
      <c r="R2" s="2241"/>
      <c r="S2" s="2241"/>
      <c r="T2" s="2241"/>
      <c r="U2" s="2241"/>
      <c r="V2" s="2241"/>
      <c r="W2" s="2241"/>
      <c r="X2" s="2241"/>
      <c r="Y2" s="2241"/>
    </row>
    <row r="3" spans="1:25" ht="21" customHeight="1" x14ac:dyDescent="0.25">
      <c r="A3" s="166"/>
      <c r="B3" s="166"/>
      <c r="C3" s="166"/>
      <c r="D3" s="166"/>
      <c r="E3" s="166"/>
      <c r="F3" s="166"/>
      <c r="G3" s="166"/>
      <c r="H3" s="166"/>
      <c r="I3" s="166"/>
      <c r="J3" s="166"/>
      <c r="K3" s="166"/>
      <c r="L3" s="166"/>
      <c r="M3" s="166"/>
      <c r="N3" s="166"/>
      <c r="O3" s="166"/>
      <c r="P3" s="166"/>
      <c r="Q3" s="166"/>
      <c r="R3" s="166"/>
      <c r="S3" s="166"/>
      <c r="T3" s="2242" t="s">
        <v>218</v>
      </c>
      <c r="U3" s="2242"/>
      <c r="V3" s="2242"/>
      <c r="W3" s="2242"/>
      <c r="X3" s="2242"/>
      <c r="Y3" s="2242"/>
    </row>
    <row r="4" spans="1:25" s="166" customFormat="1" ht="18" customHeight="1" x14ac:dyDescent="0.25">
      <c r="A4" s="2243" t="s">
        <v>25</v>
      </c>
      <c r="B4" s="2243" t="s">
        <v>26</v>
      </c>
      <c r="C4" s="2244" t="s">
        <v>27</v>
      </c>
      <c r="D4" s="2244"/>
      <c r="E4" s="2244" t="s">
        <v>28</v>
      </c>
      <c r="F4" s="2244"/>
      <c r="G4" s="2244" t="s">
        <v>65</v>
      </c>
      <c r="H4" s="2244"/>
      <c r="I4" s="2244" t="s">
        <v>29</v>
      </c>
      <c r="J4" s="2244"/>
      <c r="K4" s="2245" t="s">
        <v>13</v>
      </c>
      <c r="L4" s="2246"/>
      <c r="M4" s="2245" t="s">
        <v>67</v>
      </c>
      <c r="N4" s="2246"/>
      <c r="O4" s="2245" t="s">
        <v>68</v>
      </c>
      <c r="P4" s="2246"/>
      <c r="Q4" s="2245" t="s">
        <v>114</v>
      </c>
      <c r="R4" s="2246"/>
      <c r="S4" s="2244" t="s">
        <v>35</v>
      </c>
      <c r="T4" s="2244"/>
      <c r="U4" s="2245" t="s">
        <v>17</v>
      </c>
      <c r="V4" s="2246"/>
      <c r="W4" s="2247" t="s">
        <v>36</v>
      </c>
      <c r="X4" s="2248"/>
      <c r="Y4" s="2238" t="s">
        <v>30</v>
      </c>
    </row>
    <row r="5" spans="1:25" s="166" customFormat="1" ht="25.5" customHeight="1" x14ac:dyDescent="0.25">
      <c r="A5" s="2243"/>
      <c r="B5" s="2243"/>
      <c r="C5" s="168" t="s">
        <v>42</v>
      </c>
      <c r="D5" s="168" t="s">
        <v>43</v>
      </c>
      <c r="E5" s="168" t="s">
        <v>42</v>
      </c>
      <c r="F5" s="168" t="s">
        <v>43</v>
      </c>
      <c r="G5" s="168" t="s">
        <v>42</v>
      </c>
      <c r="H5" s="168" t="s">
        <v>43</v>
      </c>
      <c r="I5" s="168" t="s">
        <v>42</v>
      </c>
      <c r="J5" s="168" t="s">
        <v>43</v>
      </c>
      <c r="K5" s="168" t="s">
        <v>42</v>
      </c>
      <c r="L5" s="168" t="s">
        <v>43</v>
      </c>
      <c r="M5" s="168" t="s">
        <v>42</v>
      </c>
      <c r="N5" s="168" t="s">
        <v>43</v>
      </c>
      <c r="O5" s="168" t="s">
        <v>42</v>
      </c>
      <c r="P5" s="168" t="s">
        <v>43</v>
      </c>
      <c r="Q5" s="168" t="s">
        <v>42</v>
      </c>
      <c r="R5" s="168" t="s">
        <v>43</v>
      </c>
      <c r="S5" s="33" t="s">
        <v>42</v>
      </c>
      <c r="T5" s="33" t="s">
        <v>43</v>
      </c>
      <c r="U5" s="30" t="s">
        <v>42</v>
      </c>
      <c r="V5" s="30" t="s">
        <v>43</v>
      </c>
      <c r="W5" s="30" t="s">
        <v>42</v>
      </c>
      <c r="X5" s="30" t="s">
        <v>43</v>
      </c>
      <c r="Y5" s="2239"/>
    </row>
    <row r="6" spans="1:25" ht="34.5" customHeight="1" x14ac:dyDescent="0.25">
      <c r="A6" s="12">
        <v>1409935200</v>
      </c>
      <c r="B6" s="167" t="s">
        <v>71</v>
      </c>
      <c r="C6" s="170">
        <v>80509</v>
      </c>
      <c r="D6" s="171">
        <f>0.9725*C6</f>
        <v>78295.002500000002</v>
      </c>
      <c r="E6" s="170"/>
      <c r="F6" s="170">
        <f>13.7*E6</f>
        <v>0</v>
      </c>
      <c r="G6" s="170"/>
      <c r="H6" s="170">
        <f>28.2*G6</f>
        <v>0</v>
      </c>
      <c r="I6" s="170">
        <v>580</v>
      </c>
      <c r="J6" s="170">
        <f>18.5*I6</f>
        <v>10730</v>
      </c>
      <c r="K6" s="170"/>
      <c r="L6" s="170">
        <f>19.5*K6</f>
        <v>0</v>
      </c>
      <c r="M6" s="170"/>
      <c r="N6" s="171">
        <f>M6*9.75</f>
        <v>0</v>
      </c>
      <c r="O6" s="170"/>
      <c r="P6" s="171">
        <f>O6*48.62</f>
        <v>0</v>
      </c>
      <c r="Q6" s="171"/>
      <c r="R6" s="171">
        <f>241*Q6</f>
        <v>0</v>
      </c>
      <c r="S6" s="170"/>
      <c r="T6" s="170">
        <f>241*S6</f>
        <v>0</v>
      </c>
      <c r="U6" s="170"/>
      <c r="V6" s="170">
        <f>232*U6</f>
        <v>0</v>
      </c>
      <c r="W6" s="170"/>
      <c r="X6" s="19">
        <f>W6*100</f>
        <v>0</v>
      </c>
      <c r="Y6" s="89">
        <f t="shared" ref="Y6:Y11" si="0">D6+F6+H6+J6+L6+N6+P6+R6+T6+V6+X6</f>
        <v>89025.002500000002</v>
      </c>
    </row>
    <row r="7" spans="1:25" ht="31.5" customHeight="1" x14ac:dyDescent="0.25">
      <c r="A7" s="12">
        <v>1984225578</v>
      </c>
      <c r="B7" s="167" t="s">
        <v>72</v>
      </c>
      <c r="C7" s="170">
        <v>35837</v>
      </c>
      <c r="D7" s="171">
        <f t="shared" ref="D7:D11" si="1">0.9725*C7</f>
        <v>34851.482499999998</v>
      </c>
      <c r="E7" s="170"/>
      <c r="F7" s="170">
        <f t="shared" ref="F7:F11" si="2">13.7*E7</f>
        <v>0</v>
      </c>
      <c r="G7" s="170"/>
      <c r="H7" s="170">
        <f t="shared" ref="H7:H11" si="3">28.2*G7</f>
        <v>0</v>
      </c>
      <c r="I7" s="170">
        <v>420</v>
      </c>
      <c r="J7" s="170">
        <f t="shared" ref="J7:J11" si="4">18.5*I7</f>
        <v>7770</v>
      </c>
      <c r="K7" s="170"/>
      <c r="L7" s="170">
        <f t="shared" ref="L7:L11" si="5">19.5*K7</f>
        <v>0</v>
      </c>
      <c r="M7" s="170"/>
      <c r="N7" s="171">
        <f t="shared" ref="N7:N11" si="6">M7*9.75</f>
        <v>0</v>
      </c>
      <c r="O7" s="170"/>
      <c r="P7" s="171">
        <f t="shared" ref="P7:P11" si="7">O7*48.62</f>
        <v>0</v>
      </c>
      <c r="Q7" s="171"/>
      <c r="R7" s="171">
        <f t="shared" ref="R7:R11" si="8">241*Q7</f>
        <v>0</v>
      </c>
      <c r="S7" s="170"/>
      <c r="T7" s="170">
        <f t="shared" ref="T7:T11" si="9">241*S7</f>
        <v>0</v>
      </c>
      <c r="U7" s="170"/>
      <c r="V7" s="170">
        <f t="shared" ref="V7:V11" si="10">232*U7</f>
        <v>0</v>
      </c>
      <c r="W7" s="170"/>
      <c r="X7" s="19">
        <f t="shared" ref="X7:X11" si="11">W7*100</f>
        <v>0</v>
      </c>
      <c r="Y7" s="89">
        <f t="shared" si="0"/>
        <v>42621.482499999998</v>
      </c>
    </row>
    <row r="8" spans="1:25" ht="35.25" customHeight="1" x14ac:dyDescent="0.25">
      <c r="A8" s="12">
        <v>1967020280</v>
      </c>
      <c r="B8" s="167" t="s">
        <v>73</v>
      </c>
      <c r="C8" s="170">
        <v>23329</v>
      </c>
      <c r="D8" s="171">
        <f t="shared" si="1"/>
        <v>22687.452499999999</v>
      </c>
      <c r="E8" s="170"/>
      <c r="F8" s="170">
        <f t="shared" si="2"/>
        <v>0</v>
      </c>
      <c r="G8" s="170"/>
      <c r="H8" s="170">
        <f t="shared" si="3"/>
        <v>0</v>
      </c>
      <c r="I8" s="170">
        <v>570</v>
      </c>
      <c r="J8" s="170">
        <f t="shared" si="4"/>
        <v>10545</v>
      </c>
      <c r="K8" s="170"/>
      <c r="L8" s="170">
        <f t="shared" si="5"/>
        <v>0</v>
      </c>
      <c r="M8" s="170"/>
      <c r="N8" s="171">
        <f t="shared" si="6"/>
        <v>0</v>
      </c>
      <c r="O8" s="170"/>
      <c r="P8" s="171">
        <f t="shared" si="7"/>
        <v>0</v>
      </c>
      <c r="Q8" s="171"/>
      <c r="R8" s="171">
        <f t="shared" si="8"/>
        <v>0</v>
      </c>
      <c r="S8" s="170"/>
      <c r="T8" s="170">
        <f t="shared" si="9"/>
        <v>0</v>
      </c>
      <c r="U8" s="170">
        <v>1</v>
      </c>
      <c r="V8" s="170">
        <f t="shared" si="10"/>
        <v>232</v>
      </c>
      <c r="W8" s="170"/>
      <c r="X8" s="19">
        <f t="shared" si="11"/>
        <v>0</v>
      </c>
      <c r="Y8" s="89">
        <f t="shared" si="0"/>
        <v>33464.452499999999</v>
      </c>
    </row>
    <row r="9" spans="1:25" ht="38.25" customHeight="1" x14ac:dyDescent="0.25">
      <c r="A9" s="12">
        <v>1409935199</v>
      </c>
      <c r="B9" s="167" t="s">
        <v>75</v>
      </c>
      <c r="C9" s="170">
        <v>15719</v>
      </c>
      <c r="D9" s="171">
        <f t="shared" si="1"/>
        <v>15286.727500000001</v>
      </c>
      <c r="E9" s="170"/>
      <c r="F9" s="170">
        <f t="shared" si="2"/>
        <v>0</v>
      </c>
      <c r="G9" s="170"/>
      <c r="H9" s="170">
        <f t="shared" si="3"/>
        <v>0</v>
      </c>
      <c r="I9" s="170">
        <v>240</v>
      </c>
      <c r="J9" s="170">
        <f t="shared" si="4"/>
        <v>4440</v>
      </c>
      <c r="K9" s="170"/>
      <c r="L9" s="170">
        <f t="shared" si="5"/>
        <v>0</v>
      </c>
      <c r="M9" s="170"/>
      <c r="N9" s="171">
        <f t="shared" si="6"/>
        <v>0</v>
      </c>
      <c r="O9" s="170"/>
      <c r="P9" s="171">
        <f t="shared" si="7"/>
        <v>0</v>
      </c>
      <c r="Q9" s="171"/>
      <c r="R9" s="171">
        <f t="shared" si="8"/>
        <v>0</v>
      </c>
      <c r="S9" s="170">
        <v>8</v>
      </c>
      <c r="T9" s="170">
        <f t="shared" si="9"/>
        <v>1928</v>
      </c>
      <c r="U9" s="170"/>
      <c r="V9" s="170">
        <f t="shared" si="10"/>
        <v>0</v>
      </c>
      <c r="W9" s="170"/>
      <c r="X9" s="19">
        <f t="shared" si="11"/>
        <v>0</v>
      </c>
      <c r="Y9" s="89">
        <f t="shared" si="0"/>
        <v>21654.727500000001</v>
      </c>
    </row>
    <row r="10" spans="1:25" ht="35.25" customHeight="1" x14ac:dyDescent="0.25">
      <c r="A10" s="12">
        <v>1984225580</v>
      </c>
      <c r="C10" s="170"/>
      <c r="D10" s="171">
        <f t="shared" si="1"/>
        <v>0</v>
      </c>
      <c r="E10" s="170"/>
      <c r="F10" s="170">
        <f t="shared" si="2"/>
        <v>0</v>
      </c>
      <c r="G10" s="170"/>
      <c r="H10" s="170">
        <f t="shared" si="3"/>
        <v>0</v>
      </c>
      <c r="I10" s="170"/>
      <c r="J10" s="170">
        <f t="shared" si="4"/>
        <v>0</v>
      </c>
      <c r="K10" s="170"/>
      <c r="L10" s="170">
        <f t="shared" si="5"/>
        <v>0</v>
      </c>
      <c r="M10" s="170"/>
      <c r="N10" s="171">
        <f t="shared" si="6"/>
        <v>0</v>
      </c>
      <c r="O10" s="170"/>
      <c r="P10" s="171">
        <f t="shared" si="7"/>
        <v>0</v>
      </c>
      <c r="Q10" s="171"/>
      <c r="R10" s="171">
        <f t="shared" si="8"/>
        <v>0</v>
      </c>
      <c r="S10" s="170"/>
      <c r="T10" s="170">
        <f t="shared" si="9"/>
        <v>0</v>
      </c>
      <c r="U10" s="170"/>
      <c r="V10" s="170">
        <f t="shared" si="10"/>
        <v>0</v>
      </c>
      <c r="W10" s="170"/>
      <c r="X10" s="19">
        <f t="shared" si="11"/>
        <v>0</v>
      </c>
      <c r="Y10" s="89">
        <f t="shared" si="0"/>
        <v>0</v>
      </c>
    </row>
    <row r="11" spans="1:25" ht="37.5" customHeight="1" x14ac:dyDescent="0.25">
      <c r="A11" s="12"/>
      <c r="B11" s="169"/>
      <c r="C11" s="170"/>
      <c r="D11" s="22">
        <f t="shared" si="1"/>
        <v>0</v>
      </c>
      <c r="E11" s="170"/>
      <c r="F11" s="170">
        <f t="shared" si="2"/>
        <v>0</v>
      </c>
      <c r="G11" s="170"/>
      <c r="H11" s="170">
        <f t="shared" si="3"/>
        <v>0</v>
      </c>
      <c r="I11" s="170"/>
      <c r="J11" s="170">
        <f t="shared" si="4"/>
        <v>0</v>
      </c>
      <c r="K11" s="170"/>
      <c r="L11" s="170">
        <f t="shared" si="5"/>
        <v>0</v>
      </c>
      <c r="M11" s="170"/>
      <c r="N11" s="171">
        <f t="shared" si="6"/>
        <v>0</v>
      </c>
      <c r="O11" s="170"/>
      <c r="P11" s="171">
        <f t="shared" si="7"/>
        <v>0</v>
      </c>
      <c r="Q11" s="171"/>
      <c r="R11" s="171">
        <f t="shared" si="8"/>
        <v>0</v>
      </c>
      <c r="S11" s="170"/>
      <c r="T11" s="170">
        <f t="shared" si="9"/>
        <v>0</v>
      </c>
      <c r="U11" s="170"/>
      <c r="V11" s="170">
        <f t="shared" si="10"/>
        <v>0</v>
      </c>
      <c r="W11" s="170"/>
      <c r="X11" s="19">
        <f t="shared" si="11"/>
        <v>0</v>
      </c>
      <c r="Y11" s="20">
        <f t="shared" si="0"/>
        <v>0</v>
      </c>
    </row>
    <row r="12" spans="1:25" ht="29.25" customHeight="1" x14ac:dyDescent="0.25">
      <c r="A12" s="2235" t="s">
        <v>31</v>
      </c>
      <c r="B12" s="2235"/>
      <c r="C12" s="18">
        <f t="shared" ref="C12:Y12" si="12">SUM(C6:C11)</f>
        <v>155394</v>
      </c>
      <c r="D12" s="18">
        <f t="shared" si="12"/>
        <v>151120.66500000001</v>
      </c>
      <c r="E12" s="18">
        <f t="shared" si="12"/>
        <v>0</v>
      </c>
      <c r="F12" s="18">
        <f t="shared" si="12"/>
        <v>0</v>
      </c>
      <c r="G12" s="18">
        <f t="shared" si="12"/>
        <v>0</v>
      </c>
      <c r="H12" s="18">
        <f t="shared" si="12"/>
        <v>0</v>
      </c>
      <c r="I12" s="18">
        <f t="shared" si="12"/>
        <v>1810</v>
      </c>
      <c r="J12" s="18">
        <f t="shared" si="12"/>
        <v>33485</v>
      </c>
      <c r="K12" s="18">
        <f t="shared" si="12"/>
        <v>0</v>
      </c>
      <c r="L12" s="18">
        <f t="shared" si="12"/>
        <v>0</v>
      </c>
      <c r="M12" s="18">
        <f t="shared" si="12"/>
        <v>0</v>
      </c>
      <c r="N12" s="23">
        <f t="shared" si="12"/>
        <v>0</v>
      </c>
      <c r="O12" s="18">
        <f t="shared" si="12"/>
        <v>0</v>
      </c>
      <c r="P12" s="23">
        <f t="shared" si="12"/>
        <v>0</v>
      </c>
      <c r="Q12" s="23">
        <f t="shared" si="12"/>
        <v>0</v>
      </c>
      <c r="R12" s="23">
        <f>SUM(R6:R11)</f>
        <v>0</v>
      </c>
      <c r="S12" s="18">
        <f t="shared" si="12"/>
        <v>8</v>
      </c>
      <c r="T12" s="18">
        <f t="shared" si="12"/>
        <v>1928</v>
      </c>
      <c r="U12" s="18">
        <f t="shared" si="12"/>
        <v>1</v>
      </c>
      <c r="V12" s="18">
        <f t="shared" si="12"/>
        <v>232</v>
      </c>
      <c r="W12" s="18">
        <f t="shared" si="12"/>
        <v>0</v>
      </c>
      <c r="X12" s="18">
        <f t="shared" si="12"/>
        <v>0</v>
      </c>
      <c r="Y12" s="18">
        <f t="shared" si="12"/>
        <v>186765.66500000001</v>
      </c>
    </row>
    <row r="14" spans="1:25" ht="41.25" customHeight="1" x14ac:dyDescent="0.25">
      <c r="A14" s="30" t="s">
        <v>32</v>
      </c>
      <c r="B14" s="2236" t="s">
        <v>27</v>
      </c>
      <c r="C14" s="2236"/>
      <c r="D14" s="30" t="s">
        <v>33</v>
      </c>
      <c r="E14" s="30" t="s">
        <v>65</v>
      </c>
      <c r="F14" s="30" t="s">
        <v>34</v>
      </c>
      <c r="G14" s="30" t="s">
        <v>13</v>
      </c>
      <c r="H14" s="142" t="s">
        <v>173</v>
      </c>
      <c r="I14" s="30" t="s">
        <v>17</v>
      </c>
      <c r="J14" s="175" t="s">
        <v>174</v>
      </c>
      <c r="K14" s="30" t="s">
        <v>36</v>
      </c>
      <c r="L14" s="30" t="s">
        <v>175</v>
      </c>
      <c r="M14" s="30" t="s">
        <v>69</v>
      </c>
      <c r="N14" s="30" t="s">
        <v>70</v>
      </c>
      <c r="O14" s="175" t="s">
        <v>114</v>
      </c>
      <c r="P14" s="175" t="s">
        <v>99</v>
      </c>
      <c r="Q14" s="2272" t="s">
        <v>215</v>
      </c>
      <c r="R14" s="2272"/>
      <c r="S14" s="175" t="s">
        <v>171</v>
      </c>
      <c r="T14" s="2235" t="s">
        <v>46</v>
      </c>
      <c r="U14" s="167" t="s">
        <v>176</v>
      </c>
      <c r="V14" s="2260">
        <v>4450</v>
      </c>
      <c r="W14" s="2268"/>
      <c r="X14" s="2261"/>
    </row>
    <row r="15" spans="1:25" ht="22.5" customHeight="1" x14ac:dyDescent="0.25">
      <c r="A15" s="100" t="s">
        <v>38</v>
      </c>
      <c r="B15" s="2260">
        <v>234990</v>
      </c>
      <c r="C15" s="2261"/>
      <c r="D15" s="172">
        <v>0</v>
      </c>
      <c r="E15" s="172">
        <v>0</v>
      </c>
      <c r="F15" s="172">
        <v>9470</v>
      </c>
      <c r="G15" s="172">
        <v>0</v>
      </c>
      <c r="H15" s="172">
        <v>553</v>
      </c>
      <c r="I15" s="172">
        <v>78</v>
      </c>
      <c r="J15" s="172">
        <v>118</v>
      </c>
      <c r="K15" s="172">
        <v>50</v>
      </c>
      <c r="L15" s="172">
        <v>559</v>
      </c>
      <c r="M15" s="172">
        <v>0</v>
      </c>
      <c r="N15" s="172">
        <v>100</v>
      </c>
      <c r="O15" s="172">
        <v>0</v>
      </c>
      <c r="P15" s="172">
        <v>464</v>
      </c>
      <c r="Q15" s="2262">
        <v>178</v>
      </c>
      <c r="R15" s="2262"/>
      <c r="S15" s="167">
        <v>117</v>
      </c>
      <c r="T15" s="2235"/>
      <c r="U15" s="167" t="s">
        <v>64</v>
      </c>
      <c r="V15" s="2262">
        <v>72228</v>
      </c>
      <c r="W15" s="2262"/>
      <c r="X15" s="2262"/>
    </row>
    <row r="16" spans="1:25" ht="24.75" customHeight="1" x14ac:dyDescent="0.25">
      <c r="A16" s="100" t="s">
        <v>39</v>
      </c>
      <c r="B16" s="2260">
        <v>187012</v>
      </c>
      <c r="C16" s="2261"/>
      <c r="D16" s="172"/>
      <c r="E16" s="172"/>
      <c r="F16" s="172"/>
      <c r="G16" s="172"/>
      <c r="H16" s="172"/>
      <c r="I16" s="172"/>
      <c r="J16" s="172"/>
      <c r="K16" s="172"/>
      <c r="L16" s="172">
        <v>185</v>
      </c>
      <c r="M16" s="172"/>
      <c r="N16" s="172"/>
      <c r="O16" s="172"/>
      <c r="P16" s="172"/>
      <c r="Q16" s="2225"/>
      <c r="R16" s="2225"/>
      <c r="S16" s="172"/>
      <c r="T16" s="2254" t="s">
        <v>55</v>
      </c>
      <c r="U16" s="2254"/>
      <c r="V16" s="2267">
        <f>Y12</f>
        <v>186765.66500000001</v>
      </c>
      <c r="W16" s="2267"/>
      <c r="X16" s="2262"/>
    </row>
    <row r="17" spans="1:25" ht="28.5" customHeight="1" x14ac:dyDescent="0.25">
      <c r="A17" s="101" t="s">
        <v>44</v>
      </c>
      <c r="B17" s="2260"/>
      <c r="C17" s="2261"/>
      <c r="D17" s="172"/>
      <c r="E17" s="172"/>
      <c r="F17" s="172"/>
      <c r="G17" s="172"/>
      <c r="H17" s="172"/>
      <c r="I17" s="172"/>
      <c r="J17" s="172"/>
      <c r="K17" s="172"/>
      <c r="L17" s="172"/>
      <c r="M17" s="172"/>
      <c r="N17" s="172"/>
      <c r="O17" s="172"/>
      <c r="P17" s="172"/>
      <c r="Q17" s="2225"/>
      <c r="R17" s="2225"/>
      <c r="S17" s="169"/>
      <c r="T17" s="2273" t="s">
        <v>211</v>
      </c>
      <c r="U17" s="2274"/>
      <c r="V17" s="2262"/>
      <c r="W17" s="2262"/>
      <c r="X17" s="2262"/>
    </row>
    <row r="18" spans="1:25" ht="27" customHeight="1" x14ac:dyDescent="0.25">
      <c r="A18" s="100" t="s">
        <v>40</v>
      </c>
      <c r="B18" s="2264">
        <f>C12</f>
        <v>155394</v>
      </c>
      <c r="C18" s="2261"/>
      <c r="D18" s="173">
        <f>E12</f>
        <v>0</v>
      </c>
      <c r="E18" s="173">
        <f>G12</f>
        <v>0</v>
      </c>
      <c r="F18" s="173">
        <f>I12</f>
        <v>1810</v>
      </c>
      <c r="G18" s="173">
        <f>K12</f>
        <v>0</v>
      </c>
      <c r="H18" s="172">
        <v>193</v>
      </c>
      <c r="I18" s="173">
        <f>U12</f>
        <v>1</v>
      </c>
      <c r="J18" s="172"/>
      <c r="K18" s="173">
        <f>W12</f>
        <v>0</v>
      </c>
      <c r="L18" s="172"/>
      <c r="M18" s="173">
        <f>M12</f>
        <v>0</v>
      </c>
      <c r="N18" s="173">
        <f>O12</f>
        <v>0</v>
      </c>
      <c r="O18" s="174">
        <f>Q12</f>
        <v>0</v>
      </c>
      <c r="P18" s="172"/>
      <c r="Q18" s="2262"/>
      <c r="R18" s="2262"/>
      <c r="S18" s="167"/>
      <c r="T18" s="2254" t="s">
        <v>57</v>
      </c>
      <c r="U18" s="2254"/>
      <c r="V18" s="2262">
        <v>500</v>
      </c>
      <c r="W18" s="2262"/>
      <c r="X18" s="2262"/>
      <c r="Y18" s="2269" t="s">
        <v>217</v>
      </c>
    </row>
    <row r="19" spans="1:25" ht="25.5" customHeight="1" x14ac:dyDescent="0.25">
      <c r="A19" s="100" t="s">
        <v>41</v>
      </c>
      <c r="B19" s="2260">
        <f>B15+B16+B17-B18</f>
        <v>266608</v>
      </c>
      <c r="C19" s="2261"/>
      <c r="D19" s="172">
        <f>D15+D16+D17-D18</f>
        <v>0</v>
      </c>
      <c r="E19" s="172">
        <f t="shared" ref="E19:N19" si="13">E15+E16+E17-E18</f>
        <v>0</v>
      </c>
      <c r="F19" s="172">
        <f t="shared" si="13"/>
        <v>7660</v>
      </c>
      <c r="G19" s="172">
        <f t="shared" si="13"/>
        <v>0</v>
      </c>
      <c r="H19" s="172">
        <f t="shared" si="13"/>
        <v>360</v>
      </c>
      <c r="I19" s="172">
        <f t="shared" si="13"/>
        <v>77</v>
      </c>
      <c r="J19" s="172">
        <f t="shared" si="13"/>
        <v>118</v>
      </c>
      <c r="K19" s="172">
        <f t="shared" si="13"/>
        <v>50</v>
      </c>
      <c r="L19" s="172">
        <f t="shared" si="13"/>
        <v>744</v>
      </c>
      <c r="M19" s="172">
        <f t="shared" si="13"/>
        <v>0</v>
      </c>
      <c r="N19" s="172">
        <f t="shared" si="13"/>
        <v>100</v>
      </c>
      <c r="O19" s="172">
        <f>O15+O16+O17-O18</f>
        <v>0</v>
      </c>
      <c r="P19" s="172">
        <f>P15+P16+P17-P18</f>
        <v>464</v>
      </c>
      <c r="Q19" s="2260">
        <f t="shared" ref="Q19" si="14">Q15+Q16+Q17-Q18</f>
        <v>178</v>
      </c>
      <c r="R19" s="2261"/>
      <c r="S19" s="167">
        <f>S15+S16-S17-S18</f>
        <v>117</v>
      </c>
      <c r="T19" s="2256" t="s">
        <v>48</v>
      </c>
      <c r="U19" s="49" t="s">
        <v>58</v>
      </c>
      <c r="V19" s="2262">
        <v>180000</v>
      </c>
      <c r="W19" s="2262"/>
      <c r="X19" s="2262"/>
      <c r="Y19" s="2269"/>
    </row>
    <row r="20" spans="1:25" ht="23.25" customHeight="1" x14ac:dyDescent="0.25">
      <c r="A20" s="11" t="s">
        <v>187</v>
      </c>
      <c r="B20" s="2278">
        <f>B19*0.9625</f>
        <v>256610.2</v>
      </c>
      <c r="C20" s="2279"/>
      <c r="D20" s="169">
        <f>D19*13.56</f>
        <v>0</v>
      </c>
      <c r="E20" s="169">
        <f>28.2*E19</f>
        <v>0</v>
      </c>
      <c r="F20" s="169">
        <f>18.31*F19</f>
        <v>140254.59999999998</v>
      </c>
      <c r="G20" s="169">
        <f>19.3*G19</f>
        <v>0</v>
      </c>
      <c r="H20" s="169">
        <f>241*H19</f>
        <v>86760</v>
      </c>
      <c r="I20" s="169">
        <f>223*I19</f>
        <v>17171</v>
      </c>
      <c r="J20" s="169">
        <f>241*J19</f>
        <v>28438</v>
      </c>
      <c r="K20" s="169">
        <f>K19*100</f>
        <v>5000</v>
      </c>
      <c r="L20" s="169">
        <f>241*L19</f>
        <v>179304</v>
      </c>
      <c r="M20" s="169">
        <f>9.65*M19</f>
        <v>0</v>
      </c>
      <c r="N20" s="169">
        <f>N19*48.2</f>
        <v>4820</v>
      </c>
      <c r="O20" s="169">
        <f>241*O19</f>
        <v>0</v>
      </c>
      <c r="P20" s="169">
        <f>241*P19</f>
        <v>111824</v>
      </c>
      <c r="Q20" s="2278">
        <f>241*Q19</f>
        <v>42898</v>
      </c>
      <c r="R20" s="2279"/>
      <c r="S20" s="169">
        <f>241*S19</f>
        <v>28197</v>
      </c>
      <c r="T20" s="2257"/>
      <c r="U20" s="49" t="s">
        <v>59</v>
      </c>
      <c r="V20" s="2262"/>
      <c r="W20" s="2262"/>
      <c r="X20" s="2262"/>
      <c r="Y20" s="2269"/>
    </row>
    <row r="21" spans="1:25" ht="32.25" customHeight="1" x14ac:dyDescent="0.25">
      <c r="A21" s="143" t="s">
        <v>186</v>
      </c>
      <c r="B21" s="2283">
        <f>SUM(B20:S20)</f>
        <v>901276.8</v>
      </c>
      <c r="C21" s="2283"/>
      <c r="O21" s="176"/>
      <c r="P21" s="176"/>
      <c r="Q21" s="176"/>
      <c r="R21" s="176"/>
      <c r="T21" s="2273" t="s">
        <v>167</v>
      </c>
      <c r="U21" s="2274"/>
      <c r="V21" s="2260"/>
      <c r="W21" s="2268"/>
      <c r="X21" s="2261"/>
      <c r="Y21" s="2269"/>
    </row>
    <row r="22" spans="1:25" ht="35.25" customHeight="1" x14ac:dyDescent="0.25">
      <c r="A22" s="15"/>
      <c r="B22" s="2275" t="s">
        <v>49</v>
      </c>
      <c r="C22" s="2265">
        <v>792446</v>
      </c>
      <c r="D22" s="2265">
        <v>180000</v>
      </c>
      <c r="E22" s="2265">
        <v>180000</v>
      </c>
      <c r="F22" s="2265">
        <f>C22-D22+E22</f>
        <v>792446</v>
      </c>
      <c r="G22" s="176"/>
      <c r="Q22" s="176"/>
      <c r="R22" s="176"/>
      <c r="T22" s="2251" t="s">
        <v>83</v>
      </c>
      <c r="U22" s="50" t="s">
        <v>60</v>
      </c>
      <c r="V22" s="2262">
        <v>181320</v>
      </c>
      <c r="W22" s="2262"/>
      <c r="X22" s="2262"/>
      <c r="Y22" s="2269"/>
    </row>
    <row r="23" spans="1:25" ht="39.75" customHeight="1" x14ac:dyDescent="0.25">
      <c r="A23" s="176"/>
      <c r="B23" s="2276"/>
      <c r="C23" s="2266"/>
      <c r="D23" s="2266"/>
      <c r="E23" s="2266"/>
      <c r="F23" s="2266"/>
      <c r="G23" s="176"/>
      <c r="Q23" s="176"/>
      <c r="R23" s="176"/>
      <c r="T23" s="2252"/>
      <c r="U23" s="50" t="s">
        <v>61</v>
      </c>
      <c r="V23" s="2262">
        <v>180000</v>
      </c>
      <c r="W23" s="2262"/>
      <c r="X23" s="2262"/>
      <c r="Y23" s="2269"/>
    </row>
    <row r="24" spans="1:25" ht="48" customHeight="1" x14ac:dyDescent="0.25">
      <c r="A24" s="176"/>
      <c r="B24" s="2277"/>
      <c r="C24" s="167" t="s">
        <v>46</v>
      </c>
      <c r="D24" s="167" t="s">
        <v>50</v>
      </c>
      <c r="E24" s="167" t="s">
        <v>51</v>
      </c>
      <c r="F24" s="167" t="s">
        <v>52</v>
      </c>
      <c r="G24" s="176"/>
      <c r="Q24" s="176"/>
      <c r="R24" s="176"/>
      <c r="T24" s="2235" t="s">
        <v>47</v>
      </c>
      <c r="U24" s="51" t="s">
        <v>62</v>
      </c>
      <c r="V24" s="2263">
        <f>V14+V16+V17-V18-V19-V20-V22+V23-V21</f>
        <v>9395.6650000000081</v>
      </c>
      <c r="W24" s="2263"/>
      <c r="X24" s="2263"/>
      <c r="Y24" s="2269"/>
    </row>
    <row r="25" spans="1:25" ht="40.5" customHeight="1" x14ac:dyDescent="0.25">
      <c r="T25" s="2235"/>
      <c r="U25" s="51" t="s">
        <v>63</v>
      </c>
      <c r="V25" s="2262">
        <f>V15+V22-V23</f>
        <v>73548</v>
      </c>
      <c r="W25" s="2262"/>
      <c r="X25" s="2262"/>
    </row>
    <row r="26" spans="1:25" ht="36" customHeight="1" x14ac:dyDescent="0.25"/>
    <row r="32" spans="1:25" x14ac:dyDescent="0.25">
      <c r="I32" s="2280"/>
      <c r="J32" s="2280"/>
      <c r="K32" s="2280"/>
      <c r="L32" s="2280"/>
    </row>
    <row r="33" spans="9:12" x14ac:dyDescent="0.25">
      <c r="I33" s="176"/>
      <c r="J33" s="176"/>
      <c r="K33" s="2280"/>
      <c r="L33" s="2280"/>
    </row>
  </sheetData>
  <mergeCells count="62">
    <mergeCell ref="I32:J32"/>
    <mergeCell ref="K32:L32"/>
    <mergeCell ref="K33:L33"/>
    <mergeCell ref="T22:T23"/>
    <mergeCell ref="V22:X22"/>
    <mergeCell ref="V23:X23"/>
    <mergeCell ref="T24:T25"/>
    <mergeCell ref="V24:X24"/>
    <mergeCell ref="V25:X25"/>
    <mergeCell ref="Y18:Y24"/>
    <mergeCell ref="B19:C19"/>
    <mergeCell ref="Q19:R19"/>
    <mergeCell ref="T19:T20"/>
    <mergeCell ref="V19:X19"/>
    <mergeCell ref="B20:C20"/>
    <mergeCell ref="B22:B24"/>
    <mergeCell ref="C22:C23"/>
    <mergeCell ref="D22:D23"/>
    <mergeCell ref="E22:E23"/>
    <mergeCell ref="F22:F23"/>
    <mergeCell ref="Q20:R20"/>
    <mergeCell ref="V20:X20"/>
    <mergeCell ref="B21:C21"/>
    <mergeCell ref="T21:U21"/>
    <mergeCell ref="V21:X21"/>
    <mergeCell ref="B17:C17"/>
    <mergeCell ref="Q17:R17"/>
    <mergeCell ref="T17:U17"/>
    <mergeCell ref="V17:X17"/>
    <mergeCell ref="B18:C18"/>
    <mergeCell ref="Q18:R18"/>
    <mergeCell ref="T18:U18"/>
    <mergeCell ref="V18:X18"/>
    <mergeCell ref="W4:X4"/>
    <mergeCell ref="B16:C16"/>
    <mergeCell ref="Q16:R16"/>
    <mergeCell ref="T16:U16"/>
    <mergeCell ref="V16:X16"/>
    <mergeCell ref="A12:B12"/>
    <mergeCell ref="B14:C14"/>
    <mergeCell ref="Q14:R14"/>
    <mergeCell ref="T14:T15"/>
    <mergeCell ref="V14:X14"/>
    <mergeCell ref="B15:C15"/>
    <mergeCell ref="Q15:R15"/>
    <mergeCell ref="V15:X15"/>
    <mergeCell ref="A1:Y1"/>
    <mergeCell ref="A2:Y2"/>
    <mergeCell ref="T3:Y3"/>
    <mergeCell ref="A4:A5"/>
    <mergeCell ref="B4:B5"/>
    <mergeCell ref="C4:D4"/>
    <mergeCell ref="E4:F4"/>
    <mergeCell ref="G4:H4"/>
    <mergeCell ref="I4:J4"/>
    <mergeCell ref="K4:L4"/>
    <mergeCell ref="Y4:Y5"/>
    <mergeCell ref="M4:N4"/>
    <mergeCell ref="O4:P4"/>
    <mergeCell ref="Q4:R4"/>
    <mergeCell ref="S4:T4"/>
    <mergeCell ref="U4:V4"/>
  </mergeCells>
  <pageMargins left="0.15748031496063" right="0.15748031496063" top="0" bottom="0" header="0" footer="0"/>
  <pageSetup paperSize="9" scale="47" orientation="landscape" r:id="rId1"/>
  <legacyDrawing r:id="rId2"/>
</worksheet>
</file>

<file path=xl/worksheets/sheet6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F6E51E9-3C14-4F7B-BBFE-77C9CE686EF6}">
  <sheetPr>
    <pageSetUpPr fitToPage="1"/>
  </sheetPr>
  <dimension ref="A1:Y33"/>
  <sheetViews>
    <sheetView topLeftCell="A6" zoomScale="69" zoomScaleNormal="69" zoomScaleSheetLayoutView="100" workbookViewId="0">
      <selection activeCell="M23" sqref="M23"/>
    </sheetView>
  </sheetViews>
  <sheetFormatPr defaultColWidth="9.140625" defaultRowHeight="15" x14ac:dyDescent="0.25"/>
  <cols>
    <col min="1" max="1" width="18.28515625" style="14" customWidth="1"/>
    <col min="2" max="2" width="10.7109375" style="14" customWidth="1"/>
    <col min="3" max="3" width="12.28515625" style="14" customWidth="1"/>
    <col min="4" max="4" width="11" style="14" customWidth="1"/>
    <col min="5" max="5" width="12" style="14" customWidth="1"/>
    <col min="6" max="6" width="12.5703125" style="14" bestFit="1" customWidth="1"/>
    <col min="7" max="7" width="9.28515625" style="14" bestFit="1" customWidth="1"/>
    <col min="8" max="8" width="10.140625" style="14" bestFit="1" customWidth="1"/>
    <col min="9" max="9" width="10.5703125" style="14" bestFit="1" customWidth="1"/>
    <col min="10" max="10" width="10.5703125" style="14" customWidth="1"/>
    <col min="11" max="11" width="10.28515625" style="14" bestFit="1" customWidth="1"/>
    <col min="12" max="12" width="9.42578125" style="14" bestFit="1" customWidth="1"/>
    <col min="13" max="13" width="9.85546875" style="14" bestFit="1" customWidth="1"/>
    <col min="14" max="14" width="10.140625" style="14" bestFit="1" customWidth="1"/>
    <col min="15" max="15" width="9" style="14" customWidth="1"/>
    <col min="16" max="16" width="12.85546875" style="14" bestFit="1" customWidth="1"/>
    <col min="17" max="18" width="9.42578125" style="14" customWidth="1"/>
    <col min="19" max="19" width="13.7109375" style="14" customWidth="1"/>
    <col min="20" max="20" width="12.140625" style="14" customWidth="1"/>
    <col min="21" max="21" width="19.5703125" style="14" bestFit="1" customWidth="1"/>
    <col min="22" max="22" width="9.85546875" style="14" customWidth="1"/>
    <col min="23" max="23" width="10.140625" style="14" bestFit="1" customWidth="1"/>
    <col min="24" max="24" width="10.28515625" style="14" customWidth="1"/>
    <col min="25" max="25" width="28" style="14" customWidth="1"/>
    <col min="26" max="16384" width="9.140625" style="14"/>
  </cols>
  <sheetData>
    <row r="1" spans="1:25" ht="46.15" customHeight="1" x14ac:dyDescent="0.25">
      <c r="A1" s="2240" t="s">
        <v>148</v>
      </c>
      <c r="B1" s="2240"/>
      <c r="C1" s="2240"/>
      <c r="D1" s="2240"/>
      <c r="E1" s="2240"/>
      <c r="F1" s="2240"/>
      <c r="G1" s="2240"/>
      <c r="H1" s="2240"/>
      <c r="I1" s="2240"/>
      <c r="J1" s="2240"/>
      <c r="K1" s="2240"/>
      <c r="L1" s="2240"/>
      <c r="M1" s="2240"/>
      <c r="N1" s="2240"/>
      <c r="O1" s="2240"/>
      <c r="P1" s="2240"/>
      <c r="Q1" s="2240"/>
      <c r="R1" s="2240"/>
      <c r="S1" s="2240"/>
      <c r="T1" s="2240"/>
      <c r="U1" s="2240"/>
      <c r="V1" s="2240"/>
      <c r="W1" s="2240"/>
      <c r="X1" s="2240"/>
      <c r="Y1" s="2240"/>
    </row>
    <row r="2" spans="1:25" ht="21.6" customHeight="1" x14ac:dyDescent="0.25">
      <c r="A2" s="2241" t="s">
        <v>77</v>
      </c>
      <c r="B2" s="2241"/>
      <c r="C2" s="2241"/>
      <c r="D2" s="2241"/>
      <c r="E2" s="2241"/>
      <c r="F2" s="2241"/>
      <c r="G2" s="2241"/>
      <c r="H2" s="2241"/>
      <c r="I2" s="2241"/>
      <c r="J2" s="2241"/>
      <c r="K2" s="2241"/>
      <c r="L2" s="2241"/>
      <c r="M2" s="2241"/>
      <c r="N2" s="2241"/>
      <c r="O2" s="2241"/>
      <c r="P2" s="2241"/>
      <c r="Q2" s="2241"/>
      <c r="R2" s="2241"/>
      <c r="S2" s="2241"/>
      <c r="T2" s="2241"/>
      <c r="U2" s="2241"/>
      <c r="V2" s="2241"/>
      <c r="W2" s="2241"/>
      <c r="X2" s="2241"/>
      <c r="Y2" s="2241"/>
    </row>
    <row r="3" spans="1:25" ht="21" customHeight="1" x14ac:dyDescent="0.25">
      <c r="A3" s="182"/>
      <c r="B3" s="182"/>
      <c r="C3" s="182"/>
      <c r="D3" s="182"/>
      <c r="E3" s="182"/>
      <c r="F3" s="182"/>
      <c r="G3" s="182"/>
      <c r="H3" s="182"/>
      <c r="I3" s="182"/>
      <c r="J3" s="182"/>
      <c r="K3" s="182"/>
      <c r="L3" s="182"/>
      <c r="M3" s="182"/>
      <c r="N3" s="182"/>
      <c r="O3" s="182"/>
      <c r="P3" s="182"/>
      <c r="Q3" s="182"/>
      <c r="R3" s="182"/>
      <c r="S3" s="182"/>
      <c r="T3" s="2242" t="s">
        <v>219</v>
      </c>
      <c r="U3" s="2242"/>
      <c r="V3" s="2242"/>
      <c r="W3" s="2242"/>
      <c r="X3" s="2242"/>
      <c r="Y3" s="2242"/>
    </row>
    <row r="4" spans="1:25" s="182" customFormat="1" ht="18" customHeight="1" x14ac:dyDescent="0.25">
      <c r="A4" s="2243" t="s">
        <v>25</v>
      </c>
      <c r="B4" s="2243" t="s">
        <v>26</v>
      </c>
      <c r="C4" s="2244" t="s">
        <v>27</v>
      </c>
      <c r="D4" s="2244"/>
      <c r="E4" s="2244" t="s">
        <v>28</v>
      </c>
      <c r="F4" s="2244"/>
      <c r="G4" s="2244" t="s">
        <v>65</v>
      </c>
      <c r="H4" s="2244"/>
      <c r="I4" s="2244" t="s">
        <v>29</v>
      </c>
      <c r="J4" s="2244"/>
      <c r="K4" s="2245" t="s">
        <v>13</v>
      </c>
      <c r="L4" s="2246"/>
      <c r="M4" s="2245" t="s">
        <v>67</v>
      </c>
      <c r="N4" s="2246"/>
      <c r="O4" s="2245" t="s">
        <v>68</v>
      </c>
      <c r="P4" s="2246"/>
      <c r="Q4" s="2245" t="s">
        <v>114</v>
      </c>
      <c r="R4" s="2246"/>
      <c r="S4" s="2244" t="s">
        <v>35</v>
      </c>
      <c r="T4" s="2244"/>
      <c r="U4" s="2245" t="s">
        <v>17</v>
      </c>
      <c r="V4" s="2246"/>
      <c r="W4" s="2247" t="s">
        <v>36</v>
      </c>
      <c r="X4" s="2248"/>
      <c r="Y4" s="2238" t="s">
        <v>30</v>
      </c>
    </row>
    <row r="5" spans="1:25" s="182" customFormat="1" ht="25.5" customHeight="1" x14ac:dyDescent="0.25">
      <c r="A5" s="2243"/>
      <c r="B5" s="2243"/>
      <c r="C5" s="181" t="s">
        <v>42</v>
      </c>
      <c r="D5" s="181" t="s">
        <v>43</v>
      </c>
      <c r="E5" s="181" t="s">
        <v>42</v>
      </c>
      <c r="F5" s="181" t="s">
        <v>43</v>
      </c>
      <c r="G5" s="181" t="s">
        <v>42</v>
      </c>
      <c r="H5" s="181" t="s">
        <v>43</v>
      </c>
      <c r="I5" s="181" t="s">
        <v>42</v>
      </c>
      <c r="J5" s="181" t="s">
        <v>43</v>
      </c>
      <c r="K5" s="181" t="s">
        <v>42</v>
      </c>
      <c r="L5" s="181" t="s">
        <v>43</v>
      </c>
      <c r="M5" s="181" t="s">
        <v>42</v>
      </c>
      <c r="N5" s="181" t="s">
        <v>43</v>
      </c>
      <c r="O5" s="181" t="s">
        <v>42</v>
      </c>
      <c r="P5" s="181" t="s">
        <v>43</v>
      </c>
      <c r="Q5" s="181" t="s">
        <v>42</v>
      </c>
      <c r="R5" s="181" t="s">
        <v>43</v>
      </c>
      <c r="S5" s="33" t="s">
        <v>42</v>
      </c>
      <c r="T5" s="33" t="s">
        <v>43</v>
      </c>
      <c r="U5" s="30" t="s">
        <v>42</v>
      </c>
      <c r="V5" s="30" t="s">
        <v>43</v>
      </c>
      <c r="W5" s="30" t="s">
        <v>42</v>
      </c>
      <c r="X5" s="30" t="s">
        <v>43</v>
      </c>
      <c r="Y5" s="2239"/>
    </row>
    <row r="6" spans="1:25" ht="34.5" customHeight="1" x14ac:dyDescent="0.25">
      <c r="A6" s="12">
        <v>1409935200</v>
      </c>
      <c r="B6" s="180" t="s">
        <v>71</v>
      </c>
      <c r="C6" s="178">
        <v>42199</v>
      </c>
      <c r="D6" s="177">
        <f>0.9725*C6</f>
        <v>41038.527500000004</v>
      </c>
      <c r="E6" s="178"/>
      <c r="F6" s="178">
        <f>13.7*E6</f>
        <v>0</v>
      </c>
      <c r="G6" s="178"/>
      <c r="H6" s="178">
        <f>28.2*G6</f>
        <v>0</v>
      </c>
      <c r="I6" s="178">
        <v>140</v>
      </c>
      <c r="J6" s="178">
        <f>18.5*I6</f>
        <v>2590</v>
      </c>
      <c r="K6" s="178"/>
      <c r="L6" s="178">
        <f>19.5*K6</f>
        <v>0</v>
      </c>
      <c r="M6" s="178"/>
      <c r="N6" s="177">
        <f>M6*9.75</f>
        <v>0</v>
      </c>
      <c r="O6" s="178"/>
      <c r="P6" s="177">
        <f>O6*48.62</f>
        <v>0</v>
      </c>
      <c r="Q6" s="177"/>
      <c r="R6" s="177">
        <f>241*Q6</f>
        <v>0</v>
      </c>
      <c r="S6" s="178"/>
      <c r="T6" s="178">
        <f>241*S6</f>
        <v>0</v>
      </c>
      <c r="U6" s="178"/>
      <c r="V6" s="178">
        <f>232*U6</f>
        <v>0</v>
      </c>
      <c r="W6" s="178"/>
      <c r="X6" s="19">
        <f>W6*100</f>
        <v>0</v>
      </c>
      <c r="Y6" s="89">
        <f t="shared" ref="Y6:Y11" si="0">D6+F6+H6+J6+L6+N6+P6+R6+T6+V6+X6</f>
        <v>43628.527500000004</v>
      </c>
    </row>
    <row r="7" spans="1:25" ht="31.5" customHeight="1" x14ac:dyDescent="0.25">
      <c r="A7" s="12">
        <v>1984225578</v>
      </c>
      <c r="B7" s="180" t="s">
        <v>72</v>
      </c>
      <c r="C7" s="178">
        <v>43795</v>
      </c>
      <c r="D7" s="177">
        <f t="shared" ref="D7:D11" si="1">0.9725*C7</f>
        <v>42590.637500000004</v>
      </c>
      <c r="E7" s="178"/>
      <c r="F7" s="178">
        <f t="shared" ref="F7:F11" si="2">13.7*E7</f>
        <v>0</v>
      </c>
      <c r="G7" s="178"/>
      <c r="H7" s="178">
        <f t="shared" ref="H7:H11" si="3">28.2*G7</f>
        <v>0</v>
      </c>
      <c r="I7" s="178">
        <v>360</v>
      </c>
      <c r="J7" s="178">
        <f t="shared" ref="J7:J11" si="4">18.5*I7</f>
        <v>6660</v>
      </c>
      <c r="K7" s="178"/>
      <c r="L7" s="178">
        <f t="shared" ref="L7:L11" si="5">19.5*K7</f>
        <v>0</v>
      </c>
      <c r="M7" s="178"/>
      <c r="N7" s="177">
        <f t="shared" ref="N7:N11" si="6">M7*9.75</f>
        <v>0</v>
      </c>
      <c r="O7" s="178"/>
      <c r="P7" s="177">
        <f t="shared" ref="P7:P11" si="7">O7*48.62</f>
        <v>0</v>
      </c>
      <c r="Q7" s="177"/>
      <c r="R7" s="177">
        <f t="shared" ref="R7:R11" si="8">241*Q7</f>
        <v>0</v>
      </c>
      <c r="S7" s="178">
        <v>2</v>
      </c>
      <c r="T7" s="178">
        <f t="shared" ref="T7:T11" si="9">241*S7</f>
        <v>482</v>
      </c>
      <c r="U7" s="178"/>
      <c r="V7" s="178">
        <f t="shared" ref="V7:V11" si="10">232*U7</f>
        <v>0</v>
      </c>
      <c r="W7" s="178"/>
      <c r="X7" s="19">
        <f t="shared" ref="X7:X11" si="11">W7*100</f>
        <v>0</v>
      </c>
      <c r="Y7" s="89">
        <f t="shared" si="0"/>
        <v>49732.637500000004</v>
      </c>
    </row>
    <row r="8" spans="1:25" ht="35.25" customHeight="1" x14ac:dyDescent="0.25">
      <c r="A8" s="12">
        <v>1967020280</v>
      </c>
      <c r="B8" s="180" t="s">
        <v>73</v>
      </c>
      <c r="C8" s="178">
        <v>66264</v>
      </c>
      <c r="D8" s="177">
        <f t="shared" si="1"/>
        <v>64441.740000000005</v>
      </c>
      <c r="E8" s="178"/>
      <c r="F8" s="178">
        <f t="shared" si="2"/>
        <v>0</v>
      </c>
      <c r="G8" s="178"/>
      <c r="H8" s="178">
        <f t="shared" si="3"/>
        <v>0</v>
      </c>
      <c r="I8" s="178">
        <v>290</v>
      </c>
      <c r="J8" s="178">
        <f t="shared" si="4"/>
        <v>5365</v>
      </c>
      <c r="K8" s="178"/>
      <c r="L8" s="178">
        <f t="shared" si="5"/>
        <v>0</v>
      </c>
      <c r="M8" s="178"/>
      <c r="N8" s="177">
        <f t="shared" si="6"/>
        <v>0</v>
      </c>
      <c r="O8" s="178"/>
      <c r="P8" s="177">
        <f t="shared" si="7"/>
        <v>0</v>
      </c>
      <c r="Q8" s="177"/>
      <c r="R8" s="177">
        <f t="shared" si="8"/>
        <v>0</v>
      </c>
      <c r="S8" s="178"/>
      <c r="T8" s="178">
        <f t="shared" si="9"/>
        <v>0</v>
      </c>
      <c r="U8" s="178"/>
      <c r="V8" s="178">
        <f t="shared" si="10"/>
        <v>0</v>
      </c>
      <c r="W8" s="178"/>
      <c r="X8" s="19">
        <f t="shared" si="11"/>
        <v>0</v>
      </c>
      <c r="Y8" s="89">
        <f t="shared" si="0"/>
        <v>69806.740000000005</v>
      </c>
    </row>
    <row r="9" spans="1:25" ht="38.25" customHeight="1" x14ac:dyDescent="0.25">
      <c r="A9" s="12">
        <v>1409935199</v>
      </c>
      <c r="B9" s="180" t="s">
        <v>75</v>
      </c>
      <c r="C9" s="178">
        <v>66365</v>
      </c>
      <c r="D9" s="177">
        <f t="shared" si="1"/>
        <v>64539.962500000001</v>
      </c>
      <c r="E9" s="178"/>
      <c r="F9" s="178">
        <f t="shared" si="2"/>
        <v>0</v>
      </c>
      <c r="G9" s="178"/>
      <c r="H9" s="178">
        <f t="shared" si="3"/>
        <v>0</v>
      </c>
      <c r="I9" s="178">
        <v>710</v>
      </c>
      <c r="J9" s="178">
        <f t="shared" si="4"/>
        <v>13135</v>
      </c>
      <c r="K9" s="178"/>
      <c r="L9" s="178">
        <f t="shared" si="5"/>
        <v>0</v>
      </c>
      <c r="M9" s="178"/>
      <c r="N9" s="177">
        <f t="shared" si="6"/>
        <v>0</v>
      </c>
      <c r="O9" s="178"/>
      <c r="P9" s="177">
        <f t="shared" si="7"/>
        <v>0</v>
      </c>
      <c r="Q9" s="177"/>
      <c r="R9" s="177">
        <f t="shared" si="8"/>
        <v>0</v>
      </c>
      <c r="S9" s="178"/>
      <c r="T9" s="178">
        <f t="shared" si="9"/>
        <v>0</v>
      </c>
      <c r="U9" s="178">
        <v>10</v>
      </c>
      <c r="V9" s="178">
        <f t="shared" si="10"/>
        <v>2320</v>
      </c>
      <c r="W9" s="178"/>
      <c r="X9" s="19">
        <f t="shared" si="11"/>
        <v>0</v>
      </c>
      <c r="Y9" s="89">
        <f t="shared" si="0"/>
        <v>79994.962499999994</v>
      </c>
    </row>
    <row r="10" spans="1:25" ht="35.25" customHeight="1" x14ac:dyDescent="0.25">
      <c r="A10" s="12">
        <v>1984225580</v>
      </c>
      <c r="C10" s="178"/>
      <c r="D10" s="177">
        <f t="shared" si="1"/>
        <v>0</v>
      </c>
      <c r="E10" s="178"/>
      <c r="F10" s="178">
        <f t="shared" si="2"/>
        <v>0</v>
      </c>
      <c r="G10" s="178"/>
      <c r="H10" s="178">
        <f t="shared" si="3"/>
        <v>0</v>
      </c>
      <c r="I10" s="178"/>
      <c r="J10" s="178">
        <f t="shared" si="4"/>
        <v>0</v>
      </c>
      <c r="K10" s="178"/>
      <c r="L10" s="178">
        <f t="shared" si="5"/>
        <v>0</v>
      </c>
      <c r="M10" s="178"/>
      <c r="N10" s="177">
        <f t="shared" si="6"/>
        <v>0</v>
      </c>
      <c r="O10" s="178"/>
      <c r="P10" s="177">
        <f t="shared" si="7"/>
        <v>0</v>
      </c>
      <c r="Q10" s="177"/>
      <c r="R10" s="177">
        <f t="shared" si="8"/>
        <v>0</v>
      </c>
      <c r="S10" s="178"/>
      <c r="T10" s="178">
        <f t="shared" si="9"/>
        <v>0</v>
      </c>
      <c r="U10" s="178"/>
      <c r="V10" s="178">
        <f t="shared" si="10"/>
        <v>0</v>
      </c>
      <c r="W10" s="178"/>
      <c r="X10" s="19">
        <f t="shared" si="11"/>
        <v>0</v>
      </c>
      <c r="Y10" s="89">
        <f t="shared" si="0"/>
        <v>0</v>
      </c>
    </row>
    <row r="11" spans="1:25" ht="37.5" customHeight="1" x14ac:dyDescent="0.25">
      <c r="A11" s="12"/>
      <c r="B11" s="179"/>
      <c r="C11" s="178"/>
      <c r="D11" s="22">
        <f t="shared" si="1"/>
        <v>0</v>
      </c>
      <c r="E11" s="178"/>
      <c r="F11" s="178">
        <f t="shared" si="2"/>
        <v>0</v>
      </c>
      <c r="G11" s="178"/>
      <c r="H11" s="178">
        <f t="shared" si="3"/>
        <v>0</v>
      </c>
      <c r="I11" s="178"/>
      <c r="J11" s="178">
        <f t="shared" si="4"/>
        <v>0</v>
      </c>
      <c r="K11" s="178"/>
      <c r="L11" s="178">
        <f t="shared" si="5"/>
        <v>0</v>
      </c>
      <c r="M11" s="178"/>
      <c r="N11" s="177">
        <f t="shared" si="6"/>
        <v>0</v>
      </c>
      <c r="O11" s="178"/>
      <c r="P11" s="177">
        <f t="shared" si="7"/>
        <v>0</v>
      </c>
      <c r="Q11" s="177"/>
      <c r="R11" s="177">
        <f t="shared" si="8"/>
        <v>0</v>
      </c>
      <c r="S11" s="178"/>
      <c r="T11" s="178">
        <f t="shared" si="9"/>
        <v>0</v>
      </c>
      <c r="U11" s="178"/>
      <c r="V11" s="178">
        <f t="shared" si="10"/>
        <v>0</v>
      </c>
      <c r="W11" s="178"/>
      <c r="X11" s="19">
        <f t="shared" si="11"/>
        <v>0</v>
      </c>
      <c r="Y11" s="20">
        <f t="shared" si="0"/>
        <v>0</v>
      </c>
    </row>
    <row r="12" spans="1:25" ht="29.25" customHeight="1" x14ac:dyDescent="0.25">
      <c r="A12" s="2235" t="s">
        <v>31</v>
      </c>
      <c r="B12" s="2235"/>
      <c r="C12" s="18">
        <f t="shared" ref="C12:Y12" si="12">SUM(C6:C11)</f>
        <v>218623</v>
      </c>
      <c r="D12" s="18">
        <f t="shared" si="12"/>
        <v>212610.86750000002</v>
      </c>
      <c r="E12" s="18">
        <f t="shared" si="12"/>
        <v>0</v>
      </c>
      <c r="F12" s="18">
        <f t="shared" si="12"/>
        <v>0</v>
      </c>
      <c r="G12" s="18">
        <f t="shared" si="12"/>
        <v>0</v>
      </c>
      <c r="H12" s="18">
        <f t="shared" si="12"/>
        <v>0</v>
      </c>
      <c r="I12" s="18">
        <f t="shared" si="12"/>
        <v>1500</v>
      </c>
      <c r="J12" s="18">
        <f t="shared" si="12"/>
        <v>27750</v>
      </c>
      <c r="K12" s="18">
        <f t="shared" si="12"/>
        <v>0</v>
      </c>
      <c r="L12" s="18">
        <f t="shared" si="12"/>
        <v>0</v>
      </c>
      <c r="M12" s="18">
        <f t="shared" si="12"/>
        <v>0</v>
      </c>
      <c r="N12" s="23">
        <f t="shared" si="12"/>
        <v>0</v>
      </c>
      <c r="O12" s="18">
        <f t="shared" si="12"/>
        <v>0</v>
      </c>
      <c r="P12" s="23">
        <f t="shared" si="12"/>
        <v>0</v>
      </c>
      <c r="Q12" s="23">
        <f t="shared" si="12"/>
        <v>0</v>
      </c>
      <c r="R12" s="23">
        <f>SUM(R6:R11)</f>
        <v>0</v>
      </c>
      <c r="S12" s="18">
        <f t="shared" si="12"/>
        <v>2</v>
      </c>
      <c r="T12" s="18">
        <f t="shared" si="12"/>
        <v>482</v>
      </c>
      <c r="U12" s="18">
        <f t="shared" si="12"/>
        <v>10</v>
      </c>
      <c r="V12" s="18">
        <f t="shared" si="12"/>
        <v>2320</v>
      </c>
      <c r="W12" s="18">
        <f t="shared" si="12"/>
        <v>0</v>
      </c>
      <c r="X12" s="18">
        <f t="shared" si="12"/>
        <v>0</v>
      </c>
      <c r="Y12" s="18">
        <f t="shared" si="12"/>
        <v>243162.86750000002</v>
      </c>
    </row>
    <row r="14" spans="1:25" ht="41.25" customHeight="1" x14ac:dyDescent="0.25">
      <c r="A14" s="30" t="s">
        <v>32</v>
      </c>
      <c r="B14" s="2236" t="s">
        <v>27</v>
      </c>
      <c r="C14" s="2236"/>
      <c r="D14" s="30" t="s">
        <v>33</v>
      </c>
      <c r="E14" s="30" t="s">
        <v>65</v>
      </c>
      <c r="F14" s="30" t="s">
        <v>34</v>
      </c>
      <c r="G14" s="30" t="s">
        <v>13</v>
      </c>
      <c r="H14" s="142" t="s">
        <v>173</v>
      </c>
      <c r="I14" s="30" t="s">
        <v>17</v>
      </c>
      <c r="J14" s="186" t="s">
        <v>174</v>
      </c>
      <c r="K14" s="30" t="s">
        <v>36</v>
      </c>
      <c r="L14" s="30" t="s">
        <v>175</v>
      </c>
      <c r="M14" s="30" t="s">
        <v>69</v>
      </c>
      <c r="N14" s="30" t="s">
        <v>70</v>
      </c>
      <c r="O14" s="186" t="s">
        <v>114</v>
      </c>
      <c r="P14" s="186" t="s">
        <v>99</v>
      </c>
      <c r="Q14" s="2272" t="s">
        <v>215</v>
      </c>
      <c r="R14" s="2272"/>
      <c r="S14" s="186" t="s">
        <v>171</v>
      </c>
      <c r="T14" s="2235" t="s">
        <v>46</v>
      </c>
      <c r="U14" s="180" t="s">
        <v>176</v>
      </c>
      <c r="V14" s="2260">
        <v>9396</v>
      </c>
      <c r="W14" s="2268"/>
      <c r="X14" s="2261"/>
    </row>
    <row r="15" spans="1:25" ht="22.5" customHeight="1" x14ac:dyDescent="0.25">
      <c r="A15" s="100" t="s">
        <v>38</v>
      </c>
      <c r="B15" s="2260">
        <v>266608</v>
      </c>
      <c r="C15" s="2261"/>
      <c r="D15" s="183">
        <v>0</v>
      </c>
      <c r="E15" s="183">
        <v>0</v>
      </c>
      <c r="F15" s="183">
        <v>7660</v>
      </c>
      <c r="G15" s="183">
        <v>0</v>
      </c>
      <c r="H15" s="183">
        <v>360</v>
      </c>
      <c r="I15" s="183">
        <v>77</v>
      </c>
      <c r="J15" s="183">
        <v>118</v>
      </c>
      <c r="K15" s="183">
        <v>50</v>
      </c>
      <c r="L15" s="183">
        <v>744</v>
      </c>
      <c r="M15" s="183">
        <v>0</v>
      </c>
      <c r="N15" s="183">
        <v>100</v>
      </c>
      <c r="O15" s="183">
        <v>0</v>
      </c>
      <c r="P15" s="183">
        <v>464</v>
      </c>
      <c r="Q15" s="2262">
        <v>178</v>
      </c>
      <c r="R15" s="2262"/>
      <c r="S15" s="180">
        <v>117</v>
      </c>
      <c r="T15" s="2235"/>
      <c r="U15" s="180" t="s">
        <v>64</v>
      </c>
      <c r="V15" s="2262">
        <v>73548</v>
      </c>
      <c r="W15" s="2262"/>
      <c r="X15" s="2262"/>
    </row>
    <row r="16" spans="1:25" ht="24.75" customHeight="1" x14ac:dyDescent="0.25">
      <c r="A16" s="100" t="s">
        <v>39</v>
      </c>
      <c r="B16" s="2260">
        <v>311688</v>
      </c>
      <c r="C16" s="2261"/>
      <c r="D16" s="183"/>
      <c r="E16" s="183"/>
      <c r="F16" s="183"/>
      <c r="G16" s="183"/>
      <c r="H16" s="183"/>
      <c r="I16" s="183"/>
      <c r="J16" s="183"/>
      <c r="K16" s="183"/>
      <c r="L16" s="183">
        <v>51</v>
      </c>
      <c r="M16" s="183"/>
      <c r="N16" s="183"/>
      <c r="O16" s="183"/>
      <c r="P16" s="183"/>
      <c r="Q16" s="2225"/>
      <c r="R16" s="2225"/>
      <c r="S16" s="183"/>
      <c r="T16" s="2254" t="s">
        <v>55</v>
      </c>
      <c r="U16" s="2254"/>
      <c r="V16" s="2267">
        <f>Y12</f>
        <v>243162.86750000002</v>
      </c>
      <c r="W16" s="2267"/>
      <c r="X16" s="2262"/>
    </row>
    <row r="17" spans="1:25" ht="28.5" customHeight="1" x14ac:dyDescent="0.25">
      <c r="A17" s="101" t="s">
        <v>44</v>
      </c>
      <c r="B17" s="2260"/>
      <c r="C17" s="2261"/>
      <c r="D17" s="183"/>
      <c r="E17" s="183"/>
      <c r="F17" s="183"/>
      <c r="G17" s="183"/>
      <c r="H17" s="183"/>
      <c r="I17" s="183"/>
      <c r="J17" s="183"/>
      <c r="K17" s="183"/>
      <c r="L17" s="183"/>
      <c r="M17" s="183"/>
      <c r="N17" s="183"/>
      <c r="O17" s="183"/>
      <c r="P17" s="183"/>
      <c r="Q17" s="2225"/>
      <c r="R17" s="2225"/>
      <c r="S17" s="179"/>
      <c r="T17" s="2273" t="s">
        <v>211</v>
      </c>
      <c r="U17" s="2274"/>
      <c r="V17" s="2262"/>
      <c r="W17" s="2262"/>
      <c r="X17" s="2262"/>
    </row>
    <row r="18" spans="1:25" ht="27" customHeight="1" x14ac:dyDescent="0.25">
      <c r="A18" s="100" t="s">
        <v>40</v>
      </c>
      <c r="B18" s="2264">
        <f>C12</f>
        <v>218623</v>
      </c>
      <c r="C18" s="2261"/>
      <c r="D18" s="185">
        <f>E12</f>
        <v>0</v>
      </c>
      <c r="E18" s="185">
        <f>G12</f>
        <v>0</v>
      </c>
      <c r="F18" s="185">
        <f>I12</f>
        <v>1500</v>
      </c>
      <c r="G18" s="185">
        <f>K12</f>
        <v>0</v>
      </c>
      <c r="H18" s="183">
        <v>53</v>
      </c>
      <c r="I18" s="185">
        <f>U12</f>
        <v>10</v>
      </c>
      <c r="J18" s="183"/>
      <c r="K18" s="185">
        <f>W12</f>
        <v>0</v>
      </c>
      <c r="L18" s="183"/>
      <c r="M18" s="185">
        <f>M12</f>
        <v>0</v>
      </c>
      <c r="N18" s="185">
        <f>O12</f>
        <v>0</v>
      </c>
      <c r="O18" s="184">
        <f>Q12</f>
        <v>0</v>
      </c>
      <c r="P18" s="183"/>
      <c r="Q18" s="2262"/>
      <c r="R18" s="2262"/>
      <c r="S18" s="180"/>
      <c r="T18" s="2254" t="s">
        <v>57</v>
      </c>
      <c r="U18" s="2254"/>
      <c r="V18" s="2262">
        <v>450</v>
      </c>
      <c r="W18" s="2262"/>
      <c r="X18" s="2262"/>
      <c r="Y18" s="2269" t="s">
        <v>217</v>
      </c>
    </row>
    <row r="19" spans="1:25" ht="25.5" customHeight="1" x14ac:dyDescent="0.25">
      <c r="A19" s="100" t="s">
        <v>41</v>
      </c>
      <c r="B19" s="2260">
        <f>B15+B16+B17-B18</f>
        <v>359673</v>
      </c>
      <c r="C19" s="2261"/>
      <c r="D19" s="183">
        <f>D15+D16+D17-D18</f>
        <v>0</v>
      </c>
      <c r="E19" s="183">
        <f t="shared" ref="E19:N19" si="13">E15+E16+E17-E18</f>
        <v>0</v>
      </c>
      <c r="F19" s="183">
        <f t="shared" si="13"/>
        <v>6160</v>
      </c>
      <c r="G19" s="183">
        <f t="shared" si="13"/>
        <v>0</v>
      </c>
      <c r="H19" s="183">
        <f t="shared" si="13"/>
        <v>307</v>
      </c>
      <c r="I19" s="183">
        <f t="shared" si="13"/>
        <v>67</v>
      </c>
      <c r="J19" s="183">
        <f t="shared" si="13"/>
        <v>118</v>
      </c>
      <c r="K19" s="183">
        <f t="shared" si="13"/>
        <v>50</v>
      </c>
      <c r="L19" s="183">
        <f t="shared" si="13"/>
        <v>795</v>
      </c>
      <c r="M19" s="183">
        <f t="shared" si="13"/>
        <v>0</v>
      </c>
      <c r="N19" s="183">
        <f t="shared" si="13"/>
        <v>100</v>
      </c>
      <c r="O19" s="183">
        <f>O15+O16+O17-O18</f>
        <v>0</v>
      </c>
      <c r="P19" s="183">
        <f>P15+P16+P17-P18</f>
        <v>464</v>
      </c>
      <c r="Q19" s="2260">
        <f t="shared" ref="Q19" si="14">Q15+Q16+Q17-Q18</f>
        <v>178</v>
      </c>
      <c r="R19" s="2261"/>
      <c r="S19" s="180">
        <f>S15+S16-S17-S18</f>
        <v>117</v>
      </c>
      <c r="T19" s="2256" t="s">
        <v>48</v>
      </c>
      <c r="U19" s="49" t="s">
        <v>58</v>
      </c>
      <c r="V19" s="2262">
        <v>300000</v>
      </c>
      <c r="W19" s="2262"/>
      <c r="X19" s="2262"/>
      <c r="Y19" s="2269"/>
    </row>
    <row r="20" spans="1:25" ht="23.25" customHeight="1" x14ac:dyDescent="0.25">
      <c r="A20" s="11" t="s">
        <v>187</v>
      </c>
      <c r="B20" s="2278">
        <f>B19*0.9625</f>
        <v>346185.26250000001</v>
      </c>
      <c r="C20" s="2279"/>
      <c r="D20" s="179">
        <f>D19*13.56</f>
        <v>0</v>
      </c>
      <c r="E20" s="179">
        <f>28.2*E19</f>
        <v>0</v>
      </c>
      <c r="F20" s="179">
        <f>18.31*F19</f>
        <v>112789.59999999999</v>
      </c>
      <c r="G20" s="179">
        <f>19.3*G19</f>
        <v>0</v>
      </c>
      <c r="H20" s="179">
        <f>241*H19</f>
        <v>73987</v>
      </c>
      <c r="I20" s="179">
        <f>223*I19</f>
        <v>14941</v>
      </c>
      <c r="J20" s="179">
        <f>241*J19</f>
        <v>28438</v>
      </c>
      <c r="K20" s="179">
        <f>K19*100</f>
        <v>5000</v>
      </c>
      <c r="L20" s="179">
        <f>241*L19</f>
        <v>191595</v>
      </c>
      <c r="M20" s="179">
        <f>9.65*M19</f>
        <v>0</v>
      </c>
      <c r="N20" s="179">
        <f>N19*48.2</f>
        <v>4820</v>
      </c>
      <c r="O20" s="179">
        <f>241*O19</f>
        <v>0</v>
      </c>
      <c r="P20" s="179">
        <f>241*P19</f>
        <v>111824</v>
      </c>
      <c r="Q20" s="2278">
        <f>241*Q19</f>
        <v>42898</v>
      </c>
      <c r="R20" s="2279"/>
      <c r="S20" s="179">
        <f>241*S19</f>
        <v>28197</v>
      </c>
      <c r="T20" s="2257"/>
      <c r="U20" s="49" t="s">
        <v>59</v>
      </c>
      <c r="V20" s="2262"/>
      <c r="W20" s="2262"/>
      <c r="X20" s="2262"/>
      <c r="Y20" s="2269"/>
    </row>
    <row r="21" spans="1:25" ht="32.25" customHeight="1" x14ac:dyDescent="0.25">
      <c r="A21" s="143" t="s">
        <v>186</v>
      </c>
      <c r="B21" s="2283">
        <f>SUM(B20:S20)</f>
        <v>960674.86250000005</v>
      </c>
      <c r="C21" s="2283"/>
      <c r="O21" s="187"/>
      <c r="P21" s="187"/>
      <c r="Q21" s="187"/>
      <c r="R21" s="187"/>
      <c r="T21" s="2273" t="s">
        <v>167</v>
      </c>
      <c r="U21" s="2274"/>
      <c r="V21" s="2260"/>
      <c r="W21" s="2268"/>
      <c r="X21" s="2261"/>
      <c r="Y21" s="2269"/>
    </row>
    <row r="22" spans="1:25" ht="35.25" customHeight="1" x14ac:dyDescent="0.25">
      <c r="A22" s="15"/>
      <c r="B22" s="2275" t="s">
        <v>49</v>
      </c>
      <c r="C22" s="2265">
        <v>792446</v>
      </c>
      <c r="D22" s="2265">
        <v>300000</v>
      </c>
      <c r="E22" s="2265">
        <v>300000</v>
      </c>
      <c r="F22" s="2265">
        <f>C22-D22+E22</f>
        <v>792446</v>
      </c>
      <c r="G22" s="187"/>
      <c r="Q22" s="187"/>
      <c r="R22" s="187"/>
      <c r="T22" s="2251" t="s">
        <v>83</v>
      </c>
      <c r="U22" s="50" t="s">
        <v>60</v>
      </c>
      <c r="V22" s="2262">
        <v>242760</v>
      </c>
      <c r="W22" s="2262"/>
      <c r="X22" s="2262"/>
      <c r="Y22" s="2269"/>
    </row>
    <row r="23" spans="1:25" ht="39.75" customHeight="1" x14ac:dyDescent="0.25">
      <c r="A23" s="187"/>
      <c r="B23" s="2276"/>
      <c r="C23" s="2266"/>
      <c r="D23" s="2266"/>
      <c r="E23" s="2266"/>
      <c r="F23" s="2266"/>
      <c r="G23" s="187"/>
      <c r="Q23" s="187"/>
      <c r="R23" s="187"/>
      <c r="T23" s="2252"/>
      <c r="U23" s="50" t="s">
        <v>61</v>
      </c>
      <c r="V23" s="2262">
        <v>300000</v>
      </c>
      <c r="W23" s="2262"/>
      <c r="X23" s="2262"/>
      <c r="Y23" s="2269"/>
    </row>
    <row r="24" spans="1:25" ht="48" customHeight="1" x14ac:dyDescent="0.25">
      <c r="A24" s="187"/>
      <c r="B24" s="2277"/>
      <c r="C24" s="180" t="s">
        <v>46</v>
      </c>
      <c r="D24" s="180" t="s">
        <v>50</v>
      </c>
      <c r="E24" s="180" t="s">
        <v>51</v>
      </c>
      <c r="F24" s="180" t="s">
        <v>52</v>
      </c>
      <c r="G24" s="187"/>
      <c r="Q24" s="187"/>
      <c r="R24" s="187"/>
      <c r="T24" s="2235" t="s">
        <v>47</v>
      </c>
      <c r="U24" s="51" t="s">
        <v>62</v>
      </c>
      <c r="V24" s="2263">
        <f>V14+V16+V17-V18-V19-V20-V22+V23-V21</f>
        <v>9348.8675000000512</v>
      </c>
      <c r="W24" s="2263"/>
      <c r="X24" s="2263"/>
      <c r="Y24" s="2269"/>
    </row>
    <row r="25" spans="1:25" ht="40.5" customHeight="1" x14ac:dyDescent="0.25">
      <c r="T25" s="2235"/>
      <c r="U25" s="51" t="s">
        <v>63</v>
      </c>
      <c r="V25" s="2262">
        <f>V15+V22-V23</f>
        <v>16308</v>
      </c>
      <c r="W25" s="2262"/>
      <c r="X25" s="2262"/>
    </row>
    <row r="26" spans="1:25" ht="36" customHeight="1" x14ac:dyDescent="0.25"/>
    <row r="32" spans="1:25" x14ac:dyDescent="0.25">
      <c r="I32" s="2280"/>
      <c r="J32" s="2280"/>
      <c r="K32" s="2280"/>
      <c r="L32" s="2280"/>
    </row>
    <row r="33" spans="9:12" x14ac:dyDescent="0.25">
      <c r="I33" s="187"/>
      <c r="J33" s="187"/>
      <c r="K33" s="2280"/>
      <c r="L33" s="2280"/>
    </row>
  </sheetData>
  <mergeCells count="62">
    <mergeCell ref="A1:Y1"/>
    <mergeCell ref="A2:Y2"/>
    <mergeCell ref="T3:Y3"/>
    <mergeCell ref="A4:A5"/>
    <mergeCell ref="B4:B5"/>
    <mergeCell ref="C4:D4"/>
    <mergeCell ref="E4:F4"/>
    <mergeCell ref="G4:H4"/>
    <mergeCell ref="I4:J4"/>
    <mergeCell ref="K4:L4"/>
    <mergeCell ref="Y4:Y5"/>
    <mergeCell ref="M4:N4"/>
    <mergeCell ref="O4:P4"/>
    <mergeCell ref="Q4:R4"/>
    <mergeCell ref="S4:T4"/>
    <mergeCell ref="U4:V4"/>
    <mergeCell ref="W4:X4"/>
    <mergeCell ref="B16:C16"/>
    <mergeCell ref="Q16:R16"/>
    <mergeCell ref="T16:U16"/>
    <mergeCell ref="V16:X16"/>
    <mergeCell ref="A12:B12"/>
    <mergeCell ref="B14:C14"/>
    <mergeCell ref="Q14:R14"/>
    <mergeCell ref="T14:T15"/>
    <mergeCell ref="V14:X14"/>
    <mergeCell ref="B15:C15"/>
    <mergeCell ref="Q15:R15"/>
    <mergeCell ref="V15:X15"/>
    <mergeCell ref="B17:C17"/>
    <mergeCell ref="Q17:R17"/>
    <mergeCell ref="T17:U17"/>
    <mergeCell ref="V17:X17"/>
    <mergeCell ref="B18:C18"/>
    <mergeCell ref="Q18:R18"/>
    <mergeCell ref="T18:U18"/>
    <mergeCell ref="V18:X18"/>
    <mergeCell ref="Y18:Y24"/>
    <mergeCell ref="B19:C19"/>
    <mergeCell ref="Q19:R19"/>
    <mergeCell ref="T19:T20"/>
    <mergeCell ref="V19:X19"/>
    <mergeCell ref="B20:C20"/>
    <mergeCell ref="B22:B24"/>
    <mergeCell ref="C22:C23"/>
    <mergeCell ref="D22:D23"/>
    <mergeCell ref="E22:E23"/>
    <mergeCell ref="F22:F23"/>
    <mergeCell ref="Q20:R20"/>
    <mergeCell ref="V20:X20"/>
    <mergeCell ref="B21:C21"/>
    <mergeCell ref="T21:U21"/>
    <mergeCell ref="V21:X21"/>
    <mergeCell ref="I32:J32"/>
    <mergeCell ref="K32:L32"/>
    <mergeCell ref="K33:L33"/>
    <mergeCell ref="T22:T23"/>
    <mergeCell ref="V22:X22"/>
    <mergeCell ref="V23:X23"/>
    <mergeCell ref="T24:T25"/>
    <mergeCell ref="V24:X24"/>
    <mergeCell ref="V25:X25"/>
  </mergeCells>
  <pageMargins left="0.15748031496063" right="0.15748031496063" top="0" bottom="0" header="0" footer="0"/>
  <pageSetup paperSize="9" scale="47" orientation="landscape" r:id="rId1"/>
  <legacyDrawing r:id="rId2"/>
</worksheet>
</file>

<file path=xl/worksheets/sheet6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372CAE-BF39-4CCF-BB90-99A3ED7746A4}">
  <sheetPr>
    <pageSetUpPr fitToPage="1"/>
  </sheetPr>
  <dimension ref="A1:Y33"/>
  <sheetViews>
    <sheetView topLeftCell="A7" zoomScale="69" zoomScaleNormal="69" zoomScaleSheetLayoutView="100" workbookViewId="0">
      <selection activeCell="M23" sqref="M23"/>
    </sheetView>
  </sheetViews>
  <sheetFormatPr defaultColWidth="9.140625" defaultRowHeight="15" x14ac:dyDescent="0.25"/>
  <cols>
    <col min="1" max="1" width="18.28515625" style="14" customWidth="1"/>
    <col min="2" max="2" width="10.7109375" style="14" customWidth="1"/>
    <col min="3" max="3" width="12.28515625" style="14" customWidth="1"/>
    <col min="4" max="4" width="11" style="14" customWidth="1"/>
    <col min="5" max="5" width="12" style="14" customWidth="1"/>
    <col min="6" max="6" width="12.5703125" style="14" bestFit="1" customWidth="1"/>
    <col min="7" max="7" width="9.28515625" style="14" bestFit="1" customWidth="1"/>
    <col min="8" max="8" width="10.140625" style="14" bestFit="1" customWidth="1"/>
    <col min="9" max="9" width="10.5703125" style="14" bestFit="1" customWidth="1"/>
    <col min="10" max="10" width="10.5703125" style="14" customWidth="1"/>
    <col min="11" max="11" width="10.28515625" style="14" bestFit="1" customWidth="1"/>
    <col min="12" max="12" width="9.42578125" style="14" bestFit="1" customWidth="1"/>
    <col min="13" max="13" width="9.85546875" style="14" bestFit="1" customWidth="1"/>
    <col min="14" max="14" width="10.140625" style="14" bestFit="1" customWidth="1"/>
    <col min="15" max="15" width="9" style="14" customWidth="1"/>
    <col min="16" max="16" width="12.85546875" style="14" bestFit="1" customWidth="1"/>
    <col min="17" max="18" width="9.42578125" style="14" customWidth="1"/>
    <col min="19" max="19" width="13.7109375" style="14" customWidth="1"/>
    <col min="20" max="20" width="12.140625" style="14" customWidth="1"/>
    <col min="21" max="21" width="19.5703125" style="14" bestFit="1" customWidth="1"/>
    <col min="22" max="22" width="9.85546875" style="14" customWidth="1"/>
    <col min="23" max="23" width="10.140625" style="14" bestFit="1" customWidth="1"/>
    <col min="24" max="24" width="10.28515625" style="14" customWidth="1"/>
    <col min="25" max="25" width="28" style="14" customWidth="1"/>
    <col min="26" max="16384" width="9.140625" style="14"/>
  </cols>
  <sheetData>
    <row r="1" spans="1:25" ht="46.15" customHeight="1" x14ac:dyDescent="0.25">
      <c r="A1" s="2240" t="s">
        <v>148</v>
      </c>
      <c r="B1" s="2240"/>
      <c r="C1" s="2240"/>
      <c r="D1" s="2240"/>
      <c r="E1" s="2240"/>
      <c r="F1" s="2240"/>
      <c r="G1" s="2240"/>
      <c r="H1" s="2240"/>
      <c r="I1" s="2240"/>
      <c r="J1" s="2240"/>
      <c r="K1" s="2240"/>
      <c r="L1" s="2240"/>
      <c r="M1" s="2240"/>
      <c r="N1" s="2240"/>
      <c r="O1" s="2240"/>
      <c r="P1" s="2240"/>
      <c r="Q1" s="2240"/>
      <c r="R1" s="2240"/>
      <c r="S1" s="2240"/>
      <c r="T1" s="2240"/>
      <c r="U1" s="2240"/>
      <c r="V1" s="2240"/>
      <c r="W1" s="2240"/>
      <c r="X1" s="2240"/>
      <c r="Y1" s="2240"/>
    </row>
    <row r="2" spans="1:25" ht="21.6" customHeight="1" x14ac:dyDescent="0.25">
      <c r="A2" s="2241" t="s">
        <v>77</v>
      </c>
      <c r="B2" s="2241"/>
      <c r="C2" s="2241"/>
      <c r="D2" s="2241"/>
      <c r="E2" s="2241"/>
      <c r="F2" s="2241"/>
      <c r="G2" s="2241"/>
      <c r="H2" s="2241"/>
      <c r="I2" s="2241"/>
      <c r="J2" s="2241"/>
      <c r="K2" s="2241"/>
      <c r="L2" s="2241"/>
      <c r="M2" s="2241"/>
      <c r="N2" s="2241"/>
      <c r="O2" s="2241"/>
      <c r="P2" s="2241"/>
      <c r="Q2" s="2241"/>
      <c r="R2" s="2241"/>
      <c r="S2" s="2241"/>
      <c r="T2" s="2241"/>
      <c r="U2" s="2241"/>
      <c r="V2" s="2241"/>
      <c r="W2" s="2241"/>
      <c r="X2" s="2241"/>
      <c r="Y2" s="2241"/>
    </row>
    <row r="3" spans="1:25" ht="21" customHeight="1" x14ac:dyDescent="0.25">
      <c r="A3" s="182"/>
      <c r="B3" s="182"/>
      <c r="C3" s="182"/>
      <c r="D3" s="182"/>
      <c r="E3" s="182"/>
      <c r="F3" s="182"/>
      <c r="G3" s="182"/>
      <c r="H3" s="182"/>
      <c r="I3" s="182"/>
      <c r="J3" s="182"/>
      <c r="K3" s="182"/>
      <c r="L3" s="182"/>
      <c r="M3" s="182"/>
      <c r="N3" s="182"/>
      <c r="O3" s="182"/>
      <c r="P3" s="182"/>
      <c r="Q3" s="182"/>
      <c r="R3" s="182"/>
      <c r="S3" s="182"/>
      <c r="T3" s="2242" t="s">
        <v>220</v>
      </c>
      <c r="U3" s="2242"/>
      <c r="V3" s="2242"/>
      <c r="W3" s="2242"/>
      <c r="X3" s="2242"/>
      <c r="Y3" s="2242"/>
    </row>
    <row r="4" spans="1:25" s="182" customFormat="1" ht="18" customHeight="1" x14ac:dyDescent="0.25">
      <c r="A4" s="2243" t="s">
        <v>25</v>
      </c>
      <c r="B4" s="2243" t="s">
        <v>26</v>
      </c>
      <c r="C4" s="2244" t="s">
        <v>27</v>
      </c>
      <c r="D4" s="2244"/>
      <c r="E4" s="2244" t="s">
        <v>28</v>
      </c>
      <c r="F4" s="2244"/>
      <c r="G4" s="2244" t="s">
        <v>65</v>
      </c>
      <c r="H4" s="2244"/>
      <c r="I4" s="2244" t="s">
        <v>29</v>
      </c>
      <c r="J4" s="2244"/>
      <c r="K4" s="2245" t="s">
        <v>13</v>
      </c>
      <c r="L4" s="2246"/>
      <c r="M4" s="2245" t="s">
        <v>67</v>
      </c>
      <c r="N4" s="2246"/>
      <c r="O4" s="2245" t="s">
        <v>68</v>
      </c>
      <c r="P4" s="2246"/>
      <c r="Q4" s="2245" t="s">
        <v>114</v>
      </c>
      <c r="R4" s="2246"/>
      <c r="S4" s="2244" t="s">
        <v>35</v>
      </c>
      <c r="T4" s="2244"/>
      <c r="U4" s="2245" t="s">
        <v>17</v>
      </c>
      <c r="V4" s="2246"/>
      <c r="W4" s="2247" t="s">
        <v>36</v>
      </c>
      <c r="X4" s="2248"/>
      <c r="Y4" s="2238" t="s">
        <v>30</v>
      </c>
    </row>
    <row r="5" spans="1:25" s="182" customFormat="1" ht="25.5" customHeight="1" x14ac:dyDescent="0.25">
      <c r="A5" s="2243"/>
      <c r="B5" s="2243"/>
      <c r="C5" s="181" t="s">
        <v>42</v>
      </c>
      <c r="D5" s="181" t="s">
        <v>43</v>
      </c>
      <c r="E5" s="181" t="s">
        <v>42</v>
      </c>
      <c r="F5" s="181" t="s">
        <v>43</v>
      </c>
      <c r="G5" s="181" t="s">
        <v>42</v>
      </c>
      <c r="H5" s="181" t="s">
        <v>43</v>
      </c>
      <c r="I5" s="181" t="s">
        <v>42</v>
      </c>
      <c r="J5" s="181" t="s">
        <v>43</v>
      </c>
      <c r="K5" s="181" t="s">
        <v>42</v>
      </c>
      <c r="L5" s="181" t="s">
        <v>43</v>
      </c>
      <c r="M5" s="181" t="s">
        <v>42</v>
      </c>
      <c r="N5" s="181" t="s">
        <v>43</v>
      </c>
      <c r="O5" s="181" t="s">
        <v>42</v>
      </c>
      <c r="P5" s="181" t="s">
        <v>43</v>
      </c>
      <c r="Q5" s="181" t="s">
        <v>42</v>
      </c>
      <c r="R5" s="181" t="s">
        <v>43</v>
      </c>
      <c r="S5" s="33" t="s">
        <v>42</v>
      </c>
      <c r="T5" s="33" t="s">
        <v>43</v>
      </c>
      <c r="U5" s="30" t="s">
        <v>42</v>
      </c>
      <c r="V5" s="30" t="s">
        <v>43</v>
      </c>
      <c r="W5" s="30" t="s">
        <v>42</v>
      </c>
      <c r="X5" s="30" t="s">
        <v>43</v>
      </c>
      <c r="Y5" s="2239"/>
    </row>
    <row r="6" spans="1:25" ht="34.5" customHeight="1" x14ac:dyDescent="0.25">
      <c r="A6" s="12">
        <v>1409935200</v>
      </c>
      <c r="B6" s="180" t="s">
        <v>71</v>
      </c>
      <c r="C6" s="178">
        <v>41585</v>
      </c>
      <c r="D6" s="177">
        <f>0.9725*C6</f>
        <v>40441.412499999999</v>
      </c>
      <c r="E6" s="178"/>
      <c r="F6" s="178">
        <f>13.7*E6</f>
        <v>0</v>
      </c>
      <c r="G6" s="178"/>
      <c r="H6" s="178">
        <f>28.2*G6</f>
        <v>0</v>
      </c>
      <c r="I6" s="178">
        <v>420</v>
      </c>
      <c r="J6" s="178">
        <f>18.5*I6</f>
        <v>7770</v>
      </c>
      <c r="K6" s="178"/>
      <c r="L6" s="178">
        <f>19.5*K6</f>
        <v>0</v>
      </c>
      <c r="M6" s="178"/>
      <c r="N6" s="177">
        <f>M6*9.75</f>
        <v>0</v>
      </c>
      <c r="O6" s="178"/>
      <c r="P6" s="177">
        <f>O6*48.62</f>
        <v>0</v>
      </c>
      <c r="Q6" s="177"/>
      <c r="R6" s="177">
        <f>241*Q6</f>
        <v>0</v>
      </c>
      <c r="S6" s="178"/>
      <c r="T6" s="178">
        <f>241*S6</f>
        <v>0</v>
      </c>
      <c r="U6" s="178"/>
      <c r="V6" s="178">
        <f>232*U6</f>
        <v>0</v>
      </c>
      <c r="W6" s="178"/>
      <c r="X6" s="19">
        <f>W6*100</f>
        <v>0</v>
      </c>
      <c r="Y6" s="89">
        <f t="shared" ref="Y6:Y11" si="0">D6+F6+H6+J6+L6+N6+P6+R6+T6+V6+X6</f>
        <v>48211.412499999999</v>
      </c>
    </row>
    <row r="7" spans="1:25" ht="31.5" customHeight="1" x14ac:dyDescent="0.25">
      <c r="A7" s="12">
        <v>1984225578</v>
      </c>
      <c r="B7" s="180" t="s">
        <v>72</v>
      </c>
      <c r="C7" s="178">
        <v>33500</v>
      </c>
      <c r="D7" s="177">
        <f t="shared" ref="D7:D11" si="1">0.9725*C7</f>
        <v>32578.75</v>
      </c>
      <c r="E7" s="178"/>
      <c r="F7" s="178">
        <f t="shared" ref="F7:F11" si="2">13.7*E7</f>
        <v>0</v>
      </c>
      <c r="G7" s="178"/>
      <c r="H7" s="178">
        <f t="shared" ref="H7:H11" si="3">28.2*G7</f>
        <v>0</v>
      </c>
      <c r="I7" s="178">
        <v>580</v>
      </c>
      <c r="J7" s="178">
        <f t="shared" ref="J7:J11" si="4">18.5*I7</f>
        <v>10730</v>
      </c>
      <c r="K7" s="178"/>
      <c r="L7" s="178">
        <f t="shared" ref="L7:L11" si="5">19.5*K7</f>
        <v>0</v>
      </c>
      <c r="M7" s="178"/>
      <c r="N7" s="177">
        <f t="shared" ref="N7:N11" si="6">M7*9.75</f>
        <v>0</v>
      </c>
      <c r="O7" s="178"/>
      <c r="P7" s="177">
        <f t="shared" ref="P7:P11" si="7">O7*48.62</f>
        <v>0</v>
      </c>
      <c r="Q7" s="177"/>
      <c r="R7" s="177">
        <f t="shared" ref="R7:R11" si="8">241*Q7</f>
        <v>0</v>
      </c>
      <c r="S7" s="178">
        <v>10</v>
      </c>
      <c r="T7" s="178">
        <f t="shared" ref="T7:T11" si="9">241*S7</f>
        <v>2410</v>
      </c>
      <c r="U7" s="178">
        <v>15</v>
      </c>
      <c r="V7" s="178">
        <f t="shared" ref="V7:V11" si="10">232*U7</f>
        <v>3480</v>
      </c>
      <c r="W7" s="178"/>
      <c r="X7" s="19">
        <f t="shared" ref="X7:X11" si="11">W7*100</f>
        <v>0</v>
      </c>
      <c r="Y7" s="89">
        <f t="shared" si="0"/>
        <v>49198.75</v>
      </c>
    </row>
    <row r="8" spans="1:25" ht="35.25" customHeight="1" x14ac:dyDescent="0.25">
      <c r="A8" s="12">
        <v>1967020280</v>
      </c>
      <c r="B8" s="180" t="s">
        <v>73</v>
      </c>
      <c r="C8" s="178">
        <v>21735</v>
      </c>
      <c r="D8" s="177">
        <f t="shared" si="1"/>
        <v>21137.287500000002</v>
      </c>
      <c r="E8" s="178"/>
      <c r="F8" s="178">
        <f t="shared" si="2"/>
        <v>0</v>
      </c>
      <c r="G8" s="178"/>
      <c r="H8" s="178">
        <f t="shared" si="3"/>
        <v>0</v>
      </c>
      <c r="I8" s="178">
        <v>850</v>
      </c>
      <c r="J8" s="178">
        <f t="shared" si="4"/>
        <v>15725</v>
      </c>
      <c r="K8" s="178"/>
      <c r="L8" s="178">
        <f t="shared" si="5"/>
        <v>0</v>
      </c>
      <c r="M8" s="178"/>
      <c r="N8" s="177">
        <f t="shared" si="6"/>
        <v>0</v>
      </c>
      <c r="O8" s="178"/>
      <c r="P8" s="177">
        <f t="shared" si="7"/>
        <v>0</v>
      </c>
      <c r="Q8" s="177"/>
      <c r="R8" s="177">
        <f t="shared" si="8"/>
        <v>0</v>
      </c>
      <c r="S8" s="178"/>
      <c r="T8" s="178">
        <f t="shared" si="9"/>
        <v>0</v>
      </c>
      <c r="U8" s="178"/>
      <c r="V8" s="178">
        <f t="shared" si="10"/>
        <v>0</v>
      </c>
      <c r="W8" s="178"/>
      <c r="X8" s="19">
        <f t="shared" si="11"/>
        <v>0</v>
      </c>
      <c r="Y8" s="89">
        <f t="shared" si="0"/>
        <v>36862.287500000006</v>
      </c>
    </row>
    <row r="9" spans="1:25" ht="38.25" customHeight="1" x14ac:dyDescent="0.25">
      <c r="A9" s="12">
        <v>1409935199</v>
      </c>
      <c r="B9" s="180" t="s">
        <v>75</v>
      </c>
      <c r="C9" s="178">
        <v>12781</v>
      </c>
      <c r="D9" s="177">
        <f t="shared" si="1"/>
        <v>12429.522500000001</v>
      </c>
      <c r="E9" s="178"/>
      <c r="F9" s="178">
        <f t="shared" si="2"/>
        <v>0</v>
      </c>
      <c r="G9" s="178"/>
      <c r="H9" s="178">
        <f t="shared" si="3"/>
        <v>0</v>
      </c>
      <c r="I9" s="178">
        <v>250</v>
      </c>
      <c r="J9" s="178">
        <f t="shared" si="4"/>
        <v>4625</v>
      </c>
      <c r="K9" s="178"/>
      <c r="L9" s="178">
        <f t="shared" si="5"/>
        <v>0</v>
      </c>
      <c r="M9" s="178"/>
      <c r="N9" s="177">
        <f t="shared" si="6"/>
        <v>0</v>
      </c>
      <c r="O9" s="178"/>
      <c r="P9" s="177">
        <f t="shared" si="7"/>
        <v>0</v>
      </c>
      <c r="Q9" s="177"/>
      <c r="R9" s="177">
        <f t="shared" si="8"/>
        <v>0</v>
      </c>
      <c r="S9" s="178"/>
      <c r="T9" s="178">
        <f t="shared" si="9"/>
        <v>0</v>
      </c>
      <c r="U9" s="178"/>
      <c r="V9" s="178">
        <f t="shared" si="10"/>
        <v>0</v>
      </c>
      <c r="W9" s="178"/>
      <c r="X9" s="19">
        <f t="shared" si="11"/>
        <v>0</v>
      </c>
      <c r="Y9" s="89">
        <f t="shared" si="0"/>
        <v>17054.522499999999</v>
      </c>
    </row>
    <row r="10" spans="1:25" ht="35.25" customHeight="1" x14ac:dyDescent="0.25">
      <c r="A10" s="12">
        <v>1984225580</v>
      </c>
      <c r="C10" s="178"/>
      <c r="D10" s="177">
        <f t="shared" si="1"/>
        <v>0</v>
      </c>
      <c r="E10" s="178"/>
      <c r="F10" s="178">
        <f t="shared" si="2"/>
        <v>0</v>
      </c>
      <c r="G10" s="178"/>
      <c r="H10" s="178">
        <f t="shared" si="3"/>
        <v>0</v>
      </c>
      <c r="I10" s="178"/>
      <c r="J10" s="178">
        <f t="shared" si="4"/>
        <v>0</v>
      </c>
      <c r="K10" s="178"/>
      <c r="L10" s="178">
        <f t="shared" si="5"/>
        <v>0</v>
      </c>
      <c r="M10" s="178"/>
      <c r="N10" s="177">
        <f t="shared" si="6"/>
        <v>0</v>
      </c>
      <c r="O10" s="178"/>
      <c r="P10" s="177">
        <f t="shared" si="7"/>
        <v>0</v>
      </c>
      <c r="Q10" s="177"/>
      <c r="R10" s="177">
        <f t="shared" si="8"/>
        <v>0</v>
      </c>
      <c r="S10" s="178"/>
      <c r="T10" s="178">
        <f t="shared" si="9"/>
        <v>0</v>
      </c>
      <c r="U10" s="178"/>
      <c r="V10" s="178">
        <f t="shared" si="10"/>
        <v>0</v>
      </c>
      <c r="W10" s="178"/>
      <c r="X10" s="19">
        <f t="shared" si="11"/>
        <v>0</v>
      </c>
      <c r="Y10" s="89">
        <f t="shared" si="0"/>
        <v>0</v>
      </c>
    </row>
    <row r="11" spans="1:25" ht="37.5" customHeight="1" x14ac:dyDescent="0.25">
      <c r="A11" s="12"/>
      <c r="B11" s="179"/>
      <c r="C11" s="178"/>
      <c r="D11" s="22">
        <f t="shared" si="1"/>
        <v>0</v>
      </c>
      <c r="E11" s="178"/>
      <c r="F11" s="178">
        <f t="shared" si="2"/>
        <v>0</v>
      </c>
      <c r="G11" s="178"/>
      <c r="H11" s="178">
        <f t="shared" si="3"/>
        <v>0</v>
      </c>
      <c r="I11" s="178"/>
      <c r="J11" s="178">
        <f t="shared" si="4"/>
        <v>0</v>
      </c>
      <c r="K11" s="178"/>
      <c r="L11" s="178">
        <f t="shared" si="5"/>
        <v>0</v>
      </c>
      <c r="M11" s="178"/>
      <c r="N11" s="177">
        <f t="shared" si="6"/>
        <v>0</v>
      </c>
      <c r="O11" s="178"/>
      <c r="P11" s="177">
        <f t="shared" si="7"/>
        <v>0</v>
      </c>
      <c r="Q11" s="177"/>
      <c r="R11" s="177">
        <f t="shared" si="8"/>
        <v>0</v>
      </c>
      <c r="S11" s="178"/>
      <c r="T11" s="178">
        <f t="shared" si="9"/>
        <v>0</v>
      </c>
      <c r="U11" s="178"/>
      <c r="V11" s="178">
        <f t="shared" si="10"/>
        <v>0</v>
      </c>
      <c r="W11" s="178"/>
      <c r="X11" s="19">
        <f t="shared" si="11"/>
        <v>0</v>
      </c>
      <c r="Y11" s="20">
        <f t="shared" si="0"/>
        <v>0</v>
      </c>
    </row>
    <row r="12" spans="1:25" ht="29.25" customHeight="1" x14ac:dyDescent="0.25">
      <c r="A12" s="2235" t="s">
        <v>31</v>
      </c>
      <c r="B12" s="2235"/>
      <c r="C12" s="18">
        <f t="shared" ref="C12:Y12" si="12">SUM(C6:C11)</f>
        <v>109601</v>
      </c>
      <c r="D12" s="18">
        <f t="shared" si="12"/>
        <v>106586.97250000002</v>
      </c>
      <c r="E12" s="18">
        <f t="shared" si="12"/>
        <v>0</v>
      </c>
      <c r="F12" s="18">
        <f t="shared" si="12"/>
        <v>0</v>
      </c>
      <c r="G12" s="18">
        <f t="shared" si="12"/>
        <v>0</v>
      </c>
      <c r="H12" s="18">
        <f t="shared" si="12"/>
        <v>0</v>
      </c>
      <c r="I12" s="18">
        <f t="shared" si="12"/>
        <v>2100</v>
      </c>
      <c r="J12" s="18">
        <f t="shared" si="12"/>
        <v>38850</v>
      </c>
      <c r="K12" s="18">
        <f t="shared" si="12"/>
        <v>0</v>
      </c>
      <c r="L12" s="18">
        <f t="shared" si="12"/>
        <v>0</v>
      </c>
      <c r="M12" s="18">
        <f t="shared" si="12"/>
        <v>0</v>
      </c>
      <c r="N12" s="23">
        <f t="shared" si="12"/>
        <v>0</v>
      </c>
      <c r="O12" s="18">
        <f t="shared" si="12"/>
        <v>0</v>
      </c>
      <c r="P12" s="23">
        <f t="shared" si="12"/>
        <v>0</v>
      </c>
      <c r="Q12" s="23">
        <f t="shared" si="12"/>
        <v>0</v>
      </c>
      <c r="R12" s="23">
        <f>SUM(R6:R11)</f>
        <v>0</v>
      </c>
      <c r="S12" s="18">
        <f t="shared" si="12"/>
        <v>10</v>
      </c>
      <c r="T12" s="18">
        <f t="shared" si="12"/>
        <v>2410</v>
      </c>
      <c r="U12" s="18">
        <f t="shared" si="12"/>
        <v>15</v>
      </c>
      <c r="V12" s="18">
        <f t="shared" si="12"/>
        <v>3480</v>
      </c>
      <c r="W12" s="18">
        <f t="shared" si="12"/>
        <v>0</v>
      </c>
      <c r="X12" s="18">
        <f t="shared" si="12"/>
        <v>0</v>
      </c>
      <c r="Y12" s="18">
        <f t="shared" si="12"/>
        <v>151326.9725</v>
      </c>
    </row>
    <row r="14" spans="1:25" ht="41.25" customHeight="1" x14ac:dyDescent="0.25">
      <c r="A14" s="30" t="s">
        <v>32</v>
      </c>
      <c r="B14" s="2236" t="s">
        <v>27</v>
      </c>
      <c r="C14" s="2236"/>
      <c r="D14" s="30" t="s">
        <v>33</v>
      </c>
      <c r="E14" s="30" t="s">
        <v>65</v>
      </c>
      <c r="F14" s="30" t="s">
        <v>34</v>
      </c>
      <c r="G14" s="30" t="s">
        <v>13</v>
      </c>
      <c r="H14" s="142" t="s">
        <v>173</v>
      </c>
      <c r="I14" s="30" t="s">
        <v>17</v>
      </c>
      <c r="J14" s="186" t="s">
        <v>174</v>
      </c>
      <c r="K14" s="30" t="s">
        <v>36</v>
      </c>
      <c r="L14" s="30" t="s">
        <v>175</v>
      </c>
      <c r="M14" s="30" t="s">
        <v>69</v>
      </c>
      <c r="N14" s="30" t="s">
        <v>70</v>
      </c>
      <c r="O14" s="186" t="s">
        <v>114</v>
      </c>
      <c r="P14" s="186" t="s">
        <v>99</v>
      </c>
      <c r="Q14" s="2272" t="s">
        <v>215</v>
      </c>
      <c r="R14" s="2272"/>
      <c r="S14" s="186" t="s">
        <v>171</v>
      </c>
      <c r="T14" s="2235" t="s">
        <v>46</v>
      </c>
      <c r="U14" s="180" t="s">
        <v>176</v>
      </c>
      <c r="V14" s="2260">
        <v>9349</v>
      </c>
      <c r="W14" s="2268"/>
      <c r="X14" s="2261"/>
    </row>
    <row r="15" spans="1:25" ht="22.5" customHeight="1" x14ac:dyDescent="0.25">
      <c r="A15" s="100" t="s">
        <v>38</v>
      </c>
      <c r="B15" s="2260">
        <v>359673</v>
      </c>
      <c r="C15" s="2261"/>
      <c r="D15" s="183">
        <v>0</v>
      </c>
      <c r="E15" s="183">
        <v>0</v>
      </c>
      <c r="F15" s="183">
        <v>6160</v>
      </c>
      <c r="G15" s="183">
        <v>0</v>
      </c>
      <c r="H15" s="183">
        <v>307</v>
      </c>
      <c r="I15" s="183">
        <v>67</v>
      </c>
      <c r="J15" s="183">
        <v>118</v>
      </c>
      <c r="K15" s="183">
        <v>50</v>
      </c>
      <c r="L15" s="183">
        <v>795</v>
      </c>
      <c r="M15" s="183">
        <v>0</v>
      </c>
      <c r="N15" s="183">
        <v>100</v>
      </c>
      <c r="O15" s="183">
        <v>0</v>
      </c>
      <c r="P15" s="183">
        <v>464</v>
      </c>
      <c r="Q15" s="2262">
        <v>178</v>
      </c>
      <c r="R15" s="2262"/>
      <c r="S15" s="180">
        <v>117</v>
      </c>
      <c r="T15" s="2235"/>
      <c r="U15" s="180" t="s">
        <v>64</v>
      </c>
      <c r="V15" s="2262">
        <v>16308</v>
      </c>
      <c r="W15" s="2262"/>
      <c r="X15" s="2262"/>
    </row>
    <row r="16" spans="1:25" ht="24.75" customHeight="1" x14ac:dyDescent="0.25">
      <c r="A16" s="100" t="s">
        <v>39</v>
      </c>
      <c r="B16" s="2260"/>
      <c r="C16" s="2261"/>
      <c r="D16" s="183"/>
      <c r="E16" s="183"/>
      <c r="F16" s="183"/>
      <c r="G16" s="183"/>
      <c r="H16" s="183"/>
      <c r="I16" s="183"/>
      <c r="J16" s="183">
        <v>50</v>
      </c>
      <c r="K16" s="183"/>
      <c r="L16" s="183"/>
      <c r="M16" s="183"/>
      <c r="N16" s="183"/>
      <c r="O16" s="183"/>
      <c r="P16" s="183"/>
      <c r="Q16" s="2225"/>
      <c r="R16" s="2225"/>
      <c r="S16" s="183"/>
      <c r="T16" s="2254" t="s">
        <v>55</v>
      </c>
      <c r="U16" s="2254"/>
      <c r="V16" s="2267">
        <f>Y12</f>
        <v>151326.9725</v>
      </c>
      <c r="W16" s="2267"/>
      <c r="X16" s="2262"/>
    </row>
    <row r="17" spans="1:25" ht="28.5" customHeight="1" x14ac:dyDescent="0.25">
      <c r="A17" s="101" t="s">
        <v>44</v>
      </c>
      <c r="B17" s="2260">
        <v>40854</v>
      </c>
      <c r="C17" s="2261"/>
      <c r="D17" s="183"/>
      <c r="E17" s="183"/>
      <c r="F17" s="183"/>
      <c r="G17" s="183"/>
      <c r="H17" s="183"/>
      <c r="I17" s="183"/>
      <c r="J17" s="183"/>
      <c r="K17" s="183"/>
      <c r="L17" s="183"/>
      <c r="M17" s="183"/>
      <c r="N17" s="183"/>
      <c r="O17" s="183"/>
      <c r="P17" s="183"/>
      <c r="Q17" s="2225"/>
      <c r="R17" s="2225"/>
      <c r="S17" s="179"/>
      <c r="T17" s="2273" t="s">
        <v>211</v>
      </c>
      <c r="U17" s="2274"/>
      <c r="V17" s="2262"/>
      <c r="W17" s="2262"/>
      <c r="X17" s="2262"/>
    </row>
    <row r="18" spans="1:25" ht="27" customHeight="1" x14ac:dyDescent="0.25">
      <c r="A18" s="100" t="s">
        <v>40</v>
      </c>
      <c r="B18" s="2264">
        <f>C12</f>
        <v>109601</v>
      </c>
      <c r="C18" s="2261"/>
      <c r="D18" s="185">
        <f>E12</f>
        <v>0</v>
      </c>
      <c r="E18" s="185">
        <f>G12</f>
        <v>0</v>
      </c>
      <c r="F18" s="185">
        <f>I12</f>
        <v>2100</v>
      </c>
      <c r="G18" s="185">
        <f>K12</f>
        <v>0</v>
      </c>
      <c r="H18" s="183">
        <v>60</v>
      </c>
      <c r="I18" s="185">
        <f>U12</f>
        <v>15</v>
      </c>
      <c r="J18" s="183"/>
      <c r="K18" s="185">
        <f>W12</f>
        <v>0</v>
      </c>
      <c r="L18" s="183"/>
      <c r="M18" s="185">
        <f>M12</f>
        <v>0</v>
      </c>
      <c r="N18" s="185">
        <f>O12</f>
        <v>0</v>
      </c>
      <c r="O18" s="184">
        <f>Q12</f>
        <v>0</v>
      </c>
      <c r="P18" s="183"/>
      <c r="Q18" s="2262"/>
      <c r="R18" s="2262"/>
      <c r="S18" s="180"/>
      <c r="T18" s="2254" t="s">
        <v>57</v>
      </c>
      <c r="U18" s="2254"/>
      <c r="V18" s="2262">
        <v>500</v>
      </c>
      <c r="W18" s="2262"/>
      <c r="X18" s="2262"/>
      <c r="Y18" s="2269" t="s">
        <v>217</v>
      </c>
    </row>
    <row r="19" spans="1:25" ht="25.5" customHeight="1" x14ac:dyDescent="0.25">
      <c r="A19" s="100" t="s">
        <v>41</v>
      </c>
      <c r="B19" s="2260">
        <f>B15+B16+B17-B18</f>
        <v>290926</v>
      </c>
      <c r="C19" s="2261"/>
      <c r="D19" s="183">
        <f>D15+D16+D17-D18</f>
        <v>0</v>
      </c>
      <c r="E19" s="183">
        <f t="shared" ref="E19:N19" si="13">E15+E16+E17-E18</f>
        <v>0</v>
      </c>
      <c r="F19" s="183">
        <f t="shared" si="13"/>
        <v>4060</v>
      </c>
      <c r="G19" s="183">
        <f t="shared" si="13"/>
        <v>0</v>
      </c>
      <c r="H19" s="183">
        <f t="shared" si="13"/>
        <v>247</v>
      </c>
      <c r="I19" s="183">
        <f t="shared" si="13"/>
        <v>52</v>
      </c>
      <c r="J19" s="183">
        <f t="shared" si="13"/>
        <v>168</v>
      </c>
      <c r="K19" s="183">
        <f t="shared" si="13"/>
        <v>50</v>
      </c>
      <c r="L19" s="183">
        <f t="shared" si="13"/>
        <v>795</v>
      </c>
      <c r="M19" s="183">
        <f t="shared" si="13"/>
        <v>0</v>
      </c>
      <c r="N19" s="183">
        <f t="shared" si="13"/>
        <v>100</v>
      </c>
      <c r="O19" s="183">
        <f>O15+O16+O17-O18</f>
        <v>0</v>
      </c>
      <c r="P19" s="183">
        <f>P15+P16+P17-P18</f>
        <v>464</v>
      </c>
      <c r="Q19" s="2260">
        <f t="shared" ref="Q19" si="14">Q15+Q16+Q17-Q18</f>
        <v>178</v>
      </c>
      <c r="R19" s="2261"/>
      <c r="S19" s="180">
        <f>S15+S16-S17-S18</f>
        <v>117</v>
      </c>
      <c r="T19" s="2256" t="s">
        <v>48</v>
      </c>
      <c r="U19" s="49" t="s">
        <v>58</v>
      </c>
      <c r="V19" s="2262"/>
      <c r="W19" s="2262"/>
      <c r="X19" s="2262"/>
      <c r="Y19" s="2269"/>
    </row>
    <row r="20" spans="1:25" ht="23.25" customHeight="1" x14ac:dyDescent="0.25">
      <c r="A20" s="11" t="s">
        <v>187</v>
      </c>
      <c r="B20" s="2278">
        <f>B19*0.9625</f>
        <v>280016.27500000002</v>
      </c>
      <c r="C20" s="2279"/>
      <c r="D20" s="179">
        <f>D19*13.56</f>
        <v>0</v>
      </c>
      <c r="E20" s="179">
        <f>28.2*E19</f>
        <v>0</v>
      </c>
      <c r="F20" s="179">
        <f>18.31*F19</f>
        <v>74338.599999999991</v>
      </c>
      <c r="G20" s="179">
        <f>19.3*G19</f>
        <v>0</v>
      </c>
      <c r="H20" s="179">
        <f>241*H19</f>
        <v>59527</v>
      </c>
      <c r="I20" s="179">
        <f>223*I19</f>
        <v>11596</v>
      </c>
      <c r="J20" s="179">
        <f>241*J19</f>
        <v>40488</v>
      </c>
      <c r="K20" s="179">
        <f>K19*100</f>
        <v>5000</v>
      </c>
      <c r="L20" s="179">
        <f>241*L19</f>
        <v>191595</v>
      </c>
      <c r="M20" s="179">
        <f>9.65*M19</f>
        <v>0</v>
      </c>
      <c r="N20" s="179">
        <f>N19*48.2</f>
        <v>4820</v>
      </c>
      <c r="O20" s="179">
        <f>241*O19</f>
        <v>0</v>
      </c>
      <c r="P20" s="179">
        <f>241*P19</f>
        <v>111824</v>
      </c>
      <c r="Q20" s="2278">
        <f>241*Q19</f>
        <v>42898</v>
      </c>
      <c r="R20" s="2279"/>
      <c r="S20" s="179">
        <f>241*S19</f>
        <v>28197</v>
      </c>
      <c r="T20" s="2257"/>
      <c r="U20" s="49" t="s">
        <v>59</v>
      </c>
      <c r="V20" s="2262"/>
      <c r="W20" s="2262"/>
      <c r="X20" s="2262"/>
      <c r="Y20" s="2269"/>
    </row>
    <row r="21" spans="1:25" ht="32.25" customHeight="1" x14ac:dyDescent="0.25">
      <c r="A21" s="143" t="s">
        <v>186</v>
      </c>
      <c r="B21" s="2283">
        <f>SUM(B20:S20)</f>
        <v>850299.875</v>
      </c>
      <c r="C21" s="2283"/>
      <c r="O21" s="187"/>
      <c r="P21" s="187"/>
      <c r="Q21" s="187"/>
      <c r="R21" s="187"/>
      <c r="T21" s="2273" t="s">
        <v>167</v>
      </c>
      <c r="U21" s="2274"/>
      <c r="V21" s="2260"/>
      <c r="W21" s="2268"/>
      <c r="X21" s="2261"/>
      <c r="Y21" s="2269"/>
    </row>
    <row r="22" spans="1:25" ht="35.25" customHeight="1" x14ac:dyDescent="0.25">
      <c r="A22" s="15"/>
      <c r="B22" s="2275" t="s">
        <v>49</v>
      </c>
      <c r="C22" s="2265">
        <v>792446</v>
      </c>
      <c r="D22" s="2265"/>
      <c r="E22" s="2265"/>
      <c r="F22" s="2265">
        <f>C22-D22+E22</f>
        <v>792446</v>
      </c>
      <c r="G22" s="187"/>
      <c r="Q22" s="187"/>
      <c r="R22" s="187"/>
      <c r="T22" s="2251" t="s">
        <v>83</v>
      </c>
      <c r="U22" s="50" t="s">
        <v>60</v>
      </c>
      <c r="V22" s="2262"/>
      <c r="W22" s="2262"/>
      <c r="X22" s="2262"/>
      <c r="Y22" s="2269"/>
    </row>
    <row r="23" spans="1:25" ht="39.75" customHeight="1" x14ac:dyDescent="0.25">
      <c r="A23" s="187"/>
      <c r="B23" s="2276"/>
      <c r="C23" s="2266"/>
      <c r="D23" s="2266"/>
      <c r="E23" s="2266"/>
      <c r="F23" s="2266"/>
      <c r="G23" s="187"/>
      <c r="Q23" s="187"/>
      <c r="R23" s="187"/>
      <c r="T23" s="2252"/>
      <c r="U23" s="50" t="s">
        <v>61</v>
      </c>
      <c r="V23" s="2262"/>
      <c r="W23" s="2262"/>
      <c r="X23" s="2262"/>
      <c r="Y23" s="2269"/>
    </row>
    <row r="24" spans="1:25" ht="48" customHeight="1" x14ac:dyDescent="0.25">
      <c r="A24" s="187"/>
      <c r="B24" s="2277"/>
      <c r="C24" s="180" t="s">
        <v>46</v>
      </c>
      <c r="D24" s="180" t="s">
        <v>50</v>
      </c>
      <c r="E24" s="180" t="s">
        <v>51</v>
      </c>
      <c r="F24" s="180" t="s">
        <v>52</v>
      </c>
      <c r="G24" s="187"/>
      <c r="Q24" s="187"/>
      <c r="R24" s="187"/>
      <c r="T24" s="2235" t="s">
        <v>47</v>
      </c>
      <c r="U24" s="51" t="s">
        <v>62</v>
      </c>
      <c r="V24" s="2263">
        <f>V14+V16+V17-V18-V19-V20-V22+V23-V21</f>
        <v>160175.9725</v>
      </c>
      <c r="W24" s="2263"/>
      <c r="X24" s="2263"/>
      <c r="Y24" s="2269"/>
    </row>
    <row r="25" spans="1:25" ht="40.5" customHeight="1" x14ac:dyDescent="0.25">
      <c r="T25" s="2235"/>
      <c r="U25" s="51" t="s">
        <v>63</v>
      </c>
      <c r="V25" s="2262">
        <f>V15+V22-V23</f>
        <v>16308</v>
      </c>
      <c r="W25" s="2262"/>
      <c r="X25" s="2262"/>
    </row>
    <row r="26" spans="1:25" ht="36" customHeight="1" x14ac:dyDescent="0.25"/>
    <row r="32" spans="1:25" x14ac:dyDescent="0.25">
      <c r="I32" s="2280"/>
      <c r="J32" s="2280"/>
      <c r="K32" s="2280"/>
      <c r="L32" s="2280"/>
    </row>
    <row r="33" spans="9:12" x14ac:dyDescent="0.25">
      <c r="I33" s="187"/>
      <c r="J33" s="187"/>
      <c r="K33" s="2280"/>
      <c r="L33" s="2280"/>
    </row>
  </sheetData>
  <mergeCells count="62">
    <mergeCell ref="A1:Y1"/>
    <mergeCell ref="A2:Y2"/>
    <mergeCell ref="T3:Y3"/>
    <mergeCell ref="A4:A5"/>
    <mergeCell ref="B4:B5"/>
    <mergeCell ref="C4:D4"/>
    <mergeCell ref="E4:F4"/>
    <mergeCell ref="G4:H4"/>
    <mergeCell ref="I4:J4"/>
    <mergeCell ref="K4:L4"/>
    <mergeCell ref="Y4:Y5"/>
    <mergeCell ref="M4:N4"/>
    <mergeCell ref="O4:P4"/>
    <mergeCell ref="Q4:R4"/>
    <mergeCell ref="S4:T4"/>
    <mergeCell ref="U4:V4"/>
    <mergeCell ref="W4:X4"/>
    <mergeCell ref="B16:C16"/>
    <mergeCell ref="Q16:R16"/>
    <mergeCell ref="T16:U16"/>
    <mergeCell ref="V16:X16"/>
    <mergeCell ref="A12:B12"/>
    <mergeCell ref="B14:C14"/>
    <mergeCell ref="Q14:R14"/>
    <mergeCell ref="T14:T15"/>
    <mergeCell ref="V14:X14"/>
    <mergeCell ref="B15:C15"/>
    <mergeCell ref="Q15:R15"/>
    <mergeCell ref="V15:X15"/>
    <mergeCell ref="B17:C17"/>
    <mergeCell ref="Q17:R17"/>
    <mergeCell ref="T17:U17"/>
    <mergeCell ref="V17:X17"/>
    <mergeCell ref="B18:C18"/>
    <mergeCell ref="Q18:R18"/>
    <mergeCell ref="T18:U18"/>
    <mergeCell ref="V18:X18"/>
    <mergeCell ref="Y18:Y24"/>
    <mergeCell ref="B19:C19"/>
    <mergeCell ref="Q19:R19"/>
    <mergeCell ref="T19:T20"/>
    <mergeCell ref="V19:X19"/>
    <mergeCell ref="B20:C20"/>
    <mergeCell ref="B22:B24"/>
    <mergeCell ref="C22:C23"/>
    <mergeCell ref="D22:D23"/>
    <mergeCell ref="E22:E23"/>
    <mergeCell ref="F22:F23"/>
    <mergeCell ref="Q20:R20"/>
    <mergeCell ref="V20:X20"/>
    <mergeCell ref="B21:C21"/>
    <mergeCell ref="T21:U21"/>
    <mergeCell ref="V21:X21"/>
    <mergeCell ref="I32:J32"/>
    <mergeCell ref="K32:L32"/>
    <mergeCell ref="K33:L33"/>
    <mergeCell ref="T22:T23"/>
    <mergeCell ref="V22:X22"/>
    <mergeCell ref="V23:X23"/>
    <mergeCell ref="T24:T25"/>
    <mergeCell ref="V24:X24"/>
    <mergeCell ref="V25:X25"/>
  </mergeCells>
  <pageMargins left="0.15748031496063" right="0.15748031496063" top="0" bottom="0" header="0" footer="0"/>
  <pageSetup paperSize="9" scale="47" orientation="landscape" r:id="rId1"/>
  <legacyDrawing r:id="rId2"/>
</worksheet>
</file>

<file path=xl/worksheets/sheet6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474CE86-4F6D-481E-8F73-35FA7EAFA914}">
  <sheetPr>
    <pageSetUpPr fitToPage="1"/>
  </sheetPr>
  <dimension ref="A1:Y33"/>
  <sheetViews>
    <sheetView topLeftCell="A8" zoomScale="69" zoomScaleNormal="69" zoomScaleSheetLayoutView="100" workbookViewId="0">
      <selection activeCell="V18" sqref="V18:X18"/>
    </sheetView>
  </sheetViews>
  <sheetFormatPr defaultColWidth="9.140625" defaultRowHeight="15" x14ac:dyDescent="0.25"/>
  <cols>
    <col min="1" max="1" width="18.28515625" style="14" customWidth="1"/>
    <col min="2" max="2" width="10.7109375" style="14" customWidth="1"/>
    <col min="3" max="3" width="12.28515625" style="14" customWidth="1"/>
    <col min="4" max="4" width="11" style="14" customWidth="1"/>
    <col min="5" max="5" width="12" style="14" customWidth="1"/>
    <col min="6" max="6" width="12.5703125" style="14" bestFit="1" customWidth="1"/>
    <col min="7" max="7" width="9.28515625" style="14" bestFit="1" customWidth="1"/>
    <col min="8" max="8" width="10.140625" style="14" bestFit="1" customWidth="1"/>
    <col min="9" max="9" width="10.5703125" style="14" bestFit="1" customWidth="1"/>
    <col min="10" max="10" width="10.5703125" style="14" customWidth="1"/>
    <col min="11" max="11" width="10.28515625" style="14" bestFit="1" customWidth="1"/>
    <col min="12" max="12" width="9.42578125" style="14" bestFit="1" customWidth="1"/>
    <col min="13" max="13" width="9.85546875" style="14" bestFit="1" customWidth="1"/>
    <col min="14" max="14" width="10.140625" style="14" bestFit="1" customWidth="1"/>
    <col min="15" max="15" width="9" style="14" customWidth="1"/>
    <col min="16" max="16" width="12.85546875" style="14" bestFit="1" customWidth="1"/>
    <col min="17" max="18" width="9.42578125" style="14" customWidth="1"/>
    <col min="19" max="19" width="13.7109375" style="14" customWidth="1"/>
    <col min="20" max="20" width="12.140625" style="14" customWidth="1"/>
    <col min="21" max="21" width="19.5703125" style="14" bestFit="1" customWidth="1"/>
    <col min="22" max="22" width="9.85546875" style="14" customWidth="1"/>
    <col min="23" max="23" width="10.140625" style="14" bestFit="1" customWidth="1"/>
    <col min="24" max="24" width="10.28515625" style="14" customWidth="1"/>
    <col min="25" max="25" width="28" style="14" customWidth="1"/>
    <col min="26" max="16384" width="9.140625" style="14"/>
  </cols>
  <sheetData>
    <row r="1" spans="1:25" ht="46.15" customHeight="1" x14ac:dyDescent="0.25">
      <c r="A1" s="2240" t="s">
        <v>148</v>
      </c>
      <c r="B1" s="2240"/>
      <c r="C1" s="2240"/>
      <c r="D1" s="2240"/>
      <c r="E1" s="2240"/>
      <c r="F1" s="2240"/>
      <c r="G1" s="2240"/>
      <c r="H1" s="2240"/>
      <c r="I1" s="2240"/>
      <c r="J1" s="2240"/>
      <c r="K1" s="2240"/>
      <c r="L1" s="2240"/>
      <c r="M1" s="2240"/>
      <c r="N1" s="2240"/>
      <c r="O1" s="2240"/>
      <c r="P1" s="2240"/>
      <c r="Q1" s="2240"/>
      <c r="R1" s="2240"/>
      <c r="S1" s="2240"/>
      <c r="T1" s="2240"/>
      <c r="U1" s="2240"/>
      <c r="V1" s="2240"/>
      <c r="W1" s="2240"/>
      <c r="X1" s="2240"/>
      <c r="Y1" s="2240"/>
    </row>
    <row r="2" spans="1:25" ht="21.6" customHeight="1" x14ac:dyDescent="0.25">
      <c r="A2" s="2241" t="s">
        <v>77</v>
      </c>
      <c r="B2" s="2241"/>
      <c r="C2" s="2241"/>
      <c r="D2" s="2241"/>
      <c r="E2" s="2241"/>
      <c r="F2" s="2241"/>
      <c r="G2" s="2241"/>
      <c r="H2" s="2241"/>
      <c r="I2" s="2241"/>
      <c r="J2" s="2241"/>
      <c r="K2" s="2241"/>
      <c r="L2" s="2241"/>
      <c r="M2" s="2241"/>
      <c r="N2" s="2241"/>
      <c r="O2" s="2241"/>
      <c r="P2" s="2241"/>
      <c r="Q2" s="2241"/>
      <c r="R2" s="2241"/>
      <c r="S2" s="2241"/>
      <c r="T2" s="2241"/>
      <c r="U2" s="2241"/>
      <c r="V2" s="2241"/>
      <c r="W2" s="2241"/>
      <c r="X2" s="2241"/>
      <c r="Y2" s="2241"/>
    </row>
    <row r="3" spans="1:25" ht="21" customHeight="1" x14ac:dyDescent="0.25">
      <c r="A3" s="188"/>
      <c r="B3" s="188"/>
      <c r="C3" s="188"/>
      <c r="D3" s="188"/>
      <c r="E3" s="188"/>
      <c r="F3" s="188"/>
      <c r="G3" s="188"/>
      <c r="H3" s="188"/>
      <c r="I3" s="188"/>
      <c r="J3" s="188"/>
      <c r="K3" s="188"/>
      <c r="L3" s="188"/>
      <c r="M3" s="188"/>
      <c r="N3" s="188"/>
      <c r="O3" s="188"/>
      <c r="P3" s="188"/>
      <c r="Q3" s="188"/>
      <c r="R3" s="188"/>
      <c r="S3" s="188"/>
      <c r="T3" s="2242" t="s">
        <v>221</v>
      </c>
      <c r="U3" s="2242"/>
      <c r="V3" s="2242"/>
      <c r="W3" s="2242"/>
      <c r="X3" s="2242"/>
      <c r="Y3" s="2242"/>
    </row>
    <row r="4" spans="1:25" s="188" customFormat="1" ht="18" customHeight="1" x14ac:dyDescent="0.25">
      <c r="A4" s="2243" t="s">
        <v>25</v>
      </c>
      <c r="B4" s="2243" t="s">
        <v>26</v>
      </c>
      <c r="C4" s="2244" t="s">
        <v>27</v>
      </c>
      <c r="D4" s="2244"/>
      <c r="E4" s="2244" t="s">
        <v>28</v>
      </c>
      <c r="F4" s="2244"/>
      <c r="G4" s="2244" t="s">
        <v>65</v>
      </c>
      <c r="H4" s="2244"/>
      <c r="I4" s="2244" t="s">
        <v>29</v>
      </c>
      <c r="J4" s="2244"/>
      <c r="K4" s="2245" t="s">
        <v>13</v>
      </c>
      <c r="L4" s="2246"/>
      <c r="M4" s="2245" t="s">
        <v>67</v>
      </c>
      <c r="N4" s="2246"/>
      <c r="O4" s="2245" t="s">
        <v>68</v>
      </c>
      <c r="P4" s="2246"/>
      <c r="Q4" s="2245" t="s">
        <v>114</v>
      </c>
      <c r="R4" s="2246"/>
      <c r="S4" s="2244" t="s">
        <v>35</v>
      </c>
      <c r="T4" s="2244"/>
      <c r="U4" s="2245" t="s">
        <v>17</v>
      </c>
      <c r="V4" s="2246"/>
      <c r="W4" s="2247" t="s">
        <v>36</v>
      </c>
      <c r="X4" s="2248"/>
      <c r="Y4" s="2238" t="s">
        <v>30</v>
      </c>
    </row>
    <row r="5" spans="1:25" s="188" customFormat="1" ht="25.5" customHeight="1" x14ac:dyDescent="0.25">
      <c r="A5" s="2243"/>
      <c r="B5" s="2243"/>
      <c r="C5" s="190" t="s">
        <v>42</v>
      </c>
      <c r="D5" s="190" t="s">
        <v>43</v>
      </c>
      <c r="E5" s="190" t="s">
        <v>42</v>
      </c>
      <c r="F5" s="190" t="s">
        <v>43</v>
      </c>
      <c r="G5" s="190" t="s">
        <v>42</v>
      </c>
      <c r="H5" s="190" t="s">
        <v>43</v>
      </c>
      <c r="I5" s="190" t="s">
        <v>42</v>
      </c>
      <c r="J5" s="190" t="s">
        <v>43</v>
      </c>
      <c r="K5" s="190" t="s">
        <v>42</v>
      </c>
      <c r="L5" s="190" t="s">
        <v>43</v>
      </c>
      <c r="M5" s="190" t="s">
        <v>42</v>
      </c>
      <c r="N5" s="190" t="s">
        <v>43</v>
      </c>
      <c r="O5" s="190" t="s">
        <v>42</v>
      </c>
      <c r="P5" s="190" t="s">
        <v>43</v>
      </c>
      <c r="Q5" s="190" t="s">
        <v>42</v>
      </c>
      <c r="R5" s="190" t="s">
        <v>43</v>
      </c>
      <c r="S5" s="33" t="s">
        <v>42</v>
      </c>
      <c r="T5" s="33" t="s">
        <v>43</v>
      </c>
      <c r="U5" s="30" t="s">
        <v>42</v>
      </c>
      <c r="V5" s="30" t="s">
        <v>43</v>
      </c>
      <c r="W5" s="30" t="s">
        <v>42</v>
      </c>
      <c r="X5" s="30" t="s">
        <v>43</v>
      </c>
      <c r="Y5" s="2239"/>
    </row>
    <row r="6" spans="1:25" ht="34.5" customHeight="1" x14ac:dyDescent="0.25">
      <c r="A6" s="12">
        <v>1409935200</v>
      </c>
      <c r="B6" s="189" t="s">
        <v>71</v>
      </c>
      <c r="C6" s="192">
        <v>33203</v>
      </c>
      <c r="D6" s="193">
        <f>0.9725*C6</f>
        <v>32289.9175</v>
      </c>
      <c r="E6" s="192"/>
      <c r="F6" s="192">
        <f>13.7*E6</f>
        <v>0</v>
      </c>
      <c r="G6" s="192"/>
      <c r="H6" s="192">
        <f>28.2*G6</f>
        <v>0</v>
      </c>
      <c r="I6" s="192">
        <v>110</v>
      </c>
      <c r="J6" s="192">
        <f>18.5*I6</f>
        <v>2035</v>
      </c>
      <c r="K6" s="192"/>
      <c r="L6" s="192">
        <f>19.5*K6</f>
        <v>0</v>
      </c>
      <c r="M6" s="192"/>
      <c r="N6" s="193">
        <f>M6*9.75</f>
        <v>0</v>
      </c>
      <c r="O6" s="192"/>
      <c r="P6" s="193">
        <f>O6*48.62</f>
        <v>0</v>
      </c>
      <c r="Q6" s="193"/>
      <c r="R6" s="193">
        <f>241*Q6</f>
        <v>0</v>
      </c>
      <c r="S6" s="192"/>
      <c r="T6" s="192">
        <f>241*S6</f>
        <v>0</v>
      </c>
      <c r="U6" s="192"/>
      <c r="V6" s="192">
        <f>232*U6</f>
        <v>0</v>
      </c>
      <c r="W6" s="192"/>
      <c r="X6" s="19">
        <f>W6*100</f>
        <v>0</v>
      </c>
      <c r="Y6" s="89">
        <f t="shared" ref="Y6:Y11" si="0">D6+F6+H6+J6+L6+N6+P6+R6+T6+V6+X6</f>
        <v>34324.917499999996</v>
      </c>
    </row>
    <row r="7" spans="1:25" ht="31.5" customHeight="1" x14ac:dyDescent="0.25">
      <c r="A7" s="12">
        <v>1984225578</v>
      </c>
      <c r="B7" s="189" t="s">
        <v>72</v>
      </c>
      <c r="C7" s="192">
        <v>31241</v>
      </c>
      <c r="D7" s="193">
        <f t="shared" ref="D7:D11" si="1">0.9725*C7</f>
        <v>30381.872500000001</v>
      </c>
      <c r="E7" s="192"/>
      <c r="F7" s="192">
        <f t="shared" ref="F7:F11" si="2">13.7*E7</f>
        <v>0</v>
      </c>
      <c r="G7" s="192"/>
      <c r="H7" s="192">
        <f t="shared" ref="H7:H11" si="3">28.2*G7</f>
        <v>0</v>
      </c>
      <c r="I7" s="192"/>
      <c r="J7" s="192">
        <f t="shared" ref="J7:J11" si="4">18.5*I7</f>
        <v>0</v>
      </c>
      <c r="K7" s="192"/>
      <c r="L7" s="192">
        <f t="shared" ref="L7:L11" si="5">19.5*K7</f>
        <v>0</v>
      </c>
      <c r="M7" s="192"/>
      <c r="N7" s="193">
        <f t="shared" ref="N7:N11" si="6">M7*9.75</f>
        <v>0</v>
      </c>
      <c r="O7" s="192"/>
      <c r="P7" s="193">
        <f t="shared" ref="P7:P11" si="7">O7*48.62</f>
        <v>0</v>
      </c>
      <c r="Q7" s="193"/>
      <c r="R7" s="193">
        <f t="shared" ref="R7:R11" si="8">241*Q7</f>
        <v>0</v>
      </c>
      <c r="S7" s="192"/>
      <c r="T7" s="192">
        <f t="shared" ref="T7:T11" si="9">241*S7</f>
        <v>0</v>
      </c>
      <c r="U7" s="192"/>
      <c r="V7" s="192">
        <f t="shared" ref="V7:V11" si="10">232*U7</f>
        <v>0</v>
      </c>
      <c r="W7" s="192"/>
      <c r="X7" s="19">
        <f t="shared" ref="X7:X11" si="11">W7*100</f>
        <v>0</v>
      </c>
      <c r="Y7" s="89">
        <f t="shared" si="0"/>
        <v>30381.872500000001</v>
      </c>
    </row>
    <row r="8" spans="1:25" ht="35.25" customHeight="1" x14ac:dyDescent="0.25">
      <c r="A8" s="12">
        <v>1967020280</v>
      </c>
      <c r="B8" s="189" t="s">
        <v>73</v>
      </c>
      <c r="C8" s="192">
        <v>21858</v>
      </c>
      <c r="D8" s="193">
        <f t="shared" si="1"/>
        <v>21256.905000000002</v>
      </c>
      <c r="E8" s="192"/>
      <c r="F8" s="192">
        <f t="shared" si="2"/>
        <v>0</v>
      </c>
      <c r="G8" s="192"/>
      <c r="H8" s="192">
        <f t="shared" si="3"/>
        <v>0</v>
      </c>
      <c r="I8" s="192"/>
      <c r="J8" s="192">
        <f t="shared" si="4"/>
        <v>0</v>
      </c>
      <c r="K8" s="192"/>
      <c r="L8" s="192">
        <f t="shared" si="5"/>
        <v>0</v>
      </c>
      <c r="M8" s="192"/>
      <c r="N8" s="193">
        <f t="shared" si="6"/>
        <v>0</v>
      </c>
      <c r="O8" s="192"/>
      <c r="P8" s="193">
        <f t="shared" si="7"/>
        <v>0</v>
      </c>
      <c r="Q8" s="193"/>
      <c r="R8" s="193">
        <f t="shared" si="8"/>
        <v>0</v>
      </c>
      <c r="S8" s="192"/>
      <c r="T8" s="192">
        <f t="shared" si="9"/>
        <v>0</v>
      </c>
      <c r="U8" s="192"/>
      <c r="V8" s="192">
        <f t="shared" si="10"/>
        <v>0</v>
      </c>
      <c r="W8" s="192"/>
      <c r="X8" s="19">
        <f t="shared" si="11"/>
        <v>0</v>
      </c>
      <c r="Y8" s="89">
        <f t="shared" si="0"/>
        <v>21256.905000000002</v>
      </c>
    </row>
    <row r="9" spans="1:25" ht="38.25" customHeight="1" x14ac:dyDescent="0.25">
      <c r="A9" s="12">
        <v>1409935199</v>
      </c>
      <c r="B9" s="189" t="s">
        <v>75</v>
      </c>
      <c r="C9" s="192">
        <v>14799</v>
      </c>
      <c r="D9" s="193">
        <f t="shared" si="1"/>
        <v>14392.0275</v>
      </c>
      <c r="E9" s="192"/>
      <c r="F9" s="192">
        <f t="shared" si="2"/>
        <v>0</v>
      </c>
      <c r="G9" s="192"/>
      <c r="H9" s="192">
        <f t="shared" si="3"/>
        <v>0</v>
      </c>
      <c r="I9" s="192">
        <v>670</v>
      </c>
      <c r="J9" s="192">
        <f t="shared" si="4"/>
        <v>12395</v>
      </c>
      <c r="K9" s="192"/>
      <c r="L9" s="192">
        <f t="shared" si="5"/>
        <v>0</v>
      </c>
      <c r="M9" s="192"/>
      <c r="N9" s="193">
        <f t="shared" si="6"/>
        <v>0</v>
      </c>
      <c r="O9" s="192"/>
      <c r="P9" s="193">
        <f t="shared" si="7"/>
        <v>0</v>
      </c>
      <c r="Q9" s="193"/>
      <c r="R9" s="193">
        <f t="shared" si="8"/>
        <v>0</v>
      </c>
      <c r="S9" s="192"/>
      <c r="T9" s="192">
        <f t="shared" si="9"/>
        <v>0</v>
      </c>
      <c r="U9" s="192"/>
      <c r="V9" s="192">
        <f t="shared" si="10"/>
        <v>0</v>
      </c>
      <c r="W9" s="192"/>
      <c r="X9" s="19">
        <f t="shared" si="11"/>
        <v>0</v>
      </c>
      <c r="Y9" s="89">
        <f t="shared" si="0"/>
        <v>26787.0275</v>
      </c>
    </row>
    <row r="10" spans="1:25" ht="35.25" customHeight="1" x14ac:dyDescent="0.25">
      <c r="A10" s="12">
        <v>1984225580</v>
      </c>
      <c r="C10" s="192"/>
      <c r="D10" s="193">
        <f t="shared" si="1"/>
        <v>0</v>
      </c>
      <c r="E10" s="192"/>
      <c r="F10" s="192">
        <f t="shared" si="2"/>
        <v>0</v>
      </c>
      <c r="G10" s="192"/>
      <c r="H10" s="192">
        <f t="shared" si="3"/>
        <v>0</v>
      </c>
      <c r="I10" s="192"/>
      <c r="J10" s="192">
        <f t="shared" si="4"/>
        <v>0</v>
      </c>
      <c r="K10" s="192"/>
      <c r="L10" s="192">
        <f t="shared" si="5"/>
        <v>0</v>
      </c>
      <c r="M10" s="192"/>
      <c r="N10" s="193">
        <f t="shared" si="6"/>
        <v>0</v>
      </c>
      <c r="O10" s="192"/>
      <c r="P10" s="193">
        <f t="shared" si="7"/>
        <v>0</v>
      </c>
      <c r="Q10" s="193"/>
      <c r="R10" s="193">
        <f t="shared" si="8"/>
        <v>0</v>
      </c>
      <c r="S10" s="192"/>
      <c r="T10" s="192">
        <f t="shared" si="9"/>
        <v>0</v>
      </c>
      <c r="U10" s="192"/>
      <c r="V10" s="192">
        <f t="shared" si="10"/>
        <v>0</v>
      </c>
      <c r="W10" s="192"/>
      <c r="X10" s="19">
        <f t="shared" si="11"/>
        <v>0</v>
      </c>
      <c r="Y10" s="89">
        <f t="shared" si="0"/>
        <v>0</v>
      </c>
    </row>
    <row r="11" spans="1:25" ht="37.5" customHeight="1" x14ac:dyDescent="0.25">
      <c r="A11" s="12"/>
      <c r="B11" s="191"/>
      <c r="C11" s="192"/>
      <c r="D11" s="22">
        <f t="shared" si="1"/>
        <v>0</v>
      </c>
      <c r="E11" s="192"/>
      <c r="F11" s="192">
        <f t="shared" si="2"/>
        <v>0</v>
      </c>
      <c r="G11" s="192"/>
      <c r="H11" s="192">
        <f t="shared" si="3"/>
        <v>0</v>
      </c>
      <c r="I11" s="192"/>
      <c r="J11" s="192">
        <f t="shared" si="4"/>
        <v>0</v>
      </c>
      <c r="K11" s="192"/>
      <c r="L11" s="192">
        <f t="shared" si="5"/>
        <v>0</v>
      </c>
      <c r="M11" s="192"/>
      <c r="N11" s="193">
        <f t="shared" si="6"/>
        <v>0</v>
      </c>
      <c r="O11" s="192"/>
      <c r="P11" s="193">
        <f t="shared" si="7"/>
        <v>0</v>
      </c>
      <c r="Q11" s="193"/>
      <c r="R11" s="193">
        <f t="shared" si="8"/>
        <v>0</v>
      </c>
      <c r="S11" s="192">
        <v>160</v>
      </c>
      <c r="T11" s="192">
        <f t="shared" si="9"/>
        <v>38560</v>
      </c>
      <c r="U11" s="192"/>
      <c r="V11" s="192">
        <f t="shared" si="10"/>
        <v>0</v>
      </c>
      <c r="W11" s="192"/>
      <c r="X11" s="19">
        <f t="shared" si="11"/>
        <v>0</v>
      </c>
      <c r="Y11" s="20">
        <f t="shared" si="0"/>
        <v>38560</v>
      </c>
    </row>
    <row r="12" spans="1:25" ht="29.25" customHeight="1" x14ac:dyDescent="0.25">
      <c r="A12" s="2235" t="s">
        <v>31</v>
      </c>
      <c r="B12" s="2235"/>
      <c r="C12" s="18">
        <f t="shared" ref="C12:Y12" si="12">SUM(C6:C11)</f>
        <v>101101</v>
      </c>
      <c r="D12" s="18">
        <f t="shared" si="12"/>
        <v>98320.722500000003</v>
      </c>
      <c r="E12" s="18">
        <f t="shared" si="12"/>
        <v>0</v>
      </c>
      <c r="F12" s="18">
        <f t="shared" si="12"/>
        <v>0</v>
      </c>
      <c r="G12" s="18">
        <f t="shared" si="12"/>
        <v>0</v>
      </c>
      <c r="H12" s="18">
        <f t="shared" si="12"/>
        <v>0</v>
      </c>
      <c r="I12" s="18">
        <f t="shared" si="12"/>
        <v>780</v>
      </c>
      <c r="J12" s="18">
        <f t="shared" si="12"/>
        <v>14430</v>
      </c>
      <c r="K12" s="18">
        <f t="shared" si="12"/>
        <v>0</v>
      </c>
      <c r="L12" s="18">
        <f t="shared" si="12"/>
        <v>0</v>
      </c>
      <c r="M12" s="18">
        <f t="shared" si="12"/>
        <v>0</v>
      </c>
      <c r="N12" s="23">
        <f t="shared" si="12"/>
        <v>0</v>
      </c>
      <c r="O12" s="18">
        <f t="shared" si="12"/>
        <v>0</v>
      </c>
      <c r="P12" s="23">
        <f t="shared" si="12"/>
        <v>0</v>
      </c>
      <c r="Q12" s="23">
        <f t="shared" si="12"/>
        <v>0</v>
      </c>
      <c r="R12" s="23">
        <f>SUM(R6:R11)</f>
        <v>0</v>
      </c>
      <c r="S12" s="18">
        <f t="shared" si="12"/>
        <v>160</v>
      </c>
      <c r="T12" s="18">
        <f t="shared" si="12"/>
        <v>38560</v>
      </c>
      <c r="U12" s="18">
        <f t="shared" si="12"/>
        <v>0</v>
      </c>
      <c r="V12" s="18">
        <f t="shared" si="12"/>
        <v>0</v>
      </c>
      <c r="W12" s="18">
        <f t="shared" si="12"/>
        <v>0</v>
      </c>
      <c r="X12" s="18">
        <f t="shared" si="12"/>
        <v>0</v>
      </c>
      <c r="Y12" s="18">
        <f t="shared" si="12"/>
        <v>151310.72249999997</v>
      </c>
    </row>
    <row r="14" spans="1:25" ht="41.25" customHeight="1" x14ac:dyDescent="0.25">
      <c r="A14" s="30" t="s">
        <v>32</v>
      </c>
      <c r="B14" s="2236" t="s">
        <v>27</v>
      </c>
      <c r="C14" s="2236"/>
      <c r="D14" s="30" t="s">
        <v>33</v>
      </c>
      <c r="E14" s="30" t="s">
        <v>65</v>
      </c>
      <c r="F14" s="30" t="s">
        <v>34</v>
      </c>
      <c r="G14" s="30" t="s">
        <v>13</v>
      </c>
      <c r="H14" s="142" t="s">
        <v>173</v>
      </c>
      <c r="I14" s="30" t="s">
        <v>17</v>
      </c>
      <c r="J14" s="197" t="s">
        <v>174</v>
      </c>
      <c r="K14" s="30" t="s">
        <v>36</v>
      </c>
      <c r="L14" s="30" t="s">
        <v>175</v>
      </c>
      <c r="M14" s="30" t="s">
        <v>69</v>
      </c>
      <c r="N14" s="30" t="s">
        <v>70</v>
      </c>
      <c r="O14" s="197" t="s">
        <v>114</v>
      </c>
      <c r="P14" s="197" t="s">
        <v>99</v>
      </c>
      <c r="Q14" s="2272" t="s">
        <v>215</v>
      </c>
      <c r="R14" s="2272"/>
      <c r="S14" s="197" t="s">
        <v>171</v>
      </c>
      <c r="T14" s="2235" t="s">
        <v>46</v>
      </c>
      <c r="U14" s="189" t="s">
        <v>176</v>
      </c>
      <c r="V14" s="2260">
        <v>160176</v>
      </c>
      <c r="W14" s="2268"/>
      <c r="X14" s="2261"/>
    </row>
    <row r="15" spans="1:25" ht="22.5" customHeight="1" x14ac:dyDescent="0.25">
      <c r="A15" s="100" t="s">
        <v>38</v>
      </c>
      <c r="B15" s="2260">
        <v>290926</v>
      </c>
      <c r="C15" s="2261"/>
      <c r="D15" s="194">
        <v>0</v>
      </c>
      <c r="E15" s="194">
        <v>0</v>
      </c>
      <c r="F15" s="194">
        <v>4060</v>
      </c>
      <c r="G15" s="194">
        <v>0</v>
      </c>
      <c r="H15" s="194">
        <v>247</v>
      </c>
      <c r="I15" s="194">
        <v>52</v>
      </c>
      <c r="J15" s="194">
        <v>168</v>
      </c>
      <c r="K15" s="194">
        <v>50</v>
      </c>
      <c r="L15" s="194">
        <v>795</v>
      </c>
      <c r="M15" s="194">
        <v>0</v>
      </c>
      <c r="N15" s="194">
        <v>100</v>
      </c>
      <c r="O15" s="194">
        <v>0</v>
      </c>
      <c r="P15" s="194">
        <v>464</v>
      </c>
      <c r="Q15" s="2262">
        <v>178</v>
      </c>
      <c r="R15" s="2262"/>
      <c r="S15" s="189">
        <v>117</v>
      </c>
      <c r="T15" s="2235"/>
      <c r="U15" s="189" t="s">
        <v>64</v>
      </c>
      <c r="V15" s="2262">
        <v>16308</v>
      </c>
      <c r="W15" s="2262"/>
      <c r="X15" s="2262"/>
    </row>
    <row r="16" spans="1:25" ht="24.75" customHeight="1" x14ac:dyDescent="0.25">
      <c r="A16" s="100" t="s">
        <v>39</v>
      </c>
      <c r="B16" s="2260">
        <v>51948</v>
      </c>
      <c r="C16" s="2261"/>
      <c r="D16" s="194"/>
      <c r="E16" s="194"/>
      <c r="F16" s="194"/>
      <c r="G16" s="194"/>
      <c r="H16" s="194"/>
      <c r="I16" s="194"/>
      <c r="J16" s="194"/>
      <c r="K16" s="194"/>
      <c r="L16" s="194"/>
      <c r="M16" s="194"/>
      <c r="N16" s="194"/>
      <c r="O16" s="194"/>
      <c r="P16" s="194"/>
      <c r="Q16" s="2225"/>
      <c r="R16" s="2225"/>
      <c r="S16" s="194"/>
      <c r="T16" s="2254" t="s">
        <v>55</v>
      </c>
      <c r="U16" s="2254"/>
      <c r="V16" s="2267">
        <f>Y12</f>
        <v>151310.72249999997</v>
      </c>
      <c r="W16" s="2267"/>
      <c r="X16" s="2262"/>
    </row>
    <row r="17" spans="1:25" ht="28.5" customHeight="1" x14ac:dyDescent="0.25">
      <c r="A17" s="101" t="s">
        <v>44</v>
      </c>
      <c r="B17" s="2260"/>
      <c r="C17" s="2261"/>
      <c r="D17" s="194"/>
      <c r="E17" s="194"/>
      <c r="F17" s="194"/>
      <c r="G17" s="194"/>
      <c r="H17" s="194"/>
      <c r="I17" s="194"/>
      <c r="J17" s="194"/>
      <c r="K17" s="194"/>
      <c r="L17" s="194"/>
      <c r="M17" s="194"/>
      <c r="N17" s="194"/>
      <c r="O17" s="194"/>
      <c r="P17" s="194"/>
      <c r="Q17" s="2225"/>
      <c r="R17" s="2225"/>
      <c r="S17" s="191"/>
      <c r="T17" s="2273" t="s">
        <v>211</v>
      </c>
      <c r="U17" s="2274"/>
      <c r="V17" s="2262"/>
      <c r="W17" s="2262"/>
      <c r="X17" s="2262"/>
    </row>
    <row r="18" spans="1:25" ht="27" customHeight="1" x14ac:dyDescent="0.25">
      <c r="A18" s="100" t="s">
        <v>40</v>
      </c>
      <c r="B18" s="2264">
        <f>C12</f>
        <v>101101</v>
      </c>
      <c r="C18" s="2261"/>
      <c r="D18" s="195">
        <f>E12</f>
        <v>0</v>
      </c>
      <c r="E18" s="195">
        <f>G12</f>
        <v>0</v>
      </c>
      <c r="F18" s="195">
        <f>I12</f>
        <v>780</v>
      </c>
      <c r="G18" s="195">
        <f>K12</f>
        <v>0</v>
      </c>
      <c r="H18" s="194"/>
      <c r="I18" s="195">
        <f>U12</f>
        <v>0</v>
      </c>
      <c r="J18" s="194">
        <v>68</v>
      </c>
      <c r="K18" s="195">
        <f>W12</f>
        <v>0</v>
      </c>
      <c r="L18" s="194"/>
      <c r="M18" s="195">
        <f>M12</f>
        <v>0</v>
      </c>
      <c r="N18" s="195">
        <f>O12</f>
        <v>0</v>
      </c>
      <c r="O18" s="196">
        <f>Q12</f>
        <v>0</v>
      </c>
      <c r="P18" s="194"/>
      <c r="Q18" s="2262">
        <v>92</v>
      </c>
      <c r="R18" s="2262"/>
      <c r="S18" s="189"/>
      <c r="T18" s="2254" t="s">
        <v>57</v>
      </c>
      <c r="U18" s="2254"/>
      <c r="V18" s="2262">
        <f>450+130+39322</f>
        <v>39902</v>
      </c>
      <c r="W18" s="2262"/>
      <c r="X18" s="2262"/>
      <c r="Y18" s="2269" t="s">
        <v>222</v>
      </c>
    </row>
    <row r="19" spans="1:25" ht="25.5" customHeight="1" x14ac:dyDescent="0.25">
      <c r="A19" s="100" t="s">
        <v>41</v>
      </c>
      <c r="B19" s="2260">
        <f>B15+B16+B17-B18</f>
        <v>241773</v>
      </c>
      <c r="C19" s="2261"/>
      <c r="D19" s="194">
        <f>D15+D16+D17-D18</f>
        <v>0</v>
      </c>
      <c r="E19" s="194">
        <f t="shared" ref="E19:N19" si="13">E15+E16+E17-E18</f>
        <v>0</v>
      </c>
      <c r="F19" s="194">
        <f t="shared" si="13"/>
        <v>3280</v>
      </c>
      <c r="G19" s="194">
        <f t="shared" si="13"/>
        <v>0</v>
      </c>
      <c r="H19" s="194">
        <f t="shared" si="13"/>
        <v>247</v>
      </c>
      <c r="I19" s="194">
        <f t="shared" si="13"/>
        <v>52</v>
      </c>
      <c r="J19" s="194">
        <f t="shared" si="13"/>
        <v>100</v>
      </c>
      <c r="K19" s="194">
        <f t="shared" si="13"/>
        <v>50</v>
      </c>
      <c r="L19" s="194">
        <f t="shared" si="13"/>
        <v>795</v>
      </c>
      <c r="M19" s="194">
        <f t="shared" si="13"/>
        <v>0</v>
      </c>
      <c r="N19" s="194">
        <f t="shared" si="13"/>
        <v>100</v>
      </c>
      <c r="O19" s="194">
        <f>O15+O16+O17-O18</f>
        <v>0</v>
      </c>
      <c r="P19" s="194">
        <f>P15+P16+P17-P18</f>
        <v>464</v>
      </c>
      <c r="Q19" s="2260">
        <f t="shared" ref="Q19" si="14">Q15+Q16+Q17-Q18</f>
        <v>86</v>
      </c>
      <c r="R19" s="2261"/>
      <c r="S19" s="189">
        <f>S15+S16-S17-S18</f>
        <v>117</v>
      </c>
      <c r="T19" s="2256" t="s">
        <v>48</v>
      </c>
      <c r="U19" s="49" t="s">
        <v>58</v>
      </c>
      <c r="V19" s="2262">
        <v>50000</v>
      </c>
      <c r="W19" s="2262"/>
      <c r="X19" s="2262"/>
      <c r="Y19" s="2269"/>
    </row>
    <row r="20" spans="1:25" ht="23.25" customHeight="1" x14ac:dyDescent="0.25">
      <c r="A20" s="11" t="s">
        <v>187</v>
      </c>
      <c r="B20" s="2278">
        <f>B19*0.9625</f>
        <v>232706.51250000001</v>
      </c>
      <c r="C20" s="2279"/>
      <c r="D20" s="191">
        <f>D19*13.56</f>
        <v>0</v>
      </c>
      <c r="E20" s="191">
        <f>28.2*E19</f>
        <v>0</v>
      </c>
      <c r="F20" s="191">
        <f>18.31*F19</f>
        <v>60056.799999999996</v>
      </c>
      <c r="G20" s="191">
        <f>19.3*G19</f>
        <v>0</v>
      </c>
      <c r="H20" s="191">
        <f>241*H19</f>
        <v>59527</v>
      </c>
      <c r="I20" s="191">
        <f>223*I19</f>
        <v>11596</v>
      </c>
      <c r="J20" s="191">
        <f>241*J19</f>
        <v>24100</v>
      </c>
      <c r="K20" s="191">
        <f>K19*100</f>
        <v>5000</v>
      </c>
      <c r="L20" s="191">
        <f>241*L19</f>
        <v>191595</v>
      </c>
      <c r="M20" s="191">
        <f>9.65*M19</f>
        <v>0</v>
      </c>
      <c r="N20" s="191">
        <f>N19*48.2</f>
        <v>4820</v>
      </c>
      <c r="O20" s="191">
        <f>241*O19</f>
        <v>0</v>
      </c>
      <c r="P20" s="191">
        <f>241*P19</f>
        <v>111824</v>
      </c>
      <c r="Q20" s="2278">
        <f>241*Q19</f>
        <v>20726</v>
      </c>
      <c r="R20" s="2279"/>
      <c r="S20" s="191">
        <f>241*S19</f>
        <v>28197</v>
      </c>
      <c r="T20" s="2257"/>
      <c r="U20" s="49" t="s">
        <v>59</v>
      </c>
      <c r="V20" s="2262"/>
      <c r="W20" s="2262"/>
      <c r="X20" s="2262"/>
      <c r="Y20" s="2269"/>
    </row>
    <row r="21" spans="1:25" ht="32.25" customHeight="1" x14ac:dyDescent="0.25">
      <c r="A21" s="143" t="s">
        <v>186</v>
      </c>
      <c r="B21" s="2283">
        <f>SUM(B20:S20)</f>
        <v>750148.3125</v>
      </c>
      <c r="C21" s="2283"/>
      <c r="O21" s="198"/>
      <c r="P21" s="198"/>
      <c r="Q21" s="198"/>
      <c r="R21" s="198"/>
      <c r="T21" s="2273" t="s">
        <v>167</v>
      </c>
      <c r="U21" s="2274"/>
      <c r="V21" s="2260"/>
      <c r="W21" s="2268"/>
      <c r="X21" s="2261"/>
      <c r="Y21" s="2269"/>
    </row>
    <row r="22" spans="1:25" ht="35.25" customHeight="1" x14ac:dyDescent="0.25">
      <c r="A22" s="15"/>
      <c r="B22" s="2275" t="s">
        <v>49</v>
      </c>
      <c r="C22" s="2265">
        <v>792446</v>
      </c>
      <c r="D22" s="2265">
        <v>50000</v>
      </c>
      <c r="E22" s="2265">
        <v>50000</v>
      </c>
      <c r="F22" s="2265">
        <f>C22-D22+E22</f>
        <v>792446</v>
      </c>
      <c r="G22" s="198"/>
      <c r="Q22" s="198"/>
      <c r="R22" s="198"/>
      <c r="T22" s="2251" t="s">
        <v>83</v>
      </c>
      <c r="U22" s="50" t="s">
        <v>60</v>
      </c>
      <c r="V22" s="2262">
        <v>261780</v>
      </c>
      <c r="W22" s="2262"/>
      <c r="X22" s="2262"/>
      <c r="Y22" s="2269"/>
    </row>
    <row r="23" spans="1:25" ht="39.75" customHeight="1" x14ac:dyDescent="0.25">
      <c r="A23" s="198"/>
      <c r="B23" s="2276"/>
      <c r="C23" s="2266"/>
      <c r="D23" s="2266"/>
      <c r="E23" s="2266"/>
      <c r="F23" s="2266"/>
      <c r="G23" s="198"/>
      <c r="Q23" s="198"/>
      <c r="R23" s="198"/>
      <c r="T23" s="2252"/>
      <c r="U23" s="50" t="s">
        <v>61</v>
      </c>
      <c r="V23" s="2262">
        <v>50000</v>
      </c>
      <c r="W23" s="2262"/>
      <c r="X23" s="2262"/>
      <c r="Y23" s="2269"/>
    </row>
    <row r="24" spans="1:25" ht="48" customHeight="1" x14ac:dyDescent="0.25">
      <c r="A24" s="198"/>
      <c r="B24" s="2277"/>
      <c r="C24" s="189" t="s">
        <v>46</v>
      </c>
      <c r="D24" s="189" t="s">
        <v>50</v>
      </c>
      <c r="E24" s="189" t="s">
        <v>51</v>
      </c>
      <c r="F24" s="189" t="s">
        <v>52</v>
      </c>
      <c r="G24" s="198"/>
      <c r="Q24" s="198"/>
      <c r="R24" s="198"/>
      <c r="T24" s="2235" t="s">
        <v>47</v>
      </c>
      <c r="U24" s="51" t="s">
        <v>62</v>
      </c>
      <c r="V24" s="2263">
        <f>V14+V16+V17-V18-V19-V20-V22+V23-V21</f>
        <v>9804.7224999999744</v>
      </c>
      <c r="W24" s="2263"/>
      <c r="X24" s="2263"/>
      <c r="Y24" s="2269"/>
    </row>
    <row r="25" spans="1:25" ht="40.5" customHeight="1" x14ac:dyDescent="0.25">
      <c r="T25" s="2235"/>
      <c r="U25" s="51" t="s">
        <v>63</v>
      </c>
      <c r="V25" s="2262">
        <f>V15+V22-V23</f>
        <v>228088</v>
      </c>
      <c r="W25" s="2262"/>
      <c r="X25" s="2262"/>
    </row>
    <row r="26" spans="1:25" ht="36" customHeight="1" x14ac:dyDescent="0.25"/>
    <row r="32" spans="1:25" x14ac:dyDescent="0.25">
      <c r="I32" s="2280"/>
      <c r="J32" s="2280"/>
      <c r="K32" s="2280"/>
      <c r="L32" s="2280"/>
    </row>
    <row r="33" spans="9:12" x14ac:dyDescent="0.25">
      <c r="I33" s="198"/>
      <c r="J33" s="198"/>
      <c r="K33" s="2280"/>
      <c r="L33" s="2280"/>
    </row>
  </sheetData>
  <mergeCells count="62">
    <mergeCell ref="I32:J32"/>
    <mergeCell ref="K32:L32"/>
    <mergeCell ref="K33:L33"/>
    <mergeCell ref="T22:T23"/>
    <mergeCell ref="V22:X22"/>
    <mergeCell ref="V23:X23"/>
    <mergeCell ref="T24:T25"/>
    <mergeCell ref="V24:X24"/>
    <mergeCell ref="V25:X25"/>
    <mergeCell ref="Y18:Y24"/>
    <mergeCell ref="B19:C19"/>
    <mergeCell ref="Q19:R19"/>
    <mergeCell ref="T19:T20"/>
    <mergeCell ref="V19:X19"/>
    <mergeCell ref="B20:C20"/>
    <mergeCell ref="B22:B24"/>
    <mergeCell ref="C22:C23"/>
    <mergeCell ref="D22:D23"/>
    <mergeCell ref="E22:E23"/>
    <mergeCell ref="F22:F23"/>
    <mergeCell ref="Q20:R20"/>
    <mergeCell ref="V20:X20"/>
    <mergeCell ref="B21:C21"/>
    <mergeCell ref="T21:U21"/>
    <mergeCell ref="V21:X21"/>
    <mergeCell ref="B17:C17"/>
    <mergeCell ref="Q17:R17"/>
    <mergeCell ref="T17:U17"/>
    <mergeCell ref="V17:X17"/>
    <mergeCell ref="B18:C18"/>
    <mergeCell ref="Q18:R18"/>
    <mergeCell ref="T18:U18"/>
    <mergeCell ref="V18:X18"/>
    <mergeCell ref="W4:X4"/>
    <mergeCell ref="B16:C16"/>
    <mergeCell ref="Q16:R16"/>
    <mergeCell ref="T16:U16"/>
    <mergeCell ref="V16:X16"/>
    <mergeCell ref="A12:B12"/>
    <mergeCell ref="B14:C14"/>
    <mergeCell ref="Q14:R14"/>
    <mergeCell ref="T14:T15"/>
    <mergeCell ref="V14:X14"/>
    <mergeCell ref="B15:C15"/>
    <mergeCell ref="Q15:R15"/>
    <mergeCell ref="V15:X15"/>
    <mergeCell ref="A1:Y1"/>
    <mergeCell ref="A2:Y2"/>
    <mergeCell ref="T3:Y3"/>
    <mergeCell ref="A4:A5"/>
    <mergeCell ref="B4:B5"/>
    <mergeCell ref="C4:D4"/>
    <mergeCell ref="E4:F4"/>
    <mergeCell ref="G4:H4"/>
    <mergeCell ref="I4:J4"/>
    <mergeCell ref="K4:L4"/>
    <mergeCell ref="Y4:Y5"/>
    <mergeCell ref="M4:N4"/>
    <mergeCell ref="O4:P4"/>
    <mergeCell ref="Q4:R4"/>
    <mergeCell ref="S4:T4"/>
    <mergeCell ref="U4:V4"/>
  </mergeCells>
  <pageMargins left="0.15748031496063" right="0.15748031496063" top="0" bottom="0" header="0" footer="0"/>
  <pageSetup paperSize="9" scale="47" orientation="landscape" r:id="rId1"/>
  <legacyDrawing r:id="rId2"/>
</worksheet>
</file>

<file path=xl/worksheets/sheet6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81189B9-1D1E-446E-B9D9-202B572DCDC7}">
  <sheetPr>
    <pageSetUpPr fitToPage="1"/>
  </sheetPr>
  <dimension ref="A1:Y33"/>
  <sheetViews>
    <sheetView topLeftCell="A13" zoomScale="69" zoomScaleNormal="69" zoomScaleSheetLayoutView="100" workbookViewId="0">
      <selection activeCell="V18" sqref="V18:X18"/>
    </sheetView>
  </sheetViews>
  <sheetFormatPr defaultColWidth="9.140625" defaultRowHeight="15" x14ac:dyDescent="0.25"/>
  <cols>
    <col min="1" max="1" width="18.28515625" style="14" customWidth="1"/>
    <col min="2" max="2" width="10.7109375" style="14" customWidth="1"/>
    <col min="3" max="3" width="12.28515625" style="14" customWidth="1"/>
    <col min="4" max="4" width="11" style="14" customWidth="1"/>
    <col min="5" max="5" width="12" style="14" customWidth="1"/>
    <col min="6" max="6" width="12.5703125" style="14" bestFit="1" customWidth="1"/>
    <col min="7" max="7" width="9.28515625" style="14" bestFit="1" customWidth="1"/>
    <col min="8" max="8" width="10.140625" style="14" bestFit="1" customWidth="1"/>
    <col min="9" max="9" width="10.5703125" style="14" bestFit="1" customWidth="1"/>
    <col min="10" max="10" width="10.5703125" style="14" customWidth="1"/>
    <col min="11" max="11" width="10.28515625" style="14" bestFit="1" customWidth="1"/>
    <col min="12" max="12" width="9.42578125" style="14" bestFit="1" customWidth="1"/>
    <col min="13" max="13" width="9.85546875" style="14" bestFit="1" customWidth="1"/>
    <col min="14" max="14" width="10.140625" style="14" bestFit="1" customWidth="1"/>
    <col min="15" max="15" width="9" style="14" customWidth="1"/>
    <col min="16" max="16" width="12.85546875" style="14" bestFit="1" customWidth="1"/>
    <col min="17" max="18" width="9.42578125" style="14" customWidth="1"/>
    <col min="19" max="19" width="13.7109375" style="14" customWidth="1"/>
    <col min="20" max="20" width="12.140625" style="14" customWidth="1"/>
    <col min="21" max="21" width="19.5703125" style="14" bestFit="1" customWidth="1"/>
    <col min="22" max="22" width="9.85546875" style="14" customWidth="1"/>
    <col min="23" max="23" width="10.140625" style="14" bestFit="1" customWidth="1"/>
    <col min="24" max="24" width="10.28515625" style="14" customWidth="1"/>
    <col min="25" max="25" width="28" style="14" customWidth="1"/>
    <col min="26" max="16384" width="9.140625" style="14"/>
  </cols>
  <sheetData>
    <row r="1" spans="1:25" ht="46.15" customHeight="1" x14ac:dyDescent="0.25">
      <c r="A1" s="2240" t="s">
        <v>148</v>
      </c>
      <c r="B1" s="2240"/>
      <c r="C1" s="2240"/>
      <c r="D1" s="2240"/>
      <c r="E1" s="2240"/>
      <c r="F1" s="2240"/>
      <c r="G1" s="2240"/>
      <c r="H1" s="2240"/>
      <c r="I1" s="2240"/>
      <c r="J1" s="2240"/>
      <c r="K1" s="2240"/>
      <c r="L1" s="2240"/>
      <c r="M1" s="2240"/>
      <c r="N1" s="2240"/>
      <c r="O1" s="2240"/>
      <c r="P1" s="2240"/>
      <c r="Q1" s="2240"/>
      <c r="R1" s="2240"/>
      <c r="S1" s="2240"/>
      <c r="T1" s="2240"/>
      <c r="U1" s="2240"/>
      <c r="V1" s="2240"/>
      <c r="W1" s="2240"/>
      <c r="X1" s="2240"/>
      <c r="Y1" s="2240"/>
    </row>
    <row r="2" spans="1:25" ht="21.6" customHeight="1" x14ac:dyDescent="0.25">
      <c r="A2" s="2241" t="s">
        <v>77</v>
      </c>
      <c r="B2" s="2241"/>
      <c r="C2" s="2241"/>
      <c r="D2" s="2241"/>
      <c r="E2" s="2241"/>
      <c r="F2" s="2241"/>
      <c r="G2" s="2241"/>
      <c r="H2" s="2241"/>
      <c r="I2" s="2241"/>
      <c r="J2" s="2241"/>
      <c r="K2" s="2241"/>
      <c r="L2" s="2241"/>
      <c r="M2" s="2241"/>
      <c r="N2" s="2241"/>
      <c r="O2" s="2241"/>
      <c r="P2" s="2241"/>
      <c r="Q2" s="2241"/>
      <c r="R2" s="2241"/>
      <c r="S2" s="2241"/>
      <c r="T2" s="2241"/>
      <c r="U2" s="2241"/>
      <c r="V2" s="2241"/>
      <c r="W2" s="2241"/>
      <c r="X2" s="2241"/>
      <c r="Y2" s="2241"/>
    </row>
    <row r="3" spans="1:25" ht="21" customHeight="1" x14ac:dyDescent="0.25">
      <c r="A3" s="188"/>
      <c r="B3" s="188"/>
      <c r="C3" s="188"/>
      <c r="D3" s="188"/>
      <c r="E3" s="188"/>
      <c r="F3" s="188"/>
      <c r="G3" s="188"/>
      <c r="H3" s="188"/>
      <c r="I3" s="188"/>
      <c r="J3" s="188"/>
      <c r="K3" s="188"/>
      <c r="L3" s="188"/>
      <c r="M3" s="188"/>
      <c r="N3" s="188"/>
      <c r="O3" s="188"/>
      <c r="P3" s="188"/>
      <c r="Q3" s="188"/>
      <c r="R3" s="188"/>
      <c r="S3" s="188"/>
      <c r="T3" s="2242" t="s">
        <v>223</v>
      </c>
      <c r="U3" s="2242"/>
      <c r="V3" s="2242"/>
      <c r="W3" s="2242"/>
      <c r="X3" s="2242"/>
      <c r="Y3" s="2242"/>
    </row>
    <row r="4" spans="1:25" s="188" customFormat="1" ht="18" customHeight="1" x14ac:dyDescent="0.25">
      <c r="A4" s="2243" t="s">
        <v>25</v>
      </c>
      <c r="B4" s="2243" t="s">
        <v>26</v>
      </c>
      <c r="C4" s="2244" t="s">
        <v>27</v>
      </c>
      <c r="D4" s="2244"/>
      <c r="E4" s="2244" t="s">
        <v>28</v>
      </c>
      <c r="F4" s="2244"/>
      <c r="G4" s="2244" t="s">
        <v>65</v>
      </c>
      <c r="H4" s="2244"/>
      <c r="I4" s="2244" t="s">
        <v>29</v>
      </c>
      <c r="J4" s="2244"/>
      <c r="K4" s="2245" t="s">
        <v>13</v>
      </c>
      <c r="L4" s="2246"/>
      <c r="M4" s="2245" t="s">
        <v>67</v>
      </c>
      <c r="N4" s="2246"/>
      <c r="O4" s="2245" t="s">
        <v>68</v>
      </c>
      <c r="P4" s="2246"/>
      <c r="Q4" s="2245" t="s">
        <v>114</v>
      </c>
      <c r="R4" s="2246"/>
      <c r="S4" s="2244" t="s">
        <v>35</v>
      </c>
      <c r="T4" s="2244"/>
      <c r="U4" s="2245" t="s">
        <v>17</v>
      </c>
      <c r="V4" s="2246"/>
      <c r="W4" s="2247" t="s">
        <v>36</v>
      </c>
      <c r="X4" s="2248"/>
      <c r="Y4" s="2238" t="s">
        <v>30</v>
      </c>
    </row>
    <row r="5" spans="1:25" s="188" customFormat="1" ht="25.5" customHeight="1" x14ac:dyDescent="0.25">
      <c r="A5" s="2243"/>
      <c r="B5" s="2243"/>
      <c r="C5" s="190" t="s">
        <v>42</v>
      </c>
      <c r="D5" s="190" t="s">
        <v>43</v>
      </c>
      <c r="E5" s="190" t="s">
        <v>42</v>
      </c>
      <c r="F5" s="190" t="s">
        <v>43</v>
      </c>
      <c r="G5" s="190" t="s">
        <v>42</v>
      </c>
      <c r="H5" s="190" t="s">
        <v>43</v>
      </c>
      <c r="I5" s="190" t="s">
        <v>42</v>
      </c>
      <c r="J5" s="190" t="s">
        <v>43</v>
      </c>
      <c r="K5" s="190" t="s">
        <v>42</v>
      </c>
      <c r="L5" s="190" t="s">
        <v>43</v>
      </c>
      <c r="M5" s="190" t="s">
        <v>42</v>
      </c>
      <c r="N5" s="190" t="s">
        <v>43</v>
      </c>
      <c r="O5" s="190" t="s">
        <v>42</v>
      </c>
      <c r="P5" s="190" t="s">
        <v>43</v>
      </c>
      <c r="Q5" s="190" t="s">
        <v>42</v>
      </c>
      <c r="R5" s="190" t="s">
        <v>43</v>
      </c>
      <c r="S5" s="33" t="s">
        <v>42</v>
      </c>
      <c r="T5" s="33" t="s">
        <v>43</v>
      </c>
      <c r="U5" s="30" t="s">
        <v>42</v>
      </c>
      <c r="V5" s="30" t="s">
        <v>43</v>
      </c>
      <c r="W5" s="30" t="s">
        <v>42</v>
      </c>
      <c r="X5" s="30" t="s">
        <v>43</v>
      </c>
      <c r="Y5" s="2239"/>
    </row>
    <row r="6" spans="1:25" ht="34.5" customHeight="1" x14ac:dyDescent="0.25">
      <c r="A6" s="12">
        <v>1409935200</v>
      </c>
      <c r="B6" s="189" t="s">
        <v>71</v>
      </c>
      <c r="C6" s="192">
        <v>40598</v>
      </c>
      <c r="D6" s="193">
        <f>0.9725*C6</f>
        <v>39481.555</v>
      </c>
      <c r="E6" s="192"/>
      <c r="F6" s="192">
        <f>13.7*E6</f>
        <v>0</v>
      </c>
      <c r="G6" s="192"/>
      <c r="H6" s="192">
        <f>28.2*G6</f>
        <v>0</v>
      </c>
      <c r="I6" s="192">
        <v>780</v>
      </c>
      <c r="J6" s="192">
        <f>18.5*I6</f>
        <v>14430</v>
      </c>
      <c r="K6" s="192"/>
      <c r="L6" s="192">
        <f>19.5*K6</f>
        <v>0</v>
      </c>
      <c r="M6" s="192"/>
      <c r="N6" s="193">
        <f>M6*9.75</f>
        <v>0</v>
      </c>
      <c r="O6" s="192"/>
      <c r="P6" s="193">
        <f>O6*48.62</f>
        <v>0</v>
      </c>
      <c r="Q6" s="193"/>
      <c r="R6" s="193">
        <f>241*Q6</f>
        <v>0</v>
      </c>
      <c r="S6" s="192"/>
      <c r="T6" s="192">
        <f>241*S6</f>
        <v>0</v>
      </c>
      <c r="U6" s="192"/>
      <c r="V6" s="192">
        <f>232*U6</f>
        <v>0</v>
      </c>
      <c r="W6" s="192"/>
      <c r="X6" s="19">
        <f>W6*100</f>
        <v>0</v>
      </c>
      <c r="Y6" s="89">
        <f t="shared" ref="Y6:Y11" si="0">D6+F6+H6+J6+L6+N6+P6+R6+T6+V6+X6</f>
        <v>53911.555</v>
      </c>
    </row>
    <row r="7" spans="1:25" ht="31.5" customHeight="1" x14ac:dyDescent="0.25">
      <c r="A7" s="12">
        <v>1984225578</v>
      </c>
      <c r="B7" s="189" t="s">
        <v>72</v>
      </c>
      <c r="C7" s="192">
        <v>37230</v>
      </c>
      <c r="D7" s="193">
        <f t="shared" ref="D7:D11" si="1">0.9725*C7</f>
        <v>36206.175000000003</v>
      </c>
      <c r="E7" s="192"/>
      <c r="F7" s="192">
        <f t="shared" ref="F7:F11" si="2">13.7*E7</f>
        <v>0</v>
      </c>
      <c r="G7" s="192"/>
      <c r="H7" s="192">
        <f t="shared" ref="H7:H11" si="3">28.2*G7</f>
        <v>0</v>
      </c>
      <c r="I7" s="192">
        <v>680</v>
      </c>
      <c r="J7" s="192">
        <f t="shared" ref="J7:J11" si="4">18.5*I7</f>
        <v>12580</v>
      </c>
      <c r="K7" s="192"/>
      <c r="L7" s="192">
        <f t="shared" ref="L7:L11" si="5">19.5*K7</f>
        <v>0</v>
      </c>
      <c r="M7" s="192"/>
      <c r="N7" s="193">
        <f t="shared" ref="N7:N11" si="6">M7*9.75</f>
        <v>0</v>
      </c>
      <c r="O7" s="192"/>
      <c r="P7" s="193">
        <f t="shared" ref="P7:P11" si="7">O7*48.62</f>
        <v>0</v>
      </c>
      <c r="Q7" s="193"/>
      <c r="R7" s="193">
        <f t="shared" ref="R7:R11" si="8">241*Q7</f>
        <v>0</v>
      </c>
      <c r="S7" s="192"/>
      <c r="T7" s="192">
        <f t="shared" ref="T7:T11" si="9">241*S7</f>
        <v>0</v>
      </c>
      <c r="U7" s="192"/>
      <c r="V7" s="192">
        <f t="shared" ref="V7:V11" si="10">232*U7</f>
        <v>0</v>
      </c>
      <c r="W7" s="192"/>
      <c r="X7" s="19">
        <f t="shared" ref="X7:X11" si="11">W7*100</f>
        <v>0</v>
      </c>
      <c r="Y7" s="89">
        <f t="shared" si="0"/>
        <v>48786.175000000003</v>
      </c>
    </row>
    <row r="8" spans="1:25" ht="35.25" customHeight="1" x14ac:dyDescent="0.25">
      <c r="A8" s="12">
        <v>1967020280</v>
      </c>
      <c r="B8" s="189" t="s">
        <v>73</v>
      </c>
      <c r="C8" s="192">
        <v>24277</v>
      </c>
      <c r="D8" s="193">
        <f t="shared" si="1"/>
        <v>23609.3825</v>
      </c>
      <c r="E8" s="192"/>
      <c r="F8" s="192">
        <f t="shared" si="2"/>
        <v>0</v>
      </c>
      <c r="G8" s="192"/>
      <c r="H8" s="192">
        <f t="shared" si="3"/>
        <v>0</v>
      </c>
      <c r="I8" s="192">
        <v>830</v>
      </c>
      <c r="J8" s="192">
        <f t="shared" si="4"/>
        <v>15355</v>
      </c>
      <c r="K8" s="192"/>
      <c r="L8" s="192">
        <f t="shared" si="5"/>
        <v>0</v>
      </c>
      <c r="M8" s="192"/>
      <c r="N8" s="193">
        <f t="shared" si="6"/>
        <v>0</v>
      </c>
      <c r="O8" s="192"/>
      <c r="P8" s="193">
        <f t="shared" si="7"/>
        <v>0</v>
      </c>
      <c r="Q8" s="193"/>
      <c r="R8" s="193">
        <f t="shared" si="8"/>
        <v>0</v>
      </c>
      <c r="S8" s="192"/>
      <c r="T8" s="192">
        <f t="shared" si="9"/>
        <v>0</v>
      </c>
      <c r="U8" s="192"/>
      <c r="V8" s="192">
        <f t="shared" si="10"/>
        <v>0</v>
      </c>
      <c r="W8" s="192"/>
      <c r="X8" s="19">
        <f t="shared" si="11"/>
        <v>0</v>
      </c>
      <c r="Y8" s="89">
        <f t="shared" si="0"/>
        <v>38964.3825</v>
      </c>
    </row>
    <row r="9" spans="1:25" ht="38.25" customHeight="1" x14ac:dyDescent="0.25">
      <c r="A9" s="12">
        <v>1409935199</v>
      </c>
      <c r="B9" s="189" t="s">
        <v>75</v>
      </c>
      <c r="C9" s="192">
        <v>21174</v>
      </c>
      <c r="D9" s="193">
        <f t="shared" si="1"/>
        <v>20591.715</v>
      </c>
      <c r="E9" s="192"/>
      <c r="F9" s="192">
        <f t="shared" si="2"/>
        <v>0</v>
      </c>
      <c r="G9" s="192"/>
      <c r="H9" s="192">
        <f t="shared" si="3"/>
        <v>0</v>
      </c>
      <c r="I9" s="192">
        <v>550</v>
      </c>
      <c r="J9" s="192">
        <f t="shared" si="4"/>
        <v>10175</v>
      </c>
      <c r="K9" s="192"/>
      <c r="L9" s="192">
        <f t="shared" si="5"/>
        <v>0</v>
      </c>
      <c r="M9" s="192"/>
      <c r="N9" s="193">
        <f t="shared" si="6"/>
        <v>0</v>
      </c>
      <c r="O9" s="192"/>
      <c r="P9" s="193">
        <f t="shared" si="7"/>
        <v>0</v>
      </c>
      <c r="Q9" s="193"/>
      <c r="R9" s="193">
        <f t="shared" si="8"/>
        <v>0</v>
      </c>
      <c r="S9" s="192"/>
      <c r="T9" s="192">
        <f t="shared" si="9"/>
        <v>0</v>
      </c>
      <c r="U9" s="192"/>
      <c r="V9" s="192">
        <f t="shared" si="10"/>
        <v>0</v>
      </c>
      <c r="W9" s="192"/>
      <c r="X9" s="19">
        <f t="shared" si="11"/>
        <v>0</v>
      </c>
      <c r="Y9" s="89">
        <f t="shared" si="0"/>
        <v>30766.715</v>
      </c>
    </row>
    <row r="10" spans="1:25" ht="35.25" customHeight="1" x14ac:dyDescent="0.25">
      <c r="A10" s="12">
        <v>1984225580</v>
      </c>
      <c r="C10" s="192"/>
      <c r="D10" s="193">
        <f t="shared" si="1"/>
        <v>0</v>
      </c>
      <c r="E10" s="192"/>
      <c r="F10" s="192">
        <f t="shared" si="2"/>
        <v>0</v>
      </c>
      <c r="G10" s="192"/>
      <c r="H10" s="192">
        <f t="shared" si="3"/>
        <v>0</v>
      </c>
      <c r="I10" s="192"/>
      <c r="J10" s="192">
        <f t="shared" si="4"/>
        <v>0</v>
      </c>
      <c r="K10" s="192"/>
      <c r="L10" s="192">
        <f t="shared" si="5"/>
        <v>0</v>
      </c>
      <c r="M10" s="192"/>
      <c r="N10" s="193">
        <f t="shared" si="6"/>
        <v>0</v>
      </c>
      <c r="O10" s="192"/>
      <c r="P10" s="193">
        <f t="shared" si="7"/>
        <v>0</v>
      </c>
      <c r="Q10" s="193"/>
      <c r="R10" s="193">
        <f t="shared" si="8"/>
        <v>0</v>
      </c>
      <c r="S10" s="192"/>
      <c r="T10" s="192">
        <f t="shared" si="9"/>
        <v>0</v>
      </c>
      <c r="U10" s="192"/>
      <c r="V10" s="192">
        <f t="shared" si="10"/>
        <v>0</v>
      </c>
      <c r="W10" s="192"/>
      <c r="X10" s="19">
        <f t="shared" si="11"/>
        <v>0</v>
      </c>
      <c r="Y10" s="89">
        <f t="shared" si="0"/>
        <v>0</v>
      </c>
    </row>
    <row r="11" spans="1:25" ht="37.5" customHeight="1" x14ac:dyDescent="0.25">
      <c r="A11" s="12"/>
      <c r="B11" s="191"/>
      <c r="C11" s="192"/>
      <c r="D11" s="22">
        <f t="shared" si="1"/>
        <v>0</v>
      </c>
      <c r="E11" s="192"/>
      <c r="F11" s="192">
        <f t="shared" si="2"/>
        <v>0</v>
      </c>
      <c r="G11" s="192"/>
      <c r="H11" s="192">
        <f t="shared" si="3"/>
        <v>0</v>
      </c>
      <c r="I11" s="192"/>
      <c r="J11" s="192">
        <f t="shared" si="4"/>
        <v>0</v>
      </c>
      <c r="K11" s="192"/>
      <c r="L11" s="192">
        <f t="shared" si="5"/>
        <v>0</v>
      </c>
      <c r="M11" s="192"/>
      <c r="N11" s="193">
        <f t="shared" si="6"/>
        <v>0</v>
      </c>
      <c r="O11" s="192"/>
      <c r="P11" s="193">
        <f t="shared" si="7"/>
        <v>0</v>
      </c>
      <c r="Q11" s="193"/>
      <c r="R11" s="193">
        <f t="shared" si="8"/>
        <v>0</v>
      </c>
      <c r="S11" s="192"/>
      <c r="T11" s="192">
        <f t="shared" si="9"/>
        <v>0</v>
      </c>
      <c r="U11" s="192"/>
      <c r="V11" s="192">
        <f t="shared" si="10"/>
        <v>0</v>
      </c>
      <c r="W11" s="192"/>
      <c r="X11" s="19">
        <f t="shared" si="11"/>
        <v>0</v>
      </c>
      <c r="Y11" s="20">
        <f t="shared" si="0"/>
        <v>0</v>
      </c>
    </row>
    <row r="12" spans="1:25" ht="29.25" customHeight="1" x14ac:dyDescent="0.25">
      <c r="A12" s="2235" t="s">
        <v>31</v>
      </c>
      <c r="B12" s="2235"/>
      <c r="C12" s="18">
        <f t="shared" ref="C12:Y12" si="12">SUM(C6:C11)</f>
        <v>123279</v>
      </c>
      <c r="D12" s="18">
        <f t="shared" si="12"/>
        <v>119888.82750000001</v>
      </c>
      <c r="E12" s="18">
        <f t="shared" si="12"/>
        <v>0</v>
      </c>
      <c r="F12" s="18">
        <f t="shared" si="12"/>
        <v>0</v>
      </c>
      <c r="G12" s="18">
        <f t="shared" si="12"/>
        <v>0</v>
      </c>
      <c r="H12" s="18">
        <f t="shared" si="12"/>
        <v>0</v>
      </c>
      <c r="I12" s="18">
        <f t="shared" si="12"/>
        <v>2840</v>
      </c>
      <c r="J12" s="18">
        <f t="shared" si="12"/>
        <v>52540</v>
      </c>
      <c r="K12" s="18">
        <f t="shared" si="12"/>
        <v>0</v>
      </c>
      <c r="L12" s="18">
        <f t="shared" si="12"/>
        <v>0</v>
      </c>
      <c r="M12" s="18">
        <f t="shared" si="12"/>
        <v>0</v>
      </c>
      <c r="N12" s="23">
        <f t="shared" si="12"/>
        <v>0</v>
      </c>
      <c r="O12" s="18">
        <f t="shared" si="12"/>
        <v>0</v>
      </c>
      <c r="P12" s="23">
        <f t="shared" si="12"/>
        <v>0</v>
      </c>
      <c r="Q12" s="23">
        <f t="shared" si="12"/>
        <v>0</v>
      </c>
      <c r="R12" s="23">
        <f>SUM(R6:R11)</f>
        <v>0</v>
      </c>
      <c r="S12" s="18">
        <f t="shared" si="12"/>
        <v>0</v>
      </c>
      <c r="T12" s="18">
        <f t="shared" si="12"/>
        <v>0</v>
      </c>
      <c r="U12" s="18">
        <f t="shared" si="12"/>
        <v>0</v>
      </c>
      <c r="V12" s="18">
        <f t="shared" si="12"/>
        <v>0</v>
      </c>
      <c r="W12" s="18">
        <f t="shared" si="12"/>
        <v>0</v>
      </c>
      <c r="X12" s="18">
        <f t="shared" si="12"/>
        <v>0</v>
      </c>
      <c r="Y12" s="18">
        <f t="shared" si="12"/>
        <v>172428.82750000001</v>
      </c>
    </row>
    <row r="14" spans="1:25" ht="41.25" customHeight="1" x14ac:dyDescent="0.25">
      <c r="A14" s="30" t="s">
        <v>32</v>
      </c>
      <c r="B14" s="2236" t="s">
        <v>27</v>
      </c>
      <c r="C14" s="2236"/>
      <c r="D14" s="30" t="s">
        <v>33</v>
      </c>
      <c r="E14" s="30" t="s">
        <v>65</v>
      </c>
      <c r="F14" s="30" t="s">
        <v>34</v>
      </c>
      <c r="G14" s="30" t="s">
        <v>13</v>
      </c>
      <c r="H14" s="142" t="s">
        <v>173</v>
      </c>
      <c r="I14" s="30" t="s">
        <v>17</v>
      </c>
      <c r="J14" s="197" t="s">
        <v>174</v>
      </c>
      <c r="K14" s="30" t="s">
        <v>36</v>
      </c>
      <c r="L14" s="30" t="s">
        <v>175</v>
      </c>
      <c r="M14" s="30" t="s">
        <v>69</v>
      </c>
      <c r="N14" s="30" t="s">
        <v>70</v>
      </c>
      <c r="O14" s="197" t="s">
        <v>114</v>
      </c>
      <c r="P14" s="197" t="s">
        <v>99</v>
      </c>
      <c r="Q14" s="2272" t="s">
        <v>215</v>
      </c>
      <c r="R14" s="2272"/>
      <c r="S14" s="197" t="s">
        <v>171</v>
      </c>
      <c r="T14" s="2235" t="s">
        <v>46</v>
      </c>
      <c r="U14" s="189" t="s">
        <v>176</v>
      </c>
      <c r="V14" s="2260">
        <v>9805</v>
      </c>
      <c r="W14" s="2268"/>
      <c r="X14" s="2261"/>
    </row>
    <row r="15" spans="1:25" ht="22.5" customHeight="1" x14ac:dyDescent="0.25">
      <c r="A15" s="100" t="s">
        <v>38</v>
      </c>
      <c r="B15" s="2260">
        <v>241773</v>
      </c>
      <c r="C15" s="2261"/>
      <c r="D15" s="194">
        <v>0</v>
      </c>
      <c r="E15" s="194">
        <v>0</v>
      </c>
      <c r="F15" s="194">
        <v>3280</v>
      </c>
      <c r="G15" s="194">
        <v>0</v>
      </c>
      <c r="H15" s="194">
        <v>247</v>
      </c>
      <c r="I15" s="194">
        <v>52</v>
      </c>
      <c r="J15" s="194">
        <v>100</v>
      </c>
      <c r="K15" s="194">
        <v>50</v>
      </c>
      <c r="L15" s="194">
        <v>795</v>
      </c>
      <c r="M15" s="194">
        <v>0</v>
      </c>
      <c r="N15" s="194">
        <v>100</v>
      </c>
      <c r="O15" s="194">
        <v>0</v>
      </c>
      <c r="P15" s="194">
        <v>464</v>
      </c>
      <c r="Q15" s="2262">
        <v>86</v>
      </c>
      <c r="R15" s="2262"/>
      <c r="S15" s="189">
        <v>117</v>
      </c>
      <c r="T15" s="2235"/>
      <c r="U15" s="189" t="s">
        <v>64</v>
      </c>
      <c r="V15" s="2262">
        <v>228088</v>
      </c>
      <c r="W15" s="2262"/>
      <c r="X15" s="2262"/>
    </row>
    <row r="16" spans="1:25" ht="24.75" customHeight="1" x14ac:dyDescent="0.25">
      <c r="A16" s="100" t="s">
        <v>39</v>
      </c>
      <c r="B16" s="2260">
        <v>114285</v>
      </c>
      <c r="C16" s="2261"/>
      <c r="D16" s="194"/>
      <c r="E16" s="194"/>
      <c r="F16" s="194"/>
      <c r="G16" s="194"/>
      <c r="H16" s="194"/>
      <c r="I16" s="194"/>
      <c r="J16" s="194"/>
      <c r="K16" s="194"/>
      <c r="L16" s="194">
        <v>150</v>
      </c>
      <c r="M16" s="194"/>
      <c r="N16" s="194"/>
      <c r="O16" s="194"/>
      <c r="P16" s="194"/>
      <c r="Q16" s="2225"/>
      <c r="R16" s="2225"/>
      <c r="S16" s="194"/>
      <c r="T16" s="2254" t="s">
        <v>55</v>
      </c>
      <c r="U16" s="2254"/>
      <c r="V16" s="2267">
        <f>Y12</f>
        <v>172428.82750000001</v>
      </c>
      <c r="W16" s="2267"/>
      <c r="X16" s="2262"/>
    </row>
    <row r="17" spans="1:25" ht="28.5" customHeight="1" x14ac:dyDescent="0.25">
      <c r="A17" s="101" t="s">
        <v>44</v>
      </c>
      <c r="B17" s="2260"/>
      <c r="C17" s="2261"/>
      <c r="D17" s="194"/>
      <c r="E17" s="194"/>
      <c r="F17" s="194"/>
      <c r="G17" s="194"/>
      <c r="H17" s="194"/>
      <c r="I17" s="194"/>
      <c r="J17" s="194"/>
      <c r="K17" s="194"/>
      <c r="L17" s="194"/>
      <c r="M17" s="194"/>
      <c r="N17" s="194"/>
      <c r="O17" s="194"/>
      <c r="P17" s="194"/>
      <c r="Q17" s="2225"/>
      <c r="R17" s="2225"/>
      <c r="S17" s="191"/>
      <c r="T17" s="2273" t="s">
        <v>211</v>
      </c>
      <c r="U17" s="2274"/>
      <c r="V17" s="2262"/>
      <c r="W17" s="2262"/>
      <c r="X17" s="2262"/>
    </row>
    <row r="18" spans="1:25" ht="27" customHeight="1" x14ac:dyDescent="0.25">
      <c r="A18" s="100" t="s">
        <v>40</v>
      </c>
      <c r="B18" s="2264">
        <f>C12</f>
        <v>123279</v>
      </c>
      <c r="C18" s="2261"/>
      <c r="D18" s="195">
        <f>E12</f>
        <v>0</v>
      </c>
      <c r="E18" s="195">
        <f>G12</f>
        <v>0</v>
      </c>
      <c r="F18" s="195">
        <f>I12</f>
        <v>2840</v>
      </c>
      <c r="G18" s="195">
        <f>K12</f>
        <v>0</v>
      </c>
      <c r="H18" s="194">
        <v>150</v>
      </c>
      <c r="I18" s="195">
        <f>U12</f>
        <v>0</v>
      </c>
      <c r="J18" s="194"/>
      <c r="K18" s="195">
        <f>W12</f>
        <v>0</v>
      </c>
      <c r="L18" s="194"/>
      <c r="M18" s="195">
        <f>M12</f>
        <v>0</v>
      </c>
      <c r="N18" s="195">
        <f>O12</f>
        <v>0</v>
      </c>
      <c r="O18" s="196">
        <f>Q12</f>
        <v>0</v>
      </c>
      <c r="P18" s="194"/>
      <c r="Q18" s="2262"/>
      <c r="R18" s="2262"/>
      <c r="S18" s="189"/>
      <c r="T18" s="2254" t="s">
        <v>57</v>
      </c>
      <c r="U18" s="2254"/>
      <c r="V18" s="2262">
        <f>500+700+440</f>
        <v>1640</v>
      </c>
      <c r="W18" s="2262"/>
      <c r="X18" s="2262"/>
      <c r="Y18" s="2269" t="s">
        <v>224</v>
      </c>
    </row>
    <row r="19" spans="1:25" ht="25.5" customHeight="1" x14ac:dyDescent="0.25">
      <c r="A19" s="100" t="s">
        <v>41</v>
      </c>
      <c r="B19" s="2260">
        <f>B15+B16+B17-B18</f>
        <v>232779</v>
      </c>
      <c r="C19" s="2261"/>
      <c r="D19" s="194">
        <f>D15+D16+D17-D18</f>
        <v>0</v>
      </c>
      <c r="E19" s="194">
        <f t="shared" ref="E19:N19" si="13">E15+E16+E17-E18</f>
        <v>0</v>
      </c>
      <c r="F19" s="194">
        <f t="shared" si="13"/>
        <v>440</v>
      </c>
      <c r="G19" s="194">
        <f t="shared" si="13"/>
        <v>0</v>
      </c>
      <c r="H19" s="194">
        <f t="shared" si="13"/>
        <v>97</v>
      </c>
      <c r="I19" s="194">
        <f t="shared" si="13"/>
        <v>52</v>
      </c>
      <c r="J19" s="194">
        <f t="shared" si="13"/>
        <v>100</v>
      </c>
      <c r="K19" s="194">
        <f t="shared" si="13"/>
        <v>50</v>
      </c>
      <c r="L19" s="194">
        <f t="shared" si="13"/>
        <v>945</v>
      </c>
      <c r="M19" s="194">
        <f t="shared" si="13"/>
        <v>0</v>
      </c>
      <c r="N19" s="194">
        <f t="shared" si="13"/>
        <v>100</v>
      </c>
      <c r="O19" s="194">
        <f>O15+O16+O17-O18</f>
        <v>0</v>
      </c>
      <c r="P19" s="194">
        <f>P15+P16+P17-P18</f>
        <v>464</v>
      </c>
      <c r="Q19" s="2260">
        <f t="shared" ref="Q19" si="14">Q15+Q16+Q17-Q18</f>
        <v>86</v>
      </c>
      <c r="R19" s="2261"/>
      <c r="S19" s="189">
        <f>S15+S16-S17-S18</f>
        <v>117</v>
      </c>
      <c r="T19" s="2256" t="s">
        <v>48</v>
      </c>
      <c r="U19" s="49" t="s">
        <v>58</v>
      </c>
      <c r="V19" s="2262">
        <v>110000</v>
      </c>
      <c r="W19" s="2262"/>
      <c r="X19" s="2262"/>
      <c r="Y19" s="2269"/>
    </row>
    <row r="20" spans="1:25" ht="23.25" customHeight="1" x14ac:dyDescent="0.25">
      <c r="A20" s="11" t="s">
        <v>187</v>
      </c>
      <c r="B20" s="2278">
        <f>B19*0.9625</f>
        <v>224049.78750000001</v>
      </c>
      <c r="C20" s="2279"/>
      <c r="D20" s="191">
        <f>D19*13.56</f>
        <v>0</v>
      </c>
      <c r="E20" s="191">
        <f>28.2*E19</f>
        <v>0</v>
      </c>
      <c r="F20" s="191">
        <f>18.31*F19</f>
        <v>8056.4</v>
      </c>
      <c r="G20" s="191">
        <f>19.3*G19</f>
        <v>0</v>
      </c>
      <c r="H20" s="191">
        <f>241*H19</f>
        <v>23377</v>
      </c>
      <c r="I20" s="191">
        <f>223*I19</f>
        <v>11596</v>
      </c>
      <c r="J20" s="191">
        <f>241*J19</f>
        <v>24100</v>
      </c>
      <c r="K20" s="191">
        <f>K19*100</f>
        <v>5000</v>
      </c>
      <c r="L20" s="191">
        <f>241*L19</f>
        <v>227745</v>
      </c>
      <c r="M20" s="191">
        <f>9.65*M19</f>
        <v>0</v>
      </c>
      <c r="N20" s="191">
        <f>N19*48.2</f>
        <v>4820</v>
      </c>
      <c r="O20" s="191">
        <f>241*O19</f>
        <v>0</v>
      </c>
      <c r="P20" s="191">
        <f>241*P19</f>
        <v>111824</v>
      </c>
      <c r="Q20" s="2278">
        <f>241*Q19</f>
        <v>20726</v>
      </c>
      <c r="R20" s="2279"/>
      <c r="S20" s="191">
        <f>241*S19</f>
        <v>28197</v>
      </c>
      <c r="T20" s="2257"/>
      <c r="U20" s="49" t="s">
        <v>59</v>
      </c>
      <c r="V20" s="2262"/>
      <c r="W20" s="2262"/>
      <c r="X20" s="2262"/>
      <c r="Y20" s="2269"/>
    </row>
    <row r="21" spans="1:25" ht="32.25" customHeight="1" x14ac:dyDescent="0.25">
      <c r="A21" s="143" t="s">
        <v>186</v>
      </c>
      <c r="B21" s="2283">
        <f>SUM(B20:S20)</f>
        <v>689491.1875</v>
      </c>
      <c r="C21" s="2283"/>
      <c r="O21" s="198"/>
      <c r="P21" s="198"/>
      <c r="Q21" s="198"/>
      <c r="R21" s="198"/>
      <c r="T21" s="2273" t="s">
        <v>167</v>
      </c>
      <c r="U21" s="2274"/>
      <c r="V21" s="2260"/>
      <c r="W21" s="2268"/>
      <c r="X21" s="2261"/>
      <c r="Y21" s="2269"/>
    </row>
    <row r="22" spans="1:25" ht="35.25" customHeight="1" x14ac:dyDescent="0.25">
      <c r="A22" s="15"/>
      <c r="B22" s="2275" t="s">
        <v>49</v>
      </c>
      <c r="C22" s="2265">
        <v>792446</v>
      </c>
      <c r="D22" s="2265">
        <v>110000</v>
      </c>
      <c r="E22" s="2265">
        <v>110000</v>
      </c>
      <c r="F22" s="2265">
        <f>C22-D22+E22</f>
        <v>792446</v>
      </c>
      <c r="G22" s="198"/>
      <c r="Q22" s="198"/>
      <c r="R22" s="198"/>
      <c r="T22" s="2251" t="s">
        <v>83</v>
      </c>
      <c r="U22" s="50" t="s">
        <v>60</v>
      </c>
      <c r="V22" s="2262">
        <v>169130</v>
      </c>
      <c r="W22" s="2262"/>
      <c r="X22" s="2262"/>
      <c r="Y22" s="2269"/>
    </row>
    <row r="23" spans="1:25" ht="39.75" customHeight="1" x14ac:dyDescent="0.25">
      <c r="A23" s="198"/>
      <c r="B23" s="2276"/>
      <c r="C23" s="2266"/>
      <c r="D23" s="2266"/>
      <c r="E23" s="2266"/>
      <c r="F23" s="2266"/>
      <c r="G23" s="198"/>
      <c r="Q23" s="198"/>
      <c r="R23" s="198"/>
      <c r="T23" s="2252"/>
      <c r="U23" s="50" t="s">
        <v>61</v>
      </c>
      <c r="V23" s="2262">
        <v>110000</v>
      </c>
      <c r="W23" s="2262"/>
      <c r="X23" s="2262"/>
      <c r="Y23" s="2269"/>
    </row>
    <row r="24" spans="1:25" ht="48" customHeight="1" x14ac:dyDescent="0.25">
      <c r="A24" s="198"/>
      <c r="B24" s="2277"/>
      <c r="C24" s="189" t="s">
        <v>46</v>
      </c>
      <c r="D24" s="189" t="s">
        <v>50</v>
      </c>
      <c r="E24" s="189" t="s">
        <v>51</v>
      </c>
      <c r="F24" s="189" t="s">
        <v>52</v>
      </c>
      <c r="G24" s="198"/>
      <c r="Q24" s="198"/>
      <c r="R24" s="198"/>
      <c r="T24" s="2235" t="s">
        <v>47</v>
      </c>
      <c r="U24" s="51" t="s">
        <v>62</v>
      </c>
      <c r="V24" s="2263">
        <f>V14+V16+V17-V18-V19-V20-V22+V23-V21</f>
        <v>11463.827500000014</v>
      </c>
      <c r="W24" s="2263"/>
      <c r="X24" s="2263"/>
      <c r="Y24" s="2269"/>
    </row>
    <row r="25" spans="1:25" ht="40.5" customHeight="1" x14ac:dyDescent="0.25">
      <c r="T25" s="2235"/>
      <c r="U25" s="51" t="s">
        <v>63</v>
      </c>
      <c r="V25" s="2262">
        <f>V15+V22-V23</f>
        <v>287218</v>
      </c>
      <c r="W25" s="2262"/>
      <c r="X25" s="2262"/>
    </row>
    <row r="26" spans="1:25" ht="36" customHeight="1" x14ac:dyDescent="0.25"/>
    <row r="32" spans="1:25" x14ac:dyDescent="0.25">
      <c r="I32" s="2280"/>
      <c r="J32" s="2280"/>
      <c r="K32" s="2280"/>
      <c r="L32" s="2280"/>
    </row>
    <row r="33" spans="9:12" x14ac:dyDescent="0.25">
      <c r="I33" s="198"/>
      <c r="J33" s="198"/>
      <c r="K33" s="2280"/>
      <c r="L33" s="2280"/>
    </row>
  </sheetData>
  <mergeCells count="62">
    <mergeCell ref="I32:J32"/>
    <mergeCell ref="K32:L32"/>
    <mergeCell ref="K33:L33"/>
    <mergeCell ref="T22:T23"/>
    <mergeCell ref="V22:X22"/>
    <mergeCell ref="V23:X23"/>
    <mergeCell ref="T24:T25"/>
    <mergeCell ref="V24:X24"/>
    <mergeCell ref="V25:X25"/>
    <mergeCell ref="Y18:Y24"/>
    <mergeCell ref="B19:C19"/>
    <mergeCell ref="Q19:R19"/>
    <mergeCell ref="T19:T20"/>
    <mergeCell ref="V19:X19"/>
    <mergeCell ref="B20:C20"/>
    <mergeCell ref="B22:B24"/>
    <mergeCell ref="C22:C23"/>
    <mergeCell ref="D22:D23"/>
    <mergeCell ref="E22:E23"/>
    <mergeCell ref="F22:F23"/>
    <mergeCell ref="Q20:R20"/>
    <mergeCell ref="V20:X20"/>
    <mergeCell ref="B21:C21"/>
    <mergeCell ref="T21:U21"/>
    <mergeCell ref="V21:X21"/>
    <mergeCell ref="B17:C17"/>
    <mergeCell ref="Q17:R17"/>
    <mergeCell ref="T17:U17"/>
    <mergeCell ref="V17:X17"/>
    <mergeCell ref="B18:C18"/>
    <mergeCell ref="Q18:R18"/>
    <mergeCell ref="T18:U18"/>
    <mergeCell ref="V18:X18"/>
    <mergeCell ref="W4:X4"/>
    <mergeCell ref="B16:C16"/>
    <mergeCell ref="Q16:R16"/>
    <mergeCell ref="T16:U16"/>
    <mergeCell ref="V16:X16"/>
    <mergeCell ref="A12:B12"/>
    <mergeCell ref="B14:C14"/>
    <mergeCell ref="Q14:R14"/>
    <mergeCell ref="T14:T15"/>
    <mergeCell ref="V14:X14"/>
    <mergeCell ref="B15:C15"/>
    <mergeCell ref="Q15:R15"/>
    <mergeCell ref="V15:X15"/>
    <mergeCell ref="A1:Y1"/>
    <mergeCell ref="A2:Y2"/>
    <mergeCell ref="T3:Y3"/>
    <mergeCell ref="A4:A5"/>
    <mergeCell ref="B4:B5"/>
    <mergeCell ref="C4:D4"/>
    <mergeCell ref="E4:F4"/>
    <mergeCell ref="G4:H4"/>
    <mergeCell ref="I4:J4"/>
    <mergeCell ref="K4:L4"/>
    <mergeCell ref="Y4:Y5"/>
    <mergeCell ref="M4:N4"/>
    <mergeCell ref="O4:P4"/>
    <mergeCell ref="Q4:R4"/>
    <mergeCell ref="S4:T4"/>
    <mergeCell ref="U4:V4"/>
  </mergeCells>
  <pageMargins left="0.15748031496063" right="0.15748031496063" top="0" bottom="0" header="0" footer="0"/>
  <pageSetup paperSize="9" scale="47" orientation="landscape" r:id="rId1"/>
  <legacyDrawing r:id="rId2"/>
</worksheet>
</file>

<file path=xl/worksheets/sheet6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2781CDD-21E3-45DF-B4EE-A4551AB43A9B}">
  <sheetPr>
    <pageSetUpPr fitToPage="1"/>
  </sheetPr>
  <dimension ref="A1:Y33"/>
  <sheetViews>
    <sheetView topLeftCell="A13" zoomScale="69" zoomScaleNormal="69" zoomScaleSheetLayoutView="100" workbookViewId="0">
      <selection activeCell="V18" sqref="V18:X18"/>
    </sheetView>
  </sheetViews>
  <sheetFormatPr defaultColWidth="9.140625" defaultRowHeight="15" x14ac:dyDescent="0.25"/>
  <cols>
    <col min="1" max="1" width="18.28515625" style="14" customWidth="1"/>
    <col min="2" max="2" width="10.7109375" style="14" customWidth="1"/>
    <col min="3" max="3" width="12.28515625" style="14" customWidth="1"/>
    <col min="4" max="4" width="11" style="14" customWidth="1"/>
    <col min="5" max="5" width="12" style="14" customWidth="1"/>
    <col min="6" max="6" width="12.5703125" style="14" bestFit="1" customWidth="1"/>
    <col min="7" max="7" width="9.28515625" style="14" bestFit="1" customWidth="1"/>
    <col min="8" max="8" width="10.140625" style="14" bestFit="1" customWidth="1"/>
    <col min="9" max="9" width="10.5703125" style="14" bestFit="1" customWidth="1"/>
    <col min="10" max="10" width="10.5703125" style="14" customWidth="1"/>
    <col min="11" max="11" width="10.28515625" style="14" bestFit="1" customWidth="1"/>
    <col min="12" max="12" width="9.42578125" style="14" bestFit="1" customWidth="1"/>
    <col min="13" max="13" width="9.85546875" style="14" bestFit="1" customWidth="1"/>
    <col min="14" max="14" width="10.140625" style="14" bestFit="1" customWidth="1"/>
    <col min="15" max="15" width="9" style="14" customWidth="1"/>
    <col min="16" max="16" width="12.85546875" style="14" bestFit="1" customWidth="1"/>
    <col min="17" max="18" width="9.42578125" style="14" customWidth="1"/>
    <col min="19" max="19" width="13.7109375" style="14" customWidth="1"/>
    <col min="20" max="20" width="12.140625" style="14" customWidth="1"/>
    <col min="21" max="21" width="19.5703125" style="14" bestFit="1" customWidth="1"/>
    <col min="22" max="22" width="9.85546875" style="14" customWidth="1"/>
    <col min="23" max="23" width="10.140625" style="14" bestFit="1" customWidth="1"/>
    <col min="24" max="24" width="10.28515625" style="14" customWidth="1"/>
    <col min="25" max="25" width="28" style="14" customWidth="1"/>
    <col min="26" max="16384" width="9.140625" style="14"/>
  </cols>
  <sheetData>
    <row r="1" spans="1:25" ht="46.15" customHeight="1" x14ac:dyDescent="0.25">
      <c r="A1" s="2240" t="s">
        <v>148</v>
      </c>
      <c r="B1" s="2240"/>
      <c r="C1" s="2240"/>
      <c r="D1" s="2240"/>
      <c r="E1" s="2240"/>
      <c r="F1" s="2240"/>
      <c r="G1" s="2240"/>
      <c r="H1" s="2240"/>
      <c r="I1" s="2240"/>
      <c r="J1" s="2240"/>
      <c r="K1" s="2240"/>
      <c r="L1" s="2240"/>
      <c r="M1" s="2240"/>
      <c r="N1" s="2240"/>
      <c r="O1" s="2240"/>
      <c r="P1" s="2240"/>
      <c r="Q1" s="2240"/>
      <c r="R1" s="2240"/>
      <c r="S1" s="2240"/>
      <c r="T1" s="2240"/>
      <c r="U1" s="2240"/>
      <c r="V1" s="2240"/>
      <c r="W1" s="2240"/>
      <c r="X1" s="2240"/>
      <c r="Y1" s="2240"/>
    </row>
    <row r="2" spans="1:25" ht="21.6" customHeight="1" x14ac:dyDescent="0.25">
      <c r="A2" s="2241" t="s">
        <v>77</v>
      </c>
      <c r="B2" s="2241"/>
      <c r="C2" s="2241"/>
      <c r="D2" s="2241"/>
      <c r="E2" s="2241"/>
      <c r="F2" s="2241"/>
      <c r="G2" s="2241"/>
      <c r="H2" s="2241"/>
      <c r="I2" s="2241"/>
      <c r="J2" s="2241"/>
      <c r="K2" s="2241"/>
      <c r="L2" s="2241"/>
      <c r="M2" s="2241"/>
      <c r="N2" s="2241"/>
      <c r="O2" s="2241"/>
      <c r="P2" s="2241"/>
      <c r="Q2" s="2241"/>
      <c r="R2" s="2241"/>
      <c r="S2" s="2241"/>
      <c r="T2" s="2241"/>
      <c r="U2" s="2241"/>
      <c r="V2" s="2241"/>
      <c r="W2" s="2241"/>
      <c r="X2" s="2241"/>
      <c r="Y2" s="2241"/>
    </row>
    <row r="3" spans="1:25" ht="21" customHeight="1" x14ac:dyDescent="0.25">
      <c r="A3" s="188"/>
      <c r="B3" s="188"/>
      <c r="C3" s="188"/>
      <c r="D3" s="188"/>
      <c r="E3" s="188"/>
      <c r="F3" s="188"/>
      <c r="G3" s="188"/>
      <c r="H3" s="188"/>
      <c r="I3" s="188"/>
      <c r="J3" s="188"/>
      <c r="K3" s="188"/>
      <c r="L3" s="188"/>
      <c r="M3" s="188"/>
      <c r="N3" s="188"/>
      <c r="O3" s="188"/>
      <c r="P3" s="188"/>
      <c r="Q3" s="188"/>
      <c r="R3" s="188"/>
      <c r="S3" s="188"/>
      <c r="T3" s="2242" t="s">
        <v>225</v>
      </c>
      <c r="U3" s="2242"/>
      <c r="V3" s="2242"/>
      <c r="W3" s="2242"/>
      <c r="X3" s="2242"/>
      <c r="Y3" s="2242"/>
    </row>
    <row r="4" spans="1:25" s="188" customFormat="1" ht="18" customHeight="1" x14ac:dyDescent="0.25">
      <c r="A4" s="2243" t="s">
        <v>25</v>
      </c>
      <c r="B4" s="2243" t="s">
        <v>26</v>
      </c>
      <c r="C4" s="2244" t="s">
        <v>27</v>
      </c>
      <c r="D4" s="2244"/>
      <c r="E4" s="2244" t="s">
        <v>28</v>
      </c>
      <c r="F4" s="2244"/>
      <c r="G4" s="2244" t="s">
        <v>65</v>
      </c>
      <c r="H4" s="2244"/>
      <c r="I4" s="2244" t="s">
        <v>29</v>
      </c>
      <c r="J4" s="2244"/>
      <c r="K4" s="2245" t="s">
        <v>13</v>
      </c>
      <c r="L4" s="2246"/>
      <c r="M4" s="2245" t="s">
        <v>67</v>
      </c>
      <c r="N4" s="2246"/>
      <c r="O4" s="2245" t="s">
        <v>68</v>
      </c>
      <c r="P4" s="2246"/>
      <c r="Q4" s="2245" t="s">
        <v>114</v>
      </c>
      <c r="R4" s="2246"/>
      <c r="S4" s="2244" t="s">
        <v>35</v>
      </c>
      <c r="T4" s="2244"/>
      <c r="U4" s="2245" t="s">
        <v>17</v>
      </c>
      <c r="V4" s="2246"/>
      <c r="W4" s="2247" t="s">
        <v>36</v>
      </c>
      <c r="X4" s="2248"/>
      <c r="Y4" s="2238" t="s">
        <v>30</v>
      </c>
    </row>
    <row r="5" spans="1:25" s="188" customFormat="1" ht="25.5" customHeight="1" x14ac:dyDescent="0.25">
      <c r="A5" s="2243"/>
      <c r="B5" s="2243"/>
      <c r="C5" s="190" t="s">
        <v>42</v>
      </c>
      <c r="D5" s="190" t="s">
        <v>43</v>
      </c>
      <c r="E5" s="190" t="s">
        <v>42</v>
      </c>
      <c r="F5" s="190" t="s">
        <v>43</v>
      </c>
      <c r="G5" s="190" t="s">
        <v>42</v>
      </c>
      <c r="H5" s="190" t="s">
        <v>43</v>
      </c>
      <c r="I5" s="190" t="s">
        <v>42</v>
      </c>
      <c r="J5" s="190" t="s">
        <v>43</v>
      </c>
      <c r="K5" s="190" t="s">
        <v>42</v>
      </c>
      <c r="L5" s="190" t="s">
        <v>43</v>
      </c>
      <c r="M5" s="190" t="s">
        <v>42</v>
      </c>
      <c r="N5" s="190" t="s">
        <v>43</v>
      </c>
      <c r="O5" s="190" t="s">
        <v>42</v>
      </c>
      <c r="P5" s="190" t="s">
        <v>43</v>
      </c>
      <c r="Q5" s="190" t="s">
        <v>42</v>
      </c>
      <c r="R5" s="190" t="s">
        <v>43</v>
      </c>
      <c r="S5" s="33" t="s">
        <v>42</v>
      </c>
      <c r="T5" s="33" t="s">
        <v>43</v>
      </c>
      <c r="U5" s="30" t="s">
        <v>42</v>
      </c>
      <c r="V5" s="30" t="s">
        <v>43</v>
      </c>
      <c r="W5" s="30" t="s">
        <v>42</v>
      </c>
      <c r="X5" s="30" t="s">
        <v>43</v>
      </c>
      <c r="Y5" s="2239"/>
    </row>
    <row r="6" spans="1:25" ht="34.5" customHeight="1" x14ac:dyDescent="0.25">
      <c r="A6" s="12">
        <v>1409935200</v>
      </c>
      <c r="B6" s="189" t="s">
        <v>71</v>
      </c>
      <c r="C6" s="192">
        <v>28805</v>
      </c>
      <c r="D6" s="193">
        <f>0.9725*C6</f>
        <v>28012.862499999999</v>
      </c>
      <c r="E6" s="192"/>
      <c r="F6" s="192">
        <f>13.7*E6</f>
        <v>0</v>
      </c>
      <c r="G6" s="192"/>
      <c r="H6" s="192">
        <f>28.2*G6</f>
        <v>0</v>
      </c>
      <c r="I6" s="192">
        <v>270</v>
      </c>
      <c r="J6" s="192">
        <f>18.5*I6</f>
        <v>4995</v>
      </c>
      <c r="K6" s="192"/>
      <c r="L6" s="192">
        <f>19.5*K6</f>
        <v>0</v>
      </c>
      <c r="M6" s="192"/>
      <c r="N6" s="193">
        <f>M6*9.75</f>
        <v>0</v>
      </c>
      <c r="O6" s="192"/>
      <c r="P6" s="193">
        <f>O6*48.62</f>
        <v>0</v>
      </c>
      <c r="Q6" s="193"/>
      <c r="R6" s="193">
        <f>241*Q6</f>
        <v>0</v>
      </c>
      <c r="S6" s="192"/>
      <c r="T6" s="192">
        <f>241*S6</f>
        <v>0</v>
      </c>
      <c r="U6" s="192">
        <v>8</v>
      </c>
      <c r="V6" s="192">
        <f>232*U6</f>
        <v>1856</v>
      </c>
      <c r="W6" s="192"/>
      <c r="X6" s="19">
        <f>W6*100</f>
        <v>0</v>
      </c>
      <c r="Y6" s="89">
        <f t="shared" ref="Y6:Y11" si="0">D6+F6+H6+J6+L6+N6+P6+R6+T6+V6+X6</f>
        <v>34863.862500000003</v>
      </c>
    </row>
    <row r="7" spans="1:25" ht="31.5" customHeight="1" x14ac:dyDescent="0.25">
      <c r="A7" s="12">
        <v>1984225578</v>
      </c>
      <c r="B7" s="189" t="s">
        <v>72</v>
      </c>
      <c r="C7" s="192">
        <v>28466</v>
      </c>
      <c r="D7" s="193">
        <f t="shared" ref="D7:D11" si="1">0.9725*C7</f>
        <v>27683.185000000001</v>
      </c>
      <c r="E7" s="192"/>
      <c r="F7" s="192">
        <f t="shared" ref="F7:F11" si="2">13.7*E7</f>
        <v>0</v>
      </c>
      <c r="G7" s="192"/>
      <c r="H7" s="192">
        <f t="shared" ref="H7:H11" si="3">28.2*G7</f>
        <v>0</v>
      </c>
      <c r="I7" s="192"/>
      <c r="J7" s="192">
        <f t="shared" ref="J7:J11" si="4">18.5*I7</f>
        <v>0</v>
      </c>
      <c r="K7" s="192"/>
      <c r="L7" s="192">
        <f t="shared" ref="L7:L11" si="5">19.5*K7</f>
        <v>0</v>
      </c>
      <c r="M7" s="192"/>
      <c r="N7" s="193">
        <f t="shared" ref="N7:N11" si="6">M7*9.75</f>
        <v>0</v>
      </c>
      <c r="O7" s="192"/>
      <c r="P7" s="193">
        <f t="shared" ref="P7:P11" si="7">O7*48.62</f>
        <v>0</v>
      </c>
      <c r="Q7" s="193"/>
      <c r="R7" s="193">
        <f t="shared" ref="R7:R11" si="8">241*Q7</f>
        <v>0</v>
      </c>
      <c r="S7" s="192"/>
      <c r="T7" s="192">
        <f t="shared" ref="T7:T11" si="9">241*S7</f>
        <v>0</v>
      </c>
      <c r="U7" s="192"/>
      <c r="V7" s="192">
        <f t="shared" ref="V7:V11" si="10">232*U7</f>
        <v>0</v>
      </c>
      <c r="W7" s="192"/>
      <c r="X7" s="19">
        <f t="shared" ref="X7:X11" si="11">W7*100</f>
        <v>0</v>
      </c>
      <c r="Y7" s="89">
        <f t="shared" si="0"/>
        <v>27683.185000000001</v>
      </c>
    </row>
    <row r="8" spans="1:25" ht="35.25" customHeight="1" x14ac:dyDescent="0.25">
      <c r="A8" s="12">
        <v>1967020280</v>
      </c>
      <c r="B8" s="189" t="s">
        <v>73</v>
      </c>
      <c r="C8" s="192">
        <v>21213</v>
      </c>
      <c r="D8" s="193">
        <f t="shared" si="1"/>
        <v>20629.642500000002</v>
      </c>
      <c r="E8" s="192"/>
      <c r="F8" s="192">
        <f t="shared" si="2"/>
        <v>0</v>
      </c>
      <c r="G8" s="192"/>
      <c r="H8" s="192">
        <f t="shared" si="3"/>
        <v>0</v>
      </c>
      <c r="I8" s="192">
        <v>170</v>
      </c>
      <c r="J8" s="192">
        <f t="shared" si="4"/>
        <v>3145</v>
      </c>
      <c r="K8" s="192"/>
      <c r="L8" s="192">
        <f t="shared" si="5"/>
        <v>0</v>
      </c>
      <c r="M8" s="192"/>
      <c r="N8" s="193">
        <f t="shared" si="6"/>
        <v>0</v>
      </c>
      <c r="O8" s="192"/>
      <c r="P8" s="193">
        <f t="shared" si="7"/>
        <v>0</v>
      </c>
      <c r="Q8" s="193"/>
      <c r="R8" s="193">
        <f t="shared" si="8"/>
        <v>0</v>
      </c>
      <c r="S8" s="192"/>
      <c r="T8" s="192">
        <f t="shared" si="9"/>
        <v>0</v>
      </c>
      <c r="U8" s="192"/>
      <c r="V8" s="192">
        <f t="shared" si="10"/>
        <v>0</v>
      </c>
      <c r="W8" s="192"/>
      <c r="X8" s="19">
        <f t="shared" si="11"/>
        <v>0</v>
      </c>
      <c r="Y8" s="89">
        <f t="shared" si="0"/>
        <v>23774.642500000002</v>
      </c>
    </row>
    <row r="9" spans="1:25" ht="38.25" customHeight="1" x14ac:dyDescent="0.25">
      <c r="A9" s="12">
        <v>1409935199</v>
      </c>
      <c r="B9" s="189" t="s">
        <v>75</v>
      </c>
      <c r="C9" s="192">
        <v>33012</v>
      </c>
      <c r="D9" s="193">
        <f t="shared" si="1"/>
        <v>32104.170000000002</v>
      </c>
      <c r="E9" s="192"/>
      <c r="F9" s="192">
        <f t="shared" si="2"/>
        <v>0</v>
      </c>
      <c r="G9" s="192"/>
      <c r="H9" s="192">
        <f t="shared" si="3"/>
        <v>0</v>
      </c>
      <c r="I9" s="192"/>
      <c r="J9" s="192">
        <f t="shared" si="4"/>
        <v>0</v>
      </c>
      <c r="K9" s="192"/>
      <c r="L9" s="192">
        <f t="shared" si="5"/>
        <v>0</v>
      </c>
      <c r="M9" s="192"/>
      <c r="N9" s="193">
        <f t="shared" si="6"/>
        <v>0</v>
      </c>
      <c r="O9" s="192"/>
      <c r="P9" s="193">
        <f t="shared" si="7"/>
        <v>0</v>
      </c>
      <c r="Q9" s="193"/>
      <c r="R9" s="193">
        <f t="shared" si="8"/>
        <v>0</v>
      </c>
      <c r="S9" s="192">
        <v>5</v>
      </c>
      <c r="T9" s="192">
        <f t="shared" si="9"/>
        <v>1205</v>
      </c>
      <c r="U9" s="192"/>
      <c r="V9" s="192">
        <f t="shared" si="10"/>
        <v>0</v>
      </c>
      <c r="W9" s="192"/>
      <c r="X9" s="19">
        <f t="shared" si="11"/>
        <v>0</v>
      </c>
      <c r="Y9" s="89">
        <f t="shared" si="0"/>
        <v>33309.17</v>
      </c>
    </row>
    <row r="10" spans="1:25" ht="35.25" customHeight="1" x14ac:dyDescent="0.25">
      <c r="A10" s="12">
        <v>1984225580</v>
      </c>
      <c r="C10" s="192"/>
      <c r="D10" s="193">
        <f t="shared" si="1"/>
        <v>0</v>
      </c>
      <c r="E10" s="192"/>
      <c r="F10" s="192">
        <f t="shared" si="2"/>
        <v>0</v>
      </c>
      <c r="G10" s="192"/>
      <c r="H10" s="192">
        <f t="shared" si="3"/>
        <v>0</v>
      </c>
      <c r="I10" s="192"/>
      <c r="J10" s="192">
        <f t="shared" si="4"/>
        <v>0</v>
      </c>
      <c r="K10" s="192"/>
      <c r="L10" s="192">
        <f t="shared" si="5"/>
        <v>0</v>
      </c>
      <c r="M10" s="192"/>
      <c r="N10" s="193">
        <f t="shared" si="6"/>
        <v>0</v>
      </c>
      <c r="O10" s="192"/>
      <c r="P10" s="193">
        <f t="shared" si="7"/>
        <v>0</v>
      </c>
      <c r="Q10" s="193"/>
      <c r="R10" s="193">
        <f t="shared" si="8"/>
        <v>0</v>
      </c>
      <c r="S10" s="192"/>
      <c r="T10" s="192">
        <f t="shared" si="9"/>
        <v>0</v>
      </c>
      <c r="U10" s="192"/>
      <c r="V10" s="192">
        <f t="shared" si="10"/>
        <v>0</v>
      </c>
      <c r="W10" s="192"/>
      <c r="X10" s="19">
        <f t="shared" si="11"/>
        <v>0</v>
      </c>
      <c r="Y10" s="89">
        <f t="shared" si="0"/>
        <v>0</v>
      </c>
    </row>
    <row r="11" spans="1:25" ht="37.5" customHeight="1" x14ac:dyDescent="0.25">
      <c r="A11" s="12"/>
      <c r="B11" s="191"/>
      <c r="C11" s="192"/>
      <c r="D11" s="22">
        <f t="shared" si="1"/>
        <v>0</v>
      </c>
      <c r="E11" s="192"/>
      <c r="F11" s="192">
        <f t="shared" si="2"/>
        <v>0</v>
      </c>
      <c r="G11" s="192"/>
      <c r="H11" s="192">
        <f t="shared" si="3"/>
        <v>0</v>
      </c>
      <c r="I11" s="192"/>
      <c r="J11" s="192">
        <f t="shared" si="4"/>
        <v>0</v>
      </c>
      <c r="K11" s="192"/>
      <c r="L11" s="192">
        <f t="shared" si="5"/>
        <v>0</v>
      </c>
      <c r="M11" s="192"/>
      <c r="N11" s="193">
        <f t="shared" si="6"/>
        <v>0</v>
      </c>
      <c r="O11" s="192"/>
      <c r="P11" s="193">
        <f t="shared" si="7"/>
        <v>0</v>
      </c>
      <c r="Q11" s="193"/>
      <c r="R11" s="193">
        <f t="shared" si="8"/>
        <v>0</v>
      </c>
      <c r="S11" s="192">
        <v>47</v>
      </c>
      <c r="T11" s="192">
        <f t="shared" si="9"/>
        <v>11327</v>
      </c>
      <c r="U11" s="192"/>
      <c r="V11" s="192">
        <f t="shared" si="10"/>
        <v>0</v>
      </c>
      <c r="W11" s="192"/>
      <c r="X11" s="19">
        <f t="shared" si="11"/>
        <v>0</v>
      </c>
      <c r="Y11" s="20">
        <f t="shared" si="0"/>
        <v>11327</v>
      </c>
    </row>
    <row r="12" spans="1:25" ht="29.25" customHeight="1" x14ac:dyDescent="0.25">
      <c r="A12" s="2235" t="s">
        <v>31</v>
      </c>
      <c r="B12" s="2235"/>
      <c r="C12" s="18">
        <f t="shared" ref="C12:Y12" si="12">SUM(C6:C11)</f>
        <v>111496</v>
      </c>
      <c r="D12" s="18">
        <f t="shared" si="12"/>
        <v>108429.86</v>
      </c>
      <c r="E12" s="18">
        <f t="shared" si="12"/>
        <v>0</v>
      </c>
      <c r="F12" s="18">
        <f t="shared" si="12"/>
        <v>0</v>
      </c>
      <c r="G12" s="18">
        <f t="shared" si="12"/>
        <v>0</v>
      </c>
      <c r="H12" s="18">
        <f t="shared" si="12"/>
        <v>0</v>
      </c>
      <c r="I12" s="18">
        <f t="shared" si="12"/>
        <v>440</v>
      </c>
      <c r="J12" s="18">
        <f t="shared" si="12"/>
        <v>8140</v>
      </c>
      <c r="K12" s="18">
        <f t="shared" si="12"/>
        <v>0</v>
      </c>
      <c r="L12" s="18">
        <f t="shared" si="12"/>
        <v>0</v>
      </c>
      <c r="M12" s="18">
        <f t="shared" si="12"/>
        <v>0</v>
      </c>
      <c r="N12" s="23">
        <f t="shared" si="12"/>
        <v>0</v>
      </c>
      <c r="O12" s="18">
        <f t="shared" si="12"/>
        <v>0</v>
      </c>
      <c r="P12" s="23">
        <f t="shared" si="12"/>
        <v>0</v>
      </c>
      <c r="Q12" s="23">
        <f t="shared" si="12"/>
        <v>0</v>
      </c>
      <c r="R12" s="23">
        <f>SUM(R6:R11)</f>
        <v>0</v>
      </c>
      <c r="S12" s="18">
        <f t="shared" si="12"/>
        <v>52</v>
      </c>
      <c r="T12" s="18">
        <f t="shared" si="12"/>
        <v>12532</v>
      </c>
      <c r="U12" s="18">
        <f t="shared" si="12"/>
        <v>8</v>
      </c>
      <c r="V12" s="18">
        <f t="shared" si="12"/>
        <v>1856</v>
      </c>
      <c r="W12" s="18">
        <f t="shared" si="12"/>
        <v>0</v>
      </c>
      <c r="X12" s="18">
        <f t="shared" si="12"/>
        <v>0</v>
      </c>
      <c r="Y12" s="18">
        <f t="shared" si="12"/>
        <v>130957.86</v>
      </c>
    </row>
    <row r="14" spans="1:25" ht="41.25" customHeight="1" x14ac:dyDescent="0.25">
      <c r="A14" s="30" t="s">
        <v>32</v>
      </c>
      <c r="B14" s="2236" t="s">
        <v>27</v>
      </c>
      <c r="C14" s="2236"/>
      <c r="D14" s="30" t="s">
        <v>33</v>
      </c>
      <c r="E14" s="30" t="s">
        <v>65</v>
      </c>
      <c r="F14" s="30" t="s">
        <v>34</v>
      </c>
      <c r="G14" s="30" t="s">
        <v>13</v>
      </c>
      <c r="H14" s="142" t="s">
        <v>173</v>
      </c>
      <c r="I14" s="30" t="s">
        <v>17</v>
      </c>
      <c r="J14" s="197" t="s">
        <v>174</v>
      </c>
      <c r="K14" s="30" t="s">
        <v>36</v>
      </c>
      <c r="L14" s="30" t="s">
        <v>175</v>
      </c>
      <c r="M14" s="30" t="s">
        <v>69</v>
      </c>
      <c r="N14" s="30" t="s">
        <v>70</v>
      </c>
      <c r="O14" s="197" t="s">
        <v>114</v>
      </c>
      <c r="P14" s="197" t="s">
        <v>99</v>
      </c>
      <c r="Q14" s="2272" t="s">
        <v>215</v>
      </c>
      <c r="R14" s="2272"/>
      <c r="S14" s="197" t="s">
        <v>171</v>
      </c>
      <c r="T14" s="2235" t="s">
        <v>46</v>
      </c>
      <c r="U14" s="189" t="s">
        <v>176</v>
      </c>
      <c r="V14" s="2260">
        <v>11464</v>
      </c>
      <c r="W14" s="2268"/>
      <c r="X14" s="2261"/>
    </row>
    <row r="15" spans="1:25" ht="22.5" customHeight="1" x14ac:dyDescent="0.25">
      <c r="A15" s="100" t="s">
        <v>38</v>
      </c>
      <c r="B15" s="2260">
        <v>232779</v>
      </c>
      <c r="C15" s="2261"/>
      <c r="D15" s="194">
        <v>0</v>
      </c>
      <c r="E15" s="194">
        <v>0</v>
      </c>
      <c r="F15" s="194">
        <v>440</v>
      </c>
      <c r="G15" s="194">
        <v>0</v>
      </c>
      <c r="H15" s="194">
        <v>97</v>
      </c>
      <c r="I15" s="194">
        <v>52</v>
      </c>
      <c r="J15" s="194">
        <v>100</v>
      </c>
      <c r="K15" s="194">
        <v>50</v>
      </c>
      <c r="L15" s="194">
        <v>945</v>
      </c>
      <c r="M15" s="194">
        <v>0</v>
      </c>
      <c r="N15" s="194">
        <v>100</v>
      </c>
      <c r="O15" s="194">
        <v>0</v>
      </c>
      <c r="P15" s="194">
        <v>464</v>
      </c>
      <c r="Q15" s="2262">
        <v>86</v>
      </c>
      <c r="R15" s="2262"/>
      <c r="S15" s="189">
        <v>117</v>
      </c>
      <c r="T15" s="2235"/>
      <c r="U15" s="189" t="s">
        <v>64</v>
      </c>
      <c r="V15" s="2262">
        <v>287218</v>
      </c>
      <c r="W15" s="2262"/>
      <c r="X15" s="2262"/>
    </row>
    <row r="16" spans="1:25" ht="24.75" customHeight="1" x14ac:dyDescent="0.25">
      <c r="A16" s="100" t="s">
        <v>39</v>
      </c>
      <c r="B16" s="2260">
        <v>114285</v>
      </c>
      <c r="C16" s="2261"/>
      <c r="D16" s="194"/>
      <c r="E16" s="194"/>
      <c r="F16" s="194"/>
      <c r="G16" s="194"/>
      <c r="H16" s="194"/>
      <c r="I16" s="194"/>
      <c r="J16" s="194"/>
      <c r="K16" s="194"/>
      <c r="L16" s="194">
        <v>50</v>
      </c>
      <c r="M16" s="194"/>
      <c r="N16" s="194"/>
      <c r="O16" s="194"/>
      <c r="P16" s="194"/>
      <c r="Q16" s="2225"/>
      <c r="R16" s="2225"/>
      <c r="S16" s="194"/>
      <c r="T16" s="2254" t="s">
        <v>55</v>
      </c>
      <c r="U16" s="2254"/>
      <c r="V16" s="2267">
        <f>Y12</f>
        <v>130957.86</v>
      </c>
      <c r="W16" s="2267"/>
      <c r="X16" s="2262"/>
    </row>
    <row r="17" spans="1:25" ht="28.5" customHeight="1" x14ac:dyDescent="0.25">
      <c r="A17" s="101" t="s">
        <v>44</v>
      </c>
      <c r="B17" s="2260"/>
      <c r="C17" s="2261"/>
      <c r="D17" s="194"/>
      <c r="E17" s="194"/>
      <c r="F17" s="194"/>
      <c r="G17" s="194"/>
      <c r="H17" s="194"/>
      <c r="I17" s="194"/>
      <c r="J17" s="194"/>
      <c r="K17" s="194"/>
      <c r="L17" s="194"/>
      <c r="M17" s="194"/>
      <c r="N17" s="194"/>
      <c r="O17" s="194"/>
      <c r="P17" s="194"/>
      <c r="Q17" s="2225"/>
      <c r="R17" s="2225"/>
      <c r="S17" s="191"/>
      <c r="T17" s="2273" t="s">
        <v>211</v>
      </c>
      <c r="U17" s="2274"/>
      <c r="V17" s="2262">
        <v>150000</v>
      </c>
      <c r="W17" s="2262"/>
      <c r="X17" s="2262"/>
    </row>
    <row r="18" spans="1:25" ht="27" customHeight="1" x14ac:dyDescent="0.25">
      <c r="A18" s="100" t="s">
        <v>40</v>
      </c>
      <c r="B18" s="2264">
        <f>C12</f>
        <v>111496</v>
      </c>
      <c r="C18" s="2261"/>
      <c r="D18" s="195">
        <f>E12</f>
        <v>0</v>
      </c>
      <c r="E18" s="195">
        <f>G12</f>
        <v>0</v>
      </c>
      <c r="F18" s="195">
        <f>I12</f>
        <v>440</v>
      </c>
      <c r="G18" s="195">
        <f>K12</f>
        <v>0</v>
      </c>
      <c r="H18" s="194">
        <v>55</v>
      </c>
      <c r="I18" s="195">
        <f>U12</f>
        <v>8</v>
      </c>
      <c r="J18" s="194"/>
      <c r="K18" s="195">
        <f>W12</f>
        <v>0</v>
      </c>
      <c r="L18" s="194"/>
      <c r="M18" s="195">
        <f>M12</f>
        <v>0</v>
      </c>
      <c r="N18" s="195">
        <f>O12</f>
        <v>0</v>
      </c>
      <c r="O18" s="196">
        <f>Q12</f>
        <v>0</v>
      </c>
      <c r="P18" s="194">
        <v>47</v>
      </c>
      <c r="Q18" s="2262"/>
      <c r="R18" s="2262"/>
      <c r="S18" s="189"/>
      <c r="T18" s="2254" t="s">
        <v>57</v>
      </c>
      <c r="U18" s="2254"/>
      <c r="V18" s="2262">
        <f>450+1275</f>
        <v>1725</v>
      </c>
      <c r="W18" s="2262"/>
      <c r="X18" s="2262"/>
      <c r="Y18" s="2269" t="s">
        <v>226</v>
      </c>
    </row>
    <row r="19" spans="1:25" ht="25.5" customHeight="1" x14ac:dyDescent="0.25">
      <c r="A19" s="100" t="s">
        <v>41</v>
      </c>
      <c r="B19" s="2260">
        <f>B15+B16+B17-B18</f>
        <v>235568</v>
      </c>
      <c r="C19" s="2261"/>
      <c r="D19" s="194">
        <f>D15+D16+D17-D18</f>
        <v>0</v>
      </c>
      <c r="E19" s="194">
        <f t="shared" ref="E19:N19" si="13">E15+E16+E17-E18</f>
        <v>0</v>
      </c>
      <c r="F19" s="194">
        <f t="shared" si="13"/>
        <v>0</v>
      </c>
      <c r="G19" s="194">
        <f t="shared" si="13"/>
        <v>0</v>
      </c>
      <c r="H19" s="194">
        <f t="shared" si="13"/>
        <v>42</v>
      </c>
      <c r="I19" s="194">
        <f t="shared" si="13"/>
        <v>44</v>
      </c>
      <c r="J19" s="194">
        <f t="shared" si="13"/>
        <v>100</v>
      </c>
      <c r="K19" s="194">
        <f t="shared" si="13"/>
        <v>50</v>
      </c>
      <c r="L19" s="194">
        <f t="shared" si="13"/>
        <v>995</v>
      </c>
      <c r="M19" s="194">
        <f t="shared" si="13"/>
        <v>0</v>
      </c>
      <c r="N19" s="194">
        <f t="shared" si="13"/>
        <v>100</v>
      </c>
      <c r="O19" s="194">
        <f>O15+O16+O17-O18</f>
        <v>0</v>
      </c>
      <c r="P19" s="194">
        <f>P15+P16+P17-P18</f>
        <v>417</v>
      </c>
      <c r="Q19" s="2260">
        <f t="shared" ref="Q19" si="14">Q15+Q16+Q17-Q18</f>
        <v>86</v>
      </c>
      <c r="R19" s="2261"/>
      <c r="S19" s="189">
        <f>S15+S16-S17-S18</f>
        <v>117</v>
      </c>
      <c r="T19" s="2256" t="s">
        <v>48</v>
      </c>
      <c r="U19" s="49" t="s">
        <v>58</v>
      </c>
      <c r="V19" s="2262">
        <v>554000</v>
      </c>
      <c r="W19" s="2262"/>
      <c r="X19" s="2262"/>
      <c r="Y19" s="2269"/>
    </row>
    <row r="20" spans="1:25" ht="23.25" customHeight="1" x14ac:dyDescent="0.25">
      <c r="A20" s="11" t="s">
        <v>187</v>
      </c>
      <c r="B20" s="2278">
        <f>B19*0.9625</f>
        <v>226734.2</v>
      </c>
      <c r="C20" s="2279"/>
      <c r="D20" s="191">
        <f>D19*13.56</f>
        <v>0</v>
      </c>
      <c r="E20" s="191">
        <f>28.2*E19</f>
        <v>0</v>
      </c>
      <c r="F20" s="191">
        <f>18.31*F19</f>
        <v>0</v>
      </c>
      <c r="G20" s="191">
        <f>19.3*G19</f>
        <v>0</v>
      </c>
      <c r="H20" s="191">
        <f>241*H19</f>
        <v>10122</v>
      </c>
      <c r="I20" s="191">
        <f>223*I19</f>
        <v>9812</v>
      </c>
      <c r="J20" s="191">
        <f>241*J19</f>
        <v>24100</v>
      </c>
      <c r="K20" s="191">
        <f>K19*100</f>
        <v>5000</v>
      </c>
      <c r="L20" s="191">
        <f>241*L19</f>
        <v>239795</v>
      </c>
      <c r="M20" s="191">
        <f>9.65*M19</f>
        <v>0</v>
      </c>
      <c r="N20" s="191">
        <f>N19*48.2</f>
        <v>4820</v>
      </c>
      <c r="O20" s="191">
        <f>241*O19</f>
        <v>0</v>
      </c>
      <c r="P20" s="191">
        <f>241*P19</f>
        <v>100497</v>
      </c>
      <c r="Q20" s="2278">
        <f>241*Q19</f>
        <v>20726</v>
      </c>
      <c r="R20" s="2279"/>
      <c r="S20" s="191">
        <f>241*S19</f>
        <v>28197</v>
      </c>
      <c r="T20" s="2257"/>
      <c r="U20" s="49" t="s">
        <v>59</v>
      </c>
      <c r="V20" s="2262"/>
      <c r="W20" s="2262"/>
      <c r="X20" s="2262"/>
      <c r="Y20" s="2269"/>
    </row>
    <row r="21" spans="1:25" ht="32.25" customHeight="1" x14ac:dyDescent="0.25">
      <c r="A21" s="143" t="s">
        <v>186</v>
      </c>
      <c r="B21" s="2283">
        <f>SUM(B20:S20)</f>
        <v>669803.19999999995</v>
      </c>
      <c r="C21" s="2283"/>
      <c r="O21" s="198"/>
      <c r="P21" s="198"/>
      <c r="Q21" s="198"/>
      <c r="R21" s="198"/>
      <c r="T21" s="2273" t="s">
        <v>167</v>
      </c>
      <c r="U21" s="2274"/>
      <c r="V21" s="2260"/>
      <c r="W21" s="2268"/>
      <c r="X21" s="2261"/>
      <c r="Y21" s="2269"/>
    </row>
    <row r="22" spans="1:25" ht="35.25" customHeight="1" x14ac:dyDescent="0.25">
      <c r="A22" s="15"/>
      <c r="B22" s="2275" t="s">
        <v>49</v>
      </c>
      <c r="C22" s="2265">
        <v>792446</v>
      </c>
      <c r="D22" s="2265">
        <v>554000</v>
      </c>
      <c r="E22" s="2265">
        <v>110000</v>
      </c>
      <c r="F22" s="2265">
        <f>C22-D22+E22</f>
        <v>348446</v>
      </c>
      <c r="G22" s="198"/>
      <c r="Q22" s="198"/>
      <c r="R22" s="198"/>
      <c r="T22" s="2251" t="s">
        <v>83</v>
      </c>
      <c r="U22" s="50" t="s">
        <v>60</v>
      </c>
      <c r="V22" s="2262">
        <v>127990</v>
      </c>
      <c r="W22" s="2262"/>
      <c r="X22" s="2262"/>
      <c r="Y22" s="2269"/>
    </row>
    <row r="23" spans="1:25" ht="39.75" customHeight="1" x14ac:dyDescent="0.25">
      <c r="A23" s="198"/>
      <c r="B23" s="2276"/>
      <c r="C23" s="2266"/>
      <c r="D23" s="2266"/>
      <c r="E23" s="2266"/>
      <c r="F23" s="2266"/>
      <c r="G23" s="198"/>
      <c r="Q23" s="198"/>
      <c r="R23" s="198"/>
      <c r="T23" s="2252"/>
      <c r="U23" s="50" t="s">
        <v>61</v>
      </c>
      <c r="V23" s="2262">
        <v>404000</v>
      </c>
      <c r="W23" s="2262"/>
      <c r="X23" s="2262"/>
      <c r="Y23" s="2269"/>
    </row>
    <row r="24" spans="1:25" ht="48" customHeight="1" x14ac:dyDescent="0.25">
      <c r="A24" s="198"/>
      <c r="B24" s="2277"/>
      <c r="C24" s="189" t="s">
        <v>46</v>
      </c>
      <c r="D24" s="189" t="s">
        <v>50</v>
      </c>
      <c r="E24" s="189" t="s">
        <v>51</v>
      </c>
      <c r="F24" s="189" t="s">
        <v>52</v>
      </c>
      <c r="G24" s="198"/>
      <c r="Q24" s="198"/>
      <c r="R24" s="198"/>
      <c r="T24" s="2235" t="s">
        <v>47</v>
      </c>
      <c r="U24" s="51" t="s">
        <v>62</v>
      </c>
      <c r="V24" s="2263">
        <f>V14+V16+V17-V18-V19-V20-V22+V23-V21</f>
        <v>12706.859999999986</v>
      </c>
      <c r="W24" s="2263"/>
      <c r="X24" s="2263"/>
      <c r="Y24" s="2269"/>
    </row>
    <row r="25" spans="1:25" ht="40.5" customHeight="1" x14ac:dyDescent="0.25">
      <c r="T25" s="2235"/>
      <c r="U25" s="51" t="s">
        <v>63</v>
      </c>
      <c r="V25" s="2262">
        <f>V15+V22-V23</f>
        <v>11208</v>
      </c>
      <c r="W25" s="2262"/>
      <c r="X25" s="2262"/>
    </row>
    <row r="26" spans="1:25" ht="36" customHeight="1" x14ac:dyDescent="0.25"/>
    <row r="32" spans="1:25" x14ac:dyDescent="0.25">
      <c r="I32" s="2280"/>
      <c r="J32" s="2280"/>
      <c r="K32" s="2280"/>
      <c r="L32" s="2280"/>
    </row>
    <row r="33" spans="9:12" x14ac:dyDescent="0.25">
      <c r="I33" s="198"/>
      <c r="J33" s="198"/>
      <c r="K33" s="2280"/>
      <c r="L33" s="2280"/>
    </row>
  </sheetData>
  <mergeCells count="62">
    <mergeCell ref="I32:J32"/>
    <mergeCell ref="K32:L32"/>
    <mergeCell ref="K33:L33"/>
    <mergeCell ref="T22:T23"/>
    <mergeCell ref="V22:X22"/>
    <mergeCell ref="V23:X23"/>
    <mergeCell ref="T24:T25"/>
    <mergeCell ref="V24:X24"/>
    <mergeCell ref="V25:X25"/>
    <mergeCell ref="Y18:Y24"/>
    <mergeCell ref="B19:C19"/>
    <mergeCell ref="Q19:R19"/>
    <mergeCell ref="T19:T20"/>
    <mergeCell ref="V19:X19"/>
    <mergeCell ref="B20:C20"/>
    <mergeCell ref="B22:B24"/>
    <mergeCell ref="C22:C23"/>
    <mergeCell ref="D22:D23"/>
    <mergeCell ref="E22:E23"/>
    <mergeCell ref="F22:F23"/>
    <mergeCell ref="Q20:R20"/>
    <mergeCell ref="V20:X20"/>
    <mergeCell ref="B21:C21"/>
    <mergeCell ref="T21:U21"/>
    <mergeCell ref="V21:X21"/>
    <mergeCell ref="B17:C17"/>
    <mergeCell ref="Q17:R17"/>
    <mergeCell ref="T17:U17"/>
    <mergeCell ref="V17:X17"/>
    <mergeCell ref="B18:C18"/>
    <mergeCell ref="Q18:R18"/>
    <mergeCell ref="T18:U18"/>
    <mergeCell ref="V18:X18"/>
    <mergeCell ref="W4:X4"/>
    <mergeCell ref="B16:C16"/>
    <mergeCell ref="Q16:R16"/>
    <mergeCell ref="T16:U16"/>
    <mergeCell ref="V16:X16"/>
    <mergeCell ref="A12:B12"/>
    <mergeCell ref="B14:C14"/>
    <mergeCell ref="Q14:R14"/>
    <mergeCell ref="T14:T15"/>
    <mergeCell ref="V14:X14"/>
    <mergeCell ref="B15:C15"/>
    <mergeCell ref="Q15:R15"/>
    <mergeCell ref="V15:X15"/>
    <mergeCell ref="A1:Y1"/>
    <mergeCell ref="A2:Y2"/>
    <mergeCell ref="T3:Y3"/>
    <mergeCell ref="A4:A5"/>
    <mergeCell ref="B4:B5"/>
    <mergeCell ref="C4:D4"/>
    <mergeCell ref="E4:F4"/>
    <mergeCell ref="G4:H4"/>
    <mergeCell ref="I4:J4"/>
    <mergeCell ref="K4:L4"/>
    <mergeCell ref="Y4:Y5"/>
    <mergeCell ref="M4:N4"/>
    <mergeCell ref="O4:P4"/>
    <mergeCell ref="Q4:R4"/>
    <mergeCell ref="S4:T4"/>
    <mergeCell ref="U4:V4"/>
  </mergeCells>
  <pageMargins left="0.15748031496063" right="0.15748031496063" top="0" bottom="0" header="0" footer="0"/>
  <pageSetup paperSize="9" scale="47" orientation="landscape" r:id="rId1"/>
  <legacyDrawing r:id="rId2"/>
</worksheet>
</file>

<file path=xl/worksheets/sheet7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7EF3EC9-1A05-43C6-9102-0B02B55B1BD8}">
  <sheetPr>
    <pageSetUpPr fitToPage="1"/>
  </sheetPr>
  <dimension ref="A1:Y33"/>
  <sheetViews>
    <sheetView topLeftCell="A9" zoomScale="69" zoomScaleNormal="69" zoomScaleSheetLayoutView="100" workbookViewId="0">
      <selection activeCell="V18" sqref="V18:X18"/>
    </sheetView>
  </sheetViews>
  <sheetFormatPr defaultColWidth="9.140625" defaultRowHeight="15" x14ac:dyDescent="0.25"/>
  <cols>
    <col min="1" max="1" width="18.28515625" style="14" customWidth="1"/>
    <col min="2" max="2" width="10.7109375" style="14" customWidth="1"/>
    <col min="3" max="3" width="12.28515625" style="14" customWidth="1"/>
    <col min="4" max="4" width="11" style="14" customWidth="1"/>
    <col min="5" max="5" width="12" style="14" customWidth="1"/>
    <col min="6" max="6" width="12.5703125" style="14" bestFit="1" customWidth="1"/>
    <col min="7" max="7" width="9.28515625" style="14" bestFit="1" customWidth="1"/>
    <col min="8" max="8" width="10.140625" style="14" bestFit="1" customWidth="1"/>
    <col min="9" max="9" width="10.5703125" style="14" bestFit="1" customWidth="1"/>
    <col min="10" max="10" width="10.5703125" style="14" customWidth="1"/>
    <col min="11" max="11" width="10.28515625" style="14" bestFit="1" customWidth="1"/>
    <col min="12" max="12" width="9.42578125" style="14" bestFit="1" customWidth="1"/>
    <col min="13" max="13" width="9.85546875" style="14" bestFit="1" customWidth="1"/>
    <col min="14" max="14" width="10.140625" style="14" bestFit="1" customWidth="1"/>
    <col min="15" max="15" width="9" style="14" customWidth="1"/>
    <col min="16" max="16" width="12.85546875" style="14" bestFit="1" customWidth="1"/>
    <col min="17" max="18" width="9.42578125" style="14" customWidth="1"/>
    <col min="19" max="19" width="13.7109375" style="14" customWidth="1"/>
    <col min="20" max="20" width="12.140625" style="14" customWidth="1"/>
    <col min="21" max="21" width="19.5703125" style="14" bestFit="1" customWidth="1"/>
    <col min="22" max="22" width="9.85546875" style="14" customWidth="1"/>
    <col min="23" max="23" width="10.140625" style="14" bestFit="1" customWidth="1"/>
    <col min="24" max="24" width="10.28515625" style="14" customWidth="1"/>
    <col min="25" max="25" width="28" style="14" customWidth="1"/>
    <col min="26" max="16384" width="9.140625" style="14"/>
  </cols>
  <sheetData>
    <row r="1" spans="1:25" ht="46.15" customHeight="1" x14ac:dyDescent="0.25">
      <c r="A1" s="2240" t="s">
        <v>148</v>
      </c>
      <c r="B1" s="2240"/>
      <c r="C1" s="2240"/>
      <c r="D1" s="2240"/>
      <c r="E1" s="2240"/>
      <c r="F1" s="2240"/>
      <c r="G1" s="2240"/>
      <c r="H1" s="2240"/>
      <c r="I1" s="2240"/>
      <c r="J1" s="2240"/>
      <c r="K1" s="2240"/>
      <c r="L1" s="2240"/>
      <c r="M1" s="2240"/>
      <c r="N1" s="2240"/>
      <c r="O1" s="2240"/>
      <c r="P1" s="2240"/>
      <c r="Q1" s="2240"/>
      <c r="R1" s="2240"/>
      <c r="S1" s="2240"/>
      <c r="T1" s="2240"/>
      <c r="U1" s="2240"/>
      <c r="V1" s="2240"/>
      <c r="W1" s="2240"/>
      <c r="X1" s="2240"/>
      <c r="Y1" s="2240"/>
    </row>
    <row r="2" spans="1:25" ht="21.6" customHeight="1" x14ac:dyDescent="0.25">
      <c r="A2" s="2241" t="s">
        <v>77</v>
      </c>
      <c r="B2" s="2241"/>
      <c r="C2" s="2241"/>
      <c r="D2" s="2241"/>
      <c r="E2" s="2241"/>
      <c r="F2" s="2241"/>
      <c r="G2" s="2241"/>
      <c r="H2" s="2241"/>
      <c r="I2" s="2241"/>
      <c r="J2" s="2241"/>
      <c r="K2" s="2241"/>
      <c r="L2" s="2241"/>
      <c r="M2" s="2241"/>
      <c r="N2" s="2241"/>
      <c r="O2" s="2241"/>
      <c r="P2" s="2241"/>
      <c r="Q2" s="2241"/>
      <c r="R2" s="2241"/>
      <c r="S2" s="2241"/>
      <c r="T2" s="2241"/>
      <c r="U2" s="2241"/>
      <c r="V2" s="2241"/>
      <c r="W2" s="2241"/>
      <c r="X2" s="2241"/>
      <c r="Y2" s="2241"/>
    </row>
    <row r="3" spans="1:25" ht="21" customHeight="1" x14ac:dyDescent="0.25">
      <c r="A3" s="188"/>
      <c r="B3" s="188"/>
      <c r="C3" s="188"/>
      <c r="D3" s="188"/>
      <c r="E3" s="188"/>
      <c r="F3" s="188"/>
      <c r="G3" s="188"/>
      <c r="H3" s="188"/>
      <c r="I3" s="188"/>
      <c r="J3" s="188"/>
      <c r="K3" s="188"/>
      <c r="L3" s="188"/>
      <c r="M3" s="188"/>
      <c r="N3" s="188"/>
      <c r="O3" s="188"/>
      <c r="P3" s="188"/>
      <c r="Q3" s="188"/>
      <c r="R3" s="188"/>
      <c r="S3" s="188"/>
      <c r="T3" s="2242" t="s">
        <v>229</v>
      </c>
      <c r="U3" s="2242"/>
      <c r="V3" s="2242"/>
      <c r="W3" s="2242"/>
      <c r="X3" s="2242"/>
      <c r="Y3" s="2242"/>
    </row>
    <row r="4" spans="1:25" s="188" customFormat="1" ht="18" customHeight="1" x14ac:dyDescent="0.25">
      <c r="A4" s="2243" t="s">
        <v>25</v>
      </c>
      <c r="B4" s="2243" t="s">
        <v>26</v>
      </c>
      <c r="C4" s="2244" t="s">
        <v>27</v>
      </c>
      <c r="D4" s="2244"/>
      <c r="E4" s="2244" t="s">
        <v>28</v>
      </c>
      <c r="F4" s="2244"/>
      <c r="G4" s="2244" t="s">
        <v>65</v>
      </c>
      <c r="H4" s="2244"/>
      <c r="I4" s="2244" t="s">
        <v>29</v>
      </c>
      <c r="J4" s="2244"/>
      <c r="K4" s="2245" t="s">
        <v>13</v>
      </c>
      <c r="L4" s="2246"/>
      <c r="M4" s="2245" t="s">
        <v>67</v>
      </c>
      <c r="N4" s="2246"/>
      <c r="O4" s="2245" t="s">
        <v>68</v>
      </c>
      <c r="P4" s="2246"/>
      <c r="Q4" s="2245" t="s">
        <v>114</v>
      </c>
      <c r="R4" s="2246"/>
      <c r="S4" s="2244" t="s">
        <v>35</v>
      </c>
      <c r="T4" s="2244"/>
      <c r="U4" s="2245" t="s">
        <v>17</v>
      </c>
      <c r="V4" s="2246"/>
      <c r="W4" s="2247" t="s">
        <v>36</v>
      </c>
      <c r="X4" s="2248"/>
      <c r="Y4" s="2238" t="s">
        <v>30</v>
      </c>
    </row>
    <row r="5" spans="1:25" s="188" customFormat="1" ht="25.5" customHeight="1" x14ac:dyDescent="0.25">
      <c r="A5" s="2243"/>
      <c r="B5" s="2243"/>
      <c r="C5" s="190" t="s">
        <v>42</v>
      </c>
      <c r="D5" s="190" t="s">
        <v>43</v>
      </c>
      <c r="E5" s="190" t="s">
        <v>42</v>
      </c>
      <c r="F5" s="190" t="s">
        <v>43</v>
      </c>
      <c r="G5" s="190" t="s">
        <v>42</v>
      </c>
      <c r="H5" s="190" t="s">
        <v>43</v>
      </c>
      <c r="I5" s="190" t="s">
        <v>42</v>
      </c>
      <c r="J5" s="190" t="s">
        <v>43</v>
      </c>
      <c r="K5" s="190" t="s">
        <v>42</v>
      </c>
      <c r="L5" s="190" t="s">
        <v>43</v>
      </c>
      <c r="M5" s="190" t="s">
        <v>42</v>
      </c>
      <c r="N5" s="190" t="s">
        <v>43</v>
      </c>
      <c r="O5" s="190" t="s">
        <v>42</v>
      </c>
      <c r="P5" s="190" t="s">
        <v>43</v>
      </c>
      <c r="Q5" s="190" t="s">
        <v>42</v>
      </c>
      <c r="R5" s="190" t="s">
        <v>43</v>
      </c>
      <c r="S5" s="33" t="s">
        <v>42</v>
      </c>
      <c r="T5" s="33" t="s">
        <v>43</v>
      </c>
      <c r="U5" s="30" t="s">
        <v>42</v>
      </c>
      <c r="V5" s="30" t="s">
        <v>43</v>
      </c>
      <c r="W5" s="30" t="s">
        <v>42</v>
      </c>
      <c r="X5" s="30" t="s">
        <v>43</v>
      </c>
      <c r="Y5" s="2239"/>
    </row>
    <row r="6" spans="1:25" ht="34.5" customHeight="1" x14ac:dyDescent="0.25">
      <c r="A6" s="12">
        <v>1409935200</v>
      </c>
      <c r="B6" s="189" t="s">
        <v>71</v>
      </c>
      <c r="C6" s="192">
        <v>54582</v>
      </c>
      <c r="D6" s="193">
        <f>0.9725*C6</f>
        <v>53080.995000000003</v>
      </c>
      <c r="E6" s="192"/>
      <c r="F6" s="192">
        <f>13.7*E6</f>
        <v>0</v>
      </c>
      <c r="G6" s="192"/>
      <c r="H6" s="192">
        <f>28.2*G6</f>
        <v>0</v>
      </c>
      <c r="I6" s="192"/>
      <c r="J6" s="192">
        <f>18.5*I6</f>
        <v>0</v>
      </c>
      <c r="K6" s="192"/>
      <c r="L6" s="192">
        <f>19.5*K6</f>
        <v>0</v>
      </c>
      <c r="M6" s="192"/>
      <c r="N6" s="193">
        <f>M6*9.75</f>
        <v>0</v>
      </c>
      <c r="O6" s="192"/>
      <c r="P6" s="193">
        <f>O6*48.62</f>
        <v>0</v>
      </c>
      <c r="Q6" s="193"/>
      <c r="R6" s="193">
        <f>241*Q6</f>
        <v>0</v>
      </c>
      <c r="S6" s="192"/>
      <c r="T6" s="192">
        <f>241*S6</f>
        <v>0</v>
      </c>
      <c r="U6" s="192"/>
      <c r="V6" s="192">
        <f>232*U6</f>
        <v>0</v>
      </c>
      <c r="W6" s="192"/>
      <c r="X6" s="19">
        <f>W6*100</f>
        <v>0</v>
      </c>
      <c r="Y6" s="89">
        <f t="shared" ref="Y6:Y11" si="0">D6+F6+H6+J6+L6+N6+P6+R6+T6+V6+X6</f>
        <v>53080.995000000003</v>
      </c>
    </row>
    <row r="7" spans="1:25" ht="31.5" customHeight="1" x14ac:dyDescent="0.25">
      <c r="A7" s="12">
        <v>1984225578</v>
      </c>
      <c r="B7" s="189" t="s">
        <v>72</v>
      </c>
      <c r="C7" s="192">
        <v>59204</v>
      </c>
      <c r="D7" s="193">
        <f t="shared" ref="D7:D11" si="1">0.9725*C7</f>
        <v>57575.89</v>
      </c>
      <c r="E7" s="192"/>
      <c r="F7" s="192">
        <f t="shared" ref="F7:F11" si="2">13.7*E7</f>
        <v>0</v>
      </c>
      <c r="G7" s="192"/>
      <c r="H7" s="192">
        <f t="shared" ref="H7:H11" si="3">28.2*G7</f>
        <v>0</v>
      </c>
      <c r="I7" s="192"/>
      <c r="J7" s="192">
        <f t="shared" ref="J7:J11" si="4">18.5*I7</f>
        <v>0</v>
      </c>
      <c r="K7" s="192"/>
      <c r="L7" s="192">
        <f t="shared" ref="L7:L11" si="5">19.5*K7</f>
        <v>0</v>
      </c>
      <c r="M7" s="192"/>
      <c r="N7" s="193">
        <f t="shared" ref="N7:N11" si="6">M7*9.75</f>
        <v>0</v>
      </c>
      <c r="O7" s="192"/>
      <c r="P7" s="193">
        <f t="shared" ref="P7:P11" si="7">O7*48.62</f>
        <v>0</v>
      </c>
      <c r="Q7" s="193"/>
      <c r="R7" s="193">
        <f t="shared" ref="R7:R11" si="8">241*Q7</f>
        <v>0</v>
      </c>
      <c r="S7" s="192"/>
      <c r="T7" s="192">
        <f t="shared" ref="T7:T11" si="9">241*S7</f>
        <v>0</v>
      </c>
      <c r="U7" s="192"/>
      <c r="V7" s="192">
        <f t="shared" ref="V7:V11" si="10">232*U7</f>
        <v>0</v>
      </c>
      <c r="W7" s="192"/>
      <c r="X7" s="19">
        <f t="shared" ref="X7:X11" si="11">W7*100</f>
        <v>0</v>
      </c>
      <c r="Y7" s="89">
        <f t="shared" si="0"/>
        <v>57575.89</v>
      </c>
    </row>
    <row r="8" spans="1:25" ht="35.25" customHeight="1" x14ac:dyDescent="0.25">
      <c r="A8" s="12">
        <v>1967020280</v>
      </c>
      <c r="B8" s="189" t="s">
        <v>73</v>
      </c>
      <c r="C8" s="192">
        <v>63784</v>
      </c>
      <c r="D8" s="193">
        <f t="shared" si="1"/>
        <v>62029.94</v>
      </c>
      <c r="E8" s="192"/>
      <c r="F8" s="192">
        <f t="shared" si="2"/>
        <v>0</v>
      </c>
      <c r="G8" s="192"/>
      <c r="H8" s="192">
        <f t="shared" si="3"/>
        <v>0</v>
      </c>
      <c r="I8" s="192"/>
      <c r="J8" s="192">
        <f t="shared" si="4"/>
        <v>0</v>
      </c>
      <c r="K8" s="192"/>
      <c r="L8" s="192">
        <f t="shared" si="5"/>
        <v>0</v>
      </c>
      <c r="M8" s="192"/>
      <c r="N8" s="193">
        <f t="shared" si="6"/>
        <v>0</v>
      </c>
      <c r="O8" s="192"/>
      <c r="P8" s="193">
        <f t="shared" si="7"/>
        <v>0</v>
      </c>
      <c r="Q8" s="193"/>
      <c r="R8" s="193">
        <f t="shared" si="8"/>
        <v>0</v>
      </c>
      <c r="S8" s="192"/>
      <c r="T8" s="192">
        <f t="shared" si="9"/>
        <v>0</v>
      </c>
      <c r="U8" s="192"/>
      <c r="V8" s="192">
        <f t="shared" si="10"/>
        <v>0</v>
      </c>
      <c r="W8" s="192"/>
      <c r="X8" s="19">
        <f t="shared" si="11"/>
        <v>0</v>
      </c>
      <c r="Y8" s="89">
        <f t="shared" si="0"/>
        <v>62029.94</v>
      </c>
    </row>
    <row r="9" spans="1:25" ht="38.25" customHeight="1" x14ac:dyDescent="0.25">
      <c r="A9" s="12">
        <v>1409935199</v>
      </c>
      <c r="B9" s="189" t="s">
        <v>75</v>
      </c>
      <c r="C9" s="192">
        <v>43947</v>
      </c>
      <c r="D9" s="193">
        <f t="shared" si="1"/>
        <v>42738.457500000004</v>
      </c>
      <c r="E9" s="192"/>
      <c r="F9" s="192">
        <f t="shared" si="2"/>
        <v>0</v>
      </c>
      <c r="G9" s="192"/>
      <c r="H9" s="192">
        <f t="shared" si="3"/>
        <v>0</v>
      </c>
      <c r="I9" s="192"/>
      <c r="J9" s="192">
        <f t="shared" si="4"/>
        <v>0</v>
      </c>
      <c r="K9" s="192"/>
      <c r="L9" s="192">
        <f t="shared" si="5"/>
        <v>0</v>
      </c>
      <c r="M9" s="192"/>
      <c r="N9" s="193">
        <f t="shared" si="6"/>
        <v>0</v>
      </c>
      <c r="O9" s="192"/>
      <c r="P9" s="193">
        <f t="shared" si="7"/>
        <v>0</v>
      </c>
      <c r="Q9" s="193"/>
      <c r="R9" s="193">
        <f t="shared" si="8"/>
        <v>0</v>
      </c>
      <c r="S9" s="192"/>
      <c r="T9" s="192">
        <f t="shared" si="9"/>
        <v>0</v>
      </c>
      <c r="U9" s="192">
        <v>5</v>
      </c>
      <c r="V9" s="192">
        <f t="shared" si="10"/>
        <v>1160</v>
      </c>
      <c r="W9" s="192"/>
      <c r="X9" s="19">
        <f t="shared" si="11"/>
        <v>0</v>
      </c>
      <c r="Y9" s="89">
        <f t="shared" si="0"/>
        <v>43898.457500000004</v>
      </c>
    </row>
    <row r="10" spans="1:25" ht="35.25" customHeight="1" x14ac:dyDescent="0.25">
      <c r="A10" s="12">
        <v>1984225580</v>
      </c>
      <c r="C10" s="192"/>
      <c r="D10" s="193">
        <f t="shared" si="1"/>
        <v>0</v>
      </c>
      <c r="E10" s="192"/>
      <c r="F10" s="192">
        <f t="shared" si="2"/>
        <v>0</v>
      </c>
      <c r="G10" s="192"/>
      <c r="H10" s="192">
        <f t="shared" si="3"/>
        <v>0</v>
      </c>
      <c r="I10" s="192"/>
      <c r="J10" s="192">
        <f t="shared" si="4"/>
        <v>0</v>
      </c>
      <c r="K10" s="192"/>
      <c r="L10" s="192">
        <f t="shared" si="5"/>
        <v>0</v>
      </c>
      <c r="M10" s="192"/>
      <c r="N10" s="193">
        <f t="shared" si="6"/>
        <v>0</v>
      </c>
      <c r="O10" s="192"/>
      <c r="P10" s="193">
        <f t="shared" si="7"/>
        <v>0</v>
      </c>
      <c r="Q10" s="193"/>
      <c r="R10" s="193">
        <f t="shared" si="8"/>
        <v>0</v>
      </c>
      <c r="S10" s="192"/>
      <c r="T10" s="192">
        <f t="shared" si="9"/>
        <v>0</v>
      </c>
      <c r="U10" s="192"/>
      <c r="V10" s="192">
        <f t="shared" si="10"/>
        <v>0</v>
      </c>
      <c r="W10" s="192"/>
      <c r="X10" s="19">
        <f t="shared" si="11"/>
        <v>0</v>
      </c>
      <c r="Y10" s="89">
        <f t="shared" si="0"/>
        <v>0</v>
      </c>
    </row>
    <row r="11" spans="1:25" ht="37.5" customHeight="1" x14ac:dyDescent="0.25">
      <c r="A11" s="12"/>
      <c r="B11" s="191"/>
      <c r="C11" s="192"/>
      <c r="D11" s="22">
        <f t="shared" si="1"/>
        <v>0</v>
      </c>
      <c r="E11" s="192"/>
      <c r="F11" s="192">
        <f t="shared" si="2"/>
        <v>0</v>
      </c>
      <c r="G11" s="192"/>
      <c r="H11" s="192">
        <f t="shared" si="3"/>
        <v>0</v>
      </c>
      <c r="I11" s="192"/>
      <c r="J11" s="192">
        <f t="shared" si="4"/>
        <v>0</v>
      </c>
      <c r="K11" s="192"/>
      <c r="L11" s="192">
        <f t="shared" si="5"/>
        <v>0</v>
      </c>
      <c r="M11" s="192"/>
      <c r="N11" s="193">
        <f t="shared" si="6"/>
        <v>0</v>
      </c>
      <c r="O11" s="192"/>
      <c r="P11" s="193">
        <f t="shared" si="7"/>
        <v>0</v>
      </c>
      <c r="Q11" s="193"/>
      <c r="R11" s="193">
        <f t="shared" si="8"/>
        <v>0</v>
      </c>
      <c r="S11" s="192">
        <v>45</v>
      </c>
      <c r="T11" s="192">
        <f t="shared" si="9"/>
        <v>10845</v>
      </c>
      <c r="U11" s="192"/>
      <c r="V11" s="192">
        <f t="shared" si="10"/>
        <v>0</v>
      </c>
      <c r="W11" s="192"/>
      <c r="X11" s="19">
        <f t="shared" si="11"/>
        <v>0</v>
      </c>
      <c r="Y11" s="20">
        <f t="shared" si="0"/>
        <v>10845</v>
      </c>
    </row>
    <row r="12" spans="1:25" ht="29.25" customHeight="1" x14ac:dyDescent="0.25">
      <c r="A12" s="2235" t="s">
        <v>31</v>
      </c>
      <c r="B12" s="2235"/>
      <c r="C12" s="18">
        <f t="shared" ref="C12:Y12" si="12">SUM(C6:C11)</f>
        <v>221517</v>
      </c>
      <c r="D12" s="18">
        <f t="shared" si="12"/>
        <v>215425.28250000003</v>
      </c>
      <c r="E12" s="18">
        <f t="shared" si="12"/>
        <v>0</v>
      </c>
      <c r="F12" s="18">
        <f t="shared" si="12"/>
        <v>0</v>
      </c>
      <c r="G12" s="18">
        <f t="shared" si="12"/>
        <v>0</v>
      </c>
      <c r="H12" s="18">
        <f t="shared" si="12"/>
        <v>0</v>
      </c>
      <c r="I12" s="18">
        <f t="shared" si="12"/>
        <v>0</v>
      </c>
      <c r="J12" s="18">
        <f t="shared" si="12"/>
        <v>0</v>
      </c>
      <c r="K12" s="18">
        <f t="shared" si="12"/>
        <v>0</v>
      </c>
      <c r="L12" s="18">
        <f t="shared" si="12"/>
        <v>0</v>
      </c>
      <c r="M12" s="18">
        <f t="shared" si="12"/>
        <v>0</v>
      </c>
      <c r="N12" s="23">
        <f t="shared" si="12"/>
        <v>0</v>
      </c>
      <c r="O12" s="18">
        <f t="shared" si="12"/>
        <v>0</v>
      </c>
      <c r="P12" s="23">
        <f t="shared" si="12"/>
        <v>0</v>
      </c>
      <c r="Q12" s="23">
        <f t="shared" si="12"/>
        <v>0</v>
      </c>
      <c r="R12" s="23">
        <f>SUM(R6:R11)</f>
        <v>0</v>
      </c>
      <c r="S12" s="18">
        <f t="shared" si="12"/>
        <v>45</v>
      </c>
      <c r="T12" s="18">
        <f t="shared" si="12"/>
        <v>10845</v>
      </c>
      <c r="U12" s="18">
        <f t="shared" si="12"/>
        <v>5</v>
      </c>
      <c r="V12" s="18">
        <f t="shared" si="12"/>
        <v>1160</v>
      </c>
      <c r="W12" s="18">
        <f t="shared" si="12"/>
        <v>0</v>
      </c>
      <c r="X12" s="18">
        <f t="shared" si="12"/>
        <v>0</v>
      </c>
      <c r="Y12" s="18">
        <f t="shared" si="12"/>
        <v>227430.28250000003</v>
      </c>
    </row>
    <row r="14" spans="1:25" ht="41.25" customHeight="1" x14ac:dyDescent="0.25">
      <c r="A14" s="30" t="s">
        <v>32</v>
      </c>
      <c r="B14" s="2236" t="s">
        <v>27</v>
      </c>
      <c r="C14" s="2236"/>
      <c r="D14" s="30" t="s">
        <v>33</v>
      </c>
      <c r="E14" s="30" t="s">
        <v>65</v>
      </c>
      <c r="F14" s="30" t="s">
        <v>34</v>
      </c>
      <c r="G14" s="30" t="s">
        <v>13</v>
      </c>
      <c r="H14" s="142" t="s">
        <v>173</v>
      </c>
      <c r="I14" s="30" t="s">
        <v>17</v>
      </c>
      <c r="J14" s="197" t="s">
        <v>174</v>
      </c>
      <c r="K14" s="30" t="s">
        <v>36</v>
      </c>
      <c r="L14" s="30" t="s">
        <v>175</v>
      </c>
      <c r="M14" s="30" t="s">
        <v>69</v>
      </c>
      <c r="N14" s="30" t="s">
        <v>70</v>
      </c>
      <c r="O14" s="197" t="s">
        <v>114</v>
      </c>
      <c r="P14" s="197" t="s">
        <v>99</v>
      </c>
      <c r="Q14" s="2272" t="s">
        <v>215</v>
      </c>
      <c r="R14" s="2272"/>
      <c r="S14" s="197" t="s">
        <v>228</v>
      </c>
      <c r="T14" s="2235" t="s">
        <v>46</v>
      </c>
      <c r="U14" s="189" t="s">
        <v>176</v>
      </c>
      <c r="V14" s="2260">
        <v>12707</v>
      </c>
      <c r="W14" s="2268"/>
      <c r="X14" s="2261"/>
    </row>
    <row r="15" spans="1:25" ht="22.5" customHeight="1" x14ac:dyDescent="0.25">
      <c r="A15" s="100" t="s">
        <v>38</v>
      </c>
      <c r="B15" s="2260">
        <v>235568</v>
      </c>
      <c r="C15" s="2261"/>
      <c r="D15" s="194">
        <v>0</v>
      </c>
      <c r="E15" s="194">
        <v>0</v>
      </c>
      <c r="F15" s="194">
        <v>0</v>
      </c>
      <c r="G15" s="194">
        <v>0</v>
      </c>
      <c r="H15" s="194">
        <v>42</v>
      </c>
      <c r="I15" s="194">
        <v>44</v>
      </c>
      <c r="J15" s="194">
        <v>100</v>
      </c>
      <c r="K15" s="194">
        <v>50</v>
      </c>
      <c r="L15" s="194">
        <v>995</v>
      </c>
      <c r="M15" s="194">
        <v>0</v>
      </c>
      <c r="N15" s="194">
        <v>100</v>
      </c>
      <c r="O15" s="194">
        <v>0</v>
      </c>
      <c r="P15" s="194">
        <v>417</v>
      </c>
      <c r="Q15" s="2262">
        <v>86</v>
      </c>
      <c r="R15" s="2262"/>
      <c r="S15" s="189">
        <v>117</v>
      </c>
      <c r="T15" s="2235"/>
      <c r="U15" s="189" t="s">
        <v>64</v>
      </c>
      <c r="V15" s="2262">
        <v>11208</v>
      </c>
      <c r="W15" s="2262"/>
      <c r="X15" s="2262"/>
    </row>
    <row r="16" spans="1:25" ht="24.75" customHeight="1" x14ac:dyDescent="0.25">
      <c r="A16" s="100" t="s">
        <v>39</v>
      </c>
      <c r="B16" s="2260">
        <v>103896</v>
      </c>
      <c r="C16" s="2261"/>
      <c r="D16" s="194"/>
      <c r="E16" s="194"/>
      <c r="F16" s="194"/>
      <c r="G16" s="194"/>
      <c r="H16" s="194"/>
      <c r="I16" s="194"/>
      <c r="J16" s="194"/>
      <c r="K16" s="194"/>
      <c r="L16" s="194"/>
      <c r="M16" s="194"/>
      <c r="N16" s="194"/>
      <c r="O16" s="194"/>
      <c r="P16" s="194"/>
      <c r="Q16" s="2225"/>
      <c r="R16" s="2225"/>
      <c r="S16" s="194"/>
      <c r="T16" s="2254" t="s">
        <v>55</v>
      </c>
      <c r="U16" s="2254"/>
      <c r="V16" s="2267">
        <f>Y12</f>
        <v>227430.28250000003</v>
      </c>
      <c r="W16" s="2267"/>
      <c r="X16" s="2262"/>
    </row>
    <row r="17" spans="1:25" ht="28.5" customHeight="1" x14ac:dyDescent="0.25">
      <c r="A17" s="101" t="s">
        <v>44</v>
      </c>
      <c r="B17" s="2260">
        <v>136907</v>
      </c>
      <c r="C17" s="2261"/>
      <c r="D17" s="194"/>
      <c r="E17" s="194"/>
      <c r="F17" s="194"/>
      <c r="G17" s="194"/>
      <c r="H17" s="194"/>
      <c r="I17" s="194"/>
      <c r="J17" s="194"/>
      <c r="K17" s="194"/>
      <c r="L17" s="194"/>
      <c r="M17" s="194"/>
      <c r="N17" s="194"/>
      <c r="O17" s="194"/>
      <c r="P17" s="194"/>
      <c r="Q17" s="2225"/>
      <c r="R17" s="2225"/>
      <c r="S17" s="191"/>
      <c r="T17" s="2273" t="s">
        <v>211</v>
      </c>
      <c r="U17" s="2274"/>
      <c r="V17" s="2262"/>
      <c r="W17" s="2262"/>
      <c r="X17" s="2262"/>
    </row>
    <row r="18" spans="1:25" ht="27" customHeight="1" x14ac:dyDescent="0.25">
      <c r="A18" s="100" t="s">
        <v>40</v>
      </c>
      <c r="B18" s="2264">
        <f>C12</f>
        <v>221517</v>
      </c>
      <c r="C18" s="2261"/>
      <c r="D18" s="195">
        <f>E12</f>
        <v>0</v>
      </c>
      <c r="E18" s="195">
        <f>G12</f>
        <v>0</v>
      </c>
      <c r="F18" s="195">
        <f>I12</f>
        <v>0</v>
      </c>
      <c r="G18" s="195">
        <f>K12</f>
        <v>0</v>
      </c>
      <c r="H18" s="194"/>
      <c r="I18" s="195">
        <f>U12</f>
        <v>5</v>
      </c>
      <c r="J18" s="194"/>
      <c r="K18" s="195">
        <f>W12</f>
        <v>0</v>
      </c>
      <c r="L18" s="194"/>
      <c r="M18" s="195">
        <f>M12</f>
        <v>0</v>
      </c>
      <c r="N18" s="195">
        <f>O12</f>
        <v>0</v>
      </c>
      <c r="O18" s="196">
        <f>Q12</f>
        <v>0</v>
      </c>
      <c r="P18" s="194"/>
      <c r="Q18" s="2262">
        <v>45</v>
      </c>
      <c r="R18" s="2262"/>
      <c r="S18" s="189"/>
      <c r="T18" s="2254" t="s">
        <v>57</v>
      </c>
      <c r="U18" s="2254"/>
      <c r="V18" s="2262">
        <f>500+1590+420</f>
        <v>2510</v>
      </c>
      <c r="W18" s="2262"/>
      <c r="X18" s="2262"/>
      <c r="Y18" s="2269" t="s">
        <v>227</v>
      </c>
    </row>
    <row r="19" spans="1:25" ht="25.5" customHeight="1" x14ac:dyDescent="0.25">
      <c r="A19" s="100" t="s">
        <v>41</v>
      </c>
      <c r="B19" s="2260">
        <f>B15+B16+B17-B18</f>
        <v>254854</v>
      </c>
      <c r="C19" s="2261"/>
      <c r="D19" s="194">
        <f>D15+D16+D17-D18</f>
        <v>0</v>
      </c>
      <c r="E19" s="194">
        <f t="shared" ref="E19:N19" si="13">E15+E16+E17-E18</f>
        <v>0</v>
      </c>
      <c r="F19" s="194">
        <f t="shared" si="13"/>
        <v>0</v>
      </c>
      <c r="G19" s="194">
        <f t="shared" si="13"/>
        <v>0</v>
      </c>
      <c r="H19" s="194">
        <f t="shared" si="13"/>
        <v>42</v>
      </c>
      <c r="I19" s="194">
        <f t="shared" si="13"/>
        <v>39</v>
      </c>
      <c r="J19" s="194">
        <f t="shared" si="13"/>
        <v>100</v>
      </c>
      <c r="K19" s="194">
        <f t="shared" si="13"/>
        <v>50</v>
      </c>
      <c r="L19" s="194">
        <f t="shared" si="13"/>
        <v>995</v>
      </c>
      <c r="M19" s="194">
        <f t="shared" si="13"/>
        <v>0</v>
      </c>
      <c r="N19" s="194">
        <f t="shared" si="13"/>
        <v>100</v>
      </c>
      <c r="O19" s="194">
        <f>O15+O16+O17-O18</f>
        <v>0</v>
      </c>
      <c r="P19" s="194">
        <f>P15+P16+P17-P18</f>
        <v>417</v>
      </c>
      <c r="Q19" s="2260">
        <f t="shared" ref="Q19" si="14">Q15+Q16+Q17-Q18</f>
        <v>41</v>
      </c>
      <c r="R19" s="2261"/>
      <c r="S19" s="189">
        <f>S15+S16-S17-S18</f>
        <v>117</v>
      </c>
      <c r="T19" s="2256" t="s">
        <v>48</v>
      </c>
      <c r="U19" s="49" t="s">
        <v>58</v>
      </c>
      <c r="V19" s="2262">
        <v>203846</v>
      </c>
      <c r="W19" s="2262"/>
      <c r="X19" s="2262"/>
      <c r="Y19" s="2269"/>
    </row>
    <row r="20" spans="1:25" ht="23.25" customHeight="1" x14ac:dyDescent="0.25">
      <c r="A20" s="11" t="s">
        <v>187</v>
      </c>
      <c r="B20" s="2278">
        <f>B19*0.9625</f>
        <v>245296.97500000001</v>
      </c>
      <c r="C20" s="2279"/>
      <c r="D20" s="191">
        <f>D19*13.56</f>
        <v>0</v>
      </c>
      <c r="E20" s="191">
        <f>28.2*E19</f>
        <v>0</v>
      </c>
      <c r="F20" s="191">
        <f>18.31*F19</f>
        <v>0</v>
      </c>
      <c r="G20" s="191">
        <f>19.3*G19</f>
        <v>0</v>
      </c>
      <c r="H20" s="191">
        <f>241*H19</f>
        <v>10122</v>
      </c>
      <c r="I20" s="191">
        <f>223*I19</f>
        <v>8697</v>
      </c>
      <c r="J20" s="191">
        <f>241*J19</f>
        <v>24100</v>
      </c>
      <c r="K20" s="191">
        <f>K19*100</f>
        <v>5000</v>
      </c>
      <c r="L20" s="191">
        <f>241*L19</f>
        <v>239795</v>
      </c>
      <c r="M20" s="191">
        <f>9.65*M19</f>
        <v>0</v>
      </c>
      <c r="N20" s="191">
        <f>N19*48.2</f>
        <v>4820</v>
      </c>
      <c r="O20" s="191">
        <f>241*O19</f>
        <v>0</v>
      </c>
      <c r="P20" s="191">
        <f>241*P19</f>
        <v>100497</v>
      </c>
      <c r="Q20" s="2278">
        <f>241*Q19</f>
        <v>9881</v>
      </c>
      <c r="R20" s="2279"/>
      <c r="S20" s="191">
        <f>241*S19</f>
        <v>28197</v>
      </c>
      <c r="T20" s="2257"/>
      <c r="U20" s="49" t="s">
        <v>59</v>
      </c>
      <c r="V20" s="2262"/>
      <c r="W20" s="2262"/>
      <c r="X20" s="2262"/>
      <c r="Y20" s="2269"/>
    </row>
    <row r="21" spans="1:25" ht="32.25" customHeight="1" x14ac:dyDescent="0.25">
      <c r="A21" s="143" t="s">
        <v>186</v>
      </c>
      <c r="B21" s="2283">
        <f>SUM(B20:S20)</f>
        <v>676405.97499999998</v>
      </c>
      <c r="C21" s="2283"/>
      <c r="O21" s="198"/>
      <c r="P21" s="198"/>
      <c r="Q21" s="198"/>
      <c r="R21" s="198"/>
      <c r="T21" s="2273" t="s">
        <v>167</v>
      </c>
      <c r="U21" s="2274"/>
      <c r="V21" s="2260"/>
      <c r="W21" s="2268"/>
      <c r="X21" s="2261"/>
      <c r="Y21" s="2269"/>
    </row>
    <row r="22" spans="1:25" ht="35.25" customHeight="1" x14ac:dyDescent="0.25">
      <c r="A22" s="15"/>
      <c r="B22" s="2275" t="s">
        <v>49</v>
      </c>
      <c r="C22" s="2265">
        <v>348446</v>
      </c>
      <c r="D22" s="2265">
        <v>203846</v>
      </c>
      <c r="E22" s="2265">
        <v>100000</v>
      </c>
      <c r="F22" s="2265">
        <f>C22-D22+E22</f>
        <v>244600</v>
      </c>
      <c r="G22" s="198"/>
      <c r="Q22" s="198"/>
      <c r="R22" s="198"/>
      <c r="T22" s="2251" t="s">
        <v>83</v>
      </c>
      <c r="U22" s="50" t="s">
        <v>60</v>
      </c>
      <c r="V22" s="2262">
        <v>215300</v>
      </c>
      <c r="W22" s="2262"/>
      <c r="X22" s="2262"/>
      <c r="Y22" s="2269"/>
    </row>
    <row r="23" spans="1:25" ht="39.75" customHeight="1" x14ac:dyDescent="0.25">
      <c r="A23" s="198"/>
      <c r="B23" s="2276"/>
      <c r="C23" s="2266"/>
      <c r="D23" s="2266"/>
      <c r="E23" s="2266"/>
      <c r="F23" s="2266"/>
      <c r="G23" s="198"/>
      <c r="Q23" s="198"/>
      <c r="R23" s="198"/>
      <c r="T23" s="2252"/>
      <c r="U23" s="50" t="s">
        <v>61</v>
      </c>
      <c r="V23" s="2262">
        <v>203846</v>
      </c>
      <c r="W23" s="2262"/>
      <c r="X23" s="2262"/>
      <c r="Y23" s="2269"/>
    </row>
    <row r="24" spans="1:25" ht="48" customHeight="1" x14ac:dyDescent="0.25">
      <c r="A24" s="198"/>
      <c r="B24" s="2277"/>
      <c r="C24" s="189" t="s">
        <v>46</v>
      </c>
      <c r="D24" s="189" t="s">
        <v>50</v>
      </c>
      <c r="E24" s="189" t="s">
        <v>51</v>
      </c>
      <c r="F24" s="189" t="s">
        <v>52</v>
      </c>
      <c r="G24" s="198"/>
      <c r="Q24" s="198"/>
      <c r="R24" s="198"/>
      <c r="T24" s="2235" t="s">
        <v>47</v>
      </c>
      <c r="U24" s="51" t="s">
        <v>62</v>
      </c>
      <c r="V24" s="2263">
        <f>V14+V16+V17-V18-V19-V20-V22+V23-V21</f>
        <v>22327.28250000003</v>
      </c>
      <c r="W24" s="2263"/>
      <c r="X24" s="2263"/>
      <c r="Y24" s="2269"/>
    </row>
    <row r="25" spans="1:25" ht="40.5" customHeight="1" x14ac:dyDescent="0.25">
      <c r="T25" s="2235"/>
      <c r="U25" s="51" t="s">
        <v>63</v>
      </c>
      <c r="V25" s="2262">
        <f>V15+V22-V23</f>
        <v>22662</v>
      </c>
      <c r="W25" s="2262"/>
      <c r="X25" s="2262"/>
    </row>
    <row r="26" spans="1:25" ht="36" customHeight="1" x14ac:dyDescent="0.25"/>
    <row r="32" spans="1:25" x14ac:dyDescent="0.25">
      <c r="I32" s="2280"/>
      <c r="J32" s="2280"/>
      <c r="K32" s="2280"/>
      <c r="L32" s="2280"/>
    </row>
    <row r="33" spans="9:12" x14ac:dyDescent="0.25">
      <c r="I33" s="198"/>
      <c r="J33" s="198"/>
      <c r="K33" s="2280"/>
      <c r="L33" s="2280"/>
    </row>
  </sheetData>
  <mergeCells count="62">
    <mergeCell ref="I32:J32"/>
    <mergeCell ref="K32:L32"/>
    <mergeCell ref="K33:L33"/>
    <mergeCell ref="T22:T23"/>
    <mergeCell ref="V22:X22"/>
    <mergeCell ref="V23:X23"/>
    <mergeCell ref="T24:T25"/>
    <mergeCell ref="V24:X24"/>
    <mergeCell ref="V25:X25"/>
    <mergeCell ref="Y18:Y24"/>
    <mergeCell ref="B19:C19"/>
    <mergeCell ref="Q19:R19"/>
    <mergeCell ref="T19:T20"/>
    <mergeCell ref="V19:X19"/>
    <mergeCell ref="B20:C20"/>
    <mergeCell ref="B22:B24"/>
    <mergeCell ref="C22:C23"/>
    <mergeCell ref="D22:D23"/>
    <mergeCell ref="E22:E23"/>
    <mergeCell ref="F22:F23"/>
    <mergeCell ref="Q20:R20"/>
    <mergeCell ref="V20:X20"/>
    <mergeCell ref="B21:C21"/>
    <mergeCell ref="T21:U21"/>
    <mergeCell ref="V21:X21"/>
    <mergeCell ref="B17:C17"/>
    <mergeCell ref="Q17:R17"/>
    <mergeCell ref="T17:U17"/>
    <mergeCell ref="V17:X17"/>
    <mergeCell ref="B18:C18"/>
    <mergeCell ref="Q18:R18"/>
    <mergeCell ref="T18:U18"/>
    <mergeCell ref="V18:X18"/>
    <mergeCell ref="W4:X4"/>
    <mergeCell ref="B16:C16"/>
    <mergeCell ref="Q16:R16"/>
    <mergeCell ref="T16:U16"/>
    <mergeCell ref="V16:X16"/>
    <mergeCell ref="A12:B12"/>
    <mergeCell ref="B14:C14"/>
    <mergeCell ref="Q14:R14"/>
    <mergeCell ref="T14:T15"/>
    <mergeCell ref="V14:X14"/>
    <mergeCell ref="B15:C15"/>
    <mergeCell ref="Q15:R15"/>
    <mergeCell ref="V15:X15"/>
    <mergeCell ref="A1:Y1"/>
    <mergeCell ref="A2:Y2"/>
    <mergeCell ref="T3:Y3"/>
    <mergeCell ref="A4:A5"/>
    <mergeCell ref="B4:B5"/>
    <mergeCell ref="C4:D4"/>
    <mergeCell ref="E4:F4"/>
    <mergeCell ref="G4:H4"/>
    <mergeCell ref="I4:J4"/>
    <mergeCell ref="K4:L4"/>
    <mergeCell ref="Y4:Y5"/>
    <mergeCell ref="M4:N4"/>
    <mergeCell ref="O4:P4"/>
    <mergeCell ref="Q4:R4"/>
    <mergeCell ref="S4:T4"/>
    <mergeCell ref="U4:V4"/>
  </mergeCells>
  <pageMargins left="0.15748031496063" right="0.15748031496063" top="0" bottom="0" header="0" footer="0"/>
  <pageSetup paperSize="9" scale="47" orientation="landscape" r:id="rId1"/>
  <legacyDrawing r:id="rId2"/>
</worksheet>
</file>

<file path=xl/worksheets/sheet7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54AD66E-BA2C-4644-B4BF-3B4AF906D540}">
  <sheetPr>
    <pageSetUpPr fitToPage="1"/>
  </sheetPr>
  <dimension ref="A1:Y33"/>
  <sheetViews>
    <sheetView zoomScale="69" zoomScaleNormal="69" zoomScaleSheetLayoutView="100" workbookViewId="0">
      <selection activeCell="L23" sqref="L23"/>
    </sheetView>
  </sheetViews>
  <sheetFormatPr defaultColWidth="9.140625" defaultRowHeight="15" x14ac:dyDescent="0.25"/>
  <cols>
    <col min="1" max="1" width="18.28515625" style="14" customWidth="1"/>
    <col min="2" max="2" width="10.7109375" style="14" customWidth="1"/>
    <col min="3" max="3" width="12.28515625" style="14" customWidth="1"/>
    <col min="4" max="4" width="11" style="14" customWidth="1"/>
    <col min="5" max="5" width="12" style="14" customWidth="1"/>
    <col min="6" max="6" width="12.5703125" style="14" bestFit="1" customWidth="1"/>
    <col min="7" max="7" width="9.28515625" style="14" bestFit="1" customWidth="1"/>
    <col min="8" max="8" width="10.140625" style="14" bestFit="1" customWidth="1"/>
    <col min="9" max="9" width="10.5703125" style="14" bestFit="1" customWidth="1"/>
    <col min="10" max="10" width="10.5703125" style="14" customWidth="1"/>
    <col min="11" max="11" width="10.28515625" style="14" bestFit="1" customWidth="1"/>
    <col min="12" max="12" width="10.42578125" style="14" bestFit="1" customWidth="1"/>
    <col min="13" max="13" width="9.85546875" style="14" bestFit="1" customWidth="1"/>
    <col min="14" max="14" width="10.140625" style="14" bestFit="1" customWidth="1"/>
    <col min="15" max="15" width="9" style="14" customWidth="1"/>
    <col min="16" max="16" width="12.85546875" style="14" bestFit="1" customWidth="1"/>
    <col min="17" max="18" width="9.42578125" style="14" customWidth="1"/>
    <col min="19" max="19" width="13.7109375" style="14" customWidth="1"/>
    <col min="20" max="20" width="12.140625" style="14" customWidth="1"/>
    <col min="21" max="21" width="19.5703125" style="14" bestFit="1" customWidth="1"/>
    <col min="22" max="22" width="9.85546875" style="14" customWidth="1"/>
    <col min="23" max="23" width="10.140625" style="14" bestFit="1" customWidth="1"/>
    <col min="24" max="24" width="10.28515625" style="14" customWidth="1"/>
    <col min="25" max="25" width="28" style="14" customWidth="1"/>
    <col min="26" max="16384" width="9.140625" style="14"/>
  </cols>
  <sheetData>
    <row r="1" spans="1:25" ht="46.15" customHeight="1" x14ac:dyDescent="0.25">
      <c r="A1" s="2240" t="s">
        <v>148</v>
      </c>
      <c r="B1" s="2240"/>
      <c r="C1" s="2240"/>
      <c r="D1" s="2240"/>
      <c r="E1" s="2240"/>
      <c r="F1" s="2240"/>
      <c r="G1" s="2240"/>
      <c r="H1" s="2240"/>
      <c r="I1" s="2240"/>
      <c r="J1" s="2240"/>
      <c r="K1" s="2240"/>
      <c r="L1" s="2240"/>
      <c r="M1" s="2240"/>
      <c r="N1" s="2240"/>
      <c r="O1" s="2240"/>
      <c r="P1" s="2240"/>
      <c r="Q1" s="2240"/>
      <c r="R1" s="2240"/>
      <c r="S1" s="2240"/>
      <c r="T1" s="2240"/>
      <c r="U1" s="2240"/>
      <c r="V1" s="2240"/>
      <c r="W1" s="2240"/>
      <c r="X1" s="2240"/>
      <c r="Y1" s="2240"/>
    </row>
    <row r="2" spans="1:25" ht="21.6" customHeight="1" x14ac:dyDescent="0.25">
      <c r="A2" s="2241" t="s">
        <v>77</v>
      </c>
      <c r="B2" s="2241"/>
      <c r="C2" s="2241"/>
      <c r="D2" s="2241"/>
      <c r="E2" s="2241"/>
      <c r="F2" s="2241"/>
      <c r="G2" s="2241"/>
      <c r="H2" s="2241"/>
      <c r="I2" s="2241"/>
      <c r="J2" s="2241"/>
      <c r="K2" s="2241"/>
      <c r="L2" s="2241"/>
      <c r="M2" s="2241"/>
      <c r="N2" s="2241"/>
      <c r="O2" s="2241"/>
      <c r="P2" s="2241"/>
      <c r="Q2" s="2241"/>
      <c r="R2" s="2241"/>
      <c r="S2" s="2241"/>
      <c r="T2" s="2241"/>
      <c r="U2" s="2241"/>
      <c r="V2" s="2241"/>
      <c r="W2" s="2241"/>
      <c r="X2" s="2241"/>
      <c r="Y2" s="2241"/>
    </row>
    <row r="3" spans="1:25" ht="21" customHeight="1" x14ac:dyDescent="0.25">
      <c r="A3" s="188"/>
      <c r="B3" s="188"/>
      <c r="C3" s="188"/>
      <c r="D3" s="188"/>
      <c r="E3" s="188"/>
      <c r="F3" s="188"/>
      <c r="G3" s="188"/>
      <c r="H3" s="188"/>
      <c r="I3" s="188"/>
      <c r="J3" s="188"/>
      <c r="K3" s="188"/>
      <c r="L3" s="188"/>
      <c r="M3" s="188"/>
      <c r="N3" s="188"/>
      <c r="O3" s="188"/>
      <c r="P3" s="188"/>
      <c r="Q3" s="188"/>
      <c r="R3" s="188"/>
      <c r="S3" s="188"/>
      <c r="T3" s="2242" t="s">
        <v>230</v>
      </c>
      <c r="U3" s="2242"/>
      <c r="V3" s="2242"/>
      <c r="W3" s="2242"/>
      <c r="X3" s="2242"/>
      <c r="Y3" s="2242"/>
    </row>
    <row r="4" spans="1:25" s="188" customFormat="1" ht="18" customHeight="1" x14ac:dyDescent="0.25">
      <c r="A4" s="2243" t="s">
        <v>25</v>
      </c>
      <c r="B4" s="2243" t="s">
        <v>26</v>
      </c>
      <c r="C4" s="2244" t="s">
        <v>27</v>
      </c>
      <c r="D4" s="2244"/>
      <c r="E4" s="2244" t="s">
        <v>28</v>
      </c>
      <c r="F4" s="2244"/>
      <c r="G4" s="2244" t="s">
        <v>65</v>
      </c>
      <c r="H4" s="2244"/>
      <c r="I4" s="2244" t="s">
        <v>29</v>
      </c>
      <c r="J4" s="2244"/>
      <c r="K4" s="2245" t="s">
        <v>13</v>
      </c>
      <c r="L4" s="2246"/>
      <c r="M4" s="2245" t="s">
        <v>67</v>
      </c>
      <c r="N4" s="2246"/>
      <c r="O4" s="2245" t="s">
        <v>68</v>
      </c>
      <c r="P4" s="2246"/>
      <c r="Q4" s="2245" t="s">
        <v>114</v>
      </c>
      <c r="R4" s="2246"/>
      <c r="S4" s="2244" t="s">
        <v>35</v>
      </c>
      <c r="T4" s="2244"/>
      <c r="U4" s="2245" t="s">
        <v>17</v>
      </c>
      <c r="V4" s="2246"/>
      <c r="W4" s="2247" t="s">
        <v>36</v>
      </c>
      <c r="X4" s="2248"/>
      <c r="Y4" s="2238" t="s">
        <v>30</v>
      </c>
    </row>
    <row r="5" spans="1:25" s="188" customFormat="1" ht="25.5" customHeight="1" x14ac:dyDescent="0.25">
      <c r="A5" s="2243"/>
      <c r="B5" s="2243"/>
      <c r="C5" s="190" t="s">
        <v>42</v>
      </c>
      <c r="D5" s="190" t="s">
        <v>43</v>
      </c>
      <c r="E5" s="190" t="s">
        <v>42</v>
      </c>
      <c r="F5" s="190" t="s">
        <v>43</v>
      </c>
      <c r="G5" s="190" t="s">
        <v>42</v>
      </c>
      <c r="H5" s="190" t="s">
        <v>43</v>
      </c>
      <c r="I5" s="190" t="s">
        <v>42</v>
      </c>
      <c r="J5" s="190" t="s">
        <v>43</v>
      </c>
      <c r="K5" s="190" t="s">
        <v>42</v>
      </c>
      <c r="L5" s="190" t="s">
        <v>43</v>
      </c>
      <c r="M5" s="190" t="s">
        <v>42</v>
      </c>
      <c r="N5" s="190" t="s">
        <v>43</v>
      </c>
      <c r="O5" s="190" t="s">
        <v>42</v>
      </c>
      <c r="P5" s="190" t="s">
        <v>43</v>
      </c>
      <c r="Q5" s="190" t="s">
        <v>42</v>
      </c>
      <c r="R5" s="190" t="s">
        <v>43</v>
      </c>
      <c r="S5" s="33" t="s">
        <v>42</v>
      </c>
      <c r="T5" s="33" t="s">
        <v>43</v>
      </c>
      <c r="U5" s="30" t="s">
        <v>42</v>
      </c>
      <c r="V5" s="30" t="s">
        <v>43</v>
      </c>
      <c r="W5" s="30" t="s">
        <v>42</v>
      </c>
      <c r="X5" s="30" t="s">
        <v>43</v>
      </c>
      <c r="Y5" s="2239"/>
    </row>
    <row r="6" spans="1:25" ht="34.5" customHeight="1" x14ac:dyDescent="0.25">
      <c r="A6" s="12">
        <v>1409935200</v>
      </c>
      <c r="B6" s="189" t="s">
        <v>71</v>
      </c>
      <c r="C6" s="192">
        <v>34741</v>
      </c>
      <c r="D6" s="193">
        <f>0.9725*C6</f>
        <v>33785.622499999998</v>
      </c>
      <c r="E6" s="192"/>
      <c r="F6" s="192">
        <f>13.7*E6</f>
        <v>0</v>
      </c>
      <c r="G6" s="192"/>
      <c r="H6" s="192">
        <f>28.2*G6</f>
        <v>0</v>
      </c>
      <c r="I6" s="192"/>
      <c r="J6" s="192">
        <f>18.5*I6</f>
        <v>0</v>
      </c>
      <c r="K6" s="192"/>
      <c r="L6" s="192">
        <f>19.5*K6</f>
        <v>0</v>
      </c>
      <c r="M6" s="192"/>
      <c r="N6" s="193">
        <f>M6*9.75</f>
        <v>0</v>
      </c>
      <c r="O6" s="192"/>
      <c r="P6" s="193">
        <f>O6*48.62</f>
        <v>0</v>
      </c>
      <c r="Q6" s="193"/>
      <c r="R6" s="193">
        <f>241*Q6</f>
        <v>0</v>
      </c>
      <c r="S6" s="192"/>
      <c r="T6" s="192">
        <f>241*S6</f>
        <v>0</v>
      </c>
      <c r="U6" s="192"/>
      <c r="V6" s="192">
        <f>232*U6</f>
        <v>0</v>
      </c>
      <c r="W6" s="192"/>
      <c r="X6" s="19">
        <f>W6*100</f>
        <v>0</v>
      </c>
      <c r="Y6" s="89">
        <f t="shared" ref="Y6:Y11" si="0">D6+F6+H6+J6+L6+N6+P6+R6+T6+V6+X6</f>
        <v>33785.622499999998</v>
      </c>
    </row>
    <row r="7" spans="1:25" ht="31.5" customHeight="1" x14ac:dyDescent="0.25">
      <c r="A7" s="12">
        <v>1984225578</v>
      </c>
      <c r="B7" s="189" t="s">
        <v>72</v>
      </c>
      <c r="C7" s="192">
        <v>30311</v>
      </c>
      <c r="D7" s="193">
        <f t="shared" ref="D7:D11" si="1">0.9725*C7</f>
        <v>29477.447500000002</v>
      </c>
      <c r="E7" s="192"/>
      <c r="F7" s="192">
        <f t="shared" ref="F7:F11" si="2">13.7*E7</f>
        <v>0</v>
      </c>
      <c r="G7" s="192"/>
      <c r="H7" s="192">
        <f t="shared" ref="H7:H11" si="3">28.2*G7</f>
        <v>0</v>
      </c>
      <c r="I7" s="192"/>
      <c r="J7" s="192">
        <f t="shared" ref="J7:J11" si="4">18.5*I7</f>
        <v>0</v>
      </c>
      <c r="K7" s="192"/>
      <c r="L7" s="192">
        <f t="shared" ref="L7:L11" si="5">19.5*K7</f>
        <v>0</v>
      </c>
      <c r="M7" s="192"/>
      <c r="N7" s="193">
        <f t="shared" ref="N7:N11" si="6">M7*9.75</f>
        <v>0</v>
      </c>
      <c r="O7" s="192"/>
      <c r="P7" s="193">
        <f t="shared" ref="P7:P11" si="7">O7*48.62</f>
        <v>0</v>
      </c>
      <c r="Q7" s="193"/>
      <c r="R7" s="193">
        <f t="shared" ref="R7:R11" si="8">241*Q7</f>
        <v>0</v>
      </c>
      <c r="S7" s="192"/>
      <c r="T7" s="192">
        <f t="shared" ref="T7:T11" si="9">241*S7</f>
        <v>0</v>
      </c>
      <c r="U7" s="192">
        <v>20</v>
      </c>
      <c r="V7" s="192">
        <f t="shared" ref="V7:V11" si="10">232*U7</f>
        <v>4640</v>
      </c>
      <c r="W7" s="192"/>
      <c r="X7" s="19">
        <f t="shared" ref="X7:X11" si="11">W7*100</f>
        <v>0</v>
      </c>
      <c r="Y7" s="89">
        <f t="shared" si="0"/>
        <v>34117.447500000002</v>
      </c>
    </row>
    <row r="8" spans="1:25" ht="35.25" customHeight="1" x14ac:dyDescent="0.25">
      <c r="A8" s="12">
        <v>1967020280</v>
      </c>
      <c r="B8" s="189" t="s">
        <v>73</v>
      </c>
      <c r="C8" s="192">
        <v>30321</v>
      </c>
      <c r="D8" s="193">
        <f t="shared" si="1"/>
        <v>29487.172500000001</v>
      </c>
      <c r="E8" s="192"/>
      <c r="F8" s="192">
        <f t="shared" si="2"/>
        <v>0</v>
      </c>
      <c r="G8" s="192"/>
      <c r="H8" s="192">
        <f t="shared" si="3"/>
        <v>0</v>
      </c>
      <c r="I8" s="192"/>
      <c r="J8" s="192">
        <f t="shared" si="4"/>
        <v>0</v>
      </c>
      <c r="K8" s="192"/>
      <c r="L8" s="192">
        <f t="shared" si="5"/>
        <v>0</v>
      </c>
      <c r="M8" s="192"/>
      <c r="N8" s="193">
        <f t="shared" si="6"/>
        <v>0</v>
      </c>
      <c r="O8" s="192"/>
      <c r="P8" s="193">
        <f t="shared" si="7"/>
        <v>0</v>
      </c>
      <c r="Q8" s="193"/>
      <c r="R8" s="193">
        <f t="shared" si="8"/>
        <v>0</v>
      </c>
      <c r="S8" s="192"/>
      <c r="T8" s="192">
        <f t="shared" si="9"/>
        <v>0</v>
      </c>
      <c r="U8" s="192"/>
      <c r="V8" s="192">
        <f t="shared" si="10"/>
        <v>0</v>
      </c>
      <c r="W8" s="192"/>
      <c r="X8" s="19">
        <f t="shared" si="11"/>
        <v>0</v>
      </c>
      <c r="Y8" s="89">
        <f t="shared" si="0"/>
        <v>29487.172500000001</v>
      </c>
    </row>
    <row r="9" spans="1:25" ht="38.25" customHeight="1" x14ac:dyDescent="0.25">
      <c r="A9" s="12">
        <v>1409935199</v>
      </c>
      <c r="B9" s="189" t="s">
        <v>75</v>
      </c>
      <c r="C9" s="192">
        <v>25386</v>
      </c>
      <c r="D9" s="193">
        <f t="shared" si="1"/>
        <v>24687.885000000002</v>
      </c>
      <c r="E9" s="192"/>
      <c r="F9" s="192">
        <f t="shared" si="2"/>
        <v>0</v>
      </c>
      <c r="G9" s="192"/>
      <c r="H9" s="192">
        <f t="shared" si="3"/>
        <v>0</v>
      </c>
      <c r="I9" s="192"/>
      <c r="J9" s="192">
        <f t="shared" si="4"/>
        <v>0</v>
      </c>
      <c r="K9" s="192"/>
      <c r="L9" s="192">
        <f t="shared" si="5"/>
        <v>0</v>
      </c>
      <c r="M9" s="192"/>
      <c r="N9" s="193">
        <f t="shared" si="6"/>
        <v>0</v>
      </c>
      <c r="O9" s="192"/>
      <c r="P9" s="193">
        <f t="shared" si="7"/>
        <v>0</v>
      </c>
      <c r="Q9" s="193"/>
      <c r="R9" s="193">
        <f t="shared" si="8"/>
        <v>0</v>
      </c>
      <c r="S9" s="192"/>
      <c r="T9" s="192">
        <f t="shared" si="9"/>
        <v>0</v>
      </c>
      <c r="U9" s="192"/>
      <c r="V9" s="192">
        <f t="shared" si="10"/>
        <v>0</v>
      </c>
      <c r="W9" s="192"/>
      <c r="X9" s="19">
        <f t="shared" si="11"/>
        <v>0</v>
      </c>
      <c r="Y9" s="89">
        <f t="shared" si="0"/>
        <v>24687.885000000002</v>
      </c>
    </row>
    <row r="10" spans="1:25" ht="35.25" customHeight="1" x14ac:dyDescent="0.25">
      <c r="A10" s="12">
        <v>1984225580</v>
      </c>
      <c r="C10" s="192"/>
      <c r="D10" s="193">
        <f t="shared" si="1"/>
        <v>0</v>
      </c>
      <c r="E10" s="192"/>
      <c r="F10" s="192">
        <f t="shared" si="2"/>
        <v>0</v>
      </c>
      <c r="G10" s="192"/>
      <c r="H10" s="192">
        <f t="shared" si="3"/>
        <v>0</v>
      </c>
      <c r="I10" s="192"/>
      <c r="J10" s="192">
        <f t="shared" si="4"/>
        <v>0</v>
      </c>
      <c r="K10" s="192"/>
      <c r="L10" s="192">
        <f t="shared" si="5"/>
        <v>0</v>
      </c>
      <c r="M10" s="192"/>
      <c r="N10" s="193">
        <f t="shared" si="6"/>
        <v>0</v>
      </c>
      <c r="O10" s="192"/>
      <c r="P10" s="193">
        <f t="shared" si="7"/>
        <v>0</v>
      </c>
      <c r="Q10" s="193"/>
      <c r="R10" s="193">
        <f t="shared" si="8"/>
        <v>0</v>
      </c>
      <c r="S10" s="192"/>
      <c r="T10" s="192">
        <f t="shared" si="9"/>
        <v>0</v>
      </c>
      <c r="U10" s="192"/>
      <c r="V10" s="192">
        <f t="shared" si="10"/>
        <v>0</v>
      </c>
      <c r="W10" s="192"/>
      <c r="X10" s="19">
        <f t="shared" si="11"/>
        <v>0</v>
      </c>
      <c r="Y10" s="89">
        <f t="shared" si="0"/>
        <v>0</v>
      </c>
    </row>
    <row r="11" spans="1:25" ht="37.5" customHeight="1" x14ac:dyDescent="0.25">
      <c r="A11" s="12"/>
      <c r="B11" s="191"/>
      <c r="C11" s="192"/>
      <c r="D11" s="22">
        <f t="shared" si="1"/>
        <v>0</v>
      </c>
      <c r="E11" s="192"/>
      <c r="F11" s="192">
        <f t="shared" si="2"/>
        <v>0</v>
      </c>
      <c r="G11" s="192"/>
      <c r="H11" s="192">
        <f t="shared" si="3"/>
        <v>0</v>
      </c>
      <c r="I11" s="192"/>
      <c r="J11" s="192">
        <f t="shared" si="4"/>
        <v>0</v>
      </c>
      <c r="K11" s="192"/>
      <c r="L11" s="192">
        <f t="shared" si="5"/>
        <v>0</v>
      </c>
      <c r="M11" s="192"/>
      <c r="N11" s="193">
        <f t="shared" si="6"/>
        <v>0</v>
      </c>
      <c r="O11" s="192"/>
      <c r="P11" s="193">
        <f t="shared" si="7"/>
        <v>0</v>
      </c>
      <c r="Q11" s="193"/>
      <c r="R11" s="193">
        <f t="shared" si="8"/>
        <v>0</v>
      </c>
      <c r="S11" s="192"/>
      <c r="T11" s="192">
        <f t="shared" si="9"/>
        <v>0</v>
      </c>
      <c r="U11" s="192"/>
      <c r="V11" s="192">
        <f t="shared" si="10"/>
        <v>0</v>
      </c>
      <c r="W11" s="192"/>
      <c r="X11" s="19">
        <f t="shared" si="11"/>
        <v>0</v>
      </c>
      <c r="Y11" s="20">
        <f t="shared" si="0"/>
        <v>0</v>
      </c>
    </row>
    <row r="12" spans="1:25" ht="29.25" customHeight="1" x14ac:dyDescent="0.25">
      <c r="A12" s="2235" t="s">
        <v>31</v>
      </c>
      <c r="B12" s="2235"/>
      <c r="C12" s="18">
        <f t="shared" ref="C12:Y12" si="12">SUM(C6:C11)</f>
        <v>120759</v>
      </c>
      <c r="D12" s="18">
        <f t="shared" si="12"/>
        <v>117438.1275</v>
      </c>
      <c r="E12" s="18">
        <f t="shared" si="12"/>
        <v>0</v>
      </c>
      <c r="F12" s="18">
        <f t="shared" si="12"/>
        <v>0</v>
      </c>
      <c r="G12" s="18">
        <f t="shared" si="12"/>
        <v>0</v>
      </c>
      <c r="H12" s="18">
        <f t="shared" si="12"/>
        <v>0</v>
      </c>
      <c r="I12" s="18">
        <f t="shared" si="12"/>
        <v>0</v>
      </c>
      <c r="J12" s="18">
        <f t="shared" si="12"/>
        <v>0</v>
      </c>
      <c r="K12" s="18">
        <f t="shared" si="12"/>
        <v>0</v>
      </c>
      <c r="L12" s="18">
        <f t="shared" si="12"/>
        <v>0</v>
      </c>
      <c r="M12" s="18">
        <f t="shared" si="12"/>
        <v>0</v>
      </c>
      <c r="N12" s="23">
        <f t="shared" si="12"/>
        <v>0</v>
      </c>
      <c r="O12" s="18">
        <f t="shared" si="12"/>
        <v>0</v>
      </c>
      <c r="P12" s="23">
        <f t="shared" si="12"/>
        <v>0</v>
      </c>
      <c r="Q12" s="23">
        <f t="shared" si="12"/>
        <v>0</v>
      </c>
      <c r="R12" s="23">
        <f>SUM(R6:R11)</f>
        <v>0</v>
      </c>
      <c r="S12" s="18">
        <f t="shared" si="12"/>
        <v>0</v>
      </c>
      <c r="T12" s="18">
        <f t="shared" si="12"/>
        <v>0</v>
      </c>
      <c r="U12" s="18">
        <f t="shared" si="12"/>
        <v>20</v>
      </c>
      <c r="V12" s="18">
        <f t="shared" si="12"/>
        <v>4640</v>
      </c>
      <c r="W12" s="18">
        <f t="shared" si="12"/>
        <v>0</v>
      </c>
      <c r="X12" s="18">
        <f t="shared" si="12"/>
        <v>0</v>
      </c>
      <c r="Y12" s="18">
        <f t="shared" si="12"/>
        <v>122078.1275</v>
      </c>
    </row>
    <row r="14" spans="1:25" ht="41.25" customHeight="1" x14ac:dyDescent="0.25">
      <c r="A14" s="30" t="s">
        <v>32</v>
      </c>
      <c r="B14" s="2236" t="s">
        <v>27</v>
      </c>
      <c r="C14" s="2236"/>
      <c r="D14" s="30" t="s">
        <v>33</v>
      </c>
      <c r="E14" s="30" t="s">
        <v>65</v>
      </c>
      <c r="F14" s="30" t="s">
        <v>34</v>
      </c>
      <c r="G14" s="30" t="s">
        <v>13</v>
      </c>
      <c r="H14" s="142" t="s">
        <v>173</v>
      </c>
      <c r="I14" s="30" t="s">
        <v>17</v>
      </c>
      <c r="J14" s="197" t="s">
        <v>174</v>
      </c>
      <c r="K14" s="30" t="s">
        <v>36</v>
      </c>
      <c r="L14" s="30" t="s">
        <v>175</v>
      </c>
      <c r="M14" s="30" t="s">
        <v>69</v>
      </c>
      <c r="N14" s="30" t="s">
        <v>70</v>
      </c>
      <c r="O14" s="197" t="s">
        <v>114</v>
      </c>
      <c r="P14" s="197" t="s">
        <v>99</v>
      </c>
      <c r="Q14" s="2272" t="s">
        <v>215</v>
      </c>
      <c r="R14" s="2272"/>
      <c r="S14" s="197" t="s">
        <v>228</v>
      </c>
      <c r="T14" s="2235" t="s">
        <v>46</v>
      </c>
      <c r="U14" s="189" t="s">
        <v>176</v>
      </c>
      <c r="V14" s="2260">
        <v>22327</v>
      </c>
      <c r="W14" s="2268"/>
      <c r="X14" s="2261"/>
    </row>
    <row r="15" spans="1:25" ht="22.5" customHeight="1" x14ac:dyDescent="0.25">
      <c r="A15" s="100" t="s">
        <v>38</v>
      </c>
      <c r="B15" s="2260">
        <v>254854</v>
      </c>
      <c r="C15" s="2261"/>
      <c r="D15" s="194">
        <v>0</v>
      </c>
      <c r="E15" s="194">
        <v>0</v>
      </c>
      <c r="F15" s="194">
        <v>0</v>
      </c>
      <c r="G15" s="194">
        <v>0</v>
      </c>
      <c r="H15" s="194">
        <v>42</v>
      </c>
      <c r="I15" s="194">
        <v>39</v>
      </c>
      <c r="J15" s="194">
        <v>100</v>
      </c>
      <c r="K15" s="194">
        <v>50</v>
      </c>
      <c r="L15" s="194">
        <v>995</v>
      </c>
      <c r="M15" s="194">
        <v>0</v>
      </c>
      <c r="N15" s="194">
        <v>100</v>
      </c>
      <c r="O15" s="194">
        <v>0</v>
      </c>
      <c r="P15" s="194">
        <v>417</v>
      </c>
      <c r="Q15" s="2262">
        <v>41</v>
      </c>
      <c r="R15" s="2262"/>
      <c r="S15" s="189">
        <v>117</v>
      </c>
      <c r="T15" s="2235"/>
      <c r="U15" s="189" t="s">
        <v>64</v>
      </c>
      <c r="V15" s="2262">
        <v>22662</v>
      </c>
      <c r="W15" s="2262"/>
      <c r="X15" s="2262"/>
    </row>
    <row r="16" spans="1:25" ht="24.75" customHeight="1" x14ac:dyDescent="0.25">
      <c r="A16" s="100" t="s">
        <v>39</v>
      </c>
      <c r="B16" s="2260">
        <v>353247</v>
      </c>
      <c r="C16" s="2261"/>
      <c r="D16" s="194"/>
      <c r="E16" s="194">
        <v>2500</v>
      </c>
      <c r="F16" s="194">
        <v>18500</v>
      </c>
      <c r="G16" s="194"/>
      <c r="H16" s="194">
        <v>300</v>
      </c>
      <c r="I16" s="194"/>
      <c r="J16" s="194"/>
      <c r="K16" s="194"/>
      <c r="L16" s="194"/>
      <c r="M16" s="194"/>
      <c r="N16" s="194"/>
      <c r="O16" s="194"/>
      <c r="P16" s="194"/>
      <c r="Q16" s="2225"/>
      <c r="R16" s="2225"/>
      <c r="S16" s="194"/>
      <c r="T16" s="2254" t="s">
        <v>55</v>
      </c>
      <c r="U16" s="2254"/>
      <c r="V16" s="2267">
        <f>Y12</f>
        <v>122078.1275</v>
      </c>
      <c r="W16" s="2267"/>
      <c r="X16" s="2262"/>
    </row>
    <row r="17" spans="1:25" ht="28.5" customHeight="1" x14ac:dyDescent="0.25">
      <c r="A17" s="101" t="s">
        <v>44</v>
      </c>
      <c r="B17" s="2260"/>
      <c r="C17" s="2261"/>
      <c r="D17" s="194"/>
      <c r="E17" s="194"/>
      <c r="F17" s="194"/>
      <c r="G17" s="194"/>
      <c r="H17" s="194"/>
      <c r="I17" s="194"/>
      <c r="J17" s="194"/>
      <c r="K17" s="194"/>
      <c r="L17" s="194"/>
      <c r="M17" s="194"/>
      <c r="N17" s="194"/>
      <c r="O17" s="194"/>
      <c r="P17" s="194"/>
      <c r="Q17" s="2225"/>
      <c r="R17" s="2225"/>
      <c r="S17" s="191"/>
      <c r="T17" s="2273" t="s">
        <v>211</v>
      </c>
      <c r="U17" s="2274"/>
      <c r="V17" s="2262"/>
      <c r="W17" s="2262"/>
      <c r="X17" s="2262"/>
    </row>
    <row r="18" spans="1:25" ht="27" customHeight="1" x14ac:dyDescent="0.25">
      <c r="A18" s="100" t="s">
        <v>40</v>
      </c>
      <c r="B18" s="2264">
        <f>C12</f>
        <v>120759</v>
      </c>
      <c r="C18" s="2261"/>
      <c r="D18" s="195">
        <f>E12</f>
        <v>0</v>
      </c>
      <c r="E18" s="195">
        <f>G12</f>
        <v>0</v>
      </c>
      <c r="F18" s="195">
        <f>I12</f>
        <v>0</v>
      </c>
      <c r="G18" s="195">
        <f>K12</f>
        <v>0</v>
      </c>
      <c r="H18" s="194"/>
      <c r="I18" s="195">
        <f>U12</f>
        <v>20</v>
      </c>
      <c r="J18" s="194"/>
      <c r="K18" s="195">
        <f>W12</f>
        <v>0</v>
      </c>
      <c r="L18" s="194"/>
      <c r="M18" s="195">
        <f>M12</f>
        <v>0</v>
      </c>
      <c r="N18" s="195">
        <f>O12</f>
        <v>0</v>
      </c>
      <c r="O18" s="196">
        <f>Q12</f>
        <v>0</v>
      </c>
      <c r="P18" s="194"/>
      <c r="Q18" s="2262"/>
      <c r="R18" s="2262"/>
      <c r="S18" s="189"/>
      <c r="T18" s="2254" t="s">
        <v>57</v>
      </c>
      <c r="U18" s="2254"/>
      <c r="V18" s="2262">
        <v>450</v>
      </c>
      <c r="W18" s="2262"/>
      <c r="X18" s="2262"/>
      <c r="Y18" s="2269" t="s">
        <v>231</v>
      </c>
    </row>
    <row r="19" spans="1:25" ht="25.5" customHeight="1" x14ac:dyDescent="0.25">
      <c r="A19" s="100" t="s">
        <v>41</v>
      </c>
      <c r="B19" s="2260">
        <f>B15+B16+B17-B18</f>
        <v>487342</v>
      </c>
      <c r="C19" s="2261"/>
      <c r="D19" s="194">
        <f>D15+D16+D17-D18</f>
        <v>0</v>
      </c>
      <c r="E19" s="194">
        <f t="shared" ref="E19:N19" si="13">E15+E16+E17-E18</f>
        <v>2500</v>
      </c>
      <c r="F19" s="194">
        <f t="shared" si="13"/>
        <v>18500</v>
      </c>
      <c r="G19" s="194">
        <f t="shared" si="13"/>
        <v>0</v>
      </c>
      <c r="H19" s="194">
        <f t="shared" si="13"/>
        <v>342</v>
      </c>
      <c r="I19" s="194">
        <f t="shared" si="13"/>
        <v>19</v>
      </c>
      <c r="J19" s="194">
        <f t="shared" si="13"/>
        <v>100</v>
      </c>
      <c r="K19" s="194">
        <f t="shared" si="13"/>
        <v>50</v>
      </c>
      <c r="L19" s="194">
        <f t="shared" si="13"/>
        <v>995</v>
      </c>
      <c r="M19" s="194">
        <f t="shared" si="13"/>
        <v>0</v>
      </c>
      <c r="N19" s="194">
        <f t="shared" si="13"/>
        <v>100</v>
      </c>
      <c r="O19" s="194">
        <f>O15+O16+O17-O18</f>
        <v>0</v>
      </c>
      <c r="P19" s="194">
        <f>P15+P16+P17-P18</f>
        <v>417</v>
      </c>
      <c r="Q19" s="2260">
        <f t="shared" ref="Q19" si="14">Q15+Q16+Q17-Q18</f>
        <v>41</v>
      </c>
      <c r="R19" s="2261"/>
      <c r="S19" s="189">
        <f>S15+S16-S17-S18</f>
        <v>117</v>
      </c>
      <c r="T19" s="2256" t="s">
        <v>48</v>
      </c>
      <c r="U19" s="49" t="s">
        <v>58</v>
      </c>
      <c r="V19" s="2262">
        <v>100000</v>
      </c>
      <c r="W19" s="2262"/>
      <c r="X19" s="2262"/>
      <c r="Y19" s="2269"/>
    </row>
    <row r="20" spans="1:25" ht="23.25" customHeight="1" x14ac:dyDescent="0.25">
      <c r="A20" s="210" t="s">
        <v>187</v>
      </c>
      <c r="B20" s="2284">
        <f>B19*0.9625</f>
        <v>469066.67499999999</v>
      </c>
      <c r="C20" s="2285"/>
      <c r="D20" s="211">
        <f>D19*13.56</f>
        <v>0</v>
      </c>
      <c r="E20" s="211">
        <f>28.2*E19</f>
        <v>70500</v>
      </c>
      <c r="F20" s="211">
        <f>18.31*F19</f>
        <v>338735</v>
      </c>
      <c r="G20" s="211">
        <f>19.3*G19</f>
        <v>0</v>
      </c>
      <c r="H20" s="211">
        <f>241*H19</f>
        <v>82422</v>
      </c>
      <c r="I20" s="211">
        <f>223*I19</f>
        <v>4237</v>
      </c>
      <c r="J20" s="211">
        <f>241*J19</f>
        <v>24100</v>
      </c>
      <c r="K20" s="211">
        <f>K19*100</f>
        <v>5000</v>
      </c>
      <c r="L20" s="211">
        <f>241*L19</f>
        <v>239795</v>
      </c>
      <c r="M20" s="211">
        <f>9.65*M19</f>
        <v>0</v>
      </c>
      <c r="N20" s="211">
        <f>N19*48.2</f>
        <v>4820</v>
      </c>
      <c r="O20" s="211">
        <f>241*O19</f>
        <v>0</v>
      </c>
      <c r="P20" s="211">
        <f>241*P19</f>
        <v>100497</v>
      </c>
      <c r="Q20" s="2284">
        <f>241*Q19</f>
        <v>9881</v>
      </c>
      <c r="R20" s="2285"/>
      <c r="S20" s="211">
        <f>241*S19</f>
        <v>28197</v>
      </c>
      <c r="T20" s="2257"/>
      <c r="U20" s="49" t="s">
        <v>59</v>
      </c>
      <c r="V20" s="2262"/>
      <c r="W20" s="2262"/>
      <c r="X20" s="2262"/>
      <c r="Y20" s="2269"/>
    </row>
    <row r="21" spans="1:25" ht="32.25" customHeight="1" x14ac:dyDescent="0.25">
      <c r="A21" s="143" t="s">
        <v>186</v>
      </c>
      <c r="B21" s="2283">
        <f>SUM(B20:S20)</f>
        <v>1377250.675</v>
      </c>
      <c r="C21" s="2283"/>
      <c r="O21" s="198"/>
      <c r="P21" s="198"/>
      <c r="Q21" s="198"/>
      <c r="R21" s="198"/>
      <c r="T21" s="2273" t="s">
        <v>167</v>
      </c>
      <c r="U21" s="2274"/>
      <c r="V21" s="2260"/>
      <c r="W21" s="2268"/>
      <c r="X21" s="2261"/>
      <c r="Y21" s="2269"/>
    </row>
    <row r="22" spans="1:25" ht="35.25" customHeight="1" x14ac:dyDescent="0.25">
      <c r="A22" s="15"/>
      <c r="B22" s="2275" t="s">
        <v>49</v>
      </c>
      <c r="C22" s="2265">
        <v>244600</v>
      </c>
      <c r="D22" s="2265">
        <v>100000</v>
      </c>
      <c r="E22" s="2265">
        <v>820816</v>
      </c>
      <c r="F22" s="2265">
        <f>C22-D22+E22</f>
        <v>965416</v>
      </c>
      <c r="G22" s="198"/>
      <c r="Q22" s="198"/>
      <c r="R22" s="198"/>
      <c r="T22" s="2251" t="s">
        <v>83</v>
      </c>
      <c r="U22" s="50" t="s">
        <v>60</v>
      </c>
      <c r="V22" s="2262">
        <v>122770</v>
      </c>
      <c r="W22" s="2262"/>
      <c r="X22" s="2262"/>
      <c r="Y22" s="2269"/>
    </row>
    <row r="23" spans="1:25" ht="39.75" customHeight="1" x14ac:dyDescent="0.25">
      <c r="A23" s="198"/>
      <c r="B23" s="2276"/>
      <c r="C23" s="2266"/>
      <c r="D23" s="2266"/>
      <c r="E23" s="2266"/>
      <c r="F23" s="2266"/>
      <c r="G23" s="198"/>
      <c r="Q23" s="198"/>
      <c r="R23" s="198"/>
      <c r="T23" s="2252"/>
      <c r="U23" s="50" t="s">
        <v>61</v>
      </c>
      <c r="V23" s="2262">
        <v>100000</v>
      </c>
      <c r="W23" s="2262"/>
      <c r="X23" s="2262"/>
      <c r="Y23" s="2269"/>
    </row>
    <row r="24" spans="1:25" ht="48" customHeight="1" x14ac:dyDescent="0.25">
      <c r="A24" s="198"/>
      <c r="B24" s="2277"/>
      <c r="C24" s="189" t="s">
        <v>46</v>
      </c>
      <c r="D24" s="189" t="s">
        <v>50</v>
      </c>
      <c r="E24" s="189" t="s">
        <v>51</v>
      </c>
      <c r="F24" s="189" t="s">
        <v>52</v>
      </c>
      <c r="G24" s="198"/>
      <c r="Q24" s="198"/>
      <c r="R24" s="198"/>
      <c r="T24" s="2235" t="s">
        <v>47</v>
      </c>
      <c r="U24" s="51" t="s">
        <v>62</v>
      </c>
      <c r="V24" s="2263">
        <f>V14+V16+V17-V18-V19-V20-V22+V23-V21</f>
        <v>21185.127500000002</v>
      </c>
      <c r="W24" s="2263"/>
      <c r="X24" s="2263"/>
      <c r="Y24" s="2269"/>
    </row>
    <row r="25" spans="1:25" ht="40.5" customHeight="1" x14ac:dyDescent="0.25">
      <c r="T25" s="2235"/>
      <c r="U25" s="51" t="s">
        <v>63</v>
      </c>
      <c r="V25" s="2262">
        <f>V15+V22-V23</f>
        <v>45432</v>
      </c>
      <c r="W25" s="2262"/>
      <c r="X25" s="2262"/>
    </row>
    <row r="26" spans="1:25" ht="36" customHeight="1" x14ac:dyDescent="0.25"/>
    <row r="32" spans="1:25" x14ac:dyDescent="0.25">
      <c r="I32" s="2280"/>
      <c r="J32" s="2280"/>
      <c r="K32" s="2280"/>
      <c r="L32" s="2280"/>
    </row>
    <row r="33" spans="9:12" x14ac:dyDescent="0.25">
      <c r="I33" s="198"/>
      <c r="J33" s="198"/>
      <c r="K33" s="2280"/>
      <c r="L33" s="2280"/>
    </row>
  </sheetData>
  <mergeCells count="62">
    <mergeCell ref="I32:J32"/>
    <mergeCell ref="K32:L32"/>
    <mergeCell ref="K33:L33"/>
    <mergeCell ref="T22:T23"/>
    <mergeCell ref="V22:X22"/>
    <mergeCell ref="V23:X23"/>
    <mergeCell ref="T24:T25"/>
    <mergeCell ref="V24:X24"/>
    <mergeCell ref="V25:X25"/>
    <mergeCell ref="Y18:Y24"/>
    <mergeCell ref="B19:C19"/>
    <mergeCell ref="Q19:R19"/>
    <mergeCell ref="T19:T20"/>
    <mergeCell ref="V19:X19"/>
    <mergeCell ref="B20:C20"/>
    <mergeCell ref="B22:B24"/>
    <mergeCell ref="C22:C23"/>
    <mergeCell ref="D22:D23"/>
    <mergeCell ref="E22:E23"/>
    <mergeCell ref="F22:F23"/>
    <mergeCell ref="Q20:R20"/>
    <mergeCell ref="V20:X20"/>
    <mergeCell ref="B21:C21"/>
    <mergeCell ref="T21:U21"/>
    <mergeCell ref="V21:X21"/>
    <mergeCell ref="B17:C17"/>
    <mergeCell ref="Q17:R17"/>
    <mergeCell ref="T17:U17"/>
    <mergeCell ref="V17:X17"/>
    <mergeCell ref="B18:C18"/>
    <mergeCell ref="Q18:R18"/>
    <mergeCell ref="T18:U18"/>
    <mergeCell ref="V18:X18"/>
    <mergeCell ref="W4:X4"/>
    <mergeCell ref="B16:C16"/>
    <mergeCell ref="Q16:R16"/>
    <mergeCell ref="T16:U16"/>
    <mergeCell ref="V16:X16"/>
    <mergeCell ref="A12:B12"/>
    <mergeCell ref="B14:C14"/>
    <mergeCell ref="Q14:R14"/>
    <mergeCell ref="T14:T15"/>
    <mergeCell ref="V14:X14"/>
    <mergeCell ref="B15:C15"/>
    <mergeCell ref="Q15:R15"/>
    <mergeCell ref="V15:X15"/>
    <mergeCell ref="A1:Y1"/>
    <mergeCell ref="A2:Y2"/>
    <mergeCell ref="T3:Y3"/>
    <mergeCell ref="A4:A5"/>
    <mergeCell ref="B4:B5"/>
    <mergeCell ref="C4:D4"/>
    <mergeCell ref="E4:F4"/>
    <mergeCell ref="G4:H4"/>
    <mergeCell ref="I4:J4"/>
    <mergeCell ref="K4:L4"/>
    <mergeCell ref="Y4:Y5"/>
    <mergeCell ref="M4:N4"/>
    <mergeCell ref="O4:P4"/>
    <mergeCell ref="Q4:R4"/>
    <mergeCell ref="S4:T4"/>
    <mergeCell ref="U4:V4"/>
  </mergeCells>
  <pageMargins left="0.15748031496063" right="0.15748031496063" top="0" bottom="0" header="0" footer="0"/>
  <pageSetup paperSize="9" scale="47" orientation="landscape" r:id="rId1"/>
  <legacyDrawing r:id="rId2"/>
</worksheet>
</file>

<file path=xl/worksheets/sheet7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D24E366-75BB-43CB-BD6A-C25B14BEA5FB}">
  <sheetPr>
    <pageSetUpPr fitToPage="1"/>
  </sheetPr>
  <dimension ref="A1:Y33"/>
  <sheetViews>
    <sheetView topLeftCell="A9" zoomScale="71" zoomScaleNormal="71" zoomScaleSheetLayoutView="100" workbookViewId="0">
      <selection activeCell="H19" sqref="H19"/>
    </sheetView>
  </sheetViews>
  <sheetFormatPr defaultColWidth="9.140625" defaultRowHeight="15" x14ac:dyDescent="0.25"/>
  <cols>
    <col min="1" max="1" width="18.28515625" style="14" customWidth="1"/>
    <col min="2" max="2" width="10.7109375" style="14" customWidth="1"/>
    <col min="3" max="3" width="12.28515625" style="14" customWidth="1"/>
    <col min="4" max="4" width="11" style="14" customWidth="1"/>
    <col min="5" max="5" width="12" style="14" customWidth="1"/>
    <col min="6" max="6" width="12.5703125" style="14" bestFit="1" customWidth="1"/>
    <col min="7" max="7" width="9.28515625" style="14" bestFit="1" customWidth="1"/>
    <col min="8" max="8" width="10.140625" style="14" bestFit="1" customWidth="1"/>
    <col min="9" max="9" width="10.5703125" style="14" bestFit="1" customWidth="1"/>
    <col min="10" max="10" width="10.5703125" style="14" customWidth="1"/>
    <col min="11" max="11" width="10.28515625" style="14" bestFit="1" customWidth="1"/>
    <col min="12" max="12" width="10.42578125" style="14" bestFit="1" customWidth="1"/>
    <col min="13" max="13" width="9.85546875" style="14" bestFit="1" customWidth="1"/>
    <col min="14" max="14" width="10.140625" style="14" bestFit="1" customWidth="1"/>
    <col min="15" max="15" width="9" style="14" customWidth="1"/>
    <col min="16" max="16" width="12.85546875" style="14" bestFit="1" customWidth="1"/>
    <col min="17" max="18" width="9.42578125" style="14" customWidth="1"/>
    <col min="19" max="19" width="13.7109375" style="14" customWidth="1"/>
    <col min="20" max="20" width="12.140625" style="14" customWidth="1"/>
    <col min="21" max="21" width="19.5703125" style="14" bestFit="1" customWidth="1"/>
    <col min="22" max="22" width="9.85546875" style="14" customWidth="1"/>
    <col min="23" max="23" width="10.140625" style="14" bestFit="1" customWidth="1"/>
    <col min="24" max="24" width="10.28515625" style="14" customWidth="1"/>
    <col min="25" max="25" width="28" style="14" customWidth="1"/>
    <col min="26" max="16384" width="9.140625" style="14"/>
  </cols>
  <sheetData>
    <row r="1" spans="1:25" ht="46.15" customHeight="1" x14ac:dyDescent="0.25">
      <c r="A1" s="2240" t="s">
        <v>148</v>
      </c>
      <c r="B1" s="2240"/>
      <c r="C1" s="2240"/>
      <c r="D1" s="2240"/>
      <c r="E1" s="2240"/>
      <c r="F1" s="2240"/>
      <c r="G1" s="2240"/>
      <c r="H1" s="2240"/>
      <c r="I1" s="2240"/>
      <c r="J1" s="2240"/>
      <c r="K1" s="2240"/>
      <c r="L1" s="2240"/>
      <c r="M1" s="2240"/>
      <c r="N1" s="2240"/>
      <c r="O1" s="2240"/>
      <c r="P1" s="2240"/>
      <c r="Q1" s="2240"/>
      <c r="R1" s="2240"/>
      <c r="S1" s="2240"/>
      <c r="T1" s="2240"/>
      <c r="U1" s="2240"/>
      <c r="V1" s="2240"/>
      <c r="W1" s="2240"/>
      <c r="X1" s="2240"/>
      <c r="Y1" s="2240"/>
    </row>
    <row r="2" spans="1:25" ht="21.6" customHeight="1" x14ac:dyDescent="0.25">
      <c r="A2" s="2241" t="s">
        <v>77</v>
      </c>
      <c r="B2" s="2241"/>
      <c r="C2" s="2241"/>
      <c r="D2" s="2241"/>
      <c r="E2" s="2241"/>
      <c r="F2" s="2241"/>
      <c r="G2" s="2241"/>
      <c r="H2" s="2241"/>
      <c r="I2" s="2241"/>
      <c r="J2" s="2241"/>
      <c r="K2" s="2241"/>
      <c r="L2" s="2241"/>
      <c r="M2" s="2241"/>
      <c r="N2" s="2241"/>
      <c r="O2" s="2241"/>
      <c r="P2" s="2241"/>
      <c r="Q2" s="2241"/>
      <c r="R2" s="2241"/>
      <c r="S2" s="2241"/>
      <c r="T2" s="2241"/>
      <c r="U2" s="2241"/>
      <c r="V2" s="2241"/>
      <c r="W2" s="2241"/>
      <c r="X2" s="2241"/>
      <c r="Y2" s="2241"/>
    </row>
    <row r="3" spans="1:25" ht="21" customHeight="1" x14ac:dyDescent="0.25">
      <c r="A3" s="204"/>
      <c r="B3" s="204"/>
      <c r="C3" s="204"/>
      <c r="D3" s="204"/>
      <c r="E3" s="204"/>
      <c r="F3" s="204"/>
      <c r="G3" s="204"/>
      <c r="H3" s="204"/>
      <c r="I3" s="204"/>
      <c r="J3" s="204"/>
      <c r="K3" s="204"/>
      <c r="L3" s="204"/>
      <c r="M3" s="204"/>
      <c r="N3" s="204"/>
      <c r="O3" s="204"/>
      <c r="P3" s="204"/>
      <c r="Q3" s="204"/>
      <c r="R3" s="204"/>
      <c r="S3" s="204"/>
      <c r="T3" s="2242" t="s">
        <v>232</v>
      </c>
      <c r="U3" s="2242"/>
      <c r="V3" s="2242"/>
      <c r="W3" s="2242"/>
      <c r="X3" s="2242"/>
      <c r="Y3" s="2242"/>
    </row>
    <row r="4" spans="1:25" s="204" customFormat="1" ht="18" customHeight="1" x14ac:dyDescent="0.25">
      <c r="A4" s="2243" t="s">
        <v>25</v>
      </c>
      <c r="B4" s="2243" t="s">
        <v>26</v>
      </c>
      <c r="C4" s="2244" t="s">
        <v>27</v>
      </c>
      <c r="D4" s="2244"/>
      <c r="E4" s="2244" t="s">
        <v>28</v>
      </c>
      <c r="F4" s="2244"/>
      <c r="G4" s="2244" t="s">
        <v>65</v>
      </c>
      <c r="H4" s="2244"/>
      <c r="I4" s="2244" t="s">
        <v>29</v>
      </c>
      <c r="J4" s="2244"/>
      <c r="K4" s="2245" t="s">
        <v>13</v>
      </c>
      <c r="L4" s="2246"/>
      <c r="M4" s="2245" t="s">
        <v>67</v>
      </c>
      <c r="N4" s="2246"/>
      <c r="O4" s="2245" t="s">
        <v>68</v>
      </c>
      <c r="P4" s="2246"/>
      <c r="Q4" s="2245" t="s">
        <v>114</v>
      </c>
      <c r="R4" s="2246"/>
      <c r="S4" s="2244" t="s">
        <v>35</v>
      </c>
      <c r="T4" s="2244"/>
      <c r="U4" s="2245" t="s">
        <v>17</v>
      </c>
      <c r="V4" s="2246"/>
      <c r="W4" s="2247" t="s">
        <v>36</v>
      </c>
      <c r="X4" s="2248"/>
      <c r="Y4" s="2238" t="s">
        <v>30</v>
      </c>
    </row>
    <row r="5" spans="1:25" s="204" customFormat="1" ht="25.5" customHeight="1" x14ac:dyDescent="0.25">
      <c r="A5" s="2243"/>
      <c r="B5" s="2243"/>
      <c r="C5" s="203" t="s">
        <v>42</v>
      </c>
      <c r="D5" s="203" t="s">
        <v>43</v>
      </c>
      <c r="E5" s="203" t="s">
        <v>42</v>
      </c>
      <c r="F5" s="203" t="s">
        <v>43</v>
      </c>
      <c r="G5" s="203" t="s">
        <v>42</v>
      </c>
      <c r="H5" s="203" t="s">
        <v>43</v>
      </c>
      <c r="I5" s="203" t="s">
        <v>42</v>
      </c>
      <c r="J5" s="203" t="s">
        <v>43</v>
      </c>
      <c r="K5" s="203" t="s">
        <v>42</v>
      </c>
      <c r="L5" s="203" t="s">
        <v>43</v>
      </c>
      <c r="M5" s="203" t="s">
        <v>42</v>
      </c>
      <c r="N5" s="203" t="s">
        <v>43</v>
      </c>
      <c r="O5" s="203" t="s">
        <v>42</v>
      </c>
      <c r="P5" s="203" t="s">
        <v>43</v>
      </c>
      <c r="Q5" s="203" t="s">
        <v>42</v>
      </c>
      <c r="R5" s="203" t="s">
        <v>43</v>
      </c>
      <c r="S5" s="33" t="s">
        <v>42</v>
      </c>
      <c r="T5" s="33" t="s">
        <v>43</v>
      </c>
      <c r="U5" s="30" t="s">
        <v>42</v>
      </c>
      <c r="V5" s="30" t="s">
        <v>43</v>
      </c>
      <c r="W5" s="30" t="s">
        <v>42</v>
      </c>
      <c r="X5" s="30" t="s">
        <v>43</v>
      </c>
      <c r="Y5" s="2239"/>
    </row>
    <row r="6" spans="1:25" ht="34.5" customHeight="1" x14ac:dyDescent="0.25">
      <c r="A6" s="12">
        <v>1409935200</v>
      </c>
      <c r="B6" s="202" t="s">
        <v>71</v>
      </c>
      <c r="C6" s="200">
        <v>39445</v>
      </c>
      <c r="D6" s="199">
        <f>0.9725*C6</f>
        <v>38360.262500000004</v>
      </c>
      <c r="E6" s="200"/>
      <c r="F6" s="200">
        <f>13.7*E6</f>
        <v>0</v>
      </c>
      <c r="G6" s="200">
        <v>170</v>
      </c>
      <c r="H6" s="200">
        <f>28.2*G6</f>
        <v>4794</v>
      </c>
      <c r="I6" s="200">
        <v>1080</v>
      </c>
      <c r="J6" s="200">
        <f>18.5*I6</f>
        <v>19980</v>
      </c>
      <c r="K6" s="200"/>
      <c r="L6" s="200">
        <f>19.5*K6</f>
        <v>0</v>
      </c>
      <c r="M6" s="200"/>
      <c r="N6" s="199">
        <f>M6*9.75</f>
        <v>0</v>
      </c>
      <c r="O6" s="200"/>
      <c r="P6" s="199">
        <f>O6*48.62</f>
        <v>0</v>
      </c>
      <c r="Q6" s="199"/>
      <c r="R6" s="199">
        <f>241*Q6</f>
        <v>0</v>
      </c>
      <c r="S6" s="200"/>
      <c r="T6" s="200">
        <f>241*S6</f>
        <v>0</v>
      </c>
      <c r="U6" s="200"/>
      <c r="V6" s="200">
        <f>232*U6</f>
        <v>0</v>
      </c>
      <c r="W6" s="200"/>
      <c r="X6" s="19">
        <f>W6*100</f>
        <v>0</v>
      </c>
      <c r="Y6" s="89">
        <f t="shared" ref="Y6:Y11" si="0">D6+F6+H6+J6+L6+N6+P6+R6+T6+V6+X6</f>
        <v>63134.262500000004</v>
      </c>
    </row>
    <row r="7" spans="1:25" ht="31.5" customHeight="1" x14ac:dyDescent="0.25">
      <c r="A7" s="12">
        <v>1984225578</v>
      </c>
      <c r="B7" s="202" t="s">
        <v>72</v>
      </c>
      <c r="C7" s="200">
        <v>28732</v>
      </c>
      <c r="D7" s="199">
        <f t="shared" ref="D7:D11" si="1">0.9725*C7</f>
        <v>27941.870000000003</v>
      </c>
      <c r="E7" s="200"/>
      <c r="F7" s="200">
        <f t="shared" ref="F7:F11" si="2">13.7*E7</f>
        <v>0</v>
      </c>
      <c r="G7" s="200">
        <v>500</v>
      </c>
      <c r="H7" s="200">
        <f t="shared" ref="H7:H11" si="3">28.2*G7</f>
        <v>14100</v>
      </c>
      <c r="I7" s="200">
        <v>2190</v>
      </c>
      <c r="J7" s="200">
        <f t="shared" ref="J7:J11" si="4">18.5*I7</f>
        <v>40515</v>
      </c>
      <c r="K7" s="200"/>
      <c r="L7" s="200">
        <f t="shared" ref="L7:L11" si="5">19.5*K7</f>
        <v>0</v>
      </c>
      <c r="M7" s="200"/>
      <c r="N7" s="199">
        <f t="shared" ref="N7:N11" si="6">M7*9.75</f>
        <v>0</v>
      </c>
      <c r="O7" s="200"/>
      <c r="P7" s="199">
        <f t="shared" ref="P7:P11" si="7">O7*48.62</f>
        <v>0</v>
      </c>
      <c r="Q7" s="199"/>
      <c r="R7" s="199">
        <f t="shared" ref="R7:R11" si="8">241*Q7</f>
        <v>0</v>
      </c>
      <c r="S7" s="200">
        <v>15</v>
      </c>
      <c r="T7" s="200">
        <f t="shared" ref="T7:T11" si="9">241*S7</f>
        <v>3615</v>
      </c>
      <c r="U7" s="200"/>
      <c r="V7" s="200">
        <f t="shared" ref="V7:V11" si="10">232*U7</f>
        <v>0</v>
      </c>
      <c r="W7" s="200"/>
      <c r="X7" s="19">
        <f t="shared" ref="X7:X11" si="11">W7*100</f>
        <v>0</v>
      </c>
      <c r="Y7" s="89">
        <f t="shared" si="0"/>
        <v>86171.87</v>
      </c>
    </row>
    <row r="8" spans="1:25" ht="35.25" customHeight="1" x14ac:dyDescent="0.25">
      <c r="A8" s="12">
        <v>1967020280</v>
      </c>
      <c r="B8" s="202" t="s">
        <v>73</v>
      </c>
      <c r="C8" s="200">
        <v>14900</v>
      </c>
      <c r="D8" s="199">
        <f t="shared" si="1"/>
        <v>14490.25</v>
      </c>
      <c r="E8" s="200"/>
      <c r="F8" s="200">
        <f t="shared" si="2"/>
        <v>0</v>
      </c>
      <c r="G8" s="200">
        <v>110</v>
      </c>
      <c r="H8" s="200">
        <f t="shared" si="3"/>
        <v>3102</v>
      </c>
      <c r="I8" s="200">
        <v>1000</v>
      </c>
      <c r="J8" s="200">
        <f t="shared" si="4"/>
        <v>18500</v>
      </c>
      <c r="K8" s="200"/>
      <c r="L8" s="200">
        <f t="shared" si="5"/>
        <v>0</v>
      </c>
      <c r="M8" s="200"/>
      <c r="N8" s="199">
        <f t="shared" si="6"/>
        <v>0</v>
      </c>
      <c r="O8" s="200"/>
      <c r="P8" s="199">
        <f t="shared" si="7"/>
        <v>0</v>
      </c>
      <c r="Q8" s="199"/>
      <c r="R8" s="199">
        <f t="shared" si="8"/>
        <v>0</v>
      </c>
      <c r="S8" s="200"/>
      <c r="T8" s="200">
        <f t="shared" si="9"/>
        <v>0</v>
      </c>
      <c r="U8" s="200"/>
      <c r="V8" s="200">
        <f t="shared" si="10"/>
        <v>0</v>
      </c>
      <c r="W8" s="200"/>
      <c r="X8" s="19">
        <f t="shared" si="11"/>
        <v>0</v>
      </c>
      <c r="Y8" s="89">
        <f t="shared" si="0"/>
        <v>36092.25</v>
      </c>
    </row>
    <row r="9" spans="1:25" ht="38.25" customHeight="1" x14ac:dyDescent="0.25">
      <c r="A9" s="12">
        <v>1409935199</v>
      </c>
      <c r="B9" s="202" t="s">
        <v>75</v>
      </c>
      <c r="C9" s="200">
        <v>21847</v>
      </c>
      <c r="D9" s="199">
        <f t="shared" si="1"/>
        <v>21246.2075</v>
      </c>
      <c r="E9" s="200"/>
      <c r="F9" s="200">
        <f t="shared" si="2"/>
        <v>0</v>
      </c>
      <c r="G9" s="200"/>
      <c r="H9" s="200">
        <f t="shared" si="3"/>
        <v>0</v>
      </c>
      <c r="I9" s="200">
        <v>1460</v>
      </c>
      <c r="J9" s="200">
        <f t="shared" si="4"/>
        <v>27010</v>
      </c>
      <c r="K9" s="200"/>
      <c r="L9" s="200">
        <f t="shared" si="5"/>
        <v>0</v>
      </c>
      <c r="M9" s="200"/>
      <c r="N9" s="199">
        <f t="shared" si="6"/>
        <v>0</v>
      </c>
      <c r="O9" s="200"/>
      <c r="P9" s="199">
        <f t="shared" si="7"/>
        <v>0</v>
      </c>
      <c r="Q9" s="199"/>
      <c r="R9" s="199">
        <f t="shared" si="8"/>
        <v>0</v>
      </c>
      <c r="S9" s="200"/>
      <c r="T9" s="200">
        <f t="shared" si="9"/>
        <v>0</v>
      </c>
      <c r="U9" s="200"/>
      <c r="V9" s="200">
        <f t="shared" si="10"/>
        <v>0</v>
      </c>
      <c r="W9" s="200"/>
      <c r="X9" s="19">
        <f t="shared" si="11"/>
        <v>0</v>
      </c>
      <c r="Y9" s="89">
        <f t="shared" si="0"/>
        <v>48256.207500000004</v>
      </c>
    </row>
    <row r="10" spans="1:25" ht="35.25" customHeight="1" x14ac:dyDescent="0.25">
      <c r="A10" s="12">
        <v>1984225580</v>
      </c>
      <c r="C10" s="200"/>
      <c r="D10" s="199">
        <f t="shared" si="1"/>
        <v>0</v>
      </c>
      <c r="E10" s="200"/>
      <c r="F10" s="200">
        <f t="shared" si="2"/>
        <v>0</v>
      </c>
      <c r="G10" s="200"/>
      <c r="H10" s="200">
        <f t="shared" si="3"/>
        <v>0</v>
      </c>
      <c r="I10" s="200"/>
      <c r="J10" s="200">
        <f t="shared" si="4"/>
        <v>0</v>
      </c>
      <c r="K10" s="200"/>
      <c r="L10" s="200">
        <f t="shared" si="5"/>
        <v>0</v>
      </c>
      <c r="M10" s="200"/>
      <c r="N10" s="199">
        <f t="shared" si="6"/>
        <v>0</v>
      </c>
      <c r="O10" s="200"/>
      <c r="P10" s="199">
        <f t="shared" si="7"/>
        <v>0</v>
      </c>
      <c r="Q10" s="199"/>
      <c r="R10" s="199">
        <f t="shared" si="8"/>
        <v>0</v>
      </c>
      <c r="S10" s="200"/>
      <c r="T10" s="200">
        <f t="shared" si="9"/>
        <v>0</v>
      </c>
      <c r="U10" s="200"/>
      <c r="V10" s="200">
        <f t="shared" si="10"/>
        <v>0</v>
      </c>
      <c r="W10" s="200"/>
      <c r="X10" s="19">
        <f t="shared" si="11"/>
        <v>0</v>
      </c>
      <c r="Y10" s="89">
        <f t="shared" si="0"/>
        <v>0</v>
      </c>
    </row>
    <row r="11" spans="1:25" ht="37.5" customHeight="1" x14ac:dyDescent="0.25">
      <c r="A11" s="12"/>
      <c r="B11" s="201"/>
      <c r="C11" s="200"/>
      <c r="D11" s="22">
        <f t="shared" si="1"/>
        <v>0</v>
      </c>
      <c r="E11" s="200"/>
      <c r="F11" s="200">
        <f t="shared" si="2"/>
        <v>0</v>
      </c>
      <c r="G11" s="200"/>
      <c r="H11" s="200">
        <f t="shared" si="3"/>
        <v>0</v>
      </c>
      <c r="I11" s="200"/>
      <c r="J11" s="200">
        <f t="shared" si="4"/>
        <v>0</v>
      </c>
      <c r="K11" s="200"/>
      <c r="L11" s="200">
        <f t="shared" si="5"/>
        <v>0</v>
      </c>
      <c r="M11" s="200"/>
      <c r="N11" s="199">
        <f t="shared" si="6"/>
        <v>0</v>
      </c>
      <c r="O11" s="200"/>
      <c r="P11" s="199">
        <f t="shared" si="7"/>
        <v>0</v>
      </c>
      <c r="Q11" s="199"/>
      <c r="R11" s="199">
        <f t="shared" si="8"/>
        <v>0</v>
      </c>
      <c r="S11" s="200"/>
      <c r="T11" s="200">
        <f t="shared" si="9"/>
        <v>0</v>
      </c>
      <c r="U11" s="200"/>
      <c r="V11" s="200">
        <f t="shared" si="10"/>
        <v>0</v>
      </c>
      <c r="W11" s="200"/>
      <c r="X11" s="19">
        <f t="shared" si="11"/>
        <v>0</v>
      </c>
      <c r="Y11" s="20">
        <f t="shared" si="0"/>
        <v>0</v>
      </c>
    </row>
    <row r="12" spans="1:25" ht="29.25" customHeight="1" x14ac:dyDescent="0.25">
      <c r="A12" s="2235" t="s">
        <v>31</v>
      </c>
      <c r="B12" s="2235"/>
      <c r="C12" s="18">
        <f t="shared" ref="C12:Y12" si="12">SUM(C6:C11)</f>
        <v>104924</v>
      </c>
      <c r="D12" s="18">
        <f t="shared" si="12"/>
        <v>102038.59000000001</v>
      </c>
      <c r="E12" s="18">
        <f t="shared" si="12"/>
        <v>0</v>
      </c>
      <c r="F12" s="18">
        <f t="shared" si="12"/>
        <v>0</v>
      </c>
      <c r="G12" s="18">
        <f t="shared" si="12"/>
        <v>780</v>
      </c>
      <c r="H12" s="18">
        <f t="shared" si="12"/>
        <v>21996</v>
      </c>
      <c r="I12" s="18">
        <f t="shared" si="12"/>
        <v>5730</v>
      </c>
      <c r="J12" s="18">
        <f t="shared" si="12"/>
        <v>106005</v>
      </c>
      <c r="K12" s="18">
        <f t="shared" si="12"/>
        <v>0</v>
      </c>
      <c r="L12" s="18">
        <f t="shared" si="12"/>
        <v>0</v>
      </c>
      <c r="M12" s="18">
        <f t="shared" si="12"/>
        <v>0</v>
      </c>
      <c r="N12" s="23">
        <f t="shared" si="12"/>
        <v>0</v>
      </c>
      <c r="O12" s="18">
        <f t="shared" si="12"/>
        <v>0</v>
      </c>
      <c r="P12" s="23">
        <f t="shared" si="12"/>
        <v>0</v>
      </c>
      <c r="Q12" s="23">
        <f t="shared" si="12"/>
        <v>0</v>
      </c>
      <c r="R12" s="23">
        <f>SUM(R6:R11)</f>
        <v>0</v>
      </c>
      <c r="S12" s="18">
        <f t="shared" si="12"/>
        <v>15</v>
      </c>
      <c r="T12" s="18">
        <f t="shared" si="12"/>
        <v>3615</v>
      </c>
      <c r="U12" s="18">
        <f t="shared" si="12"/>
        <v>0</v>
      </c>
      <c r="V12" s="18">
        <f t="shared" si="12"/>
        <v>0</v>
      </c>
      <c r="W12" s="18">
        <f t="shared" si="12"/>
        <v>0</v>
      </c>
      <c r="X12" s="18">
        <f t="shared" si="12"/>
        <v>0</v>
      </c>
      <c r="Y12" s="18">
        <f t="shared" si="12"/>
        <v>233654.59000000003</v>
      </c>
    </row>
    <row r="14" spans="1:25" ht="41.25" customHeight="1" x14ac:dyDescent="0.25">
      <c r="A14" s="30" t="s">
        <v>32</v>
      </c>
      <c r="B14" s="2236" t="s">
        <v>27</v>
      </c>
      <c r="C14" s="2236"/>
      <c r="D14" s="30" t="s">
        <v>33</v>
      </c>
      <c r="E14" s="30" t="s">
        <v>65</v>
      </c>
      <c r="F14" s="30" t="s">
        <v>34</v>
      </c>
      <c r="G14" s="30" t="s">
        <v>13</v>
      </c>
      <c r="H14" s="142" t="s">
        <v>173</v>
      </c>
      <c r="I14" s="30" t="s">
        <v>17</v>
      </c>
      <c r="J14" s="208" t="s">
        <v>174</v>
      </c>
      <c r="K14" s="30" t="s">
        <v>36</v>
      </c>
      <c r="L14" s="30" t="s">
        <v>175</v>
      </c>
      <c r="M14" s="30" t="s">
        <v>69</v>
      </c>
      <c r="N14" s="30" t="s">
        <v>70</v>
      </c>
      <c r="O14" s="208" t="s">
        <v>114</v>
      </c>
      <c r="P14" s="208" t="s">
        <v>99</v>
      </c>
      <c r="Q14" s="2272" t="s">
        <v>215</v>
      </c>
      <c r="R14" s="2272"/>
      <c r="S14" s="208" t="s">
        <v>228</v>
      </c>
      <c r="T14" s="2235" t="s">
        <v>46</v>
      </c>
      <c r="U14" s="202" t="s">
        <v>176</v>
      </c>
      <c r="V14" s="2260">
        <v>21185</v>
      </c>
      <c r="W14" s="2268"/>
      <c r="X14" s="2261"/>
    </row>
    <row r="15" spans="1:25" ht="22.5" customHeight="1" x14ac:dyDescent="0.25">
      <c r="A15" s="100" t="s">
        <v>38</v>
      </c>
      <c r="B15" s="2260">
        <v>487342</v>
      </c>
      <c r="C15" s="2261"/>
      <c r="D15" s="205">
        <v>0</v>
      </c>
      <c r="E15" s="205">
        <v>2500</v>
      </c>
      <c r="F15" s="205">
        <v>18500</v>
      </c>
      <c r="G15" s="205">
        <v>0</v>
      </c>
      <c r="H15" s="205">
        <v>342</v>
      </c>
      <c r="I15" s="205">
        <v>19</v>
      </c>
      <c r="J15" s="205">
        <v>100</v>
      </c>
      <c r="K15" s="205">
        <v>50</v>
      </c>
      <c r="L15" s="205">
        <v>995</v>
      </c>
      <c r="M15" s="205">
        <v>0</v>
      </c>
      <c r="N15" s="205">
        <v>100</v>
      </c>
      <c r="O15" s="205">
        <v>0</v>
      </c>
      <c r="P15" s="205">
        <v>417</v>
      </c>
      <c r="Q15" s="2262">
        <v>41</v>
      </c>
      <c r="R15" s="2262"/>
      <c r="S15" s="202">
        <v>117</v>
      </c>
      <c r="T15" s="2235"/>
      <c r="U15" s="202" t="s">
        <v>64</v>
      </c>
      <c r="V15" s="2262">
        <v>45432</v>
      </c>
      <c r="W15" s="2262"/>
      <c r="X15" s="2262"/>
    </row>
    <row r="16" spans="1:25" ht="24.75" customHeight="1" x14ac:dyDescent="0.25">
      <c r="A16" s="100" t="s">
        <v>39</v>
      </c>
      <c r="B16" s="2260"/>
      <c r="C16" s="2261"/>
      <c r="D16" s="205"/>
      <c r="E16" s="205"/>
      <c r="F16" s="205"/>
      <c r="G16" s="205"/>
      <c r="H16" s="205"/>
      <c r="I16" s="205"/>
      <c r="J16" s="205"/>
      <c r="K16" s="205"/>
      <c r="L16" s="205"/>
      <c r="M16" s="205"/>
      <c r="N16" s="205"/>
      <c r="O16" s="205"/>
      <c r="P16" s="205"/>
      <c r="Q16" s="2225"/>
      <c r="R16" s="2225"/>
      <c r="S16" s="205"/>
      <c r="T16" s="2254" t="s">
        <v>55</v>
      </c>
      <c r="U16" s="2254"/>
      <c r="V16" s="2267">
        <f>Y12</f>
        <v>233654.59000000003</v>
      </c>
      <c r="W16" s="2267"/>
      <c r="X16" s="2262"/>
    </row>
    <row r="17" spans="1:25" ht="28.5" customHeight="1" x14ac:dyDescent="0.25">
      <c r="A17" s="101" t="s">
        <v>44</v>
      </c>
      <c r="B17" s="2260"/>
      <c r="C17" s="2261"/>
      <c r="D17" s="205"/>
      <c r="E17" s="205"/>
      <c r="F17" s="205"/>
      <c r="G17" s="205"/>
      <c r="H17" s="205"/>
      <c r="I17" s="205"/>
      <c r="J17" s="205"/>
      <c r="K17" s="205"/>
      <c r="L17" s="205"/>
      <c r="M17" s="205"/>
      <c r="N17" s="205"/>
      <c r="O17" s="205"/>
      <c r="P17" s="205"/>
      <c r="Q17" s="2225"/>
      <c r="R17" s="2225"/>
      <c r="S17" s="201"/>
      <c r="T17" s="2273" t="s">
        <v>211</v>
      </c>
      <c r="U17" s="2274"/>
      <c r="V17" s="2262"/>
      <c r="W17" s="2262"/>
      <c r="X17" s="2262"/>
    </row>
    <row r="18" spans="1:25" ht="27" customHeight="1" x14ac:dyDescent="0.25">
      <c r="A18" s="100" t="s">
        <v>40</v>
      </c>
      <c r="B18" s="2264">
        <f>C12</f>
        <v>104924</v>
      </c>
      <c r="C18" s="2261"/>
      <c r="D18" s="207">
        <f>E12</f>
        <v>0</v>
      </c>
      <c r="E18" s="207">
        <f>G12</f>
        <v>780</v>
      </c>
      <c r="F18" s="207">
        <f>I12</f>
        <v>5730</v>
      </c>
      <c r="G18" s="207">
        <f>K12</f>
        <v>0</v>
      </c>
      <c r="H18" s="205">
        <v>15</v>
      </c>
      <c r="I18" s="207">
        <f>U12</f>
        <v>0</v>
      </c>
      <c r="J18" s="205"/>
      <c r="K18" s="207">
        <f>W12</f>
        <v>0</v>
      </c>
      <c r="L18" s="205"/>
      <c r="M18" s="207">
        <f>M12</f>
        <v>0</v>
      </c>
      <c r="N18" s="207">
        <f>O12</f>
        <v>0</v>
      </c>
      <c r="O18" s="206">
        <f>Q12</f>
        <v>0</v>
      </c>
      <c r="P18" s="205"/>
      <c r="Q18" s="2262"/>
      <c r="R18" s="2262"/>
      <c r="S18" s="202"/>
      <c r="T18" s="2254" t="s">
        <v>57</v>
      </c>
      <c r="U18" s="2254"/>
      <c r="V18" s="2262">
        <v>500</v>
      </c>
      <c r="W18" s="2262"/>
      <c r="X18" s="2262"/>
      <c r="Y18" s="2269" t="s">
        <v>231</v>
      </c>
    </row>
    <row r="19" spans="1:25" ht="25.5" customHeight="1" x14ac:dyDescent="0.25">
      <c r="A19" s="100" t="s">
        <v>41</v>
      </c>
      <c r="B19" s="2260">
        <f>B15+B16+B17-B18</f>
        <v>382418</v>
      </c>
      <c r="C19" s="2261"/>
      <c r="D19" s="205">
        <f>D15+D16+D17-D18</f>
        <v>0</v>
      </c>
      <c r="E19" s="205">
        <f t="shared" ref="E19:N19" si="13">E15+E16+E17-E18</f>
        <v>1720</v>
      </c>
      <c r="F19" s="205">
        <f t="shared" si="13"/>
        <v>12770</v>
      </c>
      <c r="G19" s="205">
        <f t="shared" si="13"/>
        <v>0</v>
      </c>
      <c r="H19" s="205">
        <f t="shared" si="13"/>
        <v>327</v>
      </c>
      <c r="I19" s="205">
        <f t="shared" si="13"/>
        <v>19</v>
      </c>
      <c r="J19" s="205">
        <f t="shared" si="13"/>
        <v>100</v>
      </c>
      <c r="K19" s="205">
        <f t="shared" si="13"/>
        <v>50</v>
      </c>
      <c r="L19" s="205">
        <f t="shared" si="13"/>
        <v>995</v>
      </c>
      <c r="M19" s="205">
        <f t="shared" si="13"/>
        <v>0</v>
      </c>
      <c r="N19" s="205">
        <f t="shared" si="13"/>
        <v>100</v>
      </c>
      <c r="O19" s="205">
        <f>O15+O16+O17-O18</f>
        <v>0</v>
      </c>
      <c r="P19" s="205">
        <f>P15+P16+P17-P18</f>
        <v>417</v>
      </c>
      <c r="Q19" s="2260">
        <f t="shared" ref="Q19" si="14">Q15+Q16+Q17-Q18</f>
        <v>41</v>
      </c>
      <c r="R19" s="2261"/>
      <c r="S19" s="202">
        <f>S15+S16-S17-S18</f>
        <v>117</v>
      </c>
      <c r="T19" s="2256" t="s">
        <v>48</v>
      </c>
      <c r="U19" s="49" t="s">
        <v>58</v>
      </c>
      <c r="V19" s="2262"/>
      <c r="W19" s="2262"/>
      <c r="X19" s="2262"/>
      <c r="Y19" s="2269"/>
    </row>
    <row r="20" spans="1:25" ht="23.25" customHeight="1" x14ac:dyDescent="0.25">
      <c r="A20" s="210" t="s">
        <v>187</v>
      </c>
      <c r="B20" s="2284">
        <f>B19*0.9625</f>
        <v>368077.32500000001</v>
      </c>
      <c r="C20" s="2285"/>
      <c r="D20" s="211">
        <f>D19*13.56</f>
        <v>0</v>
      </c>
      <c r="E20" s="211">
        <f>28.2*E19</f>
        <v>48504</v>
      </c>
      <c r="F20" s="211">
        <f>18.31*F19</f>
        <v>233818.69999999998</v>
      </c>
      <c r="G20" s="211">
        <f>19.3*G19</f>
        <v>0</v>
      </c>
      <c r="H20" s="211">
        <f>241*H19</f>
        <v>78807</v>
      </c>
      <c r="I20" s="211">
        <f>223*I19</f>
        <v>4237</v>
      </c>
      <c r="J20" s="211">
        <f>241*J19</f>
        <v>24100</v>
      </c>
      <c r="K20" s="211">
        <f>K19*100</f>
        <v>5000</v>
      </c>
      <c r="L20" s="211">
        <f>241*L19</f>
        <v>239795</v>
      </c>
      <c r="M20" s="211">
        <f>9.65*M19</f>
        <v>0</v>
      </c>
      <c r="N20" s="211">
        <f>N19*48.2</f>
        <v>4820</v>
      </c>
      <c r="O20" s="211">
        <f>241*O19</f>
        <v>0</v>
      </c>
      <c r="P20" s="211">
        <f>241*P19</f>
        <v>100497</v>
      </c>
      <c r="Q20" s="2284">
        <f>241*Q19</f>
        <v>9881</v>
      </c>
      <c r="R20" s="2285"/>
      <c r="S20" s="211">
        <f>241*S19</f>
        <v>28197</v>
      </c>
      <c r="T20" s="2257"/>
      <c r="U20" s="49" t="s">
        <v>59</v>
      </c>
      <c r="V20" s="2262"/>
      <c r="W20" s="2262"/>
      <c r="X20" s="2262"/>
      <c r="Y20" s="2269"/>
    </row>
    <row r="21" spans="1:25" ht="32.25" customHeight="1" x14ac:dyDescent="0.25">
      <c r="A21" s="143" t="s">
        <v>186</v>
      </c>
      <c r="B21" s="2283">
        <f>SUM(B20:S20)</f>
        <v>1145734.0249999999</v>
      </c>
      <c r="C21" s="2283"/>
      <c r="O21" s="209"/>
      <c r="P21" s="209"/>
      <c r="Q21" s="209"/>
      <c r="R21" s="209"/>
      <c r="T21" s="2273" t="s">
        <v>167</v>
      </c>
      <c r="U21" s="2274"/>
      <c r="V21" s="2260"/>
      <c r="W21" s="2268"/>
      <c r="X21" s="2261"/>
      <c r="Y21" s="2269"/>
    </row>
    <row r="22" spans="1:25" ht="35.25" customHeight="1" x14ac:dyDescent="0.25">
      <c r="A22" s="15"/>
      <c r="B22" s="2275" t="s">
        <v>49</v>
      </c>
      <c r="C22" s="2265">
        <v>965416</v>
      </c>
      <c r="D22" s="2265"/>
      <c r="E22" s="2265"/>
      <c r="F22" s="2265">
        <f>C22-D22+E22</f>
        <v>965416</v>
      </c>
      <c r="G22" s="209"/>
      <c r="Q22" s="209"/>
      <c r="R22" s="209"/>
      <c r="T22" s="2251" t="s">
        <v>83</v>
      </c>
      <c r="U22" s="50" t="s">
        <v>60</v>
      </c>
      <c r="V22" s="2262"/>
      <c r="W22" s="2262"/>
      <c r="X22" s="2262"/>
      <c r="Y22" s="2269"/>
    </row>
    <row r="23" spans="1:25" ht="39.75" customHeight="1" x14ac:dyDescent="0.25">
      <c r="A23" s="209"/>
      <c r="B23" s="2276"/>
      <c r="C23" s="2266"/>
      <c r="D23" s="2266"/>
      <c r="E23" s="2266"/>
      <c r="F23" s="2266"/>
      <c r="G23" s="209"/>
      <c r="Q23" s="209"/>
      <c r="R23" s="209"/>
      <c r="T23" s="2252"/>
      <c r="U23" s="50" t="s">
        <v>61</v>
      </c>
      <c r="V23" s="2262"/>
      <c r="W23" s="2262"/>
      <c r="X23" s="2262"/>
      <c r="Y23" s="2269"/>
    </row>
    <row r="24" spans="1:25" ht="48" customHeight="1" x14ac:dyDescent="0.25">
      <c r="A24" s="209"/>
      <c r="B24" s="2277"/>
      <c r="C24" s="202" t="s">
        <v>46</v>
      </c>
      <c r="D24" s="202" t="s">
        <v>50</v>
      </c>
      <c r="E24" s="202" t="s">
        <v>51</v>
      </c>
      <c r="F24" s="202" t="s">
        <v>52</v>
      </c>
      <c r="G24" s="209"/>
      <c r="Q24" s="209"/>
      <c r="R24" s="209"/>
      <c r="T24" s="2235" t="s">
        <v>47</v>
      </c>
      <c r="U24" s="51" t="s">
        <v>62</v>
      </c>
      <c r="V24" s="2263">
        <f>V14+V16+V17-V18-V19-V20-V22+V23-V21</f>
        <v>254339.59000000003</v>
      </c>
      <c r="W24" s="2263"/>
      <c r="X24" s="2263"/>
      <c r="Y24" s="2269"/>
    </row>
    <row r="25" spans="1:25" ht="40.5" customHeight="1" x14ac:dyDescent="0.25">
      <c r="T25" s="2235"/>
      <c r="U25" s="51" t="s">
        <v>63</v>
      </c>
      <c r="V25" s="2262">
        <f>V15+V22-V23</f>
        <v>45432</v>
      </c>
      <c r="W25" s="2262"/>
      <c r="X25" s="2262"/>
    </row>
    <row r="26" spans="1:25" ht="36" customHeight="1" x14ac:dyDescent="0.25"/>
    <row r="32" spans="1:25" x14ac:dyDescent="0.25">
      <c r="I32" s="2280"/>
      <c r="J32" s="2280"/>
      <c r="K32" s="2280"/>
      <c r="L32" s="2280"/>
    </row>
    <row r="33" spans="9:12" x14ac:dyDescent="0.25">
      <c r="I33" s="209"/>
      <c r="J33" s="209"/>
      <c r="K33" s="2280"/>
      <c r="L33" s="2280"/>
    </row>
  </sheetData>
  <mergeCells count="62">
    <mergeCell ref="A1:Y1"/>
    <mergeCell ref="A2:Y2"/>
    <mergeCell ref="T3:Y3"/>
    <mergeCell ref="A4:A5"/>
    <mergeCell ref="B4:B5"/>
    <mergeCell ref="C4:D4"/>
    <mergeCell ref="E4:F4"/>
    <mergeCell ref="G4:H4"/>
    <mergeCell ref="I4:J4"/>
    <mergeCell ref="K4:L4"/>
    <mergeCell ref="Y4:Y5"/>
    <mergeCell ref="M4:N4"/>
    <mergeCell ref="O4:P4"/>
    <mergeCell ref="Q4:R4"/>
    <mergeCell ref="S4:T4"/>
    <mergeCell ref="U4:V4"/>
    <mergeCell ref="W4:X4"/>
    <mergeCell ref="B16:C16"/>
    <mergeCell ref="Q16:R16"/>
    <mergeCell ref="T16:U16"/>
    <mergeCell ref="V16:X16"/>
    <mergeCell ref="A12:B12"/>
    <mergeCell ref="B14:C14"/>
    <mergeCell ref="Q14:R14"/>
    <mergeCell ref="T14:T15"/>
    <mergeCell ref="V14:X14"/>
    <mergeCell ref="B15:C15"/>
    <mergeCell ref="Q15:R15"/>
    <mergeCell ref="V15:X15"/>
    <mergeCell ref="B17:C17"/>
    <mergeCell ref="Q17:R17"/>
    <mergeCell ref="T17:U17"/>
    <mergeCell ref="V17:X17"/>
    <mergeCell ref="B18:C18"/>
    <mergeCell ref="Q18:R18"/>
    <mergeCell ref="T18:U18"/>
    <mergeCell ref="V18:X18"/>
    <mergeCell ref="Y18:Y24"/>
    <mergeCell ref="B19:C19"/>
    <mergeCell ref="Q19:R19"/>
    <mergeCell ref="T19:T20"/>
    <mergeCell ref="V19:X19"/>
    <mergeCell ref="B20:C20"/>
    <mergeCell ref="B22:B24"/>
    <mergeCell ref="C22:C23"/>
    <mergeCell ref="D22:D23"/>
    <mergeCell ref="E22:E23"/>
    <mergeCell ref="F22:F23"/>
    <mergeCell ref="Q20:R20"/>
    <mergeCell ref="V20:X20"/>
    <mergeCell ref="B21:C21"/>
    <mergeCell ref="T21:U21"/>
    <mergeCell ref="V21:X21"/>
    <mergeCell ref="I32:J32"/>
    <mergeCell ref="K32:L32"/>
    <mergeCell ref="K33:L33"/>
    <mergeCell ref="T22:T23"/>
    <mergeCell ref="V22:X22"/>
    <mergeCell ref="V23:X23"/>
    <mergeCell ref="T24:T25"/>
    <mergeCell ref="V24:X24"/>
    <mergeCell ref="V25:X25"/>
  </mergeCells>
  <pageMargins left="0.15748031496063" right="0.15748031496063" top="0" bottom="0" header="0" footer="0"/>
  <pageSetup paperSize="9" scale="47" orientation="landscape" r:id="rId1"/>
  <legacyDrawing r:id="rId2"/>
</worksheet>
</file>

<file path=xl/worksheets/sheet7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C6653EF-6438-44A4-A5E1-93874CEFDEF4}">
  <sheetPr>
    <pageSetUpPr fitToPage="1"/>
  </sheetPr>
  <dimension ref="A1:Y33"/>
  <sheetViews>
    <sheetView topLeftCell="D8" zoomScale="71" zoomScaleNormal="71" zoomScaleSheetLayoutView="100" workbookViewId="0">
      <selection activeCell="V18" sqref="V18:X18"/>
    </sheetView>
  </sheetViews>
  <sheetFormatPr defaultColWidth="9.140625" defaultRowHeight="15" x14ac:dyDescent="0.25"/>
  <cols>
    <col min="1" max="1" width="18.28515625" style="14" customWidth="1"/>
    <col min="2" max="2" width="10.7109375" style="14" customWidth="1"/>
    <col min="3" max="3" width="12.28515625" style="14" customWidth="1"/>
    <col min="4" max="4" width="11" style="14" customWidth="1"/>
    <col min="5" max="5" width="12" style="14" customWidth="1"/>
    <col min="6" max="6" width="12.5703125" style="14" bestFit="1" customWidth="1"/>
    <col min="7" max="7" width="9.28515625" style="14" bestFit="1" customWidth="1"/>
    <col min="8" max="8" width="10.140625" style="14" bestFit="1" customWidth="1"/>
    <col min="9" max="9" width="10.5703125" style="14" bestFit="1" customWidth="1"/>
    <col min="10" max="10" width="10.5703125" style="14" customWidth="1"/>
    <col min="11" max="11" width="10.28515625" style="14" bestFit="1" customWidth="1"/>
    <col min="12" max="12" width="10.42578125" style="14" bestFit="1" customWidth="1"/>
    <col min="13" max="13" width="9.85546875" style="14" bestFit="1" customWidth="1"/>
    <col min="14" max="14" width="10.140625" style="14" bestFit="1" customWidth="1"/>
    <col min="15" max="15" width="9" style="14" customWidth="1"/>
    <col min="16" max="16" width="12.85546875" style="14" bestFit="1" customWidth="1"/>
    <col min="17" max="18" width="9.42578125" style="14" customWidth="1"/>
    <col min="19" max="19" width="13.7109375" style="14" customWidth="1"/>
    <col min="20" max="20" width="12.140625" style="14" customWidth="1"/>
    <col min="21" max="21" width="19.5703125" style="14" bestFit="1" customWidth="1"/>
    <col min="22" max="22" width="9.85546875" style="14" customWidth="1"/>
    <col min="23" max="23" width="10.140625" style="14" bestFit="1" customWidth="1"/>
    <col min="24" max="24" width="10.28515625" style="14" customWidth="1"/>
    <col min="25" max="25" width="28" style="14" customWidth="1"/>
    <col min="26" max="16384" width="9.140625" style="14"/>
  </cols>
  <sheetData>
    <row r="1" spans="1:25" ht="46.15" customHeight="1" x14ac:dyDescent="0.25">
      <c r="A1" s="2240" t="s">
        <v>148</v>
      </c>
      <c r="B1" s="2240"/>
      <c r="C1" s="2240"/>
      <c r="D1" s="2240"/>
      <c r="E1" s="2240"/>
      <c r="F1" s="2240"/>
      <c r="G1" s="2240"/>
      <c r="H1" s="2240"/>
      <c r="I1" s="2240"/>
      <c r="J1" s="2240"/>
      <c r="K1" s="2240"/>
      <c r="L1" s="2240"/>
      <c r="M1" s="2240"/>
      <c r="N1" s="2240"/>
      <c r="O1" s="2240"/>
      <c r="P1" s="2240"/>
      <c r="Q1" s="2240"/>
      <c r="R1" s="2240"/>
      <c r="S1" s="2240"/>
      <c r="T1" s="2240"/>
      <c r="U1" s="2240"/>
      <c r="V1" s="2240"/>
      <c r="W1" s="2240"/>
      <c r="X1" s="2240"/>
      <c r="Y1" s="2240"/>
    </row>
    <row r="2" spans="1:25" ht="21.6" customHeight="1" x14ac:dyDescent="0.25">
      <c r="A2" s="2241" t="s">
        <v>77</v>
      </c>
      <c r="B2" s="2241"/>
      <c r="C2" s="2241"/>
      <c r="D2" s="2241"/>
      <c r="E2" s="2241"/>
      <c r="F2" s="2241"/>
      <c r="G2" s="2241"/>
      <c r="H2" s="2241"/>
      <c r="I2" s="2241"/>
      <c r="J2" s="2241"/>
      <c r="K2" s="2241"/>
      <c r="L2" s="2241"/>
      <c r="M2" s="2241"/>
      <c r="N2" s="2241"/>
      <c r="O2" s="2241"/>
      <c r="P2" s="2241"/>
      <c r="Q2" s="2241"/>
      <c r="R2" s="2241"/>
      <c r="S2" s="2241"/>
      <c r="T2" s="2241"/>
      <c r="U2" s="2241"/>
      <c r="V2" s="2241"/>
      <c r="W2" s="2241"/>
      <c r="X2" s="2241"/>
      <c r="Y2" s="2241"/>
    </row>
    <row r="3" spans="1:25" ht="21" customHeight="1" x14ac:dyDescent="0.25">
      <c r="A3" s="204"/>
      <c r="B3" s="204"/>
      <c r="C3" s="204"/>
      <c r="D3" s="204"/>
      <c r="E3" s="204"/>
      <c r="F3" s="204"/>
      <c r="G3" s="204"/>
      <c r="H3" s="204"/>
      <c r="I3" s="204"/>
      <c r="J3" s="204"/>
      <c r="K3" s="204"/>
      <c r="L3" s="204"/>
      <c r="M3" s="204"/>
      <c r="N3" s="204"/>
      <c r="O3" s="204"/>
      <c r="P3" s="204"/>
      <c r="Q3" s="204"/>
      <c r="R3" s="204"/>
      <c r="S3" s="204"/>
      <c r="T3" s="2242" t="s">
        <v>233</v>
      </c>
      <c r="U3" s="2242"/>
      <c r="V3" s="2242"/>
      <c r="W3" s="2242"/>
      <c r="X3" s="2242"/>
      <c r="Y3" s="2242"/>
    </row>
    <row r="4" spans="1:25" s="204" customFormat="1" ht="18" customHeight="1" x14ac:dyDescent="0.25">
      <c r="A4" s="2243" t="s">
        <v>25</v>
      </c>
      <c r="B4" s="2243" t="s">
        <v>26</v>
      </c>
      <c r="C4" s="2244" t="s">
        <v>27</v>
      </c>
      <c r="D4" s="2244"/>
      <c r="E4" s="2244" t="s">
        <v>28</v>
      </c>
      <c r="F4" s="2244"/>
      <c r="G4" s="2244" t="s">
        <v>65</v>
      </c>
      <c r="H4" s="2244"/>
      <c r="I4" s="2244" t="s">
        <v>29</v>
      </c>
      <c r="J4" s="2244"/>
      <c r="K4" s="2245" t="s">
        <v>13</v>
      </c>
      <c r="L4" s="2246"/>
      <c r="M4" s="2245" t="s">
        <v>67</v>
      </c>
      <c r="N4" s="2246"/>
      <c r="O4" s="2245" t="s">
        <v>68</v>
      </c>
      <c r="P4" s="2246"/>
      <c r="Q4" s="2245" t="s">
        <v>114</v>
      </c>
      <c r="R4" s="2246"/>
      <c r="S4" s="2244" t="s">
        <v>35</v>
      </c>
      <c r="T4" s="2244"/>
      <c r="U4" s="2245" t="s">
        <v>17</v>
      </c>
      <c r="V4" s="2246"/>
      <c r="W4" s="2247" t="s">
        <v>36</v>
      </c>
      <c r="X4" s="2248"/>
      <c r="Y4" s="2238" t="s">
        <v>30</v>
      </c>
    </row>
    <row r="5" spans="1:25" s="204" customFormat="1" ht="25.5" customHeight="1" x14ac:dyDescent="0.25">
      <c r="A5" s="2243"/>
      <c r="B5" s="2243"/>
      <c r="C5" s="203" t="s">
        <v>42</v>
      </c>
      <c r="D5" s="203" t="s">
        <v>43</v>
      </c>
      <c r="E5" s="203" t="s">
        <v>42</v>
      </c>
      <c r="F5" s="203" t="s">
        <v>43</v>
      </c>
      <c r="G5" s="203" t="s">
        <v>42</v>
      </c>
      <c r="H5" s="203" t="s">
        <v>43</v>
      </c>
      <c r="I5" s="203" t="s">
        <v>42</v>
      </c>
      <c r="J5" s="203" t="s">
        <v>43</v>
      </c>
      <c r="K5" s="203" t="s">
        <v>42</v>
      </c>
      <c r="L5" s="203" t="s">
        <v>43</v>
      </c>
      <c r="M5" s="203" t="s">
        <v>42</v>
      </c>
      <c r="N5" s="203" t="s">
        <v>43</v>
      </c>
      <c r="O5" s="203" t="s">
        <v>42</v>
      </c>
      <c r="P5" s="203" t="s">
        <v>43</v>
      </c>
      <c r="Q5" s="203" t="s">
        <v>42</v>
      </c>
      <c r="R5" s="203" t="s">
        <v>43</v>
      </c>
      <c r="S5" s="33" t="s">
        <v>42</v>
      </c>
      <c r="T5" s="33" t="s">
        <v>43</v>
      </c>
      <c r="U5" s="30" t="s">
        <v>42</v>
      </c>
      <c r="V5" s="30" t="s">
        <v>43</v>
      </c>
      <c r="W5" s="30" t="s">
        <v>42</v>
      </c>
      <c r="X5" s="30" t="s">
        <v>43</v>
      </c>
      <c r="Y5" s="2239"/>
    </row>
    <row r="6" spans="1:25" ht="34.5" customHeight="1" x14ac:dyDescent="0.25">
      <c r="A6" s="12">
        <v>1409935200</v>
      </c>
      <c r="B6" s="202" t="s">
        <v>71</v>
      </c>
      <c r="C6" s="200">
        <v>29309</v>
      </c>
      <c r="D6" s="199">
        <f>0.9725*C6</f>
        <v>28503.002500000002</v>
      </c>
      <c r="E6" s="200"/>
      <c r="F6" s="200">
        <f>13.7*E6</f>
        <v>0</v>
      </c>
      <c r="G6" s="200">
        <v>220</v>
      </c>
      <c r="H6" s="200">
        <f>28.2*G6</f>
        <v>6204</v>
      </c>
      <c r="I6" s="200">
        <v>360</v>
      </c>
      <c r="J6" s="200">
        <f>18.5*I6</f>
        <v>6660</v>
      </c>
      <c r="K6" s="200"/>
      <c r="L6" s="200">
        <f>19.5*K6</f>
        <v>0</v>
      </c>
      <c r="M6" s="200"/>
      <c r="N6" s="199">
        <f>M6*9.75</f>
        <v>0</v>
      </c>
      <c r="O6" s="200"/>
      <c r="P6" s="199">
        <f>O6*48.62</f>
        <v>0</v>
      </c>
      <c r="Q6" s="199"/>
      <c r="R6" s="199">
        <f>241*Q6</f>
        <v>0</v>
      </c>
      <c r="S6" s="200"/>
      <c r="T6" s="200">
        <f>241*S6</f>
        <v>0</v>
      </c>
      <c r="U6" s="200"/>
      <c r="V6" s="200">
        <f>232*U6</f>
        <v>0</v>
      </c>
      <c r="W6" s="200"/>
      <c r="X6" s="19">
        <f>W6*100</f>
        <v>0</v>
      </c>
      <c r="Y6" s="89">
        <f t="shared" ref="Y6:Y11" si="0">D6+F6+H6+J6+L6+N6+P6+R6+T6+V6+X6</f>
        <v>41367.002500000002</v>
      </c>
    </row>
    <row r="7" spans="1:25" ht="31.5" customHeight="1" x14ac:dyDescent="0.25">
      <c r="A7" s="12">
        <v>1984225578</v>
      </c>
      <c r="B7" s="202" t="s">
        <v>72</v>
      </c>
      <c r="C7" s="200">
        <v>35974</v>
      </c>
      <c r="D7" s="199">
        <f t="shared" ref="D7:D11" si="1">0.9725*C7</f>
        <v>34984.715000000004</v>
      </c>
      <c r="E7" s="200"/>
      <c r="F7" s="200">
        <f t="shared" ref="F7:F11" si="2">13.7*E7</f>
        <v>0</v>
      </c>
      <c r="G7" s="200">
        <v>80</v>
      </c>
      <c r="H7" s="200">
        <f t="shared" ref="H7:H11" si="3">28.2*G7</f>
        <v>2256</v>
      </c>
      <c r="I7" s="200">
        <v>1050</v>
      </c>
      <c r="J7" s="200">
        <f t="shared" ref="J7:J11" si="4">18.5*I7</f>
        <v>19425</v>
      </c>
      <c r="K7" s="200"/>
      <c r="L7" s="200">
        <f t="shared" ref="L7:L11" si="5">19.5*K7</f>
        <v>0</v>
      </c>
      <c r="M7" s="200"/>
      <c r="N7" s="199">
        <f t="shared" ref="N7:N11" si="6">M7*9.75</f>
        <v>0</v>
      </c>
      <c r="O7" s="200"/>
      <c r="P7" s="199">
        <f t="shared" ref="P7:P11" si="7">O7*48.62</f>
        <v>0</v>
      </c>
      <c r="Q7" s="199"/>
      <c r="R7" s="199">
        <f t="shared" ref="R7:R11" si="8">241*Q7</f>
        <v>0</v>
      </c>
      <c r="S7" s="200"/>
      <c r="T7" s="200">
        <f t="shared" ref="T7:T11" si="9">241*S7</f>
        <v>0</v>
      </c>
      <c r="U7" s="200"/>
      <c r="V7" s="200">
        <f t="shared" ref="V7:V11" si="10">232*U7</f>
        <v>0</v>
      </c>
      <c r="W7" s="200"/>
      <c r="X7" s="19">
        <f t="shared" ref="X7:X11" si="11">W7*100</f>
        <v>0</v>
      </c>
      <c r="Y7" s="89">
        <f t="shared" si="0"/>
        <v>56665.715000000004</v>
      </c>
    </row>
    <row r="8" spans="1:25" ht="35.25" customHeight="1" x14ac:dyDescent="0.25">
      <c r="A8" s="12">
        <v>1967020280</v>
      </c>
      <c r="B8" s="202" t="s">
        <v>73</v>
      </c>
      <c r="C8" s="200">
        <v>29655</v>
      </c>
      <c r="D8" s="199">
        <f t="shared" si="1"/>
        <v>28839.487499999999</v>
      </c>
      <c r="E8" s="200"/>
      <c r="F8" s="200">
        <f t="shared" si="2"/>
        <v>0</v>
      </c>
      <c r="G8" s="200">
        <v>130</v>
      </c>
      <c r="H8" s="200">
        <f t="shared" si="3"/>
        <v>3666</v>
      </c>
      <c r="I8" s="200">
        <v>1360</v>
      </c>
      <c r="J8" s="200">
        <f t="shared" si="4"/>
        <v>25160</v>
      </c>
      <c r="K8" s="200"/>
      <c r="L8" s="200">
        <f t="shared" si="5"/>
        <v>0</v>
      </c>
      <c r="M8" s="200"/>
      <c r="N8" s="199">
        <f t="shared" si="6"/>
        <v>0</v>
      </c>
      <c r="O8" s="200"/>
      <c r="P8" s="199">
        <f t="shared" si="7"/>
        <v>0</v>
      </c>
      <c r="Q8" s="199"/>
      <c r="R8" s="199">
        <f t="shared" si="8"/>
        <v>0</v>
      </c>
      <c r="S8" s="200"/>
      <c r="T8" s="200">
        <f t="shared" si="9"/>
        <v>0</v>
      </c>
      <c r="U8" s="200"/>
      <c r="V8" s="200">
        <f t="shared" si="10"/>
        <v>0</v>
      </c>
      <c r="W8" s="200"/>
      <c r="X8" s="19">
        <f t="shared" si="11"/>
        <v>0</v>
      </c>
      <c r="Y8" s="89">
        <f t="shared" si="0"/>
        <v>57665.487500000003</v>
      </c>
    </row>
    <row r="9" spans="1:25" ht="38.25" customHeight="1" x14ac:dyDescent="0.25">
      <c r="A9" s="12">
        <v>1409935199</v>
      </c>
      <c r="B9" s="202" t="s">
        <v>75</v>
      </c>
      <c r="C9" s="200">
        <v>19220</v>
      </c>
      <c r="D9" s="199">
        <f t="shared" si="1"/>
        <v>18691.45</v>
      </c>
      <c r="E9" s="200"/>
      <c r="F9" s="200">
        <f t="shared" si="2"/>
        <v>0</v>
      </c>
      <c r="G9" s="200"/>
      <c r="H9" s="200">
        <f t="shared" si="3"/>
        <v>0</v>
      </c>
      <c r="I9" s="200"/>
      <c r="J9" s="200">
        <f t="shared" si="4"/>
        <v>0</v>
      </c>
      <c r="K9" s="200"/>
      <c r="L9" s="200">
        <f t="shared" si="5"/>
        <v>0</v>
      </c>
      <c r="M9" s="200"/>
      <c r="N9" s="199">
        <f t="shared" si="6"/>
        <v>0</v>
      </c>
      <c r="O9" s="200"/>
      <c r="P9" s="199">
        <f t="shared" si="7"/>
        <v>0</v>
      </c>
      <c r="Q9" s="199"/>
      <c r="R9" s="199">
        <f t="shared" si="8"/>
        <v>0</v>
      </c>
      <c r="S9" s="200"/>
      <c r="T9" s="200">
        <f t="shared" si="9"/>
        <v>0</v>
      </c>
      <c r="U9" s="200"/>
      <c r="V9" s="200">
        <f t="shared" si="10"/>
        <v>0</v>
      </c>
      <c r="W9" s="200"/>
      <c r="X9" s="19">
        <f t="shared" si="11"/>
        <v>0</v>
      </c>
      <c r="Y9" s="89">
        <f t="shared" si="0"/>
        <v>18691.45</v>
      </c>
    </row>
    <row r="10" spans="1:25" ht="35.25" customHeight="1" x14ac:dyDescent="0.25">
      <c r="A10" s="12">
        <v>1984225580</v>
      </c>
      <c r="C10" s="200"/>
      <c r="D10" s="199">
        <f t="shared" si="1"/>
        <v>0</v>
      </c>
      <c r="E10" s="200"/>
      <c r="F10" s="200">
        <f t="shared" si="2"/>
        <v>0</v>
      </c>
      <c r="G10" s="200"/>
      <c r="H10" s="200">
        <f t="shared" si="3"/>
        <v>0</v>
      </c>
      <c r="I10" s="200"/>
      <c r="J10" s="200">
        <f t="shared" si="4"/>
        <v>0</v>
      </c>
      <c r="K10" s="200"/>
      <c r="L10" s="200">
        <f t="shared" si="5"/>
        <v>0</v>
      </c>
      <c r="M10" s="200"/>
      <c r="N10" s="199">
        <f t="shared" si="6"/>
        <v>0</v>
      </c>
      <c r="O10" s="200"/>
      <c r="P10" s="199">
        <f t="shared" si="7"/>
        <v>0</v>
      </c>
      <c r="Q10" s="199"/>
      <c r="R10" s="199">
        <f t="shared" si="8"/>
        <v>0</v>
      </c>
      <c r="S10" s="200"/>
      <c r="T10" s="200">
        <f t="shared" si="9"/>
        <v>0</v>
      </c>
      <c r="U10" s="200"/>
      <c r="V10" s="200">
        <f t="shared" si="10"/>
        <v>0</v>
      </c>
      <c r="W10" s="200"/>
      <c r="X10" s="19">
        <f t="shared" si="11"/>
        <v>0</v>
      </c>
      <c r="Y10" s="89">
        <f t="shared" si="0"/>
        <v>0</v>
      </c>
    </row>
    <row r="11" spans="1:25" ht="37.5" customHeight="1" x14ac:dyDescent="0.25">
      <c r="A11" s="12"/>
      <c r="B11" s="201"/>
      <c r="C11" s="200"/>
      <c r="D11" s="22">
        <f t="shared" si="1"/>
        <v>0</v>
      </c>
      <c r="E11" s="200"/>
      <c r="F11" s="200">
        <f t="shared" si="2"/>
        <v>0</v>
      </c>
      <c r="G11" s="200"/>
      <c r="H11" s="200">
        <f t="shared" si="3"/>
        <v>0</v>
      </c>
      <c r="I11" s="200"/>
      <c r="J11" s="200">
        <f t="shared" si="4"/>
        <v>0</v>
      </c>
      <c r="K11" s="200"/>
      <c r="L11" s="200">
        <f t="shared" si="5"/>
        <v>0</v>
      </c>
      <c r="M11" s="200"/>
      <c r="N11" s="199">
        <f t="shared" si="6"/>
        <v>0</v>
      </c>
      <c r="O11" s="200"/>
      <c r="P11" s="199">
        <f t="shared" si="7"/>
        <v>0</v>
      </c>
      <c r="Q11" s="199"/>
      <c r="R11" s="199">
        <f t="shared" si="8"/>
        <v>0</v>
      </c>
      <c r="S11" s="200">
        <v>505</v>
      </c>
      <c r="T11" s="200">
        <f t="shared" si="9"/>
        <v>121705</v>
      </c>
      <c r="U11" s="200"/>
      <c r="V11" s="200">
        <f t="shared" si="10"/>
        <v>0</v>
      </c>
      <c r="W11" s="200"/>
      <c r="X11" s="19">
        <f t="shared" si="11"/>
        <v>0</v>
      </c>
      <c r="Y11" s="20">
        <f t="shared" si="0"/>
        <v>121705</v>
      </c>
    </row>
    <row r="12" spans="1:25" ht="29.25" customHeight="1" x14ac:dyDescent="0.25">
      <c r="A12" s="2235" t="s">
        <v>31</v>
      </c>
      <c r="B12" s="2235"/>
      <c r="C12" s="18">
        <f t="shared" ref="C12:Y12" si="12">SUM(C6:C11)</f>
        <v>114158</v>
      </c>
      <c r="D12" s="18">
        <f t="shared" si="12"/>
        <v>111018.655</v>
      </c>
      <c r="E12" s="18">
        <f t="shared" si="12"/>
        <v>0</v>
      </c>
      <c r="F12" s="18">
        <f t="shared" si="12"/>
        <v>0</v>
      </c>
      <c r="G12" s="18">
        <f t="shared" si="12"/>
        <v>430</v>
      </c>
      <c r="H12" s="18">
        <f t="shared" si="12"/>
        <v>12126</v>
      </c>
      <c r="I12" s="18">
        <f t="shared" si="12"/>
        <v>2770</v>
      </c>
      <c r="J12" s="18">
        <f t="shared" si="12"/>
        <v>51245</v>
      </c>
      <c r="K12" s="18">
        <f t="shared" si="12"/>
        <v>0</v>
      </c>
      <c r="L12" s="18">
        <f t="shared" si="12"/>
        <v>0</v>
      </c>
      <c r="M12" s="18">
        <f t="shared" si="12"/>
        <v>0</v>
      </c>
      <c r="N12" s="23">
        <f t="shared" si="12"/>
        <v>0</v>
      </c>
      <c r="O12" s="18">
        <f t="shared" si="12"/>
        <v>0</v>
      </c>
      <c r="P12" s="23">
        <f t="shared" si="12"/>
        <v>0</v>
      </c>
      <c r="Q12" s="23">
        <f t="shared" si="12"/>
        <v>0</v>
      </c>
      <c r="R12" s="23">
        <f>SUM(R6:R11)</f>
        <v>0</v>
      </c>
      <c r="S12" s="18">
        <f t="shared" si="12"/>
        <v>505</v>
      </c>
      <c r="T12" s="18">
        <f t="shared" si="12"/>
        <v>121705</v>
      </c>
      <c r="U12" s="18">
        <f t="shared" si="12"/>
        <v>0</v>
      </c>
      <c r="V12" s="18">
        <f t="shared" si="12"/>
        <v>0</v>
      </c>
      <c r="W12" s="18">
        <f t="shared" si="12"/>
        <v>0</v>
      </c>
      <c r="X12" s="18">
        <f t="shared" si="12"/>
        <v>0</v>
      </c>
      <c r="Y12" s="18">
        <f t="shared" si="12"/>
        <v>296094.65500000003</v>
      </c>
    </row>
    <row r="14" spans="1:25" ht="41.25" customHeight="1" x14ac:dyDescent="0.25">
      <c r="A14" s="30" t="s">
        <v>32</v>
      </c>
      <c r="B14" s="2236" t="s">
        <v>27</v>
      </c>
      <c r="C14" s="2236"/>
      <c r="D14" s="30" t="s">
        <v>33</v>
      </c>
      <c r="E14" s="30" t="s">
        <v>65</v>
      </c>
      <c r="F14" s="30" t="s">
        <v>34</v>
      </c>
      <c r="G14" s="30" t="s">
        <v>13</v>
      </c>
      <c r="H14" s="142" t="s">
        <v>173</v>
      </c>
      <c r="I14" s="30" t="s">
        <v>17</v>
      </c>
      <c r="J14" s="208" t="s">
        <v>174</v>
      </c>
      <c r="K14" s="30" t="s">
        <v>36</v>
      </c>
      <c r="L14" s="30" t="s">
        <v>175</v>
      </c>
      <c r="M14" s="30" t="s">
        <v>69</v>
      </c>
      <c r="N14" s="30" t="s">
        <v>70</v>
      </c>
      <c r="O14" s="208" t="s">
        <v>114</v>
      </c>
      <c r="P14" s="208" t="s">
        <v>99</v>
      </c>
      <c r="Q14" s="2272" t="s">
        <v>215</v>
      </c>
      <c r="R14" s="2272"/>
      <c r="S14" s="208" t="s">
        <v>228</v>
      </c>
      <c r="T14" s="2235" t="s">
        <v>46</v>
      </c>
      <c r="U14" s="202" t="s">
        <v>176</v>
      </c>
      <c r="V14" s="2260">
        <v>254340</v>
      </c>
      <c r="W14" s="2268"/>
      <c r="X14" s="2261"/>
    </row>
    <row r="15" spans="1:25" ht="22.5" customHeight="1" x14ac:dyDescent="0.25">
      <c r="A15" s="100" t="s">
        <v>38</v>
      </c>
      <c r="B15" s="2260">
        <v>382418</v>
      </c>
      <c r="C15" s="2261"/>
      <c r="D15" s="205">
        <v>0</v>
      </c>
      <c r="E15" s="205">
        <v>1720</v>
      </c>
      <c r="F15" s="205">
        <v>12770</v>
      </c>
      <c r="G15" s="205">
        <v>0</v>
      </c>
      <c r="H15" s="205">
        <v>327</v>
      </c>
      <c r="I15" s="205">
        <v>19</v>
      </c>
      <c r="J15" s="205">
        <v>100</v>
      </c>
      <c r="K15" s="205">
        <v>50</v>
      </c>
      <c r="L15" s="205">
        <v>995</v>
      </c>
      <c r="M15" s="205">
        <v>0</v>
      </c>
      <c r="N15" s="205">
        <v>100</v>
      </c>
      <c r="O15" s="205">
        <v>0</v>
      </c>
      <c r="P15" s="205">
        <v>417</v>
      </c>
      <c r="Q15" s="2262">
        <v>41</v>
      </c>
      <c r="R15" s="2262"/>
      <c r="S15" s="202">
        <v>117</v>
      </c>
      <c r="T15" s="2235"/>
      <c r="U15" s="202" t="s">
        <v>64</v>
      </c>
      <c r="V15" s="2262">
        <v>45432</v>
      </c>
      <c r="W15" s="2262"/>
      <c r="X15" s="2262"/>
    </row>
    <row r="16" spans="1:25" ht="24.75" customHeight="1" x14ac:dyDescent="0.25">
      <c r="A16" s="100" t="s">
        <v>39</v>
      </c>
      <c r="B16" s="2260"/>
      <c r="C16" s="2261"/>
      <c r="D16" s="205"/>
      <c r="E16" s="205"/>
      <c r="F16" s="205"/>
      <c r="G16" s="205"/>
      <c r="H16" s="205"/>
      <c r="I16" s="205"/>
      <c r="J16" s="205"/>
      <c r="K16" s="205"/>
      <c r="L16" s="205"/>
      <c r="M16" s="205"/>
      <c r="N16" s="205"/>
      <c r="O16" s="205"/>
      <c r="P16" s="205"/>
      <c r="Q16" s="2225"/>
      <c r="R16" s="2225"/>
      <c r="S16" s="205"/>
      <c r="T16" s="2254" t="s">
        <v>55</v>
      </c>
      <c r="U16" s="2254"/>
      <c r="V16" s="2267">
        <f>Y12</f>
        <v>296094.65500000003</v>
      </c>
      <c r="W16" s="2267"/>
      <c r="X16" s="2262"/>
    </row>
    <row r="17" spans="1:25" ht="28.5" customHeight="1" x14ac:dyDescent="0.25">
      <c r="A17" s="101" t="s">
        <v>44</v>
      </c>
      <c r="B17" s="2260"/>
      <c r="C17" s="2261"/>
      <c r="D17" s="205"/>
      <c r="E17" s="205"/>
      <c r="F17" s="205"/>
      <c r="G17" s="205"/>
      <c r="H17" s="205"/>
      <c r="I17" s="205"/>
      <c r="J17" s="205"/>
      <c r="K17" s="205"/>
      <c r="L17" s="205"/>
      <c r="M17" s="205"/>
      <c r="N17" s="205"/>
      <c r="O17" s="205"/>
      <c r="P17" s="205"/>
      <c r="Q17" s="2225"/>
      <c r="R17" s="2225"/>
      <c r="S17" s="201"/>
      <c r="T17" s="2273" t="s">
        <v>211</v>
      </c>
      <c r="U17" s="2274"/>
      <c r="V17" s="2262"/>
      <c r="W17" s="2262"/>
      <c r="X17" s="2262"/>
    </row>
    <row r="18" spans="1:25" ht="27" customHeight="1" x14ac:dyDescent="0.25">
      <c r="A18" s="100" t="s">
        <v>40</v>
      </c>
      <c r="B18" s="2264">
        <f>C12</f>
        <v>114158</v>
      </c>
      <c r="C18" s="2261"/>
      <c r="D18" s="207">
        <f>E12</f>
        <v>0</v>
      </c>
      <c r="E18" s="207">
        <f>G12</f>
        <v>430</v>
      </c>
      <c r="F18" s="207">
        <f>I12</f>
        <v>2770</v>
      </c>
      <c r="G18" s="207">
        <f>K12</f>
        <v>0</v>
      </c>
      <c r="H18" s="205"/>
      <c r="I18" s="207">
        <f>U12</f>
        <v>0</v>
      </c>
      <c r="J18" s="205"/>
      <c r="K18" s="207">
        <f>W12</f>
        <v>0</v>
      </c>
      <c r="L18" s="205">
        <v>366</v>
      </c>
      <c r="M18" s="207">
        <f>M12</f>
        <v>0</v>
      </c>
      <c r="N18" s="207">
        <f>O12</f>
        <v>0</v>
      </c>
      <c r="O18" s="206">
        <f>Q12</f>
        <v>0</v>
      </c>
      <c r="P18" s="205"/>
      <c r="Q18" s="2262">
        <v>41</v>
      </c>
      <c r="R18" s="2262"/>
      <c r="S18" s="202">
        <v>98</v>
      </c>
      <c r="T18" s="2254" t="s">
        <v>57</v>
      </c>
      <c r="U18" s="2254"/>
      <c r="V18" s="2262">
        <f>450+131772</f>
        <v>132222</v>
      </c>
      <c r="W18" s="2262"/>
      <c r="X18" s="2262"/>
      <c r="Y18" s="2269" t="s">
        <v>139</v>
      </c>
    </row>
    <row r="19" spans="1:25" ht="25.5" customHeight="1" x14ac:dyDescent="0.25">
      <c r="A19" s="100" t="s">
        <v>41</v>
      </c>
      <c r="B19" s="2260">
        <f>B15+B16+B17-B18</f>
        <v>268260</v>
      </c>
      <c r="C19" s="2261"/>
      <c r="D19" s="205">
        <f>D15+D16+D17-D18</f>
        <v>0</v>
      </c>
      <c r="E19" s="205">
        <f t="shared" ref="E19:N19" si="13">E15+E16+E17-E18</f>
        <v>1290</v>
      </c>
      <c r="F19" s="205">
        <f t="shared" si="13"/>
        <v>10000</v>
      </c>
      <c r="G19" s="205">
        <f t="shared" si="13"/>
        <v>0</v>
      </c>
      <c r="H19" s="205">
        <f t="shared" si="13"/>
        <v>327</v>
      </c>
      <c r="I19" s="205">
        <f t="shared" si="13"/>
        <v>19</v>
      </c>
      <c r="J19" s="205">
        <f t="shared" si="13"/>
        <v>100</v>
      </c>
      <c r="K19" s="205">
        <f t="shared" si="13"/>
        <v>50</v>
      </c>
      <c r="L19" s="205">
        <f t="shared" si="13"/>
        <v>629</v>
      </c>
      <c r="M19" s="205">
        <f t="shared" si="13"/>
        <v>0</v>
      </c>
      <c r="N19" s="205">
        <f t="shared" si="13"/>
        <v>100</v>
      </c>
      <c r="O19" s="205">
        <f>O15+O16+O17-O18</f>
        <v>0</v>
      </c>
      <c r="P19" s="205">
        <f>P15+P16+P17-P18</f>
        <v>417</v>
      </c>
      <c r="Q19" s="2260">
        <f t="shared" ref="Q19" si="14">Q15+Q16+Q17-Q18</f>
        <v>0</v>
      </c>
      <c r="R19" s="2261"/>
      <c r="S19" s="202">
        <f>S15+S16-S17-S18</f>
        <v>19</v>
      </c>
      <c r="T19" s="2256" t="s">
        <v>48</v>
      </c>
      <c r="U19" s="49" t="s">
        <v>58</v>
      </c>
      <c r="V19" s="2262"/>
      <c r="W19" s="2262"/>
      <c r="X19" s="2262"/>
      <c r="Y19" s="2269"/>
    </row>
    <row r="20" spans="1:25" ht="23.25" customHeight="1" x14ac:dyDescent="0.25">
      <c r="A20" s="210" t="s">
        <v>187</v>
      </c>
      <c r="B20" s="2284">
        <f>B19*0.9625</f>
        <v>258200.25</v>
      </c>
      <c r="C20" s="2285"/>
      <c r="D20" s="211">
        <f>D19*13.56</f>
        <v>0</v>
      </c>
      <c r="E20" s="211">
        <f>28.2*E19</f>
        <v>36378</v>
      </c>
      <c r="F20" s="211">
        <f>18.31*F19</f>
        <v>183100</v>
      </c>
      <c r="G20" s="211">
        <f>19.3*G19</f>
        <v>0</v>
      </c>
      <c r="H20" s="211">
        <f>241*H19</f>
        <v>78807</v>
      </c>
      <c r="I20" s="211">
        <f>223*I19</f>
        <v>4237</v>
      </c>
      <c r="J20" s="211">
        <f>241*J19</f>
        <v>24100</v>
      </c>
      <c r="K20" s="211">
        <f>K19*100</f>
        <v>5000</v>
      </c>
      <c r="L20" s="211">
        <f>241*L19</f>
        <v>151589</v>
      </c>
      <c r="M20" s="211">
        <f>9.65*M19</f>
        <v>0</v>
      </c>
      <c r="N20" s="211">
        <f>N19*48.2</f>
        <v>4820</v>
      </c>
      <c r="O20" s="211">
        <f>241*O19</f>
        <v>0</v>
      </c>
      <c r="P20" s="211">
        <f>241*P19</f>
        <v>100497</v>
      </c>
      <c r="Q20" s="2284">
        <f>241*Q19</f>
        <v>0</v>
      </c>
      <c r="R20" s="2285"/>
      <c r="S20" s="211">
        <f>241*S19</f>
        <v>4579</v>
      </c>
      <c r="T20" s="2257"/>
      <c r="U20" s="49" t="s">
        <v>59</v>
      </c>
      <c r="V20" s="2262"/>
      <c r="W20" s="2262"/>
      <c r="X20" s="2262"/>
      <c r="Y20" s="2269"/>
    </row>
    <row r="21" spans="1:25" ht="32.25" customHeight="1" x14ac:dyDescent="0.25">
      <c r="A21" s="143" t="s">
        <v>186</v>
      </c>
      <c r="B21" s="2283">
        <f>SUM(B20:S20)</f>
        <v>851307.25</v>
      </c>
      <c r="C21" s="2283"/>
      <c r="O21" s="209"/>
      <c r="P21" s="209"/>
      <c r="Q21" s="209"/>
      <c r="R21" s="209"/>
      <c r="T21" s="2273" t="s">
        <v>167</v>
      </c>
      <c r="U21" s="2274"/>
      <c r="V21" s="2260"/>
      <c r="W21" s="2268"/>
      <c r="X21" s="2261"/>
      <c r="Y21" s="2269"/>
    </row>
    <row r="22" spans="1:25" ht="35.25" customHeight="1" x14ac:dyDescent="0.25">
      <c r="A22" s="15"/>
      <c r="B22" s="2275" t="s">
        <v>49</v>
      </c>
      <c r="C22" s="2265">
        <v>965416</v>
      </c>
      <c r="D22" s="2265"/>
      <c r="E22" s="2265"/>
      <c r="F22" s="2265">
        <f>C22-D22+E22</f>
        <v>965416</v>
      </c>
      <c r="G22" s="209"/>
      <c r="Q22" s="209"/>
      <c r="R22" s="209"/>
      <c r="T22" s="2251" t="s">
        <v>83</v>
      </c>
      <c r="U22" s="50" t="s">
        <v>60</v>
      </c>
      <c r="V22" s="2262"/>
      <c r="W22" s="2262"/>
      <c r="X22" s="2262"/>
      <c r="Y22" s="2269"/>
    </row>
    <row r="23" spans="1:25" ht="39.75" customHeight="1" x14ac:dyDescent="0.25">
      <c r="A23" s="209"/>
      <c r="B23" s="2276"/>
      <c r="C23" s="2266"/>
      <c r="D23" s="2266"/>
      <c r="E23" s="2266"/>
      <c r="F23" s="2266"/>
      <c r="G23" s="209"/>
      <c r="Q23" s="209"/>
      <c r="R23" s="209"/>
      <c r="T23" s="2252"/>
      <c r="U23" s="50" t="s">
        <v>61</v>
      </c>
      <c r="V23" s="2262"/>
      <c r="W23" s="2262"/>
      <c r="X23" s="2262"/>
      <c r="Y23" s="2269"/>
    </row>
    <row r="24" spans="1:25" ht="48" customHeight="1" x14ac:dyDescent="0.25">
      <c r="A24" s="209"/>
      <c r="B24" s="2277"/>
      <c r="C24" s="202" t="s">
        <v>46</v>
      </c>
      <c r="D24" s="202" t="s">
        <v>50</v>
      </c>
      <c r="E24" s="202" t="s">
        <v>51</v>
      </c>
      <c r="F24" s="202" t="s">
        <v>52</v>
      </c>
      <c r="G24" s="209"/>
      <c r="Q24" s="209"/>
      <c r="R24" s="209"/>
      <c r="T24" s="2235" t="s">
        <v>47</v>
      </c>
      <c r="U24" s="51" t="s">
        <v>62</v>
      </c>
      <c r="V24" s="2263">
        <f>V14+V16+V17-V18-V19-V20-V22+V23-V21</f>
        <v>418212.65500000003</v>
      </c>
      <c r="W24" s="2263"/>
      <c r="X24" s="2263"/>
      <c r="Y24" s="2269"/>
    </row>
    <row r="25" spans="1:25" ht="40.5" customHeight="1" x14ac:dyDescent="0.25">
      <c r="T25" s="2235"/>
      <c r="U25" s="51" t="s">
        <v>63</v>
      </c>
      <c r="V25" s="2262">
        <f>V15+V22-V23</f>
        <v>45432</v>
      </c>
      <c r="W25" s="2262"/>
      <c r="X25" s="2262"/>
    </row>
    <row r="26" spans="1:25" ht="36" customHeight="1" x14ac:dyDescent="0.25"/>
    <row r="32" spans="1:25" x14ac:dyDescent="0.25">
      <c r="I32" s="2280"/>
      <c r="J32" s="2280"/>
      <c r="K32" s="2280"/>
      <c r="L32" s="2280"/>
    </row>
    <row r="33" spans="9:12" x14ac:dyDescent="0.25">
      <c r="I33" s="209"/>
      <c r="J33" s="209"/>
      <c r="K33" s="2280"/>
      <c r="L33" s="2280"/>
    </row>
  </sheetData>
  <mergeCells count="62">
    <mergeCell ref="A1:Y1"/>
    <mergeCell ref="A2:Y2"/>
    <mergeCell ref="T3:Y3"/>
    <mergeCell ref="A4:A5"/>
    <mergeCell ref="B4:B5"/>
    <mergeCell ref="C4:D4"/>
    <mergeCell ref="E4:F4"/>
    <mergeCell ref="G4:H4"/>
    <mergeCell ref="I4:J4"/>
    <mergeCell ref="K4:L4"/>
    <mergeCell ref="Y4:Y5"/>
    <mergeCell ref="M4:N4"/>
    <mergeCell ref="O4:P4"/>
    <mergeCell ref="Q4:R4"/>
    <mergeCell ref="S4:T4"/>
    <mergeCell ref="U4:V4"/>
    <mergeCell ref="W4:X4"/>
    <mergeCell ref="B16:C16"/>
    <mergeCell ref="Q16:R16"/>
    <mergeCell ref="T16:U16"/>
    <mergeCell ref="V16:X16"/>
    <mergeCell ref="A12:B12"/>
    <mergeCell ref="B14:C14"/>
    <mergeCell ref="Q14:R14"/>
    <mergeCell ref="T14:T15"/>
    <mergeCell ref="V14:X14"/>
    <mergeCell ref="B15:C15"/>
    <mergeCell ref="Q15:R15"/>
    <mergeCell ref="V15:X15"/>
    <mergeCell ref="B17:C17"/>
    <mergeCell ref="Q17:R17"/>
    <mergeCell ref="T17:U17"/>
    <mergeCell ref="V17:X17"/>
    <mergeCell ref="B18:C18"/>
    <mergeCell ref="Q18:R18"/>
    <mergeCell ref="T18:U18"/>
    <mergeCell ref="V18:X18"/>
    <mergeCell ref="Y18:Y24"/>
    <mergeCell ref="B19:C19"/>
    <mergeCell ref="Q19:R19"/>
    <mergeCell ref="T19:T20"/>
    <mergeCell ref="V19:X19"/>
    <mergeCell ref="B20:C20"/>
    <mergeCell ref="B22:B24"/>
    <mergeCell ref="C22:C23"/>
    <mergeCell ref="D22:D23"/>
    <mergeCell ref="E22:E23"/>
    <mergeCell ref="F22:F23"/>
    <mergeCell ref="Q20:R20"/>
    <mergeCell ref="V20:X20"/>
    <mergeCell ref="B21:C21"/>
    <mergeCell ref="T21:U21"/>
    <mergeCell ref="V21:X21"/>
    <mergeCell ref="I32:J32"/>
    <mergeCell ref="K32:L32"/>
    <mergeCell ref="K33:L33"/>
    <mergeCell ref="T22:T23"/>
    <mergeCell ref="V22:X22"/>
    <mergeCell ref="V23:X23"/>
    <mergeCell ref="T24:T25"/>
    <mergeCell ref="V24:X24"/>
    <mergeCell ref="V25:X25"/>
  </mergeCells>
  <pageMargins left="0.15748031496063" right="0.15748031496063" top="0" bottom="0" header="0" footer="0"/>
  <pageSetup paperSize="9" scale="47" orientation="landscape" r:id="rId1"/>
  <legacyDrawing r:id="rId2"/>
</worksheet>
</file>

<file path=xl/worksheets/sheet7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FA379AE-A262-40CE-BC97-B5D2BD6A0278}">
  <sheetPr>
    <pageSetUpPr fitToPage="1"/>
  </sheetPr>
  <dimension ref="A1:Y33"/>
  <sheetViews>
    <sheetView topLeftCell="A10" zoomScale="71" zoomScaleNormal="71" zoomScaleSheetLayoutView="100" workbookViewId="0">
      <selection activeCell="K9" sqref="K9"/>
    </sheetView>
  </sheetViews>
  <sheetFormatPr defaultColWidth="9.140625" defaultRowHeight="15" x14ac:dyDescent="0.25"/>
  <cols>
    <col min="1" max="1" width="18.28515625" style="14" customWidth="1"/>
    <col min="2" max="2" width="10.7109375" style="14" customWidth="1"/>
    <col min="3" max="3" width="12.28515625" style="14" customWidth="1"/>
    <col min="4" max="4" width="11" style="14" customWidth="1"/>
    <col min="5" max="5" width="12" style="14" customWidth="1"/>
    <col min="6" max="6" width="12.5703125" style="14" bestFit="1" customWidth="1"/>
    <col min="7" max="7" width="9.28515625" style="14" bestFit="1" customWidth="1"/>
    <col min="8" max="8" width="10.140625" style="14" bestFit="1" customWidth="1"/>
    <col min="9" max="9" width="10.5703125" style="14" bestFit="1" customWidth="1"/>
    <col min="10" max="10" width="10.5703125" style="14" customWidth="1"/>
    <col min="11" max="11" width="10.28515625" style="14" bestFit="1" customWidth="1"/>
    <col min="12" max="12" width="10.42578125" style="14" bestFit="1" customWidth="1"/>
    <col min="13" max="13" width="9.85546875" style="14" bestFit="1" customWidth="1"/>
    <col min="14" max="14" width="10.140625" style="14" bestFit="1" customWidth="1"/>
    <col min="15" max="15" width="9" style="14" customWidth="1"/>
    <col min="16" max="16" width="12.85546875" style="14" bestFit="1" customWidth="1"/>
    <col min="17" max="18" width="9.42578125" style="14" customWidth="1"/>
    <col min="19" max="19" width="13.7109375" style="14" customWidth="1"/>
    <col min="20" max="20" width="12.140625" style="14" customWidth="1"/>
    <col min="21" max="21" width="19.5703125" style="14" bestFit="1" customWidth="1"/>
    <col min="22" max="22" width="9.85546875" style="14" customWidth="1"/>
    <col min="23" max="23" width="10.140625" style="14" bestFit="1" customWidth="1"/>
    <col min="24" max="24" width="10.28515625" style="14" customWidth="1"/>
    <col min="25" max="25" width="28" style="14" customWidth="1"/>
    <col min="26" max="16384" width="9.140625" style="14"/>
  </cols>
  <sheetData>
    <row r="1" spans="1:25" ht="46.15" customHeight="1" x14ac:dyDescent="0.25">
      <c r="A1" s="2240" t="s">
        <v>148</v>
      </c>
      <c r="B1" s="2240"/>
      <c r="C1" s="2240"/>
      <c r="D1" s="2240"/>
      <c r="E1" s="2240"/>
      <c r="F1" s="2240"/>
      <c r="G1" s="2240"/>
      <c r="H1" s="2240"/>
      <c r="I1" s="2240"/>
      <c r="J1" s="2240"/>
      <c r="K1" s="2240"/>
      <c r="L1" s="2240"/>
      <c r="M1" s="2240"/>
      <c r="N1" s="2240"/>
      <c r="O1" s="2240"/>
      <c r="P1" s="2240"/>
      <c r="Q1" s="2240"/>
      <c r="R1" s="2240"/>
      <c r="S1" s="2240"/>
      <c r="T1" s="2240"/>
      <c r="U1" s="2240"/>
      <c r="V1" s="2240"/>
      <c r="W1" s="2240"/>
      <c r="X1" s="2240"/>
      <c r="Y1" s="2240"/>
    </row>
    <row r="2" spans="1:25" ht="21.6" customHeight="1" x14ac:dyDescent="0.25">
      <c r="A2" s="2241" t="s">
        <v>77</v>
      </c>
      <c r="B2" s="2241"/>
      <c r="C2" s="2241"/>
      <c r="D2" s="2241"/>
      <c r="E2" s="2241"/>
      <c r="F2" s="2241"/>
      <c r="G2" s="2241"/>
      <c r="H2" s="2241"/>
      <c r="I2" s="2241"/>
      <c r="J2" s="2241"/>
      <c r="K2" s="2241"/>
      <c r="L2" s="2241"/>
      <c r="M2" s="2241"/>
      <c r="N2" s="2241"/>
      <c r="O2" s="2241"/>
      <c r="P2" s="2241"/>
      <c r="Q2" s="2241"/>
      <c r="R2" s="2241"/>
      <c r="S2" s="2241"/>
      <c r="T2" s="2241"/>
      <c r="U2" s="2241"/>
      <c r="V2" s="2241"/>
      <c r="W2" s="2241"/>
      <c r="X2" s="2241"/>
      <c r="Y2" s="2241"/>
    </row>
    <row r="3" spans="1:25" ht="21" customHeight="1" x14ac:dyDescent="0.25">
      <c r="A3" s="212"/>
      <c r="B3" s="212"/>
      <c r="C3" s="212"/>
      <c r="D3" s="212"/>
      <c r="E3" s="212"/>
      <c r="F3" s="212"/>
      <c r="G3" s="212"/>
      <c r="H3" s="212"/>
      <c r="I3" s="212"/>
      <c r="J3" s="212"/>
      <c r="K3" s="212"/>
      <c r="L3" s="212"/>
      <c r="M3" s="212"/>
      <c r="N3" s="212"/>
      <c r="O3" s="212"/>
      <c r="P3" s="212"/>
      <c r="Q3" s="212"/>
      <c r="R3" s="212"/>
      <c r="S3" s="212"/>
      <c r="T3" s="2242" t="s">
        <v>234</v>
      </c>
      <c r="U3" s="2242"/>
      <c r="V3" s="2242"/>
      <c r="W3" s="2242"/>
      <c r="X3" s="2242"/>
      <c r="Y3" s="2242"/>
    </row>
    <row r="4" spans="1:25" s="212" customFormat="1" ht="18" customHeight="1" x14ac:dyDescent="0.25">
      <c r="A4" s="2243" t="s">
        <v>25</v>
      </c>
      <c r="B4" s="2243" t="s">
        <v>26</v>
      </c>
      <c r="C4" s="2244" t="s">
        <v>27</v>
      </c>
      <c r="D4" s="2244"/>
      <c r="E4" s="2244" t="s">
        <v>28</v>
      </c>
      <c r="F4" s="2244"/>
      <c r="G4" s="2244" t="s">
        <v>65</v>
      </c>
      <c r="H4" s="2244"/>
      <c r="I4" s="2244" t="s">
        <v>29</v>
      </c>
      <c r="J4" s="2244"/>
      <c r="K4" s="2245" t="s">
        <v>13</v>
      </c>
      <c r="L4" s="2246"/>
      <c r="M4" s="2245" t="s">
        <v>67</v>
      </c>
      <c r="N4" s="2246"/>
      <c r="O4" s="2245" t="s">
        <v>68</v>
      </c>
      <c r="P4" s="2246"/>
      <c r="Q4" s="2245" t="s">
        <v>114</v>
      </c>
      <c r="R4" s="2246"/>
      <c r="S4" s="2244" t="s">
        <v>35</v>
      </c>
      <c r="T4" s="2244"/>
      <c r="U4" s="2245" t="s">
        <v>17</v>
      </c>
      <c r="V4" s="2246"/>
      <c r="W4" s="2247" t="s">
        <v>36</v>
      </c>
      <c r="X4" s="2248"/>
      <c r="Y4" s="2238" t="s">
        <v>30</v>
      </c>
    </row>
    <row r="5" spans="1:25" s="212" customFormat="1" ht="25.5" customHeight="1" x14ac:dyDescent="0.25">
      <c r="A5" s="2243"/>
      <c r="B5" s="2243"/>
      <c r="C5" s="214" t="s">
        <v>42</v>
      </c>
      <c r="D5" s="214" t="s">
        <v>43</v>
      </c>
      <c r="E5" s="214" t="s">
        <v>42</v>
      </c>
      <c r="F5" s="214" t="s">
        <v>43</v>
      </c>
      <c r="G5" s="214" t="s">
        <v>42</v>
      </c>
      <c r="H5" s="214" t="s">
        <v>43</v>
      </c>
      <c r="I5" s="214" t="s">
        <v>42</v>
      </c>
      <c r="J5" s="214" t="s">
        <v>43</v>
      </c>
      <c r="K5" s="214" t="s">
        <v>42</v>
      </c>
      <c r="L5" s="214" t="s">
        <v>43</v>
      </c>
      <c r="M5" s="214" t="s">
        <v>42</v>
      </c>
      <c r="N5" s="214" t="s">
        <v>43</v>
      </c>
      <c r="O5" s="214" t="s">
        <v>42</v>
      </c>
      <c r="P5" s="214" t="s">
        <v>43</v>
      </c>
      <c r="Q5" s="214" t="s">
        <v>42</v>
      </c>
      <c r="R5" s="214" t="s">
        <v>43</v>
      </c>
      <c r="S5" s="33" t="s">
        <v>42</v>
      </c>
      <c r="T5" s="33" t="s">
        <v>43</v>
      </c>
      <c r="U5" s="30" t="s">
        <v>42</v>
      </c>
      <c r="V5" s="30" t="s">
        <v>43</v>
      </c>
      <c r="W5" s="30" t="s">
        <v>42</v>
      </c>
      <c r="X5" s="30" t="s">
        <v>43</v>
      </c>
      <c r="Y5" s="2239"/>
    </row>
    <row r="6" spans="1:25" ht="34.5" customHeight="1" x14ac:dyDescent="0.25">
      <c r="A6" s="12">
        <v>1409935200</v>
      </c>
      <c r="B6" s="213" t="s">
        <v>71</v>
      </c>
      <c r="C6" s="216">
        <v>48618</v>
      </c>
      <c r="D6" s="217">
        <f>0.9725*C6</f>
        <v>47281.005000000005</v>
      </c>
      <c r="E6" s="216"/>
      <c r="F6" s="216">
        <f>13.7*E6</f>
        <v>0</v>
      </c>
      <c r="G6" s="216">
        <v>160</v>
      </c>
      <c r="H6" s="216">
        <f>28.2*G6</f>
        <v>4512</v>
      </c>
      <c r="I6" s="216">
        <v>410</v>
      </c>
      <c r="J6" s="216">
        <f>18.5*I6</f>
        <v>7585</v>
      </c>
      <c r="K6" s="216"/>
      <c r="L6" s="216">
        <f>19.5*K6</f>
        <v>0</v>
      </c>
      <c r="M6" s="216"/>
      <c r="N6" s="217">
        <f>M6*9.75</f>
        <v>0</v>
      </c>
      <c r="O6" s="216"/>
      <c r="P6" s="217">
        <f>O6*48.62</f>
        <v>0</v>
      </c>
      <c r="Q6" s="217"/>
      <c r="R6" s="217">
        <f>241*Q6</f>
        <v>0</v>
      </c>
      <c r="S6" s="216"/>
      <c r="T6" s="216">
        <f>241*S6</f>
        <v>0</v>
      </c>
      <c r="U6" s="216"/>
      <c r="V6" s="216">
        <f>232*U6</f>
        <v>0</v>
      </c>
      <c r="W6" s="216"/>
      <c r="X6" s="19">
        <f>W6*100</f>
        <v>0</v>
      </c>
      <c r="Y6" s="89">
        <f t="shared" ref="Y6:Y11" si="0">D6+F6+H6+J6+L6+N6+P6+R6+T6+V6+X6</f>
        <v>59378.005000000005</v>
      </c>
    </row>
    <row r="7" spans="1:25" ht="31.5" customHeight="1" x14ac:dyDescent="0.25">
      <c r="A7" s="12">
        <v>1984225578</v>
      </c>
      <c r="B7" s="213" t="s">
        <v>72</v>
      </c>
      <c r="C7" s="216">
        <v>31468</v>
      </c>
      <c r="D7" s="217">
        <f t="shared" ref="D7:D11" si="1">0.9725*C7</f>
        <v>30602.63</v>
      </c>
      <c r="E7" s="216"/>
      <c r="F7" s="216">
        <f t="shared" ref="F7:F11" si="2">13.7*E7</f>
        <v>0</v>
      </c>
      <c r="G7" s="216">
        <v>20</v>
      </c>
      <c r="H7" s="216">
        <f t="shared" ref="H7:H11" si="3">28.2*G7</f>
        <v>564</v>
      </c>
      <c r="I7" s="216">
        <v>260</v>
      </c>
      <c r="J7" s="216">
        <f t="shared" ref="J7:J11" si="4">18.5*I7</f>
        <v>4810</v>
      </c>
      <c r="K7" s="216"/>
      <c r="L7" s="216">
        <f t="shared" ref="L7:L11" si="5">19.5*K7</f>
        <v>0</v>
      </c>
      <c r="M7" s="216"/>
      <c r="N7" s="217">
        <f t="shared" ref="N7:N11" si="6">M7*9.75</f>
        <v>0</v>
      </c>
      <c r="O7" s="216"/>
      <c r="P7" s="217">
        <f t="shared" ref="P7:P11" si="7">O7*48.62</f>
        <v>0</v>
      </c>
      <c r="Q7" s="217"/>
      <c r="R7" s="217">
        <f t="shared" ref="R7:R11" si="8">241*Q7</f>
        <v>0</v>
      </c>
      <c r="S7" s="216"/>
      <c r="T7" s="216">
        <f t="shared" ref="T7:T11" si="9">241*S7</f>
        <v>0</v>
      </c>
      <c r="U7" s="216"/>
      <c r="V7" s="216">
        <f t="shared" ref="V7:V11" si="10">232*U7</f>
        <v>0</v>
      </c>
      <c r="W7" s="216"/>
      <c r="X7" s="19">
        <f t="shared" ref="X7:X11" si="11">W7*100</f>
        <v>0</v>
      </c>
      <c r="Y7" s="89">
        <f t="shared" si="0"/>
        <v>35976.630000000005</v>
      </c>
    </row>
    <row r="8" spans="1:25" ht="35.25" customHeight="1" x14ac:dyDescent="0.25">
      <c r="A8" s="12">
        <v>1967020280</v>
      </c>
      <c r="B8" s="213" t="s">
        <v>73</v>
      </c>
      <c r="C8" s="216">
        <v>26119</v>
      </c>
      <c r="D8" s="217">
        <f t="shared" si="1"/>
        <v>25400.727500000001</v>
      </c>
      <c r="E8" s="216"/>
      <c r="F8" s="216">
        <f t="shared" si="2"/>
        <v>0</v>
      </c>
      <c r="G8" s="216">
        <v>40</v>
      </c>
      <c r="H8" s="216">
        <f t="shared" si="3"/>
        <v>1128</v>
      </c>
      <c r="I8" s="216">
        <v>670</v>
      </c>
      <c r="J8" s="216">
        <f t="shared" si="4"/>
        <v>12395</v>
      </c>
      <c r="K8" s="216"/>
      <c r="L8" s="216">
        <f t="shared" si="5"/>
        <v>0</v>
      </c>
      <c r="M8" s="216"/>
      <c r="N8" s="217">
        <f t="shared" si="6"/>
        <v>0</v>
      </c>
      <c r="O8" s="216"/>
      <c r="P8" s="217">
        <f t="shared" si="7"/>
        <v>0</v>
      </c>
      <c r="Q8" s="217"/>
      <c r="R8" s="217">
        <f t="shared" si="8"/>
        <v>0</v>
      </c>
      <c r="S8" s="216"/>
      <c r="T8" s="216">
        <f t="shared" si="9"/>
        <v>0</v>
      </c>
      <c r="U8" s="216"/>
      <c r="V8" s="216">
        <f t="shared" si="10"/>
        <v>0</v>
      </c>
      <c r="W8" s="216"/>
      <c r="X8" s="19">
        <f t="shared" si="11"/>
        <v>0</v>
      </c>
      <c r="Y8" s="89">
        <f t="shared" si="0"/>
        <v>38923.727500000001</v>
      </c>
    </row>
    <row r="9" spans="1:25" ht="38.25" customHeight="1" x14ac:dyDescent="0.25">
      <c r="A9" s="12">
        <v>1409935199</v>
      </c>
      <c r="B9" s="213" t="s">
        <v>75</v>
      </c>
      <c r="C9" s="216">
        <v>20356</v>
      </c>
      <c r="D9" s="217">
        <f t="shared" si="1"/>
        <v>19796.21</v>
      </c>
      <c r="E9" s="216"/>
      <c r="F9" s="216">
        <f t="shared" si="2"/>
        <v>0</v>
      </c>
      <c r="G9" s="216"/>
      <c r="H9" s="216">
        <f t="shared" si="3"/>
        <v>0</v>
      </c>
      <c r="I9" s="216">
        <v>940</v>
      </c>
      <c r="J9" s="216">
        <f t="shared" si="4"/>
        <v>17390</v>
      </c>
      <c r="K9" s="216"/>
      <c r="L9" s="216">
        <f t="shared" si="5"/>
        <v>0</v>
      </c>
      <c r="M9" s="216"/>
      <c r="N9" s="217">
        <f t="shared" si="6"/>
        <v>0</v>
      </c>
      <c r="O9" s="216"/>
      <c r="P9" s="217">
        <f t="shared" si="7"/>
        <v>0</v>
      </c>
      <c r="Q9" s="217"/>
      <c r="R9" s="217">
        <f t="shared" si="8"/>
        <v>0</v>
      </c>
      <c r="S9" s="216"/>
      <c r="T9" s="216">
        <f t="shared" si="9"/>
        <v>0</v>
      </c>
      <c r="U9" s="216">
        <v>7</v>
      </c>
      <c r="V9" s="216">
        <f t="shared" si="10"/>
        <v>1624</v>
      </c>
      <c r="W9" s="216"/>
      <c r="X9" s="19">
        <f t="shared" si="11"/>
        <v>0</v>
      </c>
      <c r="Y9" s="89">
        <f t="shared" si="0"/>
        <v>38810.21</v>
      </c>
    </row>
    <row r="10" spans="1:25" ht="35.25" customHeight="1" x14ac:dyDescent="0.25">
      <c r="A10" s="12">
        <v>1984225580</v>
      </c>
      <c r="C10" s="216"/>
      <c r="D10" s="217">
        <f t="shared" si="1"/>
        <v>0</v>
      </c>
      <c r="E10" s="216"/>
      <c r="F10" s="216">
        <f t="shared" si="2"/>
        <v>0</v>
      </c>
      <c r="G10" s="216"/>
      <c r="H10" s="216">
        <f t="shared" si="3"/>
        <v>0</v>
      </c>
      <c r="I10" s="216"/>
      <c r="J10" s="216">
        <f t="shared" si="4"/>
        <v>0</v>
      </c>
      <c r="K10" s="216"/>
      <c r="L10" s="216">
        <f t="shared" si="5"/>
        <v>0</v>
      </c>
      <c r="M10" s="216"/>
      <c r="N10" s="217">
        <f t="shared" si="6"/>
        <v>0</v>
      </c>
      <c r="O10" s="216"/>
      <c r="P10" s="217">
        <f t="shared" si="7"/>
        <v>0</v>
      </c>
      <c r="Q10" s="217"/>
      <c r="R10" s="217">
        <f t="shared" si="8"/>
        <v>0</v>
      </c>
      <c r="S10" s="216"/>
      <c r="T10" s="216">
        <f t="shared" si="9"/>
        <v>0</v>
      </c>
      <c r="U10" s="216"/>
      <c r="V10" s="216">
        <f t="shared" si="10"/>
        <v>0</v>
      </c>
      <c r="W10" s="216"/>
      <c r="X10" s="19">
        <f t="shared" si="11"/>
        <v>0</v>
      </c>
      <c r="Y10" s="89">
        <f t="shared" si="0"/>
        <v>0</v>
      </c>
    </row>
    <row r="11" spans="1:25" ht="37.5" customHeight="1" x14ac:dyDescent="0.25">
      <c r="A11" s="12"/>
      <c r="B11" s="215"/>
      <c r="C11" s="216"/>
      <c r="D11" s="22">
        <f t="shared" si="1"/>
        <v>0</v>
      </c>
      <c r="E11" s="216"/>
      <c r="F11" s="216">
        <f t="shared" si="2"/>
        <v>0</v>
      </c>
      <c r="G11" s="216"/>
      <c r="H11" s="216">
        <f t="shared" si="3"/>
        <v>0</v>
      </c>
      <c r="I11" s="216"/>
      <c r="J11" s="216">
        <f t="shared" si="4"/>
        <v>0</v>
      </c>
      <c r="K11" s="216"/>
      <c r="L11" s="216">
        <f t="shared" si="5"/>
        <v>0</v>
      </c>
      <c r="M11" s="216"/>
      <c r="N11" s="217">
        <f t="shared" si="6"/>
        <v>0</v>
      </c>
      <c r="O11" s="216"/>
      <c r="P11" s="217">
        <f t="shared" si="7"/>
        <v>0</v>
      </c>
      <c r="Q11" s="217"/>
      <c r="R11" s="217">
        <f t="shared" si="8"/>
        <v>0</v>
      </c>
      <c r="S11" s="216"/>
      <c r="T11" s="216">
        <f t="shared" si="9"/>
        <v>0</v>
      </c>
      <c r="U11" s="216"/>
      <c r="V11" s="216">
        <f t="shared" si="10"/>
        <v>0</v>
      </c>
      <c r="W11" s="216"/>
      <c r="X11" s="19">
        <f t="shared" si="11"/>
        <v>0</v>
      </c>
      <c r="Y11" s="20">
        <f t="shared" si="0"/>
        <v>0</v>
      </c>
    </row>
    <row r="12" spans="1:25" ht="29.25" customHeight="1" x14ac:dyDescent="0.25">
      <c r="A12" s="2235" t="s">
        <v>31</v>
      </c>
      <c r="B12" s="2235"/>
      <c r="C12" s="18">
        <f t="shared" ref="C12:Y12" si="12">SUM(C6:C11)</f>
        <v>126561</v>
      </c>
      <c r="D12" s="18">
        <f t="shared" si="12"/>
        <v>123080.57250000001</v>
      </c>
      <c r="E12" s="18">
        <f t="shared" si="12"/>
        <v>0</v>
      </c>
      <c r="F12" s="18">
        <f t="shared" si="12"/>
        <v>0</v>
      </c>
      <c r="G12" s="18">
        <f t="shared" si="12"/>
        <v>220</v>
      </c>
      <c r="H12" s="18">
        <f t="shared" si="12"/>
        <v>6204</v>
      </c>
      <c r="I12" s="18">
        <f t="shared" si="12"/>
        <v>2280</v>
      </c>
      <c r="J12" s="18">
        <f t="shared" si="12"/>
        <v>42180</v>
      </c>
      <c r="K12" s="18">
        <f t="shared" si="12"/>
        <v>0</v>
      </c>
      <c r="L12" s="18">
        <f t="shared" si="12"/>
        <v>0</v>
      </c>
      <c r="M12" s="18">
        <f t="shared" si="12"/>
        <v>0</v>
      </c>
      <c r="N12" s="23">
        <f t="shared" si="12"/>
        <v>0</v>
      </c>
      <c r="O12" s="18">
        <f t="shared" si="12"/>
        <v>0</v>
      </c>
      <c r="P12" s="23">
        <f t="shared" si="12"/>
        <v>0</v>
      </c>
      <c r="Q12" s="23">
        <f t="shared" si="12"/>
        <v>0</v>
      </c>
      <c r="R12" s="23">
        <f>SUM(R6:R11)</f>
        <v>0</v>
      </c>
      <c r="S12" s="18">
        <f t="shared" si="12"/>
        <v>0</v>
      </c>
      <c r="T12" s="18">
        <f t="shared" si="12"/>
        <v>0</v>
      </c>
      <c r="U12" s="18">
        <f t="shared" si="12"/>
        <v>7</v>
      </c>
      <c r="V12" s="18">
        <f t="shared" si="12"/>
        <v>1624</v>
      </c>
      <c r="W12" s="18">
        <f t="shared" si="12"/>
        <v>0</v>
      </c>
      <c r="X12" s="18">
        <f t="shared" si="12"/>
        <v>0</v>
      </c>
      <c r="Y12" s="18">
        <f t="shared" si="12"/>
        <v>173088.57250000001</v>
      </c>
    </row>
    <row r="14" spans="1:25" ht="41.25" customHeight="1" x14ac:dyDescent="0.25">
      <c r="A14" s="30" t="s">
        <v>32</v>
      </c>
      <c r="B14" s="2236" t="s">
        <v>27</v>
      </c>
      <c r="C14" s="2236"/>
      <c r="D14" s="30" t="s">
        <v>33</v>
      </c>
      <c r="E14" s="30" t="s">
        <v>65</v>
      </c>
      <c r="F14" s="30" t="s">
        <v>34</v>
      </c>
      <c r="G14" s="30" t="s">
        <v>13</v>
      </c>
      <c r="H14" s="142" t="s">
        <v>173</v>
      </c>
      <c r="I14" s="30" t="s">
        <v>17</v>
      </c>
      <c r="J14" s="221" t="s">
        <v>174</v>
      </c>
      <c r="K14" s="30" t="s">
        <v>36</v>
      </c>
      <c r="L14" s="30" t="s">
        <v>175</v>
      </c>
      <c r="M14" s="30" t="s">
        <v>69</v>
      </c>
      <c r="N14" s="30" t="s">
        <v>70</v>
      </c>
      <c r="O14" s="221" t="s">
        <v>114</v>
      </c>
      <c r="P14" s="221" t="s">
        <v>99</v>
      </c>
      <c r="Q14" s="2272" t="s">
        <v>228</v>
      </c>
      <c r="R14" s="2272"/>
      <c r="S14" s="221"/>
      <c r="T14" s="2235" t="s">
        <v>46</v>
      </c>
      <c r="U14" s="213" t="s">
        <v>176</v>
      </c>
      <c r="V14" s="2260">
        <v>418213</v>
      </c>
      <c r="W14" s="2268"/>
      <c r="X14" s="2261"/>
    </row>
    <row r="15" spans="1:25" ht="22.5" customHeight="1" x14ac:dyDescent="0.25">
      <c r="A15" s="100" t="s">
        <v>38</v>
      </c>
      <c r="B15" s="2260">
        <v>268260</v>
      </c>
      <c r="C15" s="2261"/>
      <c r="D15" s="218">
        <v>0</v>
      </c>
      <c r="E15" s="218">
        <v>1290</v>
      </c>
      <c r="F15" s="218">
        <v>10000</v>
      </c>
      <c r="G15" s="218">
        <v>0</v>
      </c>
      <c r="H15" s="218">
        <v>327</v>
      </c>
      <c r="I15" s="218">
        <v>19</v>
      </c>
      <c r="J15" s="218">
        <v>100</v>
      </c>
      <c r="K15" s="218">
        <v>50</v>
      </c>
      <c r="L15" s="218">
        <v>629</v>
      </c>
      <c r="M15" s="218">
        <v>0</v>
      </c>
      <c r="N15" s="218">
        <v>100</v>
      </c>
      <c r="O15" s="218">
        <v>0</v>
      </c>
      <c r="P15" s="218">
        <v>417</v>
      </c>
      <c r="Q15" s="2262">
        <v>19</v>
      </c>
      <c r="R15" s="2262"/>
      <c r="S15" s="213">
        <v>0</v>
      </c>
      <c r="T15" s="2235"/>
      <c r="U15" s="213" t="s">
        <v>64</v>
      </c>
      <c r="V15" s="2262">
        <v>45432</v>
      </c>
      <c r="W15" s="2262"/>
      <c r="X15" s="2262"/>
    </row>
    <row r="16" spans="1:25" ht="24.75" customHeight="1" x14ac:dyDescent="0.25">
      <c r="A16" s="100" t="s">
        <v>39</v>
      </c>
      <c r="B16" s="2260">
        <v>114285</v>
      </c>
      <c r="C16" s="2261"/>
      <c r="D16" s="218"/>
      <c r="E16" s="218"/>
      <c r="F16" s="218"/>
      <c r="G16" s="218"/>
      <c r="H16" s="218">
        <v>200</v>
      </c>
      <c r="I16" s="218"/>
      <c r="J16" s="218"/>
      <c r="K16" s="218"/>
      <c r="L16" s="218">
        <v>75</v>
      </c>
      <c r="M16" s="218"/>
      <c r="N16" s="218"/>
      <c r="O16" s="218"/>
      <c r="P16" s="218"/>
      <c r="Q16" s="2225"/>
      <c r="R16" s="2225"/>
      <c r="S16" s="218"/>
      <c r="T16" s="2254" t="s">
        <v>55</v>
      </c>
      <c r="U16" s="2254"/>
      <c r="V16" s="2267">
        <f>Y12</f>
        <v>173088.57250000001</v>
      </c>
      <c r="W16" s="2267"/>
      <c r="X16" s="2262"/>
    </row>
    <row r="17" spans="1:25" ht="28.5" customHeight="1" x14ac:dyDescent="0.25">
      <c r="A17" s="101" t="s">
        <v>44</v>
      </c>
      <c r="B17" s="2260"/>
      <c r="C17" s="2261"/>
      <c r="D17" s="218"/>
      <c r="E17" s="218"/>
      <c r="F17" s="218"/>
      <c r="G17" s="218"/>
      <c r="H17" s="218"/>
      <c r="I17" s="218"/>
      <c r="J17" s="218"/>
      <c r="K17" s="218"/>
      <c r="L17" s="218"/>
      <c r="M17" s="218"/>
      <c r="N17" s="218"/>
      <c r="O17" s="218"/>
      <c r="P17" s="218"/>
      <c r="Q17" s="2225"/>
      <c r="R17" s="2225"/>
      <c r="S17" s="215"/>
      <c r="T17" s="2273" t="s">
        <v>211</v>
      </c>
      <c r="U17" s="2274"/>
      <c r="V17" s="2262"/>
      <c r="W17" s="2262"/>
      <c r="X17" s="2262"/>
    </row>
    <row r="18" spans="1:25" ht="27" customHeight="1" x14ac:dyDescent="0.25">
      <c r="A18" s="100" t="s">
        <v>40</v>
      </c>
      <c r="B18" s="2264">
        <f>C12</f>
        <v>126561</v>
      </c>
      <c r="C18" s="2261"/>
      <c r="D18" s="219">
        <f>E12</f>
        <v>0</v>
      </c>
      <c r="E18" s="219">
        <f>G12</f>
        <v>220</v>
      </c>
      <c r="F18" s="219">
        <f>I12</f>
        <v>2280</v>
      </c>
      <c r="G18" s="219">
        <f>K12</f>
        <v>0</v>
      </c>
      <c r="H18" s="218">
        <v>75</v>
      </c>
      <c r="I18" s="219">
        <f>U12</f>
        <v>7</v>
      </c>
      <c r="J18" s="218"/>
      <c r="K18" s="219">
        <f>W12</f>
        <v>0</v>
      </c>
      <c r="L18" s="218"/>
      <c r="M18" s="219">
        <f>M12</f>
        <v>0</v>
      </c>
      <c r="N18" s="219">
        <f>O12</f>
        <v>0</v>
      </c>
      <c r="O18" s="220">
        <f>Q12</f>
        <v>0</v>
      </c>
      <c r="P18" s="218"/>
      <c r="Q18" s="2262"/>
      <c r="R18" s="2262"/>
      <c r="S18" s="213"/>
      <c r="T18" s="2254" t="s">
        <v>57</v>
      </c>
      <c r="U18" s="2254"/>
      <c r="V18" s="2262">
        <v>500</v>
      </c>
      <c r="W18" s="2262"/>
      <c r="X18" s="2262"/>
      <c r="Y18" s="2269" t="s">
        <v>231</v>
      </c>
    </row>
    <row r="19" spans="1:25" ht="25.5" customHeight="1" x14ac:dyDescent="0.25">
      <c r="A19" s="100" t="s">
        <v>41</v>
      </c>
      <c r="B19" s="2260">
        <f>B15+B16+B17-B18</f>
        <v>255984</v>
      </c>
      <c r="C19" s="2261"/>
      <c r="D19" s="218">
        <f>D15+D16+D17-D18</f>
        <v>0</v>
      </c>
      <c r="E19" s="218">
        <f t="shared" ref="E19:N19" si="13">E15+E16+E17-E18</f>
        <v>1070</v>
      </c>
      <c r="F19" s="218">
        <f t="shared" si="13"/>
        <v>7720</v>
      </c>
      <c r="G19" s="218">
        <f t="shared" si="13"/>
        <v>0</v>
      </c>
      <c r="H19" s="218">
        <f t="shared" si="13"/>
        <v>452</v>
      </c>
      <c r="I19" s="218">
        <f t="shared" si="13"/>
        <v>12</v>
      </c>
      <c r="J19" s="218">
        <f t="shared" si="13"/>
        <v>100</v>
      </c>
      <c r="K19" s="218">
        <f t="shared" si="13"/>
        <v>50</v>
      </c>
      <c r="L19" s="218">
        <f t="shared" si="13"/>
        <v>704</v>
      </c>
      <c r="M19" s="218">
        <f t="shared" si="13"/>
        <v>0</v>
      </c>
      <c r="N19" s="218">
        <f t="shared" si="13"/>
        <v>100</v>
      </c>
      <c r="O19" s="218">
        <f>O15+O16+O17-O18</f>
        <v>0</v>
      </c>
      <c r="P19" s="218">
        <f>P15+P16+P17-P18</f>
        <v>417</v>
      </c>
      <c r="Q19" s="2260">
        <f t="shared" ref="Q19" si="14">Q15+Q16+Q17-Q18</f>
        <v>19</v>
      </c>
      <c r="R19" s="2261"/>
      <c r="S19" s="213">
        <f>S15+S16-S17-S18</f>
        <v>0</v>
      </c>
      <c r="T19" s="2256" t="s">
        <v>48</v>
      </c>
      <c r="U19" s="49" t="s">
        <v>58</v>
      </c>
      <c r="V19" s="2262">
        <v>412300</v>
      </c>
      <c r="W19" s="2262"/>
      <c r="X19" s="2262"/>
      <c r="Y19" s="2269"/>
    </row>
    <row r="20" spans="1:25" ht="23.25" customHeight="1" x14ac:dyDescent="0.25">
      <c r="A20" s="210" t="s">
        <v>187</v>
      </c>
      <c r="B20" s="2284">
        <f>B19*0.9625</f>
        <v>246384.6</v>
      </c>
      <c r="C20" s="2285"/>
      <c r="D20" s="211">
        <f>D19*13.56</f>
        <v>0</v>
      </c>
      <c r="E20" s="211">
        <f>28.2*E19</f>
        <v>30174</v>
      </c>
      <c r="F20" s="211">
        <f>18.31*F19</f>
        <v>141353.19999999998</v>
      </c>
      <c r="G20" s="211">
        <f>19.3*G19</f>
        <v>0</v>
      </c>
      <c r="H20" s="211">
        <f>241*H19</f>
        <v>108932</v>
      </c>
      <c r="I20" s="211">
        <f>223*I19</f>
        <v>2676</v>
      </c>
      <c r="J20" s="211">
        <f>241*J19</f>
        <v>24100</v>
      </c>
      <c r="K20" s="211">
        <f>K19*100</f>
        <v>5000</v>
      </c>
      <c r="L20" s="211">
        <f>241*L19</f>
        <v>169664</v>
      </c>
      <c r="M20" s="211">
        <f>9.65*M19</f>
        <v>0</v>
      </c>
      <c r="N20" s="211">
        <f>N19*48.2</f>
        <v>4820</v>
      </c>
      <c r="O20" s="211">
        <f>241*O19</f>
        <v>0</v>
      </c>
      <c r="P20" s="211">
        <f>241*P19</f>
        <v>100497</v>
      </c>
      <c r="Q20" s="2284">
        <f>241*Q19</f>
        <v>4579</v>
      </c>
      <c r="R20" s="2285"/>
      <c r="S20" s="211">
        <f>241*S19</f>
        <v>0</v>
      </c>
      <c r="T20" s="2257"/>
      <c r="U20" s="49" t="s">
        <v>59</v>
      </c>
      <c r="V20" s="2262"/>
      <c r="W20" s="2262"/>
      <c r="X20" s="2262"/>
      <c r="Y20" s="2269"/>
    </row>
    <row r="21" spans="1:25" ht="32.25" customHeight="1" x14ac:dyDescent="0.25">
      <c r="A21" s="143" t="s">
        <v>186</v>
      </c>
      <c r="B21" s="2283">
        <f>SUM(B20:S20)</f>
        <v>838179.79999999993</v>
      </c>
      <c r="C21" s="2283"/>
      <c r="O21" s="222"/>
      <c r="P21" s="222"/>
      <c r="Q21" s="222"/>
      <c r="R21" s="222"/>
      <c r="T21" s="2273" t="s">
        <v>167</v>
      </c>
      <c r="U21" s="2274"/>
      <c r="V21" s="2260">
        <v>150000</v>
      </c>
      <c r="W21" s="2268"/>
      <c r="X21" s="2261"/>
      <c r="Y21" s="2269"/>
    </row>
    <row r="22" spans="1:25" ht="35.25" customHeight="1" x14ac:dyDescent="0.25">
      <c r="A22" s="15"/>
      <c r="B22" s="2275" t="s">
        <v>49</v>
      </c>
      <c r="C22" s="2265">
        <v>965416</v>
      </c>
      <c r="D22" s="2265">
        <v>412300</v>
      </c>
      <c r="E22" s="2265">
        <v>158200</v>
      </c>
      <c r="F22" s="2265">
        <f>C22-D22+E22</f>
        <v>711316</v>
      </c>
      <c r="G22" s="222"/>
      <c r="Q22" s="222"/>
      <c r="R22" s="222"/>
      <c r="T22" s="2251" t="s">
        <v>83</v>
      </c>
      <c r="U22" s="50" t="s">
        <v>60</v>
      </c>
      <c r="V22" s="2262">
        <v>414840</v>
      </c>
      <c r="W22" s="2262"/>
      <c r="X22" s="2262"/>
      <c r="Y22" s="2269"/>
    </row>
    <row r="23" spans="1:25" ht="39.75" customHeight="1" x14ac:dyDescent="0.25">
      <c r="A23" s="222"/>
      <c r="B23" s="2276"/>
      <c r="C23" s="2266"/>
      <c r="D23" s="2266"/>
      <c r="E23" s="2266"/>
      <c r="F23" s="2266"/>
      <c r="G23" s="222"/>
      <c r="Q23" s="222"/>
      <c r="R23" s="222"/>
      <c r="T23" s="2252"/>
      <c r="U23" s="50" t="s">
        <v>61</v>
      </c>
      <c r="V23" s="2262">
        <v>412300</v>
      </c>
      <c r="W23" s="2262"/>
      <c r="X23" s="2262"/>
      <c r="Y23" s="2269"/>
    </row>
    <row r="24" spans="1:25" ht="48" customHeight="1" x14ac:dyDescent="0.25">
      <c r="A24" s="222"/>
      <c r="B24" s="2277"/>
      <c r="C24" s="213" t="s">
        <v>46</v>
      </c>
      <c r="D24" s="213" t="s">
        <v>50</v>
      </c>
      <c r="E24" s="213" t="s">
        <v>51</v>
      </c>
      <c r="F24" s="213" t="s">
        <v>52</v>
      </c>
      <c r="G24" s="222"/>
      <c r="Q24" s="222"/>
      <c r="R24" s="222"/>
      <c r="T24" s="2235" t="s">
        <v>47</v>
      </c>
      <c r="U24" s="51" t="s">
        <v>62</v>
      </c>
      <c r="V24" s="2263">
        <f>V14+V16+V17-V18-V19-V20-V22+V23-V21</f>
        <v>25961.572500000009</v>
      </c>
      <c r="W24" s="2263"/>
      <c r="X24" s="2263"/>
      <c r="Y24" s="2269"/>
    </row>
    <row r="25" spans="1:25" ht="40.5" customHeight="1" x14ac:dyDescent="0.25">
      <c r="T25" s="2235"/>
      <c r="U25" s="51" t="s">
        <v>63</v>
      </c>
      <c r="V25" s="2262">
        <f>V15+V22-V23</f>
        <v>47972</v>
      </c>
      <c r="W25" s="2262"/>
      <c r="X25" s="2262"/>
    </row>
    <row r="26" spans="1:25" ht="36" customHeight="1" x14ac:dyDescent="0.25"/>
    <row r="32" spans="1:25" x14ac:dyDescent="0.25">
      <c r="I32" s="2280"/>
      <c r="J32" s="2280"/>
      <c r="K32" s="2280"/>
      <c r="L32" s="2280"/>
    </row>
    <row r="33" spans="9:12" x14ac:dyDescent="0.25">
      <c r="I33" s="222"/>
      <c r="J33" s="222"/>
      <c r="K33" s="2280"/>
      <c r="L33" s="2280"/>
    </row>
  </sheetData>
  <mergeCells count="62">
    <mergeCell ref="I32:J32"/>
    <mergeCell ref="K32:L32"/>
    <mergeCell ref="K33:L33"/>
    <mergeCell ref="T22:T23"/>
    <mergeCell ref="V22:X22"/>
    <mergeCell ref="V23:X23"/>
    <mergeCell ref="T24:T25"/>
    <mergeCell ref="V24:X24"/>
    <mergeCell ref="V25:X25"/>
    <mergeCell ref="Y18:Y24"/>
    <mergeCell ref="B19:C19"/>
    <mergeCell ref="Q19:R19"/>
    <mergeCell ref="T19:T20"/>
    <mergeCell ref="V19:X19"/>
    <mergeCell ref="B20:C20"/>
    <mergeCell ref="B22:B24"/>
    <mergeCell ref="C22:C23"/>
    <mergeCell ref="D22:D23"/>
    <mergeCell ref="E22:E23"/>
    <mergeCell ref="F22:F23"/>
    <mergeCell ref="Q20:R20"/>
    <mergeCell ref="V20:X20"/>
    <mergeCell ref="B21:C21"/>
    <mergeCell ref="T21:U21"/>
    <mergeCell ref="V21:X21"/>
    <mergeCell ref="B17:C17"/>
    <mergeCell ref="Q17:R17"/>
    <mergeCell ref="T17:U17"/>
    <mergeCell ref="V17:X17"/>
    <mergeCell ref="B18:C18"/>
    <mergeCell ref="Q18:R18"/>
    <mergeCell ref="T18:U18"/>
    <mergeCell ref="V18:X18"/>
    <mergeCell ref="W4:X4"/>
    <mergeCell ref="B16:C16"/>
    <mergeCell ref="Q16:R16"/>
    <mergeCell ref="T16:U16"/>
    <mergeCell ref="V16:X16"/>
    <mergeCell ref="A12:B12"/>
    <mergeCell ref="B14:C14"/>
    <mergeCell ref="Q14:R14"/>
    <mergeCell ref="T14:T15"/>
    <mergeCell ref="V14:X14"/>
    <mergeCell ref="B15:C15"/>
    <mergeCell ref="Q15:R15"/>
    <mergeCell ref="V15:X15"/>
    <mergeCell ref="A1:Y1"/>
    <mergeCell ref="A2:Y2"/>
    <mergeCell ref="T3:Y3"/>
    <mergeCell ref="A4:A5"/>
    <mergeCell ref="B4:B5"/>
    <mergeCell ref="C4:D4"/>
    <mergeCell ref="E4:F4"/>
    <mergeCell ref="G4:H4"/>
    <mergeCell ref="I4:J4"/>
    <mergeCell ref="K4:L4"/>
    <mergeCell ref="Y4:Y5"/>
    <mergeCell ref="M4:N4"/>
    <mergeCell ref="O4:P4"/>
    <mergeCell ref="Q4:R4"/>
    <mergeCell ref="S4:T4"/>
    <mergeCell ref="U4:V4"/>
  </mergeCells>
  <pageMargins left="0.15748031496063" right="0.15748031496063" top="0" bottom="0" header="0" footer="0"/>
  <pageSetup paperSize="9" scale="47" orientation="landscape" r:id="rId1"/>
  <legacyDrawing r:id="rId2"/>
</worksheet>
</file>

<file path=xl/worksheets/sheet7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1C6EAB0-5C41-4C01-81B1-1D0694803107}">
  <sheetPr>
    <pageSetUpPr fitToPage="1"/>
  </sheetPr>
  <dimension ref="A1:Y33"/>
  <sheetViews>
    <sheetView topLeftCell="D11" zoomScale="71" zoomScaleNormal="71" zoomScaleSheetLayoutView="100" workbookViewId="0">
      <selection activeCell="V18" sqref="V18:X18"/>
    </sheetView>
  </sheetViews>
  <sheetFormatPr defaultColWidth="9.140625" defaultRowHeight="15" x14ac:dyDescent="0.25"/>
  <cols>
    <col min="1" max="1" width="18.28515625" style="14" customWidth="1"/>
    <col min="2" max="2" width="10.7109375" style="14" customWidth="1"/>
    <col min="3" max="3" width="12.28515625" style="14" customWidth="1"/>
    <col min="4" max="4" width="11" style="14" customWidth="1"/>
    <col min="5" max="5" width="12" style="14" customWidth="1"/>
    <col min="6" max="6" width="12.5703125" style="14" bestFit="1" customWidth="1"/>
    <col min="7" max="7" width="9.28515625" style="14" bestFit="1" customWidth="1"/>
    <col min="8" max="8" width="10.140625" style="14" bestFit="1" customWidth="1"/>
    <col min="9" max="9" width="10.5703125" style="14" bestFit="1" customWidth="1"/>
    <col min="10" max="10" width="10.5703125" style="14" customWidth="1"/>
    <col min="11" max="11" width="10.28515625" style="14" bestFit="1" customWidth="1"/>
    <col min="12" max="12" width="10.42578125" style="14" bestFit="1" customWidth="1"/>
    <col min="13" max="13" width="9.85546875" style="14" bestFit="1" customWidth="1"/>
    <col min="14" max="14" width="10.140625" style="14" bestFit="1" customWidth="1"/>
    <col min="15" max="15" width="9" style="14" customWidth="1"/>
    <col min="16" max="16" width="12.85546875" style="14" bestFit="1" customWidth="1"/>
    <col min="17" max="18" width="9.42578125" style="14" customWidth="1"/>
    <col min="19" max="19" width="13.7109375" style="14" customWidth="1"/>
    <col min="20" max="20" width="12.140625" style="14" customWidth="1"/>
    <col min="21" max="21" width="19.5703125" style="14" bestFit="1" customWidth="1"/>
    <col min="22" max="22" width="9.85546875" style="14" customWidth="1"/>
    <col min="23" max="23" width="10.140625" style="14" bestFit="1" customWidth="1"/>
    <col min="24" max="24" width="10.28515625" style="14" customWidth="1"/>
    <col min="25" max="25" width="28" style="14" customWidth="1"/>
    <col min="26" max="16384" width="9.140625" style="14"/>
  </cols>
  <sheetData>
    <row r="1" spans="1:25" ht="46.15" customHeight="1" x14ac:dyDescent="0.25">
      <c r="A1" s="2240" t="s">
        <v>148</v>
      </c>
      <c r="B1" s="2240"/>
      <c r="C1" s="2240"/>
      <c r="D1" s="2240"/>
      <c r="E1" s="2240"/>
      <c r="F1" s="2240"/>
      <c r="G1" s="2240"/>
      <c r="H1" s="2240"/>
      <c r="I1" s="2240"/>
      <c r="J1" s="2240"/>
      <c r="K1" s="2240"/>
      <c r="L1" s="2240"/>
      <c r="M1" s="2240"/>
      <c r="N1" s="2240"/>
      <c r="O1" s="2240"/>
      <c r="P1" s="2240"/>
      <c r="Q1" s="2240"/>
      <c r="R1" s="2240"/>
      <c r="S1" s="2240"/>
      <c r="T1" s="2240"/>
      <c r="U1" s="2240"/>
      <c r="V1" s="2240"/>
      <c r="W1" s="2240"/>
      <c r="X1" s="2240"/>
      <c r="Y1" s="2240"/>
    </row>
    <row r="2" spans="1:25" ht="21.6" customHeight="1" x14ac:dyDescent="0.25">
      <c r="A2" s="2241" t="s">
        <v>77</v>
      </c>
      <c r="B2" s="2241"/>
      <c r="C2" s="2241"/>
      <c r="D2" s="2241"/>
      <c r="E2" s="2241"/>
      <c r="F2" s="2241"/>
      <c r="G2" s="2241"/>
      <c r="H2" s="2241"/>
      <c r="I2" s="2241"/>
      <c r="J2" s="2241"/>
      <c r="K2" s="2241"/>
      <c r="L2" s="2241"/>
      <c r="M2" s="2241"/>
      <c r="N2" s="2241"/>
      <c r="O2" s="2241"/>
      <c r="P2" s="2241"/>
      <c r="Q2" s="2241"/>
      <c r="R2" s="2241"/>
      <c r="S2" s="2241"/>
      <c r="T2" s="2241"/>
      <c r="U2" s="2241"/>
      <c r="V2" s="2241"/>
      <c r="W2" s="2241"/>
      <c r="X2" s="2241"/>
      <c r="Y2" s="2241"/>
    </row>
    <row r="3" spans="1:25" ht="21" customHeight="1" x14ac:dyDescent="0.25">
      <c r="A3" s="212"/>
      <c r="B3" s="212"/>
      <c r="C3" s="212"/>
      <c r="D3" s="212"/>
      <c r="E3" s="212"/>
      <c r="F3" s="212"/>
      <c r="G3" s="212"/>
      <c r="H3" s="212"/>
      <c r="I3" s="212"/>
      <c r="J3" s="212"/>
      <c r="K3" s="212"/>
      <c r="L3" s="212"/>
      <c r="M3" s="212"/>
      <c r="N3" s="212"/>
      <c r="O3" s="212"/>
      <c r="P3" s="212"/>
      <c r="Q3" s="212"/>
      <c r="R3" s="212"/>
      <c r="S3" s="212"/>
      <c r="T3" s="2242" t="s">
        <v>235</v>
      </c>
      <c r="U3" s="2242"/>
      <c r="V3" s="2242"/>
      <c r="W3" s="2242"/>
      <c r="X3" s="2242"/>
      <c r="Y3" s="2242"/>
    </row>
    <row r="4" spans="1:25" s="212" customFormat="1" ht="18" customHeight="1" x14ac:dyDescent="0.25">
      <c r="A4" s="2243" t="s">
        <v>25</v>
      </c>
      <c r="B4" s="2243" t="s">
        <v>26</v>
      </c>
      <c r="C4" s="2244" t="s">
        <v>27</v>
      </c>
      <c r="D4" s="2244"/>
      <c r="E4" s="2244" t="s">
        <v>28</v>
      </c>
      <c r="F4" s="2244"/>
      <c r="G4" s="2244" t="s">
        <v>65</v>
      </c>
      <c r="H4" s="2244"/>
      <c r="I4" s="2244" t="s">
        <v>29</v>
      </c>
      <c r="J4" s="2244"/>
      <c r="K4" s="2245" t="s">
        <v>13</v>
      </c>
      <c r="L4" s="2246"/>
      <c r="M4" s="2245" t="s">
        <v>67</v>
      </c>
      <c r="N4" s="2246"/>
      <c r="O4" s="2245" t="s">
        <v>68</v>
      </c>
      <c r="P4" s="2246"/>
      <c r="Q4" s="2245" t="s">
        <v>114</v>
      </c>
      <c r="R4" s="2246"/>
      <c r="S4" s="2244" t="s">
        <v>35</v>
      </c>
      <c r="T4" s="2244"/>
      <c r="U4" s="2245" t="s">
        <v>17</v>
      </c>
      <c r="V4" s="2246"/>
      <c r="W4" s="2247" t="s">
        <v>36</v>
      </c>
      <c r="X4" s="2248"/>
      <c r="Y4" s="2238" t="s">
        <v>30</v>
      </c>
    </row>
    <row r="5" spans="1:25" s="212" customFormat="1" ht="25.5" customHeight="1" x14ac:dyDescent="0.25">
      <c r="A5" s="2243"/>
      <c r="B5" s="2243"/>
      <c r="C5" s="214" t="s">
        <v>42</v>
      </c>
      <c r="D5" s="214" t="s">
        <v>43</v>
      </c>
      <c r="E5" s="214" t="s">
        <v>42</v>
      </c>
      <c r="F5" s="214" t="s">
        <v>43</v>
      </c>
      <c r="G5" s="214" t="s">
        <v>42</v>
      </c>
      <c r="H5" s="214" t="s">
        <v>43</v>
      </c>
      <c r="I5" s="214" t="s">
        <v>42</v>
      </c>
      <c r="J5" s="214" t="s">
        <v>43</v>
      </c>
      <c r="K5" s="214" t="s">
        <v>42</v>
      </c>
      <c r="L5" s="214" t="s">
        <v>43</v>
      </c>
      <c r="M5" s="214" t="s">
        <v>42</v>
      </c>
      <c r="N5" s="214" t="s">
        <v>43</v>
      </c>
      <c r="O5" s="214" t="s">
        <v>42</v>
      </c>
      <c r="P5" s="214" t="s">
        <v>43</v>
      </c>
      <c r="Q5" s="214" t="s">
        <v>42</v>
      </c>
      <c r="R5" s="214" t="s">
        <v>43</v>
      </c>
      <c r="S5" s="33" t="s">
        <v>42</v>
      </c>
      <c r="T5" s="33" t="s">
        <v>43</v>
      </c>
      <c r="U5" s="30" t="s">
        <v>42</v>
      </c>
      <c r="V5" s="30" t="s">
        <v>43</v>
      </c>
      <c r="W5" s="30" t="s">
        <v>42</v>
      </c>
      <c r="X5" s="30" t="s">
        <v>43</v>
      </c>
      <c r="Y5" s="2239"/>
    </row>
    <row r="6" spans="1:25" ht="34.5" customHeight="1" x14ac:dyDescent="0.25">
      <c r="A6" s="12">
        <v>1409935200</v>
      </c>
      <c r="B6" s="213" t="s">
        <v>71</v>
      </c>
      <c r="C6" s="216">
        <v>33195</v>
      </c>
      <c r="D6" s="217">
        <f>0.9725*C6</f>
        <v>32282.137500000001</v>
      </c>
      <c r="E6" s="216"/>
      <c r="F6" s="216">
        <f>13.7*E6</f>
        <v>0</v>
      </c>
      <c r="G6" s="216"/>
      <c r="H6" s="216">
        <f>28.2*G6</f>
        <v>0</v>
      </c>
      <c r="I6" s="216">
        <v>160</v>
      </c>
      <c r="J6" s="216">
        <f>18.5*I6</f>
        <v>2960</v>
      </c>
      <c r="K6" s="216"/>
      <c r="L6" s="216">
        <f>19.5*K6</f>
        <v>0</v>
      </c>
      <c r="M6" s="216"/>
      <c r="N6" s="217">
        <f>M6*9.75</f>
        <v>0</v>
      </c>
      <c r="O6" s="216"/>
      <c r="P6" s="217">
        <f>O6*48.62</f>
        <v>0</v>
      </c>
      <c r="Q6" s="217"/>
      <c r="R6" s="217">
        <f>241*Q6</f>
        <v>0</v>
      </c>
      <c r="S6" s="216"/>
      <c r="T6" s="216">
        <f>241*S6</f>
        <v>0</v>
      </c>
      <c r="U6" s="216"/>
      <c r="V6" s="216">
        <f>232*U6</f>
        <v>0</v>
      </c>
      <c r="W6" s="216"/>
      <c r="X6" s="19">
        <f>W6*100</f>
        <v>0</v>
      </c>
      <c r="Y6" s="89">
        <f t="shared" ref="Y6:Y11" si="0">D6+F6+H6+J6+L6+N6+P6+R6+T6+V6+X6</f>
        <v>35242.137499999997</v>
      </c>
    </row>
    <row r="7" spans="1:25" ht="31.5" customHeight="1" x14ac:dyDescent="0.25">
      <c r="A7" s="12">
        <v>1984225578</v>
      </c>
      <c r="B7" s="213" t="s">
        <v>72</v>
      </c>
      <c r="C7" s="216">
        <v>31169</v>
      </c>
      <c r="D7" s="217">
        <f t="shared" ref="D7:D11" si="1">0.9725*C7</f>
        <v>30311.852500000001</v>
      </c>
      <c r="E7" s="216"/>
      <c r="F7" s="216">
        <f t="shared" ref="F7:F11" si="2">13.7*E7</f>
        <v>0</v>
      </c>
      <c r="G7" s="216"/>
      <c r="H7" s="216">
        <f t="shared" ref="H7:H11" si="3">28.2*G7</f>
        <v>0</v>
      </c>
      <c r="I7" s="216">
        <v>180</v>
      </c>
      <c r="J7" s="216">
        <f t="shared" ref="J7:J11" si="4">18.5*I7</f>
        <v>3330</v>
      </c>
      <c r="K7" s="216"/>
      <c r="L7" s="216">
        <f t="shared" ref="L7:L11" si="5">19.5*K7</f>
        <v>0</v>
      </c>
      <c r="M7" s="216"/>
      <c r="N7" s="217">
        <f t="shared" ref="N7:N11" si="6">M7*9.75</f>
        <v>0</v>
      </c>
      <c r="O7" s="216"/>
      <c r="P7" s="217">
        <f t="shared" ref="P7:P11" si="7">O7*48.62</f>
        <v>0</v>
      </c>
      <c r="Q7" s="217"/>
      <c r="R7" s="217">
        <f t="shared" ref="R7:R11" si="8">241*Q7</f>
        <v>0</v>
      </c>
      <c r="S7" s="216"/>
      <c r="T7" s="216">
        <f t="shared" ref="T7:T11" si="9">241*S7</f>
        <v>0</v>
      </c>
      <c r="U7" s="216"/>
      <c r="V7" s="216">
        <f t="shared" ref="V7:V11" si="10">232*U7</f>
        <v>0</v>
      </c>
      <c r="W7" s="216"/>
      <c r="X7" s="19">
        <f t="shared" ref="X7:X11" si="11">W7*100</f>
        <v>0</v>
      </c>
      <c r="Y7" s="89">
        <f t="shared" si="0"/>
        <v>33641.852500000001</v>
      </c>
    </row>
    <row r="8" spans="1:25" ht="35.25" customHeight="1" x14ac:dyDescent="0.25">
      <c r="A8" s="12">
        <v>1967020280</v>
      </c>
      <c r="B8" s="213" t="s">
        <v>73</v>
      </c>
      <c r="C8" s="216">
        <v>39124</v>
      </c>
      <c r="D8" s="217">
        <f t="shared" si="1"/>
        <v>38048.090000000004</v>
      </c>
      <c r="E8" s="216"/>
      <c r="F8" s="216">
        <f t="shared" si="2"/>
        <v>0</v>
      </c>
      <c r="G8" s="216">
        <v>20</v>
      </c>
      <c r="H8" s="216">
        <f t="shared" si="3"/>
        <v>564</v>
      </c>
      <c r="I8" s="216">
        <v>620</v>
      </c>
      <c r="J8" s="216">
        <f t="shared" si="4"/>
        <v>11470</v>
      </c>
      <c r="K8" s="216"/>
      <c r="L8" s="216">
        <f t="shared" si="5"/>
        <v>0</v>
      </c>
      <c r="M8" s="216"/>
      <c r="N8" s="217">
        <f t="shared" si="6"/>
        <v>0</v>
      </c>
      <c r="O8" s="216"/>
      <c r="P8" s="217">
        <f t="shared" si="7"/>
        <v>0</v>
      </c>
      <c r="Q8" s="217"/>
      <c r="R8" s="217">
        <f t="shared" si="8"/>
        <v>0</v>
      </c>
      <c r="S8" s="216"/>
      <c r="T8" s="216">
        <f t="shared" si="9"/>
        <v>0</v>
      </c>
      <c r="U8" s="216"/>
      <c r="V8" s="216">
        <f t="shared" si="10"/>
        <v>0</v>
      </c>
      <c r="W8" s="216"/>
      <c r="X8" s="19">
        <f t="shared" si="11"/>
        <v>0</v>
      </c>
      <c r="Y8" s="89">
        <f t="shared" si="0"/>
        <v>50082.090000000004</v>
      </c>
    </row>
    <row r="9" spans="1:25" ht="38.25" customHeight="1" x14ac:dyDescent="0.25">
      <c r="A9" s="12">
        <v>1409935199</v>
      </c>
      <c r="B9" s="213" t="s">
        <v>75</v>
      </c>
      <c r="C9" s="216">
        <v>17477</v>
      </c>
      <c r="D9" s="217">
        <f t="shared" si="1"/>
        <v>16996.3825</v>
      </c>
      <c r="E9" s="216"/>
      <c r="F9" s="216">
        <f t="shared" si="2"/>
        <v>0</v>
      </c>
      <c r="G9" s="216"/>
      <c r="H9" s="216">
        <f t="shared" si="3"/>
        <v>0</v>
      </c>
      <c r="I9" s="216">
        <v>100</v>
      </c>
      <c r="J9" s="216">
        <f t="shared" si="4"/>
        <v>1850</v>
      </c>
      <c r="K9" s="216"/>
      <c r="L9" s="216">
        <f t="shared" si="5"/>
        <v>0</v>
      </c>
      <c r="M9" s="216"/>
      <c r="N9" s="217">
        <f t="shared" si="6"/>
        <v>0</v>
      </c>
      <c r="O9" s="216"/>
      <c r="P9" s="217">
        <f t="shared" si="7"/>
        <v>0</v>
      </c>
      <c r="Q9" s="217"/>
      <c r="R9" s="217">
        <f t="shared" si="8"/>
        <v>0</v>
      </c>
      <c r="S9" s="216"/>
      <c r="T9" s="216">
        <f t="shared" si="9"/>
        <v>0</v>
      </c>
      <c r="U9" s="216"/>
      <c r="V9" s="216">
        <f t="shared" si="10"/>
        <v>0</v>
      </c>
      <c r="W9" s="216"/>
      <c r="X9" s="19">
        <f t="shared" si="11"/>
        <v>0</v>
      </c>
      <c r="Y9" s="89">
        <f t="shared" si="0"/>
        <v>18846.3825</v>
      </c>
    </row>
    <row r="10" spans="1:25" ht="35.25" customHeight="1" x14ac:dyDescent="0.25">
      <c r="A10" s="12">
        <v>1984225580</v>
      </c>
      <c r="C10" s="216"/>
      <c r="D10" s="217">
        <f t="shared" si="1"/>
        <v>0</v>
      </c>
      <c r="E10" s="216"/>
      <c r="F10" s="216">
        <f t="shared" si="2"/>
        <v>0</v>
      </c>
      <c r="G10" s="216"/>
      <c r="H10" s="216">
        <f t="shared" si="3"/>
        <v>0</v>
      </c>
      <c r="I10" s="216"/>
      <c r="J10" s="216">
        <f t="shared" si="4"/>
        <v>0</v>
      </c>
      <c r="K10" s="216"/>
      <c r="L10" s="216">
        <f t="shared" si="5"/>
        <v>0</v>
      </c>
      <c r="M10" s="216"/>
      <c r="N10" s="217">
        <f t="shared" si="6"/>
        <v>0</v>
      </c>
      <c r="O10" s="216"/>
      <c r="P10" s="217">
        <f t="shared" si="7"/>
        <v>0</v>
      </c>
      <c r="Q10" s="217"/>
      <c r="R10" s="217">
        <f t="shared" si="8"/>
        <v>0</v>
      </c>
      <c r="S10" s="216"/>
      <c r="T10" s="216">
        <f t="shared" si="9"/>
        <v>0</v>
      </c>
      <c r="U10" s="216"/>
      <c r="V10" s="216">
        <f t="shared" si="10"/>
        <v>0</v>
      </c>
      <c r="W10" s="216"/>
      <c r="X10" s="19">
        <f t="shared" si="11"/>
        <v>0</v>
      </c>
      <c r="Y10" s="89">
        <f t="shared" si="0"/>
        <v>0</v>
      </c>
    </row>
    <row r="11" spans="1:25" ht="37.5" customHeight="1" x14ac:dyDescent="0.25">
      <c r="A11" s="12"/>
      <c r="B11" s="215"/>
      <c r="C11" s="216"/>
      <c r="D11" s="22">
        <f t="shared" si="1"/>
        <v>0</v>
      </c>
      <c r="E11" s="216"/>
      <c r="F11" s="216">
        <f t="shared" si="2"/>
        <v>0</v>
      </c>
      <c r="G11" s="216"/>
      <c r="H11" s="216">
        <f t="shared" si="3"/>
        <v>0</v>
      </c>
      <c r="I11" s="216"/>
      <c r="J11" s="216">
        <f t="shared" si="4"/>
        <v>0</v>
      </c>
      <c r="K11" s="216"/>
      <c r="L11" s="216">
        <f t="shared" si="5"/>
        <v>0</v>
      </c>
      <c r="M11" s="216"/>
      <c r="N11" s="217">
        <f t="shared" si="6"/>
        <v>0</v>
      </c>
      <c r="O11" s="216"/>
      <c r="P11" s="217">
        <f t="shared" si="7"/>
        <v>0</v>
      </c>
      <c r="Q11" s="217"/>
      <c r="R11" s="217">
        <f t="shared" si="8"/>
        <v>0</v>
      </c>
      <c r="S11" s="216"/>
      <c r="T11" s="216">
        <f t="shared" si="9"/>
        <v>0</v>
      </c>
      <c r="U11" s="216"/>
      <c r="V11" s="216">
        <f t="shared" si="10"/>
        <v>0</v>
      </c>
      <c r="W11" s="216"/>
      <c r="X11" s="19">
        <f t="shared" si="11"/>
        <v>0</v>
      </c>
      <c r="Y11" s="20">
        <f t="shared" si="0"/>
        <v>0</v>
      </c>
    </row>
    <row r="12" spans="1:25" ht="29.25" customHeight="1" x14ac:dyDescent="0.25">
      <c r="A12" s="2235" t="s">
        <v>31</v>
      </c>
      <c r="B12" s="2235"/>
      <c r="C12" s="18">
        <f t="shared" ref="C12:Y12" si="12">SUM(C6:C11)</f>
        <v>120965</v>
      </c>
      <c r="D12" s="18">
        <f t="shared" si="12"/>
        <v>117638.46250000002</v>
      </c>
      <c r="E12" s="18">
        <f t="shared" si="12"/>
        <v>0</v>
      </c>
      <c r="F12" s="18">
        <f t="shared" si="12"/>
        <v>0</v>
      </c>
      <c r="G12" s="18">
        <f t="shared" si="12"/>
        <v>20</v>
      </c>
      <c r="H12" s="18">
        <f t="shared" si="12"/>
        <v>564</v>
      </c>
      <c r="I12" s="18">
        <f t="shared" si="12"/>
        <v>1060</v>
      </c>
      <c r="J12" s="18">
        <f t="shared" si="12"/>
        <v>19610</v>
      </c>
      <c r="K12" s="18">
        <f t="shared" si="12"/>
        <v>0</v>
      </c>
      <c r="L12" s="18">
        <f t="shared" si="12"/>
        <v>0</v>
      </c>
      <c r="M12" s="18">
        <f t="shared" si="12"/>
        <v>0</v>
      </c>
      <c r="N12" s="23">
        <f t="shared" si="12"/>
        <v>0</v>
      </c>
      <c r="O12" s="18">
        <f t="shared" si="12"/>
        <v>0</v>
      </c>
      <c r="P12" s="23">
        <f t="shared" si="12"/>
        <v>0</v>
      </c>
      <c r="Q12" s="23">
        <f t="shared" si="12"/>
        <v>0</v>
      </c>
      <c r="R12" s="23">
        <f>SUM(R6:R11)</f>
        <v>0</v>
      </c>
      <c r="S12" s="18">
        <f t="shared" si="12"/>
        <v>0</v>
      </c>
      <c r="T12" s="18">
        <f t="shared" si="12"/>
        <v>0</v>
      </c>
      <c r="U12" s="18">
        <f t="shared" si="12"/>
        <v>0</v>
      </c>
      <c r="V12" s="18">
        <f t="shared" si="12"/>
        <v>0</v>
      </c>
      <c r="W12" s="18">
        <f t="shared" si="12"/>
        <v>0</v>
      </c>
      <c r="X12" s="18">
        <f t="shared" si="12"/>
        <v>0</v>
      </c>
      <c r="Y12" s="18">
        <f t="shared" si="12"/>
        <v>137812.46249999999</v>
      </c>
    </row>
    <row r="14" spans="1:25" ht="41.25" customHeight="1" x14ac:dyDescent="0.25">
      <c r="A14" s="30" t="s">
        <v>32</v>
      </c>
      <c r="B14" s="2236" t="s">
        <v>27</v>
      </c>
      <c r="C14" s="2236"/>
      <c r="D14" s="30" t="s">
        <v>33</v>
      </c>
      <c r="E14" s="30" t="s">
        <v>65</v>
      </c>
      <c r="F14" s="30" t="s">
        <v>34</v>
      </c>
      <c r="G14" s="30" t="s">
        <v>13</v>
      </c>
      <c r="H14" s="142" t="s">
        <v>173</v>
      </c>
      <c r="I14" s="30" t="s">
        <v>17</v>
      </c>
      <c r="J14" s="221" t="s">
        <v>174</v>
      </c>
      <c r="K14" s="30" t="s">
        <v>36</v>
      </c>
      <c r="L14" s="30" t="s">
        <v>175</v>
      </c>
      <c r="M14" s="30" t="s">
        <v>69</v>
      </c>
      <c r="N14" s="30" t="s">
        <v>70</v>
      </c>
      <c r="O14" s="221" t="s">
        <v>114</v>
      </c>
      <c r="P14" s="221" t="s">
        <v>99</v>
      </c>
      <c r="Q14" s="2272" t="s">
        <v>228</v>
      </c>
      <c r="R14" s="2272"/>
      <c r="S14" s="221"/>
      <c r="T14" s="2235" t="s">
        <v>46</v>
      </c>
      <c r="U14" s="213" t="s">
        <v>176</v>
      </c>
      <c r="V14" s="2260">
        <v>25962</v>
      </c>
      <c r="W14" s="2268"/>
      <c r="X14" s="2261"/>
    </row>
    <row r="15" spans="1:25" ht="22.5" customHeight="1" x14ac:dyDescent="0.25">
      <c r="A15" s="100" t="s">
        <v>38</v>
      </c>
      <c r="B15" s="2260">
        <v>255984</v>
      </c>
      <c r="C15" s="2261"/>
      <c r="D15" s="218">
        <v>0</v>
      </c>
      <c r="E15" s="218">
        <v>1070</v>
      </c>
      <c r="F15" s="218">
        <v>7720</v>
      </c>
      <c r="G15" s="218">
        <v>0</v>
      </c>
      <c r="H15" s="218">
        <v>452</v>
      </c>
      <c r="I15" s="218">
        <v>12</v>
      </c>
      <c r="J15" s="218">
        <v>100</v>
      </c>
      <c r="K15" s="218">
        <v>50</v>
      </c>
      <c r="L15" s="218">
        <v>704</v>
      </c>
      <c r="M15" s="218">
        <v>0</v>
      </c>
      <c r="N15" s="218">
        <v>100</v>
      </c>
      <c r="O15" s="218">
        <v>0</v>
      </c>
      <c r="P15" s="218">
        <v>417</v>
      </c>
      <c r="Q15" s="2262">
        <v>19</v>
      </c>
      <c r="R15" s="2262"/>
      <c r="S15" s="213">
        <v>0</v>
      </c>
      <c r="T15" s="2235"/>
      <c r="U15" s="213" t="s">
        <v>64</v>
      </c>
      <c r="V15" s="2262">
        <v>47972</v>
      </c>
      <c r="W15" s="2262"/>
      <c r="X15" s="2262"/>
    </row>
    <row r="16" spans="1:25" ht="24.75" customHeight="1" x14ac:dyDescent="0.25">
      <c r="A16" s="100" t="s">
        <v>39</v>
      </c>
      <c r="B16" s="2260">
        <v>103896</v>
      </c>
      <c r="C16" s="2261"/>
      <c r="D16" s="218"/>
      <c r="E16" s="218"/>
      <c r="F16" s="218"/>
      <c r="G16" s="218"/>
      <c r="H16" s="218"/>
      <c r="I16" s="218"/>
      <c r="J16" s="218"/>
      <c r="K16" s="218"/>
      <c r="L16" s="218">
        <v>125</v>
      </c>
      <c r="M16" s="218"/>
      <c r="N16" s="218"/>
      <c r="O16" s="218"/>
      <c r="P16" s="218"/>
      <c r="Q16" s="2225"/>
      <c r="R16" s="2225"/>
      <c r="S16" s="218"/>
      <c r="T16" s="2254" t="s">
        <v>55</v>
      </c>
      <c r="U16" s="2254"/>
      <c r="V16" s="2267">
        <f>Y12</f>
        <v>137812.46249999999</v>
      </c>
      <c r="W16" s="2267"/>
      <c r="X16" s="2262"/>
    </row>
    <row r="17" spans="1:25" ht="28.5" customHeight="1" x14ac:dyDescent="0.25">
      <c r="A17" s="101" t="s">
        <v>44</v>
      </c>
      <c r="B17" s="2260"/>
      <c r="C17" s="2261"/>
      <c r="D17" s="218"/>
      <c r="E17" s="218"/>
      <c r="F17" s="218"/>
      <c r="G17" s="218"/>
      <c r="H17" s="218"/>
      <c r="I17" s="218"/>
      <c r="J17" s="218"/>
      <c r="K17" s="218"/>
      <c r="L17" s="218"/>
      <c r="M17" s="218"/>
      <c r="N17" s="218"/>
      <c r="O17" s="218"/>
      <c r="P17" s="218"/>
      <c r="Q17" s="2225"/>
      <c r="R17" s="2225"/>
      <c r="S17" s="215"/>
      <c r="T17" s="2273" t="s">
        <v>211</v>
      </c>
      <c r="U17" s="2274"/>
      <c r="V17" s="2262"/>
      <c r="W17" s="2262"/>
      <c r="X17" s="2262"/>
    </row>
    <row r="18" spans="1:25" ht="27" customHeight="1" x14ac:dyDescent="0.25">
      <c r="A18" s="100" t="s">
        <v>40</v>
      </c>
      <c r="B18" s="2264">
        <f>C12</f>
        <v>120965</v>
      </c>
      <c r="C18" s="2261"/>
      <c r="D18" s="219">
        <f>E12</f>
        <v>0</v>
      </c>
      <c r="E18" s="219">
        <f>G12</f>
        <v>20</v>
      </c>
      <c r="F18" s="219">
        <f>I12</f>
        <v>1060</v>
      </c>
      <c r="G18" s="219">
        <f>K12</f>
        <v>0</v>
      </c>
      <c r="H18" s="218">
        <v>125</v>
      </c>
      <c r="I18" s="219">
        <f>U12</f>
        <v>0</v>
      </c>
      <c r="J18" s="218"/>
      <c r="K18" s="219">
        <f>W12</f>
        <v>0</v>
      </c>
      <c r="L18" s="218"/>
      <c r="M18" s="219">
        <f>M12</f>
        <v>0</v>
      </c>
      <c r="N18" s="219">
        <f>O12</f>
        <v>0</v>
      </c>
      <c r="O18" s="220">
        <f>Q12</f>
        <v>0</v>
      </c>
      <c r="P18" s="218"/>
      <c r="Q18" s="2262"/>
      <c r="R18" s="2262"/>
      <c r="S18" s="213"/>
      <c r="T18" s="2254" t="s">
        <v>57</v>
      </c>
      <c r="U18" s="2254"/>
      <c r="V18" s="2262">
        <f>450+6250</f>
        <v>6700</v>
      </c>
      <c r="W18" s="2262"/>
      <c r="X18" s="2262"/>
      <c r="Y18" s="2269" t="s">
        <v>231</v>
      </c>
    </row>
    <row r="19" spans="1:25" ht="25.5" customHeight="1" x14ac:dyDescent="0.25">
      <c r="A19" s="100" t="s">
        <v>41</v>
      </c>
      <c r="B19" s="2260">
        <f>B15+B16+B17-B18</f>
        <v>238915</v>
      </c>
      <c r="C19" s="2261"/>
      <c r="D19" s="218">
        <f>D15+D16+D17-D18</f>
        <v>0</v>
      </c>
      <c r="E19" s="218">
        <f t="shared" ref="E19:N19" si="13">E15+E16+E17-E18</f>
        <v>1050</v>
      </c>
      <c r="F19" s="218">
        <f t="shared" si="13"/>
        <v>6660</v>
      </c>
      <c r="G19" s="218">
        <f t="shared" si="13"/>
        <v>0</v>
      </c>
      <c r="H19" s="218">
        <f t="shared" si="13"/>
        <v>327</v>
      </c>
      <c r="I19" s="218">
        <f t="shared" si="13"/>
        <v>12</v>
      </c>
      <c r="J19" s="218">
        <f t="shared" si="13"/>
        <v>100</v>
      </c>
      <c r="K19" s="218">
        <f t="shared" si="13"/>
        <v>50</v>
      </c>
      <c r="L19" s="218">
        <f t="shared" si="13"/>
        <v>829</v>
      </c>
      <c r="M19" s="218">
        <f t="shared" si="13"/>
        <v>0</v>
      </c>
      <c r="N19" s="218">
        <f t="shared" si="13"/>
        <v>100</v>
      </c>
      <c r="O19" s="218">
        <f>O15+O16+O17-O18</f>
        <v>0</v>
      </c>
      <c r="P19" s="218">
        <f>P15+P16+P17-P18</f>
        <v>417</v>
      </c>
      <c r="Q19" s="2260">
        <f t="shared" ref="Q19" si="14">Q15+Q16+Q17-Q18</f>
        <v>19</v>
      </c>
      <c r="R19" s="2261"/>
      <c r="S19" s="213">
        <f>S15+S16-S17-S18</f>
        <v>0</v>
      </c>
      <c r="T19" s="2256" t="s">
        <v>48</v>
      </c>
      <c r="U19" s="49" t="s">
        <v>58</v>
      </c>
      <c r="V19" s="2262">
        <v>100000</v>
      </c>
      <c r="W19" s="2262"/>
      <c r="X19" s="2262"/>
      <c r="Y19" s="2269"/>
    </row>
    <row r="20" spans="1:25" ht="23.25" customHeight="1" x14ac:dyDescent="0.25">
      <c r="A20" s="210" t="s">
        <v>187</v>
      </c>
      <c r="B20" s="2284">
        <f>B19*0.9625</f>
        <v>229955.6875</v>
      </c>
      <c r="C20" s="2285"/>
      <c r="D20" s="211">
        <f>D19*13.56</f>
        <v>0</v>
      </c>
      <c r="E20" s="211">
        <f>28.2*E19</f>
        <v>29610</v>
      </c>
      <c r="F20" s="211">
        <f>18.31*F19</f>
        <v>121944.59999999999</v>
      </c>
      <c r="G20" s="211">
        <f>19.3*G19</f>
        <v>0</v>
      </c>
      <c r="H20" s="211">
        <f>241*H19</f>
        <v>78807</v>
      </c>
      <c r="I20" s="211">
        <f>223*I19</f>
        <v>2676</v>
      </c>
      <c r="J20" s="211">
        <f>241*J19</f>
        <v>24100</v>
      </c>
      <c r="K20" s="211">
        <f>K19*100</f>
        <v>5000</v>
      </c>
      <c r="L20" s="211">
        <f>241*L19</f>
        <v>199789</v>
      </c>
      <c r="M20" s="211">
        <f>9.65*M19</f>
        <v>0</v>
      </c>
      <c r="N20" s="211">
        <f>N19*48.2</f>
        <v>4820</v>
      </c>
      <c r="O20" s="211">
        <f>241*O19</f>
        <v>0</v>
      </c>
      <c r="P20" s="211">
        <f>241*P19</f>
        <v>100497</v>
      </c>
      <c r="Q20" s="2284">
        <f>241*Q19</f>
        <v>4579</v>
      </c>
      <c r="R20" s="2285"/>
      <c r="S20" s="211">
        <f>241*S19</f>
        <v>0</v>
      </c>
      <c r="T20" s="2257"/>
      <c r="U20" s="49" t="s">
        <v>59</v>
      </c>
      <c r="V20" s="2262"/>
      <c r="W20" s="2262"/>
      <c r="X20" s="2262"/>
      <c r="Y20" s="2269"/>
    </row>
    <row r="21" spans="1:25" ht="32.25" customHeight="1" x14ac:dyDescent="0.25">
      <c r="A21" s="143" t="s">
        <v>186</v>
      </c>
      <c r="B21" s="2283">
        <f>SUM(B20:S20)</f>
        <v>801778.28749999998</v>
      </c>
      <c r="C21" s="2283"/>
      <c r="O21" s="222"/>
      <c r="P21" s="222"/>
      <c r="Q21" s="222"/>
      <c r="R21" s="222"/>
      <c r="T21" s="2273" t="s">
        <v>167</v>
      </c>
      <c r="U21" s="2274"/>
      <c r="V21" s="2260"/>
      <c r="W21" s="2268"/>
      <c r="X21" s="2261"/>
      <c r="Y21" s="2269"/>
    </row>
    <row r="22" spans="1:25" ht="35.25" customHeight="1" x14ac:dyDescent="0.25">
      <c r="A22" s="15"/>
      <c r="B22" s="2275" t="s">
        <v>49</v>
      </c>
      <c r="C22" s="2265">
        <v>711316</v>
      </c>
      <c r="D22" s="2265">
        <v>100000</v>
      </c>
      <c r="E22" s="2265">
        <v>100000</v>
      </c>
      <c r="F22" s="2265">
        <f>C22-D22+E22</f>
        <v>711316</v>
      </c>
      <c r="G22" s="222"/>
      <c r="Q22" s="222"/>
      <c r="R22" s="222"/>
      <c r="T22" s="2251" t="s">
        <v>83</v>
      </c>
      <c r="U22" s="50" t="s">
        <v>60</v>
      </c>
      <c r="V22" s="2262">
        <v>135970</v>
      </c>
      <c r="W22" s="2262"/>
      <c r="X22" s="2262"/>
      <c r="Y22" s="2269"/>
    </row>
    <row r="23" spans="1:25" ht="39.75" customHeight="1" x14ac:dyDescent="0.25">
      <c r="A23" s="222"/>
      <c r="B23" s="2276"/>
      <c r="C23" s="2266"/>
      <c r="D23" s="2266"/>
      <c r="E23" s="2266"/>
      <c r="F23" s="2266"/>
      <c r="G23" s="222"/>
      <c r="Q23" s="222"/>
      <c r="R23" s="222"/>
      <c r="T23" s="2252"/>
      <c r="U23" s="50" t="s">
        <v>61</v>
      </c>
      <c r="V23" s="2262">
        <v>100000</v>
      </c>
      <c r="W23" s="2262"/>
      <c r="X23" s="2262"/>
      <c r="Y23" s="2269"/>
    </row>
    <row r="24" spans="1:25" ht="48" customHeight="1" x14ac:dyDescent="0.25">
      <c r="A24" s="222"/>
      <c r="B24" s="2277"/>
      <c r="C24" s="213" t="s">
        <v>46</v>
      </c>
      <c r="D24" s="213" t="s">
        <v>50</v>
      </c>
      <c r="E24" s="213" t="s">
        <v>51</v>
      </c>
      <c r="F24" s="213" t="s">
        <v>52</v>
      </c>
      <c r="G24" s="222"/>
      <c r="Q24" s="222"/>
      <c r="R24" s="222"/>
      <c r="T24" s="2235" t="s">
        <v>47</v>
      </c>
      <c r="U24" s="51" t="s">
        <v>62</v>
      </c>
      <c r="V24" s="2263">
        <f>V14+V16+V17-V18-V19-V20-V22+V23-V21</f>
        <v>21104.462499999994</v>
      </c>
      <c r="W24" s="2263"/>
      <c r="X24" s="2263"/>
      <c r="Y24" s="2269"/>
    </row>
    <row r="25" spans="1:25" ht="40.5" customHeight="1" x14ac:dyDescent="0.25">
      <c r="T25" s="2235"/>
      <c r="U25" s="51" t="s">
        <v>63</v>
      </c>
      <c r="V25" s="2262">
        <f>V15+V22-V23</f>
        <v>83942</v>
      </c>
      <c r="W25" s="2262"/>
      <c r="X25" s="2262"/>
    </row>
    <row r="26" spans="1:25" ht="36" customHeight="1" x14ac:dyDescent="0.25"/>
    <row r="32" spans="1:25" x14ac:dyDescent="0.25">
      <c r="I32" s="2280"/>
      <c r="J32" s="2280"/>
      <c r="K32" s="2280"/>
      <c r="L32" s="2280"/>
    </row>
    <row r="33" spans="9:12" x14ac:dyDescent="0.25">
      <c r="I33" s="222"/>
      <c r="J33" s="222"/>
      <c r="K33" s="2280"/>
      <c r="L33" s="2280"/>
    </row>
  </sheetData>
  <mergeCells count="62">
    <mergeCell ref="I32:J32"/>
    <mergeCell ref="K32:L32"/>
    <mergeCell ref="K33:L33"/>
    <mergeCell ref="T22:T23"/>
    <mergeCell ref="V22:X22"/>
    <mergeCell ref="V23:X23"/>
    <mergeCell ref="T24:T25"/>
    <mergeCell ref="V24:X24"/>
    <mergeCell ref="V25:X25"/>
    <mergeCell ref="Y18:Y24"/>
    <mergeCell ref="B19:C19"/>
    <mergeCell ref="Q19:R19"/>
    <mergeCell ref="T19:T20"/>
    <mergeCell ref="V19:X19"/>
    <mergeCell ref="B20:C20"/>
    <mergeCell ref="B22:B24"/>
    <mergeCell ref="C22:C23"/>
    <mergeCell ref="D22:D23"/>
    <mergeCell ref="E22:E23"/>
    <mergeCell ref="F22:F23"/>
    <mergeCell ref="Q20:R20"/>
    <mergeCell ref="V20:X20"/>
    <mergeCell ref="B21:C21"/>
    <mergeCell ref="T21:U21"/>
    <mergeCell ref="V21:X21"/>
    <mergeCell ref="B17:C17"/>
    <mergeCell ref="Q17:R17"/>
    <mergeCell ref="T17:U17"/>
    <mergeCell ref="V17:X17"/>
    <mergeCell ref="B18:C18"/>
    <mergeCell ref="Q18:R18"/>
    <mergeCell ref="T18:U18"/>
    <mergeCell ref="V18:X18"/>
    <mergeCell ref="W4:X4"/>
    <mergeCell ref="B16:C16"/>
    <mergeCell ref="Q16:R16"/>
    <mergeCell ref="T16:U16"/>
    <mergeCell ref="V16:X16"/>
    <mergeCell ref="A12:B12"/>
    <mergeCell ref="B14:C14"/>
    <mergeCell ref="Q14:R14"/>
    <mergeCell ref="T14:T15"/>
    <mergeCell ref="V14:X14"/>
    <mergeCell ref="B15:C15"/>
    <mergeCell ref="Q15:R15"/>
    <mergeCell ref="V15:X15"/>
    <mergeCell ref="A1:Y1"/>
    <mergeCell ref="A2:Y2"/>
    <mergeCell ref="T3:Y3"/>
    <mergeCell ref="A4:A5"/>
    <mergeCell ref="B4:B5"/>
    <mergeCell ref="C4:D4"/>
    <mergeCell ref="E4:F4"/>
    <mergeCell ref="G4:H4"/>
    <mergeCell ref="I4:J4"/>
    <mergeCell ref="K4:L4"/>
    <mergeCell ref="Y4:Y5"/>
    <mergeCell ref="M4:N4"/>
    <mergeCell ref="O4:P4"/>
    <mergeCell ref="Q4:R4"/>
    <mergeCell ref="S4:T4"/>
    <mergeCell ref="U4:V4"/>
  </mergeCells>
  <pageMargins left="0.15748031496063" right="0.15748031496063" top="0" bottom="0" header="0" footer="0"/>
  <pageSetup paperSize="9" scale="47" orientation="landscape" r:id="rId1"/>
  <legacyDrawing r:id="rId2"/>
</worksheet>
</file>

<file path=xl/worksheets/sheet7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DAF1AC6-BEB2-4118-8123-8C156D16A955}">
  <sheetPr>
    <pageSetUpPr fitToPage="1"/>
  </sheetPr>
  <dimension ref="A1:Y33"/>
  <sheetViews>
    <sheetView topLeftCell="A10" zoomScale="71" zoomScaleNormal="71" zoomScaleSheetLayoutView="100" workbookViewId="0">
      <selection activeCell="K25" sqref="K25"/>
    </sheetView>
  </sheetViews>
  <sheetFormatPr defaultColWidth="9.140625" defaultRowHeight="15" x14ac:dyDescent="0.25"/>
  <cols>
    <col min="1" max="1" width="18.28515625" style="14" customWidth="1"/>
    <col min="2" max="2" width="10.7109375" style="14" customWidth="1"/>
    <col min="3" max="3" width="12.28515625" style="14" customWidth="1"/>
    <col min="4" max="4" width="11" style="14" customWidth="1"/>
    <col min="5" max="5" width="12" style="14" customWidth="1"/>
    <col min="6" max="6" width="12.5703125" style="14" bestFit="1" customWidth="1"/>
    <col min="7" max="7" width="9.28515625" style="14" bestFit="1" customWidth="1"/>
    <col min="8" max="8" width="10.140625" style="14" bestFit="1" customWidth="1"/>
    <col min="9" max="9" width="10.5703125" style="14" bestFit="1" customWidth="1"/>
    <col min="10" max="10" width="10.5703125" style="14" customWidth="1"/>
    <col min="11" max="11" width="10.28515625" style="14" bestFit="1" customWidth="1"/>
    <col min="12" max="12" width="10.42578125" style="14" bestFit="1" customWidth="1"/>
    <col min="13" max="13" width="9.85546875" style="14" bestFit="1" customWidth="1"/>
    <col min="14" max="14" width="10.140625" style="14" bestFit="1" customWidth="1"/>
    <col min="15" max="15" width="9" style="14" customWidth="1"/>
    <col min="16" max="16" width="12.85546875" style="14" bestFit="1" customWidth="1"/>
    <col min="17" max="18" width="9.42578125" style="14" customWidth="1"/>
    <col min="19" max="19" width="13.7109375" style="14" customWidth="1"/>
    <col min="20" max="20" width="12.140625" style="14" customWidth="1"/>
    <col min="21" max="21" width="19.5703125" style="14" bestFit="1" customWidth="1"/>
    <col min="22" max="22" width="9.85546875" style="14" customWidth="1"/>
    <col min="23" max="23" width="10.140625" style="14" bestFit="1" customWidth="1"/>
    <col min="24" max="24" width="10.28515625" style="14" customWidth="1"/>
    <col min="25" max="25" width="28" style="14" customWidth="1"/>
    <col min="26" max="16384" width="9.140625" style="14"/>
  </cols>
  <sheetData>
    <row r="1" spans="1:25" ht="46.15" customHeight="1" x14ac:dyDescent="0.25">
      <c r="A1" s="2240" t="s">
        <v>148</v>
      </c>
      <c r="B1" s="2240"/>
      <c r="C1" s="2240"/>
      <c r="D1" s="2240"/>
      <c r="E1" s="2240"/>
      <c r="F1" s="2240"/>
      <c r="G1" s="2240"/>
      <c r="H1" s="2240"/>
      <c r="I1" s="2240"/>
      <c r="J1" s="2240"/>
      <c r="K1" s="2240"/>
      <c r="L1" s="2240"/>
      <c r="M1" s="2240"/>
      <c r="N1" s="2240"/>
      <c r="O1" s="2240"/>
      <c r="P1" s="2240"/>
      <c r="Q1" s="2240"/>
      <c r="R1" s="2240"/>
      <c r="S1" s="2240"/>
      <c r="T1" s="2240"/>
      <c r="U1" s="2240"/>
      <c r="V1" s="2240"/>
      <c r="W1" s="2240"/>
      <c r="X1" s="2240"/>
      <c r="Y1" s="2240"/>
    </row>
    <row r="2" spans="1:25" ht="21.6" customHeight="1" x14ac:dyDescent="0.25">
      <c r="A2" s="2241" t="s">
        <v>77</v>
      </c>
      <c r="B2" s="2241"/>
      <c r="C2" s="2241"/>
      <c r="D2" s="2241"/>
      <c r="E2" s="2241"/>
      <c r="F2" s="2241"/>
      <c r="G2" s="2241"/>
      <c r="H2" s="2241"/>
      <c r="I2" s="2241"/>
      <c r="J2" s="2241"/>
      <c r="K2" s="2241"/>
      <c r="L2" s="2241"/>
      <c r="M2" s="2241"/>
      <c r="N2" s="2241"/>
      <c r="O2" s="2241"/>
      <c r="P2" s="2241"/>
      <c r="Q2" s="2241"/>
      <c r="R2" s="2241"/>
      <c r="S2" s="2241"/>
      <c r="T2" s="2241"/>
      <c r="U2" s="2241"/>
      <c r="V2" s="2241"/>
      <c r="W2" s="2241"/>
      <c r="X2" s="2241"/>
      <c r="Y2" s="2241"/>
    </row>
    <row r="3" spans="1:25" ht="21" customHeight="1" x14ac:dyDescent="0.25">
      <c r="A3" s="212"/>
      <c r="B3" s="212"/>
      <c r="C3" s="212"/>
      <c r="D3" s="212"/>
      <c r="E3" s="212"/>
      <c r="F3" s="212"/>
      <c r="G3" s="212"/>
      <c r="H3" s="212"/>
      <c r="I3" s="212"/>
      <c r="J3" s="212"/>
      <c r="K3" s="212"/>
      <c r="L3" s="212"/>
      <c r="M3" s="212"/>
      <c r="N3" s="212"/>
      <c r="O3" s="212"/>
      <c r="P3" s="212"/>
      <c r="Q3" s="212"/>
      <c r="R3" s="212"/>
      <c r="S3" s="212"/>
      <c r="T3" s="2242" t="s">
        <v>236</v>
      </c>
      <c r="U3" s="2242"/>
      <c r="V3" s="2242"/>
      <c r="W3" s="2242"/>
      <c r="X3" s="2242"/>
      <c r="Y3" s="2242"/>
    </row>
    <row r="4" spans="1:25" s="212" customFormat="1" ht="18" customHeight="1" x14ac:dyDescent="0.25">
      <c r="A4" s="2243" t="s">
        <v>25</v>
      </c>
      <c r="B4" s="2243" t="s">
        <v>26</v>
      </c>
      <c r="C4" s="2244" t="s">
        <v>27</v>
      </c>
      <c r="D4" s="2244"/>
      <c r="E4" s="2244" t="s">
        <v>28</v>
      </c>
      <c r="F4" s="2244"/>
      <c r="G4" s="2244" t="s">
        <v>65</v>
      </c>
      <c r="H4" s="2244"/>
      <c r="I4" s="2244" t="s">
        <v>29</v>
      </c>
      <c r="J4" s="2244"/>
      <c r="K4" s="2245" t="s">
        <v>13</v>
      </c>
      <c r="L4" s="2246"/>
      <c r="M4" s="2245" t="s">
        <v>67</v>
      </c>
      <c r="N4" s="2246"/>
      <c r="O4" s="2245" t="s">
        <v>68</v>
      </c>
      <c r="P4" s="2246"/>
      <c r="Q4" s="2245" t="s">
        <v>114</v>
      </c>
      <c r="R4" s="2246"/>
      <c r="S4" s="2244" t="s">
        <v>35</v>
      </c>
      <c r="T4" s="2244"/>
      <c r="U4" s="2245" t="s">
        <v>17</v>
      </c>
      <c r="V4" s="2246"/>
      <c r="W4" s="2247" t="s">
        <v>36</v>
      </c>
      <c r="X4" s="2248"/>
      <c r="Y4" s="2238" t="s">
        <v>30</v>
      </c>
    </row>
    <row r="5" spans="1:25" s="212" customFormat="1" ht="25.5" customHeight="1" x14ac:dyDescent="0.25">
      <c r="A5" s="2243"/>
      <c r="B5" s="2243"/>
      <c r="C5" s="214" t="s">
        <v>42</v>
      </c>
      <c r="D5" s="214" t="s">
        <v>43</v>
      </c>
      <c r="E5" s="214" t="s">
        <v>42</v>
      </c>
      <c r="F5" s="214" t="s">
        <v>43</v>
      </c>
      <c r="G5" s="214" t="s">
        <v>42</v>
      </c>
      <c r="H5" s="214" t="s">
        <v>43</v>
      </c>
      <c r="I5" s="214" t="s">
        <v>42</v>
      </c>
      <c r="J5" s="214" t="s">
        <v>43</v>
      </c>
      <c r="K5" s="214" t="s">
        <v>42</v>
      </c>
      <c r="L5" s="214" t="s">
        <v>43</v>
      </c>
      <c r="M5" s="214" t="s">
        <v>42</v>
      </c>
      <c r="N5" s="214" t="s">
        <v>43</v>
      </c>
      <c r="O5" s="214" t="s">
        <v>42</v>
      </c>
      <c r="P5" s="214" t="s">
        <v>43</v>
      </c>
      <c r="Q5" s="214" t="s">
        <v>42</v>
      </c>
      <c r="R5" s="214" t="s">
        <v>43</v>
      </c>
      <c r="S5" s="33" t="s">
        <v>42</v>
      </c>
      <c r="T5" s="33" t="s">
        <v>43</v>
      </c>
      <c r="U5" s="30" t="s">
        <v>42</v>
      </c>
      <c r="V5" s="30" t="s">
        <v>43</v>
      </c>
      <c r="W5" s="30" t="s">
        <v>42</v>
      </c>
      <c r="X5" s="30" t="s">
        <v>43</v>
      </c>
      <c r="Y5" s="2239"/>
    </row>
    <row r="6" spans="1:25" ht="34.5" customHeight="1" x14ac:dyDescent="0.25">
      <c r="A6" s="12">
        <v>1409935200</v>
      </c>
      <c r="B6" s="213" t="s">
        <v>71</v>
      </c>
      <c r="C6" s="216">
        <v>57668</v>
      </c>
      <c r="D6" s="217">
        <f>0.9725*C6</f>
        <v>56082.130000000005</v>
      </c>
      <c r="E6" s="216"/>
      <c r="F6" s="216">
        <f>13.7*E6</f>
        <v>0</v>
      </c>
      <c r="G6" s="216">
        <v>30</v>
      </c>
      <c r="H6" s="216">
        <f>28.2*G6</f>
        <v>846</v>
      </c>
      <c r="I6" s="216">
        <v>470</v>
      </c>
      <c r="J6" s="216">
        <f>18.5*I6</f>
        <v>8695</v>
      </c>
      <c r="K6" s="216"/>
      <c r="L6" s="216">
        <f>19.5*K6</f>
        <v>0</v>
      </c>
      <c r="M6" s="216"/>
      <c r="N6" s="217">
        <f>M6*9.75</f>
        <v>0</v>
      </c>
      <c r="O6" s="216"/>
      <c r="P6" s="217">
        <f>O6*48.62</f>
        <v>0</v>
      </c>
      <c r="Q6" s="217"/>
      <c r="R6" s="217">
        <f>241*Q6</f>
        <v>0</v>
      </c>
      <c r="S6" s="216"/>
      <c r="T6" s="216">
        <f>241*S6</f>
        <v>0</v>
      </c>
      <c r="U6" s="216"/>
      <c r="V6" s="216">
        <f>232*U6</f>
        <v>0</v>
      </c>
      <c r="W6" s="216"/>
      <c r="X6" s="19">
        <f>W6*100</f>
        <v>0</v>
      </c>
      <c r="Y6" s="89">
        <f t="shared" ref="Y6:Y11" si="0">D6+F6+H6+J6+L6+N6+P6+R6+T6+V6+X6</f>
        <v>65623.13</v>
      </c>
    </row>
    <row r="7" spans="1:25" ht="31.5" customHeight="1" x14ac:dyDescent="0.25">
      <c r="A7" s="12">
        <v>1984225578</v>
      </c>
      <c r="B7" s="213" t="s">
        <v>72</v>
      </c>
      <c r="C7" s="216">
        <v>37748</v>
      </c>
      <c r="D7" s="217">
        <f t="shared" ref="D7:D11" si="1">0.9725*C7</f>
        <v>36709.93</v>
      </c>
      <c r="E7" s="216"/>
      <c r="F7" s="216">
        <f t="shared" ref="F7:F11" si="2">13.7*E7</f>
        <v>0</v>
      </c>
      <c r="G7" s="216">
        <v>60</v>
      </c>
      <c r="H7" s="216">
        <f t="shared" ref="H7:H11" si="3">28.2*G7</f>
        <v>1692</v>
      </c>
      <c r="I7" s="216">
        <v>480</v>
      </c>
      <c r="J7" s="216">
        <f t="shared" ref="J7:J11" si="4">18.5*I7</f>
        <v>8880</v>
      </c>
      <c r="K7" s="216"/>
      <c r="L7" s="216">
        <f t="shared" ref="L7:L11" si="5">19.5*K7</f>
        <v>0</v>
      </c>
      <c r="M7" s="216"/>
      <c r="N7" s="217">
        <f t="shared" ref="N7:N11" si="6">M7*9.75</f>
        <v>0</v>
      </c>
      <c r="O7" s="216"/>
      <c r="P7" s="217">
        <f t="shared" ref="P7:P11" si="7">O7*48.62</f>
        <v>0</v>
      </c>
      <c r="Q7" s="217"/>
      <c r="R7" s="217">
        <f t="shared" ref="R7:R11" si="8">241*Q7</f>
        <v>0</v>
      </c>
      <c r="S7" s="216"/>
      <c r="T7" s="216">
        <f t="shared" ref="T7:T11" si="9">241*S7</f>
        <v>0</v>
      </c>
      <c r="U7" s="216"/>
      <c r="V7" s="216">
        <f t="shared" ref="V7:V11" si="10">232*U7</f>
        <v>0</v>
      </c>
      <c r="W7" s="216"/>
      <c r="X7" s="19">
        <f t="shared" ref="X7:X11" si="11">W7*100</f>
        <v>0</v>
      </c>
      <c r="Y7" s="89">
        <f t="shared" si="0"/>
        <v>47281.93</v>
      </c>
    </row>
    <row r="8" spans="1:25" ht="35.25" customHeight="1" x14ac:dyDescent="0.25">
      <c r="A8" s="12">
        <v>1967020280</v>
      </c>
      <c r="B8" s="213" t="s">
        <v>73</v>
      </c>
      <c r="C8" s="216">
        <v>26820</v>
      </c>
      <c r="D8" s="217">
        <f t="shared" si="1"/>
        <v>26082.45</v>
      </c>
      <c r="E8" s="216"/>
      <c r="F8" s="216">
        <f t="shared" si="2"/>
        <v>0</v>
      </c>
      <c r="G8" s="216"/>
      <c r="H8" s="216">
        <f t="shared" si="3"/>
        <v>0</v>
      </c>
      <c r="I8" s="216">
        <v>1000</v>
      </c>
      <c r="J8" s="216">
        <f t="shared" si="4"/>
        <v>18500</v>
      </c>
      <c r="K8" s="216"/>
      <c r="L8" s="216">
        <f t="shared" si="5"/>
        <v>0</v>
      </c>
      <c r="M8" s="216"/>
      <c r="N8" s="217">
        <f t="shared" si="6"/>
        <v>0</v>
      </c>
      <c r="O8" s="216"/>
      <c r="P8" s="217">
        <f t="shared" si="7"/>
        <v>0</v>
      </c>
      <c r="Q8" s="217"/>
      <c r="R8" s="217">
        <f t="shared" si="8"/>
        <v>0</v>
      </c>
      <c r="S8" s="216"/>
      <c r="T8" s="216">
        <f t="shared" si="9"/>
        <v>0</v>
      </c>
      <c r="U8" s="216"/>
      <c r="V8" s="216">
        <f t="shared" si="10"/>
        <v>0</v>
      </c>
      <c r="W8" s="216"/>
      <c r="X8" s="19">
        <f t="shared" si="11"/>
        <v>0</v>
      </c>
      <c r="Y8" s="89">
        <f t="shared" si="0"/>
        <v>44582.45</v>
      </c>
    </row>
    <row r="9" spans="1:25" ht="38.25" customHeight="1" x14ac:dyDescent="0.25">
      <c r="A9" s="12">
        <v>1409935199</v>
      </c>
      <c r="B9" s="213" t="s">
        <v>75</v>
      </c>
      <c r="C9" s="216">
        <v>11223</v>
      </c>
      <c r="D9" s="217">
        <f t="shared" si="1"/>
        <v>10914.3675</v>
      </c>
      <c r="E9" s="216"/>
      <c r="F9" s="216">
        <f t="shared" si="2"/>
        <v>0</v>
      </c>
      <c r="G9" s="216">
        <v>150</v>
      </c>
      <c r="H9" s="216">
        <f t="shared" si="3"/>
        <v>4230</v>
      </c>
      <c r="I9" s="216">
        <v>270</v>
      </c>
      <c r="J9" s="216">
        <f t="shared" si="4"/>
        <v>4995</v>
      </c>
      <c r="K9" s="216"/>
      <c r="L9" s="216">
        <f t="shared" si="5"/>
        <v>0</v>
      </c>
      <c r="M9" s="216"/>
      <c r="N9" s="217">
        <f t="shared" si="6"/>
        <v>0</v>
      </c>
      <c r="O9" s="216"/>
      <c r="P9" s="217">
        <f t="shared" si="7"/>
        <v>0</v>
      </c>
      <c r="Q9" s="217"/>
      <c r="R9" s="217">
        <f t="shared" si="8"/>
        <v>0</v>
      </c>
      <c r="S9" s="216"/>
      <c r="T9" s="216">
        <f t="shared" si="9"/>
        <v>0</v>
      </c>
      <c r="U9" s="216"/>
      <c r="V9" s="216">
        <f t="shared" si="10"/>
        <v>0</v>
      </c>
      <c r="W9" s="216">
        <v>2</v>
      </c>
      <c r="X9" s="19">
        <f t="shared" si="11"/>
        <v>200</v>
      </c>
      <c r="Y9" s="89">
        <f t="shared" si="0"/>
        <v>20339.3675</v>
      </c>
    </row>
    <row r="10" spans="1:25" ht="35.25" customHeight="1" x14ac:dyDescent="0.25">
      <c r="A10" s="12">
        <v>1984225580</v>
      </c>
      <c r="C10" s="216"/>
      <c r="D10" s="217">
        <f t="shared" si="1"/>
        <v>0</v>
      </c>
      <c r="E10" s="216"/>
      <c r="F10" s="216">
        <f t="shared" si="2"/>
        <v>0</v>
      </c>
      <c r="G10" s="216"/>
      <c r="H10" s="216">
        <f t="shared" si="3"/>
        <v>0</v>
      </c>
      <c r="I10" s="216"/>
      <c r="J10" s="216">
        <f t="shared" si="4"/>
        <v>0</v>
      </c>
      <c r="K10" s="216"/>
      <c r="L10" s="216">
        <f t="shared" si="5"/>
        <v>0</v>
      </c>
      <c r="M10" s="216"/>
      <c r="N10" s="217">
        <f t="shared" si="6"/>
        <v>0</v>
      </c>
      <c r="O10" s="216"/>
      <c r="P10" s="217">
        <f t="shared" si="7"/>
        <v>0</v>
      </c>
      <c r="Q10" s="217"/>
      <c r="R10" s="217">
        <f t="shared" si="8"/>
        <v>0</v>
      </c>
      <c r="S10" s="216"/>
      <c r="T10" s="216">
        <f t="shared" si="9"/>
        <v>0</v>
      </c>
      <c r="U10" s="216"/>
      <c r="V10" s="216">
        <f t="shared" si="10"/>
        <v>0</v>
      </c>
      <c r="W10" s="216"/>
      <c r="X10" s="19">
        <f t="shared" si="11"/>
        <v>0</v>
      </c>
      <c r="Y10" s="89">
        <f t="shared" si="0"/>
        <v>0</v>
      </c>
    </row>
    <row r="11" spans="1:25" ht="37.5" customHeight="1" x14ac:dyDescent="0.25">
      <c r="A11" s="12"/>
      <c r="B11" s="215"/>
      <c r="C11" s="216"/>
      <c r="D11" s="22">
        <f t="shared" si="1"/>
        <v>0</v>
      </c>
      <c r="E11" s="216"/>
      <c r="F11" s="216">
        <f t="shared" si="2"/>
        <v>0</v>
      </c>
      <c r="G11" s="216"/>
      <c r="H11" s="216">
        <f t="shared" si="3"/>
        <v>0</v>
      </c>
      <c r="I11" s="216"/>
      <c r="J11" s="216">
        <f t="shared" si="4"/>
        <v>0</v>
      </c>
      <c r="K11" s="216"/>
      <c r="L11" s="216">
        <f t="shared" si="5"/>
        <v>0</v>
      </c>
      <c r="M11" s="216"/>
      <c r="N11" s="217">
        <f t="shared" si="6"/>
        <v>0</v>
      </c>
      <c r="O11" s="216"/>
      <c r="P11" s="217">
        <f t="shared" si="7"/>
        <v>0</v>
      </c>
      <c r="Q11" s="217"/>
      <c r="R11" s="217">
        <f t="shared" si="8"/>
        <v>0</v>
      </c>
      <c r="S11" s="216"/>
      <c r="T11" s="216">
        <f t="shared" si="9"/>
        <v>0</v>
      </c>
      <c r="U11" s="216"/>
      <c r="V11" s="216">
        <f t="shared" si="10"/>
        <v>0</v>
      </c>
      <c r="W11" s="216"/>
      <c r="X11" s="19">
        <f t="shared" si="11"/>
        <v>0</v>
      </c>
      <c r="Y11" s="20">
        <f t="shared" si="0"/>
        <v>0</v>
      </c>
    </row>
    <row r="12" spans="1:25" ht="29.25" customHeight="1" x14ac:dyDescent="0.25">
      <c r="A12" s="2235" t="s">
        <v>31</v>
      </c>
      <c r="B12" s="2235"/>
      <c r="C12" s="18">
        <f t="shared" ref="C12:Y12" si="12">SUM(C6:C11)</f>
        <v>133459</v>
      </c>
      <c r="D12" s="18">
        <f t="shared" si="12"/>
        <v>129788.8775</v>
      </c>
      <c r="E12" s="18">
        <f t="shared" si="12"/>
        <v>0</v>
      </c>
      <c r="F12" s="18">
        <f t="shared" si="12"/>
        <v>0</v>
      </c>
      <c r="G12" s="18">
        <f t="shared" si="12"/>
        <v>240</v>
      </c>
      <c r="H12" s="18">
        <f t="shared" si="12"/>
        <v>6768</v>
      </c>
      <c r="I12" s="18">
        <f t="shared" si="12"/>
        <v>2220</v>
      </c>
      <c r="J12" s="18">
        <f t="shared" si="12"/>
        <v>41070</v>
      </c>
      <c r="K12" s="18">
        <f t="shared" si="12"/>
        <v>0</v>
      </c>
      <c r="L12" s="18">
        <f t="shared" si="12"/>
        <v>0</v>
      </c>
      <c r="M12" s="18">
        <f t="shared" si="12"/>
        <v>0</v>
      </c>
      <c r="N12" s="23">
        <f t="shared" si="12"/>
        <v>0</v>
      </c>
      <c r="O12" s="18">
        <f t="shared" si="12"/>
        <v>0</v>
      </c>
      <c r="P12" s="23">
        <f t="shared" si="12"/>
        <v>0</v>
      </c>
      <c r="Q12" s="23">
        <f t="shared" si="12"/>
        <v>0</v>
      </c>
      <c r="R12" s="23">
        <f>SUM(R6:R11)</f>
        <v>0</v>
      </c>
      <c r="S12" s="18">
        <f t="shared" si="12"/>
        <v>0</v>
      </c>
      <c r="T12" s="18">
        <f t="shared" si="12"/>
        <v>0</v>
      </c>
      <c r="U12" s="18">
        <f t="shared" si="12"/>
        <v>0</v>
      </c>
      <c r="V12" s="18">
        <f t="shared" si="12"/>
        <v>0</v>
      </c>
      <c r="W12" s="18">
        <f t="shared" si="12"/>
        <v>2</v>
      </c>
      <c r="X12" s="18">
        <f t="shared" si="12"/>
        <v>200</v>
      </c>
      <c r="Y12" s="18">
        <f t="shared" si="12"/>
        <v>177826.8775</v>
      </c>
    </row>
    <row r="14" spans="1:25" ht="41.25" customHeight="1" x14ac:dyDescent="0.25">
      <c r="A14" s="30" t="s">
        <v>32</v>
      </c>
      <c r="B14" s="2236" t="s">
        <v>27</v>
      </c>
      <c r="C14" s="2236"/>
      <c r="D14" s="30" t="s">
        <v>33</v>
      </c>
      <c r="E14" s="30" t="s">
        <v>65</v>
      </c>
      <c r="F14" s="30" t="s">
        <v>34</v>
      </c>
      <c r="G14" s="30" t="s">
        <v>13</v>
      </c>
      <c r="H14" s="142" t="s">
        <v>173</v>
      </c>
      <c r="I14" s="30" t="s">
        <v>17</v>
      </c>
      <c r="J14" s="221" t="s">
        <v>174</v>
      </c>
      <c r="K14" s="30" t="s">
        <v>36</v>
      </c>
      <c r="L14" s="30" t="s">
        <v>175</v>
      </c>
      <c r="M14" s="30" t="s">
        <v>69</v>
      </c>
      <c r="N14" s="30" t="s">
        <v>70</v>
      </c>
      <c r="O14" s="221" t="s">
        <v>114</v>
      </c>
      <c r="P14" s="221" t="s">
        <v>99</v>
      </c>
      <c r="Q14" s="2272" t="s">
        <v>228</v>
      </c>
      <c r="R14" s="2272"/>
      <c r="S14" s="221"/>
      <c r="T14" s="2235" t="s">
        <v>46</v>
      </c>
      <c r="U14" s="213" t="s">
        <v>176</v>
      </c>
      <c r="V14" s="2260">
        <v>21104</v>
      </c>
      <c r="W14" s="2268"/>
      <c r="X14" s="2261"/>
    </row>
    <row r="15" spans="1:25" ht="22.5" customHeight="1" x14ac:dyDescent="0.25">
      <c r="A15" s="100" t="s">
        <v>38</v>
      </c>
      <c r="B15" s="2260">
        <v>238915</v>
      </c>
      <c r="C15" s="2261"/>
      <c r="D15" s="218">
        <v>0</v>
      </c>
      <c r="E15" s="218">
        <v>1050</v>
      </c>
      <c r="F15" s="218">
        <v>6660</v>
      </c>
      <c r="G15" s="218">
        <v>0</v>
      </c>
      <c r="H15" s="218">
        <v>327</v>
      </c>
      <c r="I15" s="218">
        <v>12</v>
      </c>
      <c r="J15" s="218">
        <v>100</v>
      </c>
      <c r="K15" s="218">
        <v>50</v>
      </c>
      <c r="L15" s="218">
        <v>829</v>
      </c>
      <c r="M15" s="218">
        <v>0</v>
      </c>
      <c r="N15" s="218">
        <v>100</v>
      </c>
      <c r="O15" s="218">
        <v>0</v>
      </c>
      <c r="P15" s="218">
        <v>417</v>
      </c>
      <c r="Q15" s="2262">
        <v>19</v>
      </c>
      <c r="R15" s="2262"/>
      <c r="S15" s="213">
        <v>0</v>
      </c>
      <c r="T15" s="2235"/>
      <c r="U15" s="213" t="s">
        <v>64</v>
      </c>
      <c r="V15" s="2262">
        <v>83942</v>
      </c>
      <c r="W15" s="2262"/>
      <c r="X15" s="2262"/>
    </row>
    <row r="16" spans="1:25" ht="24.75" customHeight="1" x14ac:dyDescent="0.25">
      <c r="A16" s="100" t="s">
        <v>39</v>
      </c>
      <c r="B16" s="2260">
        <v>135065</v>
      </c>
      <c r="C16" s="2261"/>
      <c r="D16" s="218"/>
      <c r="E16" s="218"/>
      <c r="F16" s="218"/>
      <c r="G16" s="218"/>
      <c r="H16" s="218"/>
      <c r="I16" s="218"/>
      <c r="J16" s="218"/>
      <c r="K16" s="218"/>
      <c r="L16" s="218">
        <v>75</v>
      </c>
      <c r="M16" s="218"/>
      <c r="N16" s="218"/>
      <c r="O16" s="218"/>
      <c r="P16" s="218"/>
      <c r="Q16" s="2225"/>
      <c r="R16" s="2225"/>
      <c r="S16" s="218"/>
      <c r="T16" s="2254" t="s">
        <v>55</v>
      </c>
      <c r="U16" s="2254"/>
      <c r="V16" s="2267">
        <f>Y12</f>
        <v>177826.8775</v>
      </c>
      <c r="W16" s="2267"/>
      <c r="X16" s="2262"/>
    </row>
    <row r="17" spans="1:25" ht="28.5" customHeight="1" x14ac:dyDescent="0.25">
      <c r="A17" s="101" t="s">
        <v>44</v>
      </c>
      <c r="B17" s="2260">
        <v>51547</v>
      </c>
      <c r="C17" s="2261"/>
      <c r="D17" s="218"/>
      <c r="E17" s="218"/>
      <c r="F17" s="218"/>
      <c r="G17" s="218"/>
      <c r="H17" s="218"/>
      <c r="I17" s="218"/>
      <c r="J17" s="218"/>
      <c r="K17" s="218"/>
      <c r="L17" s="218"/>
      <c r="M17" s="218"/>
      <c r="N17" s="218"/>
      <c r="O17" s="218"/>
      <c r="P17" s="218"/>
      <c r="Q17" s="2225"/>
      <c r="R17" s="2225"/>
      <c r="S17" s="215"/>
      <c r="T17" s="2273" t="s">
        <v>211</v>
      </c>
      <c r="U17" s="2274"/>
      <c r="V17" s="2262"/>
      <c r="W17" s="2262"/>
      <c r="X17" s="2262"/>
    </row>
    <row r="18" spans="1:25" ht="27" customHeight="1" x14ac:dyDescent="0.25">
      <c r="A18" s="100" t="s">
        <v>40</v>
      </c>
      <c r="B18" s="2264">
        <f>C12</f>
        <v>133459</v>
      </c>
      <c r="C18" s="2261"/>
      <c r="D18" s="219">
        <f>E12</f>
        <v>0</v>
      </c>
      <c r="E18" s="219">
        <f>G12</f>
        <v>240</v>
      </c>
      <c r="F18" s="219">
        <f>I12</f>
        <v>2220</v>
      </c>
      <c r="G18" s="219">
        <f>K12</f>
        <v>0</v>
      </c>
      <c r="H18" s="218">
        <v>75</v>
      </c>
      <c r="I18" s="219">
        <f>U12</f>
        <v>0</v>
      </c>
      <c r="J18" s="218"/>
      <c r="K18" s="219">
        <f>W12</f>
        <v>2</v>
      </c>
      <c r="L18" s="218"/>
      <c r="M18" s="219">
        <f>M12</f>
        <v>0</v>
      </c>
      <c r="N18" s="219">
        <f>O12</f>
        <v>0</v>
      </c>
      <c r="O18" s="220">
        <f>Q12</f>
        <v>0</v>
      </c>
      <c r="P18" s="218"/>
      <c r="Q18" s="2262"/>
      <c r="R18" s="2262"/>
      <c r="S18" s="213"/>
      <c r="T18" s="2254" t="s">
        <v>57</v>
      </c>
      <c r="U18" s="2254"/>
      <c r="V18" s="2262">
        <v>500</v>
      </c>
      <c r="W18" s="2262"/>
      <c r="X18" s="2262"/>
      <c r="Y18" s="2269" t="s">
        <v>231</v>
      </c>
    </row>
    <row r="19" spans="1:25" ht="25.5" customHeight="1" x14ac:dyDescent="0.25">
      <c r="A19" s="100" t="s">
        <v>41</v>
      </c>
      <c r="B19" s="2260">
        <f>B15+B16+B17-B18</f>
        <v>292068</v>
      </c>
      <c r="C19" s="2261"/>
      <c r="D19" s="218">
        <f>D15+D16+D17-D18</f>
        <v>0</v>
      </c>
      <c r="E19" s="218">
        <f t="shared" ref="E19:N19" si="13">E15+E16+E17-E18</f>
        <v>810</v>
      </c>
      <c r="F19" s="218">
        <f t="shared" si="13"/>
        <v>4440</v>
      </c>
      <c r="G19" s="218">
        <f t="shared" si="13"/>
        <v>0</v>
      </c>
      <c r="H19" s="218">
        <f t="shared" si="13"/>
        <v>252</v>
      </c>
      <c r="I19" s="218">
        <f t="shared" si="13"/>
        <v>12</v>
      </c>
      <c r="J19" s="218">
        <f t="shared" si="13"/>
        <v>100</v>
      </c>
      <c r="K19" s="218">
        <f t="shared" si="13"/>
        <v>48</v>
      </c>
      <c r="L19" s="218">
        <f t="shared" si="13"/>
        <v>904</v>
      </c>
      <c r="M19" s="218">
        <f t="shared" si="13"/>
        <v>0</v>
      </c>
      <c r="N19" s="218">
        <f t="shared" si="13"/>
        <v>100</v>
      </c>
      <c r="O19" s="218">
        <f>O15+O16+O17-O18</f>
        <v>0</v>
      </c>
      <c r="P19" s="218">
        <f>P15+P16+P17-P18</f>
        <v>417</v>
      </c>
      <c r="Q19" s="2260">
        <f t="shared" ref="Q19" si="14">Q15+Q16+Q17-Q18</f>
        <v>19</v>
      </c>
      <c r="R19" s="2261"/>
      <c r="S19" s="213">
        <f>S15+S16-S17-S18</f>
        <v>0</v>
      </c>
      <c r="T19" s="2256" t="s">
        <v>48</v>
      </c>
      <c r="U19" s="49" t="s">
        <v>58</v>
      </c>
      <c r="V19" s="2262">
        <v>130000</v>
      </c>
      <c r="W19" s="2262"/>
      <c r="X19" s="2262"/>
      <c r="Y19" s="2269"/>
    </row>
    <row r="20" spans="1:25" ht="23.25" customHeight="1" x14ac:dyDescent="0.25">
      <c r="A20" s="210" t="s">
        <v>187</v>
      </c>
      <c r="B20" s="2284">
        <f>B19*0.9625</f>
        <v>281115.45</v>
      </c>
      <c r="C20" s="2285"/>
      <c r="D20" s="211">
        <f>D19*13.56</f>
        <v>0</v>
      </c>
      <c r="E20" s="211">
        <f>28.2*E19</f>
        <v>22842</v>
      </c>
      <c r="F20" s="211">
        <f>18.31*F19</f>
        <v>81296.399999999994</v>
      </c>
      <c r="G20" s="211">
        <f>19.3*G19</f>
        <v>0</v>
      </c>
      <c r="H20" s="211">
        <f>241*H19</f>
        <v>60732</v>
      </c>
      <c r="I20" s="211">
        <f>223*I19</f>
        <v>2676</v>
      </c>
      <c r="J20" s="211">
        <f>241*J19</f>
        <v>24100</v>
      </c>
      <c r="K20" s="211">
        <f>K19*100</f>
        <v>4800</v>
      </c>
      <c r="L20" s="211">
        <f>241*L19</f>
        <v>217864</v>
      </c>
      <c r="M20" s="211">
        <f>9.65*M19</f>
        <v>0</v>
      </c>
      <c r="N20" s="211">
        <f>N19*48.2</f>
        <v>4820</v>
      </c>
      <c r="O20" s="211">
        <f>241*O19</f>
        <v>0</v>
      </c>
      <c r="P20" s="211">
        <f>241*P19</f>
        <v>100497</v>
      </c>
      <c r="Q20" s="2284">
        <f>241*Q19</f>
        <v>4579</v>
      </c>
      <c r="R20" s="2285"/>
      <c r="S20" s="211">
        <f>241*S19</f>
        <v>0</v>
      </c>
      <c r="T20" s="2257"/>
      <c r="U20" s="49" t="s">
        <v>59</v>
      </c>
      <c r="V20" s="2262"/>
      <c r="W20" s="2262"/>
      <c r="X20" s="2262"/>
      <c r="Y20" s="2269"/>
    </row>
    <row r="21" spans="1:25" ht="32.25" customHeight="1" x14ac:dyDescent="0.25">
      <c r="A21" s="143" t="s">
        <v>186</v>
      </c>
      <c r="B21" s="2283">
        <f>SUM(B20:S20)</f>
        <v>805321.85</v>
      </c>
      <c r="C21" s="2283"/>
      <c r="O21" s="222"/>
      <c r="P21" s="222"/>
      <c r="Q21" s="222"/>
      <c r="R21" s="222"/>
      <c r="T21" s="2273" t="s">
        <v>167</v>
      </c>
      <c r="U21" s="2274"/>
      <c r="V21" s="2260"/>
      <c r="W21" s="2268"/>
      <c r="X21" s="2261"/>
      <c r="Y21" s="2269"/>
    </row>
    <row r="22" spans="1:25" ht="35.25" customHeight="1" x14ac:dyDescent="0.25">
      <c r="A22" s="15"/>
      <c r="B22" s="2275" t="s">
        <v>49</v>
      </c>
      <c r="C22" s="2265">
        <v>711316</v>
      </c>
      <c r="D22" s="2265">
        <v>130000</v>
      </c>
      <c r="E22" s="2265">
        <v>130000</v>
      </c>
      <c r="F22" s="2265">
        <f>C22-D22+E22</f>
        <v>711316</v>
      </c>
      <c r="G22" s="222"/>
      <c r="Q22" s="222"/>
      <c r="R22" s="222"/>
      <c r="T22" s="2251" t="s">
        <v>83</v>
      </c>
      <c r="U22" s="50" t="s">
        <v>60</v>
      </c>
      <c r="V22" s="2262">
        <v>177280</v>
      </c>
      <c r="W22" s="2262"/>
      <c r="X22" s="2262"/>
      <c r="Y22" s="2269"/>
    </row>
    <row r="23" spans="1:25" ht="39.75" customHeight="1" x14ac:dyDescent="0.25">
      <c r="A23" s="222"/>
      <c r="B23" s="2276"/>
      <c r="C23" s="2266"/>
      <c r="D23" s="2266"/>
      <c r="E23" s="2266"/>
      <c r="F23" s="2266"/>
      <c r="G23" s="222"/>
      <c r="Q23" s="222"/>
      <c r="R23" s="222"/>
      <c r="T23" s="2252"/>
      <c r="U23" s="50" t="s">
        <v>61</v>
      </c>
      <c r="V23" s="2262">
        <v>130000</v>
      </c>
      <c r="W23" s="2262"/>
      <c r="X23" s="2262"/>
      <c r="Y23" s="2269"/>
    </row>
    <row r="24" spans="1:25" ht="48" customHeight="1" x14ac:dyDescent="0.25">
      <c r="A24" s="222"/>
      <c r="B24" s="2277"/>
      <c r="C24" s="213" t="s">
        <v>46</v>
      </c>
      <c r="D24" s="213" t="s">
        <v>50</v>
      </c>
      <c r="E24" s="213" t="s">
        <v>51</v>
      </c>
      <c r="F24" s="213" t="s">
        <v>52</v>
      </c>
      <c r="G24" s="222"/>
      <c r="Q24" s="222"/>
      <c r="R24" s="222"/>
      <c r="T24" s="2235" t="s">
        <v>47</v>
      </c>
      <c r="U24" s="51" t="s">
        <v>62</v>
      </c>
      <c r="V24" s="2263">
        <f>V14+V16+V17-V18-V19-V20-V22+V23-V21</f>
        <v>21150.877500000002</v>
      </c>
      <c r="W24" s="2263"/>
      <c r="X24" s="2263"/>
      <c r="Y24" s="2269"/>
    </row>
    <row r="25" spans="1:25" ht="40.5" customHeight="1" x14ac:dyDescent="0.25">
      <c r="T25" s="2235"/>
      <c r="U25" s="51" t="s">
        <v>63</v>
      </c>
      <c r="V25" s="2262">
        <f>V15+V22-V23</f>
        <v>131222</v>
      </c>
      <c r="W25" s="2262"/>
      <c r="X25" s="2262"/>
    </row>
    <row r="26" spans="1:25" ht="36" customHeight="1" x14ac:dyDescent="0.25"/>
    <row r="32" spans="1:25" x14ac:dyDescent="0.25">
      <c r="I32" s="2280"/>
      <c r="J32" s="2280"/>
      <c r="K32" s="2280"/>
      <c r="L32" s="2280"/>
    </row>
    <row r="33" spans="9:12" x14ac:dyDescent="0.25">
      <c r="I33" s="222"/>
      <c r="J33" s="222"/>
      <c r="K33" s="2280"/>
      <c r="L33" s="2280"/>
    </row>
  </sheetData>
  <mergeCells count="62">
    <mergeCell ref="I32:J32"/>
    <mergeCell ref="K32:L32"/>
    <mergeCell ref="K33:L33"/>
    <mergeCell ref="T22:T23"/>
    <mergeCell ref="V22:X22"/>
    <mergeCell ref="V23:X23"/>
    <mergeCell ref="T24:T25"/>
    <mergeCell ref="V24:X24"/>
    <mergeCell ref="V25:X25"/>
    <mergeCell ref="Y18:Y24"/>
    <mergeCell ref="B19:C19"/>
    <mergeCell ref="Q19:R19"/>
    <mergeCell ref="T19:T20"/>
    <mergeCell ref="V19:X19"/>
    <mergeCell ref="B20:C20"/>
    <mergeCell ref="B22:B24"/>
    <mergeCell ref="C22:C23"/>
    <mergeCell ref="D22:D23"/>
    <mergeCell ref="E22:E23"/>
    <mergeCell ref="F22:F23"/>
    <mergeCell ref="Q20:R20"/>
    <mergeCell ref="V20:X20"/>
    <mergeCell ref="B21:C21"/>
    <mergeCell ref="T21:U21"/>
    <mergeCell ref="V21:X21"/>
    <mergeCell ref="B17:C17"/>
    <mergeCell ref="Q17:R17"/>
    <mergeCell ref="T17:U17"/>
    <mergeCell ref="V17:X17"/>
    <mergeCell ref="B18:C18"/>
    <mergeCell ref="Q18:R18"/>
    <mergeCell ref="T18:U18"/>
    <mergeCell ref="V18:X18"/>
    <mergeCell ref="W4:X4"/>
    <mergeCell ref="B16:C16"/>
    <mergeCell ref="Q16:R16"/>
    <mergeCell ref="T16:U16"/>
    <mergeCell ref="V16:X16"/>
    <mergeCell ref="A12:B12"/>
    <mergeCell ref="B14:C14"/>
    <mergeCell ref="Q14:R14"/>
    <mergeCell ref="T14:T15"/>
    <mergeCell ref="V14:X14"/>
    <mergeCell ref="B15:C15"/>
    <mergeCell ref="Q15:R15"/>
    <mergeCell ref="V15:X15"/>
    <mergeCell ref="A1:Y1"/>
    <mergeCell ref="A2:Y2"/>
    <mergeCell ref="T3:Y3"/>
    <mergeCell ref="A4:A5"/>
    <mergeCell ref="B4:B5"/>
    <mergeCell ref="C4:D4"/>
    <mergeCell ref="E4:F4"/>
    <mergeCell ref="G4:H4"/>
    <mergeCell ref="I4:J4"/>
    <mergeCell ref="K4:L4"/>
    <mergeCell ref="Y4:Y5"/>
    <mergeCell ref="M4:N4"/>
    <mergeCell ref="O4:P4"/>
    <mergeCell ref="Q4:R4"/>
    <mergeCell ref="S4:T4"/>
    <mergeCell ref="U4:V4"/>
  </mergeCells>
  <pageMargins left="0.15748031496063" right="0.15748031496063" top="0" bottom="0" header="0" footer="0"/>
  <pageSetup paperSize="9" scale="47" orientation="landscape" r:id="rId1"/>
  <legacyDrawing r:id="rId2"/>
</worksheet>
</file>

<file path=xl/worksheets/sheet7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DE8F96C-4C19-4DEF-B108-C218DCC410EF}">
  <sheetPr>
    <pageSetUpPr fitToPage="1"/>
  </sheetPr>
  <dimension ref="A1:Y33"/>
  <sheetViews>
    <sheetView topLeftCell="D11" zoomScale="71" zoomScaleNormal="71" zoomScaleSheetLayoutView="100" workbookViewId="0">
      <selection activeCell="V18" sqref="V18:X18"/>
    </sheetView>
  </sheetViews>
  <sheetFormatPr defaultColWidth="9.140625" defaultRowHeight="15" x14ac:dyDescent="0.25"/>
  <cols>
    <col min="1" max="1" width="18.28515625" style="14" customWidth="1"/>
    <col min="2" max="2" width="10.7109375" style="14" customWidth="1"/>
    <col min="3" max="3" width="12.28515625" style="14" customWidth="1"/>
    <col min="4" max="4" width="11" style="14" customWidth="1"/>
    <col min="5" max="5" width="12" style="14" customWidth="1"/>
    <col min="6" max="6" width="12.5703125" style="14" bestFit="1" customWidth="1"/>
    <col min="7" max="7" width="9.28515625" style="14" bestFit="1" customWidth="1"/>
    <col min="8" max="8" width="10.140625" style="14" bestFit="1" customWidth="1"/>
    <col min="9" max="9" width="10.5703125" style="14" bestFit="1" customWidth="1"/>
    <col min="10" max="10" width="10.5703125" style="14" customWidth="1"/>
    <col min="11" max="11" width="10.28515625" style="14" bestFit="1" customWidth="1"/>
    <col min="12" max="12" width="10.42578125" style="14" bestFit="1" customWidth="1"/>
    <col min="13" max="13" width="9.85546875" style="14" bestFit="1" customWidth="1"/>
    <col min="14" max="14" width="10.140625" style="14" bestFit="1" customWidth="1"/>
    <col min="15" max="15" width="9" style="14" customWidth="1"/>
    <col min="16" max="16" width="12.85546875" style="14" bestFit="1" customWidth="1"/>
    <col min="17" max="18" width="9.42578125" style="14" customWidth="1"/>
    <col min="19" max="19" width="13.7109375" style="14" customWidth="1"/>
    <col min="20" max="20" width="12.140625" style="14" customWidth="1"/>
    <col min="21" max="21" width="19.5703125" style="14" bestFit="1" customWidth="1"/>
    <col min="22" max="22" width="9.85546875" style="14" customWidth="1"/>
    <col min="23" max="23" width="10.140625" style="14" bestFit="1" customWidth="1"/>
    <col min="24" max="24" width="10.28515625" style="14" customWidth="1"/>
    <col min="25" max="25" width="28" style="14" customWidth="1"/>
    <col min="26" max="16384" width="9.140625" style="14"/>
  </cols>
  <sheetData>
    <row r="1" spans="1:25" ht="46.15" customHeight="1" x14ac:dyDescent="0.25">
      <c r="A1" s="2240" t="s">
        <v>148</v>
      </c>
      <c r="B1" s="2240"/>
      <c r="C1" s="2240"/>
      <c r="D1" s="2240"/>
      <c r="E1" s="2240"/>
      <c r="F1" s="2240"/>
      <c r="G1" s="2240"/>
      <c r="H1" s="2240"/>
      <c r="I1" s="2240"/>
      <c r="J1" s="2240"/>
      <c r="K1" s="2240"/>
      <c r="L1" s="2240"/>
      <c r="M1" s="2240"/>
      <c r="N1" s="2240"/>
      <c r="O1" s="2240"/>
      <c r="P1" s="2240"/>
      <c r="Q1" s="2240"/>
      <c r="R1" s="2240"/>
      <c r="S1" s="2240"/>
      <c r="T1" s="2240"/>
      <c r="U1" s="2240"/>
      <c r="V1" s="2240"/>
      <c r="W1" s="2240"/>
      <c r="X1" s="2240"/>
      <c r="Y1" s="2240"/>
    </row>
    <row r="2" spans="1:25" ht="21.6" customHeight="1" x14ac:dyDescent="0.25">
      <c r="A2" s="2241" t="s">
        <v>77</v>
      </c>
      <c r="B2" s="2241"/>
      <c r="C2" s="2241"/>
      <c r="D2" s="2241"/>
      <c r="E2" s="2241"/>
      <c r="F2" s="2241"/>
      <c r="G2" s="2241"/>
      <c r="H2" s="2241"/>
      <c r="I2" s="2241"/>
      <c r="J2" s="2241"/>
      <c r="K2" s="2241"/>
      <c r="L2" s="2241"/>
      <c r="M2" s="2241"/>
      <c r="N2" s="2241"/>
      <c r="O2" s="2241"/>
      <c r="P2" s="2241"/>
      <c r="Q2" s="2241"/>
      <c r="R2" s="2241"/>
      <c r="S2" s="2241"/>
      <c r="T2" s="2241"/>
      <c r="U2" s="2241"/>
      <c r="V2" s="2241"/>
      <c r="W2" s="2241"/>
      <c r="X2" s="2241"/>
      <c r="Y2" s="2241"/>
    </row>
    <row r="3" spans="1:25" ht="21" customHeight="1" x14ac:dyDescent="0.25">
      <c r="A3" s="212"/>
      <c r="B3" s="212"/>
      <c r="C3" s="212"/>
      <c r="D3" s="212"/>
      <c r="E3" s="212"/>
      <c r="F3" s="212"/>
      <c r="G3" s="212"/>
      <c r="H3" s="212"/>
      <c r="I3" s="212"/>
      <c r="J3" s="212"/>
      <c r="K3" s="212"/>
      <c r="L3" s="212"/>
      <c r="M3" s="212"/>
      <c r="N3" s="212"/>
      <c r="O3" s="212"/>
      <c r="P3" s="212"/>
      <c r="Q3" s="212"/>
      <c r="R3" s="212"/>
      <c r="S3" s="212"/>
      <c r="T3" s="2242" t="s">
        <v>237</v>
      </c>
      <c r="U3" s="2242"/>
      <c r="V3" s="2242"/>
      <c r="W3" s="2242"/>
      <c r="X3" s="2242"/>
      <c r="Y3" s="2242"/>
    </row>
    <row r="4" spans="1:25" s="212" customFormat="1" ht="18" customHeight="1" x14ac:dyDescent="0.25">
      <c r="A4" s="2243" t="s">
        <v>25</v>
      </c>
      <c r="B4" s="2243" t="s">
        <v>26</v>
      </c>
      <c r="C4" s="2244" t="s">
        <v>27</v>
      </c>
      <c r="D4" s="2244"/>
      <c r="E4" s="2244" t="s">
        <v>28</v>
      </c>
      <c r="F4" s="2244"/>
      <c r="G4" s="2244" t="s">
        <v>65</v>
      </c>
      <c r="H4" s="2244"/>
      <c r="I4" s="2244" t="s">
        <v>29</v>
      </c>
      <c r="J4" s="2244"/>
      <c r="K4" s="2245" t="s">
        <v>13</v>
      </c>
      <c r="L4" s="2246"/>
      <c r="M4" s="2245" t="s">
        <v>67</v>
      </c>
      <c r="N4" s="2246"/>
      <c r="O4" s="2245" t="s">
        <v>68</v>
      </c>
      <c r="P4" s="2246"/>
      <c r="Q4" s="2245" t="s">
        <v>114</v>
      </c>
      <c r="R4" s="2246"/>
      <c r="S4" s="2244" t="s">
        <v>35</v>
      </c>
      <c r="T4" s="2244"/>
      <c r="U4" s="2245" t="s">
        <v>17</v>
      </c>
      <c r="V4" s="2246"/>
      <c r="W4" s="2247" t="s">
        <v>36</v>
      </c>
      <c r="X4" s="2248"/>
      <c r="Y4" s="2238" t="s">
        <v>30</v>
      </c>
    </row>
    <row r="5" spans="1:25" s="212" customFormat="1" ht="25.5" customHeight="1" x14ac:dyDescent="0.25">
      <c r="A5" s="2243"/>
      <c r="B5" s="2243"/>
      <c r="C5" s="214" t="s">
        <v>42</v>
      </c>
      <c r="D5" s="214" t="s">
        <v>43</v>
      </c>
      <c r="E5" s="214" t="s">
        <v>42</v>
      </c>
      <c r="F5" s="214" t="s">
        <v>43</v>
      </c>
      <c r="G5" s="214" t="s">
        <v>42</v>
      </c>
      <c r="H5" s="214" t="s">
        <v>43</v>
      </c>
      <c r="I5" s="214" t="s">
        <v>42</v>
      </c>
      <c r="J5" s="214" t="s">
        <v>43</v>
      </c>
      <c r="K5" s="214" t="s">
        <v>42</v>
      </c>
      <c r="L5" s="214" t="s">
        <v>43</v>
      </c>
      <c r="M5" s="214" t="s">
        <v>42</v>
      </c>
      <c r="N5" s="214" t="s">
        <v>43</v>
      </c>
      <c r="O5" s="214" t="s">
        <v>42</v>
      </c>
      <c r="P5" s="214" t="s">
        <v>43</v>
      </c>
      <c r="Q5" s="214" t="s">
        <v>42</v>
      </c>
      <c r="R5" s="214" t="s">
        <v>43</v>
      </c>
      <c r="S5" s="33" t="s">
        <v>42</v>
      </c>
      <c r="T5" s="33" t="s">
        <v>43</v>
      </c>
      <c r="U5" s="30" t="s">
        <v>42</v>
      </c>
      <c r="V5" s="30" t="s">
        <v>43</v>
      </c>
      <c r="W5" s="30" t="s">
        <v>42</v>
      </c>
      <c r="X5" s="30" t="s">
        <v>43</v>
      </c>
      <c r="Y5" s="2239"/>
    </row>
    <row r="6" spans="1:25" ht="34.5" customHeight="1" x14ac:dyDescent="0.25">
      <c r="A6" s="12">
        <v>1409935200</v>
      </c>
      <c r="B6" s="213" t="s">
        <v>71</v>
      </c>
      <c r="C6" s="216">
        <v>30597</v>
      </c>
      <c r="D6" s="217">
        <f>0.9725*C6</f>
        <v>29755.5825</v>
      </c>
      <c r="E6" s="216"/>
      <c r="F6" s="216">
        <f>13.7*E6</f>
        <v>0</v>
      </c>
      <c r="G6" s="216"/>
      <c r="H6" s="216">
        <f>28.2*G6</f>
        <v>0</v>
      </c>
      <c r="I6" s="216">
        <v>140</v>
      </c>
      <c r="J6" s="216">
        <f>18.5*I6</f>
        <v>2590</v>
      </c>
      <c r="K6" s="216"/>
      <c r="L6" s="216">
        <f>19.5*K6</f>
        <v>0</v>
      </c>
      <c r="M6" s="216"/>
      <c r="N6" s="217">
        <f>M6*9.75</f>
        <v>0</v>
      </c>
      <c r="O6" s="216"/>
      <c r="P6" s="217">
        <f>O6*48.62</f>
        <v>0</v>
      </c>
      <c r="Q6" s="217"/>
      <c r="R6" s="217">
        <f>241*Q6</f>
        <v>0</v>
      </c>
      <c r="S6" s="216"/>
      <c r="T6" s="216">
        <f>241*S6</f>
        <v>0</v>
      </c>
      <c r="U6" s="216"/>
      <c r="V6" s="216">
        <f>232*U6</f>
        <v>0</v>
      </c>
      <c r="W6" s="216"/>
      <c r="X6" s="19">
        <f>W6*100</f>
        <v>0</v>
      </c>
      <c r="Y6" s="89">
        <f t="shared" ref="Y6:Y11" si="0">D6+F6+H6+J6+L6+N6+P6+R6+T6+V6+X6</f>
        <v>32345.5825</v>
      </c>
    </row>
    <row r="7" spans="1:25" ht="31.5" customHeight="1" x14ac:dyDescent="0.25">
      <c r="A7" s="12">
        <v>1984225578</v>
      </c>
      <c r="B7" s="213" t="s">
        <v>72</v>
      </c>
      <c r="C7" s="216">
        <v>49545</v>
      </c>
      <c r="D7" s="217">
        <f t="shared" ref="D7:D11" si="1">0.9725*C7</f>
        <v>48182.512500000004</v>
      </c>
      <c r="E7" s="216"/>
      <c r="F7" s="216">
        <f t="shared" ref="F7:F11" si="2">13.7*E7</f>
        <v>0</v>
      </c>
      <c r="G7" s="216">
        <v>20</v>
      </c>
      <c r="H7" s="216">
        <f t="shared" ref="H7:H11" si="3">28.2*G7</f>
        <v>564</v>
      </c>
      <c r="I7" s="216">
        <v>90</v>
      </c>
      <c r="J7" s="216">
        <f t="shared" ref="J7:J11" si="4">18.5*I7</f>
        <v>1665</v>
      </c>
      <c r="K7" s="216"/>
      <c r="L7" s="216">
        <f t="shared" ref="L7:L11" si="5">19.5*K7</f>
        <v>0</v>
      </c>
      <c r="M7" s="216"/>
      <c r="N7" s="217">
        <f t="shared" ref="N7:N11" si="6">M7*9.75</f>
        <v>0</v>
      </c>
      <c r="O7" s="216"/>
      <c r="P7" s="217">
        <f t="shared" ref="P7:P11" si="7">O7*48.62</f>
        <v>0</v>
      </c>
      <c r="Q7" s="217"/>
      <c r="R7" s="217">
        <f t="shared" ref="R7:R11" si="8">241*Q7</f>
        <v>0</v>
      </c>
      <c r="S7" s="216">
        <v>5</v>
      </c>
      <c r="T7" s="216">
        <f t="shared" ref="T7:T11" si="9">241*S7</f>
        <v>1205</v>
      </c>
      <c r="U7" s="216">
        <v>12</v>
      </c>
      <c r="V7" s="216">
        <f t="shared" ref="V7:V11" si="10">232*U7</f>
        <v>2784</v>
      </c>
      <c r="W7" s="216"/>
      <c r="X7" s="19">
        <f t="shared" ref="X7:X11" si="11">W7*100</f>
        <v>0</v>
      </c>
      <c r="Y7" s="89">
        <f t="shared" si="0"/>
        <v>54400.512500000004</v>
      </c>
    </row>
    <row r="8" spans="1:25" ht="35.25" customHeight="1" x14ac:dyDescent="0.25">
      <c r="A8" s="12">
        <v>1967020280</v>
      </c>
      <c r="B8" s="213" t="s">
        <v>73</v>
      </c>
      <c r="C8" s="216">
        <v>25133</v>
      </c>
      <c r="D8" s="217">
        <f t="shared" si="1"/>
        <v>24441.842500000002</v>
      </c>
      <c r="E8" s="216"/>
      <c r="F8" s="216">
        <f t="shared" si="2"/>
        <v>0</v>
      </c>
      <c r="G8" s="216"/>
      <c r="H8" s="216">
        <f t="shared" si="3"/>
        <v>0</v>
      </c>
      <c r="I8" s="216">
        <v>220</v>
      </c>
      <c r="J8" s="216">
        <f t="shared" si="4"/>
        <v>4070</v>
      </c>
      <c r="K8" s="216"/>
      <c r="L8" s="216">
        <f t="shared" si="5"/>
        <v>0</v>
      </c>
      <c r="M8" s="216"/>
      <c r="N8" s="217">
        <f t="shared" si="6"/>
        <v>0</v>
      </c>
      <c r="O8" s="216"/>
      <c r="P8" s="217">
        <f t="shared" si="7"/>
        <v>0</v>
      </c>
      <c r="Q8" s="217"/>
      <c r="R8" s="217">
        <f t="shared" si="8"/>
        <v>0</v>
      </c>
      <c r="S8" s="216"/>
      <c r="T8" s="216">
        <f t="shared" si="9"/>
        <v>0</v>
      </c>
      <c r="U8" s="216"/>
      <c r="V8" s="216">
        <f t="shared" si="10"/>
        <v>0</v>
      </c>
      <c r="W8" s="216"/>
      <c r="X8" s="19">
        <f t="shared" si="11"/>
        <v>0</v>
      </c>
      <c r="Y8" s="89">
        <f t="shared" si="0"/>
        <v>28511.842500000002</v>
      </c>
    </row>
    <row r="9" spans="1:25" ht="38.25" customHeight="1" x14ac:dyDescent="0.25">
      <c r="A9" s="12">
        <v>1409935199</v>
      </c>
      <c r="B9" s="213" t="s">
        <v>75</v>
      </c>
      <c r="C9" s="216">
        <v>53246</v>
      </c>
      <c r="D9" s="217">
        <f t="shared" si="1"/>
        <v>51781.735000000001</v>
      </c>
      <c r="E9" s="216"/>
      <c r="F9" s="216">
        <f t="shared" si="2"/>
        <v>0</v>
      </c>
      <c r="G9" s="216"/>
      <c r="H9" s="216">
        <f t="shared" si="3"/>
        <v>0</v>
      </c>
      <c r="I9" s="216">
        <v>410</v>
      </c>
      <c r="J9" s="216">
        <f t="shared" si="4"/>
        <v>7585</v>
      </c>
      <c r="K9" s="216"/>
      <c r="L9" s="216">
        <f t="shared" si="5"/>
        <v>0</v>
      </c>
      <c r="M9" s="216"/>
      <c r="N9" s="217">
        <f t="shared" si="6"/>
        <v>0</v>
      </c>
      <c r="O9" s="216"/>
      <c r="P9" s="217">
        <f t="shared" si="7"/>
        <v>0</v>
      </c>
      <c r="Q9" s="217"/>
      <c r="R9" s="217">
        <f t="shared" si="8"/>
        <v>0</v>
      </c>
      <c r="S9" s="216">
        <v>5</v>
      </c>
      <c r="T9" s="216">
        <f t="shared" si="9"/>
        <v>1205</v>
      </c>
      <c r="U9" s="216"/>
      <c r="V9" s="216">
        <f t="shared" si="10"/>
        <v>0</v>
      </c>
      <c r="W9" s="216"/>
      <c r="X9" s="19">
        <f t="shared" si="11"/>
        <v>0</v>
      </c>
      <c r="Y9" s="89">
        <f t="shared" si="0"/>
        <v>60571.735000000001</v>
      </c>
    </row>
    <row r="10" spans="1:25" ht="35.25" customHeight="1" x14ac:dyDescent="0.25">
      <c r="A10" s="12">
        <v>1984225580</v>
      </c>
      <c r="C10" s="216"/>
      <c r="D10" s="217">
        <f t="shared" si="1"/>
        <v>0</v>
      </c>
      <c r="E10" s="216"/>
      <c r="F10" s="216">
        <f t="shared" si="2"/>
        <v>0</v>
      </c>
      <c r="G10" s="216"/>
      <c r="H10" s="216">
        <f t="shared" si="3"/>
        <v>0</v>
      </c>
      <c r="I10" s="216"/>
      <c r="J10" s="216">
        <f t="shared" si="4"/>
        <v>0</v>
      </c>
      <c r="K10" s="216"/>
      <c r="L10" s="216">
        <f t="shared" si="5"/>
        <v>0</v>
      </c>
      <c r="M10" s="216"/>
      <c r="N10" s="217">
        <f t="shared" si="6"/>
        <v>0</v>
      </c>
      <c r="O10" s="216"/>
      <c r="P10" s="217">
        <f t="shared" si="7"/>
        <v>0</v>
      </c>
      <c r="Q10" s="217"/>
      <c r="R10" s="217">
        <f t="shared" si="8"/>
        <v>0</v>
      </c>
      <c r="S10" s="216"/>
      <c r="T10" s="216">
        <f t="shared" si="9"/>
        <v>0</v>
      </c>
      <c r="U10" s="216"/>
      <c r="V10" s="216">
        <f t="shared" si="10"/>
        <v>0</v>
      </c>
      <c r="W10" s="216"/>
      <c r="X10" s="19">
        <f t="shared" si="11"/>
        <v>0</v>
      </c>
      <c r="Y10" s="89">
        <f t="shared" si="0"/>
        <v>0</v>
      </c>
    </row>
    <row r="11" spans="1:25" ht="37.5" customHeight="1" x14ac:dyDescent="0.25">
      <c r="A11" s="12"/>
      <c r="B11" s="215"/>
      <c r="C11" s="216"/>
      <c r="D11" s="22">
        <f t="shared" si="1"/>
        <v>0</v>
      </c>
      <c r="E11" s="216"/>
      <c r="F11" s="216">
        <f t="shared" si="2"/>
        <v>0</v>
      </c>
      <c r="G11" s="216"/>
      <c r="H11" s="216">
        <f t="shared" si="3"/>
        <v>0</v>
      </c>
      <c r="I11" s="216"/>
      <c r="J11" s="216">
        <f t="shared" si="4"/>
        <v>0</v>
      </c>
      <c r="K11" s="216"/>
      <c r="L11" s="216">
        <f t="shared" si="5"/>
        <v>0</v>
      </c>
      <c r="M11" s="216"/>
      <c r="N11" s="217">
        <f t="shared" si="6"/>
        <v>0</v>
      </c>
      <c r="O11" s="216"/>
      <c r="P11" s="217">
        <f t="shared" si="7"/>
        <v>0</v>
      </c>
      <c r="Q11" s="217"/>
      <c r="R11" s="217">
        <f t="shared" si="8"/>
        <v>0</v>
      </c>
      <c r="S11" s="216">
        <v>213</v>
      </c>
      <c r="T11" s="216">
        <f t="shared" si="9"/>
        <v>51333</v>
      </c>
      <c r="U11" s="216"/>
      <c r="V11" s="216">
        <f t="shared" si="10"/>
        <v>0</v>
      </c>
      <c r="W11" s="216"/>
      <c r="X11" s="19">
        <f t="shared" si="11"/>
        <v>0</v>
      </c>
      <c r="Y11" s="20">
        <f t="shared" si="0"/>
        <v>51333</v>
      </c>
    </row>
    <row r="12" spans="1:25" ht="29.25" customHeight="1" x14ac:dyDescent="0.25">
      <c r="A12" s="2235" t="s">
        <v>31</v>
      </c>
      <c r="B12" s="2235"/>
      <c r="C12" s="18">
        <f t="shared" ref="C12:Y12" si="12">SUM(C6:C11)</f>
        <v>158521</v>
      </c>
      <c r="D12" s="18">
        <f t="shared" si="12"/>
        <v>154161.67249999999</v>
      </c>
      <c r="E12" s="18">
        <f t="shared" si="12"/>
        <v>0</v>
      </c>
      <c r="F12" s="18">
        <f t="shared" si="12"/>
        <v>0</v>
      </c>
      <c r="G12" s="18">
        <f t="shared" si="12"/>
        <v>20</v>
      </c>
      <c r="H12" s="18">
        <f t="shared" si="12"/>
        <v>564</v>
      </c>
      <c r="I12" s="18">
        <f t="shared" si="12"/>
        <v>860</v>
      </c>
      <c r="J12" s="18">
        <f t="shared" si="12"/>
        <v>15910</v>
      </c>
      <c r="K12" s="18">
        <f t="shared" si="12"/>
        <v>0</v>
      </c>
      <c r="L12" s="18">
        <f t="shared" si="12"/>
        <v>0</v>
      </c>
      <c r="M12" s="18">
        <f t="shared" si="12"/>
        <v>0</v>
      </c>
      <c r="N12" s="23">
        <f t="shared" si="12"/>
        <v>0</v>
      </c>
      <c r="O12" s="18">
        <f t="shared" si="12"/>
        <v>0</v>
      </c>
      <c r="P12" s="23">
        <f t="shared" si="12"/>
        <v>0</v>
      </c>
      <c r="Q12" s="23">
        <f t="shared" si="12"/>
        <v>0</v>
      </c>
      <c r="R12" s="23">
        <f>SUM(R6:R11)</f>
        <v>0</v>
      </c>
      <c r="S12" s="18">
        <f t="shared" si="12"/>
        <v>223</v>
      </c>
      <c r="T12" s="18">
        <f t="shared" si="12"/>
        <v>53743</v>
      </c>
      <c r="U12" s="18">
        <f t="shared" si="12"/>
        <v>12</v>
      </c>
      <c r="V12" s="18">
        <f t="shared" si="12"/>
        <v>2784</v>
      </c>
      <c r="W12" s="18">
        <f t="shared" si="12"/>
        <v>0</v>
      </c>
      <c r="X12" s="18">
        <f t="shared" si="12"/>
        <v>0</v>
      </c>
      <c r="Y12" s="18">
        <f t="shared" si="12"/>
        <v>227162.67249999999</v>
      </c>
    </row>
    <row r="14" spans="1:25" ht="41.25" customHeight="1" x14ac:dyDescent="0.25">
      <c r="A14" s="30" t="s">
        <v>32</v>
      </c>
      <c r="B14" s="2236" t="s">
        <v>27</v>
      </c>
      <c r="C14" s="2236"/>
      <c r="D14" s="30" t="s">
        <v>33</v>
      </c>
      <c r="E14" s="30" t="s">
        <v>65</v>
      </c>
      <c r="F14" s="30" t="s">
        <v>34</v>
      </c>
      <c r="G14" s="30" t="s">
        <v>13</v>
      </c>
      <c r="H14" s="142" t="s">
        <v>173</v>
      </c>
      <c r="I14" s="30" t="s">
        <v>17</v>
      </c>
      <c r="J14" s="221" t="s">
        <v>174</v>
      </c>
      <c r="K14" s="30" t="s">
        <v>36</v>
      </c>
      <c r="L14" s="30" t="s">
        <v>175</v>
      </c>
      <c r="M14" s="30" t="s">
        <v>69</v>
      </c>
      <c r="N14" s="30" t="s">
        <v>70</v>
      </c>
      <c r="O14" s="221" t="s">
        <v>114</v>
      </c>
      <c r="P14" s="221" t="s">
        <v>99</v>
      </c>
      <c r="Q14" s="2272" t="s">
        <v>228</v>
      </c>
      <c r="R14" s="2272"/>
      <c r="S14" s="221"/>
      <c r="T14" s="2235" t="s">
        <v>46</v>
      </c>
      <c r="U14" s="213" t="s">
        <v>176</v>
      </c>
      <c r="V14" s="2260">
        <v>21151</v>
      </c>
      <c r="W14" s="2268"/>
      <c r="X14" s="2261"/>
    </row>
    <row r="15" spans="1:25" ht="22.5" customHeight="1" x14ac:dyDescent="0.25">
      <c r="A15" s="100" t="s">
        <v>38</v>
      </c>
      <c r="B15" s="2260">
        <v>292068</v>
      </c>
      <c r="C15" s="2261"/>
      <c r="D15" s="218">
        <v>0</v>
      </c>
      <c r="E15" s="218">
        <v>810</v>
      </c>
      <c r="F15" s="218">
        <v>4440</v>
      </c>
      <c r="G15" s="218">
        <v>0</v>
      </c>
      <c r="H15" s="218">
        <v>252</v>
      </c>
      <c r="I15" s="218">
        <v>12</v>
      </c>
      <c r="J15" s="218">
        <v>100</v>
      </c>
      <c r="K15" s="218">
        <v>48</v>
      </c>
      <c r="L15" s="218">
        <v>904</v>
      </c>
      <c r="M15" s="218">
        <v>0</v>
      </c>
      <c r="N15" s="218">
        <v>100</v>
      </c>
      <c r="O15" s="218">
        <v>0</v>
      </c>
      <c r="P15" s="218">
        <v>417</v>
      </c>
      <c r="Q15" s="2262">
        <v>19</v>
      </c>
      <c r="R15" s="2262"/>
      <c r="S15" s="213">
        <v>0</v>
      </c>
      <c r="T15" s="2235"/>
      <c r="U15" s="213" t="s">
        <v>64</v>
      </c>
      <c r="V15" s="2262">
        <v>131222</v>
      </c>
      <c r="W15" s="2262"/>
      <c r="X15" s="2262"/>
    </row>
    <row r="16" spans="1:25" ht="24.75" customHeight="1" x14ac:dyDescent="0.25">
      <c r="A16" s="100" t="s">
        <v>39</v>
      </c>
      <c r="B16" s="2260">
        <v>155844</v>
      </c>
      <c r="C16" s="2261"/>
      <c r="D16" s="218"/>
      <c r="E16" s="218"/>
      <c r="F16" s="218"/>
      <c r="G16" s="218"/>
      <c r="H16" s="218"/>
      <c r="I16" s="218"/>
      <c r="J16" s="218">
        <v>60</v>
      </c>
      <c r="K16" s="218"/>
      <c r="L16" s="218"/>
      <c r="M16" s="218"/>
      <c r="N16" s="218"/>
      <c r="O16" s="218"/>
      <c r="P16" s="218"/>
      <c r="Q16" s="2225"/>
      <c r="R16" s="2225"/>
      <c r="S16" s="218"/>
      <c r="T16" s="2254" t="s">
        <v>55</v>
      </c>
      <c r="U16" s="2254"/>
      <c r="V16" s="2267">
        <f>Y12</f>
        <v>227162.67249999999</v>
      </c>
      <c r="W16" s="2267"/>
      <c r="X16" s="2262"/>
    </row>
    <row r="17" spans="1:25" ht="28.5" customHeight="1" x14ac:dyDescent="0.25">
      <c r="A17" s="101" t="s">
        <v>44</v>
      </c>
      <c r="B17" s="2260"/>
      <c r="C17" s="2261"/>
      <c r="D17" s="218"/>
      <c r="E17" s="218"/>
      <c r="F17" s="218"/>
      <c r="G17" s="218"/>
      <c r="H17" s="218"/>
      <c r="I17" s="218"/>
      <c r="J17" s="218"/>
      <c r="K17" s="218"/>
      <c r="L17" s="218"/>
      <c r="M17" s="218"/>
      <c r="N17" s="218"/>
      <c r="O17" s="218"/>
      <c r="P17" s="218"/>
      <c r="Q17" s="2225"/>
      <c r="R17" s="2225"/>
      <c r="S17" s="215"/>
      <c r="T17" s="2273" t="s">
        <v>211</v>
      </c>
      <c r="U17" s="2274"/>
      <c r="V17" s="2262"/>
      <c r="W17" s="2262"/>
      <c r="X17" s="2262"/>
    </row>
    <row r="18" spans="1:25" ht="27" customHeight="1" x14ac:dyDescent="0.25">
      <c r="A18" s="100" t="s">
        <v>40</v>
      </c>
      <c r="B18" s="2264">
        <f>C12</f>
        <v>158521</v>
      </c>
      <c r="C18" s="2261"/>
      <c r="D18" s="219">
        <f>E12</f>
        <v>0</v>
      </c>
      <c r="E18" s="219">
        <f>G12</f>
        <v>20</v>
      </c>
      <c r="F18" s="219">
        <f>I12</f>
        <v>860</v>
      </c>
      <c r="G18" s="219">
        <f>K12</f>
        <v>0</v>
      </c>
      <c r="H18" s="218">
        <v>70</v>
      </c>
      <c r="I18" s="219">
        <f>U12</f>
        <v>12</v>
      </c>
      <c r="J18" s="218">
        <v>66</v>
      </c>
      <c r="K18" s="219">
        <f>W12</f>
        <v>0</v>
      </c>
      <c r="L18" s="218">
        <v>128</v>
      </c>
      <c r="M18" s="219">
        <f>M12</f>
        <v>0</v>
      </c>
      <c r="N18" s="219">
        <f>O12</f>
        <v>0</v>
      </c>
      <c r="O18" s="220">
        <f>Q12</f>
        <v>0</v>
      </c>
      <c r="P18" s="218"/>
      <c r="Q18" s="2262">
        <v>19</v>
      </c>
      <c r="R18" s="2262"/>
      <c r="S18" s="213"/>
      <c r="T18" s="2254" t="s">
        <v>57</v>
      </c>
      <c r="U18" s="2254"/>
      <c r="V18" s="2262">
        <f>450+49613</f>
        <v>50063</v>
      </c>
      <c r="W18" s="2262"/>
      <c r="X18" s="2262"/>
      <c r="Y18" s="2269" t="s">
        <v>238</v>
      </c>
    </row>
    <row r="19" spans="1:25" ht="25.5" customHeight="1" x14ac:dyDescent="0.25">
      <c r="A19" s="100" t="s">
        <v>41</v>
      </c>
      <c r="B19" s="2260">
        <f>B15+B16+B17-B18</f>
        <v>289391</v>
      </c>
      <c r="C19" s="2261"/>
      <c r="D19" s="218">
        <f>D15+D16+D17-D18</f>
        <v>0</v>
      </c>
      <c r="E19" s="218">
        <f t="shared" ref="E19:N19" si="13">E15+E16+E17-E18</f>
        <v>790</v>
      </c>
      <c r="F19" s="218">
        <f t="shared" si="13"/>
        <v>3580</v>
      </c>
      <c r="G19" s="218">
        <f t="shared" si="13"/>
        <v>0</v>
      </c>
      <c r="H19" s="218">
        <f t="shared" si="13"/>
        <v>182</v>
      </c>
      <c r="I19" s="218">
        <f t="shared" si="13"/>
        <v>0</v>
      </c>
      <c r="J19" s="218">
        <f t="shared" si="13"/>
        <v>94</v>
      </c>
      <c r="K19" s="218">
        <f t="shared" si="13"/>
        <v>48</v>
      </c>
      <c r="L19" s="218">
        <f t="shared" si="13"/>
        <v>776</v>
      </c>
      <c r="M19" s="218">
        <f t="shared" si="13"/>
        <v>0</v>
      </c>
      <c r="N19" s="218">
        <f t="shared" si="13"/>
        <v>100</v>
      </c>
      <c r="O19" s="218">
        <f>O15+O16+O17-O18</f>
        <v>0</v>
      </c>
      <c r="P19" s="218">
        <f>P15+P16+P17-P18</f>
        <v>417</v>
      </c>
      <c r="Q19" s="2260">
        <f t="shared" ref="Q19" si="14">Q15+Q16+Q17-Q18</f>
        <v>0</v>
      </c>
      <c r="R19" s="2261"/>
      <c r="S19" s="213">
        <f>S15+S16-S17-S18</f>
        <v>0</v>
      </c>
      <c r="T19" s="2256" t="s">
        <v>48</v>
      </c>
      <c r="U19" s="49" t="s">
        <v>58</v>
      </c>
      <c r="V19" s="2262">
        <v>158200</v>
      </c>
      <c r="W19" s="2262"/>
      <c r="X19" s="2262"/>
      <c r="Y19" s="2269"/>
    </row>
    <row r="20" spans="1:25" ht="23.25" customHeight="1" x14ac:dyDescent="0.25">
      <c r="A20" s="210" t="s">
        <v>187</v>
      </c>
      <c r="B20" s="2284">
        <f>B19*0.9625</f>
        <v>278538.83750000002</v>
      </c>
      <c r="C20" s="2285"/>
      <c r="D20" s="211">
        <f>D19*13.56</f>
        <v>0</v>
      </c>
      <c r="E20" s="211">
        <f>28.2*E19</f>
        <v>22278</v>
      </c>
      <c r="F20" s="211">
        <f>18.31*F19</f>
        <v>65549.799999999988</v>
      </c>
      <c r="G20" s="211">
        <f>19.3*G19</f>
        <v>0</v>
      </c>
      <c r="H20" s="211">
        <f>241*H19</f>
        <v>43862</v>
      </c>
      <c r="I20" s="211">
        <f>223*I19</f>
        <v>0</v>
      </c>
      <c r="J20" s="211">
        <f>241*J19</f>
        <v>22654</v>
      </c>
      <c r="K20" s="211">
        <f>K19*100</f>
        <v>4800</v>
      </c>
      <c r="L20" s="211">
        <f>241*L19</f>
        <v>187016</v>
      </c>
      <c r="M20" s="211">
        <f>9.65*M19</f>
        <v>0</v>
      </c>
      <c r="N20" s="211">
        <f>N19*48.2</f>
        <v>4820</v>
      </c>
      <c r="O20" s="211">
        <f>241*O19</f>
        <v>0</v>
      </c>
      <c r="P20" s="211">
        <f>241*P19</f>
        <v>100497</v>
      </c>
      <c r="Q20" s="2284">
        <f>241*Q19</f>
        <v>0</v>
      </c>
      <c r="R20" s="2285"/>
      <c r="S20" s="211">
        <f>241*S19</f>
        <v>0</v>
      </c>
      <c r="T20" s="2257"/>
      <c r="U20" s="49" t="s">
        <v>59</v>
      </c>
      <c r="V20" s="2262"/>
      <c r="W20" s="2262"/>
      <c r="X20" s="2262"/>
      <c r="Y20" s="2269"/>
    </row>
    <row r="21" spans="1:25" ht="32.25" customHeight="1" x14ac:dyDescent="0.25">
      <c r="A21" s="143" t="s">
        <v>186</v>
      </c>
      <c r="B21" s="2283">
        <f>SUM(B20:S20)</f>
        <v>730015.63749999995</v>
      </c>
      <c r="C21" s="2283"/>
      <c r="O21" s="222"/>
      <c r="P21" s="222"/>
      <c r="Q21" s="222"/>
      <c r="R21" s="222"/>
      <c r="T21" s="2273" t="s">
        <v>167</v>
      </c>
      <c r="U21" s="2274"/>
      <c r="V21" s="2260"/>
      <c r="W21" s="2268"/>
      <c r="X21" s="2261"/>
      <c r="Y21" s="2269"/>
    </row>
    <row r="22" spans="1:25" ht="35.25" customHeight="1" x14ac:dyDescent="0.25">
      <c r="A22" s="15"/>
      <c r="B22" s="2275" t="s">
        <v>49</v>
      </c>
      <c r="C22" s="2265">
        <v>711316</v>
      </c>
      <c r="D22" s="2265">
        <v>158200</v>
      </c>
      <c r="E22" s="2265">
        <v>150000</v>
      </c>
      <c r="F22" s="2265">
        <f>C22-D22+E22</f>
        <v>703116</v>
      </c>
      <c r="G22" s="222"/>
      <c r="Q22" s="222"/>
      <c r="R22" s="222"/>
      <c r="T22" s="2251" t="s">
        <v>83</v>
      </c>
      <c r="U22" s="50" t="s">
        <v>60</v>
      </c>
      <c r="V22" s="2262">
        <v>175920</v>
      </c>
      <c r="W22" s="2262"/>
      <c r="X22" s="2262"/>
      <c r="Y22" s="2269"/>
    </row>
    <row r="23" spans="1:25" ht="39.75" customHeight="1" x14ac:dyDescent="0.25">
      <c r="A23" s="222"/>
      <c r="B23" s="2276"/>
      <c r="C23" s="2266"/>
      <c r="D23" s="2266"/>
      <c r="E23" s="2266"/>
      <c r="F23" s="2266"/>
      <c r="G23" s="222"/>
      <c r="Q23" s="222"/>
      <c r="R23" s="222"/>
      <c r="T23" s="2252"/>
      <c r="U23" s="50" t="s">
        <v>61</v>
      </c>
      <c r="V23" s="2262">
        <v>158200</v>
      </c>
      <c r="W23" s="2262"/>
      <c r="X23" s="2262"/>
      <c r="Y23" s="2269"/>
    </row>
    <row r="24" spans="1:25" ht="48" customHeight="1" x14ac:dyDescent="0.25">
      <c r="A24" s="222"/>
      <c r="B24" s="2277"/>
      <c r="C24" s="213" t="s">
        <v>46</v>
      </c>
      <c r="D24" s="213" t="s">
        <v>50</v>
      </c>
      <c r="E24" s="213" t="s">
        <v>51</v>
      </c>
      <c r="F24" s="213" t="s">
        <v>52</v>
      </c>
      <c r="G24" s="222"/>
      <c r="Q24" s="222"/>
      <c r="R24" s="222"/>
      <c r="T24" s="2235" t="s">
        <v>47</v>
      </c>
      <c r="U24" s="51" t="s">
        <v>62</v>
      </c>
      <c r="V24" s="2263">
        <f>V14+V16+V17-V18-V19-V20-V22+V23-V21</f>
        <v>22330.672499999986</v>
      </c>
      <c r="W24" s="2263"/>
      <c r="X24" s="2263"/>
      <c r="Y24" s="2269"/>
    </row>
    <row r="25" spans="1:25" ht="40.5" customHeight="1" x14ac:dyDescent="0.25">
      <c r="T25" s="2235"/>
      <c r="U25" s="51" t="s">
        <v>63</v>
      </c>
      <c r="V25" s="2262">
        <f>V15+V22-V23</f>
        <v>148942</v>
      </c>
      <c r="W25" s="2262"/>
      <c r="X25" s="2262"/>
    </row>
    <row r="26" spans="1:25" ht="36" customHeight="1" x14ac:dyDescent="0.25"/>
    <row r="32" spans="1:25" x14ac:dyDescent="0.25">
      <c r="I32" s="2280"/>
      <c r="J32" s="2280"/>
      <c r="K32" s="2280"/>
      <c r="L32" s="2280"/>
    </row>
    <row r="33" spans="9:12" x14ac:dyDescent="0.25">
      <c r="I33" s="222"/>
      <c r="J33" s="222"/>
      <c r="K33" s="2280"/>
      <c r="L33" s="2280"/>
    </row>
  </sheetData>
  <mergeCells count="62">
    <mergeCell ref="I32:J32"/>
    <mergeCell ref="K32:L32"/>
    <mergeCell ref="K33:L33"/>
    <mergeCell ref="T22:T23"/>
    <mergeCell ref="V22:X22"/>
    <mergeCell ref="V23:X23"/>
    <mergeCell ref="T24:T25"/>
    <mergeCell ref="V24:X24"/>
    <mergeCell ref="V25:X25"/>
    <mergeCell ref="Y18:Y24"/>
    <mergeCell ref="B19:C19"/>
    <mergeCell ref="Q19:R19"/>
    <mergeCell ref="T19:T20"/>
    <mergeCell ref="V19:X19"/>
    <mergeCell ref="B20:C20"/>
    <mergeCell ref="B22:B24"/>
    <mergeCell ref="C22:C23"/>
    <mergeCell ref="D22:D23"/>
    <mergeCell ref="E22:E23"/>
    <mergeCell ref="F22:F23"/>
    <mergeCell ref="Q20:R20"/>
    <mergeCell ref="V20:X20"/>
    <mergeCell ref="B21:C21"/>
    <mergeCell ref="T21:U21"/>
    <mergeCell ref="V21:X21"/>
    <mergeCell ref="B17:C17"/>
    <mergeCell ref="Q17:R17"/>
    <mergeCell ref="T17:U17"/>
    <mergeCell ref="V17:X17"/>
    <mergeCell ref="B18:C18"/>
    <mergeCell ref="Q18:R18"/>
    <mergeCell ref="T18:U18"/>
    <mergeCell ref="V18:X18"/>
    <mergeCell ref="W4:X4"/>
    <mergeCell ref="B16:C16"/>
    <mergeCell ref="Q16:R16"/>
    <mergeCell ref="T16:U16"/>
    <mergeCell ref="V16:X16"/>
    <mergeCell ref="A12:B12"/>
    <mergeCell ref="B14:C14"/>
    <mergeCell ref="Q14:R14"/>
    <mergeCell ref="T14:T15"/>
    <mergeCell ref="V14:X14"/>
    <mergeCell ref="B15:C15"/>
    <mergeCell ref="Q15:R15"/>
    <mergeCell ref="V15:X15"/>
    <mergeCell ref="A1:Y1"/>
    <mergeCell ref="A2:Y2"/>
    <mergeCell ref="T3:Y3"/>
    <mergeCell ref="A4:A5"/>
    <mergeCell ref="B4:B5"/>
    <mergeCell ref="C4:D4"/>
    <mergeCell ref="E4:F4"/>
    <mergeCell ref="G4:H4"/>
    <mergeCell ref="I4:J4"/>
    <mergeCell ref="K4:L4"/>
    <mergeCell ref="Y4:Y5"/>
    <mergeCell ref="M4:N4"/>
    <mergeCell ref="O4:P4"/>
    <mergeCell ref="Q4:R4"/>
    <mergeCell ref="S4:T4"/>
    <mergeCell ref="U4:V4"/>
  </mergeCells>
  <pageMargins left="0.15748031496063" right="0.15748031496063" top="0" bottom="0" header="0" footer="0"/>
  <pageSetup paperSize="9" scale="47" orientation="landscape" r:id="rId1"/>
  <legacyDrawing r:id="rId2"/>
</worksheet>
</file>

<file path=xl/worksheets/sheet7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4998276-0CDC-48C7-AE55-B4354594AAC1}">
  <sheetPr>
    <pageSetUpPr fitToPage="1"/>
  </sheetPr>
  <dimension ref="A1:Y33"/>
  <sheetViews>
    <sheetView topLeftCell="A4" zoomScale="71" zoomScaleNormal="71" zoomScaleSheetLayoutView="100" workbookViewId="0">
      <selection activeCell="V18" sqref="V18:X18"/>
    </sheetView>
  </sheetViews>
  <sheetFormatPr defaultColWidth="9.140625" defaultRowHeight="15" x14ac:dyDescent="0.25"/>
  <cols>
    <col min="1" max="1" width="18.28515625" style="14" customWidth="1"/>
    <col min="2" max="2" width="10.7109375" style="14" customWidth="1"/>
    <col min="3" max="3" width="12.28515625" style="14" customWidth="1"/>
    <col min="4" max="4" width="11" style="14" customWidth="1"/>
    <col min="5" max="5" width="12" style="14" customWidth="1"/>
    <col min="6" max="6" width="12.5703125" style="14" bestFit="1" customWidth="1"/>
    <col min="7" max="7" width="9.28515625" style="14" bestFit="1" customWidth="1"/>
    <col min="8" max="8" width="10.140625" style="14" bestFit="1" customWidth="1"/>
    <col min="9" max="9" width="10.5703125" style="14" bestFit="1" customWidth="1"/>
    <col min="10" max="10" width="10.5703125" style="14" customWidth="1"/>
    <col min="11" max="11" width="10.28515625" style="14" bestFit="1" customWidth="1"/>
    <col min="12" max="12" width="10.42578125" style="14" bestFit="1" customWidth="1"/>
    <col min="13" max="13" width="9.85546875" style="14" bestFit="1" customWidth="1"/>
    <col min="14" max="14" width="10.140625" style="14" bestFit="1" customWidth="1"/>
    <col min="15" max="15" width="9" style="14" customWidth="1"/>
    <col min="16" max="16" width="12.85546875" style="14" bestFit="1" customWidth="1"/>
    <col min="17" max="18" width="9.42578125" style="14" customWidth="1"/>
    <col min="19" max="19" width="13.7109375" style="14" customWidth="1"/>
    <col min="20" max="20" width="12.140625" style="14" customWidth="1"/>
    <col min="21" max="21" width="19.5703125" style="14" bestFit="1" customWidth="1"/>
    <col min="22" max="22" width="9.85546875" style="14" customWidth="1"/>
    <col min="23" max="23" width="10.140625" style="14" bestFit="1" customWidth="1"/>
    <col min="24" max="24" width="10.28515625" style="14" customWidth="1"/>
    <col min="25" max="25" width="28" style="14" customWidth="1"/>
    <col min="26" max="16384" width="9.140625" style="14"/>
  </cols>
  <sheetData>
    <row r="1" spans="1:25" ht="46.15" customHeight="1" x14ac:dyDescent="0.25">
      <c r="A1" s="2240" t="s">
        <v>148</v>
      </c>
      <c r="B1" s="2240"/>
      <c r="C1" s="2240"/>
      <c r="D1" s="2240"/>
      <c r="E1" s="2240"/>
      <c r="F1" s="2240"/>
      <c r="G1" s="2240"/>
      <c r="H1" s="2240"/>
      <c r="I1" s="2240"/>
      <c r="J1" s="2240"/>
      <c r="K1" s="2240"/>
      <c r="L1" s="2240"/>
      <c r="M1" s="2240"/>
      <c r="N1" s="2240"/>
      <c r="O1" s="2240"/>
      <c r="P1" s="2240"/>
      <c r="Q1" s="2240"/>
      <c r="R1" s="2240"/>
      <c r="S1" s="2240"/>
      <c r="T1" s="2240"/>
      <c r="U1" s="2240"/>
      <c r="V1" s="2240"/>
      <c r="W1" s="2240"/>
      <c r="X1" s="2240"/>
      <c r="Y1" s="2240"/>
    </row>
    <row r="2" spans="1:25" ht="21.6" customHeight="1" x14ac:dyDescent="0.25">
      <c r="A2" s="2241" t="s">
        <v>77</v>
      </c>
      <c r="B2" s="2241"/>
      <c r="C2" s="2241"/>
      <c r="D2" s="2241"/>
      <c r="E2" s="2241"/>
      <c r="F2" s="2241"/>
      <c r="G2" s="2241"/>
      <c r="H2" s="2241"/>
      <c r="I2" s="2241"/>
      <c r="J2" s="2241"/>
      <c r="K2" s="2241"/>
      <c r="L2" s="2241"/>
      <c r="M2" s="2241"/>
      <c r="N2" s="2241"/>
      <c r="O2" s="2241"/>
      <c r="P2" s="2241"/>
      <c r="Q2" s="2241"/>
      <c r="R2" s="2241"/>
      <c r="S2" s="2241"/>
      <c r="T2" s="2241"/>
      <c r="U2" s="2241"/>
      <c r="V2" s="2241"/>
      <c r="W2" s="2241"/>
      <c r="X2" s="2241"/>
      <c r="Y2" s="2241"/>
    </row>
    <row r="3" spans="1:25" ht="21" customHeight="1" x14ac:dyDescent="0.25">
      <c r="A3" s="212"/>
      <c r="B3" s="212"/>
      <c r="C3" s="212"/>
      <c r="D3" s="212"/>
      <c r="E3" s="212"/>
      <c r="F3" s="212"/>
      <c r="G3" s="212"/>
      <c r="H3" s="212"/>
      <c r="I3" s="212"/>
      <c r="J3" s="212"/>
      <c r="K3" s="212"/>
      <c r="L3" s="212"/>
      <c r="M3" s="212"/>
      <c r="N3" s="212"/>
      <c r="O3" s="212"/>
      <c r="P3" s="212"/>
      <c r="Q3" s="212"/>
      <c r="R3" s="212"/>
      <c r="S3" s="212"/>
      <c r="T3" s="2242" t="s">
        <v>239</v>
      </c>
      <c r="U3" s="2242"/>
      <c r="V3" s="2242"/>
      <c r="W3" s="2242"/>
      <c r="X3" s="2242"/>
      <c r="Y3" s="2242"/>
    </row>
    <row r="4" spans="1:25" s="212" customFormat="1" ht="18" customHeight="1" x14ac:dyDescent="0.25">
      <c r="A4" s="2243" t="s">
        <v>25</v>
      </c>
      <c r="B4" s="2243" t="s">
        <v>26</v>
      </c>
      <c r="C4" s="2244" t="s">
        <v>27</v>
      </c>
      <c r="D4" s="2244"/>
      <c r="E4" s="2244" t="s">
        <v>28</v>
      </c>
      <c r="F4" s="2244"/>
      <c r="G4" s="2244" t="s">
        <v>65</v>
      </c>
      <c r="H4" s="2244"/>
      <c r="I4" s="2244" t="s">
        <v>29</v>
      </c>
      <c r="J4" s="2244"/>
      <c r="K4" s="2245" t="s">
        <v>13</v>
      </c>
      <c r="L4" s="2246"/>
      <c r="M4" s="2245" t="s">
        <v>67</v>
      </c>
      <c r="N4" s="2246"/>
      <c r="O4" s="2245" t="s">
        <v>68</v>
      </c>
      <c r="P4" s="2246"/>
      <c r="Q4" s="2245" t="s">
        <v>114</v>
      </c>
      <c r="R4" s="2246"/>
      <c r="S4" s="2244" t="s">
        <v>35</v>
      </c>
      <c r="T4" s="2244"/>
      <c r="U4" s="2245" t="s">
        <v>17</v>
      </c>
      <c r="V4" s="2246"/>
      <c r="W4" s="2247" t="s">
        <v>36</v>
      </c>
      <c r="X4" s="2248"/>
      <c r="Y4" s="2238" t="s">
        <v>30</v>
      </c>
    </row>
    <row r="5" spans="1:25" s="212" customFormat="1" ht="25.5" customHeight="1" x14ac:dyDescent="0.25">
      <c r="A5" s="2243"/>
      <c r="B5" s="2243"/>
      <c r="C5" s="214" t="s">
        <v>42</v>
      </c>
      <c r="D5" s="214" t="s">
        <v>43</v>
      </c>
      <c r="E5" s="214" t="s">
        <v>42</v>
      </c>
      <c r="F5" s="214" t="s">
        <v>43</v>
      </c>
      <c r="G5" s="214" t="s">
        <v>42</v>
      </c>
      <c r="H5" s="214" t="s">
        <v>43</v>
      </c>
      <c r="I5" s="214" t="s">
        <v>42</v>
      </c>
      <c r="J5" s="214" t="s">
        <v>43</v>
      </c>
      <c r="K5" s="214" t="s">
        <v>42</v>
      </c>
      <c r="L5" s="214" t="s">
        <v>43</v>
      </c>
      <c r="M5" s="214" t="s">
        <v>42</v>
      </c>
      <c r="N5" s="214" t="s">
        <v>43</v>
      </c>
      <c r="O5" s="214" t="s">
        <v>42</v>
      </c>
      <c r="P5" s="214" t="s">
        <v>43</v>
      </c>
      <c r="Q5" s="214" t="s">
        <v>42</v>
      </c>
      <c r="R5" s="214" t="s">
        <v>43</v>
      </c>
      <c r="S5" s="33" t="s">
        <v>42</v>
      </c>
      <c r="T5" s="33" t="s">
        <v>43</v>
      </c>
      <c r="U5" s="30" t="s">
        <v>42</v>
      </c>
      <c r="V5" s="30" t="s">
        <v>43</v>
      </c>
      <c r="W5" s="30" t="s">
        <v>42</v>
      </c>
      <c r="X5" s="30" t="s">
        <v>43</v>
      </c>
      <c r="Y5" s="2239"/>
    </row>
    <row r="6" spans="1:25" ht="34.5" customHeight="1" x14ac:dyDescent="0.25">
      <c r="A6" s="12">
        <v>1409935200</v>
      </c>
      <c r="B6" s="213" t="s">
        <v>71</v>
      </c>
      <c r="C6" s="216">
        <v>27378</v>
      </c>
      <c r="D6" s="217">
        <f>0.9725*C6</f>
        <v>26625.105</v>
      </c>
      <c r="E6" s="216"/>
      <c r="F6" s="216">
        <f>13.7*E6</f>
        <v>0</v>
      </c>
      <c r="G6" s="216"/>
      <c r="H6" s="216">
        <f>28.2*G6</f>
        <v>0</v>
      </c>
      <c r="I6" s="216">
        <v>360</v>
      </c>
      <c r="J6" s="216">
        <f>18.5*I6</f>
        <v>6660</v>
      </c>
      <c r="K6" s="216"/>
      <c r="L6" s="216">
        <f>19.5*K6</f>
        <v>0</v>
      </c>
      <c r="M6" s="216"/>
      <c r="N6" s="217">
        <f>M6*9.75</f>
        <v>0</v>
      </c>
      <c r="O6" s="216"/>
      <c r="P6" s="217">
        <f>O6*48.62</f>
        <v>0</v>
      </c>
      <c r="Q6" s="217"/>
      <c r="R6" s="217">
        <f>241*Q6</f>
        <v>0</v>
      </c>
      <c r="S6" s="216"/>
      <c r="T6" s="216">
        <f>241*S6</f>
        <v>0</v>
      </c>
      <c r="U6" s="216"/>
      <c r="V6" s="216">
        <f>232*U6</f>
        <v>0</v>
      </c>
      <c r="W6" s="216"/>
      <c r="X6" s="19">
        <f>W6*100</f>
        <v>0</v>
      </c>
      <c r="Y6" s="89">
        <f t="shared" ref="Y6:Y11" si="0">D6+F6+H6+J6+L6+N6+P6+R6+T6+V6+X6</f>
        <v>33285.104999999996</v>
      </c>
    </row>
    <row r="7" spans="1:25" ht="31.5" customHeight="1" x14ac:dyDescent="0.25">
      <c r="A7" s="12">
        <v>1984225578</v>
      </c>
      <c r="B7" s="213" t="s">
        <v>72</v>
      </c>
      <c r="C7" s="216">
        <v>33091</v>
      </c>
      <c r="D7" s="217">
        <f t="shared" ref="D7:D11" si="1">0.9725*C7</f>
        <v>32180.997500000001</v>
      </c>
      <c r="E7" s="216"/>
      <c r="F7" s="216">
        <f t="shared" ref="F7:F11" si="2">13.7*E7</f>
        <v>0</v>
      </c>
      <c r="G7" s="216">
        <v>50</v>
      </c>
      <c r="H7" s="216">
        <f t="shared" ref="H7:H11" si="3">28.2*G7</f>
        <v>1410</v>
      </c>
      <c r="I7" s="216">
        <v>250</v>
      </c>
      <c r="J7" s="216">
        <f t="shared" ref="J7:J11" si="4">18.5*I7</f>
        <v>4625</v>
      </c>
      <c r="K7" s="216"/>
      <c r="L7" s="216">
        <f t="shared" ref="L7:L11" si="5">19.5*K7</f>
        <v>0</v>
      </c>
      <c r="M7" s="216"/>
      <c r="N7" s="217">
        <f t="shared" ref="N7:N11" si="6">M7*9.75</f>
        <v>0</v>
      </c>
      <c r="O7" s="216"/>
      <c r="P7" s="217">
        <f t="shared" ref="P7:P11" si="7">O7*48.62</f>
        <v>0</v>
      </c>
      <c r="Q7" s="217"/>
      <c r="R7" s="217">
        <f t="shared" ref="R7:R11" si="8">241*Q7</f>
        <v>0</v>
      </c>
      <c r="S7" s="216"/>
      <c r="T7" s="216">
        <f t="shared" ref="T7:T11" si="9">241*S7</f>
        <v>0</v>
      </c>
      <c r="U7" s="216"/>
      <c r="V7" s="216">
        <f t="shared" ref="V7:V11" si="10">232*U7</f>
        <v>0</v>
      </c>
      <c r="W7" s="216"/>
      <c r="X7" s="19">
        <f t="shared" ref="X7:X11" si="11">W7*100</f>
        <v>0</v>
      </c>
      <c r="Y7" s="89">
        <f t="shared" si="0"/>
        <v>38215.997499999998</v>
      </c>
    </row>
    <row r="8" spans="1:25" ht="35.25" customHeight="1" x14ac:dyDescent="0.25">
      <c r="A8" s="12">
        <v>1967020280</v>
      </c>
      <c r="B8" s="213" t="s">
        <v>73</v>
      </c>
      <c r="C8" s="216">
        <v>69355</v>
      </c>
      <c r="D8" s="217">
        <f t="shared" si="1"/>
        <v>67447.737500000003</v>
      </c>
      <c r="E8" s="216"/>
      <c r="F8" s="216">
        <f t="shared" si="2"/>
        <v>0</v>
      </c>
      <c r="G8" s="216">
        <v>200</v>
      </c>
      <c r="H8" s="216">
        <f t="shared" si="3"/>
        <v>5640</v>
      </c>
      <c r="I8" s="216">
        <v>880</v>
      </c>
      <c r="J8" s="216">
        <f t="shared" si="4"/>
        <v>16280</v>
      </c>
      <c r="K8" s="216"/>
      <c r="L8" s="216">
        <f t="shared" si="5"/>
        <v>0</v>
      </c>
      <c r="M8" s="216"/>
      <c r="N8" s="217">
        <f t="shared" si="6"/>
        <v>0</v>
      </c>
      <c r="O8" s="216"/>
      <c r="P8" s="217">
        <f t="shared" si="7"/>
        <v>0</v>
      </c>
      <c r="Q8" s="217"/>
      <c r="R8" s="217">
        <f t="shared" si="8"/>
        <v>0</v>
      </c>
      <c r="S8" s="216"/>
      <c r="T8" s="216">
        <f t="shared" si="9"/>
        <v>0</v>
      </c>
      <c r="U8" s="216"/>
      <c r="V8" s="216">
        <f t="shared" si="10"/>
        <v>0</v>
      </c>
      <c r="W8" s="216"/>
      <c r="X8" s="19">
        <f t="shared" si="11"/>
        <v>0</v>
      </c>
      <c r="Y8" s="89">
        <f t="shared" si="0"/>
        <v>89367.737500000003</v>
      </c>
    </row>
    <row r="9" spans="1:25" ht="38.25" customHeight="1" x14ac:dyDescent="0.25">
      <c r="A9" s="12">
        <v>1409935199</v>
      </c>
      <c r="B9" s="213" t="s">
        <v>75</v>
      </c>
      <c r="C9" s="216">
        <v>16093</v>
      </c>
      <c r="D9" s="217">
        <f t="shared" si="1"/>
        <v>15650.442500000001</v>
      </c>
      <c r="E9" s="216"/>
      <c r="F9" s="216">
        <f t="shared" si="2"/>
        <v>0</v>
      </c>
      <c r="G9" s="216"/>
      <c r="H9" s="216">
        <f t="shared" si="3"/>
        <v>0</v>
      </c>
      <c r="I9" s="216">
        <v>680</v>
      </c>
      <c r="J9" s="216">
        <f t="shared" si="4"/>
        <v>12580</v>
      </c>
      <c r="K9" s="216"/>
      <c r="L9" s="216">
        <f t="shared" si="5"/>
        <v>0</v>
      </c>
      <c r="M9" s="216"/>
      <c r="N9" s="217">
        <f t="shared" si="6"/>
        <v>0</v>
      </c>
      <c r="O9" s="216"/>
      <c r="P9" s="217">
        <f t="shared" si="7"/>
        <v>0</v>
      </c>
      <c r="Q9" s="217"/>
      <c r="R9" s="217">
        <f t="shared" si="8"/>
        <v>0</v>
      </c>
      <c r="S9" s="216"/>
      <c r="T9" s="216">
        <f t="shared" si="9"/>
        <v>0</v>
      </c>
      <c r="U9" s="216"/>
      <c r="V9" s="216">
        <f t="shared" si="10"/>
        <v>0</v>
      </c>
      <c r="W9" s="216"/>
      <c r="X9" s="19">
        <f t="shared" si="11"/>
        <v>0</v>
      </c>
      <c r="Y9" s="89">
        <f t="shared" si="0"/>
        <v>28230.442500000001</v>
      </c>
    </row>
    <row r="10" spans="1:25" ht="35.25" customHeight="1" x14ac:dyDescent="0.25">
      <c r="A10" s="12">
        <v>1984225580</v>
      </c>
      <c r="C10" s="216"/>
      <c r="D10" s="217">
        <f t="shared" si="1"/>
        <v>0</v>
      </c>
      <c r="E10" s="216"/>
      <c r="F10" s="216">
        <f t="shared" si="2"/>
        <v>0</v>
      </c>
      <c r="G10" s="216"/>
      <c r="H10" s="216">
        <f t="shared" si="3"/>
        <v>0</v>
      </c>
      <c r="I10" s="216"/>
      <c r="J10" s="216">
        <f t="shared" si="4"/>
        <v>0</v>
      </c>
      <c r="K10" s="216"/>
      <c r="L10" s="216">
        <f t="shared" si="5"/>
        <v>0</v>
      </c>
      <c r="M10" s="216"/>
      <c r="N10" s="217">
        <f t="shared" si="6"/>
        <v>0</v>
      </c>
      <c r="O10" s="216"/>
      <c r="P10" s="217">
        <f t="shared" si="7"/>
        <v>0</v>
      </c>
      <c r="Q10" s="217"/>
      <c r="R10" s="217">
        <f t="shared" si="8"/>
        <v>0</v>
      </c>
      <c r="S10" s="216"/>
      <c r="T10" s="216">
        <f t="shared" si="9"/>
        <v>0</v>
      </c>
      <c r="U10" s="216"/>
      <c r="V10" s="216">
        <f t="shared" si="10"/>
        <v>0</v>
      </c>
      <c r="W10" s="216"/>
      <c r="X10" s="19">
        <f t="shared" si="11"/>
        <v>0</v>
      </c>
      <c r="Y10" s="89">
        <f t="shared" si="0"/>
        <v>0</v>
      </c>
    </row>
    <row r="11" spans="1:25" ht="37.5" customHeight="1" x14ac:dyDescent="0.25">
      <c r="A11" s="12"/>
      <c r="B11" s="215"/>
      <c r="C11" s="216"/>
      <c r="D11" s="22">
        <f t="shared" si="1"/>
        <v>0</v>
      </c>
      <c r="E11" s="216"/>
      <c r="F11" s="216">
        <f t="shared" si="2"/>
        <v>0</v>
      </c>
      <c r="G11" s="216"/>
      <c r="H11" s="216">
        <f t="shared" si="3"/>
        <v>0</v>
      </c>
      <c r="I11" s="216"/>
      <c r="J11" s="216">
        <f t="shared" si="4"/>
        <v>0</v>
      </c>
      <c r="K11" s="216"/>
      <c r="L11" s="216">
        <f t="shared" si="5"/>
        <v>0</v>
      </c>
      <c r="M11" s="216"/>
      <c r="N11" s="217">
        <f t="shared" si="6"/>
        <v>0</v>
      </c>
      <c r="O11" s="216"/>
      <c r="P11" s="217">
        <f t="shared" si="7"/>
        <v>0</v>
      </c>
      <c r="Q11" s="217"/>
      <c r="R11" s="217">
        <f t="shared" si="8"/>
        <v>0</v>
      </c>
      <c r="S11" s="216"/>
      <c r="T11" s="216">
        <f t="shared" si="9"/>
        <v>0</v>
      </c>
      <c r="U11" s="216"/>
      <c r="V11" s="216">
        <f t="shared" si="10"/>
        <v>0</v>
      </c>
      <c r="W11" s="216"/>
      <c r="X11" s="19">
        <f t="shared" si="11"/>
        <v>0</v>
      </c>
      <c r="Y11" s="20">
        <f t="shared" si="0"/>
        <v>0</v>
      </c>
    </row>
    <row r="12" spans="1:25" ht="29.25" customHeight="1" x14ac:dyDescent="0.25">
      <c r="A12" s="2235" t="s">
        <v>31</v>
      </c>
      <c r="B12" s="2235"/>
      <c r="C12" s="18">
        <f t="shared" ref="C12:Y12" si="12">SUM(C6:C11)</f>
        <v>145917</v>
      </c>
      <c r="D12" s="18">
        <f t="shared" si="12"/>
        <v>141904.2825</v>
      </c>
      <c r="E12" s="18">
        <f t="shared" si="12"/>
        <v>0</v>
      </c>
      <c r="F12" s="18">
        <f t="shared" si="12"/>
        <v>0</v>
      </c>
      <c r="G12" s="18">
        <f t="shared" si="12"/>
        <v>250</v>
      </c>
      <c r="H12" s="18">
        <f t="shared" si="12"/>
        <v>7050</v>
      </c>
      <c r="I12" s="18">
        <f t="shared" si="12"/>
        <v>2170</v>
      </c>
      <c r="J12" s="18">
        <f t="shared" si="12"/>
        <v>40145</v>
      </c>
      <c r="K12" s="18">
        <f t="shared" si="12"/>
        <v>0</v>
      </c>
      <c r="L12" s="18">
        <f t="shared" si="12"/>
        <v>0</v>
      </c>
      <c r="M12" s="18">
        <f t="shared" si="12"/>
        <v>0</v>
      </c>
      <c r="N12" s="23">
        <f t="shared" si="12"/>
        <v>0</v>
      </c>
      <c r="O12" s="18">
        <f t="shared" si="12"/>
        <v>0</v>
      </c>
      <c r="P12" s="23">
        <f t="shared" si="12"/>
        <v>0</v>
      </c>
      <c r="Q12" s="23">
        <f t="shared" si="12"/>
        <v>0</v>
      </c>
      <c r="R12" s="23">
        <f>SUM(R6:R11)</f>
        <v>0</v>
      </c>
      <c r="S12" s="18">
        <f t="shared" si="12"/>
        <v>0</v>
      </c>
      <c r="T12" s="18">
        <f t="shared" si="12"/>
        <v>0</v>
      </c>
      <c r="U12" s="18">
        <f t="shared" si="12"/>
        <v>0</v>
      </c>
      <c r="V12" s="18">
        <f t="shared" si="12"/>
        <v>0</v>
      </c>
      <c r="W12" s="18">
        <f t="shared" si="12"/>
        <v>0</v>
      </c>
      <c r="X12" s="18">
        <f t="shared" si="12"/>
        <v>0</v>
      </c>
      <c r="Y12" s="18">
        <f t="shared" si="12"/>
        <v>189099.2825</v>
      </c>
    </row>
    <row r="14" spans="1:25" ht="41.25" customHeight="1" x14ac:dyDescent="0.25">
      <c r="A14" s="30" t="s">
        <v>32</v>
      </c>
      <c r="B14" s="2236" t="s">
        <v>27</v>
      </c>
      <c r="C14" s="2236"/>
      <c r="D14" s="30" t="s">
        <v>33</v>
      </c>
      <c r="E14" s="30" t="s">
        <v>65</v>
      </c>
      <c r="F14" s="30" t="s">
        <v>34</v>
      </c>
      <c r="G14" s="30" t="s">
        <v>13</v>
      </c>
      <c r="H14" s="142" t="s">
        <v>173</v>
      </c>
      <c r="I14" s="30" t="s">
        <v>17</v>
      </c>
      <c r="J14" s="221" t="s">
        <v>174</v>
      </c>
      <c r="K14" s="30" t="s">
        <v>36</v>
      </c>
      <c r="L14" s="30" t="s">
        <v>175</v>
      </c>
      <c r="M14" s="30" t="s">
        <v>69</v>
      </c>
      <c r="N14" s="30" t="s">
        <v>70</v>
      </c>
      <c r="O14" s="221" t="s">
        <v>114</v>
      </c>
      <c r="P14" s="221" t="s">
        <v>99</v>
      </c>
      <c r="Q14" s="2272" t="s">
        <v>228</v>
      </c>
      <c r="R14" s="2272"/>
      <c r="S14" s="221"/>
      <c r="T14" s="2235" t="s">
        <v>46</v>
      </c>
      <c r="U14" s="213" t="s">
        <v>176</v>
      </c>
      <c r="V14" s="2260">
        <v>22331</v>
      </c>
      <c r="W14" s="2268"/>
      <c r="X14" s="2261"/>
    </row>
    <row r="15" spans="1:25" ht="22.5" customHeight="1" x14ac:dyDescent="0.25">
      <c r="A15" s="100" t="s">
        <v>38</v>
      </c>
      <c r="B15" s="2260">
        <v>289391</v>
      </c>
      <c r="C15" s="2261"/>
      <c r="D15" s="218">
        <v>0</v>
      </c>
      <c r="E15" s="218">
        <v>790</v>
      </c>
      <c r="F15" s="218">
        <v>3580</v>
      </c>
      <c r="G15" s="218">
        <v>0</v>
      </c>
      <c r="H15" s="218">
        <v>182</v>
      </c>
      <c r="I15" s="218">
        <v>0</v>
      </c>
      <c r="J15" s="218">
        <v>94</v>
      </c>
      <c r="K15" s="218">
        <v>48</v>
      </c>
      <c r="L15" s="218">
        <v>776</v>
      </c>
      <c r="M15" s="218">
        <v>0</v>
      </c>
      <c r="N15" s="218">
        <v>100</v>
      </c>
      <c r="O15" s="218">
        <v>0</v>
      </c>
      <c r="P15" s="218">
        <v>417</v>
      </c>
      <c r="Q15" s="2262">
        <v>0</v>
      </c>
      <c r="R15" s="2262"/>
      <c r="S15" s="213">
        <v>0</v>
      </c>
      <c r="T15" s="2235"/>
      <c r="U15" s="213" t="s">
        <v>64</v>
      </c>
      <c r="V15" s="2262">
        <v>148942</v>
      </c>
      <c r="W15" s="2262"/>
      <c r="X15" s="2262"/>
    </row>
    <row r="16" spans="1:25" ht="24.75" customHeight="1" x14ac:dyDescent="0.25">
      <c r="A16" s="100" t="s">
        <v>39</v>
      </c>
      <c r="B16" s="2260"/>
      <c r="C16" s="2261"/>
      <c r="D16" s="218"/>
      <c r="E16" s="218"/>
      <c r="F16" s="218"/>
      <c r="G16" s="218"/>
      <c r="H16" s="218"/>
      <c r="I16" s="218"/>
      <c r="J16" s="218"/>
      <c r="K16" s="218"/>
      <c r="L16" s="218">
        <v>75</v>
      </c>
      <c r="M16" s="218"/>
      <c r="N16" s="218"/>
      <c r="O16" s="218"/>
      <c r="P16" s="218"/>
      <c r="Q16" s="2225"/>
      <c r="R16" s="2225"/>
      <c r="S16" s="218"/>
      <c r="T16" s="2254" t="s">
        <v>55</v>
      </c>
      <c r="U16" s="2254"/>
      <c r="V16" s="2267">
        <f>Y12</f>
        <v>189099.2825</v>
      </c>
      <c r="W16" s="2267"/>
      <c r="X16" s="2262"/>
    </row>
    <row r="17" spans="1:25" ht="28.5" customHeight="1" x14ac:dyDescent="0.25">
      <c r="A17" s="101" t="s">
        <v>44</v>
      </c>
      <c r="B17" s="2260"/>
      <c r="C17" s="2261"/>
      <c r="D17" s="218"/>
      <c r="E17" s="218"/>
      <c r="F17" s="218"/>
      <c r="G17" s="218"/>
      <c r="H17" s="218"/>
      <c r="I17" s="218"/>
      <c r="J17" s="218"/>
      <c r="K17" s="218"/>
      <c r="L17" s="218"/>
      <c r="M17" s="218"/>
      <c r="N17" s="218"/>
      <c r="O17" s="218"/>
      <c r="P17" s="218"/>
      <c r="Q17" s="2225"/>
      <c r="R17" s="2225"/>
      <c r="S17" s="215"/>
      <c r="T17" s="2273" t="s">
        <v>211</v>
      </c>
      <c r="U17" s="2274"/>
      <c r="V17" s="2262"/>
      <c r="W17" s="2262"/>
      <c r="X17" s="2262"/>
    </row>
    <row r="18" spans="1:25" ht="27" customHeight="1" x14ac:dyDescent="0.25">
      <c r="A18" s="100" t="s">
        <v>40</v>
      </c>
      <c r="B18" s="2264">
        <f>C12</f>
        <v>145917</v>
      </c>
      <c r="C18" s="2261"/>
      <c r="D18" s="219">
        <f>E12</f>
        <v>0</v>
      </c>
      <c r="E18" s="219">
        <f>G12</f>
        <v>250</v>
      </c>
      <c r="F18" s="219">
        <f>I12</f>
        <v>2170</v>
      </c>
      <c r="G18" s="219">
        <f>K12</f>
        <v>0</v>
      </c>
      <c r="H18" s="218">
        <v>75</v>
      </c>
      <c r="I18" s="219">
        <f>U12</f>
        <v>0</v>
      </c>
      <c r="J18" s="218"/>
      <c r="K18" s="219">
        <f>W12</f>
        <v>0</v>
      </c>
      <c r="L18" s="218"/>
      <c r="M18" s="219">
        <f>M12</f>
        <v>0</v>
      </c>
      <c r="N18" s="219">
        <f>O12</f>
        <v>0</v>
      </c>
      <c r="O18" s="220">
        <f>Q12</f>
        <v>0</v>
      </c>
      <c r="P18" s="218"/>
      <c r="Q18" s="2262"/>
      <c r="R18" s="2262"/>
      <c r="S18" s="213"/>
      <c r="T18" s="2254" t="s">
        <v>57</v>
      </c>
      <c r="U18" s="2254"/>
      <c r="V18" s="2262">
        <f>500+200+190+270</f>
        <v>1160</v>
      </c>
      <c r="W18" s="2262"/>
      <c r="X18" s="2262"/>
      <c r="Y18" s="2269" t="s">
        <v>240</v>
      </c>
    </row>
    <row r="19" spans="1:25" ht="25.5" customHeight="1" x14ac:dyDescent="0.25">
      <c r="A19" s="100" t="s">
        <v>41</v>
      </c>
      <c r="B19" s="2260">
        <f>B15+B16+B17-B18</f>
        <v>143474</v>
      </c>
      <c r="C19" s="2261"/>
      <c r="D19" s="218">
        <f>D15+D16+D17-D18</f>
        <v>0</v>
      </c>
      <c r="E19" s="218">
        <f t="shared" ref="E19:N19" si="13">E15+E16+E17-E18</f>
        <v>540</v>
      </c>
      <c r="F19" s="218">
        <f t="shared" si="13"/>
        <v>1410</v>
      </c>
      <c r="G19" s="218">
        <f t="shared" si="13"/>
        <v>0</v>
      </c>
      <c r="H19" s="218">
        <f t="shared" si="13"/>
        <v>107</v>
      </c>
      <c r="I19" s="218">
        <f t="shared" si="13"/>
        <v>0</v>
      </c>
      <c r="J19" s="218">
        <f t="shared" si="13"/>
        <v>94</v>
      </c>
      <c r="K19" s="218">
        <f t="shared" si="13"/>
        <v>48</v>
      </c>
      <c r="L19" s="218">
        <f t="shared" si="13"/>
        <v>851</v>
      </c>
      <c r="M19" s="218">
        <f t="shared" si="13"/>
        <v>0</v>
      </c>
      <c r="N19" s="218">
        <f t="shared" si="13"/>
        <v>100</v>
      </c>
      <c r="O19" s="218">
        <f>O15+O16+O17-O18</f>
        <v>0</v>
      </c>
      <c r="P19" s="218">
        <f>P15+P16+P17-P18</f>
        <v>417</v>
      </c>
      <c r="Q19" s="2260">
        <f t="shared" ref="Q19" si="14">Q15+Q16+Q17-Q18</f>
        <v>0</v>
      </c>
      <c r="R19" s="2261"/>
      <c r="S19" s="213">
        <f>S15+S16-S17-S18</f>
        <v>0</v>
      </c>
      <c r="T19" s="2256" t="s">
        <v>48</v>
      </c>
      <c r="U19" s="49" t="s">
        <v>58</v>
      </c>
      <c r="V19" s="2262"/>
      <c r="W19" s="2262"/>
      <c r="X19" s="2262"/>
      <c r="Y19" s="2269"/>
    </row>
    <row r="20" spans="1:25" ht="23.25" customHeight="1" x14ac:dyDescent="0.25">
      <c r="A20" s="210" t="s">
        <v>187</v>
      </c>
      <c r="B20" s="2284">
        <f>B19*0.9625</f>
        <v>138093.72500000001</v>
      </c>
      <c r="C20" s="2285"/>
      <c r="D20" s="211">
        <f>D19*13.56</f>
        <v>0</v>
      </c>
      <c r="E20" s="211">
        <f>28.2*E19</f>
        <v>15228</v>
      </c>
      <c r="F20" s="211">
        <f>18.31*F19</f>
        <v>25817.1</v>
      </c>
      <c r="G20" s="211">
        <f>19.3*G19</f>
        <v>0</v>
      </c>
      <c r="H20" s="211">
        <f>241*H19</f>
        <v>25787</v>
      </c>
      <c r="I20" s="211">
        <f>223*I19</f>
        <v>0</v>
      </c>
      <c r="J20" s="211">
        <f>241*J19</f>
        <v>22654</v>
      </c>
      <c r="K20" s="211">
        <f>K19*100</f>
        <v>4800</v>
      </c>
      <c r="L20" s="211">
        <f>241*L19</f>
        <v>205091</v>
      </c>
      <c r="M20" s="211">
        <f>9.65*M19</f>
        <v>0</v>
      </c>
      <c r="N20" s="211">
        <f>N19*48.2</f>
        <v>4820</v>
      </c>
      <c r="O20" s="211">
        <f>241*O19</f>
        <v>0</v>
      </c>
      <c r="P20" s="211">
        <f>241*P19</f>
        <v>100497</v>
      </c>
      <c r="Q20" s="2284">
        <f>241*Q19</f>
        <v>0</v>
      </c>
      <c r="R20" s="2285"/>
      <c r="S20" s="211">
        <f>241*S19</f>
        <v>0</v>
      </c>
      <c r="T20" s="2257"/>
      <c r="U20" s="49" t="s">
        <v>59</v>
      </c>
      <c r="V20" s="2262"/>
      <c r="W20" s="2262"/>
      <c r="X20" s="2262"/>
      <c r="Y20" s="2269"/>
    </row>
    <row r="21" spans="1:25" ht="32.25" customHeight="1" x14ac:dyDescent="0.25">
      <c r="A21" s="143" t="s">
        <v>186</v>
      </c>
      <c r="B21" s="2283">
        <f>SUM(B20:S20)</f>
        <v>542787.82499999995</v>
      </c>
      <c r="C21" s="2283"/>
      <c r="O21" s="222"/>
      <c r="P21" s="222"/>
      <c r="Q21" s="222"/>
      <c r="R21" s="222"/>
      <c r="T21" s="2273" t="s">
        <v>167</v>
      </c>
      <c r="U21" s="2274"/>
      <c r="V21" s="2260"/>
      <c r="W21" s="2268"/>
      <c r="X21" s="2261"/>
      <c r="Y21" s="2269"/>
    </row>
    <row r="22" spans="1:25" ht="35.25" customHeight="1" x14ac:dyDescent="0.25">
      <c r="A22" s="15"/>
      <c r="B22" s="2275" t="s">
        <v>49</v>
      </c>
      <c r="C22" s="2265">
        <v>703116</v>
      </c>
      <c r="D22" s="2265"/>
      <c r="E22" s="2265"/>
      <c r="F22" s="2265">
        <f>C22-D22+E22</f>
        <v>703116</v>
      </c>
      <c r="G22" s="222"/>
      <c r="Q22" s="222"/>
      <c r="R22" s="222"/>
      <c r="T22" s="2251" t="s">
        <v>83</v>
      </c>
      <c r="U22" s="50" t="s">
        <v>60</v>
      </c>
      <c r="V22" s="2262"/>
      <c r="W22" s="2262"/>
      <c r="X22" s="2262"/>
      <c r="Y22" s="2269"/>
    </row>
    <row r="23" spans="1:25" ht="39.75" customHeight="1" x14ac:dyDescent="0.25">
      <c r="A23" s="222"/>
      <c r="B23" s="2276"/>
      <c r="C23" s="2266"/>
      <c r="D23" s="2266"/>
      <c r="E23" s="2266"/>
      <c r="F23" s="2266"/>
      <c r="G23" s="222"/>
      <c r="Q23" s="222"/>
      <c r="R23" s="222"/>
      <c r="T23" s="2252"/>
      <c r="U23" s="50" t="s">
        <v>61</v>
      </c>
      <c r="V23" s="2262"/>
      <c r="W23" s="2262"/>
      <c r="X23" s="2262"/>
      <c r="Y23" s="2269"/>
    </row>
    <row r="24" spans="1:25" ht="48" customHeight="1" x14ac:dyDescent="0.25">
      <c r="A24" s="222"/>
      <c r="B24" s="2277"/>
      <c r="C24" s="213" t="s">
        <v>46</v>
      </c>
      <c r="D24" s="213" t="s">
        <v>50</v>
      </c>
      <c r="E24" s="213" t="s">
        <v>51</v>
      </c>
      <c r="F24" s="213" t="s">
        <v>52</v>
      </c>
      <c r="G24" s="222"/>
      <c r="Q24" s="222"/>
      <c r="R24" s="222"/>
      <c r="T24" s="2235" t="s">
        <v>47</v>
      </c>
      <c r="U24" s="51" t="s">
        <v>62</v>
      </c>
      <c r="V24" s="2263">
        <f>V14+V16+V17-V18-V19-V20-V22+V23-V21</f>
        <v>210270.2825</v>
      </c>
      <c r="W24" s="2263"/>
      <c r="X24" s="2263"/>
      <c r="Y24" s="2269"/>
    </row>
    <row r="25" spans="1:25" ht="40.5" customHeight="1" x14ac:dyDescent="0.25">
      <c r="T25" s="2235"/>
      <c r="U25" s="51" t="s">
        <v>63</v>
      </c>
      <c r="V25" s="2262">
        <f>V15+V22-V23</f>
        <v>148942</v>
      </c>
      <c r="W25" s="2262"/>
      <c r="X25" s="2262"/>
    </row>
    <row r="26" spans="1:25" ht="36" customHeight="1" x14ac:dyDescent="0.25"/>
    <row r="32" spans="1:25" x14ac:dyDescent="0.25">
      <c r="I32" s="2280"/>
      <c r="J32" s="2280"/>
      <c r="K32" s="2280"/>
      <c r="L32" s="2280"/>
    </row>
    <row r="33" spans="9:12" x14ac:dyDescent="0.25">
      <c r="I33" s="222"/>
      <c r="J33" s="222"/>
      <c r="K33" s="2280"/>
      <c r="L33" s="2280"/>
    </row>
  </sheetData>
  <mergeCells count="62">
    <mergeCell ref="I32:J32"/>
    <mergeCell ref="K32:L32"/>
    <mergeCell ref="K33:L33"/>
    <mergeCell ref="T22:T23"/>
    <mergeCell ref="V22:X22"/>
    <mergeCell ref="V23:X23"/>
    <mergeCell ref="T24:T25"/>
    <mergeCell ref="V24:X24"/>
    <mergeCell ref="V25:X25"/>
    <mergeCell ref="Y18:Y24"/>
    <mergeCell ref="B19:C19"/>
    <mergeCell ref="Q19:R19"/>
    <mergeCell ref="T19:T20"/>
    <mergeCell ref="V19:X19"/>
    <mergeCell ref="B20:C20"/>
    <mergeCell ref="B22:B24"/>
    <mergeCell ref="C22:C23"/>
    <mergeCell ref="D22:D23"/>
    <mergeCell ref="E22:E23"/>
    <mergeCell ref="F22:F23"/>
    <mergeCell ref="Q20:R20"/>
    <mergeCell ref="V20:X20"/>
    <mergeCell ref="B21:C21"/>
    <mergeCell ref="T21:U21"/>
    <mergeCell ref="V21:X21"/>
    <mergeCell ref="B17:C17"/>
    <mergeCell ref="Q17:R17"/>
    <mergeCell ref="T17:U17"/>
    <mergeCell ref="V17:X17"/>
    <mergeCell ref="B18:C18"/>
    <mergeCell ref="Q18:R18"/>
    <mergeCell ref="T18:U18"/>
    <mergeCell ref="V18:X18"/>
    <mergeCell ref="W4:X4"/>
    <mergeCell ref="B16:C16"/>
    <mergeCell ref="Q16:R16"/>
    <mergeCell ref="T16:U16"/>
    <mergeCell ref="V16:X16"/>
    <mergeCell ref="A12:B12"/>
    <mergeCell ref="B14:C14"/>
    <mergeCell ref="Q14:R14"/>
    <mergeCell ref="T14:T15"/>
    <mergeCell ref="V14:X14"/>
    <mergeCell ref="B15:C15"/>
    <mergeCell ref="Q15:R15"/>
    <mergeCell ref="V15:X15"/>
    <mergeCell ref="A1:Y1"/>
    <mergeCell ref="A2:Y2"/>
    <mergeCell ref="T3:Y3"/>
    <mergeCell ref="A4:A5"/>
    <mergeCell ref="B4:B5"/>
    <mergeCell ref="C4:D4"/>
    <mergeCell ref="E4:F4"/>
    <mergeCell ref="G4:H4"/>
    <mergeCell ref="I4:J4"/>
    <mergeCell ref="K4:L4"/>
    <mergeCell ref="Y4:Y5"/>
    <mergeCell ref="M4:N4"/>
    <mergeCell ref="O4:P4"/>
    <mergeCell ref="Q4:R4"/>
    <mergeCell ref="S4:T4"/>
    <mergeCell ref="U4:V4"/>
  </mergeCells>
  <pageMargins left="0.15748031496063" right="0.15748031496063" top="0" bottom="0" header="0" footer="0"/>
  <pageSetup paperSize="9" scale="47" orientation="landscape" r:id="rId1"/>
  <legacyDrawing r:id="rId2"/>
</worksheet>
</file>

<file path=xl/worksheets/sheet7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2A1F0D8-3B7E-4E62-965B-0D9592B67704}">
  <sheetPr>
    <pageSetUpPr fitToPage="1"/>
  </sheetPr>
  <dimension ref="A1:Y33"/>
  <sheetViews>
    <sheetView topLeftCell="A7" zoomScale="71" zoomScaleNormal="71" zoomScaleSheetLayoutView="100" workbookViewId="0">
      <selection activeCell="I22" sqref="I22"/>
    </sheetView>
  </sheetViews>
  <sheetFormatPr defaultColWidth="9.140625" defaultRowHeight="15" x14ac:dyDescent="0.25"/>
  <cols>
    <col min="1" max="1" width="18.28515625" style="14" customWidth="1"/>
    <col min="2" max="2" width="10.7109375" style="14" customWidth="1"/>
    <col min="3" max="3" width="12.28515625" style="14" customWidth="1"/>
    <col min="4" max="4" width="11" style="14" customWidth="1"/>
    <col min="5" max="5" width="12" style="14" customWidth="1"/>
    <col min="6" max="6" width="12.5703125" style="14" bestFit="1" customWidth="1"/>
    <col min="7" max="7" width="9.28515625" style="14" bestFit="1" customWidth="1"/>
    <col min="8" max="8" width="10.140625" style="14" bestFit="1" customWidth="1"/>
    <col min="9" max="9" width="10.5703125" style="14" bestFit="1" customWidth="1"/>
    <col min="10" max="10" width="10.5703125" style="14" customWidth="1"/>
    <col min="11" max="11" width="10.28515625" style="14" bestFit="1" customWidth="1"/>
    <col min="12" max="12" width="10.42578125" style="14" bestFit="1" customWidth="1"/>
    <col min="13" max="13" width="9.85546875" style="14" bestFit="1" customWidth="1"/>
    <col min="14" max="14" width="10.140625" style="14" bestFit="1" customWidth="1"/>
    <col min="15" max="15" width="9" style="14" customWidth="1"/>
    <col min="16" max="16" width="12.85546875" style="14" bestFit="1" customWidth="1"/>
    <col min="17" max="18" width="9.42578125" style="14" customWidth="1"/>
    <col min="19" max="19" width="13.7109375" style="14" customWidth="1"/>
    <col min="20" max="20" width="12.140625" style="14" customWidth="1"/>
    <col min="21" max="21" width="19.5703125" style="14" bestFit="1" customWidth="1"/>
    <col min="22" max="22" width="9.85546875" style="14" customWidth="1"/>
    <col min="23" max="23" width="10.140625" style="14" bestFit="1" customWidth="1"/>
    <col min="24" max="24" width="10.28515625" style="14" customWidth="1"/>
    <col min="25" max="25" width="28" style="14" customWidth="1"/>
    <col min="26" max="16384" width="9.140625" style="14"/>
  </cols>
  <sheetData>
    <row r="1" spans="1:25" ht="46.15" customHeight="1" x14ac:dyDescent="0.25">
      <c r="A1" s="2240" t="s">
        <v>148</v>
      </c>
      <c r="B1" s="2240"/>
      <c r="C1" s="2240"/>
      <c r="D1" s="2240"/>
      <c r="E1" s="2240"/>
      <c r="F1" s="2240"/>
      <c r="G1" s="2240"/>
      <c r="H1" s="2240"/>
      <c r="I1" s="2240"/>
      <c r="J1" s="2240"/>
      <c r="K1" s="2240"/>
      <c r="L1" s="2240"/>
      <c r="M1" s="2240"/>
      <c r="N1" s="2240"/>
      <c r="O1" s="2240"/>
      <c r="P1" s="2240"/>
      <c r="Q1" s="2240"/>
      <c r="R1" s="2240"/>
      <c r="S1" s="2240"/>
      <c r="T1" s="2240"/>
      <c r="U1" s="2240"/>
      <c r="V1" s="2240"/>
      <c r="W1" s="2240"/>
      <c r="X1" s="2240"/>
      <c r="Y1" s="2240"/>
    </row>
    <row r="2" spans="1:25" ht="21.6" customHeight="1" x14ac:dyDescent="0.25">
      <c r="A2" s="2241" t="s">
        <v>77</v>
      </c>
      <c r="B2" s="2241"/>
      <c r="C2" s="2241"/>
      <c r="D2" s="2241"/>
      <c r="E2" s="2241"/>
      <c r="F2" s="2241"/>
      <c r="G2" s="2241"/>
      <c r="H2" s="2241"/>
      <c r="I2" s="2241"/>
      <c r="J2" s="2241"/>
      <c r="K2" s="2241"/>
      <c r="L2" s="2241"/>
      <c r="M2" s="2241"/>
      <c r="N2" s="2241"/>
      <c r="O2" s="2241"/>
      <c r="P2" s="2241"/>
      <c r="Q2" s="2241"/>
      <c r="R2" s="2241"/>
      <c r="S2" s="2241"/>
      <c r="T2" s="2241"/>
      <c r="U2" s="2241"/>
      <c r="V2" s="2241"/>
      <c r="W2" s="2241"/>
      <c r="X2" s="2241"/>
      <c r="Y2" s="2241"/>
    </row>
    <row r="3" spans="1:25" ht="21" customHeight="1" x14ac:dyDescent="0.25">
      <c r="A3" s="212"/>
      <c r="B3" s="212"/>
      <c r="C3" s="212"/>
      <c r="D3" s="212"/>
      <c r="E3" s="212"/>
      <c r="F3" s="212"/>
      <c r="G3" s="212"/>
      <c r="H3" s="212"/>
      <c r="I3" s="212"/>
      <c r="J3" s="212"/>
      <c r="K3" s="212"/>
      <c r="L3" s="212"/>
      <c r="M3" s="212"/>
      <c r="N3" s="212"/>
      <c r="O3" s="212"/>
      <c r="P3" s="212"/>
      <c r="Q3" s="212"/>
      <c r="R3" s="212"/>
      <c r="S3" s="212"/>
      <c r="T3" s="2242" t="s">
        <v>241</v>
      </c>
      <c r="U3" s="2242"/>
      <c r="V3" s="2242"/>
      <c r="W3" s="2242"/>
      <c r="X3" s="2242"/>
      <c r="Y3" s="2242"/>
    </row>
    <row r="4" spans="1:25" s="212" customFormat="1" ht="18" customHeight="1" x14ac:dyDescent="0.25">
      <c r="A4" s="2243" t="s">
        <v>25</v>
      </c>
      <c r="B4" s="2243" t="s">
        <v>26</v>
      </c>
      <c r="C4" s="2244" t="s">
        <v>27</v>
      </c>
      <c r="D4" s="2244"/>
      <c r="E4" s="2244" t="s">
        <v>28</v>
      </c>
      <c r="F4" s="2244"/>
      <c r="G4" s="2244" t="s">
        <v>65</v>
      </c>
      <c r="H4" s="2244"/>
      <c r="I4" s="2244" t="s">
        <v>29</v>
      </c>
      <c r="J4" s="2244"/>
      <c r="K4" s="2245" t="s">
        <v>13</v>
      </c>
      <c r="L4" s="2246"/>
      <c r="M4" s="2245" t="s">
        <v>67</v>
      </c>
      <c r="N4" s="2246"/>
      <c r="O4" s="2245" t="s">
        <v>68</v>
      </c>
      <c r="P4" s="2246"/>
      <c r="Q4" s="2245" t="s">
        <v>114</v>
      </c>
      <c r="R4" s="2246"/>
      <c r="S4" s="2244" t="s">
        <v>35</v>
      </c>
      <c r="T4" s="2244"/>
      <c r="U4" s="2245" t="s">
        <v>17</v>
      </c>
      <c r="V4" s="2246"/>
      <c r="W4" s="2247" t="s">
        <v>36</v>
      </c>
      <c r="X4" s="2248"/>
      <c r="Y4" s="2238" t="s">
        <v>30</v>
      </c>
    </row>
    <row r="5" spans="1:25" s="212" customFormat="1" ht="25.5" customHeight="1" x14ac:dyDescent="0.25">
      <c r="A5" s="2243"/>
      <c r="B5" s="2243"/>
      <c r="C5" s="214" t="s">
        <v>42</v>
      </c>
      <c r="D5" s="214" t="s">
        <v>43</v>
      </c>
      <c r="E5" s="214" t="s">
        <v>42</v>
      </c>
      <c r="F5" s="214" t="s">
        <v>43</v>
      </c>
      <c r="G5" s="214" t="s">
        <v>42</v>
      </c>
      <c r="H5" s="214" t="s">
        <v>43</v>
      </c>
      <c r="I5" s="214" t="s">
        <v>42</v>
      </c>
      <c r="J5" s="214" t="s">
        <v>43</v>
      </c>
      <c r="K5" s="214" t="s">
        <v>42</v>
      </c>
      <c r="L5" s="214" t="s">
        <v>43</v>
      </c>
      <c r="M5" s="214" t="s">
        <v>42</v>
      </c>
      <c r="N5" s="214" t="s">
        <v>43</v>
      </c>
      <c r="O5" s="214" t="s">
        <v>42</v>
      </c>
      <c r="P5" s="214" t="s">
        <v>43</v>
      </c>
      <c r="Q5" s="214" t="s">
        <v>42</v>
      </c>
      <c r="R5" s="214" t="s">
        <v>43</v>
      </c>
      <c r="S5" s="33" t="s">
        <v>42</v>
      </c>
      <c r="T5" s="33" t="s">
        <v>43</v>
      </c>
      <c r="U5" s="30" t="s">
        <v>42</v>
      </c>
      <c r="V5" s="30" t="s">
        <v>43</v>
      </c>
      <c r="W5" s="30" t="s">
        <v>42</v>
      </c>
      <c r="X5" s="30" t="s">
        <v>43</v>
      </c>
      <c r="Y5" s="2239"/>
    </row>
    <row r="6" spans="1:25" ht="34.5" customHeight="1" x14ac:dyDescent="0.25">
      <c r="A6" s="12">
        <v>1409935200</v>
      </c>
      <c r="B6" s="213" t="s">
        <v>71</v>
      </c>
      <c r="C6" s="216">
        <v>29925</v>
      </c>
      <c r="D6" s="217">
        <f>0.9725*C6</f>
        <v>29102.0625</v>
      </c>
      <c r="E6" s="216"/>
      <c r="F6" s="216">
        <f>13.7*E6</f>
        <v>0</v>
      </c>
      <c r="G6" s="216">
        <v>40</v>
      </c>
      <c r="H6" s="216">
        <f>28.2*G6</f>
        <v>1128</v>
      </c>
      <c r="I6" s="216">
        <v>1020</v>
      </c>
      <c r="J6" s="216">
        <f>18.5*I6</f>
        <v>18870</v>
      </c>
      <c r="K6" s="216"/>
      <c r="L6" s="216">
        <f>19.5*K6</f>
        <v>0</v>
      </c>
      <c r="M6" s="216"/>
      <c r="N6" s="217">
        <f>M6*9.75</f>
        <v>0</v>
      </c>
      <c r="O6" s="216"/>
      <c r="P6" s="217">
        <f>O6*48.62</f>
        <v>0</v>
      </c>
      <c r="Q6" s="217"/>
      <c r="R6" s="217">
        <f>241*Q6</f>
        <v>0</v>
      </c>
      <c r="S6" s="216"/>
      <c r="T6" s="216">
        <f>241*S6</f>
        <v>0</v>
      </c>
      <c r="U6" s="216"/>
      <c r="V6" s="216">
        <f>232*U6</f>
        <v>0</v>
      </c>
      <c r="W6" s="216"/>
      <c r="X6" s="19">
        <f>W6*100</f>
        <v>0</v>
      </c>
      <c r="Y6" s="89">
        <f t="shared" ref="Y6:Y11" si="0">D6+F6+H6+J6+L6+N6+P6+R6+T6+V6+X6</f>
        <v>49100.0625</v>
      </c>
    </row>
    <row r="7" spans="1:25" ht="31.5" customHeight="1" x14ac:dyDescent="0.25">
      <c r="A7" s="12">
        <v>1984225578</v>
      </c>
      <c r="B7" s="213" t="s">
        <v>72</v>
      </c>
      <c r="C7" s="216">
        <v>34738</v>
      </c>
      <c r="D7" s="217">
        <f t="shared" ref="D7:D11" si="1">0.9725*C7</f>
        <v>33782.705000000002</v>
      </c>
      <c r="E7" s="216"/>
      <c r="F7" s="216">
        <f t="shared" ref="F7:F11" si="2">13.7*E7</f>
        <v>0</v>
      </c>
      <c r="G7" s="216">
        <v>70</v>
      </c>
      <c r="H7" s="216">
        <f t="shared" ref="H7:H11" si="3">28.2*G7</f>
        <v>1974</v>
      </c>
      <c r="I7" s="216"/>
      <c r="J7" s="216">
        <f t="shared" ref="J7:J11" si="4">18.5*I7</f>
        <v>0</v>
      </c>
      <c r="K7" s="216"/>
      <c r="L7" s="216">
        <f t="shared" ref="L7:L11" si="5">19.5*K7</f>
        <v>0</v>
      </c>
      <c r="M7" s="216"/>
      <c r="N7" s="217">
        <f t="shared" ref="N7:N11" si="6">M7*9.75</f>
        <v>0</v>
      </c>
      <c r="O7" s="216"/>
      <c r="P7" s="217">
        <f t="shared" ref="P7:P11" si="7">O7*48.62</f>
        <v>0</v>
      </c>
      <c r="Q7" s="217"/>
      <c r="R7" s="217">
        <f t="shared" ref="R7:R11" si="8">241*Q7</f>
        <v>0</v>
      </c>
      <c r="S7" s="216"/>
      <c r="T7" s="216">
        <f t="shared" ref="T7:T11" si="9">241*S7</f>
        <v>0</v>
      </c>
      <c r="U7" s="216"/>
      <c r="V7" s="216">
        <f t="shared" ref="V7:V11" si="10">232*U7</f>
        <v>0</v>
      </c>
      <c r="W7" s="216"/>
      <c r="X7" s="19">
        <f t="shared" ref="X7:X11" si="11">W7*100</f>
        <v>0</v>
      </c>
      <c r="Y7" s="89">
        <f t="shared" si="0"/>
        <v>35756.705000000002</v>
      </c>
    </row>
    <row r="8" spans="1:25" ht="35.25" customHeight="1" x14ac:dyDescent="0.25">
      <c r="A8" s="12">
        <v>1967020280</v>
      </c>
      <c r="B8" s="213" t="s">
        <v>73</v>
      </c>
      <c r="C8" s="216">
        <v>28055</v>
      </c>
      <c r="D8" s="217">
        <f t="shared" si="1"/>
        <v>27283.487499999999</v>
      </c>
      <c r="E8" s="216"/>
      <c r="F8" s="216">
        <f t="shared" si="2"/>
        <v>0</v>
      </c>
      <c r="G8" s="216"/>
      <c r="H8" s="216">
        <f t="shared" si="3"/>
        <v>0</v>
      </c>
      <c r="I8" s="216">
        <v>250</v>
      </c>
      <c r="J8" s="216">
        <f t="shared" si="4"/>
        <v>4625</v>
      </c>
      <c r="K8" s="216"/>
      <c r="L8" s="216">
        <f t="shared" si="5"/>
        <v>0</v>
      </c>
      <c r="M8" s="216"/>
      <c r="N8" s="217">
        <f t="shared" si="6"/>
        <v>0</v>
      </c>
      <c r="O8" s="216"/>
      <c r="P8" s="217">
        <f t="shared" si="7"/>
        <v>0</v>
      </c>
      <c r="Q8" s="217"/>
      <c r="R8" s="217">
        <f t="shared" si="8"/>
        <v>0</v>
      </c>
      <c r="S8" s="216"/>
      <c r="T8" s="216">
        <f t="shared" si="9"/>
        <v>0</v>
      </c>
      <c r="U8" s="216"/>
      <c r="V8" s="216">
        <f t="shared" si="10"/>
        <v>0</v>
      </c>
      <c r="W8" s="216"/>
      <c r="X8" s="19">
        <f t="shared" si="11"/>
        <v>0</v>
      </c>
      <c r="Y8" s="89">
        <f t="shared" si="0"/>
        <v>31908.487499999999</v>
      </c>
    </row>
    <row r="9" spans="1:25" ht="38.25" customHeight="1" x14ac:dyDescent="0.25">
      <c r="A9" s="12">
        <v>1409935199</v>
      </c>
      <c r="B9" s="213" t="s">
        <v>75</v>
      </c>
      <c r="C9" s="216">
        <v>13258</v>
      </c>
      <c r="D9" s="217">
        <f t="shared" si="1"/>
        <v>12893.405000000001</v>
      </c>
      <c r="E9" s="216"/>
      <c r="F9" s="216">
        <f t="shared" si="2"/>
        <v>0</v>
      </c>
      <c r="G9" s="216"/>
      <c r="H9" s="216">
        <f t="shared" si="3"/>
        <v>0</v>
      </c>
      <c r="I9" s="216">
        <v>90</v>
      </c>
      <c r="J9" s="216">
        <f t="shared" si="4"/>
        <v>1665</v>
      </c>
      <c r="K9" s="216"/>
      <c r="L9" s="216">
        <f t="shared" si="5"/>
        <v>0</v>
      </c>
      <c r="M9" s="216"/>
      <c r="N9" s="217">
        <f t="shared" si="6"/>
        <v>0</v>
      </c>
      <c r="O9" s="216"/>
      <c r="P9" s="217">
        <f t="shared" si="7"/>
        <v>0</v>
      </c>
      <c r="Q9" s="217"/>
      <c r="R9" s="217">
        <f t="shared" si="8"/>
        <v>0</v>
      </c>
      <c r="S9" s="216"/>
      <c r="T9" s="216">
        <f t="shared" si="9"/>
        <v>0</v>
      </c>
      <c r="U9" s="216"/>
      <c r="V9" s="216">
        <f t="shared" si="10"/>
        <v>0</v>
      </c>
      <c r="W9" s="216"/>
      <c r="X9" s="19">
        <f t="shared" si="11"/>
        <v>0</v>
      </c>
      <c r="Y9" s="89">
        <f t="shared" si="0"/>
        <v>14558.405000000001</v>
      </c>
    </row>
    <row r="10" spans="1:25" ht="35.25" customHeight="1" x14ac:dyDescent="0.25">
      <c r="A10" s="12">
        <v>1984225580</v>
      </c>
      <c r="C10" s="216"/>
      <c r="D10" s="217">
        <f t="shared" si="1"/>
        <v>0</v>
      </c>
      <c r="E10" s="216"/>
      <c r="F10" s="216">
        <f t="shared" si="2"/>
        <v>0</v>
      </c>
      <c r="G10" s="216"/>
      <c r="H10" s="216">
        <f t="shared" si="3"/>
        <v>0</v>
      </c>
      <c r="I10" s="216"/>
      <c r="J10" s="216">
        <f t="shared" si="4"/>
        <v>0</v>
      </c>
      <c r="K10" s="216"/>
      <c r="L10" s="216">
        <f t="shared" si="5"/>
        <v>0</v>
      </c>
      <c r="M10" s="216"/>
      <c r="N10" s="217">
        <f t="shared" si="6"/>
        <v>0</v>
      </c>
      <c r="O10" s="216"/>
      <c r="P10" s="217">
        <f t="shared" si="7"/>
        <v>0</v>
      </c>
      <c r="Q10" s="217"/>
      <c r="R10" s="217">
        <f t="shared" si="8"/>
        <v>0</v>
      </c>
      <c r="S10" s="216"/>
      <c r="T10" s="216">
        <f t="shared" si="9"/>
        <v>0</v>
      </c>
      <c r="U10" s="216"/>
      <c r="V10" s="216">
        <f t="shared" si="10"/>
        <v>0</v>
      </c>
      <c r="W10" s="216"/>
      <c r="X10" s="19">
        <f t="shared" si="11"/>
        <v>0</v>
      </c>
      <c r="Y10" s="89">
        <f t="shared" si="0"/>
        <v>0</v>
      </c>
    </row>
    <row r="11" spans="1:25" ht="37.5" customHeight="1" x14ac:dyDescent="0.25">
      <c r="A11" s="12"/>
      <c r="B11" s="215"/>
      <c r="C11" s="216"/>
      <c r="D11" s="22">
        <f t="shared" si="1"/>
        <v>0</v>
      </c>
      <c r="E11" s="216"/>
      <c r="F11" s="216">
        <f t="shared" si="2"/>
        <v>0</v>
      </c>
      <c r="G11" s="216"/>
      <c r="H11" s="216">
        <f t="shared" si="3"/>
        <v>0</v>
      </c>
      <c r="I11" s="216"/>
      <c r="J11" s="216">
        <f t="shared" si="4"/>
        <v>0</v>
      </c>
      <c r="K11" s="216"/>
      <c r="L11" s="216">
        <f t="shared" si="5"/>
        <v>0</v>
      </c>
      <c r="M11" s="216"/>
      <c r="N11" s="217">
        <f t="shared" si="6"/>
        <v>0</v>
      </c>
      <c r="O11" s="216"/>
      <c r="P11" s="217">
        <f t="shared" si="7"/>
        <v>0</v>
      </c>
      <c r="Q11" s="217"/>
      <c r="R11" s="217">
        <f t="shared" si="8"/>
        <v>0</v>
      </c>
      <c r="S11" s="216"/>
      <c r="T11" s="216">
        <f t="shared" si="9"/>
        <v>0</v>
      </c>
      <c r="U11" s="216"/>
      <c r="V11" s="216">
        <f t="shared" si="10"/>
        <v>0</v>
      </c>
      <c r="W11" s="216"/>
      <c r="X11" s="19">
        <f t="shared" si="11"/>
        <v>0</v>
      </c>
      <c r="Y11" s="20">
        <f t="shared" si="0"/>
        <v>0</v>
      </c>
    </row>
    <row r="12" spans="1:25" ht="29.25" customHeight="1" x14ac:dyDescent="0.25">
      <c r="A12" s="2235" t="s">
        <v>31</v>
      </c>
      <c r="B12" s="2235"/>
      <c r="C12" s="18">
        <f t="shared" ref="C12:Y12" si="12">SUM(C6:C11)</f>
        <v>105976</v>
      </c>
      <c r="D12" s="18">
        <f t="shared" si="12"/>
        <v>103061.66</v>
      </c>
      <c r="E12" s="18">
        <f t="shared" si="12"/>
        <v>0</v>
      </c>
      <c r="F12" s="18">
        <f t="shared" si="12"/>
        <v>0</v>
      </c>
      <c r="G12" s="18">
        <f t="shared" si="12"/>
        <v>110</v>
      </c>
      <c r="H12" s="18">
        <f t="shared" si="12"/>
        <v>3102</v>
      </c>
      <c r="I12" s="18">
        <f t="shared" si="12"/>
        <v>1360</v>
      </c>
      <c r="J12" s="18">
        <f t="shared" si="12"/>
        <v>25160</v>
      </c>
      <c r="K12" s="18">
        <f t="shared" si="12"/>
        <v>0</v>
      </c>
      <c r="L12" s="18">
        <f t="shared" si="12"/>
        <v>0</v>
      </c>
      <c r="M12" s="18">
        <f t="shared" si="12"/>
        <v>0</v>
      </c>
      <c r="N12" s="23">
        <f t="shared" si="12"/>
        <v>0</v>
      </c>
      <c r="O12" s="18">
        <f t="shared" si="12"/>
        <v>0</v>
      </c>
      <c r="P12" s="23">
        <f t="shared" si="12"/>
        <v>0</v>
      </c>
      <c r="Q12" s="23">
        <f t="shared" si="12"/>
        <v>0</v>
      </c>
      <c r="R12" s="23">
        <f>SUM(R6:R11)</f>
        <v>0</v>
      </c>
      <c r="S12" s="18">
        <f t="shared" si="12"/>
        <v>0</v>
      </c>
      <c r="T12" s="18">
        <f t="shared" si="12"/>
        <v>0</v>
      </c>
      <c r="U12" s="18">
        <f t="shared" si="12"/>
        <v>0</v>
      </c>
      <c r="V12" s="18">
        <f t="shared" si="12"/>
        <v>0</v>
      </c>
      <c r="W12" s="18">
        <f t="shared" si="12"/>
        <v>0</v>
      </c>
      <c r="X12" s="18">
        <f t="shared" si="12"/>
        <v>0</v>
      </c>
      <c r="Y12" s="18">
        <f t="shared" si="12"/>
        <v>131323.66</v>
      </c>
    </row>
    <row r="14" spans="1:25" ht="41.25" customHeight="1" x14ac:dyDescent="0.25">
      <c r="A14" s="30" t="s">
        <v>32</v>
      </c>
      <c r="B14" s="2236" t="s">
        <v>27</v>
      </c>
      <c r="C14" s="2236"/>
      <c r="D14" s="30" t="s">
        <v>33</v>
      </c>
      <c r="E14" s="30" t="s">
        <v>65</v>
      </c>
      <c r="F14" s="30" t="s">
        <v>34</v>
      </c>
      <c r="G14" s="30" t="s">
        <v>13</v>
      </c>
      <c r="H14" s="142" t="s">
        <v>173</v>
      </c>
      <c r="I14" s="30" t="s">
        <v>17</v>
      </c>
      <c r="J14" s="221" t="s">
        <v>174</v>
      </c>
      <c r="K14" s="30" t="s">
        <v>36</v>
      </c>
      <c r="L14" s="30" t="s">
        <v>175</v>
      </c>
      <c r="M14" s="30" t="s">
        <v>69</v>
      </c>
      <c r="N14" s="30" t="s">
        <v>70</v>
      </c>
      <c r="O14" s="221" t="s">
        <v>114</v>
      </c>
      <c r="P14" s="221" t="s">
        <v>99</v>
      </c>
      <c r="Q14" s="2272"/>
      <c r="R14" s="2272"/>
      <c r="S14" s="221"/>
      <c r="T14" s="2235" t="s">
        <v>46</v>
      </c>
      <c r="U14" s="213" t="s">
        <v>176</v>
      </c>
      <c r="V14" s="2260">
        <v>210270</v>
      </c>
      <c r="W14" s="2268"/>
      <c r="X14" s="2261"/>
    </row>
    <row r="15" spans="1:25" ht="22.5" customHeight="1" x14ac:dyDescent="0.25">
      <c r="A15" s="100" t="s">
        <v>38</v>
      </c>
      <c r="B15" s="2260">
        <v>143474</v>
      </c>
      <c r="C15" s="2261"/>
      <c r="D15" s="218">
        <v>0</v>
      </c>
      <c r="E15" s="218">
        <v>540</v>
      </c>
      <c r="F15" s="218">
        <v>1410</v>
      </c>
      <c r="G15" s="218">
        <v>0</v>
      </c>
      <c r="H15" s="218">
        <v>107</v>
      </c>
      <c r="I15" s="218">
        <v>0</v>
      </c>
      <c r="J15" s="218">
        <v>94</v>
      </c>
      <c r="K15" s="218">
        <v>48</v>
      </c>
      <c r="L15" s="218">
        <v>851</v>
      </c>
      <c r="M15" s="218">
        <v>0</v>
      </c>
      <c r="N15" s="218">
        <v>100</v>
      </c>
      <c r="O15" s="218">
        <v>0</v>
      </c>
      <c r="P15" s="218">
        <v>417</v>
      </c>
      <c r="Q15" s="2262">
        <v>0</v>
      </c>
      <c r="R15" s="2262"/>
      <c r="S15" s="213">
        <v>0</v>
      </c>
      <c r="T15" s="2235"/>
      <c r="U15" s="213" t="s">
        <v>64</v>
      </c>
      <c r="V15" s="2262">
        <v>148942</v>
      </c>
      <c r="W15" s="2262"/>
      <c r="X15" s="2262"/>
    </row>
    <row r="16" spans="1:25" ht="24.75" customHeight="1" x14ac:dyDescent="0.25">
      <c r="A16" s="100" t="s">
        <v>39</v>
      </c>
      <c r="B16" s="2260">
        <v>192207</v>
      </c>
      <c r="C16" s="2261"/>
      <c r="D16" s="218"/>
      <c r="E16" s="218"/>
      <c r="F16" s="218"/>
      <c r="G16" s="218"/>
      <c r="H16" s="218"/>
      <c r="I16" s="218"/>
      <c r="J16" s="218"/>
      <c r="K16" s="218"/>
      <c r="L16" s="218">
        <v>25</v>
      </c>
      <c r="M16" s="218"/>
      <c r="N16" s="218"/>
      <c r="O16" s="218"/>
      <c r="P16" s="218"/>
      <c r="Q16" s="2225"/>
      <c r="R16" s="2225"/>
      <c r="S16" s="218"/>
      <c r="T16" s="2254" t="s">
        <v>55</v>
      </c>
      <c r="U16" s="2254"/>
      <c r="V16" s="2267">
        <f>Y12</f>
        <v>131323.66</v>
      </c>
      <c r="W16" s="2267"/>
      <c r="X16" s="2262"/>
    </row>
    <row r="17" spans="1:25" ht="28.5" customHeight="1" x14ac:dyDescent="0.25">
      <c r="A17" s="101" t="s">
        <v>44</v>
      </c>
      <c r="B17" s="2260"/>
      <c r="C17" s="2261"/>
      <c r="D17" s="218"/>
      <c r="E17" s="218"/>
      <c r="F17" s="218"/>
      <c r="G17" s="218"/>
      <c r="H17" s="218"/>
      <c r="I17" s="218"/>
      <c r="J17" s="218"/>
      <c r="K17" s="218"/>
      <c r="L17" s="218"/>
      <c r="M17" s="218"/>
      <c r="N17" s="218"/>
      <c r="O17" s="218"/>
      <c r="P17" s="218"/>
      <c r="Q17" s="2225"/>
      <c r="R17" s="2225"/>
      <c r="S17" s="215"/>
      <c r="T17" s="2273" t="s">
        <v>211</v>
      </c>
      <c r="U17" s="2274"/>
      <c r="V17" s="2262">
        <v>150000</v>
      </c>
      <c r="W17" s="2262"/>
      <c r="X17" s="2262"/>
    </row>
    <row r="18" spans="1:25" ht="27" customHeight="1" x14ac:dyDescent="0.25">
      <c r="A18" s="100" t="s">
        <v>40</v>
      </c>
      <c r="B18" s="2264">
        <f>C12</f>
        <v>105976</v>
      </c>
      <c r="C18" s="2261"/>
      <c r="D18" s="219">
        <f>E12</f>
        <v>0</v>
      </c>
      <c r="E18" s="219">
        <f>G12</f>
        <v>110</v>
      </c>
      <c r="F18" s="219">
        <f>I12</f>
        <v>1360</v>
      </c>
      <c r="G18" s="219">
        <f>K12</f>
        <v>0</v>
      </c>
      <c r="H18" s="218">
        <v>25</v>
      </c>
      <c r="I18" s="219">
        <f>U12</f>
        <v>0</v>
      </c>
      <c r="J18" s="218"/>
      <c r="K18" s="219">
        <f>W12</f>
        <v>0</v>
      </c>
      <c r="L18" s="218"/>
      <c r="M18" s="219">
        <f>M12</f>
        <v>0</v>
      </c>
      <c r="N18" s="219">
        <f>O12</f>
        <v>0</v>
      </c>
      <c r="O18" s="220">
        <f>Q12</f>
        <v>0</v>
      </c>
      <c r="P18" s="218"/>
      <c r="Q18" s="2262"/>
      <c r="R18" s="2262"/>
      <c r="S18" s="213"/>
      <c r="T18" s="2254" t="s">
        <v>57</v>
      </c>
      <c r="U18" s="2254"/>
      <c r="V18" s="2262">
        <v>450</v>
      </c>
      <c r="W18" s="2262"/>
      <c r="X18" s="2262"/>
      <c r="Y18" s="2269" t="s">
        <v>242</v>
      </c>
    </row>
    <row r="19" spans="1:25" ht="25.5" customHeight="1" x14ac:dyDescent="0.25">
      <c r="A19" s="100" t="s">
        <v>41</v>
      </c>
      <c r="B19" s="2260">
        <f>B15+B16+B17-B18</f>
        <v>229705</v>
      </c>
      <c r="C19" s="2261"/>
      <c r="D19" s="218">
        <f>D15+D16+D17-D18</f>
        <v>0</v>
      </c>
      <c r="E19" s="218">
        <f t="shared" ref="E19:N19" si="13">E15+E16+E17-E18</f>
        <v>430</v>
      </c>
      <c r="F19" s="218">
        <f t="shared" si="13"/>
        <v>50</v>
      </c>
      <c r="G19" s="218">
        <f t="shared" si="13"/>
        <v>0</v>
      </c>
      <c r="H19" s="218">
        <f t="shared" si="13"/>
        <v>82</v>
      </c>
      <c r="I19" s="218">
        <f t="shared" si="13"/>
        <v>0</v>
      </c>
      <c r="J19" s="218">
        <f t="shared" si="13"/>
        <v>94</v>
      </c>
      <c r="K19" s="218">
        <f t="shared" si="13"/>
        <v>48</v>
      </c>
      <c r="L19" s="218">
        <f t="shared" si="13"/>
        <v>876</v>
      </c>
      <c r="M19" s="218">
        <f t="shared" si="13"/>
        <v>0</v>
      </c>
      <c r="N19" s="218">
        <f t="shared" si="13"/>
        <v>100</v>
      </c>
      <c r="O19" s="218">
        <f>O15+O16+O17-O18</f>
        <v>0</v>
      </c>
      <c r="P19" s="218">
        <f>P15+P16+P17-P18</f>
        <v>417</v>
      </c>
      <c r="Q19" s="2260">
        <f t="shared" ref="Q19" si="14">Q15+Q16+Q17-Q18</f>
        <v>0</v>
      </c>
      <c r="R19" s="2261"/>
      <c r="S19" s="213">
        <f>S15+S16-S17-S18</f>
        <v>0</v>
      </c>
      <c r="T19" s="2256" t="s">
        <v>48</v>
      </c>
      <c r="U19" s="49" t="s">
        <v>58</v>
      </c>
      <c r="V19" s="2262">
        <v>620510</v>
      </c>
      <c r="W19" s="2262"/>
      <c r="X19" s="2262"/>
      <c r="Y19" s="2269"/>
    </row>
    <row r="20" spans="1:25" ht="23.25" customHeight="1" x14ac:dyDescent="0.25">
      <c r="A20" s="210" t="s">
        <v>187</v>
      </c>
      <c r="B20" s="2284">
        <f>B19*0.9625</f>
        <v>221091.0625</v>
      </c>
      <c r="C20" s="2285"/>
      <c r="D20" s="211">
        <f>D19*13.56</f>
        <v>0</v>
      </c>
      <c r="E20" s="211">
        <f>28.2*E19</f>
        <v>12126</v>
      </c>
      <c r="F20" s="211">
        <f>18.31*F19</f>
        <v>915.49999999999989</v>
      </c>
      <c r="G20" s="211">
        <f>19.3*G19</f>
        <v>0</v>
      </c>
      <c r="H20" s="211">
        <f>241*H19</f>
        <v>19762</v>
      </c>
      <c r="I20" s="211">
        <f>223*I19</f>
        <v>0</v>
      </c>
      <c r="J20" s="211">
        <f>241*J19</f>
        <v>22654</v>
      </c>
      <c r="K20" s="211">
        <f>K19*100</f>
        <v>4800</v>
      </c>
      <c r="L20" s="211">
        <f>241*L19</f>
        <v>211116</v>
      </c>
      <c r="M20" s="211">
        <f>9.65*M19</f>
        <v>0</v>
      </c>
      <c r="N20" s="211">
        <f>N19*48.2</f>
        <v>4820</v>
      </c>
      <c r="O20" s="211">
        <f>241*O19</f>
        <v>0</v>
      </c>
      <c r="P20" s="211">
        <f>241*P19</f>
        <v>100497</v>
      </c>
      <c r="Q20" s="2284">
        <f>241*Q19</f>
        <v>0</v>
      </c>
      <c r="R20" s="2285"/>
      <c r="S20" s="211">
        <f>241*S19</f>
        <v>0</v>
      </c>
      <c r="T20" s="2257"/>
      <c r="U20" s="49" t="s">
        <v>59</v>
      </c>
      <c r="V20" s="2262"/>
      <c r="W20" s="2262"/>
      <c r="X20" s="2262"/>
      <c r="Y20" s="2269"/>
    </row>
    <row r="21" spans="1:25" ht="32.25" customHeight="1" x14ac:dyDescent="0.25">
      <c r="A21" s="143" t="s">
        <v>186</v>
      </c>
      <c r="B21" s="2283">
        <f>SUM(B20:S20)</f>
        <v>597781.5625</v>
      </c>
      <c r="C21" s="2283"/>
      <c r="O21" s="222"/>
      <c r="P21" s="222"/>
      <c r="Q21" s="222"/>
      <c r="R21" s="222"/>
      <c r="T21" s="2273" t="s">
        <v>167</v>
      </c>
      <c r="U21" s="2274"/>
      <c r="V21" s="2260"/>
      <c r="W21" s="2268"/>
      <c r="X21" s="2261"/>
      <c r="Y21" s="2269"/>
    </row>
    <row r="22" spans="1:25" ht="35.25" customHeight="1" x14ac:dyDescent="0.25">
      <c r="A22" s="15"/>
      <c r="B22" s="2275" t="s">
        <v>49</v>
      </c>
      <c r="C22" s="2265">
        <v>703116</v>
      </c>
      <c r="D22" s="2265">
        <v>620510</v>
      </c>
      <c r="E22" s="2265">
        <v>185000</v>
      </c>
      <c r="F22" s="2265">
        <f>C22-D22+E22</f>
        <v>267606</v>
      </c>
      <c r="G22" s="222"/>
      <c r="Q22" s="222"/>
      <c r="R22" s="222"/>
      <c r="T22" s="2251" t="s">
        <v>83</v>
      </c>
      <c r="U22" s="50" t="s">
        <v>60</v>
      </c>
      <c r="V22" s="2262">
        <v>332130</v>
      </c>
      <c r="W22" s="2262"/>
      <c r="X22" s="2262"/>
      <c r="Y22" s="2269"/>
    </row>
    <row r="23" spans="1:25" ht="39.75" customHeight="1" x14ac:dyDescent="0.25">
      <c r="A23" s="222"/>
      <c r="B23" s="2276"/>
      <c r="C23" s="2266"/>
      <c r="D23" s="2266"/>
      <c r="E23" s="2266"/>
      <c r="F23" s="2266"/>
      <c r="G23" s="222"/>
      <c r="Q23" s="222"/>
      <c r="R23" s="222"/>
      <c r="T23" s="2252"/>
      <c r="U23" s="50" t="s">
        <v>61</v>
      </c>
      <c r="V23" s="2262">
        <v>470510</v>
      </c>
      <c r="W23" s="2262"/>
      <c r="X23" s="2262"/>
      <c r="Y23" s="2269"/>
    </row>
    <row r="24" spans="1:25" ht="48" customHeight="1" x14ac:dyDescent="0.25">
      <c r="A24" s="222"/>
      <c r="B24" s="2277"/>
      <c r="C24" s="213" t="s">
        <v>46</v>
      </c>
      <c r="D24" s="213" t="s">
        <v>50</v>
      </c>
      <c r="E24" s="213" t="s">
        <v>51</v>
      </c>
      <c r="F24" s="213" t="s">
        <v>52</v>
      </c>
      <c r="G24" s="222"/>
      <c r="Q24" s="222"/>
      <c r="R24" s="222"/>
      <c r="T24" s="2235" t="s">
        <v>47</v>
      </c>
      <c r="U24" s="51" t="s">
        <v>62</v>
      </c>
      <c r="V24" s="2263">
        <f>V14+V16+V17-V18-V19-V20-V22+V23-V21</f>
        <v>9013.6600000000326</v>
      </c>
      <c r="W24" s="2263"/>
      <c r="X24" s="2263"/>
      <c r="Y24" s="2269"/>
    </row>
    <row r="25" spans="1:25" ht="40.5" customHeight="1" x14ac:dyDescent="0.25">
      <c r="T25" s="2235"/>
      <c r="U25" s="51" t="s">
        <v>63</v>
      </c>
      <c r="V25" s="2262">
        <f>V15+V22-V23</f>
        <v>10562</v>
      </c>
      <c r="W25" s="2262"/>
      <c r="X25" s="2262"/>
    </row>
    <row r="26" spans="1:25" ht="36" customHeight="1" x14ac:dyDescent="0.25"/>
    <row r="32" spans="1:25" x14ac:dyDescent="0.25">
      <c r="I32" s="2280"/>
      <c r="J32" s="2280"/>
      <c r="K32" s="2280"/>
      <c r="L32" s="2280"/>
    </row>
    <row r="33" spans="9:12" x14ac:dyDescent="0.25">
      <c r="I33" s="222"/>
      <c r="J33" s="222"/>
      <c r="K33" s="2280"/>
      <c r="L33" s="2280"/>
    </row>
  </sheetData>
  <mergeCells count="62">
    <mergeCell ref="I32:J32"/>
    <mergeCell ref="K32:L32"/>
    <mergeCell ref="K33:L33"/>
    <mergeCell ref="T22:T23"/>
    <mergeCell ref="V22:X22"/>
    <mergeCell ref="V23:X23"/>
    <mergeCell ref="T24:T25"/>
    <mergeCell ref="V24:X24"/>
    <mergeCell ref="V25:X25"/>
    <mergeCell ref="Y18:Y24"/>
    <mergeCell ref="B19:C19"/>
    <mergeCell ref="Q19:R19"/>
    <mergeCell ref="T19:T20"/>
    <mergeCell ref="V19:X19"/>
    <mergeCell ref="B20:C20"/>
    <mergeCell ref="B22:B24"/>
    <mergeCell ref="C22:C23"/>
    <mergeCell ref="D22:D23"/>
    <mergeCell ref="E22:E23"/>
    <mergeCell ref="F22:F23"/>
    <mergeCell ref="Q20:R20"/>
    <mergeCell ref="V20:X20"/>
    <mergeCell ref="B21:C21"/>
    <mergeCell ref="T21:U21"/>
    <mergeCell ref="V21:X21"/>
    <mergeCell ref="B17:C17"/>
    <mergeCell ref="Q17:R17"/>
    <mergeCell ref="T17:U17"/>
    <mergeCell ref="V17:X17"/>
    <mergeCell ref="B18:C18"/>
    <mergeCell ref="Q18:R18"/>
    <mergeCell ref="T18:U18"/>
    <mergeCell ref="V18:X18"/>
    <mergeCell ref="W4:X4"/>
    <mergeCell ref="B16:C16"/>
    <mergeCell ref="Q16:R16"/>
    <mergeCell ref="T16:U16"/>
    <mergeCell ref="V16:X16"/>
    <mergeCell ref="A12:B12"/>
    <mergeCell ref="B14:C14"/>
    <mergeCell ref="Q14:R14"/>
    <mergeCell ref="T14:T15"/>
    <mergeCell ref="V14:X14"/>
    <mergeCell ref="B15:C15"/>
    <mergeCell ref="Q15:R15"/>
    <mergeCell ref="V15:X15"/>
    <mergeCell ref="A1:Y1"/>
    <mergeCell ref="A2:Y2"/>
    <mergeCell ref="T3:Y3"/>
    <mergeCell ref="A4:A5"/>
    <mergeCell ref="B4:B5"/>
    <mergeCell ref="C4:D4"/>
    <mergeCell ref="E4:F4"/>
    <mergeCell ref="G4:H4"/>
    <mergeCell ref="I4:J4"/>
    <mergeCell ref="K4:L4"/>
    <mergeCell ref="Y4:Y5"/>
    <mergeCell ref="M4:N4"/>
    <mergeCell ref="O4:P4"/>
    <mergeCell ref="Q4:R4"/>
    <mergeCell ref="S4:T4"/>
    <mergeCell ref="U4:V4"/>
  </mergeCells>
  <pageMargins left="0.15748031496063" right="0.15748031496063" top="0" bottom="0" header="0" footer="0"/>
  <pageSetup paperSize="9" scale="47" orientation="landscape" r:id="rId1"/>
  <legacyDrawing r:id="rId2"/>
</worksheet>
</file>

<file path=xl/worksheets/sheet8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45945B2-6DBE-46DA-AAC4-E181F86C3787}">
  <sheetPr>
    <pageSetUpPr fitToPage="1"/>
  </sheetPr>
  <dimension ref="A1:Y33"/>
  <sheetViews>
    <sheetView topLeftCell="A4" zoomScale="71" zoomScaleNormal="71" zoomScaleSheetLayoutView="100" workbookViewId="0">
      <selection activeCell="V18" sqref="V18:X18"/>
    </sheetView>
  </sheetViews>
  <sheetFormatPr defaultColWidth="9.140625" defaultRowHeight="15" x14ac:dyDescent="0.25"/>
  <cols>
    <col min="1" max="1" width="18.28515625" style="14" customWidth="1"/>
    <col min="2" max="2" width="10.7109375" style="14" customWidth="1"/>
    <col min="3" max="3" width="12.28515625" style="14" customWidth="1"/>
    <col min="4" max="4" width="11" style="14" customWidth="1"/>
    <col min="5" max="5" width="12" style="14" customWidth="1"/>
    <col min="6" max="6" width="12.5703125" style="14" bestFit="1" customWidth="1"/>
    <col min="7" max="7" width="9.28515625" style="14" bestFit="1" customWidth="1"/>
    <col min="8" max="8" width="10.140625" style="14" bestFit="1" customWidth="1"/>
    <col min="9" max="9" width="10.5703125" style="14" bestFit="1" customWidth="1"/>
    <col min="10" max="10" width="10.5703125" style="14" customWidth="1"/>
    <col min="11" max="11" width="10.28515625" style="14" bestFit="1" customWidth="1"/>
    <col min="12" max="12" width="10.42578125" style="14" bestFit="1" customWidth="1"/>
    <col min="13" max="13" width="9.85546875" style="14" bestFit="1" customWidth="1"/>
    <col min="14" max="14" width="10.140625" style="14" bestFit="1" customWidth="1"/>
    <col min="15" max="15" width="9" style="14" customWidth="1"/>
    <col min="16" max="16" width="12.85546875" style="14" bestFit="1" customWidth="1"/>
    <col min="17" max="18" width="9.42578125" style="14" customWidth="1"/>
    <col min="19" max="19" width="13.7109375" style="14" customWidth="1"/>
    <col min="20" max="20" width="12.140625" style="14" customWidth="1"/>
    <col min="21" max="21" width="19.5703125" style="14" bestFit="1" customWidth="1"/>
    <col min="22" max="22" width="9.85546875" style="14" customWidth="1"/>
    <col min="23" max="23" width="10.140625" style="14" bestFit="1" customWidth="1"/>
    <col min="24" max="24" width="10.28515625" style="14" customWidth="1"/>
    <col min="25" max="25" width="28" style="14" customWidth="1"/>
    <col min="26" max="16384" width="9.140625" style="14"/>
  </cols>
  <sheetData>
    <row r="1" spans="1:25" ht="46.15" customHeight="1" x14ac:dyDescent="0.25">
      <c r="A1" s="2240" t="s">
        <v>148</v>
      </c>
      <c r="B1" s="2240"/>
      <c r="C1" s="2240"/>
      <c r="D1" s="2240"/>
      <c r="E1" s="2240"/>
      <c r="F1" s="2240"/>
      <c r="G1" s="2240"/>
      <c r="H1" s="2240"/>
      <c r="I1" s="2240"/>
      <c r="J1" s="2240"/>
      <c r="K1" s="2240"/>
      <c r="L1" s="2240"/>
      <c r="M1" s="2240"/>
      <c r="N1" s="2240"/>
      <c r="O1" s="2240"/>
      <c r="P1" s="2240"/>
      <c r="Q1" s="2240"/>
      <c r="R1" s="2240"/>
      <c r="S1" s="2240"/>
      <c r="T1" s="2240"/>
      <c r="U1" s="2240"/>
      <c r="V1" s="2240"/>
      <c r="W1" s="2240"/>
      <c r="X1" s="2240"/>
      <c r="Y1" s="2240"/>
    </row>
    <row r="2" spans="1:25" ht="21.6" customHeight="1" x14ac:dyDescent="0.25">
      <c r="A2" s="2241" t="s">
        <v>77</v>
      </c>
      <c r="B2" s="2241"/>
      <c r="C2" s="2241"/>
      <c r="D2" s="2241"/>
      <c r="E2" s="2241"/>
      <c r="F2" s="2241"/>
      <c r="G2" s="2241"/>
      <c r="H2" s="2241"/>
      <c r="I2" s="2241"/>
      <c r="J2" s="2241"/>
      <c r="K2" s="2241"/>
      <c r="L2" s="2241"/>
      <c r="M2" s="2241"/>
      <c r="N2" s="2241"/>
      <c r="O2" s="2241"/>
      <c r="P2" s="2241"/>
      <c r="Q2" s="2241"/>
      <c r="R2" s="2241"/>
      <c r="S2" s="2241"/>
      <c r="T2" s="2241"/>
      <c r="U2" s="2241"/>
      <c r="V2" s="2241"/>
      <c r="W2" s="2241"/>
      <c r="X2" s="2241"/>
      <c r="Y2" s="2241"/>
    </row>
    <row r="3" spans="1:25" ht="21" customHeight="1" x14ac:dyDescent="0.25">
      <c r="A3" s="212"/>
      <c r="B3" s="212"/>
      <c r="C3" s="212"/>
      <c r="D3" s="212"/>
      <c r="E3" s="212"/>
      <c r="F3" s="212"/>
      <c r="G3" s="212"/>
      <c r="H3" s="212"/>
      <c r="I3" s="212"/>
      <c r="J3" s="212"/>
      <c r="K3" s="212"/>
      <c r="L3" s="212"/>
      <c r="M3" s="212"/>
      <c r="N3" s="212"/>
      <c r="O3" s="212"/>
      <c r="P3" s="212"/>
      <c r="Q3" s="212"/>
      <c r="R3" s="212"/>
      <c r="S3" s="212"/>
      <c r="T3" s="2242" t="s">
        <v>243</v>
      </c>
      <c r="U3" s="2242"/>
      <c r="V3" s="2242"/>
      <c r="W3" s="2242"/>
      <c r="X3" s="2242"/>
      <c r="Y3" s="2242"/>
    </row>
    <row r="4" spans="1:25" s="212" customFormat="1" ht="18" customHeight="1" x14ac:dyDescent="0.25">
      <c r="A4" s="2243" t="s">
        <v>25</v>
      </c>
      <c r="B4" s="2243" t="s">
        <v>26</v>
      </c>
      <c r="C4" s="2244" t="s">
        <v>27</v>
      </c>
      <c r="D4" s="2244"/>
      <c r="E4" s="2244" t="s">
        <v>28</v>
      </c>
      <c r="F4" s="2244"/>
      <c r="G4" s="2244" t="s">
        <v>65</v>
      </c>
      <c r="H4" s="2244"/>
      <c r="I4" s="2244" t="s">
        <v>29</v>
      </c>
      <c r="J4" s="2244"/>
      <c r="K4" s="2245" t="s">
        <v>13</v>
      </c>
      <c r="L4" s="2246"/>
      <c r="M4" s="2245" t="s">
        <v>67</v>
      </c>
      <c r="N4" s="2246"/>
      <c r="O4" s="2245" t="s">
        <v>68</v>
      </c>
      <c r="P4" s="2246"/>
      <c r="Q4" s="2245" t="s">
        <v>114</v>
      </c>
      <c r="R4" s="2246"/>
      <c r="S4" s="2244" t="s">
        <v>35</v>
      </c>
      <c r="T4" s="2244"/>
      <c r="U4" s="2245" t="s">
        <v>17</v>
      </c>
      <c r="V4" s="2246"/>
      <c r="W4" s="2247" t="s">
        <v>36</v>
      </c>
      <c r="X4" s="2248"/>
      <c r="Y4" s="2238" t="s">
        <v>30</v>
      </c>
    </row>
    <row r="5" spans="1:25" s="212" customFormat="1" ht="25.5" customHeight="1" x14ac:dyDescent="0.25">
      <c r="A5" s="2243"/>
      <c r="B5" s="2243"/>
      <c r="C5" s="214" t="s">
        <v>42</v>
      </c>
      <c r="D5" s="214" t="s">
        <v>43</v>
      </c>
      <c r="E5" s="214" t="s">
        <v>42</v>
      </c>
      <c r="F5" s="214" t="s">
        <v>43</v>
      </c>
      <c r="G5" s="214" t="s">
        <v>42</v>
      </c>
      <c r="H5" s="214" t="s">
        <v>43</v>
      </c>
      <c r="I5" s="214" t="s">
        <v>42</v>
      </c>
      <c r="J5" s="214" t="s">
        <v>43</v>
      </c>
      <c r="K5" s="214" t="s">
        <v>42</v>
      </c>
      <c r="L5" s="214" t="s">
        <v>43</v>
      </c>
      <c r="M5" s="214" t="s">
        <v>42</v>
      </c>
      <c r="N5" s="214" t="s">
        <v>43</v>
      </c>
      <c r="O5" s="214" t="s">
        <v>42</v>
      </c>
      <c r="P5" s="214" t="s">
        <v>43</v>
      </c>
      <c r="Q5" s="214" t="s">
        <v>42</v>
      </c>
      <c r="R5" s="214" t="s">
        <v>43</v>
      </c>
      <c r="S5" s="33" t="s">
        <v>42</v>
      </c>
      <c r="T5" s="33" t="s">
        <v>43</v>
      </c>
      <c r="U5" s="30" t="s">
        <v>42</v>
      </c>
      <c r="V5" s="30" t="s">
        <v>43</v>
      </c>
      <c r="W5" s="30" t="s">
        <v>42</v>
      </c>
      <c r="X5" s="30" t="s">
        <v>43</v>
      </c>
      <c r="Y5" s="2239"/>
    </row>
    <row r="6" spans="1:25" ht="34.5" customHeight="1" x14ac:dyDescent="0.25">
      <c r="A6" s="12">
        <v>1409935200</v>
      </c>
      <c r="B6" s="213" t="s">
        <v>71</v>
      </c>
      <c r="C6" s="216">
        <v>50983</v>
      </c>
      <c r="D6" s="217">
        <f>0.9725*C6</f>
        <v>49580.967499999999</v>
      </c>
      <c r="E6" s="216"/>
      <c r="F6" s="216">
        <f>13.7*E6</f>
        <v>0</v>
      </c>
      <c r="G6" s="216">
        <v>130</v>
      </c>
      <c r="H6" s="216">
        <f>28.2*G6</f>
        <v>3666</v>
      </c>
      <c r="I6" s="216"/>
      <c r="J6" s="216">
        <f>18.5*I6</f>
        <v>0</v>
      </c>
      <c r="K6" s="216"/>
      <c r="L6" s="216">
        <f>19.5*K6</f>
        <v>0</v>
      </c>
      <c r="M6" s="216"/>
      <c r="N6" s="217">
        <f>M6*9.75</f>
        <v>0</v>
      </c>
      <c r="O6" s="216"/>
      <c r="P6" s="217">
        <f>O6*48.62</f>
        <v>0</v>
      </c>
      <c r="Q6" s="217"/>
      <c r="R6" s="217">
        <f>241*Q6</f>
        <v>0</v>
      </c>
      <c r="S6" s="216"/>
      <c r="T6" s="216">
        <f>241*S6</f>
        <v>0</v>
      </c>
      <c r="U6" s="216"/>
      <c r="V6" s="216">
        <f>232*U6</f>
        <v>0</v>
      </c>
      <c r="W6" s="216"/>
      <c r="X6" s="19">
        <f>W6*100</f>
        <v>0</v>
      </c>
      <c r="Y6" s="89">
        <f t="shared" ref="Y6:Y11" si="0">D6+F6+H6+J6+L6+N6+P6+R6+T6+V6+X6</f>
        <v>53246.967499999999</v>
      </c>
    </row>
    <row r="7" spans="1:25" ht="31.5" customHeight="1" x14ac:dyDescent="0.25">
      <c r="A7" s="12">
        <v>1984225578</v>
      </c>
      <c r="B7" s="213" t="s">
        <v>72</v>
      </c>
      <c r="C7" s="216">
        <v>62694</v>
      </c>
      <c r="D7" s="217">
        <f t="shared" ref="D7:D11" si="1">0.9725*C7</f>
        <v>60969.915000000001</v>
      </c>
      <c r="E7" s="216"/>
      <c r="F7" s="216">
        <f t="shared" ref="F7:F11" si="2">13.7*E7</f>
        <v>0</v>
      </c>
      <c r="G7" s="216"/>
      <c r="H7" s="216">
        <f t="shared" ref="H7:H11" si="3">28.2*G7</f>
        <v>0</v>
      </c>
      <c r="I7" s="216"/>
      <c r="J7" s="216">
        <f t="shared" ref="J7:J11" si="4">18.5*I7</f>
        <v>0</v>
      </c>
      <c r="K7" s="216"/>
      <c r="L7" s="216">
        <f t="shared" ref="L7:L11" si="5">19.5*K7</f>
        <v>0</v>
      </c>
      <c r="M7" s="216"/>
      <c r="N7" s="217">
        <f t="shared" ref="N7:N11" si="6">M7*9.75</f>
        <v>0</v>
      </c>
      <c r="O7" s="216"/>
      <c r="P7" s="217">
        <f t="shared" ref="P7:P11" si="7">O7*48.62</f>
        <v>0</v>
      </c>
      <c r="Q7" s="217"/>
      <c r="R7" s="217">
        <f t="shared" ref="R7:R11" si="8">241*Q7</f>
        <v>0</v>
      </c>
      <c r="S7" s="216">
        <v>10</v>
      </c>
      <c r="T7" s="216">
        <f t="shared" ref="T7:T11" si="9">241*S7</f>
        <v>2410</v>
      </c>
      <c r="U7" s="216"/>
      <c r="V7" s="216">
        <f t="shared" ref="V7:V11" si="10">232*U7</f>
        <v>0</v>
      </c>
      <c r="W7" s="216">
        <v>1</v>
      </c>
      <c r="X7" s="19">
        <f t="shared" ref="X7:X11" si="11">W7*100</f>
        <v>100</v>
      </c>
      <c r="Y7" s="89">
        <f t="shared" si="0"/>
        <v>63479.915000000001</v>
      </c>
    </row>
    <row r="8" spans="1:25" ht="35.25" customHeight="1" x14ac:dyDescent="0.25">
      <c r="A8" s="12">
        <v>1967020280</v>
      </c>
      <c r="B8" s="213" t="s">
        <v>73</v>
      </c>
      <c r="C8" s="216">
        <v>60984</v>
      </c>
      <c r="D8" s="217">
        <f t="shared" si="1"/>
        <v>59306.94</v>
      </c>
      <c r="E8" s="216"/>
      <c r="F8" s="216">
        <f t="shared" si="2"/>
        <v>0</v>
      </c>
      <c r="G8" s="216"/>
      <c r="H8" s="216">
        <f t="shared" si="3"/>
        <v>0</v>
      </c>
      <c r="I8" s="216"/>
      <c r="J8" s="216">
        <f t="shared" si="4"/>
        <v>0</v>
      </c>
      <c r="K8" s="216"/>
      <c r="L8" s="216">
        <f t="shared" si="5"/>
        <v>0</v>
      </c>
      <c r="M8" s="216"/>
      <c r="N8" s="217">
        <f t="shared" si="6"/>
        <v>0</v>
      </c>
      <c r="O8" s="216"/>
      <c r="P8" s="217">
        <f t="shared" si="7"/>
        <v>0</v>
      </c>
      <c r="Q8" s="217"/>
      <c r="R8" s="217">
        <f t="shared" si="8"/>
        <v>0</v>
      </c>
      <c r="S8" s="216"/>
      <c r="T8" s="216">
        <f t="shared" si="9"/>
        <v>0</v>
      </c>
      <c r="U8" s="216"/>
      <c r="V8" s="216">
        <f t="shared" si="10"/>
        <v>0</v>
      </c>
      <c r="W8" s="216"/>
      <c r="X8" s="19">
        <f t="shared" si="11"/>
        <v>0</v>
      </c>
      <c r="Y8" s="89">
        <f t="shared" si="0"/>
        <v>59306.94</v>
      </c>
    </row>
    <row r="9" spans="1:25" ht="38.25" customHeight="1" x14ac:dyDescent="0.25">
      <c r="A9" s="12">
        <v>1409935199</v>
      </c>
      <c r="B9" s="213" t="s">
        <v>75</v>
      </c>
      <c r="C9" s="216">
        <v>48428</v>
      </c>
      <c r="D9" s="217">
        <f t="shared" si="1"/>
        <v>47096.23</v>
      </c>
      <c r="E9" s="216"/>
      <c r="F9" s="216">
        <f t="shared" si="2"/>
        <v>0</v>
      </c>
      <c r="G9" s="216"/>
      <c r="H9" s="216">
        <f t="shared" si="3"/>
        <v>0</v>
      </c>
      <c r="I9" s="216"/>
      <c r="J9" s="216">
        <f t="shared" si="4"/>
        <v>0</v>
      </c>
      <c r="K9" s="216"/>
      <c r="L9" s="216">
        <f t="shared" si="5"/>
        <v>0</v>
      </c>
      <c r="M9" s="216"/>
      <c r="N9" s="217">
        <f t="shared" si="6"/>
        <v>0</v>
      </c>
      <c r="O9" s="216"/>
      <c r="P9" s="217">
        <f t="shared" si="7"/>
        <v>0</v>
      </c>
      <c r="Q9" s="217"/>
      <c r="R9" s="217">
        <f t="shared" si="8"/>
        <v>0</v>
      </c>
      <c r="S9" s="216"/>
      <c r="T9" s="216">
        <f t="shared" si="9"/>
        <v>0</v>
      </c>
      <c r="U9" s="216"/>
      <c r="V9" s="216">
        <f t="shared" si="10"/>
        <v>0</v>
      </c>
      <c r="W9" s="216"/>
      <c r="X9" s="19">
        <f t="shared" si="11"/>
        <v>0</v>
      </c>
      <c r="Y9" s="89">
        <f t="shared" si="0"/>
        <v>47096.23</v>
      </c>
    </row>
    <row r="10" spans="1:25" ht="35.25" customHeight="1" x14ac:dyDescent="0.25">
      <c r="A10" s="12">
        <v>1984225580</v>
      </c>
      <c r="C10" s="216"/>
      <c r="D10" s="217">
        <f t="shared" si="1"/>
        <v>0</v>
      </c>
      <c r="E10" s="216"/>
      <c r="F10" s="216">
        <f t="shared" si="2"/>
        <v>0</v>
      </c>
      <c r="G10" s="216"/>
      <c r="H10" s="216">
        <f t="shared" si="3"/>
        <v>0</v>
      </c>
      <c r="I10" s="216"/>
      <c r="J10" s="216">
        <f t="shared" si="4"/>
        <v>0</v>
      </c>
      <c r="K10" s="216"/>
      <c r="L10" s="216">
        <f t="shared" si="5"/>
        <v>0</v>
      </c>
      <c r="M10" s="216"/>
      <c r="N10" s="217">
        <f t="shared" si="6"/>
        <v>0</v>
      </c>
      <c r="O10" s="216"/>
      <c r="P10" s="217">
        <f t="shared" si="7"/>
        <v>0</v>
      </c>
      <c r="Q10" s="217"/>
      <c r="R10" s="217">
        <f t="shared" si="8"/>
        <v>0</v>
      </c>
      <c r="S10" s="216"/>
      <c r="T10" s="216">
        <f t="shared" si="9"/>
        <v>0</v>
      </c>
      <c r="U10" s="216"/>
      <c r="V10" s="216">
        <f t="shared" si="10"/>
        <v>0</v>
      </c>
      <c r="W10" s="216"/>
      <c r="X10" s="19">
        <f t="shared" si="11"/>
        <v>0</v>
      </c>
      <c r="Y10" s="89">
        <f t="shared" si="0"/>
        <v>0</v>
      </c>
    </row>
    <row r="11" spans="1:25" ht="37.5" customHeight="1" x14ac:dyDescent="0.25">
      <c r="A11" s="12"/>
      <c r="B11" s="215"/>
      <c r="C11" s="216"/>
      <c r="D11" s="22">
        <f t="shared" si="1"/>
        <v>0</v>
      </c>
      <c r="E11" s="216"/>
      <c r="F11" s="216">
        <f t="shared" si="2"/>
        <v>0</v>
      </c>
      <c r="G11" s="216"/>
      <c r="H11" s="216">
        <f t="shared" si="3"/>
        <v>0</v>
      </c>
      <c r="I11" s="216"/>
      <c r="J11" s="216">
        <f t="shared" si="4"/>
        <v>0</v>
      </c>
      <c r="K11" s="216"/>
      <c r="L11" s="216">
        <f t="shared" si="5"/>
        <v>0</v>
      </c>
      <c r="M11" s="216"/>
      <c r="N11" s="217">
        <f t="shared" si="6"/>
        <v>0</v>
      </c>
      <c r="O11" s="216"/>
      <c r="P11" s="217">
        <f t="shared" si="7"/>
        <v>0</v>
      </c>
      <c r="Q11" s="217"/>
      <c r="R11" s="217">
        <f t="shared" si="8"/>
        <v>0</v>
      </c>
      <c r="S11" s="216"/>
      <c r="T11" s="216">
        <f t="shared" si="9"/>
        <v>0</v>
      </c>
      <c r="U11" s="216"/>
      <c r="V11" s="216">
        <f t="shared" si="10"/>
        <v>0</v>
      </c>
      <c r="W11" s="216"/>
      <c r="X11" s="19">
        <f t="shared" si="11"/>
        <v>0</v>
      </c>
      <c r="Y11" s="20">
        <f t="shared" si="0"/>
        <v>0</v>
      </c>
    </row>
    <row r="12" spans="1:25" ht="29.25" customHeight="1" x14ac:dyDescent="0.25">
      <c r="A12" s="2235" t="s">
        <v>31</v>
      </c>
      <c r="B12" s="2235"/>
      <c r="C12" s="18">
        <f t="shared" ref="C12:Y12" si="12">SUM(C6:C11)</f>
        <v>223089</v>
      </c>
      <c r="D12" s="18">
        <f t="shared" si="12"/>
        <v>216954.05250000002</v>
      </c>
      <c r="E12" s="18">
        <f t="shared" si="12"/>
        <v>0</v>
      </c>
      <c r="F12" s="18">
        <f t="shared" si="12"/>
        <v>0</v>
      </c>
      <c r="G12" s="18">
        <f t="shared" si="12"/>
        <v>130</v>
      </c>
      <c r="H12" s="18">
        <f t="shared" si="12"/>
        <v>3666</v>
      </c>
      <c r="I12" s="18">
        <f t="shared" si="12"/>
        <v>0</v>
      </c>
      <c r="J12" s="18">
        <f t="shared" si="12"/>
        <v>0</v>
      </c>
      <c r="K12" s="18">
        <f t="shared" si="12"/>
        <v>0</v>
      </c>
      <c r="L12" s="18">
        <f t="shared" si="12"/>
        <v>0</v>
      </c>
      <c r="M12" s="18">
        <f t="shared" si="12"/>
        <v>0</v>
      </c>
      <c r="N12" s="23">
        <f t="shared" si="12"/>
        <v>0</v>
      </c>
      <c r="O12" s="18">
        <f t="shared" si="12"/>
        <v>0</v>
      </c>
      <c r="P12" s="23">
        <f t="shared" si="12"/>
        <v>0</v>
      </c>
      <c r="Q12" s="23">
        <f t="shared" si="12"/>
        <v>0</v>
      </c>
      <c r="R12" s="23">
        <f>SUM(R6:R11)</f>
        <v>0</v>
      </c>
      <c r="S12" s="18">
        <f t="shared" si="12"/>
        <v>10</v>
      </c>
      <c r="T12" s="18">
        <f t="shared" si="12"/>
        <v>2410</v>
      </c>
      <c r="U12" s="18">
        <f t="shared" si="12"/>
        <v>0</v>
      </c>
      <c r="V12" s="18">
        <f t="shared" si="12"/>
        <v>0</v>
      </c>
      <c r="W12" s="18">
        <f t="shared" si="12"/>
        <v>1</v>
      </c>
      <c r="X12" s="18">
        <f t="shared" si="12"/>
        <v>100</v>
      </c>
      <c r="Y12" s="18">
        <f t="shared" si="12"/>
        <v>223130.05250000002</v>
      </c>
    </row>
    <row r="14" spans="1:25" ht="41.25" customHeight="1" x14ac:dyDescent="0.25">
      <c r="A14" s="30" t="s">
        <v>32</v>
      </c>
      <c r="B14" s="2236" t="s">
        <v>27</v>
      </c>
      <c r="C14" s="2236"/>
      <c r="D14" s="30" t="s">
        <v>33</v>
      </c>
      <c r="E14" s="30" t="s">
        <v>65</v>
      </c>
      <c r="F14" s="30" t="s">
        <v>34</v>
      </c>
      <c r="G14" s="30" t="s">
        <v>13</v>
      </c>
      <c r="H14" s="142" t="s">
        <v>173</v>
      </c>
      <c r="I14" s="30" t="s">
        <v>17</v>
      </c>
      <c r="J14" s="221" t="s">
        <v>174</v>
      </c>
      <c r="K14" s="30" t="s">
        <v>36</v>
      </c>
      <c r="L14" s="30" t="s">
        <v>175</v>
      </c>
      <c r="M14" s="30" t="s">
        <v>69</v>
      </c>
      <c r="N14" s="30" t="s">
        <v>70</v>
      </c>
      <c r="O14" s="221" t="s">
        <v>114</v>
      </c>
      <c r="P14" s="221" t="s">
        <v>99</v>
      </c>
      <c r="Q14" s="2272"/>
      <c r="R14" s="2272"/>
      <c r="S14" s="221"/>
      <c r="T14" s="2235" t="s">
        <v>46</v>
      </c>
      <c r="U14" s="213" t="s">
        <v>176</v>
      </c>
      <c r="V14" s="2260">
        <v>9014</v>
      </c>
      <c r="W14" s="2268"/>
      <c r="X14" s="2261"/>
    </row>
    <row r="15" spans="1:25" ht="22.5" customHeight="1" x14ac:dyDescent="0.25">
      <c r="A15" s="100" t="s">
        <v>38</v>
      </c>
      <c r="B15" s="2260">
        <v>229705</v>
      </c>
      <c r="C15" s="2261"/>
      <c r="D15" s="218">
        <v>0</v>
      </c>
      <c r="E15" s="218">
        <v>430</v>
      </c>
      <c r="F15" s="218">
        <v>50</v>
      </c>
      <c r="G15" s="218">
        <v>0</v>
      </c>
      <c r="H15" s="218">
        <v>82</v>
      </c>
      <c r="I15" s="218">
        <v>0</v>
      </c>
      <c r="J15" s="218">
        <v>94</v>
      </c>
      <c r="K15" s="218">
        <v>48</v>
      </c>
      <c r="L15" s="218">
        <v>876</v>
      </c>
      <c r="M15" s="218">
        <v>0</v>
      </c>
      <c r="N15" s="218">
        <v>100</v>
      </c>
      <c r="O15" s="218">
        <v>0</v>
      </c>
      <c r="P15" s="218">
        <v>417</v>
      </c>
      <c r="Q15" s="2262">
        <v>0</v>
      </c>
      <c r="R15" s="2262"/>
      <c r="S15" s="213">
        <v>0</v>
      </c>
      <c r="T15" s="2235"/>
      <c r="U15" s="213" t="s">
        <v>64</v>
      </c>
      <c r="V15" s="2262">
        <v>10562</v>
      </c>
      <c r="W15" s="2262"/>
      <c r="X15" s="2262"/>
    </row>
    <row r="16" spans="1:25" ht="24.75" customHeight="1" x14ac:dyDescent="0.25">
      <c r="A16" s="100" t="s">
        <v>39</v>
      </c>
      <c r="B16" s="2260">
        <v>228571</v>
      </c>
      <c r="C16" s="2261"/>
      <c r="D16" s="218"/>
      <c r="E16" s="218"/>
      <c r="F16" s="218"/>
      <c r="G16" s="218"/>
      <c r="H16" s="218"/>
      <c r="I16" s="218"/>
      <c r="J16" s="218"/>
      <c r="K16" s="218"/>
      <c r="L16" s="218"/>
      <c r="M16" s="218"/>
      <c r="N16" s="218"/>
      <c r="O16" s="218"/>
      <c r="P16" s="218"/>
      <c r="Q16" s="2225"/>
      <c r="R16" s="2225"/>
      <c r="S16" s="218"/>
      <c r="T16" s="2254" t="s">
        <v>55</v>
      </c>
      <c r="U16" s="2254"/>
      <c r="V16" s="2267">
        <f>Y12</f>
        <v>223130.05250000002</v>
      </c>
      <c r="W16" s="2267"/>
      <c r="X16" s="2262"/>
    </row>
    <row r="17" spans="1:25" ht="28.5" customHeight="1" x14ac:dyDescent="0.25">
      <c r="A17" s="101" t="s">
        <v>44</v>
      </c>
      <c r="B17" s="2260"/>
      <c r="C17" s="2261"/>
      <c r="D17" s="218"/>
      <c r="E17" s="218"/>
      <c r="F17" s="218"/>
      <c r="G17" s="218"/>
      <c r="H17" s="218"/>
      <c r="I17" s="218"/>
      <c r="J17" s="218"/>
      <c r="K17" s="218"/>
      <c r="L17" s="218"/>
      <c r="M17" s="218"/>
      <c r="N17" s="218"/>
      <c r="O17" s="218"/>
      <c r="P17" s="218"/>
      <c r="Q17" s="2225"/>
      <c r="R17" s="2225"/>
      <c r="S17" s="215"/>
      <c r="T17" s="2273" t="s">
        <v>211</v>
      </c>
      <c r="U17" s="2274"/>
      <c r="V17" s="2262"/>
      <c r="W17" s="2262"/>
      <c r="X17" s="2262"/>
    </row>
    <row r="18" spans="1:25" ht="27" customHeight="1" x14ac:dyDescent="0.25">
      <c r="A18" s="100" t="s">
        <v>40</v>
      </c>
      <c r="B18" s="2264">
        <f>C12</f>
        <v>223089</v>
      </c>
      <c r="C18" s="2261"/>
      <c r="D18" s="219">
        <f>E12</f>
        <v>0</v>
      </c>
      <c r="E18" s="219">
        <f>G12</f>
        <v>130</v>
      </c>
      <c r="F18" s="219">
        <f>I12</f>
        <v>0</v>
      </c>
      <c r="G18" s="219">
        <f>K12</f>
        <v>0</v>
      </c>
      <c r="H18" s="218">
        <v>10</v>
      </c>
      <c r="I18" s="219">
        <f>U12</f>
        <v>0</v>
      </c>
      <c r="J18" s="218"/>
      <c r="K18" s="219">
        <f>W12</f>
        <v>1</v>
      </c>
      <c r="L18" s="218"/>
      <c r="M18" s="219">
        <f>M12</f>
        <v>0</v>
      </c>
      <c r="N18" s="219">
        <f>O12</f>
        <v>0</v>
      </c>
      <c r="O18" s="220">
        <f>Q12</f>
        <v>0</v>
      </c>
      <c r="P18" s="218"/>
      <c r="Q18" s="2262"/>
      <c r="R18" s="2262"/>
      <c r="S18" s="213"/>
      <c r="T18" s="2254" t="s">
        <v>57</v>
      </c>
      <c r="U18" s="2254"/>
      <c r="V18" s="2262">
        <f>800+210</f>
        <v>1010</v>
      </c>
      <c r="W18" s="2262"/>
      <c r="X18" s="2262"/>
      <c r="Y18" s="2269" t="s">
        <v>244</v>
      </c>
    </row>
    <row r="19" spans="1:25" ht="25.5" customHeight="1" x14ac:dyDescent="0.25">
      <c r="A19" s="100" t="s">
        <v>41</v>
      </c>
      <c r="B19" s="2260">
        <f>B15+B16+B17-B18</f>
        <v>235187</v>
      </c>
      <c r="C19" s="2261"/>
      <c r="D19" s="218">
        <f>D15+D16+D17-D18</f>
        <v>0</v>
      </c>
      <c r="E19" s="218">
        <f t="shared" ref="E19:N19" si="13">E15+E16+E17-E18</f>
        <v>300</v>
      </c>
      <c r="F19" s="218">
        <f t="shared" si="13"/>
        <v>50</v>
      </c>
      <c r="G19" s="218">
        <f t="shared" si="13"/>
        <v>0</v>
      </c>
      <c r="H19" s="218">
        <f t="shared" si="13"/>
        <v>72</v>
      </c>
      <c r="I19" s="218">
        <f t="shared" si="13"/>
        <v>0</v>
      </c>
      <c r="J19" s="218">
        <f t="shared" si="13"/>
        <v>94</v>
      </c>
      <c r="K19" s="218">
        <f t="shared" si="13"/>
        <v>47</v>
      </c>
      <c r="L19" s="218">
        <f t="shared" si="13"/>
        <v>876</v>
      </c>
      <c r="M19" s="218">
        <f t="shared" si="13"/>
        <v>0</v>
      </c>
      <c r="N19" s="218">
        <f t="shared" si="13"/>
        <v>100</v>
      </c>
      <c r="O19" s="218">
        <f>O15+O16+O17-O18</f>
        <v>0</v>
      </c>
      <c r="P19" s="218">
        <f>P15+P16+P17-P18</f>
        <v>417</v>
      </c>
      <c r="Q19" s="2260">
        <f t="shared" ref="Q19" si="14">Q15+Q16+Q17-Q18</f>
        <v>0</v>
      </c>
      <c r="R19" s="2261"/>
      <c r="S19" s="213">
        <f>S15+S16-S17-S18</f>
        <v>0</v>
      </c>
      <c r="T19" s="2256" t="s">
        <v>48</v>
      </c>
      <c r="U19" s="49" t="s">
        <v>58</v>
      </c>
      <c r="V19" s="2262">
        <v>185000</v>
      </c>
      <c r="W19" s="2262"/>
      <c r="X19" s="2262"/>
      <c r="Y19" s="2269"/>
    </row>
    <row r="20" spans="1:25" ht="23.25" customHeight="1" x14ac:dyDescent="0.25">
      <c r="A20" s="210" t="s">
        <v>187</v>
      </c>
      <c r="B20" s="2284">
        <f>B19*0.9625</f>
        <v>226367.48750000002</v>
      </c>
      <c r="C20" s="2285"/>
      <c r="D20" s="211">
        <f>D19*13.56</f>
        <v>0</v>
      </c>
      <c r="E20" s="211">
        <f>28.2*E19</f>
        <v>8460</v>
      </c>
      <c r="F20" s="211">
        <f>18.31*F19</f>
        <v>915.49999999999989</v>
      </c>
      <c r="G20" s="211">
        <f>19.3*G19</f>
        <v>0</v>
      </c>
      <c r="H20" s="211">
        <f>241*H19</f>
        <v>17352</v>
      </c>
      <c r="I20" s="211">
        <f>223*I19</f>
        <v>0</v>
      </c>
      <c r="J20" s="211">
        <f>241*J19</f>
        <v>22654</v>
      </c>
      <c r="K20" s="211">
        <f>K19*100</f>
        <v>4700</v>
      </c>
      <c r="L20" s="211">
        <f>241*L19</f>
        <v>211116</v>
      </c>
      <c r="M20" s="211">
        <f>9.65*M19</f>
        <v>0</v>
      </c>
      <c r="N20" s="211">
        <f>N19*48.2</f>
        <v>4820</v>
      </c>
      <c r="O20" s="211">
        <f>241*O19</f>
        <v>0</v>
      </c>
      <c r="P20" s="211">
        <f>241*P19</f>
        <v>100497</v>
      </c>
      <c r="Q20" s="2284">
        <f>241*Q19</f>
        <v>0</v>
      </c>
      <c r="R20" s="2285"/>
      <c r="S20" s="211">
        <f>241*S19</f>
        <v>0</v>
      </c>
      <c r="T20" s="2257"/>
      <c r="U20" s="49" t="s">
        <v>59</v>
      </c>
      <c r="V20" s="2262"/>
      <c r="W20" s="2262"/>
      <c r="X20" s="2262"/>
      <c r="Y20" s="2269"/>
    </row>
    <row r="21" spans="1:25" ht="32.25" customHeight="1" x14ac:dyDescent="0.25">
      <c r="A21" s="143" t="s">
        <v>186</v>
      </c>
      <c r="B21" s="2283">
        <f>SUM(B20:S20)</f>
        <v>596881.98750000005</v>
      </c>
      <c r="C21" s="2283"/>
      <c r="O21" s="222"/>
      <c r="P21" s="222"/>
      <c r="Q21" s="222"/>
      <c r="R21" s="222"/>
      <c r="T21" s="2273" t="s">
        <v>167</v>
      </c>
      <c r="U21" s="2274"/>
      <c r="V21" s="2260"/>
      <c r="W21" s="2268"/>
      <c r="X21" s="2261"/>
      <c r="Y21" s="2269"/>
    </row>
    <row r="22" spans="1:25" ht="35.25" customHeight="1" x14ac:dyDescent="0.25">
      <c r="A22" s="15"/>
      <c r="B22" s="2275" t="s">
        <v>49</v>
      </c>
      <c r="C22" s="2265">
        <v>267606</v>
      </c>
      <c r="D22" s="2265">
        <v>185000</v>
      </c>
      <c r="E22" s="2265">
        <v>220000</v>
      </c>
      <c r="F22" s="2265">
        <f>C22-D22+E22</f>
        <v>302606</v>
      </c>
      <c r="G22" s="222"/>
      <c r="Q22" s="222"/>
      <c r="R22" s="222"/>
      <c r="T22" s="2251" t="s">
        <v>83</v>
      </c>
      <c r="U22" s="50" t="s">
        <v>60</v>
      </c>
      <c r="V22" s="2262">
        <v>220160</v>
      </c>
      <c r="W22" s="2262"/>
      <c r="X22" s="2262"/>
      <c r="Y22" s="2269"/>
    </row>
    <row r="23" spans="1:25" ht="39.75" customHeight="1" x14ac:dyDescent="0.25">
      <c r="A23" s="222"/>
      <c r="B23" s="2276"/>
      <c r="C23" s="2266"/>
      <c r="D23" s="2266"/>
      <c r="E23" s="2266"/>
      <c r="F23" s="2266"/>
      <c r="G23" s="222"/>
      <c r="Q23" s="222"/>
      <c r="R23" s="222"/>
      <c r="T23" s="2252"/>
      <c r="U23" s="50" t="s">
        <v>61</v>
      </c>
      <c r="V23" s="2262">
        <v>185000</v>
      </c>
      <c r="W23" s="2262"/>
      <c r="X23" s="2262"/>
      <c r="Y23" s="2269"/>
    </row>
    <row r="24" spans="1:25" ht="48" customHeight="1" x14ac:dyDescent="0.25">
      <c r="A24" s="222"/>
      <c r="B24" s="2277"/>
      <c r="C24" s="213" t="s">
        <v>46</v>
      </c>
      <c r="D24" s="213" t="s">
        <v>50</v>
      </c>
      <c r="E24" s="213" t="s">
        <v>51</v>
      </c>
      <c r="F24" s="213" t="s">
        <v>52</v>
      </c>
      <c r="G24" s="222"/>
      <c r="Q24" s="222"/>
      <c r="R24" s="222"/>
      <c r="T24" s="2235" t="s">
        <v>47</v>
      </c>
      <c r="U24" s="51" t="s">
        <v>62</v>
      </c>
      <c r="V24" s="2263">
        <f>V14+V16+V17-V18-V19-V20-V22+V23-V21</f>
        <v>10974.05250000002</v>
      </c>
      <c r="W24" s="2263"/>
      <c r="X24" s="2263"/>
      <c r="Y24" s="2269"/>
    </row>
    <row r="25" spans="1:25" ht="40.5" customHeight="1" x14ac:dyDescent="0.25">
      <c r="T25" s="2235"/>
      <c r="U25" s="51" t="s">
        <v>63</v>
      </c>
      <c r="V25" s="2262">
        <f>V15+V22-V23</f>
        <v>45722</v>
      </c>
      <c r="W25" s="2262"/>
      <c r="X25" s="2262"/>
    </row>
    <row r="26" spans="1:25" ht="36" customHeight="1" x14ac:dyDescent="0.25"/>
    <row r="32" spans="1:25" x14ac:dyDescent="0.25">
      <c r="I32" s="2280"/>
      <c r="J32" s="2280"/>
      <c r="K32" s="2280"/>
      <c r="L32" s="2280"/>
    </row>
    <row r="33" spans="9:12" x14ac:dyDescent="0.25">
      <c r="I33" s="222"/>
      <c r="J33" s="222"/>
      <c r="K33" s="2280"/>
      <c r="L33" s="2280"/>
    </row>
  </sheetData>
  <mergeCells count="62">
    <mergeCell ref="I32:J32"/>
    <mergeCell ref="K32:L32"/>
    <mergeCell ref="K33:L33"/>
    <mergeCell ref="T22:T23"/>
    <mergeCell ref="V22:X22"/>
    <mergeCell ref="V23:X23"/>
    <mergeCell ref="T24:T25"/>
    <mergeCell ref="V24:X24"/>
    <mergeCell ref="V25:X25"/>
    <mergeCell ref="Y18:Y24"/>
    <mergeCell ref="B19:C19"/>
    <mergeCell ref="Q19:R19"/>
    <mergeCell ref="T19:T20"/>
    <mergeCell ref="V19:X19"/>
    <mergeCell ref="B20:C20"/>
    <mergeCell ref="B22:B24"/>
    <mergeCell ref="C22:C23"/>
    <mergeCell ref="D22:D23"/>
    <mergeCell ref="E22:E23"/>
    <mergeCell ref="F22:F23"/>
    <mergeCell ref="Q20:R20"/>
    <mergeCell ref="V20:X20"/>
    <mergeCell ref="B21:C21"/>
    <mergeCell ref="T21:U21"/>
    <mergeCell ref="V21:X21"/>
    <mergeCell ref="B17:C17"/>
    <mergeCell ref="Q17:R17"/>
    <mergeCell ref="T17:U17"/>
    <mergeCell ref="V17:X17"/>
    <mergeCell ref="B18:C18"/>
    <mergeCell ref="Q18:R18"/>
    <mergeCell ref="T18:U18"/>
    <mergeCell ref="V18:X18"/>
    <mergeCell ref="W4:X4"/>
    <mergeCell ref="B16:C16"/>
    <mergeCell ref="Q16:R16"/>
    <mergeCell ref="T16:U16"/>
    <mergeCell ref="V16:X16"/>
    <mergeCell ref="A12:B12"/>
    <mergeCell ref="B14:C14"/>
    <mergeCell ref="Q14:R14"/>
    <mergeCell ref="T14:T15"/>
    <mergeCell ref="V14:X14"/>
    <mergeCell ref="B15:C15"/>
    <mergeCell ref="Q15:R15"/>
    <mergeCell ref="V15:X15"/>
    <mergeCell ref="A1:Y1"/>
    <mergeCell ref="A2:Y2"/>
    <mergeCell ref="T3:Y3"/>
    <mergeCell ref="A4:A5"/>
    <mergeCell ref="B4:B5"/>
    <mergeCell ref="C4:D4"/>
    <mergeCell ref="E4:F4"/>
    <mergeCell ref="G4:H4"/>
    <mergeCell ref="I4:J4"/>
    <mergeCell ref="K4:L4"/>
    <mergeCell ref="Y4:Y5"/>
    <mergeCell ref="M4:N4"/>
    <mergeCell ref="O4:P4"/>
    <mergeCell ref="Q4:R4"/>
    <mergeCell ref="S4:T4"/>
    <mergeCell ref="U4:V4"/>
  </mergeCells>
  <pageMargins left="0.15748031496063" right="0.15748031496063" top="0" bottom="0" header="0" footer="0"/>
  <pageSetup paperSize="9" scale="47" orientation="landscape" r:id="rId1"/>
  <legacyDrawing r:id="rId2"/>
</worksheet>
</file>

<file path=xl/worksheets/sheet8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9D92ECD-3C31-4CC4-874B-3FB15D0DB802}">
  <sheetPr>
    <pageSetUpPr fitToPage="1"/>
  </sheetPr>
  <dimension ref="A1:Y33"/>
  <sheetViews>
    <sheetView topLeftCell="A6" zoomScale="71" zoomScaleNormal="71" zoomScaleSheetLayoutView="100" workbookViewId="0">
      <selection activeCell="J22" sqref="J22"/>
    </sheetView>
  </sheetViews>
  <sheetFormatPr defaultColWidth="9.140625" defaultRowHeight="15" x14ac:dyDescent="0.25"/>
  <cols>
    <col min="1" max="1" width="18.28515625" style="14" customWidth="1"/>
    <col min="2" max="2" width="10.7109375" style="14" customWidth="1"/>
    <col min="3" max="3" width="12.28515625" style="14" customWidth="1"/>
    <col min="4" max="4" width="11" style="14" customWidth="1"/>
    <col min="5" max="5" width="12" style="14" customWidth="1"/>
    <col min="6" max="6" width="12.5703125" style="14" bestFit="1" customWidth="1"/>
    <col min="7" max="7" width="9.28515625" style="14" bestFit="1" customWidth="1"/>
    <col min="8" max="8" width="10.140625" style="14" bestFit="1" customWidth="1"/>
    <col min="9" max="9" width="10.5703125" style="14" bestFit="1" customWidth="1"/>
    <col min="10" max="10" width="10.5703125" style="14" customWidth="1"/>
    <col min="11" max="11" width="10.28515625" style="14" bestFit="1" customWidth="1"/>
    <col min="12" max="12" width="10.42578125" style="14" bestFit="1" customWidth="1"/>
    <col min="13" max="13" width="9.85546875" style="14" bestFit="1" customWidth="1"/>
    <col min="14" max="14" width="10.140625" style="14" bestFit="1" customWidth="1"/>
    <col min="15" max="15" width="9" style="14" customWidth="1"/>
    <col min="16" max="16" width="12.85546875" style="14" bestFit="1" customWidth="1"/>
    <col min="17" max="18" width="9.42578125" style="14" customWidth="1"/>
    <col min="19" max="19" width="13.7109375" style="14" customWidth="1"/>
    <col min="20" max="20" width="12.140625" style="14" customWidth="1"/>
    <col min="21" max="21" width="19.5703125" style="14" bestFit="1" customWidth="1"/>
    <col min="22" max="22" width="9.85546875" style="14" customWidth="1"/>
    <col min="23" max="23" width="10.140625" style="14" bestFit="1" customWidth="1"/>
    <col min="24" max="24" width="10.28515625" style="14" customWidth="1"/>
    <col min="25" max="25" width="28" style="14" customWidth="1"/>
    <col min="26" max="16384" width="9.140625" style="14"/>
  </cols>
  <sheetData>
    <row r="1" spans="1:25" ht="46.15" customHeight="1" x14ac:dyDescent="0.25">
      <c r="A1" s="2240" t="s">
        <v>148</v>
      </c>
      <c r="B1" s="2240"/>
      <c r="C1" s="2240"/>
      <c r="D1" s="2240"/>
      <c r="E1" s="2240"/>
      <c r="F1" s="2240"/>
      <c r="G1" s="2240"/>
      <c r="H1" s="2240"/>
      <c r="I1" s="2240"/>
      <c r="J1" s="2240"/>
      <c r="K1" s="2240"/>
      <c r="L1" s="2240"/>
      <c r="M1" s="2240"/>
      <c r="N1" s="2240"/>
      <c r="O1" s="2240"/>
      <c r="P1" s="2240"/>
      <c r="Q1" s="2240"/>
      <c r="R1" s="2240"/>
      <c r="S1" s="2240"/>
      <c r="T1" s="2240"/>
      <c r="U1" s="2240"/>
      <c r="V1" s="2240"/>
      <c r="W1" s="2240"/>
      <c r="X1" s="2240"/>
      <c r="Y1" s="2240"/>
    </row>
    <row r="2" spans="1:25" ht="21.6" customHeight="1" x14ac:dyDescent="0.25">
      <c r="A2" s="2241" t="s">
        <v>77</v>
      </c>
      <c r="B2" s="2241"/>
      <c r="C2" s="2241"/>
      <c r="D2" s="2241"/>
      <c r="E2" s="2241"/>
      <c r="F2" s="2241"/>
      <c r="G2" s="2241"/>
      <c r="H2" s="2241"/>
      <c r="I2" s="2241"/>
      <c r="J2" s="2241"/>
      <c r="K2" s="2241"/>
      <c r="L2" s="2241"/>
      <c r="M2" s="2241"/>
      <c r="N2" s="2241"/>
      <c r="O2" s="2241"/>
      <c r="P2" s="2241"/>
      <c r="Q2" s="2241"/>
      <c r="R2" s="2241"/>
      <c r="S2" s="2241"/>
      <c r="T2" s="2241"/>
      <c r="U2" s="2241"/>
      <c r="V2" s="2241"/>
      <c r="W2" s="2241"/>
      <c r="X2" s="2241"/>
      <c r="Y2" s="2241"/>
    </row>
    <row r="3" spans="1:25" ht="21" customHeight="1" x14ac:dyDescent="0.25">
      <c r="A3" s="212"/>
      <c r="B3" s="212"/>
      <c r="C3" s="212"/>
      <c r="D3" s="212"/>
      <c r="E3" s="212"/>
      <c r="F3" s="212"/>
      <c r="G3" s="212"/>
      <c r="H3" s="212"/>
      <c r="I3" s="212"/>
      <c r="J3" s="212"/>
      <c r="K3" s="212"/>
      <c r="L3" s="212"/>
      <c r="M3" s="212"/>
      <c r="N3" s="212"/>
      <c r="O3" s="212"/>
      <c r="P3" s="212"/>
      <c r="Q3" s="212"/>
      <c r="R3" s="212"/>
      <c r="S3" s="212"/>
      <c r="T3" s="2242" t="s">
        <v>245</v>
      </c>
      <c r="U3" s="2242"/>
      <c r="V3" s="2242"/>
      <c r="W3" s="2242"/>
      <c r="X3" s="2242"/>
      <c r="Y3" s="2242"/>
    </row>
    <row r="4" spans="1:25" s="212" customFormat="1" ht="18" customHeight="1" x14ac:dyDescent="0.25">
      <c r="A4" s="2243" t="s">
        <v>25</v>
      </c>
      <c r="B4" s="2243" t="s">
        <v>26</v>
      </c>
      <c r="C4" s="2244" t="s">
        <v>27</v>
      </c>
      <c r="D4" s="2244"/>
      <c r="E4" s="2244" t="s">
        <v>28</v>
      </c>
      <c r="F4" s="2244"/>
      <c r="G4" s="2244" t="s">
        <v>65</v>
      </c>
      <c r="H4" s="2244"/>
      <c r="I4" s="2244" t="s">
        <v>29</v>
      </c>
      <c r="J4" s="2244"/>
      <c r="K4" s="2245" t="s">
        <v>13</v>
      </c>
      <c r="L4" s="2246"/>
      <c r="M4" s="2245" t="s">
        <v>67</v>
      </c>
      <c r="N4" s="2246"/>
      <c r="O4" s="2245" t="s">
        <v>68</v>
      </c>
      <c r="P4" s="2246"/>
      <c r="Q4" s="2245" t="s">
        <v>114</v>
      </c>
      <c r="R4" s="2246"/>
      <c r="S4" s="2244" t="s">
        <v>35</v>
      </c>
      <c r="T4" s="2244"/>
      <c r="U4" s="2245" t="s">
        <v>17</v>
      </c>
      <c r="V4" s="2246"/>
      <c r="W4" s="2247" t="s">
        <v>36</v>
      </c>
      <c r="X4" s="2248"/>
      <c r="Y4" s="2238" t="s">
        <v>30</v>
      </c>
    </row>
    <row r="5" spans="1:25" s="212" customFormat="1" ht="25.5" customHeight="1" x14ac:dyDescent="0.25">
      <c r="A5" s="2243"/>
      <c r="B5" s="2243"/>
      <c r="C5" s="214" t="s">
        <v>42</v>
      </c>
      <c r="D5" s="214" t="s">
        <v>43</v>
      </c>
      <c r="E5" s="214" t="s">
        <v>42</v>
      </c>
      <c r="F5" s="214" t="s">
        <v>43</v>
      </c>
      <c r="G5" s="214" t="s">
        <v>42</v>
      </c>
      <c r="H5" s="214" t="s">
        <v>43</v>
      </c>
      <c r="I5" s="214" t="s">
        <v>42</v>
      </c>
      <c r="J5" s="214" t="s">
        <v>43</v>
      </c>
      <c r="K5" s="214" t="s">
        <v>42</v>
      </c>
      <c r="L5" s="214" t="s">
        <v>43</v>
      </c>
      <c r="M5" s="214" t="s">
        <v>42</v>
      </c>
      <c r="N5" s="214" t="s">
        <v>43</v>
      </c>
      <c r="O5" s="214" t="s">
        <v>42</v>
      </c>
      <c r="P5" s="214" t="s">
        <v>43</v>
      </c>
      <c r="Q5" s="214" t="s">
        <v>42</v>
      </c>
      <c r="R5" s="214" t="s">
        <v>43</v>
      </c>
      <c r="S5" s="33" t="s">
        <v>42</v>
      </c>
      <c r="T5" s="33" t="s">
        <v>43</v>
      </c>
      <c r="U5" s="30" t="s">
        <v>42</v>
      </c>
      <c r="V5" s="30" t="s">
        <v>43</v>
      </c>
      <c r="W5" s="30" t="s">
        <v>42</v>
      </c>
      <c r="X5" s="30" t="s">
        <v>43</v>
      </c>
      <c r="Y5" s="2239"/>
    </row>
    <row r="6" spans="1:25" ht="34.5" customHeight="1" x14ac:dyDescent="0.25">
      <c r="A6" s="12">
        <v>1409935200</v>
      </c>
      <c r="B6" s="213" t="s">
        <v>71</v>
      </c>
      <c r="C6" s="216">
        <v>25902</v>
      </c>
      <c r="D6" s="217">
        <f>0.9725*C6</f>
        <v>25189.695</v>
      </c>
      <c r="E6" s="216"/>
      <c r="F6" s="216">
        <f>13.7*E6</f>
        <v>0</v>
      </c>
      <c r="G6" s="216"/>
      <c r="H6" s="216">
        <f>28.2*G6</f>
        <v>0</v>
      </c>
      <c r="I6" s="216"/>
      <c r="J6" s="216">
        <f>18.5*I6</f>
        <v>0</v>
      </c>
      <c r="K6" s="216"/>
      <c r="L6" s="216">
        <f>19.5*K6</f>
        <v>0</v>
      </c>
      <c r="M6" s="216"/>
      <c r="N6" s="217">
        <f>M6*9.75</f>
        <v>0</v>
      </c>
      <c r="O6" s="216"/>
      <c r="P6" s="217">
        <f>O6*48.62</f>
        <v>0</v>
      </c>
      <c r="Q6" s="217"/>
      <c r="R6" s="217">
        <f>241*Q6</f>
        <v>0</v>
      </c>
      <c r="S6" s="216"/>
      <c r="T6" s="216">
        <f>241*S6</f>
        <v>0</v>
      </c>
      <c r="U6" s="216"/>
      <c r="V6" s="216">
        <f>232*U6</f>
        <v>0</v>
      </c>
      <c r="W6" s="216"/>
      <c r="X6" s="19">
        <f>W6*100</f>
        <v>0</v>
      </c>
      <c r="Y6" s="89">
        <f t="shared" ref="Y6:Y11" si="0">D6+F6+H6+J6+L6+N6+P6+R6+T6+V6+X6</f>
        <v>25189.695</v>
      </c>
    </row>
    <row r="7" spans="1:25" ht="31.5" customHeight="1" x14ac:dyDescent="0.25">
      <c r="A7" s="12">
        <v>1984225578</v>
      </c>
      <c r="B7" s="213" t="s">
        <v>72</v>
      </c>
      <c r="C7" s="216"/>
      <c r="D7" s="217">
        <f t="shared" ref="D7:D11" si="1">0.9725*C7</f>
        <v>0</v>
      </c>
      <c r="E7" s="216"/>
      <c r="F7" s="216">
        <f t="shared" ref="F7:F11" si="2">13.7*E7</f>
        <v>0</v>
      </c>
      <c r="G7" s="216"/>
      <c r="H7" s="216">
        <f t="shared" ref="H7:H11" si="3">28.2*G7</f>
        <v>0</v>
      </c>
      <c r="I7" s="216"/>
      <c r="J7" s="216">
        <f t="shared" ref="J7:J11" si="4">18.5*I7</f>
        <v>0</v>
      </c>
      <c r="K7" s="216"/>
      <c r="L7" s="216">
        <f t="shared" ref="L7:L11" si="5">19.5*K7</f>
        <v>0</v>
      </c>
      <c r="M7" s="216"/>
      <c r="N7" s="217">
        <f t="shared" ref="N7:N11" si="6">M7*9.75</f>
        <v>0</v>
      </c>
      <c r="O7" s="216"/>
      <c r="P7" s="217">
        <f t="shared" ref="P7:P11" si="7">O7*48.62</f>
        <v>0</v>
      </c>
      <c r="Q7" s="217"/>
      <c r="R7" s="217">
        <f t="shared" ref="R7:R11" si="8">241*Q7</f>
        <v>0</v>
      </c>
      <c r="S7" s="216"/>
      <c r="T7" s="216">
        <f t="shared" ref="T7:T11" si="9">241*S7</f>
        <v>0</v>
      </c>
      <c r="U7" s="216"/>
      <c r="V7" s="216">
        <f t="shared" ref="V7:V11" si="10">232*U7</f>
        <v>0</v>
      </c>
      <c r="W7" s="216"/>
      <c r="X7" s="19">
        <f t="shared" ref="X7:X11" si="11">W7*100</f>
        <v>0</v>
      </c>
      <c r="Y7" s="89">
        <f t="shared" si="0"/>
        <v>0</v>
      </c>
    </row>
    <row r="8" spans="1:25" ht="35.25" customHeight="1" x14ac:dyDescent="0.25">
      <c r="A8" s="12">
        <v>1967020280</v>
      </c>
      <c r="B8" s="213" t="s">
        <v>73</v>
      </c>
      <c r="C8" s="216"/>
      <c r="D8" s="217">
        <f t="shared" si="1"/>
        <v>0</v>
      </c>
      <c r="E8" s="216"/>
      <c r="F8" s="216">
        <f t="shared" si="2"/>
        <v>0</v>
      </c>
      <c r="G8" s="216"/>
      <c r="H8" s="216">
        <f t="shared" si="3"/>
        <v>0</v>
      </c>
      <c r="I8" s="216"/>
      <c r="J8" s="216">
        <f t="shared" si="4"/>
        <v>0</v>
      </c>
      <c r="K8" s="216"/>
      <c r="L8" s="216">
        <f t="shared" si="5"/>
        <v>0</v>
      </c>
      <c r="M8" s="216"/>
      <c r="N8" s="217">
        <f t="shared" si="6"/>
        <v>0</v>
      </c>
      <c r="O8" s="216"/>
      <c r="P8" s="217">
        <f t="shared" si="7"/>
        <v>0</v>
      </c>
      <c r="Q8" s="217"/>
      <c r="R8" s="217">
        <f t="shared" si="8"/>
        <v>0</v>
      </c>
      <c r="S8" s="216"/>
      <c r="T8" s="216">
        <f t="shared" si="9"/>
        <v>0</v>
      </c>
      <c r="U8" s="216"/>
      <c r="V8" s="216">
        <f t="shared" si="10"/>
        <v>0</v>
      </c>
      <c r="W8" s="216"/>
      <c r="X8" s="19">
        <f t="shared" si="11"/>
        <v>0</v>
      </c>
      <c r="Y8" s="89">
        <f t="shared" si="0"/>
        <v>0</v>
      </c>
    </row>
    <row r="9" spans="1:25" ht="38.25" customHeight="1" x14ac:dyDescent="0.25">
      <c r="A9" s="12">
        <v>1409935199</v>
      </c>
      <c r="B9" s="213" t="s">
        <v>75</v>
      </c>
      <c r="C9" s="216"/>
      <c r="D9" s="217">
        <f t="shared" si="1"/>
        <v>0</v>
      </c>
      <c r="E9" s="216"/>
      <c r="F9" s="216">
        <f t="shared" si="2"/>
        <v>0</v>
      </c>
      <c r="G9" s="216"/>
      <c r="H9" s="216">
        <f t="shared" si="3"/>
        <v>0</v>
      </c>
      <c r="I9" s="216"/>
      <c r="J9" s="216">
        <f t="shared" si="4"/>
        <v>0</v>
      </c>
      <c r="K9" s="216"/>
      <c r="L9" s="216">
        <f t="shared" si="5"/>
        <v>0</v>
      </c>
      <c r="M9" s="216"/>
      <c r="N9" s="217">
        <f t="shared" si="6"/>
        <v>0</v>
      </c>
      <c r="O9" s="216"/>
      <c r="P9" s="217">
        <f t="shared" si="7"/>
        <v>0</v>
      </c>
      <c r="Q9" s="217"/>
      <c r="R9" s="217">
        <f t="shared" si="8"/>
        <v>0</v>
      </c>
      <c r="S9" s="216"/>
      <c r="T9" s="216">
        <f t="shared" si="9"/>
        <v>0</v>
      </c>
      <c r="U9" s="216"/>
      <c r="V9" s="216">
        <f t="shared" si="10"/>
        <v>0</v>
      </c>
      <c r="W9" s="216"/>
      <c r="X9" s="19">
        <f t="shared" si="11"/>
        <v>0</v>
      </c>
      <c r="Y9" s="89">
        <f t="shared" si="0"/>
        <v>0</v>
      </c>
    </row>
    <row r="10" spans="1:25" ht="35.25" customHeight="1" x14ac:dyDescent="0.25">
      <c r="A10" s="12">
        <v>1984225580</v>
      </c>
      <c r="C10" s="216"/>
      <c r="D10" s="217">
        <f t="shared" si="1"/>
        <v>0</v>
      </c>
      <c r="E10" s="216"/>
      <c r="F10" s="216">
        <f t="shared" si="2"/>
        <v>0</v>
      </c>
      <c r="G10" s="216"/>
      <c r="H10" s="216">
        <f t="shared" si="3"/>
        <v>0</v>
      </c>
      <c r="I10" s="216"/>
      <c r="J10" s="216">
        <f t="shared" si="4"/>
        <v>0</v>
      </c>
      <c r="K10" s="216"/>
      <c r="L10" s="216">
        <f t="shared" si="5"/>
        <v>0</v>
      </c>
      <c r="M10" s="216"/>
      <c r="N10" s="217">
        <f t="shared" si="6"/>
        <v>0</v>
      </c>
      <c r="O10" s="216"/>
      <c r="P10" s="217">
        <f t="shared" si="7"/>
        <v>0</v>
      </c>
      <c r="Q10" s="217"/>
      <c r="R10" s="217">
        <f t="shared" si="8"/>
        <v>0</v>
      </c>
      <c r="S10" s="216"/>
      <c r="T10" s="216">
        <f t="shared" si="9"/>
        <v>0</v>
      </c>
      <c r="U10" s="216"/>
      <c r="V10" s="216">
        <f t="shared" si="10"/>
        <v>0</v>
      </c>
      <c r="W10" s="216"/>
      <c r="X10" s="19">
        <f t="shared" si="11"/>
        <v>0</v>
      </c>
      <c r="Y10" s="89">
        <f t="shared" si="0"/>
        <v>0</v>
      </c>
    </row>
    <row r="11" spans="1:25" ht="37.5" customHeight="1" x14ac:dyDescent="0.25">
      <c r="A11" s="12"/>
      <c r="B11" s="215"/>
      <c r="C11" s="216"/>
      <c r="D11" s="22">
        <f t="shared" si="1"/>
        <v>0</v>
      </c>
      <c r="E11" s="216"/>
      <c r="F11" s="216">
        <f t="shared" si="2"/>
        <v>0</v>
      </c>
      <c r="G11" s="216"/>
      <c r="H11" s="216">
        <f t="shared" si="3"/>
        <v>0</v>
      </c>
      <c r="I11" s="216"/>
      <c r="J11" s="216">
        <f t="shared" si="4"/>
        <v>0</v>
      </c>
      <c r="K11" s="216"/>
      <c r="L11" s="216">
        <f t="shared" si="5"/>
        <v>0</v>
      </c>
      <c r="M11" s="216"/>
      <c r="N11" s="217">
        <f t="shared" si="6"/>
        <v>0</v>
      </c>
      <c r="O11" s="216"/>
      <c r="P11" s="217">
        <f t="shared" si="7"/>
        <v>0</v>
      </c>
      <c r="Q11" s="217"/>
      <c r="R11" s="217">
        <f t="shared" si="8"/>
        <v>0</v>
      </c>
      <c r="S11" s="216"/>
      <c r="T11" s="216">
        <f t="shared" si="9"/>
        <v>0</v>
      </c>
      <c r="U11" s="216"/>
      <c r="V11" s="216">
        <f t="shared" si="10"/>
        <v>0</v>
      </c>
      <c r="W11" s="216"/>
      <c r="X11" s="19">
        <f t="shared" si="11"/>
        <v>0</v>
      </c>
      <c r="Y11" s="20">
        <f t="shared" si="0"/>
        <v>0</v>
      </c>
    </row>
    <row r="12" spans="1:25" ht="29.25" customHeight="1" x14ac:dyDescent="0.25">
      <c r="A12" s="2235" t="s">
        <v>31</v>
      </c>
      <c r="B12" s="2235"/>
      <c r="C12" s="18">
        <f t="shared" ref="C12:Y12" si="12">SUM(C6:C11)</f>
        <v>25902</v>
      </c>
      <c r="D12" s="18">
        <f t="shared" si="12"/>
        <v>25189.695</v>
      </c>
      <c r="E12" s="18">
        <f t="shared" si="12"/>
        <v>0</v>
      </c>
      <c r="F12" s="18">
        <f t="shared" si="12"/>
        <v>0</v>
      </c>
      <c r="G12" s="18">
        <f t="shared" si="12"/>
        <v>0</v>
      </c>
      <c r="H12" s="18">
        <f t="shared" si="12"/>
        <v>0</v>
      </c>
      <c r="I12" s="18">
        <f t="shared" si="12"/>
        <v>0</v>
      </c>
      <c r="J12" s="18">
        <f t="shared" si="12"/>
        <v>0</v>
      </c>
      <c r="K12" s="18">
        <f t="shared" si="12"/>
        <v>0</v>
      </c>
      <c r="L12" s="18">
        <f t="shared" si="12"/>
        <v>0</v>
      </c>
      <c r="M12" s="18">
        <f t="shared" si="12"/>
        <v>0</v>
      </c>
      <c r="N12" s="23">
        <f t="shared" si="12"/>
        <v>0</v>
      </c>
      <c r="O12" s="18">
        <f t="shared" si="12"/>
        <v>0</v>
      </c>
      <c r="P12" s="23">
        <f t="shared" si="12"/>
        <v>0</v>
      </c>
      <c r="Q12" s="23">
        <f t="shared" si="12"/>
        <v>0</v>
      </c>
      <c r="R12" s="23">
        <f>SUM(R6:R11)</f>
        <v>0</v>
      </c>
      <c r="S12" s="18">
        <f t="shared" si="12"/>
        <v>0</v>
      </c>
      <c r="T12" s="18">
        <f t="shared" si="12"/>
        <v>0</v>
      </c>
      <c r="U12" s="18">
        <f t="shared" si="12"/>
        <v>0</v>
      </c>
      <c r="V12" s="18">
        <f t="shared" si="12"/>
        <v>0</v>
      </c>
      <c r="W12" s="18">
        <f t="shared" si="12"/>
        <v>0</v>
      </c>
      <c r="X12" s="18">
        <f t="shared" si="12"/>
        <v>0</v>
      </c>
      <c r="Y12" s="18">
        <f t="shared" si="12"/>
        <v>25189.695</v>
      </c>
    </row>
    <row r="14" spans="1:25" ht="41.25" customHeight="1" x14ac:dyDescent="0.25">
      <c r="A14" s="30" t="s">
        <v>32</v>
      </c>
      <c r="B14" s="2236" t="s">
        <v>27</v>
      </c>
      <c r="C14" s="2236"/>
      <c r="D14" s="30" t="s">
        <v>33</v>
      </c>
      <c r="E14" s="30" t="s">
        <v>65</v>
      </c>
      <c r="F14" s="30" t="s">
        <v>34</v>
      </c>
      <c r="G14" s="30" t="s">
        <v>13</v>
      </c>
      <c r="H14" s="142" t="s">
        <v>173</v>
      </c>
      <c r="I14" s="30" t="s">
        <v>17</v>
      </c>
      <c r="J14" s="221" t="s">
        <v>174</v>
      </c>
      <c r="K14" s="30" t="s">
        <v>36</v>
      </c>
      <c r="L14" s="30" t="s">
        <v>175</v>
      </c>
      <c r="M14" s="30" t="s">
        <v>69</v>
      </c>
      <c r="N14" s="30" t="s">
        <v>70</v>
      </c>
      <c r="O14" s="221" t="s">
        <v>114</v>
      </c>
      <c r="P14" s="221" t="s">
        <v>99</v>
      </c>
      <c r="Q14" s="2272"/>
      <c r="R14" s="2272"/>
      <c r="S14" s="221"/>
      <c r="T14" s="2235" t="s">
        <v>46</v>
      </c>
      <c r="U14" s="213" t="s">
        <v>176</v>
      </c>
      <c r="V14" s="2260">
        <v>10974</v>
      </c>
      <c r="W14" s="2268"/>
      <c r="X14" s="2261"/>
    </row>
    <row r="15" spans="1:25" ht="22.5" customHeight="1" x14ac:dyDescent="0.25">
      <c r="A15" s="100" t="s">
        <v>38</v>
      </c>
      <c r="B15" s="2260">
        <v>235187</v>
      </c>
      <c r="C15" s="2261"/>
      <c r="D15" s="218">
        <v>0</v>
      </c>
      <c r="E15" s="218">
        <v>300</v>
      </c>
      <c r="F15" s="218">
        <v>50</v>
      </c>
      <c r="G15" s="218">
        <v>0</v>
      </c>
      <c r="H15" s="218">
        <v>72</v>
      </c>
      <c r="I15" s="218">
        <v>0</v>
      </c>
      <c r="J15" s="218">
        <v>94</v>
      </c>
      <c r="K15" s="218">
        <v>47</v>
      </c>
      <c r="L15" s="218">
        <v>876</v>
      </c>
      <c r="M15" s="218">
        <v>0</v>
      </c>
      <c r="N15" s="218">
        <v>100</v>
      </c>
      <c r="O15" s="218">
        <v>0</v>
      </c>
      <c r="P15" s="218">
        <v>417</v>
      </c>
      <c r="Q15" s="2262">
        <v>0</v>
      </c>
      <c r="R15" s="2262"/>
      <c r="S15" s="213">
        <v>0</v>
      </c>
      <c r="T15" s="2235"/>
      <c r="U15" s="213" t="s">
        <v>64</v>
      </c>
      <c r="V15" s="2262">
        <v>45722</v>
      </c>
      <c r="W15" s="2262"/>
      <c r="X15" s="2262"/>
    </row>
    <row r="16" spans="1:25" ht="24.75" customHeight="1" x14ac:dyDescent="0.25">
      <c r="A16" s="100" t="s">
        <v>39</v>
      </c>
      <c r="B16" s="2260"/>
      <c r="C16" s="2261"/>
      <c r="D16" s="218"/>
      <c r="E16" s="218"/>
      <c r="F16" s="218"/>
      <c r="G16" s="218"/>
      <c r="H16" s="218"/>
      <c r="I16" s="218"/>
      <c r="J16" s="218"/>
      <c r="K16" s="218"/>
      <c r="L16" s="218">
        <v>15</v>
      </c>
      <c r="M16" s="218"/>
      <c r="N16" s="218"/>
      <c r="O16" s="218"/>
      <c r="P16" s="218"/>
      <c r="Q16" s="2225"/>
      <c r="R16" s="2225"/>
      <c r="S16" s="218"/>
      <c r="T16" s="2254" t="s">
        <v>55</v>
      </c>
      <c r="U16" s="2254"/>
      <c r="V16" s="2267">
        <f>Y12</f>
        <v>25189.695</v>
      </c>
      <c r="W16" s="2267"/>
      <c r="X16" s="2262"/>
    </row>
    <row r="17" spans="1:25" ht="28.5" customHeight="1" x14ac:dyDescent="0.25">
      <c r="A17" s="101" t="s">
        <v>44</v>
      </c>
      <c r="B17" s="2260"/>
      <c r="C17" s="2261"/>
      <c r="D17" s="218"/>
      <c r="E17" s="218"/>
      <c r="F17" s="218"/>
      <c r="G17" s="218"/>
      <c r="H17" s="218"/>
      <c r="I17" s="218"/>
      <c r="J17" s="218"/>
      <c r="K17" s="218"/>
      <c r="L17" s="218"/>
      <c r="M17" s="218"/>
      <c r="N17" s="218"/>
      <c r="O17" s="218"/>
      <c r="P17" s="218"/>
      <c r="Q17" s="2225"/>
      <c r="R17" s="2225"/>
      <c r="S17" s="215"/>
      <c r="T17" s="2273" t="s">
        <v>211</v>
      </c>
      <c r="U17" s="2274"/>
      <c r="V17" s="2262"/>
      <c r="W17" s="2262"/>
      <c r="X17" s="2262"/>
    </row>
    <row r="18" spans="1:25" ht="27" customHeight="1" x14ac:dyDescent="0.25">
      <c r="A18" s="100" t="s">
        <v>40</v>
      </c>
      <c r="B18" s="2264">
        <f>C12</f>
        <v>25902</v>
      </c>
      <c r="C18" s="2261"/>
      <c r="D18" s="219">
        <f>E12</f>
        <v>0</v>
      </c>
      <c r="E18" s="219">
        <f>G12</f>
        <v>0</v>
      </c>
      <c r="F18" s="219">
        <f>I12</f>
        <v>0</v>
      </c>
      <c r="G18" s="219">
        <f>K12</f>
        <v>0</v>
      </c>
      <c r="H18" s="218">
        <v>15</v>
      </c>
      <c r="I18" s="219">
        <f>U12</f>
        <v>0</v>
      </c>
      <c r="J18" s="218"/>
      <c r="K18" s="219">
        <f>W12</f>
        <v>0</v>
      </c>
      <c r="L18" s="218"/>
      <c r="M18" s="219">
        <f>M12</f>
        <v>0</v>
      </c>
      <c r="N18" s="219">
        <f>O12</f>
        <v>0</v>
      </c>
      <c r="O18" s="220">
        <f>Q12</f>
        <v>0</v>
      </c>
      <c r="P18" s="218"/>
      <c r="Q18" s="2262"/>
      <c r="R18" s="2262"/>
      <c r="S18" s="213"/>
      <c r="T18" s="2254" t="s">
        <v>57</v>
      </c>
      <c r="U18" s="2254"/>
      <c r="V18" s="2262">
        <v>150</v>
      </c>
      <c r="W18" s="2262"/>
      <c r="X18" s="2262"/>
      <c r="Y18" s="2269" t="s">
        <v>246</v>
      </c>
    </row>
    <row r="19" spans="1:25" ht="25.5" customHeight="1" x14ac:dyDescent="0.25">
      <c r="A19" s="100" t="s">
        <v>41</v>
      </c>
      <c r="B19" s="2260">
        <f>B15+B16+B17-B18</f>
        <v>209285</v>
      </c>
      <c r="C19" s="2261"/>
      <c r="D19" s="218">
        <f>D15+D16+D17-D18</f>
        <v>0</v>
      </c>
      <c r="E19" s="218">
        <f t="shared" ref="E19:N19" si="13">E15+E16+E17-E18</f>
        <v>300</v>
      </c>
      <c r="F19" s="218">
        <f t="shared" si="13"/>
        <v>50</v>
      </c>
      <c r="G19" s="218">
        <f t="shared" si="13"/>
        <v>0</v>
      </c>
      <c r="H19" s="218">
        <f t="shared" si="13"/>
        <v>57</v>
      </c>
      <c r="I19" s="218">
        <f t="shared" si="13"/>
        <v>0</v>
      </c>
      <c r="J19" s="218">
        <f t="shared" si="13"/>
        <v>94</v>
      </c>
      <c r="K19" s="218">
        <f t="shared" si="13"/>
        <v>47</v>
      </c>
      <c r="L19" s="218">
        <f t="shared" si="13"/>
        <v>891</v>
      </c>
      <c r="M19" s="218">
        <f t="shared" si="13"/>
        <v>0</v>
      </c>
      <c r="N19" s="218">
        <f t="shared" si="13"/>
        <v>100</v>
      </c>
      <c r="O19" s="218">
        <f>O15+O16+O17-O18</f>
        <v>0</v>
      </c>
      <c r="P19" s="218">
        <f>P15+P16+P17-P18</f>
        <v>417</v>
      </c>
      <c r="Q19" s="2260">
        <f t="shared" ref="Q19" si="14">Q15+Q16+Q17-Q18</f>
        <v>0</v>
      </c>
      <c r="R19" s="2261"/>
      <c r="S19" s="213">
        <f>S15+S16-S17-S18</f>
        <v>0</v>
      </c>
      <c r="T19" s="2256" t="s">
        <v>48</v>
      </c>
      <c r="U19" s="49" t="s">
        <v>58</v>
      </c>
      <c r="V19" s="2262"/>
      <c r="W19" s="2262"/>
      <c r="X19" s="2262"/>
      <c r="Y19" s="2269"/>
    </row>
    <row r="20" spans="1:25" ht="23.25" customHeight="1" x14ac:dyDescent="0.25">
      <c r="A20" s="210" t="s">
        <v>187</v>
      </c>
      <c r="B20" s="2284">
        <f>B19*0.9625</f>
        <v>201436.8125</v>
      </c>
      <c r="C20" s="2285"/>
      <c r="D20" s="211">
        <f>D19*13.56</f>
        <v>0</v>
      </c>
      <c r="E20" s="211">
        <f>28.2*E19</f>
        <v>8460</v>
      </c>
      <c r="F20" s="211">
        <f>18.31*F19</f>
        <v>915.49999999999989</v>
      </c>
      <c r="G20" s="211">
        <f>19.3*G19</f>
        <v>0</v>
      </c>
      <c r="H20" s="211">
        <f>241*H19</f>
        <v>13737</v>
      </c>
      <c r="I20" s="211">
        <f>223*I19</f>
        <v>0</v>
      </c>
      <c r="J20" s="211">
        <f>241*J19</f>
        <v>22654</v>
      </c>
      <c r="K20" s="211">
        <f>K19*100</f>
        <v>4700</v>
      </c>
      <c r="L20" s="211">
        <f>241*L19</f>
        <v>214731</v>
      </c>
      <c r="M20" s="211">
        <f>9.65*M19</f>
        <v>0</v>
      </c>
      <c r="N20" s="211">
        <f>N19*48.2</f>
        <v>4820</v>
      </c>
      <c r="O20" s="211">
        <f>241*O19</f>
        <v>0</v>
      </c>
      <c r="P20" s="211">
        <f>241*P19</f>
        <v>100497</v>
      </c>
      <c r="Q20" s="2284">
        <f>241*Q19</f>
        <v>0</v>
      </c>
      <c r="R20" s="2285"/>
      <c r="S20" s="211">
        <f>241*S19</f>
        <v>0</v>
      </c>
      <c r="T20" s="2257"/>
      <c r="U20" s="49" t="s">
        <v>59</v>
      </c>
      <c r="V20" s="2262"/>
      <c r="W20" s="2262"/>
      <c r="X20" s="2262"/>
      <c r="Y20" s="2269"/>
    </row>
    <row r="21" spans="1:25" ht="32.25" customHeight="1" x14ac:dyDescent="0.25">
      <c r="A21" s="143" t="s">
        <v>186</v>
      </c>
      <c r="B21" s="2283">
        <f>SUM(B20:S20)</f>
        <v>571951.3125</v>
      </c>
      <c r="C21" s="2283"/>
      <c r="O21" s="222"/>
      <c r="P21" s="222"/>
      <c r="Q21" s="222"/>
      <c r="R21" s="222"/>
      <c r="T21" s="2273" t="s">
        <v>167</v>
      </c>
      <c r="U21" s="2274"/>
      <c r="V21" s="2260"/>
      <c r="W21" s="2268"/>
      <c r="X21" s="2261"/>
      <c r="Y21" s="2269"/>
    </row>
    <row r="22" spans="1:25" ht="35.25" customHeight="1" x14ac:dyDescent="0.25">
      <c r="A22" s="15"/>
      <c r="B22" s="2275" t="s">
        <v>49</v>
      </c>
      <c r="C22" s="2265">
        <v>302606</v>
      </c>
      <c r="D22" s="2265"/>
      <c r="E22" s="2265"/>
      <c r="F22" s="2265">
        <f>C22-D22+E22</f>
        <v>302606</v>
      </c>
      <c r="G22" s="222"/>
      <c r="Q22" s="222"/>
      <c r="R22" s="222"/>
      <c r="T22" s="2251" t="s">
        <v>83</v>
      </c>
      <c r="U22" s="50" t="s">
        <v>60</v>
      </c>
      <c r="V22" s="2262"/>
      <c r="W22" s="2262"/>
      <c r="X22" s="2262"/>
      <c r="Y22" s="2269"/>
    </row>
    <row r="23" spans="1:25" ht="39.75" customHeight="1" x14ac:dyDescent="0.25">
      <c r="A23" s="222"/>
      <c r="B23" s="2276"/>
      <c r="C23" s="2266"/>
      <c r="D23" s="2266"/>
      <c r="E23" s="2266"/>
      <c r="F23" s="2266"/>
      <c r="G23" s="222"/>
      <c r="Q23" s="222"/>
      <c r="R23" s="222"/>
      <c r="T23" s="2252"/>
      <c r="U23" s="50" t="s">
        <v>61</v>
      </c>
      <c r="V23" s="2262"/>
      <c r="W23" s="2262"/>
      <c r="X23" s="2262"/>
      <c r="Y23" s="2269"/>
    </row>
    <row r="24" spans="1:25" ht="48" customHeight="1" x14ac:dyDescent="0.25">
      <c r="A24" s="222"/>
      <c r="B24" s="2277"/>
      <c r="C24" s="213" t="s">
        <v>46</v>
      </c>
      <c r="D24" s="213" t="s">
        <v>50</v>
      </c>
      <c r="E24" s="213" t="s">
        <v>51</v>
      </c>
      <c r="F24" s="213" t="s">
        <v>52</v>
      </c>
      <c r="G24" s="222"/>
      <c r="Q24" s="222"/>
      <c r="R24" s="222"/>
      <c r="T24" s="2235" t="s">
        <v>47</v>
      </c>
      <c r="U24" s="51" t="s">
        <v>62</v>
      </c>
      <c r="V24" s="2263">
        <f>V14+V16+V17-V18-V19-V20-V22+V23-V21</f>
        <v>36013.695</v>
      </c>
      <c r="W24" s="2263"/>
      <c r="X24" s="2263"/>
      <c r="Y24" s="2269"/>
    </row>
    <row r="25" spans="1:25" ht="40.5" customHeight="1" x14ac:dyDescent="0.25">
      <c r="T25" s="2235"/>
      <c r="U25" s="51" t="s">
        <v>63</v>
      </c>
      <c r="V25" s="2262">
        <f>V15+V22-V23</f>
        <v>45722</v>
      </c>
      <c r="W25" s="2262"/>
      <c r="X25" s="2262"/>
    </row>
    <row r="26" spans="1:25" ht="36" customHeight="1" x14ac:dyDescent="0.25"/>
    <row r="32" spans="1:25" x14ac:dyDescent="0.25">
      <c r="I32" s="2280"/>
      <c r="J32" s="2280"/>
      <c r="K32" s="2280"/>
      <c r="L32" s="2280"/>
    </row>
    <row r="33" spans="9:12" x14ac:dyDescent="0.25">
      <c r="I33" s="222"/>
      <c r="J33" s="222"/>
      <c r="K33" s="2280"/>
      <c r="L33" s="2280"/>
    </row>
  </sheetData>
  <mergeCells count="62">
    <mergeCell ref="I32:J32"/>
    <mergeCell ref="K32:L32"/>
    <mergeCell ref="K33:L33"/>
    <mergeCell ref="T22:T23"/>
    <mergeCell ref="V22:X22"/>
    <mergeCell ref="V23:X23"/>
    <mergeCell ref="T24:T25"/>
    <mergeCell ref="V24:X24"/>
    <mergeCell ref="V25:X25"/>
    <mergeCell ref="Y18:Y24"/>
    <mergeCell ref="B19:C19"/>
    <mergeCell ref="Q19:R19"/>
    <mergeCell ref="T19:T20"/>
    <mergeCell ref="V19:X19"/>
    <mergeCell ref="B20:C20"/>
    <mergeCell ref="B22:B24"/>
    <mergeCell ref="C22:C23"/>
    <mergeCell ref="D22:D23"/>
    <mergeCell ref="E22:E23"/>
    <mergeCell ref="F22:F23"/>
    <mergeCell ref="Q20:R20"/>
    <mergeCell ref="V20:X20"/>
    <mergeCell ref="B21:C21"/>
    <mergeCell ref="T21:U21"/>
    <mergeCell ref="V21:X21"/>
    <mergeCell ref="B17:C17"/>
    <mergeCell ref="Q17:R17"/>
    <mergeCell ref="T17:U17"/>
    <mergeCell ref="V17:X17"/>
    <mergeCell ref="B18:C18"/>
    <mergeCell ref="Q18:R18"/>
    <mergeCell ref="T18:U18"/>
    <mergeCell ref="V18:X18"/>
    <mergeCell ref="W4:X4"/>
    <mergeCell ref="B16:C16"/>
    <mergeCell ref="Q16:R16"/>
    <mergeCell ref="T16:U16"/>
    <mergeCell ref="V16:X16"/>
    <mergeCell ref="A12:B12"/>
    <mergeCell ref="B14:C14"/>
    <mergeCell ref="Q14:R14"/>
    <mergeCell ref="T14:T15"/>
    <mergeCell ref="V14:X14"/>
    <mergeCell ref="B15:C15"/>
    <mergeCell ref="Q15:R15"/>
    <mergeCell ref="V15:X15"/>
    <mergeCell ref="A1:Y1"/>
    <mergeCell ref="A2:Y2"/>
    <mergeCell ref="T3:Y3"/>
    <mergeCell ref="A4:A5"/>
    <mergeCell ref="B4:B5"/>
    <mergeCell ref="C4:D4"/>
    <mergeCell ref="E4:F4"/>
    <mergeCell ref="G4:H4"/>
    <mergeCell ref="I4:J4"/>
    <mergeCell ref="K4:L4"/>
    <mergeCell ref="Y4:Y5"/>
    <mergeCell ref="M4:N4"/>
    <mergeCell ref="O4:P4"/>
    <mergeCell ref="Q4:R4"/>
    <mergeCell ref="S4:T4"/>
    <mergeCell ref="U4:V4"/>
  </mergeCells>
  <pageMargins left="0.15748031496063" right="0.15748031496063" top="0" bottom="0" header="0" footer="0"/>
  <pageSetup paperSize="9" scale="47" orientation="landscape" r:id="rId1"/>
  <legacyDrawing r:id="rId2"/>
</worksheet>
</file>

<file path=xl/worksheets/sheet8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0E4F736-A14E-4F42-8ED8-75D76A983CDE}">
  <sheetPr>
    <pageSetUpPr fitToPage="1"/>
  </sheetPr>
  <dimension ref="A1:Y33"/>
  <sheetViews>
    <sheetView topLeftCell="D8" zoomScale="71" zoomScaleNormal="71" zoomScaleSheetLayoutView="100" workbookViewId="0">
      <selection activeCell="V18" sqref="V18:X18"/>
    </sheetView>
  </sheetViews>
  <sheetFormatPr defaultColWidth="9.140625" defaultRowHeight="15" x14ac:dyDescent="0.25"/>
  <cols>
    <col min="1" max="1" width="18.28515625" style="14" customWidth="1"/>
    <col min="2" max="2" width="10.7109375" style="14" customWidth="1"/>
    <col min="3" max="3" width="12.28515625" style="14" customWidth="1"/>
    <col min="4" max="4" width="11" style="14" customWidth="1"/>
    <col min="5" max="5" width="12" style="14" customWidth="1"/>
    <col min="6" max="6" width="12.5703125" style="14" bestFit="1" customWidth="1"/>
    <col min="7" max="7" width="9.28515625" style="14" bestFit="1" customWidth="1"/>
    <col min="8" max="8" width="10.140625" style="14" bestFit="1" customWidth="1"/>
    <col min="9" max="9" width="10.5703125" style="14" bestFit="1" customWidth="1"/>
    <col min="10" max="10" width="10.5703125" style="14" customWidth="1"/>
    <col min="11" max="11" width="10.28515625" style="14" bestFit="1" customWidth="1"/>
    <col min="12" max="12" width="10.42578125" style="14" bestFit="1" customWidth="1"/>
    <col min="13" max="13" width="9.85546875" style="14" bestFit="1" customWidth="1"/>
    <col min="14" max="14" width="10.140625" style="14" bestFit="1" customWidth="1"/>
    <col min="15" max="15" width="9" style="14" customWidth="1"/>
    <col min="16" max="16" width="12.85546875" style="14" bestFit="1" customWidth="1"/>
    <col min="17" max="18" width="9.42578125" style="14" customWidth="1"/>
    <col min="19" max="19" width="13.7109375" style="14" customWidth="1"/>
    <col min="20" max="20" width="12.140625" style="14" customWidth="1"/>
    <col min="21" max="21" width="19.5703125" style="14" bestFit="1" customWidth="1"/>
    <col min="22" max="22" width="9.85546875" style="14" customWidth="1"/>
    <col min="23" max="23" width="10.140625" style="14" bestFit="1" customWidth="1"/>
    <col min="24" max="24" width="10.28515625" style="14" customWidth="1"/>
    <col min="25" max="25" width="28" style="14" customWidth="1"/>
    <col min="26" max="16384" width="9.140625" style="14"/>
  </cols>
  <sheetData>
    <row r="1" spans="1:25" ht="46.15" customHeight="1" x14ac:dyDescent="0.25">
      <c r="A1" s="2240" t="s">
        <v>148</v>
      </c>
      <c r="B1" s="2240"/>
      <c r="C1" s="2240"/>
      <c r="D1" s="2240"/>
      <c r="E1" s="2240"/>
      <c r="F1" s="2240"/>
      <c r="G1" s="2240"/>
      <c r="H1" s="2240"/>
      <c r="I1" s="2240"/>
      <c r="J1" s="2240"/>
      <c r="K1" s="2240"/>
      <c r="L1" s="2240"/>
      <c r="M1" s="2240"/>
      <c r="N1" s="2240"/>
      <c r="O1" s="2240"/>
      <c r="P1" s="2240"/>
      <c r="Q1" s="2240"/>
      <c r="R1" s="2240"/>
      <c r="S1" s="2240"/>
      <c r="T1" s="2240"/>
      <c r="U1" s="2240"/>
      <c r="V1" s="2240"/>
      <c r="W1" s="2240"/>
      <c r="X1" s="2240"/>
      <c r="Y1" s="2240"/>
    </row>
    <row r="2" spans="1:25" ht="21.6" customHeight="1" x14ac:dyDescent="0.25">
      <c r="A2" s="2241" t="s">
        <v>77</v>
      </c>
      <c r="B2" s="2241"/>
      <c r="C2" s="2241"/>
      <c r="D2" s="2241"/>
      <c r="E2" s="2241"/>
      <c r="F2" s="2241"/>
      <c r="G2" s="2241"/>
      <c r="H2" s="2241"/>
      <c r="I2" s="2241"/>
      <c r="J2" s="2241"/>
      <c r="K2" s="2241"/>
      <c r="L2" s="2241"/>
      <c r="M2" s="2241"/>
      <c r="N2" s="2241"/>
      <c r="O2" s="2241"/>
      <c r="P2" s="2241"/>
      <c r="Q2" s="2241"/>
      <c r="R2" s="2241"/>
      <c r="S2" s="2241"/>
      <c r="T2" s="2241"/>
      <c r="U2" s="2241"/>
      <c r="V2" s="2241"/>
      <c r="W2" s="2241"/>
      <c r="X2" s="2241"/>
      <c r="Y2" s="2241"/>
    </row>
    <row r="3" spans="1:25" ht="21" customHeight="1" x14ac:dyDescent="0.25">
      <c r="A3" s="212"/>
      <c r="B3" s="212"/>
      <c r="C3" s="212"/>
      <c r="D3" s="212"/>
      <c r="E3" s="212"/>
      <c r="F3" s="212"/>
      <c r="G3" s="212"/>
      <c r="H3" s="212"/>
      <c r="I3" s="212"/>
      <c r="J3" s="212"/>
      <c r="K3" s="212"/>
      <c r="L3" s="212"/>
      <c r="M3" s="212"/>
      <c r="N3" s="212"/>
      <c r="O3" s="212"/>
      <c r="P3" s="212"/>
      <c r="Q3" s="212"/>
      <c r="R3" s="212"/>
      <c r="S3" s="212"/>
      <c r="T3" s="2242" t="s">
        <v>247</v>
      </c>
      <c r="U3" s="2242"/>
      <c r="V3" s="2242"/>
      <c r="W3" s="2242"/>
      <c r="X3" s="2242"/>
      <c r="Y3" s="2242"/>
    </row>
    <row r="4" spans="1:25" s="212" customFormat="1" ht="18" customHeight="1" x14ac:dyDescent="0.25">
      <c r="A4" s="2243" t="s">
        <v>25</v>
      </c>
      <c r="B4" s="2243" t="s">
        <v>26</v>
      </c>
      <c r="C4" s="2244" t="s">
        <v>27</v>
      </c>
      <c r="D4" s="2244"/>
      <c r="E4" s="2244" t="s">
        <v>28</v>
      </c>
      <c r="F4" s="2244"/>
      <c r="G4" s="2244" t="s">
        <v>65</v>
      </c>
      <c r="H4" s="2244"/>
      <c r="I4" s="2244" t="s">
        <v>29</v>
      </c>
      <c r="J4" s="2244"/>
      <c r="K4" s="2245" t="s">
        <v>13</v>
      </c>
      <c r="L4" s="2246"/>
      <c r="M4" s="2245" t="s">
        <v>67</v>
      </c>
      <c r="N4" s="2246"/>
      <c r="O4" s="2245" t="s">
        <v>68</v>
      </c>
      <c r="P4" s="2246"/>
      <c r="Q4" s="2245" t="s">
        <v>114</v>
      </c>
      <c r="R4" s="2246"/>
      <c r="S4" s="2244" t="s">
        <v>35</v>
      </c>
      <c r="T4" s="2244"/>
      <c r="U4" s="2245" t="s">
        <v>17</v>
      </c>
      <c r="V4" s="2246"/>
      <c r="W4" s="2247" t="s">
        <v>36</v>
      </c>
      <c r="X4" s="2248"/>
      <c r="Y4" s="2238" t="s">
        <v>30</v>
      </c>
    </row>
    <row r="5" spans="1:25" s="212" customFormat="1" ht="25.5" customHeight="1" x14ac:dyDescent="0.25">
      <c r="A5" s="2243"/>
      <c r="B5" s="2243"/>
      <c r="C5" s="214" t="s">
        <v>42</v>
      </c>
      <c r="D5" s="214" t="s">
        <v>43</v>
      </c>
      <c r="E5" s="214" t="s">
        <v>42</v>
      </c>
      <c r="F5" s="214" t="s">
        <v>43</v>
      </c>
      <c r="G5" s="214" t="s">
        <v>42</v>
      </c>
      <c r="H5" s="214" t="s">
        <v>43</v>
      </c>
      <c r="I5" s="214" t="s">
        <v>42</v>
      </c>
      <c r="J5" s="214" t="s">
        <v>43</v>
      </c>
      <c r="K5" s="214" t="s">
        <v>42</v>
      </c>
      <c r="L5" s="214" t="s">
        <v>43</v>
      </c>
      <c r="M5" s="214" t="s">
        <v>42</v>
      </c>
      <c r="N5" s="214" t="s">
        <v>43</v>
      </c>
      <c r="O5" s="214" t="s">
        <v>42</v>
      </c>
      <c r="P5" s="214" t="s">
        <v>43</v>
      </c>
      <c r="Q5" s="214" t="s">
        <v>42</v>
      </c>
      <c r="R5" s="214" t="s">
        <v>43</v>
      </c>
      <c r="S5" s="33" t="s">
        <v>42</v>
      </c>
      <c r="T5" s="33" t="s">
        <v>43</v>
      </c>
      <c r="U5" s="30" t="s">
        <v>42</v>
      </c>
      <c r="V5" s="30" t="s">
        <v>43</v>
      </c>
      <c r="W5" s="30" t="s">
        <v>42</v>
      </c>
      <c r="X5" s="30" t="s">
        <v>43</v>
      </c>
      <c r="Y5" s="2239"/>
    </row>
    <row r="6" spans="1:25" ht="34.5" customHeight="1" x14ac:dyDescent="0.25">
      <c r="A6" s="12">
        <v>1409935200</v>
      </c>
      <c r="B6" s="213" t="s">
        <v>71</v>
      </c>
      <c r="C6" s="216">
        <v>48373</v>
      </c>
      <c r="D6" s="217">
        <f>0.9725*C6</f>
        <v>47042.7425</v>
      </c>
      <c r="E6" s="216"/>
      <c r="F6" s="216">
        <f>13.7*E6</f>
        <v>0</v>
      </c>
      <c r="G6" s="216"/>
      <c r="H6" s="216">
        <f>28.2*G6</f>
        <v>0</v>
      </c>
      <c r="I6" s="216"/>
      <c r="J6" s="216">
        <f>18.5*I6</f>
        <v>0</v>
      </c>
      <c r="K6" s="216"/>
      <c r="L6" s="216">
        <f>19.5*K6</f>
        <v>0</v>
      </c>
      <c r="M6" s="216"/>
      <c r="N6" s="217">
        <f>M6*9.75</f>
        <v>0</v>
      </c>
      <c r="O6" s="216"/>
      <c r="P6" s="217">
        <f>O6*48.62</f>
        <v>0</v>
      </c>
      <c r="Q6" s="217"/>
      <c r="R6" s="217">
        <f>241*Q6</f>
        <v>0</v>
      </c>
      <c r="S6" s="216"/>
      <c r="T6" s="216">
        <f>241*S6</f>
        <v>0</v>
      </c>
      <c r="U6" s="216"/>
      <c r="V6" s="216">
        <f>232*U6</f>
        <v>0</v>
      </c>
      <c r="W6" s="216"/>
      <c r="X6" s="19">
        <f>W6*100</f>
        <v>0</v>
      </c>
      <c r="Y6" s="89">
        <f t="shared" ref="Y6:Y11" si="0">D6+F6+H6+J6+L6+N6+P6+R6+T6+V6+X6</f>
        <v>47042.7425</v>
      </c>
    </row>
    <row r="7" spans="1:25" ht="31.5" customHeight="1" x14ac:dyDescent="0.25">
      <c r="A7" s="12">
        <v>1984225578</v>
      </c>
      <c r="B7" s="213" t="s">
        <v>72</v>
      </c>
      <c r="C7" s="216">
        <v>43390</v>
      </c>
      <c r="D7" s="217">
        <f t="shared" ref="D7:D11" si="1">0.9725*C7</f>
        <v>42196.775000000001</v>
      </c>
      <c r="E7" s="216"/>
      <c r="F7" s="216">
        <f t="shared" ref="F7:F11" si="2">13.7*E7</f>
        <v>0</v>
      </c>
      <c r="G7" s="216">
        <v>60</v>
      </c>
      <c r="H7" s="216">
        <f t="shared" ref="H7:H11" si="3">28.2*G7</f>
        <v>1692</v>
      </c>
      <c r="I7" s="216"/>
      <c r="J7" s="216">
        <f t="shared" ref="J7:J11" si="4">18.5*I7</f>
        <v>0</v>
      </c>
      <c r="K7" s="216"/>
      <c r="L7" s="216">
        <f t="shared" ref="L7:L11" si="5">19.5*K7</f>
        <v>0</v>
      </c>
      <c r="M7" s="216"/>
      <c r="N7" s="217">
        <f t="shared" ref="N7:N11" si="6">M7*9.75</f>
        <v>0</v>
      </c>
      <c r="O7" s="216"/>
      <c r="P7" s="217">
        <f t="shared" ref="P7:P11" si="7">O7*48.62</f>
        <v>0</v>
      </c>
      <c r="Q7" s="217"/>
      <c r="R7" s="217">
        <f t="shared" ref="R7:R11" si="8">241*Q7</f>
        <v>0</v>
      </c>
      <c r="S7" s="216"/>
      <c r="T7" s="216">
        <f t="shared" ref="T7:T11" si="9">241*S7</f>
        <v>0</v>
      </c>
      <c r="U7" s="216"/>
      <c r="V7" s="216">
        <f t="shared" ref="V7:V11" si="10">232*U7</f>
        <v>0</v>
      </c>
      <c r="W7" s="216"/>
      <c r="X7" s="19">
        <f t="shared" ref="X7:X11" si="11">W7*100</f>
        <v>0</v>
      </c>
      <c r="Y7" s="89">
        <f t="shared" si="0"/>
        <v>43888.775000000001</v>
      </c>
    </row>
    <row r="8" spans="1:25" ht="35.25" customHeight="1" x14ac:dyDescent="0.25">
      <c r="A8" s="12">
        <v>1967020280</v>
      </c>
      <c r="B8" s="213" t="s">
        <v>73</v>
      </c>
      <c r="C8" s="216">
        <v>24171</v>
      </c>
      <c r="D8" s="217">
        <f t="shared" si="1"/>
        <v>23506.297500000001</v>
      </c>
      <c r="E8" s="216"/>
      <c r="F8" s="216">
        <f t="shared" si="2"/>
        <v>0</v>
      </c>
      <c r="G8" s="216"/>
      <c r="H8" s="216">
        <f t="shared" si="3"/>
        <v>0</v>
      </c>
      <c r="I8" s="216"/>
      <c r="J8" s="216">
        <f t="shared" si="4"/>
        <v>0</v>
      </c>
      <c r="K8" s="216"/>
      <c r="L8" s="216">
        <f t="shared" si="5"/>
        <v>0</v>
      </c>
      <c r="M8" s="216"/>
      <c r="N8" s="217">
        <f t="shared" si="6"/>
        <v>0</v>
      </c>
      <c r="O8" s="216"/>
      <c r="P8" s="217">
        <f t="shared" si="7"/>
        <v>0</v>
      </c>
      <c r="Q8" s="217"/>
      <c r="R8" s="217">
        <f t="shared" si="8"/>
        <v>0</v>
      </c>
      <c r="S8" s="216"/>
      <c r="T8" s="216">
        <f t="shared" si="9"/>
        <v>0</v>
      </c>
      <c r="U8" s="216"/>
      <c r="V8" s="216">
        <f t="shared" si="10"/>
        <v>0</v>
      </c>
      <c r="W8" s="216"/>
      <c r="X8" s="19">
        <f t="shared" si="11"/>
        <v>0</v>
      </c>
      <c r="Y8" s="89">
        <f t="shared" si="0"/>
        <v>23506.297500000001</v>
      </c>
    </row>
    <row r="9" spans="1:25" ht="38.25" customHeight="1" x14ac:dyDescent="0.25">
      <c r="A9" s="12">
        <v>1409935199</v>
      </c>
      <c r="B9" s="213" t="s">
        <v>75</v>
      </c>
      <c r="C9" s="216">
        <v>23180</v>
      </c>
      <c r="D9" s="217">
        <f t="shared" si="1"/>
        <v>22542.55</v>
      </c>
      <c r="E9" s="216"/>
      <c r="F9" s="216">
        <f t="shared" si="2"/>
        <v>0</v>
      </c>
      <c r="G9" s="216"/>
      <c r="H9" s="216">
        <f t="shared" si="3"/>
        <v>0</v>
      </c>
      <c r="I9" s="216"/>
      <c r="J9" s="216">
        <f t="shared" si="4"/>
        <v>0</v>
      </c>
      <c r="K9" s="216"/>
      <c r="L9" s="216">
        <f t="shared" si="5"/>
        <v>0</v>
      </c>
      <c r="M9" s="216"/>
      <c r="N9" s="217">
        <f t="shared" si="6"/>
        <v>0</v>
      </c>
      <c r="O9" s="216"/>
      <c r="P9" s="217">
        <f t="shared" si="7"/>
        <v>0</v>
      </c>
      <c r="Q9" s="217"/>
      <c r="R9" s="217">
        <f t="shared" si="8"/>
        <v>0</v>
      </c>
      <c r="S9" s="216"/>
      <c r="T9" s="216">
        <f t="shared" si="9"/>
        <v>0</v>
      </c>
      <c r="U9" s="216"/>
      <c r="V9" s="216">
        <f t="shared" si="10"/>
        <v>0</v>
      </c>
      <c r="W9" s="216"/>
      <c r="X9" s="19">
        <f t="shared" si="11"/>
        <v>0</v>
      </c>
      <c r="Y9" s="89">
        <f t="shared" si="0"/>
        <v>22542.55</v>
      </c>
    </row>
    <row r="10" spans="1:25" ht="35.25" customHeight="1" x14ac:dyDescent="0.25">
      <c r="A10" s="12">
        <v>1984225580</v>
      </c>
      <c r="C10" s="216"/>
      <c r="D10" s="217">
        <f t="shared" si="1"/>
        <v>0</v>
      </c>
      <c r="E10" s="216"/>
      <c r="F10" s="216">
        <f t="shared" si="2"/>
        <v>0</v>
      </c>
      <c r="G10" s="216"/>
      <c r="H10" s="216">
        <f t="shared" si="3"/>
        <v>0</v>
      </c>
      <c r="I10" s="216"/>
      <c r="J10" s="216">
        <f t="shared" si="4"/>
        <v>0</v>
      </c>
      <c r="K10" s="216"/>
      <c r="L10" s="216">
        <f t="shared" si="5"/>
        <v>0</v>
      </c>
      <c r="M10" s="216"/>
      <c r="N10" s="217">
        <f t="shared" si="6"/>
        <v>0</v>
      </c>
      <c r="O10" s="216"/>
      <c r="P10" s="217">
        <f t="shared" si="7"/>
        <v>0</v>
      </c>
      <c r="Q10" s="217"/>
      <c r="R10" s="217">
        <f t="shared" si="8"/>
        <v>0</v>
      </c>
      <c r="S10" s="216"/>
      <c r="T10" s="216">
        <f t="shared" si="9"/>
        <v>0</v>
      </c>
      <c r="U10" s="216"/>
      <c r="V10" s="216">
        <f t="shared" si="10"/>
        <v>0</v>
      </c>
      <c r="W10" s="216"/>
      <c r="X10" s="19">
        <f t="shared" si="11"/>
        <v>0</v>
      </c>
      <c r="Y10" s="89">
        <f t="shared" si="0"/>
        <v>0</v>
      </c>
    </row>
    <row r="11" spans="1:25" ht="37.5" customHeight="1" x14ac:dyDescent="0.25">
      <c r="A11" s="12"/>
      <c r="B11" s="215"/>
      <c r="C11" s="216"/>
      <c r="D11" s="22">
        <f t="shared" si="1"/>
        <v>0</v>
      </c>
      <c r="E11" s="216"/>
      <c r="F11" s="216">
        <f t="shared" si="2"/>
        <v>0</v>
      </c>
      <c r="G11" s="216"/>
      <c r="H11" s="216">
        <f t="shared" si="3"/>
        <v>0</v>
      </c>
      <c r="I11" s="216"/>
      <c r="J11" s="216">
        <f t="shared" si="4"/>
        <v>0</v>
      </c>
      <c r="K11" s="216"/>
      <c r="L11" s="216">
        <f t="shared" si="5"/>
        <v>0</v>
      </c>
      <c r="M11" s="216"/>
      <c r="N11" s="217">
        <f t="shared" si="6"/>
        <v>0</v>
      </c>
      <c r="O11" s="216"/>
      <c r="P11" s="217">
        <f t="shared" si="7"/>
        <v>0</v>
      </c>
      <c r="Q11" s="217"/>
      <c r="R11" s="217">
        <f t="shared" si="8"/>
        <v>0</v>
      </c>
      <c r="S11" s="216"/>
      <c r="T11" s="216">
        <f t="shared" si="9"/>
        <v>0</v>
      </c>
      <c r="U11" s="216"/>
      <c r="V11" s="216">
        <f t="shared" si="10"/>
        <v>0</v>
      </c>
      <c r="W11" s="216"/>
      <c r="X11" s="19">
        <f t="shared" si="11"/>
        <v>0</v>
      </c>
      <c r="Y11" s="20">
        <f t="shared" si="0"/>
        <v>0</v>
      </c>
    </row>
    <row r="12" spans="1:25" ht="29.25" customHeight="1" x14ac:dyDescent="0.25">
      <c r="A12" s="2235" t="s">
        <v>31</v>
      </c>
      <c r="B12" s="2235"/>
      <c r="C12" s="18">
        <f t="shared" ref="C12:Y12" si="12">SUM(C6:C11)</f>
        <v>139114</v>
      </c>
      <c r="D12" s="18">
        <f t="shared" si="12"/>
        <v>135288.36499999999</v>
      </c>
      <c r="E12" s="18">
        <f t="shared" si="12"/>
        <v>0</v>
      </c>
      <c r="F12" s="18">
        <f t="shared" si="12"/>
        <v>0</v>
      </c>
      <c r="G12" s="18">
        <f t="shared" si="12"/>
        <v>60</v>
      </c>
      <c r="H12" s="18">
        <f t="shared" si="12"/>
        <v>1692</v>
      </c>
      <c r="I12" s="18">
        <f t="shared" si="12"/>
        <v>0</v>
      </c>
      <c r="J12" s="18">
        <f t="shared" si="12"/>
        <v>0</v>
      </c>
      <c r="K12" s="18">
        <f t="shared" si="12"/>
        <v>0</v>
      </c>
      <c r="L12" s="18">
        <f t="shared" si="12"/>
        <v>0</v>
      </c>
      <c r="M12" s="18">
        <f t="shared" si="12"/>
        <v>0</v>
      </c>
      <c r="N12" s="23">
        <f t="shared" si="12"/>
        <v>0</v>
      </c>
      <c r="O12" s="18">
        <f t="shared" si="12"/>
        <v>0</v>
      </c>
      <c r="P12" s="23">
        <f t="shared" si="12"/>
        <v>0</v>
      </c>
      <c r="Q12" s="23">
        <f t="shared" si="12"/>
        <v>0</v>
      </c>
      <c r="R12" s="23">
        <f>SUM(R6:R11)</f>
        <v>0</v>
      </c>
      <c r="S12" s="18">
        <f t="shared" si="12"/>
        <v>0</v>
      </c>
      <c r="T12" s="18">
        <f t="shared" si="12"/>
        <v>0</v>
      </c>
      <c r="U12" s="18">
        <f t="shared" si="12"/>
        <v>0</v>
      </c>
      <c r="V12" s="18">
        <f t="shared" si="12"/>
        <v>0</v>
      </c>
      <c r="W12" s="18">
        <f t="shared" si="12"/>
        <v>0</v>
      </c>
      <c r="X12" s="18">
        <f t="shared" si="12"/>
        <v>0</v>
      </c>
      <c r="Y12" s="18">
        <f t="shared" si="12"/>
        <v>136980.36499999999</v>
      </c>
    </row>
    <row r="14" spans="1:25" ht="41.25" customHeight="1" x14ac:dyDescent="0.25">
      <c r="A14" s="30" t="s">
        <v>32</v>
      </c>
      <c r="B14" s="2236" t="s">
        <v>27</v>
      </c>
      <c r="C14" s="2236"/>
      <c r="D14" s="30" t="s">
        <v>33</v>
      </c>
      <c r="E14" s="30" t="s">
        <v>65</v>
      </c>
      <c r="F14" s="30" t="s">
        <v>34</v>
      </c>
      <c r="G14" s="30" t="s">
        <v>13</v>
      </c>
      <c r="H14" s="142" t="s">
        <v>173</v>
      </c>
      <c r="I14" s="30" t="s">
        <v>17</v>
      </c>
      <c r="J14" s="221" t="s">
        <v>174</v>
      </c>
      <c r="K14" s="30" t="s">
        <v>36</v>
      </c>
      <c r="L14" s="30" t="s">
        <v>175</v>
      </c>
      <c r="M14" s="30" t="s">
        <v>69</v>
      </c>
      <c r="N14" s="30" t="s">
        <v>70</v>
      </c>
      <c r="O14" s="221" t="s">
        <v>114</v>
      </c>
      <c r="P14" s="221" t="s">
        <v>99</v>
      </c>
      <c r="Q14" s="2272"/>
      <c r="R14" s="2272"/>
      <c r="S14" s="221"/>
      <c r="T14" s="2235" t="s">
        <v>46</v>
      </c>
      <c r="U14" s="213" t="s">
        <v>176</v>
      </c>
      <c r="V14" s="2260">
        <v>36014</v>
      </c>
      <c r="W14" s="2268"/>
      <c r="X14" s="2261"/>
    </row>
    <row r="15" spans="1:25" ht="22.5" customHeight="1" x14ac:dyDescent="0.25">
      <c r="A15" s="100" t="s">
        <v>38</v>
      </c>
      <c r="B15" s="2260">
        <v>209285</v>
      </c>
      <c r="C15" s="2261"/>
      <c r="D15" s="218">
        <v>0</v>
      </c>
      <c r="E15" s="218">
        <v>300</v>
      </c>
      <c r="F15" s="218">
        <v>50</v>
      </c>
      <c r="G15" s="218">
        <v>0</v>
      </c>
      <c r="H15" s="218">
        <v>57</v>
      </c>
      <c r="I15" s="218">
        <v>0</v>
      </c>
      <c r="J15" s="218">
        <v>94</v>
      </c>
      <c r="K15" s="218">
        <v>47</v>
      </c>
      <c r="L15" s="218">
        <v>891</v>
      </c>
      <c r="M15" s="218">
        <v>0</v>
      </c>
      <c r="N15" s="218">
        <v>100</v>
      </c>
      <c r="O15" s="218">
        <v>0</v>
      </c>
      <c r="P15" s="218">
        <v>417</v>
      </c>
      <c r="Q15" s="2262">
        <v>0</v>
      </c>
      <c r="R15" s="2262"/>
      <c r="S15" s="213">
        <v>0</v>
      </c>
      <c r="T15" s="2235"/>
      <c r="U15" s="213" t="s">
        <v>64</v>
      </c>
      <c r="V15" s="2262">
        <v>45722</v>
      </c>
      <c r="W15" s="2262"/>
      <c r="X15" s="2262"/>
    </row>
    <row r="16" spans="1:25" ht="24.75" customHeight="1" x14ac:dyDescent="0.25">
      <c r="A16" s="100" t="s">
        <v>39</v>
      </c>
      <c r="B16" s="2260">
        <v>103890</v>
      </c>
      <c r="C16" s="2261"/>
      <c r="D16" s="218"/>
      <c r="E16" s="218"/>
      <c r="F16" s="218">
        <v>15000</v>
      </c>
      <c r="G16" s="218"/>
      <c r="H16" s="218"/>
      <c r="I16" s="218"/>
      <c r="J16" s="218"/>
      <c r="K16" s="218"/>
      <c r="L16" s="218"/>
      <c r="M16" s="218"/>
      <c r="N16" s="218"/>
      <c r="O16" s="218"/>
      <c r="P16" s="218"/>
      <c r="Q16" s="2225"/>
      <c r="R16" s="2225"/>
      <c r="S16" s="218"/>
      <c r="T16" s="2254" t="s">
        <v>55</v>
      </c>
      <c r="U16" s="2254"/>
      <c r="V16" s="2267">
        <f>Y12</f>
        <v>136980.36499999999</v>
      </c>
      <c r="W16" s="2267"/>
      <c r="X16" s="2262"/>
    </row>
    <row r="17" spans="1:25" ht="28.5" customHeight="1" x14ac:dyDescent="0.25">
      <c r="A17" s="101" t="s">
        <v>44</v>
      </c>
      <c r="B17" s="2260">
        <v>60215</v>
      </c>
      <c r="C17" s="2261"/>
      <c r="D17" s="218"/>
      <c r="E17" s="218"/>
      <c r="F17" s="218"/>
      <c r="G17" s="218"/>
      <c r="H17" s="218"/>
      <c r="I17" s="218"/>
      <c r="J17" s="218"/>
      <c r="K17" s="218"/>
      <c r="L17" s="218"/>
      <c r="M17" s="218"/>
      <c r="N17" s="218"/>
      <c r="O17" s="218"/>
      <c r="P17" s="218"/>
      <c r="Q17" s="2225"/>
      <c r="R17" s="2225"/>
      <c r="S17" s="215"/>
      <c r="T17" s="2273" t="s">
        <v>211</v>
      </c>
      <c r="U17" s="2274"/>
      <c r="V17" s="2262">
        <v>100000</v>
      </c>
      <c r="W17" s="2262"/>
      <c r="X17" s="2262"/>
    </row>
    <row r="18" spans="1:25" ht="27" customHeight="1" x14ac:dyDescent="0.25">
      <c r="A18" s="100" t="s">
        <v>40</v>
      </c>
      <c r="B18" s="2264">
        <f>C12</f>
        <v>139114</v>
      </c>
      <c r="C18" s="2261"/>
      <c r="D18" s="219">
        <f>E12</f>
        <v>0</v>
      </c>
      <c r="E18" s="219">
        <f>G12</f>
        <v>60</v>
      </c>
      <c r="F18" s="219">
        <f>I12</f>
        <v>0</v>
      </c>
      <c r="G18" s="219">
        <f>K12</f>
        <v>0</v>
      </c>
      <c r="H18" s="218"/>
      <c r="I18" s="219">
        <f>U12</f>
        <v>0</v>
      </c>
      <c r="J18" s="218"/>
      <c r="K18" s="219">
        <f>W12</f>
        <v>0</v>
      </c>
      <c r="L18" s="218"/>
      <c r="M18" s="219">
        <f>M12</f>
        <v>0</v>
      </c>
      <c r="N18" s="219">
        <f>O12</f>
        <v>0</v>
      </c>
      <c r="O18" s="220">
        <f>Q12</f>
        <v>0</v>
      </c>
      <c r="P18" s="218"/>
      <c r="Q18" s="2262"/>
      <c r="R18" s="2262"/>
      <c r="S18" s="213"/>
      <c r="T18" s="2254" t="s">
        <v>57</v>
      </c>
      <c r="U18" s="2254"/>
      <c r="V18" s="2262">
        <f>450+700+50+400+3300</f>
        <v>4900</v>
      </c>
      <c r="W18" s="2262"/>
      <c r="X18" s="2262"/>
      <c r="Y18" s="2269" t="s">
        <v>248</v>
      </c>
    </row>
    <row r="19" spans="1:25" ht="25.5" customHeight="1" x14ac:dyDescent="0.25">
      <c r="A19" s="100" t="s">
        <v>41</v>
      </c>
      <c r="B19" s="2260">
        <f>B15+B16+B17-B18</f>
        <v>234276</v>
      </c>
      <c r="C19" s="2261"/>
      <c r="D19" s="218">
        <f>D15+D16+D17-D18</f>
        <v>0</v>
      </c>
      <c r="E19" s="218">
        <f t="shared" ref="E19:N19" si="13">E15+E16+E17-E18</f>
        <v>240</v>
      </c>
      <c r="F19" s="218">
        <f t="shared" si="13"/>
        <v>15050</v>
      </c>
      <c r="G19" s="218">
        <f t="shared" si="13"/>
        <v>0</v>
      </c>
      <c r="H19" s="218">
        <f t="shared" si="13"/>
        <v>57</v>
      </c>
      <c r="I19" s="218">
        <f t="shared" si="13"/>
        <v>0</v>
      </c>
      <c r="J19" s="218">
        <f t="shared" si="13"/>
        <v>94</v>
      </c>
      <c r="K19" s="218">
        <f t="shared" si="13"/>
        <v>47</v>
      </c>
      <c r="L19" s="218">
        <f t="shared" si="13"/>
        <v>891</v>
      </c>
      <c r="M19" s="218">
        <f t="shared" si="13"/>
        <v>0</v>
      </c>
      <c r="N19" s="218">
        <f t="shared" si="13"/>
        <v>100</v>
      </c>
      <c r="O19" s="218">
        <f>O15+O16+O17-O18</f>
        <v>0</v>
      </c>
      <c r="P19" s="218">
        <f>P15+P16+P17-P18</f>
        <v>417</v>
      </c>
      <c r="Q19" s="2260">
        <f t="shared" ref="Q19" si="14">Q15+Q16+Q17-Q18</f>
        <v>0</v>
      </c>
      <c r="R19" s="2261"/>
      <c r="S19" s="213">
        <f>S15+S16-S17-S18</f>
        <v>0</v>
      </c>
      <c r="T19" s="2256" t="s">
        <v>48</v>
      </c>
      <c r="U19" s="49" t="s">
        <v>58</v>
      </c>
      <c r="V19" s="2262">
        <v>302600</v>
      </c>
      <c r="W19" s="2262"/>
      <c r="X19" s="2262"/>
      <c r="Y19" s="2269"/>
    </row>
    <row r="20" spans="1:25" ht="23.25" customHeight="1" x14ac:dyDescent="0.25">
      <c r="A20" s="210" t="s">
        <v>187</v>
      </c>
      <c r="B20" s="2284">
        <f>B19*0.9625</f>
        <v>225490.65</v>
      </c>
      <c r="C20" s="2285"/>
      <c r="D20" s="211">
        <f>D19*13.56</f>
        <v>0</v>
      </c>
      <c r="E20" s="211">
        <f>28.2*E19</f>
        <v>6768</v>
      </c>
      <c r="F20" s="211">
        <f>18.31*F19</f>
        <v>275565.5</v>
      </c>
      <c r="G20" s="211">
        <f>19.3*G19</f>
        <v>0</v>
      </c>
      <c r="H20" s="211">
        <f>241*H19</f>
        <v>13737</v>
      </c>
      <c r="I20" s="211">
        <f>223*I19</f>
        <v>0</v>
      </c>
      <c r="J20" s="211">
        <f>241*J19</f>
        <v>22654</v>
      </c>
      <c r="K20" s="211">
        <f>K19*100</f>
        <v>4700</v>
      </c>
      <c r="L20" s="211">
        <f>241*L19</f>
        <v>214731</v>
      </c>
      <c r="M20" s="211">
        <f>9.65*M19</f>
        <v>0</v>
      </c>
      <c r="N20" s="211">
        <f>N19*48.2</f>
        <v>4820</v>
      </c>
      <c r="O20" s="211">
        <f>241*O19</f>
        <v>0</v>
      </c>
      <c r="P20" s="211">
        <f>241*P19</f>
        <v>100497</v>
      </c>
      <c r="Q20" s="2284">
        <f>241*Q19</f>
        <v>0</v>
      </c>
      <c r="R20" s="2285"/>
      <c r="S20" s="211">
        <f>241*S19</f>
        <v>0</v>
      </c>
      <c r="T20" s="2257"/>
      <c r="U20" s="49" t="s">
        <v>59</v>
      </c>
      <c r="V20" s="2262"/>
      <c r="W20" s="2262"/>
      <c r="X20" s="2262"/>
      <c r="Y20" s="2269"/>
    </row>
    <row r="21" spans="1:25" ht="32.25" customHeight="1" x14ac:dyDescent="0.25">
      <c r="A21" s="143" t="s">
        <v>186</v>
      </c>
      <c r="B21" s="2283">
        <f>SUM(B20:S20)</f>
        <v>868963.15</v>
      </c>
      <c r="C21" s="2283"/>
      <c r="O21" s="222"/>
      <c r="P21" s="222"/>
      <c r="Q21" s="222"/>
      <c r="R21" s="222"/>
      <c r="T21" s="2273" t="s">
        <v>167</v>
      </c>
      <c r="U21" s="2274"/>
      <c r="V21" s="2260"/>
      <c r="W21" s="2268"/>
      <c r="X21" s="2261"/>
      <c r="Y21" s="2269"/>
    </row>
    <row r="22" spans="1:25" ht="35.25" customHeight="1" x14ac:dyDescent="0.25">
      <c r="A22" s="15"/>
      <c r="B22" s="2275" t="s">
        <v>49</v>
      </c>
      <c r="C22" s="2265">
        <v>302606</v>
      </c>
      <c r="D22" s="2265">
        <v>302600</v>
      </c>
      <c r="E22" s="2265">
        <v>374644</v>
      </c>
      <c r="F22" s="2265">
        <f>C22-D22+E22</f>
        <v>374650</v>
      </c>
      <c r="G22" s="222"/>
      <c r="Q22" s="222"/>
      <c r="R22" s="222"/>
      <c r="T22" s="2251" t="s">
        <v>83</v>
      </c>
      <c r="U22" s="50" t="s">
        <v>60</v>
      </c>
      <c r="V22" s="2262">
        <v>143470</v>
      </c>
      <c r="W22" s="2262"/>
      <c r="X22" s="2262"/>
      <c r="Y22" s="2269"/>
    </row>
    <row r="23" spans="1:25" ht="39.75" customHeight="1" x14ac:dyDescent="0.25">
      <c r="A23" s="222"/>
      <c r="B23" s="2276"/>
      <c r="C23" s="2266"/>
      <c r="D23" s="2266"/>
      <c r="E23" s="2266"/>
      <c r="F23" s="2266"/>
      <c r="G23" s="222"/>
      <c r="Q23" s="222"/>
      <c r="R23" s="222"/>
      <c r="T23" s="2252"/>
      <c r="U23" s="50" t="s">
        <v>61</v>
      </c>
      <c r="V23" s="2262">
        <v>178000</v>
      </c>
      <c r="W23" s="2262"/>
      <c r="X23" s="2262"/>
      <c r="Y23" s="2269"/>
    </row>
    <row r="24" spans="1:25" ht="48" customHeight="1" x14ac:dyDescent="0.25">
      <c r="A24" s="222"/>
      <c r="B24" s="2277"/>
      <c r="C24" s="213" t="s">
        <v>46</v>
      </c>
      <c r="D24" s="213" t="s">
        <v>50</v>
      </c>
      <c r="E24" s="213" t="s">
        <v>51</v>
      </c>
      <c r="F24" s="213" t="s">
        <v>52</v>
      </c>
      <c r="G24" s="222"/>
      <c r="Q24" s="222"/>
      <c r="R24" s="222"/>
      <c r="T24" s="2235" t="s">
        <v>47</v>
      </c>
      <c r="U24" s="51" t="s">
        <v>62</v>
      </c>
      <c r="V24" s="2263">
        <f>V14+V16+V17-V18-V19-V20-V22+V23-V21</f>
        <v>24.364999999990687</v>
      </c>
      <c r="W24" s="2263"/>
      <c r="X24" s="2263"/>
      <c r="Y24" s="2269"/>
    </row>
    <row r="25" spans="1:25" ht="40.5" customHeight="1" x14ac:dyDescent="0.25">
      <c r="T25" s="2235"/>
      <c r="U25" s="51" t="s">
        <v>63</v>
      </c>
      <c r="V25" s="2262">
        <f>V15+V22-V23</f>
        <v>11192</v>
      </c>
      <c r="W25" s="2262"/>
      <c r="X25" s="2262"/>
    </row>
    <row r="26" spans="1:25" ht="36" customHeight="1" x14ac:dyDescent="0.25"/>
    <row r="32" spans="1:25" x14ac:dyDescent="0.25">
      <c r="I32" s="2280"/>
      <c r="J32" s="2280"/>
      <c r="K32" s="2280"/>
      <c r="L32" s="2280"/>
    </row>
    <row r="33" spans="9:12" x14ac:dyDescent="0.25">
      <c r="I33" s="222"/>
      <c r="J33" s="222"/>
      <c r="K33" s="2280"/>
      <c r="L33" s="2280"/>
    </row>
  </sheetData>
  <mergeCells count="62">
    <mergeCell ref="I32:J32"/>
    <mergeCell ref="K32:L32"/>
    <mergeCell ref="K33:L33"/>
    <mergeCell ref="T22:T23"/>
    <mergeCell ref="V22:X22"/>
    <mergeCell ref="V23:X23"/>
    <mergeCell ref="T24:T25"/>
    <mergeCell ref="V24:X24"/>
    <mergeCell ref="V25:X25"/>
    <mergeCell ref="Y18:Y24"/>
    <mergeCell ref="B19:C19"/>
    <mergeCell ref="Q19:R19"/>
    <mergeCell ref="T19:T20"/>
    <mergeCell ref="V19:X19"/>
    <mergeCell ref="B20:C20"/>
    <mergeCell ref="B22:B24"/>
    <mergeCell ref="C22:C23"/>
    <mergeCell ref="D22:D23"/>
    <mergeCell ref="E22:E23"/>
    <mergeCell ref="F22:F23"/>
    <mergeCell ref="Q20:R20"/>
    <mergeCell ref="V20:X20"/>
    <mergeCell ref="B21:C21"/>
    <mergeCell ref="T21:U21"/>
    <mergeCell ref="V21:X21"/>
    <mergeCell ref="B17:C17"/>
    <mergeCell ref="Q17:R17"/>
    <mergeCell ref="T17:U17"/>
    <mergeCell ref="V17:X17"/>
    <mergeCell ref="B18:C18"/>
    <mergeCell ref="Q18:R18"/>
    <mergeCell ref="T18:U18"/>
    <mergeCell ref="V18:X18"/>
    <mergeCell ref="W4:X4"/>
    <mergeCell ref="B16:C16"/>
    <mergeCell ref="Q16:R16"/>
    <mergeCell ref="T16:U16"/>
    <mergeCell ref="V16:X16"/>
    <mergeCell ref="A12:B12"/>
    <mergeCell ref="B14:C14"/>
    <mergeCell ref="Q14:R14"/>
    <mergeCell ref="T14:T15"/>
    <mergeCell ref="V14:X14"/>
    <mergeCell ref="B15:C15"/>
    <mergeCell ref="Q15:R15"/>
    <mergeCell ref="V15:X15"/>
    <mergeCell ref="A1:Y1"/>
    <mergeCell ref="A2:Y2"/>
    <mergeCell ref="T3:Y3"/>
    <mergeCell ref="A4:A5"/>
    <mergeCell ref="B4:B5"/>
    <mergeCell ref="C4:D4"/>
    <mergeCell ref="E4:F4"/>
    <mergeCell ref="G4:H4"/>
    <mergeCell ref="I4:J4"/>
    <mergeCell ref="K4:L4"/>
    <mergeCell ref="Y4:Y5"/>
    <mergeCell ref="M4:N4"/>
    <mergeCell ref="O4:P4"/>
    <mergeCell ref="Q4:R4"/>
    <mergeCell ref="S4:T4"/>
    <mergeCell ref="U4:V4"/>
  </mergeCells>
  <pageMargins left="0.15748031496063" right="0.15748031496063" top="0" bottom="0" header="0" footer="0"/>
  <pageSetup paperSize="9" scale="47" orientation="landscape" r:id="rId1"/>
  <legacyDrawing r:id="rId2"/>
</worksheet>
</file>

<file path=xl/worksheets/sheet8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B124474-C372-43BD-BE06-96C7269DC467}">
  <sheetPr>
    <pageSetUpPr fitToPage="1"/>
  </sheetPr>
  <dimension ref="A1:Y33"/>
  <sheetViews>
    <sheetView topLeftCell="D10" zoomScale="71" zoomScaleNormal="71" zoomScaleSheetLayoutView="100" workbookViewId="0">
      <selection activeCell="V18" sqref="V18:X18"/>
    </sheetView>
  </sheetViews>
  <sheetFormatPr defaultColWidth="9.140625" defaultRowHeight="15" x14ac:dyDescent="0.25"/>
  <cols>
    <col min="1" max="1" width="18.28515625" style="14" customWidth="1"/>
    <col min="2" max="2" width="10.7109375" style="14" customWidth="1"/>
    <col min="3" max="3" width="12.28515625" style="14" customWidth="1"/>
    <col min="4" max="4" width="11" style="14" customWidth="1"/>
    <col min="5" max="5" width="12" style="14" customWidth="1"/>
    <col min="6" max="6" width="12.5703125" style="14" bestFit="1" customWidth="1"/>
    <col min="7" max="7" width="9.28515625" style="14" bestFit="1" customWidth="1"/>
    <col min="8" max="8" width="10.140625" style="14" bestFit="1" customWidth="1"/>
    <col min="9" max="9" width="10.5703125" style="14" bestFit="1" customWidth="1"/>
    <col min="10" max="10" width="10.5703125" style="14" customWidth="1"/>
    <col min="11" max="11" width="10.28515625" style="14" bestFit="1" customWidth="1"/>
    <col min="12" max="12" width="10.42578125" style="14" bestFit="1" customWidth="1"/>
    <col min="13" max="13" width="9.85546875" style="14" bestFit="1" customWidth="1"/>
    <col min="14" max="14" width="10.140625" style="14" bestFit="1" customWidth="1"/>
    <col min="15" max="15" width="9" style="14" customWidth="1"/>
    <col min="16" max="16" width="12.85546875" style="14" bestFit="1" customWidth="1"/>
    <col min="17" max="18" width="9.42578125" style="14" customWidth="1"/>
    <col min="19" max="19" width="13.7109375" style="14" customWidth="1"/>
    <col min="20" max="20" width="12.140625" style="14" customWidth="1"/>
    <col min="21" max="21" width="19.5703125" style="14" bestFit="1" customWidth="1"/>
    <col min="22" max="22" width="9.85546875" style="14" customWidth="1"/>
    <col min="23" max="23" width="10.140625" style="14" bestFit="1" customWidth="1"/>
    <col min="24" max="24" width="10.28515625" style="14" customWidth="1"/>
    <col min="25" max="25" width="28" style="14" customWidth="1"/>
    <col min="26" max="16384" width="9.140625" style="14"/>
  </cols>
  <sheetData>
    <row r="1" spans="1:25" ht="46.15" customHeight="1" x14ac:dyDescent="0.25">
      <c r="A1" s="2240" t="s">
        <v>148</v>
      </c>
      <c r="B1" s="2240"/>
      <c r="C1" s="2240"/>
      <c r="D1" s="2240"/>
      <c r="E1" s="2240"/>
      <c r="F1" s="2240"/>
      <c r="G1" s="2240"/>
      <c r="H1" s="2240"/>
      <c r="I1" s="2240"/>
      <c r="J1" s="2240"/>
      <c r="K1" s="2240"/>
      <c r="L1" s="2240"/>
      <c r="M1" s="2240"/>
      <c r="N1" s="2240"/>
      <c r="O1" s="2240"/>
      <c r="P1" s="2240"/>
      <c r="Q1" s="2240"/>
      <c r="R1" s="2240"/>
      <c r="S1" s="2240"/>
      <c r="T1" s="2240"/>
      <c r="U1" s="2240"/>
      <c r="V1" s="2240"/>
      <c r="W1" s="2240"/>
      <c r="X1" s="2240"/>
      <c r="Y1" s="2240"/>
    </row>
    <row r="2" spans="1:25" ht="21.6" customHeight="1" x14ac:dyDescent="0.25">
      <c r="A2" s="2241" t="s">
        <v>77</v>
      </c>
      <c r="B2" s="2241"/>
      <c r="C2" s="2241"/>
      <c r="D2" s="2241"/>
      <c r="E2" s="2241"/>
      <c r="F2" s="2241"/>
      <c r="G2" s="2241"/>
      <c r="H2" s="2241"/>
      <c r="I2" s="2241"/>
      <c r="J2" s="2241"/>
      <c r="K2" s="2241"/>
      <c r="L2" s="2241"/>
      <c r="M2" s="2241"/>
      <c r="N2" s="2241"/>
      <c r="O2" s="2241"/>
      <c r="P2" s="2241"/>
      <c r="Q2" s="2241"/>
      <c r="R2" s="2241"/>
      <c r="S2" s="2241"/>
      <c r="T2" s="2241"/>
      <c r="U2" s="2241"/>
      <c r="V2" s="2241"/>
      <c r="W2" s="2241"/>
      <c r="X2" s="2241"/>
      <c r="Y2" s="2241"/>
    </row>
    <row r="3" spans="1:25" ht="21" customHeight="1" x14ac:dyDescent="0.25">
      <c r="A3" s="212"/>
      <c r="B3" s="212"/>
      <c r="C3" s="212"/>
      <c r="D3" s="212"/>
      <c r="E3" s="212"/>
      <c r="F3" s="212"/>
      <c r="G3" s="212"/>
      <c r="H3" s="212"/>
      <c r="I3" s="212"/>
      <c r="J3" s="212"/>
      <c r="K3" s="212"/>
      <c r="L3" s="212"/>
      <c r="M3" s="212"/>
      <c r="N3" s="212"/>
      <c r="O3" s="212"/>
      <c r="P3" s="212"/>
      <c r="Q3" s="212"/>
      <c r="R3" s="212"/>
      <c r="S3" s="212"/>
      <c r="T3" s="2242" t="s">
        <v>249</v>
      </c>
      <c r="U3" s="2242"/>
      <c r="V3" s="2242"/>
      <c r="W3" s="2242"/>
      <c r="X3" s="2242"/>
      <c r="Y3" s="2242"/>
    </row>
    <row r="4" spans="1:25" s="212" customFormat="1" ht="18" customHeight="1" x14ac:dyDescent="0.25">
      <c r="A4" s="2243" t="s">
        <v>25</v>
      </c>
      <c r="B4" s="2243" t="s">
        <v>26</v>
      </c>
      <c r="C4" s="2244" t="s">
        <v>27</v>
      </c>
      <c r="D4" s="2244"/>
      <c r="E4" s="2244" t="s">
        <v>28</v>
      </c>
      <c r="F4" s="2244"/>
      <c r="G4" s="2244" t="s">
        <v>65</v>
      </c>
      <c r="H4" s="2244"/>
      <c r="I4" s="2244" t="s">
        <v>29</v>
      </c>
      <c r="J4" s="2244"/>
      <c r="K4" s="2245" t="s">
        <v>13</v>
      </c>
      <c r="L4" s="2246"/>
      <c r="M4" s="2245" t="s">
        <v>67</v>
      </c>
      <c r="N4" s="2246"/>
      <c r="O4" s="2245" t="s">
        <v>68</v>
      </c>
      <c r="P4" s="2246"/>
      <c r="Q4" s="2245" t="s">
        <v>114</v>
      </c>
      <c r="R4" s="2246"/>
      <c r="S4" s="2244" t="s">
        <v>35</v>
      </c>
      <c r="T4" s="2244"/>
      <c r="U4" s="2245" t="s">
        <v>17</v>
      </c>
      <c r="V4" s="2246"/>
      <c r="W4" s="2247" t="s">
        <v>36</v>
      </c>
      <c r="X4" s="2248"/>
      <c r="Y4" s="2238" t="s">
        <v>30</v>
      </c>
    </row>
    <row r="5" spans="1:25" s="212" customFormat="1" ht="25.5" customHeight="1" x14ac:dyDescent="0.25">
      <c r="A5" s="2243"/>
      <c r="B5" s="2243"/>
      <c r="C5" s="214" t="s">
        <v>42</v>
      </c>
      <c r="D5" s="214" t="s">
        <v>43</v>
      </c>
      <c r="E5" s="214" t="s">
        <v>42</v>
      </c>
      <c r="F5" s="214" t="s">
        <v>43</v>
      </c>
      <c r="G5" s="214" t="s">
        <v>42</v>
      </c>
      <c r="H5" s="214" t="s">
        <v>43</v>
      </c>
      <c r="I5" s="214" t="s">
        <v>42</v>
      </c>
      <c r="J5" s="214" t="s">
        <v>43</v>
      </c>
      <c r="K5" s="214" t="s">
        <v>42</v>
      </c>
      <c r="L5" s="214" t="s">
        <v>43</v>
      </c>
      <c r="M5" s="214" t="s">
        <v>42</v>
      </c>
      <c r="N5" s="214" t="s">
        <v>43</v>
      </c>
      <c r="O5" s="214" t="s">
        <v>42</v>
      </c>
      <c r="P5" s="214" t="s">
        <v>43</v>
      </c>
      <c r="Q5" s="214" t="s">
        <v>42</v>
      </c>
      <c r="R5" s="214" t="s">
        <v>43</v>
      </c>
      <c r="S5" s="33" t="s">
        <v>42</v>
      </c>
      <c r="T5" s="33" t="s">
        <v>43</v>
      </c>
      <c r="U5" s="30" t="s">
        <v>42</v>
      </c>
      <c r="V5" s="30" t="s">
        <v>43</v>
      </c>
      <c r="W5" s="30" t="s">
        <v>42</v>
      </c>
      <c r="X5" s="30" t="s">
        <v>43</v>
      </c>
      <c r="Y5" s="2239"/>
    </row>
    <row r="6" spans="1:25" ht="34.5" customHeight="1" x14ac:dyDescent="0.25">
      <c r="A6" s="12">
        <v>1409935200</v>
      </c>
      <c r="B6" s="213" t="s">
        <v>71</v>
      </c>
      <c r="C6" s="216">
        <v>31658</v>
      </c>
      <c r="D6" s="217">
        <f>0.9725*C6</f>
        <v>30787.405000000002</v>
      </c>
      <c r="E6" s="216"/>
      <c r="F6" s="216">
        <f>13.7*E6</f>
        <v>0</v>
      </c>
      <c r="G6" s="216"/>
      <c r="H6" s="216">
        <f>28.2*G6</f>
        <v>0</v>
      </c>
      <c r="I6" s="216">
        <v>155</v>
      </c>
      <c r="J6" s="216">
        <f>18.5*I6</f>
        <v>2867.5</v>
      </c>
      <c r="K6" s="216"/>
      <c r="L6" s="216">
        <f>19.5*K6</f>
        <v>0</v>
      </c>
      <c r="M6" s="216"/>
      <c r="N6" s="217">
        <f>M6*9.75</f>
        <v>0</v>
      </c>
      <c r="O6" s="216"/>
      <c r="P6" s="217">
        <f>O6*48.62</f>
        <v>0</v>
      </c>
      <c r="Q6" s="217"/>
      <c r="R6" s="217">
        <f>241*Q6</f>
        <v>0</v>
      </c>
      <c r="S6" s="216"/>
      <c r="T6" s="216">
        <f>241*S6</f>
        <v>0</v>
      </c>
      <c r="U6" s="216"/>
      <c r="V6" s="216">
        <f>232*U6</f>
        <v>0</v>
      </c>
      <c r="W6" s="216"/>
      <c r="X6" s="19">
        <f>W6*100</f>
        <v>0</v>
      </c>
      <c r="Y6" s="89">
        <f t="shared" ref="Y6:Y11" si="0">D6+F6+H6+J6+L6+N6+P6+R6+T6+V6+X6</f>
        <v>33654.904999999999</v>
      </c>
    </row>
    <row r="7" spans="1:25" ht="31.5" customHeight="1" x14ac:dyDescent="0.25">
      <c r="A7" s="12">
        <v>1984225578</v>
      </c>
      <c r="B7" s="213" t="s">
        <v>72</v>
      </c>
      <c r="C7" s="216">
        <v>59967</v>
      </c>
      <c r="D7" s="217">
        <f t="shared" ref="D7:D11" si="1">0.9725*C7</f>
        <v>58317.907500000001</v>
      </c>
      <c r="E7" s="216"/>
      <c r="F7" s="216">
        <f t="shared" ref="F7:F11" si="2">13.7*E7</f>
        <v>0</v>
      </c>
      <c r="G7" s="216">
        <v>100</v>
      </c>
      <c r="H7" s="216">
        <f t="shared" ref="H7:H11" si="3">28.2*G7</f>
        <v>2820</v>
      </c>
      <c r="I7" s="216">
        <v>200</v>
      </c>
      <c r="J7" s="216">
        <f t="shared" ref="J7:J11" si="4">18.5*I7</f>
        <v>3700</v>
      </c>
      <c r="K7" s="216"/>
      <c r="L7" s="216">
        <f t="shared" ref="L7:L11" si="5">19.5*K7</f>
        <v>0</v>
      </c>
      <c r="M7" s="216"/>
      <c r="N7" s="217">
        <f t="shared" ref="N7:N11" si="6">M7*9.75</f>
        <v>0</v>
      </c>
      <c r="O7" s="216"/>
      <c r="P7" s="217">
        <f t="shared" ref="P7:P11" si="7">O7*48.62</f>
        <v>0</v>
      </c>
      <c r="Q7" s="217"/>
      <c r="R7" s="217">
        <f t="shared" ref="R7:R11" si="8">241*Q7</f>
        <v>0</v>
      </c>
      <c r="S7" s="216"/>
      <c r="T7" s="216">
        <f t="shared" ref="T7:T11" si="9">241*S7</f>
        <v>0</v>
      </c>
      <c r="U7" s="216"/>
      <c r="V7" s="216">
        <f t="shared" ref="V7:V11" si="10">232*U7</f>
        <v>0</v>
      </c>
      <c r="W7" s="216"/>
      <c r="X7" s="19">
        <f t="shared" ref="X7:X11" si="11">W7*100</f>
        <v>0</v>
      </c>
      <c r="Y7" s="89">
        <f t="shared" si="0"/>
        <v>64837.907500000001</v>
      </c>
    </row>
    <row r="8" spans="1:25" ht="35.25" customHeight="1" x14ac:dyDescent="0.25">
      <c r="A8" s="12">
        <v>1967020280</v>
      </c>
      <c r="B8" s="213" t="s">
        <v>73</v>
      </c>
      <c r="C8" s="216">
        <v>41048</v>
      </c>
      <c r="D8" s="217">
        <f t="shared" si="1"/>
        <v>39919.18</v>
      </c>
      <c r="E8" s="216"/>
      <c r="F8" s="216">
        <f t="shared" si="2"/>
        <v>0</v>
      </c>
      <c r="G8" s="216">
        <v>50</v>
      </c>
      <c r="H8" s="216">
        <f t="shared" si="3"/>
        <v>1410</v>
      </c>
      <c r="I8" s="216">
        <v>175</v>
      </c>
      <c r="J8" s="216">
        <f t="shared" si="4"/>
        <v>3237.5</v>
      </c>
      <c r="K8" s="216"/>
      <c r="L8" s="216">
        <f t="shared" si="5"/>
        <v>0</v>
      </c>
      <c r="M8" s="216"/>
      <c r="N8" s="217">
        <f t="shared" si="6"/>
        <v>0</v>
      </c>
      <c r="O8" s="216"/>
      <c r="P8" s="217">
        <f t="shared" si="7"/>
        <v>0</v>
      </c>
      <c r="Q8" s="217"/>
      <c r="R8" s="217">
        <f t="shared" si="8"/>
        <v>0</v>
      </c>
      <c r="S8" s="216"/>
      <c r="T8" s="216">
        <f t="shared" si="9"/>
        <v>0</v>
      </c>
      <c r="U8" s="216"/>
      <c r="V8" s="216">
        <f t="shared" si="10"/>
        <v>0</v>
      </c>
      <c r="W8" s="216"/>
      <c r="X8" s="19">
        <f t="shared" si="11"/>
        <v>0</v>
      </c>
      <c r="Y8" s="89">
        <f t="shared" si="0"/>
        <v>44566.68</v>
      </c>
    </row>
    <row r="9" spans="1:25" ht="38.25" customHeight="1" x14ac:dyDescent="0.25">
      <c r="A9" s="12">
        <v>1409935199</v>
      </c>
      <c r="B9" s="213" t="s">
        <v>75</v>
      </c>
      <c r="C9" s="216">
        <v>47479</v>
      </c>
      <c r="D9" s="217">
        <f t="shared" si="1"/>
        <v>46173.327499999999</v>
      </c>
      <c r="E9" s="216"/>
      <c r="F9" s="216">
        <f t="shared" si="2"/>
        <v>0</v>
      </c>
      <c r="G9" s="216"/>
      <c r="H9" s="216">
        <f t="shared" si="3"/>
        <v>0</v>
      </c>
      <c r="I9" s="216">
        <v>170</v>
      </c>
      <c r="J9" s="216">
        <f t="shared" si="4"/>
        <v>3145</v>
      </c>
      <c r="K9" s="216"/>
      <c r="L9" s="216">
        <f t="shared" si="5"/>
        <v>0</v>
      </c>
      <c r="M9" s="216"/>
      <c r="N9" s="217">
        <f t="shared" si="6"/>
        <v>0</v>
      </c>
      <c r="O9" s="216"/>
      <c r="P9" s="217">
        <f t="shared" si="7"/>
        <v>0</v>
      </c>
      <c r="Q9" s="217"/>
      <c r="R9" s="217">
        <f t="shared" si="8"/>
        <v>0</v>
      </c>
      <c r="S9" s="216"/>
      <c r="T9" s="216">
        <f t="shared" si="9"/>
        <v>0</v>
      </c>
      <c r="U9" s="216"/>
      <c r="V9" s="216">
        <f t="shared" si="10"/>
        <v>0</v>
      </c>
      <c r="W9" s="216"/>
      <c r="X9" s="19">
        <f t="shared" si="11"/>
        <v>0</v>
      </c>
      <c r="Y9" s="89">
        <f t="shared" si="0"/>
        <v>49318.327499999999</v>
      </c>
    </row>
    <row r="10" spans="1:25" ht="35.25" customHeight="1" x14ac:dyDescent="0.25">
      <c r="A10" s="12">
        <v>1984225580</v>
      </c>
      <c r="C10" s="216"/>
      <c r="D10" s="217">
        <f t="shared" si="1"/>
        <v>0</v>
      </c>
      <c r="E10" s="216"/>
      <c r="F10" s="216">
        <f t="shared" si="2"/>
        <v>0</v>
      </c>
      <c r="G10" s="216"/>
      <c r="H10" s="216">
        <f t="shared" si="3"/>
        <v>0</v>
      </c>
      <c r="I10" s="216"/>
      <c r="J10" s="216">
        <f t="shared" si="4"/>
        <v>0</v>
      </c>
      <c r="K10" s="216"/>
      <c r="L10" s="216">
        <f t="shared" si="5"/>
        <v>0</v>
      </c>
      <c r="M10" s="216"/>
      <c r="N10" s="217">
        <f t="shared" si="6"/>
        <v>0</v>
      </c>
      <c r="O10" s="216"/>
      <c r="P10" s="217">
        <f t="shared" si="7"/>
        <v>0</v>
      </c>
      <c r="Q10" s="217"/>
      <c r="R10" s="217">
        <f t="shared" si="8"/>
        <v>0</v>
      </c>
      <c r="S10" s="216"/>
      <c r="T10" s="216">
        <f t="shared" si="9"/>
        <v>0</v>
      </c>
      <c r="U10" s="216"/>
      <c r="V10" s="216">
        <f t="shared" si="10"/>
        <v>0</v>
      </c>
      <c r="W10" s="216"/>
      <c r="X10" s="19">
        <f t="shared" si="11"/>
        <v>0</v>
      </c>
      <c r="Y10" s="89">
        <f t="shared" si="0"/>
        <v>0</v>
      </c>
    </row>
    <row r="11" spans="1:25" ht="37.5" customHeight="1" x14ac:dyDescent="0.25">
      <c r="A11" s="12"/>
      <c r="B11" s="215"/>
      <c r="C11" s="216"/>
      <c r="D11" s="22">
        <f t="shared" si="1"/>
        <v>0</v>
      </c>
      <c r="E11" s="216"/>
      <c r="F11" s="216">
        <f t="shared" si="2"/>
        <v>0</v>
      </c>
      <c r="G11" s="216"/>
      <c r="H11" s="216">
        <f t="shared" si="3"/>
        <v>0</v>
      </c>
      <c r="I11" s="216"/>
      <c r="J11" s="216">
        <f t="shared" si="4"/>
        <v>0</v>
      </c>
      <c r="K11" s="216"/>
      <c r="L11" s="216">
        <f t="shared" si="5"/>
        <v>0</v>
      </c>
      <c r="M11" s="216"/>
      <c r="N11" s="217">
        <f t="shared" si="6"/>
        <v>0</v>
      </c>
      <c r="O11" s="216"/>
      <c r="P11" s="217">
        <f t="shared" si="7"/>
        <v>0</v>
      </c>
      <c r="Q11" s="217"/>
      <c r="R11" s="217">
        <f t="shared" si="8"/>
        <v>0</v>
      </c>
      <c r="S11" s="216">
        <v>228</v>
      </c>
      <c r="T11" s="216">
        <f t="shared" si="9"/>
        <v>54948</v>
      </c>
      <c r="U11" s="216"/>
      <c r="V11" s="216">
        <f t="shared" si="10"/>
        <v>0</v>
      </c>
      <c r="W11" s="216"/>
      <c r="X11" s="19">
        <f t="shared" si="11"/>
        <v>0</v>
      </c>
      <c r="Y11" s="20">
        <f t="shared" si="0"/>
        <v>54948</v>
      </c>
    </row>
    <row r="12" spans="1:25" ht="29.25" customHeight="1" x14ac:dyDescent="0.25">
      <c r="A12" s="2235" t="s">
        <v>31</v>
      </c>
      <c r="B12" s="2235"/>
      <c r="C12" s="18">
        <f t="shared" ref="C12:Y12" si="12">SUM(C6:C11)</f>
        <v>180152</v>
      </c>
      <c r="D12" s="18">
        <f t="shared" si="12"/>
        <v>175197.82</v>
      </c>
      <c r="E12" s="18">
        <f t="shared" si="12"/>
        <v>0</v>
      </c>
      <c r="F12" s="18">
        <f t="shared" si="12"/>
        <v>0</v>
      </c>
      <c r="G12" s="18">
        <f t="shared" si="12"/>
        <v>150</v>
      </c>
      <c r="H12" s="18">
        <f t="shared" si="12"/>
        <v>4230</v>
      </c>
      <c r="I12" s="18">
        <f t="shared" si="12"/>
        <v>700</v>
      </c>
      <c r="J12" s="18">
        <f t="shared" si="12"/>
        <v>12950</v>
      </c>
      <c r="K12" s="18">
        <f t="shared" si="12"/>
        <v>0</v>
      </c>
      <c r="L12" s="18">
        <f t="shared" si="12"/>
        <v>0</v>
      </c>
      <c r="M12" s="18">
        <f t="shared" si="12"/>
        <v>0</v>
      </c>
      <c r="N12" s="23">
        <f t="shared" si="12"/>
        <v>0</v>
      </c>
      <c r="O12" s="18">
        <f t="shared" si="12"/>
        <v>0</v>
      </c>
      <c r="P12" s="23">
        <f t="shared" si="12"/>
        <v>0</v>
      </c>
      <c r="Q12" s="23">
        <f t="shared" si="12"/>
        <v>0</v>
      </c>
      <c r="R12" s="23">
        <f>SUM(R6:R11)</f>
        <v>0</v>
      </c>
      <c r="S12" s="18">
        <f t="shared" si="12"/>
        <v>228</v>
      </c>
      <c r="T12" s="18">
        <f t="shared" si="12"/>
        <v>54948</v>
      </c>
      <c r="U12" s="18">
        <f t="shared" si="12"/>
        <v>0</v>
      </c>
      <c r="V12" s="18">
        <f t="shared" si="12"/>
        <v>0</v>
      </c>
      <c r="W12" s="18">
        <f t="shared" si="12"/>
        <v>0</v>
      </c>
      <c r="X12" s="18">
        <f t="shared" si="12"/>
        <v>0</v>
      </c>
      <c r="Y12" s="18">
        <f t="shared" si="12"/>
        <v>247325.82</v>
      </c>
    </row>
    <row r="14" spans="1:25" ht="41.25" customHeight="1" x14ac:dyDescent="0.25">
      <c r="A14" s="30" t="s">
        <v>32</v>
      </c>
      <c r="B14" s="2236" t="s">
        <v>27</v>
      </c>
      <c r="C14" s="2236"/>
      <c r="D14" s="30" t="s">
        <v>33</v>
      </c>
      <c r="E14" s="30" t="s">
        <v>65</v>
      </c>
      <c r="F14" s="30" t="s">
        <v>34</v>
      </c>
      <c r="G14" s="30" t="s">
        <v>13</v>
      </c>
      <c r="H14" s="142" t="s">
        <v>173</v>
      </c>
      <c r="I14" s="30" t="s">
        <v>17</v>
      </c>
      <c r="J14" s="221" t="s">
        <v>174</v>
      </c>
      <c r="K14" s="30" t="s">
        <v>36</v>
      </c>
      <c r="L14" s="30" t="s">
        <v>175</v>
      </c>
      <c r="M14" s="30" t="s">
        <v>69</v>
      </c>
      <c r="N14" s="30" t="s">
        <v>70</v>
      </c>
      <c r="O14" s="221" t="s">
        <v>114</v>
      </c>
      <c r="P14" s="221" t="s">
        <v>99</v>
      </c>
      <c r="Q14" s="2272"/>
      <c r="R14" s="2272"/>
      <c r="S14" s="221"/>
      <c r="T14" s="2235" t="s">
        <v>46</v>
      </c>
      <c r="U14" s="213" t="s">
        <v>176</v>
      </c>
      <c r="V14" s="2260">
        <v>24</v>
      </c>
      <c r="W14" s="2268"/>
      <c r="X14" s="2261"/>
    </row>
    <row r="15" spans="1:25" ht="22.5" customHeight="1" x14ac:dyDescent="0.25">
      <c r="A15" s="100" t="s">
        <v>38</v>
      </c>
      <c r="B15" s="2260">
        <v>234276</v>
      </c>
      <c r="C15" s="2261"/>
      <c r="D15" s="218">
        <v>0</v>
      </c>
      <c r="E15" s="218">
        <v>240</v>
      </c>
      <c r="F15" s="218">
        <v>15050</v>
      </c>
      <c r="G15" s="218">
        <v>0</v>
      </c>
      <c r="H15" s="218">
        <v>57</v>
      </c>
      <c r="I15" s="218">
        <v>0</v>
      </c>
      <c r="J15" s="218">
        <v>94</v>
      </c>
      <c r="K15" s="218">
        <v>47</v>
      </c>
      <c r="L15" s="218">
        <v>891</v>
      </c>
      <c r="M15" s="218">
        <v>0</v>
      </c>
      <c r="N15" s="218">
        <v>100</v>
      </c>
      <c r="O15" s="218">
        <v>0</v>
      </c>
      <c r="P15" s="218">
        <v>417</v>
      </c>
      <c r="Q15" s="2262">
        <v>0</v>
      </c>
      <c r="R15" s="2262"/>
      <c r="S15" s="213">
        <v>0</v>
      </c>
      <c r="T15" s="2235"/>
      <c r="U15" s="213" t="s">
        <v>64</v>
      </c>
      <c r="V15" s="2262">
        <v>11192</v>
      </c>
      <c r="W15" s="2262"/>
      <c r="X15" s="2262"/>
    </row>
    <row r="16" spans="1:25" ht="24.75" customHeight="1" x14ac:dyDescent="0.25">
      <c r="A16" s="100" t="s">
        <v>39</v>
      </c>
      <c r="B16" s="2260">
        <v>301298</v>
      </c>
      <c r="C16" s="2261"/>
      <c r="D16" s="218"/>
      <c r="E16" s="218"/>
      <c r="F16" s="218"/>
      <c r="G16" s="218"/>
      <c r="H16" s="218"/>
      <c r="I16" s="218"/>
      <c r="J16" s="218"/>
      <c r="K16" s="218"/>
      <c r="L16" s="218"/>
      <c r="M16" s="218"/>
      <c r="N16" s="218"/>
      <c r="O16" s="218"/>
      <c r="P16" s="218"/>
      <c r="Q16" s="2225"/>
      <c r="R16" s="2225"/>
      <c r="S16" s="218"/>
      <c r="T16" s="2254" t="s">
        <v>55</v>
      </c>
      <c r="U16" s="2254"/>
      <c r="V16" s="2267">
        <f>Y12</f>
        <v>247325.82</v>
      </c>
      <c r="W16" s="2267"/>
      <c r="X16" s="2262"/>
    </row>
    <row r="17" spans="1:25" ht="28.5" customHeight="1" x14ac:dyDescent="0.25">
      <c r="A17" s="101" t="s">
        <v>44</v>
      </c>
      <c r="B17" s="2260"/>
      <c r="C17" s="2261"/>
      <c r="D17" s="218"/>
      <c r="E17" s="218"/>
      <c r="F17" s="218"/>
      <c r="G17" s="218"/>
      <c r="H17" s="218"/>
      <c r="I17" s="218"/>
      <c r="J17" s="218"/>
      <c r="K17" s="218"/>
      <c r="L17" s="218"/>
      <c r="M17" s="218"/>
      <c r="N17" s="218"/>
      <c r="O17" s="218"/>
      <c r="P17" s="218"/>
      <c r="Q17" s="2225"/>
      <c r="R17" s="2225"/>
      <c r="S17" s="215"/>
      <c r="T17" s="2273" t="s">
        <v>250</v>
      </c>
      <c r="U17" s="2274"/>
      <c r="V17" s="2262">
        <v>9000</v>
      </c>
      <c r="W17" s="2262"/>
      <c r="X17" s="2262"/>
    </row>
    <row r="18" spans="1:25" ht="27" customHeight="1" x14ac:dyDescent="0.25">
      <c r="A18" s="100" t="s">
        <v>40</v>
      </c>
      <c r="B18" s="2264">
        <f>C12</f>
        <v>180152</v>
      </c>
      <c r="C18" s="2261"/>
      <c r="D18" s="219">
        <f>E12</f>
        <v>0</v>
      </c>
      <c r="E18" s="219">
        <f>G12</f>
        <v>150</v>
      </c>
      <c r="F18" s="219">
        <f>I12</f>
        <v>700</v>
      </c>
      <c r="G18" s="219">
        <f>K12</f>
        <v>0</v>
      </c>
      <c r="H18" s="218"/>
      <c r="I18" s="219">
        <f>U12</f>
        <v>0</v>
      </c>
      <c r="J18" s="218"/>
      <c r="K18" s="219">
        <f>W12</f>
        <v>0</v>
      </c>
      <c r="L18" s="218">
        <v>228</v>
      </c>
      <c r="M18" s="219">
        <f>M12</f>
        <v>0</v>
      </c>
      <c r="N18" s="219">
        <f>O12</f>
        <v>0</v>
      </c>
      <c r="O18" s="220">
        <f>Q12</f>
        <v>0</v>
      </c>
      <c r="P18" s="218"/>
      <c r="Q18" s="2262"/>
      <c r="R18" s="2262"/>
      <c r="S18" s="213"/>
      <c r="T18" s="2254" t="s">
        <v>57</v>
      </c>
      <c r="U18" s="2254"/>
      <c r="V18" s="2262">
        <f>500+57957</f>
        <v>58457</v>
      </c>
      <c r="W18" s="2262"/>
      <c r="X18" s="2262"/>
      <c r="Y18" s="2269" t="s">
        <v>251</v>
      </c>
    </row>
    <row r="19" spans="1:25" ht="25.5" customHeight="1" x14ac:dyDescent="0.25">
      <c r="A19" s="100" t="s">
        <v>41</v>
      </c>
      <c r="B19" s="2260">
        <f>B15+B16+B17-B18</f>
        <v>355422</v>
      </c>
      <c r="C19" s="2261"/>
      <c r="D19" s="218">
        <f>D15+D16+D17-D18</f>
        <v>0</v>
      </c>
      <c r="E19" s="218">
        <f t="shared" ref="E19:N19" si="13">E15+E16+E17-E18</f>
        <v>90</v>
      </c>
      <c r="F19" s="218">
        <f t="shared" si="13"/>
        <v>14350</v>
      </c>
      <c r="G19" s="218">
        <f t="shared" si="13"/>
        <v>0</v>
      </c>
      <c r="H19" s="218">
        <f t="shared" si="13"/>
        <v>57</v>
      </c>
      <c r="I19" s="218">
        <f t="shared" si="13"/>
        <v>0</v>
      </c>
      <c r="J19" s="218">
        <f t="shared" si="13"/>
        <v>94</v>
      </c>
      <c r="K19" s="218">
        <f t="shared" si="13"/>
        <v>47</v>
      </c>
      <c r="L19" s="218">
        <f t="shared" si="13"/>
        <v>663</v>
      </c>
      <c r="M19" s="218">
        <f t="shared" si="13"/>
        <v>0</v>
      </c>
      <c r="N19" s="218">
        <f t="shared" si="13"/>
        <v>100</v>
      </c>
      <c r="O19" s="218">
        <f>O15+O16+O17-O18</f>
        <v>0</v>
      </c>
      <c r="P19" s="218">
        <f>P15+P16+P17-P18</f>
        <v>417</v>
      </c>
      <c r="Q19" s="2260">
        <f t="shared" ref="Q19" si="14">Q15+Q16+Q17-Q18</f>
        <v>0</v>
      </c>
      <c r="R19" s="2261"/>
      <c r="S19" s="213">
        <f>S15+S16-S17-S18</f>
        <v>0</v>
      </c>
      <c r="T19" s="2256" t="s">
        <v>48</v>
      </c>
      <c r="U19" s="49" t="s">
        <v>58</v>
      </c>
      <c r="V19" s="2262">
        <v>100000</v>
      </c>
      <c r="W19" s="2262"/>
      <c r="X19" s="2262"/>
      <c r="Y19" s="2269"/>
    </row>
    <row r="20" spans="1:25" ht="23.25" customHeight="1" x14ac:dyDescent="0.25">
      <c r="A20" s="210" t="s">
        <v>187</v>
      </c>
      <c r="B20" s="2284">
        <f>B19*0.9625</f>
        <v>342093.67499999999</v>
      </c>
      <c r="C20" s="2285"/>
      <c r="D20" s="211">
        <f>D19*13.56</f>
        <v>0</v>
      </c>
      <c r="E20" s="211">
        <f>28.2*E19</f>
        <v>2538</v>
      </c>
      <c r="F20" s="211">
        <f>18.31*F19</f>
        <v>262748.5</v>
      </c>
      <c r="G20" s="211">
        <f>19.3*G19</f>
        <v>0</v>
      </c>
      <c r="H20" s="211">
        <f>241*H19</f>
        <v>13737</v>
      </c>
      <c r="I20" s="211">
        <f>223*I19</f>
        <v>0</v>
      </c>
      <c r="J20" s="211">
        <f>241*J19</f>
        <v>22654</v>
      </c>
      <c r="K20" s="211">
        <f>K19*100</f>
        <v>4700</v>
      </c>
      <c r="L20" s="211">
        <f>241*L19</f>
        <v>159783</v>
      </c>
      <c r="M20" s="211">
        <f>9.65*M19</f>
        <v>0</v>
      </c>
      <c r="N20" s="211">
        <f>N19*48.2</f>
        <v>4820</v>
      </c>
      <c r="O20" s="211">
        <f>241*O19</f>
        <v>0</v>
      </c>
      <c r="P20" s="211">
        <f>241*P19</f>
        <v>100497</v>
      </c>
      <c r="Q20" s="2284">
        <f>241*Q19</f>
        <v>0</v>
      </c>
      <c r="R20" s="2285"/>
      <c r="S20" s="211">
        <f>241*S19</f>
        <v>0</v>
      </c>
      <c r="T20" s="2257"/>
      <c r="U20" s="49" t="s">
        <v>59</v>
      </c>
      <c r="V20" s="2262"/>
      <c r="W20" s="2262"/>
      <c r="X20" s="2262"/>
      <c r="Y20" s="2269"/>
    </row>
    <row r="21" spans="1:25" ht="32.25" customHeight="1" x14ac:dyDescent="0.25">
      <c r="A21" s="143" t="s">
        <v>186</v>
      </c>
      <c r="B21" s="2283">
        <f>SUM(B20:S20)</f>
        <v>913571.17500000005</v>
      </c>
      <c r="C21" s="2283"/>
      <c r="O21" s="222"/>
      <c r="P21" s="222"/>
      <c r="Q21" s="222"/>
      <c r="R21" s="222"/>
      <c r="T21" s="2273" t="s">
        <v>167</v>
      </c>
      <c r="U21" s="2274"/>
      <c r="V21" s="2260">
        <v>100000</v>
      </c>
      <c r="W21" s="2268"/>
      <c r="X21" s="2261"/>
      <c r="Y21" s="2269"/>
    </row>
    <row r="22" spans="1:25" ht="35.25" customHeight="1" x14ac:dyDescent="0.25">
      <c r="A22" s="15"/>
      <c r="B22" s="2275" t="s">
        <v>49</v>
      </c>
      <c r="C22" s="2265">
        <v>374650</v>
      </c>
      <c r="D22" s="2265">
        <v>100000</v>
      </c>
      <c r="E22" s="2265">
        <v>290000</v>
      </c>
      <c r="F22" s="2265">
        <f>C22-D22+E22</f>
        <v>564650</v>
      </c>
      <c r="G22" s="222"/>
      <c r="Q22" s="222"/>
      <c r="R22" s="222"/>
      <c r="T22" s="2251" t="s">
        <v>83</v>
      </c>
      <c r="U22" s="50" t="s">
        <v>60</v>
      </c>
      <c r="V22" s="2262">
        <v>172830</v>
      </c>
      <c r="W22" s="2262"/>
      <c r="X22" s="2262"/>
      <c r="Y22" s="2269"/>
    </row>
    <row r="23" spans="1:25" ht="39.75" customHeight="1" x14ac:dyDescent="0.25">
      <c r="A23" s="222"/>
      <c r="B23" s="2276"/>
      <c r="C23" s="2266"/>
      <c r="D23" s="2266"/>
      <c r="E23" s="2266"/>
      <c r="F23" s="2266"/>
      <c r="G23" s="222"/>
      <c r="Q23" s="222"/>
      <c r="R23" s="222"/>
      <c r="T23" s="2252"/>
      <c r="U23" s="50" t="s">
        <v>61</v>
      </c>
      <c r="V23" s="2262">
        <v>175000</v>
      </c>
      <c r="W23" s="2262"/>
      <c r="X23" s="2262"/>
      <c r="Y23" s="2269"/>
    </row>
    <row r="24" spans="1:25" ht="48" customHeight="1" x14ac:dyDescent="0.25">
      <c r="A24" s="222"/>
      <c r="B24" s="2277"/>
      <c r="C24" s="213" t="s">
        <v>46</v>
      </c>
      <c r="D24" s="213" t="s">
        <v>50</v>
      </c>
      <c r="E24" s="213" t="s">
        <v>51</v>
      </c>
      <c r="F24" s="213" t="s">
        <v>52</v>
      </c>
      <c r="G24" s="222"/>
      <c r="Q24" s="222"/>
      <c r="R24" s="222"/>
      <c r="T24" s="2235" t="s">
        <v>47</v>
      </c>
      <c r="U24" s="51" t="s">
        <v>62</v>
      </c>
      <c r="V24" s="2263">
        <f>V14+V16+V17-V18-V19-V20-V22+V23-V21</f>
        <v>62.820000000006985</v>
      </c>
      <c r="W24" s="2263"/>
      <c r="X24" s="2263"/>
      <c r="Y24" s="2269"/>
    </row>
    <row r="25" spans="1:25" ht="40.5" customHeight="1" x14ac:dyDescent="0.25">
      <c r="T25" s="2235"/>
      <c r="U25" s="51" t="s">
        <v>63</v>
      </c>
      <c r="V25" s="2262">
        <f>V15+V22-V23</f>
        <v>9022</v>
      </c>
      <c r="W25" s="2262"/>
      <c r="X25" s="2262"/>
    </row>
    <row r="26" spans="1:25" ht="36" customHeight="1" x14ac:dyDescent="0.25"/>
    <row r="32" spans="1:25" x14ac:dyDescent="0.25">
      <c r="I32" s="2280"/>
      <c r="J32" s="2280"/>
      <c r="K32" s="2280"/>
      <c r="L32" s="2280"/>
    </row>
    <row r="33" spans="9:12" x14ac:dyDescent="0.25">
      <c r="I33" s="222"/>
      <c r="J33" s="222"/>
      <c r="K33" s="2280"/>
      <c r="L33" s="2280"/>
    </row>
  </sheetData>
  <mergeCells count="62">
    <mergeCell ref="I32:J32"/>
    <mergeCell ref="K32:L32"/>
    <mergeCell ref="K33:L33"/>
    <mergeCell ref="T22:T23"/>
    <mergeCell ref="V22:X22"/>
    <mergeCell ref="V23:X23"/>
    <mergeCell ref="T24:T25"/>
    <mergeCell ref="V24:X24"/>
    <mergeCell ref="V25:X25"/>
    <mergeCell ref="Y18:Y24"/>
    <mergeCell ref="B19:C19"/>
    <mergeCell ref="Q19:R19"/>
    <mergeCell ref="T19:T20"/>
    <mergeCell ref="V19:X19"/>
    <mergeCell ref="B20:C20"/>
    <mergeCell ref="B22:B24"/>
    <mergeCell ref="C22:C23"/>
    <mergeCell ref="D22:D23"/>
    <mergeCell ref="E22:E23"/>
    <mergeCell ref="F22:F23"/>
    <mergeCell ref="Q20:R20"/>
    <mergeCell ref="V20:X20"/>
    <mergeCell ref="B21:C21"/>
    <mergeCell ref="T21:U21"/>
    <mergeCell ref="V21:X21"/>
    <mergeCell ref="B17:C17"/>
    <mergeCell ref="Q17:R17"/>
    <mergeCell ref="T17:U17"/>
    <mergeCell ref="V17:X17"/>
    <mergeCell ref="B18:C18"/>
    <mergeCell ref="Q18:R18"/>
    <mergeCell ref="T18:U18"/>
    <mergeCell ref="V18:X18"/>
    <mergeCell ref="W4:X4"/>
    <mergeCell ref="B16:C16"/>
    <mergeCell ref="Q16:R16"/>
    <mergeCell ref="T16:U16"/>
    <mergeCell ref="V16:X16"/>
    <mergeCell ref="A12:B12"/>
    <mergeCell ref="B14:C14"/>
    <mergeCell ref="Q14:R14"/>
    <mergeCell ref="T14:T15"/>
    <mergeCell ref="V14:X14"/>
    <mergeCell ref="B15:C15"/>
    <mergeCell ref="Q15:R15"/>
    <mergeCell ref="V15:X15"/>
    <mergeCell ref="A1:Y1"/>
    <mergeCell ref="A2:Y2"/>
    <mergeCell ref="T3:Y3"/>
    <mergeCell ref="A4:A5"/>
    <mergeCell ref="B4:B5"/>
    <mergeCell ref="C4:D4"/>
    <mergeCell ref="E4:F4"/>
    <mergeCell ref="G4:H4"/>
    <mergeCell ref="I4:J4"/>
    <mergeCell ref="K4:L4"/>
    <mergeCell ref="Y4:Y5"/>
    <mergeCell ref="M4:N4"/>
    <mergeCell ref="O4:P4"/>
    <mergeCell ref="Q4:R4"/>
    <mergeCell ref="S4:T4"/>
    <mergeCell ref="U4:V4"/>
  </mergeCells>
  <pageMargins left="0.15748031496063" right="0.15748031496063" top="0" bottom="0" header="0" footer="0"/>
  <pageSetup paperSize="9" scale="47" orientation="landscape" r:id="rId1"/>
  <legacyDrawing r:id="rId2"/>
</worksheet>
</file>

<file path=xl/worksheets/sheet8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6574E1D-FC50-4D93-9059-00E99A2B8988}">
  <sheetPr>
    <pageSetUpPr fitToPage="1"/>
  </sheetPr>
  <dimension ref="A1:Y33"/>
  <sheetViews>
    <sheetView topLeftCell="D10" zoomScale="71" zoomScaleNormal="71" zoomScaleSheetLayoutView="100" workbookViewId="0">
      <selection activeCell="V18" sqref="V18:X18"/>
    </sheetView>
  </sheetViews>
  <sheetFormatPr defaultColWidth="9.140625" defaultRowHeight="15" x14ac:dyDescent="0.25"/>
  <cols>
    <col min="1" max="1" width="18.28515625" style="14" customWidth="1"/>
    <col min="2" max="2" width="10.7109375" style="14" customWidth="1"/>
    <col min="3" max="3" width="12.28515625" style="14" customWidth="1"/>
    <col min="4" max="4" width="11" style="14" customWidth="1"/>
    <col min="5" max="5" width="12" style="14" customWidth="1"/>
    <col min="6" max="6" width="12.5703125" style="14" bestFit="1" customWidth="1"/>
    <col min="7" max="7" width="9.28515625" style="14" bestFit="1" customWidth="1"/>
    <col min="8" max="8" width="10.140625" style="14" bestFit="1" customWidth="1"/>
    <col min="9" max="9" width="10.5703125" style="14" bestFit="1" customWidth="1"/>
    <col min="10" max="10" width="10.5703125" style="14" customWidth="1"/>
    <col min="11" max="11" width="10.28515625" style="14" bestFit="1" customWidth="1"/>
    <col min="12" max="12" width="10.42578125" style="14" bestFit="1" customWidth="1"/>
    <col min="13" max="13" width="9.85546875" style="14" bestFit="1" customWidth="1"/>
    <col min="14" max="14" width="10.140625" style="14" bestFit="1" customWidth="1"/>
    <col min="15" max="15" width="9" style="14" customWidth="1"/>
    <col min="16" max="16" width="12.85546875" style="14" bestFit="1" customWidth="1"/>
    <col min="17" max="18" width="9.42578125" style="14" customWidth="1"/>
    <col min="19" max="19" width="13.7109375" style="14" customWidth="1"/>
    <col min="20" max="20" width="12.140625" style="14" customWidth="1"/>
    <col min="21" max="21" width="19.5703125" style="14" bestFit="1" customWidth="1"/>
    <col min="22" max="22" width="9.85546875" style="14" customWidth="1"/>
    <col min="23" max="23" width="10.140625" style="14" bestFit="1" customWidth="1"/>
    <col min="24" max="24" width="10.28515625" style="14" customWidth="1"/>
    <col min="25" max="25" width="28" style="14" customWidth="1"/>
    <col min="26" max="16384" width="9.140625" style="14"/>
  </cols>
  <sheetData>
    <row r="1" spans="1:25" ht="46.15" customHeight="1" x14ac:dyDescent="0.25">
      <c r="A1" s="2240" t="s">
        <v>148</v>
      </c>
      <c r="B1" s="2240"/>
      <c r="C1" s="2240"/>
      <c r="D1" s="2240"/>
      <c r="E1" s="2240"/>
      <c r="F1" s="2240"/>
      <c r="G1" s="2240"/>
      <c r="H1" s="2240"/>
      <c r="I1" s="2240"/>
      <c r="J1" s="2240"/>
      <c r="K1" s="2240"/>
      <c r="L1" s="2240"/>
      <c r="M1" s="2240"/>
      <c r="N1" s="2240"/>
      <c r="O1" s="2240"/>
      <c r="P1" s="2240"/>
      <c r="Q1" s="2240"/>
      <c r="R1" s="2240"/>
      <c r="S1" s="2240"/>
      <c r="T1" s="2240"/>
      <c r="U1" s="2240"/>
      <c r="V1" s="2240"/>
      <c r="W1" s="2240"/>
      <c r="X1" s="2240"/>
      <c r="Y1" s="2240"/>
    </row>
    <row r="2" spans="1:25" ht="21.6" customHeight="1" x14ac:dyDescent="0.25">
      <c r="A2" s="2241" t="s">
        <v>77</v>
      </c>
      <c r="B2" s="2241"/>
      <c r="C2" s="2241"/>
      <c r="D2" s="2241"/>
      <c r="E2" s="2241"/>
      <c r="F2" s="2241"/>
      <c r="G2" s="2241"/>
      <c r="H2" s="2241"/>
      <c r="I2" s="2241"/>
      <c r="J2" s="2241"/>
      <c r="K2" s="2241"/>
      <c r="L2" s="2241"/>
      <c r="M2" s="2241"/>
      <c r="N2" s="2241"/>
      <c r="O2" s="2241"/>
      <c r="P2" s="2241"/>
      <c r="Q2" s="2241"/>
      <c r="R2" s="2241"/>
      <c r="S2" s="2241"/>
      <c r="T2" s="2241"/>
      <c r="U2" s="2241"/>
      <c r="V2" s="2241"/>
      <c r="W2" s="2241"/>
      <c r="X2" s="2241"/>
      <c r="Y2" s="2241"/>
    </row>
    <row r="3" spans="1:25" ht="21" customHeight="1" x14ac:dyDescent="0.25">
      <c r="A3" s="212"/>
      <c r="B3" s="212"/>
      <c r="C3" s="212"/>
      <c r="D3" s="212"/>
      <c r="E3" s="212"/>
      <c r="F3" s="212"/>
      <c r="G3" s="212"/>
      <c r="H3" s="212"/>
      <c r="I3" s="212"/>
      <c r="J3" s="212"/>
      <c r="K3" s="212"/>
      <c r="L3" s="212"/>
      <c r="M3" s="212"/>
      <c r="N3" s="212"/>
      <c r="O3" s="212"/>
      <c r="P3" s="212"/>
      <c r="Q3" s="212"/>
      <c r="R3" s="212"/>
      <c r="S3" s="212"/>
      <c r="T3" s="2242" t="s">
        <v>252</v>
      </c>
      <c r="U3" s="2242"/>
      <c r="V3" s="2242"/>
      <c r="W3" s="2242"/>
      <c r="X3" s="2242"/>
      <c r="Y3" s="2242"/>
    </row>
    <row r="4" spans="1:25" s="212" customFormat="1" ht="18" customHeight="1" x14ac:dyDescent="0.25">
      <c r="A4" s="2243" t="s">
        <v>25</v>
      </c>
      <c r="B4" s="2243" t="s">
        <v>26</v>
      </c>
      <c r="C4" s="2244" t="s">
        <v>27</v>
      </c>
      <c r="D4" s="2244"/>
      <c r="E4" s="2244" t="s">
        <v>28</v>
      </c>
      <c r="F4" s="2244"/>
      <c r="G4" s="2244" t="s">
        <v>65</v>
      </c>
      <c r="H4" s="2244"/>
      <c r="I4" s="2244" t="s">
        <v>29</v>
      </c>
      <c r="J4" s="2244"/>
      <c r="K4" s="2245" t="s">
        <v>13</v>
      </c>
      <c r="L4" s="2246"/>
      <c r="M4" s="2245" t="s">
        <v>67</v>
      </c>
      <c r="N4" s="2246"/>
      <c r="O4" s="2245" t="s">
        <v>68</v>
      </c>
      <c r="P4" s="2246"/>
      <c r="Q4" s="2245" t="s">
        <v>114</v>
      </c>
      <c r="R4" s="2246"/>
      <c r="S4" s="2244" t="s">
        <v>35</v>
      </c>
      <c r="T4" s="2244"/>
      <c r="U4" s="2245" t="s">
        <v>17</v>
      </c>
      <c r="V4" s="2246"/>
      <c r="W4" s="2247" t="s">
        <v>36</v>
      </c>
      <c r="X4" s="2248"/>
      <c r="Y4" s="2238" t="s">
        <v>30</v>
      </c>
    </row>
    <row r="5" spans="1:25" s="212" customFormat="1" ht="25.5" customHeight="1" x14ac:dyDescent="0.25">
      <c r="A5" s="2243"/>
      <c r="B5" s="2243"/>
      <c r="C5" s="214" t="s">
        <v>42</v>
      </c>
      <c r="D5" s="214" t="s">
        <v>43</v>
      </c>
      <c r="E5" s="214" t="s">
        <v>42</v>
      </c>
      <c r="F5" s="214" t="s">
        <v>43</v>
      </c>
      <c r="G5" s="214" t="s">
        <v>42</v>
      </c>
      <c r="H5" s="214" t="s">
        <v>43</v>
      </c>
      <c r="I5" s="214" t="s">
        <v>42</v>
      </c>
      <c r="J5" s="214" t="s">
        <v>43</v>
      </c>
      <c r="K5" s="214" t="s">
        <v>42</v>
      </c>
      <c r="L5" s="214" t="s">
        <v>43</v>
      </c>
      <c r="M5" s="214" t="s">
        <v>42</v>
      </c>
      <c r="N5" s="214" t="s">
        <v>43</v>
      </c>
      <c r="O5" s="214" t="s">
        <v>42</v>
      </c>
      <c r="P5" s="214" t="s">
        <v>43</v>
      </c>
      <c r="Q5" s="214" t="s">
        <v>42</v>
      </c>
      <c r="R5" s="214" t="s">
        <v>43</v>
      </c>
      <c r="S5" s="33" t="s">
        <v>42</v>
      </c>
      <c r="T5" s="33" t="s">
        <v>43</v>
      </c>
      <c r="U5" s="30" t="s">
        <v>42</v>
      </c>
      <c r="V5" s="30" t="s">
        <v>43</v>
      </c>
      <c r="W5" s="30" t="s">
        <v>42</v>
      </c>
      <c r="X5" s="30" t="s">
        <v>43</v>
      </c>
      <c r="Y5" s="2239"/>
    </row>
    <row r="6" spans="1:25" ht="34.5" customHeight="1" x14ac:dyDescent="0.25">
      <c r="A6" s="12">
        <v>1409935200</v>
      </c>
      <c r="B6" s="213" t="s">
        <v>71</v>
      </c>
      <c r="C6" s="216">
        <v>63115</v>
      </c>
      <c r="D6" s="217">
        <f>0.9725*C6</f>
        <v>61379.337500000001</v>
      </c>
      <c r="E6" s="216"/>
      <c r="F6" s="216">
        <f>13.7*E6</f>
        <v>0</v>
      </c>
      <c r="G6" s="216"/>
      <c r="H6" s="216">
        <f>28.2*G6</f>
        <v>0</v>
      </c>
      <c r="I6" s="216">
        <v>1500</v>
      </c>
      <c r="J6" s="216">
        <f>18.5*I6</f>
        <v>27750</v>
      </c>
      <c r="K6" s="216"/>
      <c r="L6" s="216">
        <f>19.5*K6</f>
        <v>0</v>
      </c>
      <c r="M6" s="216"/>
      <c r="N6" s="217">
        <f>M6*9.75</f>
        <v>0</v>
      </c>
      <c r="O6" s="216"/>
      <c r="P6" s="217">
        <f>O6*48.62</f>
        <v>0</v>
      </c>
      <c r="Q6" s="217"/>
      <c r="R6" s="217">
        <f>241*Q6</f>
        <v>0</v>
      </c>
      <c r="S6" s="216"/>
      <c r="T6" s="216">
        <f>241*S6</f>
        <v>0</v>
      </c>
      <c r="U6" s="216"/>
      <c r="V6" s="216">
        <f>232*U6</f>
        <v>0</v>
      </c>
      <c r="W6" s="216"/>
      <c r="X6" s="19">
        <f>W6*100</f>
        <v>0</v>
      </c>
      <c r="Y6" s="89">
        <f t="shared" ref="Y6:Y11" si="0">D6+F6+H6+J6+L6+N6+P6+R6+T6+V6+X6</f>
        <v>89129.337499999994</v>
      </c>
    </row>
    <row r="7" spans="1:25" ht="31.5" customHeight="1" x14ac:dyDescent="0.25">
      <c r="A7" s="12">
        <v>1984225578</v>
      </c>
      <c r="B7" s="213" t="s">
        <v>72</v>
      </c>
      <c r="C7" s="216">
        <v>28014</v>
      </c>
      <c r="D7" s="217">
        <f t="shared" ref="D7:D11" si="1">0.9725*C7</f>
        <v>27243.615000000002</v>
      </c>
      <c r="E7" s="216"/>
      <c r="F7" s="216">
        <f t="shared" ref="F7:F11" si="2">13.7*E7</f>
        <v>0</v>
      </c>
      <c r="G7" s="216">
        <v>40</v>
      </c>
      <c r="H7" s="216">
        <f t="shared" ref="H7:H11" si="3">28.2*G7</f>
        <v>1128</v>
      </c>
      <c r="I7" s="216">
        <v>2500</v>
      </c>
      <c r="J7" s="216">
        <f t="shared" ref="J7:J11" si="4">18.5*I7</f>
        <v>46250</v>
      </c>
      <c r="K7" s="216"/>
      <c r="L7" s="216">
        <f t="shared" ref="L7:L11" si="5">19.5*K7</f>
        <v>0</v>
      </c>
      <c r="M7" s="216"/>
      <c r="N7" s="217">
        <f t="shared" ref="N7:N11" si="6">M7*9.75</f>
        <v>0</v>
      </c>
      <c r="O7" s="216"/>
      <c r="P7" s="217">
        <f t="shared" ref="P7:P11" si="7">O7*48.62</f>
        <v>0</v>
      </c>
      <c r="Q7" s="217"/>
      <c r="R7" s="217">
        <f t="shared" ref="R7:R11" si="8">241*Q7</f>
        <v>0</v>
      </c>
      <c r="S7" s="216"/>
      <c r="T7" s="216">
        <f t="shared" ref="T7:T11" si="9">241*S7</f>
        <v>0</v>
      </c>
      <c r="U7" s="216"/>
      <c r="V7" s="216">
        <f t="shared" ref="V7:V11" si="10">232*U7</f>
        <v>0</v>
      </c>
      <c r="W7" s="216"/>
      <c r="X7" s="19">
        <f t="shared" ref="X7:X11" si="11">W7*100</f>
        <v>0</v>
      </c>
      <c r="Y7" s="89">
        <f t="shared" si="0"/>
        <v>74621.615000000005</v>
      </c>
    </row>
    <row r="8" spans="1:25" ht="35.25" customHeight="1" x14ac:dyDescent="0.25">
      <c r="A8" s="12">
        <v>1967020280</v>
      </c>
      <c r="B8" s="213" t="s">
        <v>73</v>
      </c>
      <c r="C8" s="216">
        <v>32109</v>
      </c>
      <c r="D8" s="217">
        <f t="shared" si="1"/>
        <v>31226.002500000002</v>
      </c>
      <c r="E8" s="216"/>
      <c r="F8" s="216">
        <f t="shared" si="2"/>
        <v>0</v>
      </c>
      <c r="G8" s="216">
        <v>30</v>
      </c>
      <c r="H8" s="216">
        <f t="shared" si="3"/>
        <v>846</v>
      </c>
      <c r="I8" s="216">
        <v>1530</v>
      </c>
      <c r="J8" s="216">
        <f t="shared" si="4"/>
        <v>28305</v>
      </c>
      <c r="K8" s="216"/>
      <c r="L8" s="216">
        <f t="shared" si="5"/>
        <v>0</v>
      </c>
      <c r="M8" s="216"/>
      <c r="N8" s="217">
        <f t="shared" si="6"/>
        <v>0</v>
      </c>
      <c r="O8" s="216"/>
      <c r="P8" s="217">
        <f t="shared" si="7"/>
        <v>0</v>
      </c>
      <c r="Q8" s="217"/>
      <c r="R8" s="217">
        <f t="shared" si="8"/>
        <v>0</v>
      </c>
      <c r="S8" s="216"/>
      <c r="T8" s="216">
        <f t="shared" si="9"/>
        <v>0</v>
      </c>
      <c r="U8" s="216"/>
      <c r="V8" s="216">
        <f t="shared" si="10"/>
        <v>0</v>
      </c>
      <c r="W8" s="216"/>
      <c r="X8" s="19">
        <f t="shared" si="11"/>
        <v>0</v>
      </c>
      <c r="Y8" s="89">
        <f t="shared" si="0"/>
        <v>60377.002500000002</v>
      </c>
    </row>
    <row r="9" spans="1:25" ht="38.25" customHeight="1" x14ac:dyDescent="0.25">
      <c r="A9" s="12">
        <v>1409935199</v>
      </c>
      <c r="B9" s="213" t="s">
        <v>75</v>
      </c>
      <c r="C9" s="216">
        <v>27575</v>
      </c>
      <c r="D9" s="217">
        <f t="shared" si="1"/>
        <v>26816.6875</v>
      </c>
      <c r="E9" s="216"/>
      <c r="F9" s="216">
        <f t="shared" si="2"/>
        <v>0</v>
      </c>
      <c r="G9" s="216"/>
      <c r="H9" s="216">
        <f t="shared" si="3"/>
        <v>0</v>
      </c>
      <c r="I9" s="216">
        <v>8160</v>
      </c>
      <c r="J9" s="216">
        <f t="shared" si="4"/>
        <v>150960</v>
      </c>
      <c r="K9" s="216"/>
      <c r="L9" s="216">
        <f t="shared" si="5"/>
        <v>0</v>
      </c>
      <c r="M9" s="216"/>
      <c r="N9" s="217">
        <f t="shared" si="6"/>
        <v>0</v>
      </c>
      <c r="O9" s="216"/>
      <c r="P9" s="217">
        <f t="shared" si="7"/>
        <v>0</v>
      </c>
      <c r="Q9" s="217"/>
      <c r="R9" s="217">
        <f t="shared" si="8"/>
        <v>0</v>
      </c>
      <c r="S9" s="216"/>
      <c r="T9" s="216">
        <f t="shared" si="9"/>
        <v>0</v>
      </c>
      <c r="U9" s="216"/>
      <c r="V9" s="216">
        <f t="shared" si="10"/>
        <v>0</v>
      </c>
      <c r="W9" s="216"/>
      <c r="X9" s="19">
        <f t="shared" si="11"/>
        <v>0</v>
      </c>
      <c r="Y9" s="89">
        <f t="shared" si="0"/>
        <v>177776.6875</v>
      </c>
    </row>
    <row r="10" spans="1:25" ht="35.25" customHeight="1" x14ac:dyDescent="0.25">
      <c r="A10" s="12">
        <v>1984225580</v>
      </c>
      <c r="C10" s="216"/>
      <c r="D10" s="217">
        <f t="shared" si="1"/>
        <v>0</v>
      </c>
      <c r="E10" s="216"/>
      <c r="F10" s="216">
        <f t="shared" si="2"/>
        <v>0</v>
      </c>
      <c r="G10" s="216"/>
      <c r="H10" s="216">
        <f t="shared" si="3"/>
        <v>0</v>
      </c>
      <c r="I10" s="216"/>
      <c r="J10" s="216">
        <f t="shared" si="4"/>
        <v>0</v>
      </c>
      <c r="K10" s="216"/>
      <c r="L10" s="216">
        <f t="shared" si="5"/>
        <v>0</v>
      </c>
      <c r="M10" s="216"/>
      <c r="N10" s="217">
        <f t="shared" si="6"/>
        <v>0</v>
      </c>
      <c r="O10" s="216"/>
      <c r="P10" s="217">
        <f t="shared" si="7"/>
        <v>0</v>
      </c>
      <c r="Q10" s="217"/>
      <c r="R10" s="217">
        <f t="shared" si="8"/>
        <v>0</v>
      </c>
      <c r="S10" s="216"/>
      <c r="T10" s="216">
        <f t="shared" si="9"/>
        <v>0</v>
      </c>
      <c r="U10" s="216"/>
      <c r="V10" s="216">
        <f t="shared" si="10"/>
        <v>0</v>
      </c>
      <c r="W10" s="216"/>
      <c r="X10" s="19">
        <f t="shared" si="11"/>
        <v>0</v>
      </c>
      <c r="Y10" s="89">
        <f t="shared" si="0"/>
        <v>0</v>
      </c>
    </row>
    <row r="11" spans="1:25" ht="37.5" customHeight="1" x14ac:dyDescent="0.25">
      <c r="A11" s="12"/>
      <c r="B11" s="215"/>
      <c r="C11" s="216"/>
      <c r="D11" s="22">
        <f t="shared" si="1"/>
        <v>0</v>
      </c>
      <c r="E11" s="216"/>
      <c r="F11" s="216">
        <f t="shared" si="2"/>
        <v>0</v>
      </c>
      <c r="G11" s="216"/>
      <c r="H11" s="216">
        <f t="shared" si="3"/>
        <v>0</v>
      </c>
      <c r="I11" s="216"/>
      <c r="J11" s="216">
        <f t="shared" si="4"/>
        <v>0</v>
      </c>
      <c r="K11" s="216"/>
      <c r="L11" s="216">
        <f t="shared" si="5"/>
        <v>0</v>
      </c>
      <c r="M11" s="216"/>
      <c r="N11" s="217">
        <f t="shared" si="6"/>
        <v>0</v>
      </c>
      <c r="O11" s="216"/>
      <c r="P11" s="217">
        <f t="shared" si="7"/>
        <v>0</v>
      </c>
      <c r="Q11" s="217"/>
      <c r="R11" s="217">
        <f t="shared" si="8"/>
        <v>0</v>
      </c>
      <c r="S11" s="216"/>
      <c r="T11" s="216">
        <f t="shared" si="9"/>
        <v>0</v>
      </c>
      <c r="U11" s="216"/>
      <c r="V11" s="216">
        <f t="shared" si="10"/>
        <v>0</v>
      </c>
      <c r="W11" s="216"/>
      <c r="X11" s="19">
        <f t="shared" si="11"/>
        <v>0</v>
      </c>
      <c r="Y11" s="20">
        <f t="shared" si="0"/>
        <v>0</v>
      </c>
    </row>
    <row r="12" spans="1:25" ht="29.25" customHeight="1" x14ac:dyDescent="0.25">
      <c r="A12" s="2235" t="s">
        <v>31</v>
      </c>
      <c r="B12" s="2235"/>
      <c r="C12" s="18">
        <f t="shared" ref="C12:Y12" si="12">SUM(C6:C11)</f>
        <v>150813</v>
      </c>
      <c r="D12" s="18">
        <f t="shared" si="12"/>
        <v>146665.64250000002</v>
      </c>
      <c r="E12" s="18">
        <f t="shared" si="12"/>
        <v>0</v>
      </c>
      <c r="F12" s="18">
        <f t="shared" si="12"/>
        <v>0</v>
      </c>
      <c r="G12" s="18">
        <f t="shared" si="12"/>
        <v>70</v>
      </c>
      <c r="H12" s="18">
        <f t="shared" si="12"/>
        <v>1974</v>
      </c>
      <c r="I12" s="18">
        <f t="shared" si="12"/>
        <v>13690</v>
      </c>
      <c r="J12" s="18">
        <f t="shared" si="12"/>
        <v>253265</v>
      </c>
      <c r="K12" s="18">
        <f t="shared" si="12"/>
        <v>0</v>
      </c>
      <c r="L12" s="18">
        <f t="shared" si="12"/>
        <v>0</v>
      </c>
      <c r="M12" s="18">
        <f t="shared" si="12"/>
        <v>0</v>
      </c>
      <c r="N12" s="23">
        <f t="shared" si="12"/>
        <v>0</v>
      </c>
      <c r="O12" s="18">
        <f t="shared" si="12"/>
        <v>0</v>
      </c>
      <c r="P12" s="23">
        <f t="shared" si="12"/>
        <v>0</v>
      </c>
      <c r="Q12" s="23">
        <f t="shared" si="12"/>
        <v>0</v>
      </c>
      <c r="R12" s="23">
        <f>SUM(R6:R11)</f>
        <v>0</v>
      </c>
      <c r="S12" s="18">
        <f t="shared" si="12"/>
        <v>0</v>
      </c>
      <c r="T12" s="18">
        <f t="shared" si="12"/>
        <v>0</v>
      </c>
      <c r="U12" s="18">
        <f t="shared" si="12"/>
        <v>0</v>
      </c>
      <c r="V12" s="18">
        <f t="shared" si="12"/>
        <v>0</v>
      </c>
      <c r="W12" s="18">
        <f t="shared" si="12"/>
        <v>0</v>
      </c>
      <c r="X12" s="18">
        <f t="shared" si="12"/>
        <v>0</v>
      </c>
      <c r="Y12" s="18">
        <f t="shared" si="12"/>
        <v>401904.64250000002</v>
      </c>
    </row>
    <row r="14" spans="1:25" ht="41.25" customHeight="1" x14ac:dyDescent="0.25">
      <c r="A14" s="30" t="s">
        <v>32</v>
      </c>
      <c r="B14" s="2236" t="s">
        <v>27</v>
      </c>
      <c r="C14" s="2236"/>
      <c r="D14" s="30" t="s">
        <v>33</v>
      </c>
      <c r="E14" s="30" t="s">
        <v>65</v>
      </c>
      <c r="F14" s="30" t="s">
        <v>34</v>
      </c>
      <c r="G14" s="30" t="s">
        <v>13</v>
      </c>
      <c r="H14" s="142" t="s">
        <v>173</v>
      </c>
      <c r="I14" s="30" t="s">
        <v>17</v>
      </c>
      <c r="J14" s="221" t="s">
        <v>174</v>
      </c>
      <c r="K14" s="30" t="s">
        <v>36</v>
      </c>
      <c r="L14" s="30" t="s">
        <v>175</v>
      </c>
      <c r="M14" s="30" t="s">
        <v>69</v>
      </c>
      <c r="N14" s="30" t="s">
        <v>70</v>
      </c>
      <c r="O14" s="221" t="s">
        <v>114</v>
      </c>
      <c r="P14" s="221" t="s">
        <v>99</v>
      </c>
      <c r="Q14" s="2272"/>
      <c r="R14" s="2272"/>
      <c r="S14" s="221"/>
      <c r="T14" s="2235" t="s">
        <v>46</v>
      </c>
      <c r="U14" s="213" t="s">
        <v>176</v>
      </c>
      <c r="V14" s="2260">
        <v>63</v>
      </c>
      <c r="W14" s="2268"/>
      <c r="X14" s="2261"/>
    </row>
    <row r="15" spans="1:25" ht="22.5" customHeight="1" x14ac:dyDescent="0.25">
      <c r="A15" s="100" t="s">
        <v>38</v>
      </c>
      <c r="B15" s="2260">
        <v>355422</v>
      </c>
      <c r="C15" s="2261"/>
      <c r="D15" s="218">
        <v>0</v>
      </c>
      <c r="E15" s="218">
        <v>90</v>
      </c>
      <c r="F15" s="218">
        <v>14350</v>
      </c>
      <c r="G15" s="218">
        <v>0</v>
      </c>
      <c r="H15" s="218">
        <v>57</v>
      </c>
      <c r="I15" s="218">
        <v>0</v>
      </c>
      <c r="J15" s="218">
        <v>94</v>
      </c>
      <c r="K15" s="218">
        <v>47</v>
      </c>
      <c r="L15" s="218">
        <v>663</v>
      </c>
      <c r="M15" s="218">
        <v>0</v>
      </c>
      <c r="N15" s="218">
        <v>100</v>
      </c>
      <c r="O15" s="218">
        <v>0</v>
      </c>
      <c r="P15" s="218">
        <v>417</v>
      </c>
      <c r="Q15" s="2262">
        <v>0</v>
      </c>
      <c r="R15" s="2262"/>
      <c r="S15" s="213">
        <v>0</v>
      </c>
      <c r="T15" s="2235"/>
      <c r="U15" s="213" t="s">
        <v>64</v>
      </c>
      <c r="V15" s="2262">
        <v>9022</v>
      </c>
      <c r="W15" s="2262"/>
      <c r="X15" s="2262"/>
    </row>
    <row r="16" spans="1:25" ht="24.75" customHeight="1" x14ac:dyDescent="0.25">
      <c r="A16" s="100" t="s">
        <v>39</v>
      </c>
      <c r="B16" s="2260"/>
      <c r="C16" s="2261"/>
      <c r="D16" s="218"/>
      <c r="E16" s="218"/>
      <c r="F16" s="218"/>
      <c r="G16" s="218"/>
      <c r="H16" s="218"/>
      <c r="I16" s="218"/>
      <c r="J16" s="218"/>
      <c r="K16" s="218"/>
      <c r="L16" s="218">
        <v>10</v>
      </c>
      <c r="M16" s="218"/>
      <c r="N16" s="218"/>
      <c r="O16" s="218"/>
      <c r="P16" s="218"/>
      <c r="Q16" s="2225"/>
      <c r="R16" s="2225"/>
      <c r="S16" s="218"/>
      <c r="T16" s="2254" t="s">
        <v>55</v>
      </c>
      <c r="U16" s="2254"/>
      <c r="V16" s="2267">
        <f>Y12</f>
        <v>401904.64250000002</v>
      </c>
      <c r="W16" s="2267"/>
      <c r="X16" s="2262"/>
    </row>
    <row r="17" spans="1:25" ht="28.5" customHeight="1" x14ac:dyDescent="0.25">
      <c r="A17" s="101" t="s">
        <v>44</v>
      </c>
      <c r="B17" s="2260"/>
      <c r="C17" s="2261"/>
      <c r="D17" s="218"/>
      <c r="E17" s="218"/>
      <c r="F17" s="218"/>
      <c r="G17" s="218"/>
      <c r="H17" s="218"/>
      <c r="I17" s="218"/>
      <c r="J17" s="218"/>
      <c r="K17" s="218"/>
      <c r="L17" s="218"/>
      <c r="M17" s="218"/>
      <c r="N17" s="218"/>
      <c r="O17" s="218"/>
      <c r="P17" s="218"/>
      <c r="Q17" s="2225"/>
      <c r="R17" s="2225"/>
      <c r="S17" s="215"/>
      <c r="T17" s="2273" t="s">
        <v>250</v>
      </c>
      <c r="U17" s="2274"/>
      <c r="V17" s="2262"/>
      <c r="W17" s="2262"/>
      <c r="X17" s="2262"/>
    </row>
    <row r="18" spans="1:25" ht="27" customHeight="1" x14ac:dyDescent="0.25">
      <c r="A18" s="100" t="s">
        <v>40</v>
      </c>
      <c r="B18" s="2264">
        <f>C12</f>
        <v>150813</v>
      </c>
      <c r="C18" s="2261"/>
      <c r="D18" s="219">
        <f>E12</f>
        <v>0</v>
      </c>
      <c r="E18" s="219">
        <f>G12</f>
        <v>70</v>
      </c>
      <c r="F18" s="219">
        <f>I12</f>
        <v>13690</v>
      </c>
      <c r="G18" s="219">
        <f>K12</f>
        <v>0</v>
      </c>
      <c r="H18" s="218">
        <v>10</v>
      </c>
      <c r="I18" s="219">
        <f>U12</f>
        <v>0</v>
      </c>
      <c r="J18" s="218"/>
      <c r="K18" s="219">
        <f>W12</f>
        <v>0</v>
      </c>
      <c r="L18" s="218"/>
      <c r="M18" s="219">
        <f>M12</f>
        <v>0</v>
      </c>
      <c r="N18" s="219">
        <f>O12</f>
        <v>0</v>
      </c>
      <c r="O18" s="220">
        <f>Q12</f>
        <v>0</v>
      </c>
      <c r="P18" s="218"/>
      <c r="Q18" s="2262"/>
      <c r="R18" s="2262"/>
      <c r="S18" s="213"/>
      <c r="T18" s="2254" t="s">
        <v>57</v>
      </c>
      <c r="U18" s="2254"/>
      <c r="V18" s="2262">
        <f>500+850+1625+500+7000+1120+1624</f>
        <v>13219</v>
      </c>
      <c r="W18" s="2262"/>
      <c r="X18" s="2262"/>
      <c r="Y18" s="2269" t="s">
        <v>246</v>
      </c>
    </row>
    <row r="19" spans="1:25" ht="25.5" customHeight="1" x14ac:dyDescent="0.25">
      <c r="A19" s="100" t="s">
        <v>41</v>
      </c>
      <c r="B19" s="2260">
        <f>B15+B16+B17-B18</f>
        <v>204609</v>
      </c>
      <c r="C19" s="2261"/>
      <c r="D19" s="218">
        <f>D15+D16+D17-D18</f>
        <v>0</v>
      </c>
      <c r="E19" s="218">
        <f t="shared" ref="E19:N19" si="13">E15+E16+E17-E18</f>
        <v>20</v>
      </c>
      <c r="F19" s="218">
        <f t="shared" si="13"/>
        <v>660</v>
      </c>
      <c r="G19" s="218">
        <f t="shared" si="13"/>
        <v>0</v>
      </c>
      <c r="H19" s="218">
        <f t="shared" si="13"/>
        <v>47</v>
      </c>
      <c r="I19" s="218">
        <f t="shared" si="13"/>
        <v>0</v>
      </c>
      <c r="J19" s="218">
        <f t="shared" si="13"/>
        <v>94</v>
      </c>
      <c r="K19" s="218">
        <f t="shared" si="13"/>
        <v>47</v>
      </c>
      <c r="L19" s="218">
        <f t="shared" si="13"/>
        <v>673</v>
      </c>
      <c r="M19" s="218">
        <f t="shared" si="13"/>
        <v>0</v>
      </c>
      <c r="N19" s="218">
        <f t="shared" si="13"/>
        <v>100</v>
      </c>
      <c r="O19" s="218">
        <f>O15+O16+O17-O18</f>
        <v>0</v>
      </c>
      <c r="P19" s="218">
        <f>P15+P16+P17-P18</f>
        <v>417</v>
      </c>
      <c r="Q19" s="2260">
        <f t="shared" ref="Q19" si="14">Q15+Q16+Q17-Q18</f>
        <v>0</v>
      </c>
      <c r="R19" s="2261"/>
      <c r="S19" s="213">
        <f>S15+S16-S17-S18</f>
        <v>0</v>
      </c>
      <c r="T19" s="2256" t="s">
        <v>48</v>
      </c>
      <c r="U19" s="49" t="s">
        <v>58</v>
      </c>
      <c r="V19" s="2262"/>
      <c r="W19" s="2262"/>
      <c r="X19" s="2262"/>
      <c r="Y19" s="2269"/>
    </row>
    <row r="20" spans="1:25" ht="23.25" customHeight="1" x14ac:dyDescent="0.25">
      <c r="A20" s="210" t="s">
        <v>187</v>
      </c>
      <c r="B20" s="2284">
        <f>B19*0.9625</f>
        <v>196936.16250000001</v>
      </c>
      <c r="C20" s="2285"/>
      <c r="D20" s="211">
        <f>D19*13.56</f>
        <v>0</v>
      </c>
      <c r="E20" s="211">
        <f>28.2*E19</f>
        <v>564</v>
      </c>
      <c r="F20" s="211">
        <f>18.31*F19</f>
        <v>12084.599999999999</v>
      </c>
      <c r="G20" s="211">
        <f>19.3*G19</f>
        <v>0</v>
      </c>
      <c r="H20" s="211">
        <f>241*H19</f>
        <v>11327</v>
      </c>
      <c r="I20" s="211">
        <f>223*I19</f>
        <v>0</v>
      </c>
      <c r="J20" s="211">
        <f>241*J19</f>
        <v>22654</v>
      </c>
      <c r="K20" s="211">
        <f>K19*100</f>
        <v>4700</v>
      </c>
      <c r="L20" s="211">
        <f>241*L19</f>
        <v>162193</v>
      </c>
      <c r="M20" s="211">
        <f>9.65*M19</f>
        <v>0</v>
      </c>
      <c r="N20" s="211">
        <f>N19*48.2</f>
        <v>4820</v>
      </c>
      <c r="O20" s="211">
        <f>241*O19</f>
        <v>0</v>
      </c>
      <c r="P20" s="211">
        <f>241*P19</f>
        <v>100497</v>
      </c>
      <c r="Q20" s="2284">
        <f>241*Q19</f>
        <v>0</v>
      </c>
      <c r="R20" s="2285"/>
      <c r="S20" s="211">
        <f>241*S19</f>
        <v>0</v>
      </c>
      <c r="T20" s="2257"/>
      <c r="U20" s="49" t="s">
        <v>59</v>
      </c>
      <c r="V20" s="2262"/>
      <c r="W20" s="2262"/>
      <c r="X20" s="2262"/>
      <c r="Y20" s="2269"/>
    </row>
    <row r="21" spans="1:25" ht="32.25" customHeight="1" x14ac:dyDescent="0.25">
      <c r="A21" s="143" t="s">
        <v>186</v>
      </c>
      <c r="B21" s="2283">
        <f>SUM(B20:S20)</f>
        <v>515775.76250000001</v>
      </c>
      <c r="C21" s="2283"/>
      <c r="O21" s="222"/>
      <c r="P21" s="222"/>
      <c r="Q21" s="222"/>
      <c r="R21" s="222"/>
      <c r="T21" s="2273" t="s">
        <v>167</v>
      </c>
      <c r="U21" s="2274"/>
      <c r="V21" s="2260"/>
      <c r="W21" s="2268"/>
      <c r="X21" s="2261"/>
      <c r="Y21" s="2269"/>
    </row>
    <row r="22" spans="1:25" ht="35.25" customHeight="1" x14ac:dyDescent="0.25">
      <c r="A22" s="15"/>
      <c r="B22" s="2275" t="s">
        <v>49</v>
      </c>
      <c r="C22" s="2265">
        <v>564650</v>
      </c>
      <c r="D22" s="2265"/>
      <c r="E22" s="2265"/>
      <c r="F22" s="2265">
        <f>C22-D22+E22</f>
        <v>564650</v>
      </c>
      <c r="G22" s="222"/>
      <c r="Q22" s="222"/>
      <c r="R22" s="222"/>
      <c r="T22" s="2251" t="s">
        <v>83</v>
      </c>
      <c r="U22" s="50" t="s">
        <v>60</v>
      </c>
      <c r="V22" s="2262"/>
      <c r="W22" s="2262"/>
      <c r="X22" s="2262"/>
      <c r="Y22" s="2269"/>
    </row>
    <row r="23" spans="1:25" ht="39.75" customHeight="1" x14ac:dyDescent="0.25">
      <c r="A23" s="222"/>
      <c r="B23" s="2276"/>
      <c r="C23" s="2266"/>
      <c r="D23" s="2266"/>
      <c r="E23" s="2266"/>
      <c r="F23" s="2266"/>
      <c r="G23" s="222"/>
      <c r="Q23" s="222"/>
      <c r="R23" s="222"/>
      <c r="T23" s="2252"/>
      <c r="U23" s="50" t="s">
        <v>61</v>
      </c>
      <c r="V23" s="2262"/>
      <c r="W23" s="2262"/>
      <c r="X23" s="2262"/>
      <c r="Y23" s="2269"/>
    </row>
    <row r="24" spans="1:25" ht="48" customHeight="1" x14ac:dyDescent="0.25">
      <c r="A24" s="222"/>
      <c r="B24" s="2277"/>
      <c r="C24" s="213" t="s">
        <v>46</v>
      </c>
      <c r="D24" s="213" t="s">
        <v>50</v>
      </c>
      <c r="E24" s="213" t="s">
        <v>51</v>
      </c>
      <c r="F24" s="213" t="s">
        <v>52</v>
      </c>
      <c r="G24" s="222"/>
      <c r="Q24" s="222"/>
      <c r="R24" s="222"/>
      <c r="T24" s="2235" t="s">
        <v>47</v>
      </c>
      <c r="U24" s="51" t="s">
        <v>62</v>
      </c>
      <c r="V24" s="2263">
        <f>V14+V16+V17-V18-V19-V20-V22+V23-V21</f>
        <v>388748.64250000002</v>
      </c>
      <c r="W24" s="2263"/>
      <c r="X24" s="2263"/>
      <c r="Y24" s="2269"/>
    </row>
    <row r="25" spans="1:25" ht="40.5" customHeight="1" x14ac:dyDescent="0.25">
      <c r="T25" s="2235"/>
      <c r="U25" s="51" t="s">
        <v>63</v>
      </c>
      <c r="V25" s="2262">
        <f>V15+V22-V23</f>
        <v>9022</v>
      </c>
      <c r="W25" s="2262"/>
      <c r="X25" s="2262"/>
    </row>
    <row r="26" spans="1:25" ht="36" customHeight="1" x14ac:dyDescent="0.25"/>
    <row r="32" spans="1:25" x14ac:dyDescent="0.25">
      <c r="I32" s="2280"/>
      <c r="J32" s="2280"/>
      <c r="K32" s="2280"/>
      <c r="L32" s="2280"/>
    </row>
    <row r="33" spans="9:12" x14ac:dyDescent="0.25">
      <c r="I33" s="222"/>
      <c r="J33" s="222"/>
      <c r="K33" s="2280"/>
      <c r="L33" s="2280"/>
    </row>
  </sheetData>
  <mergeCells count="62">
    <mergeCell ref="I32:J32"/>
    <mergeCell ref="K32:L32"/>
    <mergeCell ref="K33:L33"/>
    <mergeCell ref="T22:T23"/>
    <mergeCell ref="V22:X22"/>
    <mergeCell ref="V23:X23"/>
    <mergeCell ref="T24:T25"/>
    <mergeCell ref="V24:X24"/>
    <mergeCell ref="V25:X25"/>
    <mergeCell ref="Y18:Y24"/>
    <mergeCell ref="B19:C19"/>
    <mergeCell ref="Q19:R19"/>
    <mergeCell ref="T19:T20"/>
    <mergeCell ref="V19:X19"/>
    <mergeCell ref="B20:C20"/>
    <mergeCell ref="B22:B24"/>
    <mergeCell ref="C22:C23"/>
    <mergeCell ref="D22:D23"/>
    <mergeCell ref="E22:E23"/>
    <mergeCell ref="F22:F23"/>
    <mergeCell ref="Q20:R20"/>
    <mergeCell ref="V20:X20"/>
    <mergeCell ref="B21:C21"/>
    <mergeCell ref="T21:U21"/>
    <mergeCell ref="V21:X21"/>
    <mergeCell ref="B17:C17"/>
    <mergeCell ref="Q17:R17"/>
    <mergeCell ref="T17:U17"/>
    <mergeCell ref="V17:X17"/>
    <mergeCell ref="B18:C18"/>
    <mergeCell ref="Q18:R18"/>
    <mergeCell ref="T18:U18"/>
    <mergeCell ref="V18:X18"/>
    <mergeCell ref="W4:X4"/>
    <mergeCell ref="B16:C16"/>
    <mergeCell ref="Q16:R16"/>
    <mergeCell ref="T16:U16"/>
    <mergeCell ref="V16:X16"/>
    <mergeCell ref="A12:B12"/>
    <mergeCell ref="B14:C14"/>
    <mergeCell ref="Q14:R14"/>
    <mergeCell ref="T14:T15"/>
    <mergeCell ref="V14:X14"/>
    <mergeCell ref="B15:C15"/>
    <mergeCell ref="Q15:R15"/>
    <mergeCell ref="V15:X15"/>
    <mergeCell ref="A1:Y1"/>
    <mergeCell ref="A2:Y2"/>
    <mergeCell ref="T3:Y3"/>
    <mergeCell ref="A4:A5"/>
    <mergeCell ref="B4:B5"/>
    <mergeCell ref="C4:D4"/>
    <mergeCell ref="E4:F4"/>
    <mergeCell ref="G4:H4"/>
    <mergeCell ref="I4:J4"/>
    <mergeCell ref="K4:L4"/>
    <mergeCell ref="Y4:Y5"/>
    <mergeCell ref="M4:N4"/>
    <mergeCell ref="O4:P4"/>
    <mergeCell ref="Q4:R4"/>
    <mergeCell ref="S4:T4"/>
    <mergeCell ref="U4:V4"/>
  </mergeCells>
  <pageMargins left="0.15748031496063" right="0.15748031496063" top="0" bottom="0" header="0" footer="0"/>
  <pageSetup paperSize="9" scale="47" orientation="landscape" r:id="rId1"/>
  <legacyDrawing r:id="rId2"/>
</worksheet>
</file>

<file path=xl/worksheets/sheet8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BC0DEF8-D818-49C3-9C67-3524B2A26C56}">
  <sheetPr>
    <pageSetUpPr fitToPage="1"/>
  </sheetPr>
  <dimension ref="A1:Y33"/>
  <sheetViews>
    <sheetView topLeftCell="A3" zoomScale="71" zoomScaleNormal="71" zoomScaleSheetLayoutView="100" workbookViewId="0">
      <selection activeCell="P24" sqref="P24"/>
    </sheetView>
  </sheetViews>
  <sheetFormatPr defaultColWidth="9.140625" defaultRowHeight="15" x14ac:dyDescent="0.25"/>
  <cols>
    <col min="1" max="1" width="18.28515625" style="14" customWidth="1"/>
    <col min="2" max="2" width="10.7109375" style="14" customWidth="1"/>
    <col min="3" max="3" width="12.28515625" style="14" customWidth="1"/>
    <col min="4" max="4" width="11" style="14" customWidth="1"/>
    <col min="5" max="5" width="12" style="14" customWidth="1"/>
    <col min="6" max="6" width="12.5703125" style="14" bestFit="1" customWidth="1"/>
    <col min="7" max="7" width="9.28515625" style="14" bestFit="1" customWidth="1"/>
    <col min="8" max="8" width="10.140625" style="14" bestFit="1" customWidth="1"/>
    <col min="9" max="9" width="10.5703125" style="14" bestFit="1" customWidth="1"/>
    <col min="10" max="10" width="10.5703125" style="14" customWidth="1"/>
    <col min="11" max="11" width="10.28515625" style="14" bestFit="1" customWidth="1"/>
    <col min="12" max="12" width="10.42578125" style="14" bestFit="1" customWidth="1"/>
    <col min="13" max="13" width="9.85546875" style="14" bestFit="1" customWidth="1"/>
    <col min="14" max="14" width="10.140625" style="14" bestFit="1" customWidth="1"/>
    <col min="15" max="15" width="9" style="14" customWidth="1"/>
    <col min="16" max="16" width="12.85546875" style="14" bestFit="1" customWidth="1"/>
    <col min="17" max="18" width="9.42578125" style="14" customWidth="1"/>
    <col min="19" max="19" width="13.7109375" style="14" customWidth="1"/>
    <col min="20" max="20" width="12.140625" style="14" customWidth="1"/>
    <col min="21" max="21" width="19.5703125" style="14" bestFit="1" customWidth="1"/>
    <col min="22" max="22" width="9.85546875" style="14" customWidth="1"/>
    <col min="23" max="23" width="10.140625" style="14" bestFit="1" customWidth="1"/>
    <col min="24" max="24" width="10.28515625" style="14" customWidth="1"/>
    <col min="25" max="25" width="28" style="14" customWidth="1"/>
    <col min="26" max="16384" width="9.140625" style="14"/>
  </cols>
  <sheetData>
    <row r="1" spans="1:25" ht="46.15" customHeight="1" x14ac:dyDescent="0.25">
      <c r="A1" s="2240" t="s">
        <v>148</v>
      </c>
      <c r="B1" s="2240"/>
      <c r="C1" s="2240"/>
      <c r="D1" s="2240"/>
      <c r="E1" s="2240"/>
      <c r="F1" s="2240"/>
      <c r="G1" s="2240"/>
      <c r="H1" s="2240"/>
      <c r="I1" s="2240"/>
      <c r="J1" s="2240"/>
      <c r="K1" s="2240"/>
      <c r="L1" s="2240"/>
      <c r="M1" s="2240"/>
      <c r="N1" s="2240"/>
      <c r="O1" s="2240"/>
      <c r="P1" s="2240"/>
      <c r="Q1" s="2240"/>
      <c r="R1" s="2240"/>
      <c r="S1" s="2240"/>
      <c r="T1" s="2240"/>
      <c r="U1" s="2240"/>
      <c r="V1" s="2240"/>
      <c r="W1" s="2240"/>
      <c r="X1" s="2240"/>
      <c r="Y1" s="2240"/>
    </row>
    <row r="2" spans="1:25" ht="21.6" customHeight="1" x14ac:dyDescent="0.25">
      <c r="A2" s="2241" t="s">
        <v>77</v>
      </c>
      <c r="B2" s="2241"/>
      <c r="C2" s="2241"/>
      <c r="D2" s="2241"/>
      <c r="E2" s="2241"/>
      <c r="F2" s="2241"/>
      <c r="G2" s="2241"/>
      <c r="H2" s="2241"/>
      <c r="I2" s="2241"/>
      <c r="J2" s="2241"/>
      <c r="K2" s="2241"/>
      <c r="L2" s="2241"/>
      <c r="M2" s="2241"/>
      <c r="N2" s="2241"/>
      <c r="O2" s="2241"/>
      <c r="P2" s="2241"/>
      <c r="Q2" s="2241"/>
      <c r="R2" s="2241"/>
      <c r="S2" s="2241"/>
      <c r="T2" s="2241"/>
      <c r="U2" s="2241"/>
      <c r="V2" s="2241"/>
      <c r="W2" s="2241"/>
      <c r="X2" s="2241"/>
      <c r="Y2" s="2241"/>
    </row>
    <row r="3" spans="1:25" ht="21" customHeight="1" x14ac:dyDescent="0.25">
      <c r="A3" s="212"/>
      <c r="B3" s="212"/>
      <c r="C3" s="212"/>
      <c r="D3" s="212"/>
      <c r="E3" s="212"/>
      <c r="F3" s="212"/>
      <c r="G3" s="212"/>
      <c r="H3" s="212"/>
      <c r="I3" s="212"/>
      <c r="J3" s="212"/>
      <c r="K3" s="212"/>
      <c r="L3" s="212"/>
      <c r="M3" s="212"/>
      <c r="N3" s="212"/>
      <c r="O3" s="212"/>
      <c r="P3" s="212"/>
      <c r="Q3" s="212"/>
      <c r="R3" s="212"/>
      <c r="S3" s="212"/>
      <c r="T3" s="2242" t="s">
        <v>253</v>
      </c>
      <c r="U3" s="2242"/>
      <c r="V3" s="2242"/>
      <c r="W3" s="2242"/>
      <c r="X3" s="2242"/>
      <c r="Y3" s="2242"/>
    </row>
    <row r="4" spans="1:25" s="212" customFormat="1" ht="18" customHeight="1" x14ac:dyDescent="0.25">
      <c r="A4" s="2243" t="s">
        <v>25</v>
      </c>
      <c r="B4" s="2243" t="s">
        <v>26</v>
      </c>
      <c r="C4" s="2244" t="s">
        <v>27</v>
      </c>
      <c r="D4" s="2244"/>
      <c r="E4" s="2244" t="s">
        <v>28</v>
      </c>
      <c r="F4" s="2244"/>
      <c r="G4" s="2244" t="s">
        <v>65</v>
      </c>
      <c r="H4" s="2244"/>
      <c r="I4" s="2244" t="s">
        <v>29</v>
      </c>
      <c r="J4" s="2244"/>
      <c r="K4" s="2245" t="s">
        <v>13</v>
      </c>
      <c r="L4" s="2246"/>
      <c r="M4" s="2245" t="s">
        <v>67</v>
      </c>
      <c r="N4" s="2246"/>
      <c r="O4" s="2245" t="s">
        <v>68</v>
      </c>
      <c r="P4" s="2246"/>
      <c r="Q4" s="2245" t="s">
        <v>114</v>
      </c>
      <c r="R4" s="2246"/>
      <c r="S4" s="2244" t="s">
        <v>35</v>
      </c>
      <c r="T4" s="2244"/>
      <c r="U4" s="2245" t="s">
        <v>17</v>
      </c>
      <c r="V4" s="2246"/>
      <c r="W4" s="2247" t="s">
        <v>36</v>
      </c>
      <c r="X4" s="2248"/>
      <c r="Y4" s="2238" t="s">
        <v>30</v>
      </c>
    </row>
    <row r="5" spans="1:25" s="212" customFormat="1" ht="25.5" customHeight="1" x14ac:dyDescent="0.25">
      <c r="A5" s="2243"/>
      <c r="B5" s="2243"/>
      <c r="C5" s="214" t="s">
        <v>42</v>
      </c>
      <c r="D5" s="214" t="s">
        <v>43</v>
      </c>
      <c r="E5" s="214" t="s">
        <v>42</v>
      </c>
      <c r="F5" s="214" t="s">
        <v>43</v>
      </c>
      <c r="G5" s="214" t="s">
        <v>42</v>
      </c>
      <c r="H5" s="214" t="s">
        <v>43</v>
      </c>
      <c r="I5" s="214" t="s">
        <v>42</v>
      </c>
      <c r="J5" s="214" t="s">
        <v>43</v>
      </c>
      <c r="K5" s="214" t="s">
        <v>42</v>
      </c>
      <c r="L5" s="214" t="s">
        <v>43</v>
      </c>
      <c r="M5" s="214" t="s">
        <v>42</v>
      </c>
      <c r="N5" s="214" t="s">
        <v>43</v>
      </c>
      <c r="O5" s="214" t="s">
        <v>42</v>
      </c>
      <c r="P5" s="214" t="s">
        <v>43</v>
      </c>
      <c r="Q5" s="214" t="s">
        <v>42</v>
      </c>
      <c r="R5" s="214" t="s">
        <v>43</v>
      </c>
      <c r="S5" s="33" t="s">
        <v>42</v>
      </c>
      <c r="T5" s="33" t="s">
        <v>43</v>
      </c>
      <c r="U5" s="30" t="s">
        <v>42</v>
      </c>
      <c r="V5" s="30" t="s">
        <v>43</v>
      </c>
      <c r="W5" s="30" t="s">
        <v>42</v>
      </c>
      <c r="X5" s="30" t="s">
        <v>43</v>
      </c>
      <c r="Y5" s="2239"/>
    </row>
    <row r="6" spans="1:25" ht="34.5" customHeight="1" x14ac:dyDescent="0.25">
      <c r="A6" s="12">
        <v>1409935200</v>
      </c>
      <c r="B6" s="213" t="s">
        <v>71</v>
      </c>
      <c r="C6" s="216">
        <v>55673</v>
      </c>
      <c r="D6" s="217">
        <f>0.9725*C6</f>
        <v>54141.9925</v>
      </c>
      <c r="E6" s="216"/>
      <c r="F6" s="216">
        <f>13.7*E6</f>
        <v>0</v>
      </c>
      <c r="G6" s="216"/>
      <c r="H6" s="216">
        <f>28.2*G6</f>
        <v>0</v>
      </c>
      <c r="I6" s="216"/>
      <c r="J6" s="216">
        <f>18.5*I6</f>
        <v>0</v>
      </c>
      <c r="K6" s="216"/>
      <c r="L6" s="216">
        <f>19.5*K6</f>
        <v>0</v>
      </c>
      <c r="M6" s="216"/>
      <c r="N6" s="217">
        <f>M6*9.75</f>
        <v>0</v>
      </c>
      <c r="O6" s="216"/>
      <c r="P6" s="217">
        <f>O6*48.62</f>
        <v>0</v>
      </c>
      <c r="Q6" s="217"/>
      <c r="R6" s="217">
        <f>241*Q6</f>
        <v>0</v>
      </c>
      <c r="S6" s="216"/>
      <c r="T6" s="216">
        <f>241*S6</f>
        <v>0</v>
      </c>
      <c r="U6" s="216"/>
      <c r="V6" s="216">
        <f>232*U6</f>
        <v>0</v>
      </c>
      <c r="W6" s="216"/>
      <c r="X6" s="19">
        <f>W6*100</f>
        <v>0</v>
      </c>
      <c r="Y6" s="89">
        <f t="shared" ref="Y6:Y11" si="0">D6+F6+H6+J6+L6+N6+P6+R6+T6+V6+X6</f>
        <v>54141.9925</v>
      </c>
    </row>
    <row r="7" spans="1:25" ht="31.5" customHeight="1" x14ac:dyDescent="0.25">
      <c r="A7" s="12">
        <v>1984225578</v>
      </c>
      <c r="B7" s="213" t="s">
        <v>72</v>
      </c>
      <c r="C7" s="216">
        <v>65000</v>
      </c>
      <c r="D7" s="217">
        <f t="shared" ref="D7:D11" si="1">0.9725*C7</f>
        <v>63212.5</v>
      </c>
      <c r="E7" s="216"/>
      <c r="F7" s="216">
        <f t="shared" ref="F7:F11" si="2">13.7*E7</f>
        <v>0</v>
      </c>
      <c r="G7" s="216"/>
      <c r="H7" s="216">
        <f t="shared" ref="H7:H11" si="3">28.2*G7</f>
        <v>0</v>
      </c>
      <c r="I7" s="216"/>
      <c r="J7" s="216">
        <f t="shared" ref="J7:J11" si="4">18.5*I7</f>
        <v>0</v>
      </c>
      <c r="K7" s="216"/>
      <c r="L7" s="216">
        <f t="shared" ref="L7:L11" si="5">19.5*K7</f>
        <v>0</v>
      </c>
      <c r="M7" s="216"/>
      <c r="N7" s="217">
        <f t="shared" ref="N7:N11" si="6">M7*9.75</f>
        <v>0</v>
      </c>
      <c r="O7" s="216"/>
      <c r="P7" s="217">
        <f t="shared" ref="P7:P11" si="7">O7*48.62</f>
        <v>0</v>
      </c>
      <c r="Q7" s="217"/>
      <c r="R7" s="217">
        <f t="shared" ref="R7:R11" si="8">241*Q7</f>
        <v>0</v>
      </c>
      <c r="S7" s="216"/>
      <c r="T7" s="216">
        <f t="shared" ref="T7:T11" si="9">241*S7</f>
        <v>0</v>
      </c>
      <c r="U7" s="216"/>
      <c r="V7" s="216">
        <f t="shared" ref="V7:V11" si="10">232*U7</f>
        <v>0</v>
      </c>
      <c r="W7" s="216"/>
      <c r="X7" s="19">
        <f t="shared" ref="X7:X11" si="11">W7*100</f>
        <v>0</v>
      </c>
      <c r="Y7" s="89">
        <f t="shared" si="0"/>
        <v>63212.5</v>
      </c>
    </row>
    <row r="8" spans="1:25" ht="35.25" customHeight="1" x14ac:dyDescent="0.25">
      <c r="A8" s="12">
        <v>1967020280</v>
      </c>
      <c r="B8" s="213" t="s">
        <v>73</v>
      </c>
      <c r="C8" s="216">
        <v>22482</v>
      </c>
      <c r="D8" s="217">
        <f t="shared" si="1"/>
        <v>21863.744999999999</v>
      </c>
      <c r="E8" s="216"/>
      <c r="F8" s="216">
        <f t="shared" si="2"/>
        <v>0</v>
      </c>
      <c r="G8" s="216">
        <v>20</v>
      </c>
      <c r="H8" s="216">
        <f t="shared" si="3"/>
        <v>564</v>
      </c>
      <c r="I8" s="216">
        <v>470</v>
      </c>
      <c r="J8" s="216">
        <f t="shared" si="4"/>
        <v>8695</v>
      </c>
      <c r="K8" s="216"/>
      <c r="L8" s="216">
        <f t="shared" si="5"/>
        <v>0</v>
      </c>
      <c r="M8" s="216"/>
      <c r="N8" s="217">
        <f t="shared" si="6"/>
        <v>0</v>
      </c>
      <c r="O8" s="216"/>
      <c r="P8" s="217">
        <f t="shared" si="7"/>
        <v>0</v>
      </c>
      <c r="Q8" s="217"/>
      <c r="R8" s="217">
        <f t="shared" si="8"/>
        <v>0</v>
      </c>
      <c r="S8" s="216"/>
      <c r="T8" s="216">
        <f t="shared" si="9"/>
        <v>0</v>
      </c>
      <c r="U8" s="216"/>
      <c r="V8" s="216">
        <f t="shared" si="10"/>
        <v>0</v>
      </c>
      <c r="W8" s="216"/>
      <c r="X8" s="19">
        <f t="shared" si="11"/>
        <v>0</v>
      </c>
      <c r="Y8" s="89">
        <f t="shared" si="0"/>
        <v>31122.744999999999</v>
      </c>
    </row>
    <row r="9" spans="1:25" ht="38.25" customHeight="1" x14ac:dyDescent="0.25">
      <c r="A9" s="12">
        <v>1409935199</v>
      </c>
      <c r="B9" s="213" t="s">
        <v>75</v>
      </c>
      <c r="C9" s="216">
        <v>53307</v>
      </c>
      <c r="D9" s="217">
        <f t="shared" si="1"/>
        <v>51841.057500000003</v>
      </c>
      <c r="E9" s="216"/>
      <c r="F9" s="216">
        <f t="shared" si="2"/>
        <v>0</v>
      </c>
      <c r="G9" s="216"/>
      <c r="H9" s="216">
        <f t="shared" si="3"/>
        <v>0</v>
      </c>
      <c r="I9" s="216">
        <v>190</v>
      </c>
      <c r="J9" s="216">
        <f t="shared" si="4"/>
        <v>3515</v>
      </c>
      <c r="K9" s="216"/>
      <c r="L9" s="216">
        <f t="shared" si="5"/>
        <v>0</v>
      </c>
      <c r="M9" s="216"/>
      <c r="N9" s="217">
        <f t="shared" si="6"/>
        <v>0</v>
      </c>
      <c r="O9" s="216"/>
      <c r="P9" s="217">
        <f t="shared" si="7"/>
        <v>0</v>
      </c>
      <c r="Q9" s="217"/>
      <c r="R9" s="217">
        <f t="shared" si="8"/>
        <v>0</v>
      </c>
      <c r="S9" s="216"/>
      <c r="T9" s="216">
        <f t="shared" si="9"/>
        <v>0</v>
      </c>
      <c r="U9" s="216"/>
      <c r="V9" s="216">
        <f t="shared" si="10"/>
        <v>0</v>
      </c>
      <c r="W9" s="216"/>
      <c r="X9" s="19">
        <f t="shared" si="11"/>
        <v>0</v>
      </c>
      <c r="Y9" s="89">
        <f t="shared" si="0"/>
        <v>55356.057500000003</v>
      </c>
    </row>
    <row r="10" spans="1:25" ht="35.25" customHeight="1" x14ac:dyDescent="0.25">
      <c r="A10" s="12">
        <v>1984225580</v>
      </c>
      <c r="C10" s="216"/>
      <c r="D10" s="217">
        <f t="shared" si="1"/>
        <v>0</v>
      </c>
      <c r="E10" s="216"/>
      <c r="F10" s="216">
        <f t="shared" si="2"/>
        <v>0</v>
      </c>
      <c r="G10" s="216"/>
      <c r="H10" s="216">
        <f t="shared" si="3"/>
        <v>0</v>
      </c>
      <c r="I10" s="216"/>
      <c r="J10" s="216">
        <f t="shared" si="4"/>
        <v>0</v>
      </c>
      <c r="K10" s="216"/>
      <c r="L10" s="216">
        <f t="shared" si="5"/>
        <v>0</v>
      </c>
      <c r="M10" s="216"/>
      <c r="N10" s="217">
        <f t="shared" si="6"/>
        <v>0</v>
      </c>
      <c r="O10" s="216"/>
      <c r="P10" s="217">
        <f t="shared" si="7"/>
        <v>0</v>
      </c>
      <c r="Q10" s="217"/>
      <c r="R10" s="217">
        <f t="shared" si="8"/>
        <v>0</v>
      </c>
      <c r="S10" s="216"/>
      <c r="T10" s="216">
        <f t="shared" si="9"/>
        <v>0</v>
      </c>
      <c r="U10" s="216"/>
      <c r="V10" s="216">
        <f t="shared" si="10"/>
        <v>0</v>
      </c>
      <c r="W10" s="216"/>
      <c r="X10" s="19">
        <f t="shared" si="11"/>
        <v>0</v>
      </c>
      <c r="Y10" s="89">
        <f t="shared" si="0"/>
        <v>0</v>
      </c>
    </row>
    <row r="11" spans="1:25" ht="37.5" customHeight="1" x14ac:dyDescent="0.25">
      <c r="A11" s="12"/>
      <c r="B11" s="215"/>
      <c r="C11" s="216"/>
      <c r="D11" s="22">
        <f t="shared" si="1"/>
        <v>0</v>
      </c>
      <c r="E11" s="216"/>
      <c r="F11" s="216">
        <f t="shared" si="2"/>
        <v>0</v>
      </c>
      <c r="G11" s="216"/>
      <c r="H11" s="216">
        <f t="shared" si="3"/>
        <v>0</v>
      </c>
      <c r="I11" s="216"/>
      <c r="J11" s="216">
        <f t="shared" si="4"/>
        <v>0</v>
      </c>
      <c r="K11" s="216"/>
      <c r="L11" s="216">
        <f t="shared" si="5"/>
        <v>0</v>
      </c>
      <c r="M11" s="216"/>
      <c r="N11" s="217">
        <f t="shared" si="6"/>
        <v>0</v>
      </c>
      <c r="O11" s="216"/>
      <c r="P11" s="217">
        <f t="shared" si="7"/>
        <v>0</v>
      </c>
      <c r="Q11" s="217"/>
      <c r="R11" s="217">
        <f t="shared" si="8"/>
        <v>0</v>
      </c>
      <c r="S11" s="216"/>
      <c r="T11" s="216">
        <f t="shared" si="9"/>
        <v>0</v>
      </c>
      <c r="U11" s="216"/>
      <c r="V11" s="216">
        <f t="shared" si="10"/>
        <v>0</v>
      </c>
      <c r="W11" s="216"/>
      <c r="X11" s="19">
        <f t="shared" si="11"/>
        <v>0</v>
      </c>
      <c r="Y11" s="20">
        <f t="shared" si="0"/>
        <v>0</v>
      </c>
    </row>
    <row r="12" spans="1:25" ht="29.25" customHeight="1" x14ac:dyDescent="0.25">
      <c r="A12" s="2235" t="s">
        <v>31</v>
      </c>
      <c r="B12" s="2235"/>
      <c r="C12" s="18">
        <f t="shared" ref="C12:Y12" si="12">SUM(C6:C11)</f>
        <v>196462</v>
      </c>
      <c r="D12" s="18">
        <f t="shared" si="12"/>
        <v>191059.29499999998</v>
      </c>
      <c r="E12" s="18">
        <f t="shared" si="12"/>
        <v>0</v>
      </c>
      <c r="F12" s="18">
        <f t="shared" si="12"/>
        <v>0</v>
      </c>
      <c r="G12" s="18">
        <f t="shared" si="12"/>
        <v>20</v>
      </c>
      <c r="H12" s="18">
        <f t="shared" si="12"/>
        <v>564</v>
      </c>
      <c r="I12" s="18">
        <f t="shared" si="12"/>
        <v>660</v>
      </c>
      <c r="J12" s="18">
        <f t="shared" si="12"/>
        <v>12210</v>
      </c>
      <c r="K12" s="18">
        <f t="shared" si="12"/>
        <v>0</v>
      </c>
      <c r="L12" s="18">
        <f t="shared" si="12"/>
        <v>0</v>
      </c>
      <c r="M12" s="18">
        <f t="shared" si="12"/>
        <v>0</v>
      </c>
      <c r="N12" s="23">
        <f t="shared" si="12"/>
        <v>0</v>
      </c>
      <c r="O12" s="18">
        <f t="shared" si="12"/>
        <v>0</v>
      </c>
      <c r="P12" s="23">
        <f t="shared" si="12"/>
        <v>0</v>
      </c>
      <c r="Q12" s="23">
        <f t="shared" si="12"/>
        <v>0</v>
      </c>
      <c r="R12" s="23">
        <f>SUM(R6:R11)</f>
        <v>0</v>
      </c>
      <c r="S12" s="18">
        <f t="shared" si="12"/>
        <v>0</v>
      </c>
      <c r="T12" s="18">
        <f t="shared" si="12"/>
        <v>0</v>
      </c>
      <c r="U12" s="18">
        <f t="shared" si="12"/>
        <v>0</v>
      </c>
      <c r="V12" s="18">
        <f t="shared" si="12"/>
        <v>0</v>
      </c>
      <c r="W12" s="18">
        <f t="shared" si="12"/>
        <v>0</v>
      </c>
      <c r="X12" s="18">
        <f t="shared" si="12"/>
        <v>0</v>
      </c>
      <c r="Y12" s="18">
        <f t="shared" si="12"/>
        <v>203833.29499999998</v>
      </c>
    </row>
    <row r="14" spans="1:25" ht="41.25" customHeight="1" x14ac:dyDescent="0.25">
      <c r="A14" s="30" t="s">
        <v>32</v>
      </c>
      <c r="B14" s="2236" t="s">
        <v>27</v>
      </c>
      <c r="C14" s="2236"/>
      <c r="D14" s="30" t="s">
        <v>33</v>
      </c>
      <c r="E14" s="30" t="s">
        <v>65</v>
      </c>
      <c r="F14" s="30" t="s">
        <v>34</v>
      </c>
      <c r="G14" s="30" t="s">
        <v>13</v>
      </c>
      <c r="H14" s="142" t="s">
        <v>173</v>
      </c>
      <c r="I14" s="30" t="s">
        <v>17</v>
      </c>
      <c r="J14" s="221" t="s">
        <v>174</v>
      </c>
      <c r="K14" s="30" t="s">
        <v>36</v>
      </c>
      <c r="L14" s="30" t="s">
        <v>175</v>
      </c>
      <c r="M14" s="30" t="s">
        <v>69</v>
      </c>
      <c r="N14" s="30" t="s">
        <v>70</v>
      </c>
      <c r="O14" s="221" t="s">
        <v>114</v>
      </c>
      <c r="P14" s="221" t="s">
        <v>99</v>
      </c>
      <c r="Q14" s="2272"/>
      <c r="R14" s="2272"/>
      <c r="S14" s="221"/>
      <c r="T14" s="2235" t="s">
        <v>46</v>
      </c>
      <c r="U14" s="213" t="s">
        <v>176</v>
      </c>
      <c r="V14" s="2260">
        <v>388749</v>
      </c>
      <c r="W14" s="2268"/>
      <c r="X14" s="2261"/>
    </row>
    <row r="15" spans="1:25" ht="22.5" customHeight="1" x14ac:dyDescent="0.25">
      <c r="A15" s="100" t="s">
        <v>38</v>
      </c>
      <c r="B15" s="2260">
        <v>204609</v>
      </c>
      <c r="C15" s="2261"/>
      <c r="D15" s="218">
        <v>0</v>
      </c>
      <c r="E15" s="218">
        <v>20</v>
      </c>
      <c r="F15" s="218">
        <v>660</v>
      </c>
      <c r="G15" s="218">
        <v>0</v>
      </c>
      <c r="H15" s="218">
        <v>47</v>
      </c>
      <c r="I15" s="218">
        <v>0</v>
      </c>
      <c r="J15" s="218">
        <v>94</v>
      </c>
      <c r="K15" s="218">
        <v>47</v>
      </c>
      <c r="L15" s="218">
        <v>673</v>
      </c>
      <c r="M15" s="218">
        <v>0</v>
      </c>
      <c r="N15" s="218">
        <v>100</v>
      </c>
      <c r="O15" s="218">
        <v>0</v>
      </c>
      <c r="P15" s="218">
        <v>417</v>
      </c>
      <c r="Q15" s="2262">
        <v>0</v>
      </c>
      <c r="R15" s="2262"/>
      <c r="S15" s="213">
        <v>0</v>
      </c>
      <c r="T15" s="2235"/>
      <c r="U15" s="213" t="s">
        <v>64</v>
      </c>
      <c r="V15" s="2262">
        <v>9022</v>
      </c>
      <c r="W15" s="2262"/>
      <c r="X15" s="2262"/>
    </row>
    <row r="16" spans="1:25" ht="24.75" customHeight="1" x14ac:dyDescent="0.25">
      <c r="A16" s="100" t="s">
        <v>39</v>
      </c>
      <c r="B16" s="2260">
        <v>20779</v>
      </c>
      <c r="C16" s="2261"/>
      <c r="D16" s="218"/>
      <c r="E16" s="218"/>
      <c r="F16" s="218"/>
      <c r="G16" s="218"/>
      <c r="H16" s="218"/>
      <c r="I16" s="218"/>
      <c r="J16" s="218"/>
      <c r="K16" s="218"/>
      <c r="L16" s="218"/>
      <c r="M16" s="218"/>
      <c r="N16" s="218"/>
      <c r="O16" s="218"/>
      <c r="P16" s="218"/>
      <c r="Q16" s="2225"/>
      <c r="R16" s="2225"/>
      <c r="S16" s="218"/>
      <c r="T16" s="2254" t="s">
        <v>55</v>
      </c>
      <c r="U16" s="2254"/>
      <c r="V16" s="2267">
        <f>Y12</f>
        <v>203833.29499999998</v>
      </c>
      <c r="W16" s="2267"/>
      <c r="X16" s="2262"/>
    </row>
    <row r="17" spans="1:25" ht="28.5" customHeight="1" x14ac:dyDescent="0.25">
      <c r="A17" s="101" t="s">
        <v>44</v>
      </c>
      <c r="B17" s="2260"/>
      <c r="C17" s="2261"/>
      <c r="D17" s="218"/>
      <c r="E17" s="218"/>
      <c r="F17" s="218"/>
      <c r="G17" s="218"/>
      <c r="H17" s="218"/>
      <c r="I17" s="218"/>
      <c r="J17" s="218"/>
      <c r="K17" s="218"/>
      <c r="L17" s="218"/>
      <c r="M17" s="218"/>
      <c r="N17" s="218"/>
      <c r="O17" s="218"/>
      <c r="P17" s="218"/>
      <c r="Q17" s="2225"/>
      <c r="R17" s="2225"/>
      <c r="S17" s="215"/>
      <c r="T17" s="2273" t="s">
        <v>250</v>
      </c>
      <c r="U17" s="2274"/>
      <c r="V17" s="2262"/>
      <c r="W17" s="2262"/>
      <c r="X17" s="2262"/>
    </row>
    <row r="18" spans="1:25" ht="27" customHeight="1" x14ac:dyDescent="0.25">
      <c r="A18" s="100" t="s">
        <v>40</v>
      </c>
      <c r="B18" s="2264">
        <f>C12</f>
        <v>196462</v>
      </c>
      <c r="C18" s="2261"/>
      <c r="D18" s="219">
        <f>E12</f>
        <v>0</v>
      </c>
      <c r="E18" s="219">
        <f>G12</f>
        <v>20</v>
      </c>
      <c r="F18" s="219">
        <f>I12</f>
        <v>660</v>
      </c>
      <c r="G18" s="219">
        <f>K12</f>
        <v>0</v>
      </c>
      <c r="H18" s="218"/>
      <c r="I18" s="219">
        <f>U12</f>
        <v>0</v>
      </c>
      <c r="J18" s="218"/>
      <c r="K18" s="219">
        <f>W12</f>
        <v>0</v>
      </c>
      <c r="L18" s="218"/>
      <c r="M18" s="219">
        <f>M12</f>
        <v>0</v>
      </c>
      <c r="N18" s="219">
        <f>O12</f>
        <v>0</v>
      </c>
      <c r="O18" s="220">
        <f>Q12</f>
        <v>0</v>
      </c>
      <c r="P18" s="218"/>
      <c r="Q18" s="2262"/>
      <c r="R18" s="2262"/>
      <c r="S18" s="213"/>
      <c r="T18" s="2254" t="s">
        <v>57</v>
      </c>
      <c r="U18" s="2254"/>
      <c r="V18" s="2262">
        <f>450+366</f>
        <v>816</v>
      </c>
      <c r="W18" s="2262"/>
      <c r="X18" s="2262"/>
      <c r="Y18" s="2269" t="s">
        <v>254</v>
      </c>
    </row>
    <row r="19" spans="1:25" ht="25.5" customHeight="1" x14ac:dyDescent="0.25">
      <c r="A19" s="100" t="s">
        <v>41</v>
      </c>
      <c r="B19" s="2260">
        <f>B15+B16+B17-B18</f>
        <v>28926</v>
      </c>
      <c r="C19" s="2261"/>
      <c r="D19" s="218">
        <f>D15+D16+D17-D18</f>
        <v>0</v>
      </c>
      <c r="E19" s="218">
        <f t="shared" ref="E19:N19" si="13">E15+E16+E17-E18</f>
        <v>0</v>
      </c>
      <c r="F19" s="218">
        <f t="shared" si="13"/>
        <v>0</v>
      </c>
      <c r="G19" s="218">
        <f t="shared" si="13"/>
        <v>0</v>
      </c>
      <c r="H19" s="218">
        <f t="shared" si="13"/>
        <v>47</v>
      </c>
      <c r="I19" s="218">
        <f t="shared" si="13"/>
        <v>0</v>
      </c>
      <c r="J19" s="218">
        <f t="shared" si="13"/>
        <v>94</v>
      </c>
      <c r="K19" s="218">
        <f t="shared" si="13"/>
        <v>47</v>
      </c>
      <c r="L19" s="218">
        <f t="shared" si="13"/>
        <v>673</v>
      </c>
      <c r="M19" s="218">
        <f t="shared" si="13"/>
        <v>0</v>
      </c>
      <c r="N19" s="218">
        <f t="shared" si="13"/>
        <v>100</v>
      </c>
      <c r="O19" s="218">
        <f>O15+O16+O17-O18</f>
        <v>0</v>
      </c>
      <c r="P19" s="218">
        <f>P15+P16+P17-P18</f>
        <v>417</v>
      </c>
      <c r="Q19" s="2260">
        <f t="shared" ref="Q19" si="14">Q15+Q16+Q17-Q18</f>
        <v>0</v>
      </c>
      <c r="R19" s="2261"/>
      <c r="S19" s="213">
        <f>S15+S16-S17-S18</f>
        <v>0</v>
      </c>
      <c r="T19" s="2256" t="s">
        <v>48</v>
      </c>
      <c r="U19" s="49" t="s">
        <v>58</v>
      </c>
      <c r="V19" s="2262">
        <v>564650</v>
      </c>
      <c r="W19" s="2262"/>
      <c r="X19" s="2262"/>
      <c r="Y19" s="2269"/>
    </row>
    <row r="20" spans="1:25" ht="23.25" customHeight="1" x14ac:dyDescent="0.25">
      <c r="A20" s="210" t="s">
        <v>187</v>
      </c>
      <c r="B20" s="2284">
        <f>B19*0.9625</f>
        <v>27841.275000000001</v>
      </c>
      <c r="C20" s="2285"/>
      <c r="D20" s="211">
        <f>D19*13.56</f>
        <v>0</v>
      </c>
      <c r="E20" s="211">
        <f>28.2*E19</f>
        <v>0</v>
      </c>
      <c r="F20" s="211">
        <f>18.31*F19</f>
        <v>0</v>
      </c>
      <c r="G20" s="211">
        <f>19.3*G19</f>
        <v>0</v>
      </c>
      <c r="H20" s="211">
        <f>241*H19</f>
        <v>11327</v>
      </c>
      <c r="I20" s="211">
        <f>223*I19</f>
        <v>0</v>
      </c>
      <c r="J20" s="211">
        <f>241*J19</f>
        <v>22654</v>
      </c>
      <c r="K20" s="211">
        <f>K19*100</f>
        <v>4700</v>
      </c>
      <c r="L20" s="211">
        <f>241*L19</f>
        <v>162193</v>
      </c>
      <c r="M20" s="211">
        <f>9.65*M19</f>
        <v>0</v>
      </c>
      <c r="N20" s="211">
        <f>N19*48.2</f>
        <v>4820</v>
      </c>
      <c r="O20" s="211">
        <f>241*O19</f>
        <v>0</v>
      </c>
      <c r="P20" s="211">
        <f>241*P19</f>
        <v>100497</v>
      </c>
      <c r="Q20" s="2284">
        <f>241*Q19</f>
        <v>0</v>
      </c>
      <c r="R20" s="2285"/>
      <c r="S20" s="211">
        <f>241*S19</f>
        <v>0</v>
      </c>
      <c r="T20" s="2257"/>
      <c r="U20" s="49" t="s">
        <v>59</v>
      </c>
      <c r="V20" s="2262"/>
      <c r="W20" s="2262"/>
      <c r="X20" s="2262"/>
      <c r="Y20" s="2269"/>
    </row>
    <row r="21" spans="1:25" ht="32.25" customHeight="1" x14ac:dyDescent="0.25">
      <c r="A21" s="143" t="s">
        <v>186</v>
      </c>
      <c r="B21" s="2283">
        <f>SUM(B20:S20)</f>
        <v>334032.27500000002</v>
      </c>
      <c r="C21" s="2283"/>
      <c r="O21" s="222"/>
      <c r="P21" s="222"/>
      <c r="Q21" s="222"/>
      <c r="R21" s="222"/>
      <c r="T21" s="2273" t="s">
        <v>167</v>
      </c>
      <c r="U21" s="2274"/>
      <c r="V21" s="2260"/>
      <c r="W21" s="2268"/>
      <c r="X21" s="2261"/>
      <c r="Y21" s="2269"/>
    </row>
    <row r="22" spans="1:25" ht="35.25" customHeight="1" x14ac:dyDescent="0.25">
      <c r="A22" s="15"/>
      <c r="B22" s="2275" t="s">
        <v>49</v>
      </c>
      <c r="C22" s="2265">
        <v>564650</v>
      </c>
      <c r="D22" s="2265">
        <v>564650</v>
      </c>
      <c r="E22" s="2265">
        <v>20000</v>
      </c>
      <c r="F22" s="2265">
        <f>C22-D22+E22</f>
        <v>20000</v>
      </c>
      <c r="G22" s="222"/>
      <c r="Q22" s="222"/>
      <c r="R22" s="222"/>
      <c r="T22" s="2251" t="s">
        <v>83</v>
      </c>
      <c r="U22" s="50" t="s">
        <v>60</v>
      </c>
      <c r="V22" s="2262">
        <v>588650</v>
      </c>
      <c r="W22" s="2262"/>
      <c r="X22" s="2262"/>
      <c r="Y22" s="2269"/>
    </row>
    <row r="23" spans="1:25" ht="39.75" customHeight="1" x14ac:dyDescent="0.25">
      <c r="A23" s="222"/>
      <c r="B23" s="2276"/>
      <c r="C23" s="2266"/>
      <c r="D23" s="2266"/>
      <c r="E23" s="2266"/>
      <c r="F23" s="2266"/>
      <c r="G23" s="222"/>
      <c r="Q23" s="222"/>
      <c r="R23" s="222"/>
      <c r="T23" s="2252"/>
      <c r="U23" s="50" t="s">
        <v>61</v>
      </c>
      <c r="V23" s="2262">
        <v>564650</v>
      </c>
      <c r="W23" s="2262"/>
      <c r="X23" s="2262"/>
      <c r="Y23" s="2269"/>
    </row>
    <row r="24" spans="1:25" ht="48" customHeight="1" x14ac:dyDescent="0.25">
      <c r="A24" s="222"/>
      <c r="B24" s="2277"/>
      <c r="C24" s="213" t="s">
        <v>46</v>
      </c>
      <c r="D24" s="213" t="s">
        <v>50</v>
      </c>
      <c r="E24" s="213" t="s">
        <v>51</v>
      </c>
      <c r="F24" s="213" t="s">
        <v>52</v>
      </c>
      <c r="G24" s="222"/>
      <c r="Q24" s="222"/>
      <c r="R24" s="222"/>
      <c r="T24" s="2235" t="s">
        <v>47</v>
      </c>
      <c r="U24" s="51" t="s">
        <v>62</v>
      </c>
      <c r="V24" s="2263">
        <f>V14+V16+V17-V18-V19-V20-V22+V23-V21</f>
        <v>3116.2949999999255</v>
      </c>
      <c r="W24" s="2263"/>
      <c r="X24" s="2263"/>
      <c r="Y24" s="2269"/>
    </row>
    <row r="25" spans="1:25" ht="40.5" customHeight="1" x14ac:dyDescent="0.25">
      <c r="T25" s="2235"/>
      <c r="U25" s="51" t="s">
        <v>63</v>
      </c>
      <c r="V25" s="2262">
        <f>V15+V22-V23</f>
        <v>33022</v>
      </c>
      <c r="W25" s="2262"/>
      <c r="X25" s="2262"/>
    </row>
    <row r="26" spans="1:25" ht="36" customHeight="1" x14ac:dyDescent="0.25"/>
    <row r="32" spans="1:25" x14ac:dyDescent="0.25">
      <c r="I32" s="2280"/>
      <c r="J32" s="2280"/>
      <c r="K32" s="2280"/>
      <c r="L32" s="2280"/>
    </row>
    <row r="33" spans="9:12" x14ac:dyDescent="0.25">
      <c r="I33" s="222"/>
      <c r="J33" s="222"/>
      <c r="K33" s="2280"/>
      <c r="L33" s="2280"/>
    </row>
  </sheetData>
  <mergeCells count="62">
    <mergeCell ref="I32:J32"/>
    <mergeCell ref="K32:L32"/>
    <mergeCell ref="K33:L33"/>
    <mergeCell ref="T22:T23"/>
    <mergeCell ref="V22:X22"/>
    <mergeCell ref="V23:X23"/>
    <mergeCell ref="T24:T25"/>
    <mergeCell ref="V24:X24"/>
    <mergeCell ref="V25:X25"/>
    <mergeCell ref="Y18:Y24"/>
    <mergeCell ref="B19:C19"/>
    <mergeCell ref="Q19:R19"/>
    <mergeCell ref="T19:T20"/>
    <mergeCell ref="V19:X19"/>
    <mergeCell ref="B20:C20"/>
    <mergeCell ref="B22:B24"/>
    <mergeCell ref="C22:C23"/>
    <mergeCell ref="D22:D23"/>
    <mergeCell ref="E22:E23"/>
    <mergeCell ref="F22:F23"/>
    <mergeCell ref="Q20:R20"/>
    <mergeCell ref="V20:X20"/>
    <mergeCell ref="B21:C21"/>
    <mergeCell ref="T21:U21"/>
    <mergeCell ref="V21:X21"/>
    <mergeCell ref="B17:C17"/>
    <mergeCell ref="Q17:R17"/>
    <mergeCell ref="T17:U17"/>
    <mergeCell ref="V17:X17"/>
    <mergeCell ref="B18:C18"/>
    <mergeCell ref="Q18:R18"/>
    <mergeCell ref="T18:U18"/>
    <mergeCell ref="V18:X18"/>
    <mergeCell ref="W4:X4"/>
    <mergeCell ref="B16:C16"/>
    <mergeCell ref="Q16:R16"/>
    <mergeCell ref="T16:U16"/>
    <mergeCell ref="V16:X16"/>
    <mergeCell ref="A12:B12"/>
    <mergeCell ref="B14:C14"/>
    <mergeCell ref="Q14:R14"/>
    <mergeCell ref="T14:T15"/>
    <mergeCell ref="V14:X14"/>
    <mergeCell ref="B15:C15"/>
    <mergeCell ref="Q15:R15"/>
    <mergeCell ref="V15:X15"/>
    <mergeCell ref="A1:Y1"/>
    <mergeCell ref="A2:Y2"/>
    <mergeCell ref="T3:Y3"/>
    <mergeCell ref="A4:A5"/>
    <mergeCell ref="B4:B5"/>
    <mergeCell ref="C4:D4"/>
    <mergeCell ref="E4:F4"/>
    <mergeCell ref="G4:H4"/>
    <mergeCell ref="I4:J4"/>
    <mergeCell ref="K4:L4"/>
    <mergeCell ref="Y4:Y5"/>
    <mergeCell ref="M4:N4"/>
    <mergeCell ref="O4:P4"/>
    <mergeCell ref="Q4:R4"/>
    <mergeCell ref="S4:T4"/>
    <mergeCell ref="U4:V4"/>
  </mergeCells>
  <pageMargins left="0.15748031496063" right="0.15748031496063" top="0" bottom="0" header="0" footer="0"/>
  <pageSetup paperSize="9" scale="47" orientation="landscape" r:id="rId1"/>
  <legacyDrawing r:id="rId2"/>
</worksheet>
</file>

<file path=xl/worksheets/sheet8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50E001B-FD5C-4793-A92D-2B978B140AEB}">
  <sheetPr>
    <pageSetUpPr fitToPage="1"/>
  </sheetPr>
  <dimension ref="A1:Y33"/>
  <sheetViews>
    <sheetView topLeftCell="A5" zoomScale="71" zoomScaleNormal="71" zoomScaleSheetLayoutView="100" workbookViewId="0">
      <selection activeCell="V18" sqref="V18:X18"/>
    </sheetView>
  </sheetViews>
  <sheetFormatPr defaultColWidth="9.140625" defaultRowHeight="15" x14ac:dyDescent="0.25"/>
  <cols>
    <col min="1" max="1" width="18.28515625" style="14" customWidth="1"/>
    <col min="2" max="2" width="10.7109375" style="14" customWidth="1"/>
    <col min="3" max="3" width="12.28515625" style="14" customWidth="1"/>
    <col min="4" max="4" width="11" style="14" customWidth="1"/>
    <col min="5" max="5" width="12" style="14" customWidth="1"/>
    <col min="6" max="6" width="12.5703125" style="14" bestFit="1" customWidth="1"/>
    <col min="7" max="7" width="9.28515625" style="14" bestFit="1" customWidth="1"/>
    <col min="8" max="8" width="10.140625" style="14" bestFit="1" customWidth="1"/>
    <col min="9" max="9" width="10.5703125" style="14" bestFit="1" customWidth="1"/>
    <col min="10" max="10" width="10.5703125" style="14" customWidth="1"/>
    <col min="11" max="11" width="10.28515625" style="14" bestFit="1" customWidth="1"/>
    <col min="12" max="12" width="10.42578125" style="14" bestFit="1" customWidth="1"/>
    <col min="13" max="13" width="9.85546875" style="14" bestFit="1" customWidth="1"/>
    <col min="14" max="14" width="10.140625" style="14" bestFit="1" customWidth="1"/>
    <col min="15" max="15" width="9" style="14" customWidth="1"/>
    <col min="16" max="16" width="12.85546875" style="14" bestFit="1" customWidth="1"/>
    <col min="17" max="18" width="9.42578125" style="14" customWidth="1"/>
    <col min="19" max="19" width="13.7109375" style="14" customWidth="1"/>
    <col min="20" max="20" width="12.140625" style="14" customWidth="1"/>
    <col min="21" max="21" width="19.5703125" style="14" bestFit="1" customWidth="1"/>
    <col min="22" max="22" width="9.85546875" style="14" customWidth="1"/>
    <col min="23" max="23" width="10.140625" style="14" bestFit="1" customWidth="1"/>
    <col min="24" max="24" width="10.28515625" style="14" customWidth="1"/>
    <col min="25" max="25" width="28" style="14" customWidth="1"/>
    <col min="26" max="16384" width="9.140625" style="14"/>
  </cols>
  <sheetData>
    <row r="1" spans="1:25" ht="46.15" customHeight="1" x14ac:dyDescent="0.25">
      <c r="A1" s="2240" t="s">
        <v>148</v>
      </c>
      <c r="B1" s="2240"/>
      <c r="C1" s="2240"/>
      <c r="D1" s="2240"/>
      <c r="E1" s="2240"/>
      <c r="F1" s="2240"/>
      <c r="G1" s="2240"/>
      <c r="H1" s="2240"/>
      <c r="I1" s="2240"/>
      <c r="J1" s="2240"/>
      <c r="K1" s="2240"/>
      <c r="L1" s="2240"/>
      <c r="M1" s="2240"/>
      <c r="N1" s="2240"/>
      <c r="O1" s="2240"/>
      <c r="P1" s="2240"/>
      <c r="Q1" s="2240"/>
      <c r="R1" s="2240"/>
      <c r="S1" s="2240"/>
      <c r="T1" s="2240"/>
      <c r="U1" s="2240"/>
      <c r="V1" s="2240"/>
      <c r="W1" s="2240"/>
      <c r="X1" s="2240"/>
      <c r="Y1" s="2240"/>
    </row>
    <row r="2" spans="1:25" ht="21.6" customHeight="1" x14ac:dyDescent="0.25">
      <c r="A2" s="2241" t="s">
        <v>77</v>
      </c>
      <c r="B2" s="2241"/>
      <c r="C2" s="2241"/>
      <c r="D2" s="2241"/>
      <c r="E2" s="2241"/>
      <c r="F2" s="2241"/>
      <c r="G2" s="2241"/>
      <c r="H2" s="2241"/>
      <c r="I2" s="2241"/>
      <c r="J2" s="2241"/>
      <c r="K2" s="2241"/>
      <c r="L2" s="2241"/>
      <c r="M2" s="2241"/>
      <c r="N2" s="2241"/>
      <c r="O2" s="2241"/>
      <c r="P2" s="2241"/>
      <c r="Q2" s="2241"/>
      <c r="R2" s="2241"/>
      <c r="S2" s="2241"/>
      <c r="T2" s="2241"/>
      <c r="U2" s="2241"/>
      <c r="V2" s="2241"/>
      <c r="W2" s="2241"/>
      <c r="X2" s="2241"/>
      <c r="Y2" s="2241"/>
    </row>
    <row r="3" spans="1:25" ht="21" customHeight="1" x14ac:dyDescent="0.25">
      <c r="A3" s="212"/>
      <c r="B3" s="212"/>
      <c r="C3" s="212"/>
      <c r="D3" s="212"/>
      <c r="E3" s="212"/>
      <c r="F3" s="212"/>
      <c r="G3" s="212"/>
      <c r="H3" s="212"/>
      <c r="I3" s="212"/>
      <c r="J3" s="212"/>
      <c r="K3" s="212"/>
      <c r="L3" s="212"/>
      <c r="M3" s="212"/>
      <c r="N3" s="212"/>
      <c r="O3" s="212"/>
      <c r="P3" s="212"/>
      <c r="Q3" s="212"/>
      <c r="R3" s="212"/>
      <c r="S3" s="212"/>
      <c r="T3" s="2242" t="s">
        <v>255</v>
      </c>
      <c r="U3" s="2242"/>
      <c r="V3" s="2242"/>
      <c r="W3" s="2242"/>
      <c r="X3" s="2242"/>
      <c r="Y3" s="2242"/>
    </row>
    <row r="4" spans="1:25" s="212" customFormat="1" ht="18" customHeight="1" x14ac:dyDescent="0.25">
      <c r="A4" s="2243" t="s">
        <v>25</v>
      </c>
      <c r="B4" s="2243" t="s">
        <v>26</v>
      </c>
      <c r="C4" s="2244" t="s">
        <v>27</v>
      </c>
      <c r="D4" s="2244"/>
      <c r="E4" s="2244" t="s">
        <v>28</v>
      </c>
      <c r="F4" s="2244"/>
      <c r="G4" s="2244" t="s">
        <v>65</v>
      </c>
      <c r="H4" s="2244"/>
      <c r="I4" s="2244" t="s">
        <v>29</v>
      </c>
      <c r="J4" s="2244"/>
      <c r="K4" s="2245" t="s">
        <v>13</v>
      </c>
      <c r="L4" s="2246"/>
      <c r="M4" s="2245" t="s">
        <v>67</v>
      </c>
      <c r="N4" s="2246"/>
      <c r="O4" s="2245" t="s">
        <v>68</v>
      </c>
      <c r="P4" s="2246"/>
      <c r="Q4" s="2245" t="s">
        <v>114</v>
      </c>
      <c r="R4" s="2246"/>
      <c r="S4" s="2244" t="s">
        <v>35</v>
      </c>
      <c r="T4" s="2244"/>
      <c r="U4" s="2245" t="s">
        <v>17</v>
      </c>
      <c r="V4" s="2246"/>
      <c r="W4" s="2247" t="s">
        <v>36</v>
      </c>
      <c r="X4" s="2248"/>
      <c r="Y4" s="2238" t="s">
        <v>30</v>
      </c>
    </row>
    <row r="5" spans="1:25" s="212" customFormat="1" ht="25.5" customHeight="1" x14ac:dyDescent="0.25">
      <c r="A5" s="2243"/>
      <c r="B5" s="2243"/>
      <c r="C5" s="214" t="s">
        <v>42</v>
      </c>
      <c r="D5" s="214" t="s">
        <v>43</v>
      </c>
      <c r="E5" s="214" t="s">
        <v>42</v>
      </c>
      <c r="F5" s="214" t="s">
        <v>43</v>
      </c>
      <c r="G5" s="214" t="s">
        <v>42</v>
      </c>
      <c r="H5" s="214" t="s">
        <v>43</v>
      </c>
      <c r="I5" s="214" t="s">
        <v>42</v>
      </c>
      <c r="J5" s="214" t="s">
        <v>43</v>
      </c>
      <c r="K5" s="214" t="s">
        <v>42</v>
      </c>
      <c r="L5" s="214" t="s">
        <v>43</v>
      </c>
      <c r="M5" s="214" t="s">
        <v>42</v>
      </c>
      <c r="N5" s="214" t="s">
        <v>43</v>
      </c>
      <c r="O5" s="214" t="s">
        <v>42</v>
      </c>
      <c r="P5" s="214" t="s">
        <v>43</v>
      </c>
      <c r="Q5" s="214" t="s">
        <v>42</v>
      </c>
      <c r="R5" s="214" t="s">
        <v>43</v>
      </c>
      <c r="S5" s="33" t="s">
        <v>42</v>
      </c>
      <c r="T5" s="33" t="s">
        <v>43</v>
      </c>
      <c r="U5" s="30" t="s">
        <v>42</v>
      </c>
      <c r="V5" s="30" t="s">
        <v>43</v>
      </c>
      <c r="W5" s="30" t="s">
        <v>42</v>
      </c>
      <c r="X5" s="30" t="s">
        <v>43</v>
      </c>
      <c r="Y5" s="2239"/>
    </row>
    <row r="6" spans="1:25" ht="34.5" customHeight="1" x14ac:dyDescent="0.25">
      <c r="A6" s="12">
        <v>1409935200</v>
      </c>
      <c r="B6" s="213" t="s">
        <v>71</v>
      </c>
      <c r="C6" s="216">
        <v>22861</v>
      </c>
      <c r="D6" s="217">
        <f>0.9725*C6</f>
        <v>22232.322500000002</v>
      </c>
      <c r="E6" s="216"/>
      <c r="F6" s="216">
        <f>13.7*E6</f>
        <v>0</v>
      </c>
      <c r="G6" s="216"/>
      <c r="H6" s="216">
        <f>28.2*G6</f>
        <v>0</v>
      </c>
      <c r="I6" s="216"/>
      <c r="J6" s="216">
        <f>18.5*I6</f>
        <v>0</v>
      </c>
      <c r="K6" s="216"/>
      <c r="L6" s="216">
        <f>19.5*K6</f>
        <v>0</v>
      </c>
      <c r="M6" s="216"/>
      <c r="N6" s="217">
        <f>M6*9.75</f>
        <v>0</v>
      </c>
      <c r="O6" s="216"/>
      <c r="P6" s="217">
        <f>O6*48.62</f>
        <v>0</v>
      </c>
      <c r="Q6" s="217"/>
      <c r="R6" s="217">
        <f>241*Q6</f>
        <v>0</v>
      </c>
      <c r="S6" s="216"/>
      <c r="T6" s="216">
        <f>241*S6</f>
        <v>0</v>
      </c>
      <c r="U6" s="216"/>
      <c r="V6" s="216">
        <f>232*U6</f>
        <v>0</v>
      </c>
      <c r="W6" s="216"/>
      <c r="X6" s="19">
        <f>W6*100</f>
        <v>0</v>
      </c>
      <c r="Y6" s="89">
        <f t="shared" ref="Y6:Y11" si="0">D6+F6+H6+J6+L6+N6+P6+R6+T6+V6+X6</f>
        <v>22232.322500000002</v>
      </c>
    </row>
    <row r="7" spans="1:25" ht="31.5" customHeight="1" x14ac:dyDescent="0.25">
      <c r="A7" s="12">
        <v>1984225578</v>
      </c>
      <c r="B7" s="213" t="s">
        <v>72</v>
      </c>
      <c r="C7" s="216">
        <v>27761</v>
      </c>
      <c r="D7" s="217">
        <f t="shared" ref="D7:D11" si="1">0.9725*C7</f>
        <v>26997.572500000002</v>
      </c>
      <c r="E7" s="216"/>
      <c r="F7" s="216">
        <f t="shared" ref="F7:F11" si="2">13.7*E7</f>
        <v>0</v>
      </c>
      <c r="G7" s="216"/>
      <c r="H7" s="216">
        <f t="shared" ref="H7:H11" si="3">28.2*G7</f>
        <v>0</v>
      </c>
      <c r="I7" s="216"/>
      <c r="J7" s="216">
        <f t="shared" ref="J7:J11" si="4">18.5*I7</f>
        <v>0</v>
      </c>
      <c r="K7" s="216"/>
      <c r="L7" s="216">
        <f t="shared" ref="L7:L11" si="5">19.5*K7</f>
        <v>0</v>
      </c>
      <c r="M7" s="216"/>
      <c r="N7" s="217">
        <f t="shared" ref="N7:N11" si="6">M7*9.75</f>
        <v>0</v>
      </c>
      <c r="O7" s="216"/>
      <c r="P7" s="217">
        <f t="shared" ref="P7:P11" si="7">O7*48.62</f>
        <v>0</v>
      </c>
      <c r="Q7" s="217"/>
      <c r="R7" s="217">
        <f t="shared" ref="R7:R11" si="8">241*Q7</f>
        <v>0</v>
      </c>
      <c r="S7" s="216"/>
      <c r="T7" s="216">
        <f t="shared" ref="T7:T11" si="9">241*S7</f>
        <v>0</v>
      </c>
      <c r="U7" s="216"/>
      <c r="V7" s="216">
        <f t="shared" ref="V7:V11" si="10">232*U7</f>
        <v>0</v>
      </c>
      <c r="W7" s="216"/>
      <c r="X7" s="19">
        <f t="shared" ref="X7:X11" si="11">W7*100</f>
        <v>0</v>
      </c>
      <c r="Y7" s="89">
        <f t="shared" si="0"/>
        <v>26997.572500000002</v>
      </c>
    </row>
    <row r="8" spans="1:25" ht="35.25" customHeight="1" x14ac:dyDescent="0.25">
      <c r="A8" s="12">
        <v>1967020280</v>
      </c>
      <c r="B8" s="213" t="s">
        <v>73</v>
      </c>
      <c r="C8" s="216">
        <v>13560</v>
      </c>
      <c r="D8" s="217">
        <f t="shared" si="1"/>
        <v>13187.1</v>
      </c>
      <c r="E8" s="216"/>
      <c r="F8" s="216">
        <f t="shared" si="2"/>
        <v>0</v>
      </c>
      <c r="G8" s="216"/>
      <c r="H8" s="216">
        <f t="shared" si="3"/>
        <v>0</v>
      </c>
      <c r="I8" s="216"/>
      <c r="J8" s="216">
        <f t="shared" si="4"/>
        <v>0</v>
      </c>
      <c r="K8" s="216"/>
      <c r="L8" s="216">
        <f t="shared" si="5"/>
        <v>0</v>
      </c>
      <c r="M8" s="216"/>
      <c r="N8" s="217">
        <f t="shared" si="6"/>
        <v>0</v>
      </c>
      <c r="O8" s="216"/>
      <c r="P8" s="217">
        <f t="shared" si="7"/>
        <v>0</v>
      </c>
      <c r="Q8" s="217"/>
      <c r="R8" s="217">
        <f t="shared" si="8"/>
        <v>0</v>
      </c>
      <c r="S8" s="216"/>
      <c r="T8" s="216">
        <f t="shared" si="9"/>
        <v>0</v>
      </c>
      <c r="U8" s="216"/>
      <c r="V8" s="216">
        <f t="shared" si="10"/>
        <v>0</v>
      </c>
      <c r="W8" s="216"/>
      <c r="X8" s="19">
        <f t="shared" si="11"/>
        <v>0</v>
      </c>
      <c r="Y8" s="89">
        <f t="shared" si="0"/>
        <v>13187.1</v>
      </c>
    </row>
    <row r="9" spans="1:25" ht="38.25" customHeight="1" x14ac:dyDescent="0.25">
      <c r="A9" s="12">
        <v>1409935199</v>
      </c>
      <c r="B9" s="213" t="s">
        <v>75</v>
      </c>
      <c r="C9" s="216">
        <v>9086</v>
      </c>
      <c r="D9" s="217">
        <f t="shared" si="1"/>
        <v>8836.1350000000002</v>
      </c>
      <c r="E9" s="216"/>
      <c r="F9" s="216">
        <f t="shared" si="2"/>
        <v>0</v>
      </c>
      <c r="G9" s="216"/>
      <c r="H9" s="216">
        <f t="shared" si="3"/>
        <v>0</v>
      </c>
      <c r="I9" s="216"/>
      <c r="J9" s="216">
        <f t="shared" si="4"/>
        <v>0</v>
      </c>
      <c r="K9" s="216"/>
      <c r="L9" s="216">
        <f t="shared" si="5"/>
        <v>0</v>
      </c>
      <c r="M9" s="216"/>
      <c r="N9" s="217">
        <f t="shared" si="6"/>
        <v>0</v>
      </c>
      <c r="O9" s="216"/>
      <c r="P9" s="217">
        <f t="shared" si="7"/>
        <v>0</v>
      </c>
      <c r="Q9" s="217"/>
      <c r="R9" s="217">
        <f t="shared" si="8"/>
        <v>0</v>
      </c>
      <c r="S9" s="216"/>
      <c r="T9" s="216">
        <f t="shared" si="9"/>
        <v>0</v>
      </c>
      <c r="U9" s="216"/>
      <c r="V9" s="216">
        <f t="shared" si="10"/>
        <v>0</v>
      </c>
      <c r="W9" s="216"/>
      <c r="X9" s="19">
        <f t="shared" si="11"/>
        <v>0</v>
      </c>
      <c r="Y9" s="89">
        <f t="shared" si="0"/>
        <v>8836.1350000000002</v>
      </c>
    </row>
    <row r="10" spans="1:25" ht="35.25" customHeight="1" x14ac:dyDescent="0.25">
      <c r="A10" s="12">
        <v>1984225580</v>
      </c>
      <c r="C10" s="216"/>
      <c r="D10" s="217">
        <f t="shared" si="1"/>
        <v>0</v>
      </c>
      <c r="E10" s="216"/>
      <c r="F10" s="216">
        <f t="shared" si="2"/>
        <v>0</v>
      </c>
      <c r="G10" s="216"/>
      <c r="H10" s="216">
        <f t="shared" si="3"/>
        <v>0</v>
      </c>
      <c r="I10" s="216"/>
      <c r="J10" s="216">
        <f t="shared" si="4"/>
        <v>0</v>
      </c>
      <c r="K10" s="216"/>
      <c r="L10" s="216">
        <f t="shared" si="5"/>
        <v>0</v>
      </c>
      <c r="M10" s="216"/>
      <c r="N10" s="217">
        <f t="shared" si="6"/>
        <v>0</v>
      </c>
      <c r="O10" s="216"/>
      <c r="P10" s="217">
        <f t="shared" si="7"/>
        <v>0</v>
      </c>
      <c r="Q10" s="217"/>
      <c r="R10" s="217">
        <f t="shared" si="8"/>
        <v>0</v>
      </c>
      <c r="S10" s="216"/>
      <c r="T10" s="216">
        <f t="shared" si="9"/>
        <v>0</v>
      </c>
      <c r="U10" s="216"/>
      <c r="V10" s="216">
        <f t="shared" si="10"/>
        <v>0</v>
      </c>
      <c r="W10" s="216"/>
      <c r="X10" s="19">
        <f t="shared" si="11"/>
        <v>0</v>
      </c>
      <c r="Y10" s="89">
        <f t="shared" si="0"/>
        <v>0</v>
      </c>
    </row>
    <row r="11" spans="1:25" ht="37.5" customHeight="1" x14ac:dyDescent="0.25">
      <c r="A11" s="12"/>
      <c r="B11" s="215"/>
      <c r="C11" s="216"/>
      <c r="D11" s="22">
        <f t="shared" si="1"/>
        <v>0</v>
      </c>
      <c r="E11" s="216"/>
      <c r="F11" s="216">
        <f t="shared" si="2"/>
        <v>0</v>
      </c>
      <c r="G11" s="216"/>
      <c r="H11" s="216">
        <f t="shared" si="3"/>
        <v>0</v>
      </c>
      <c r="I11" s="216"/>
      <c r="J11" s="216">
        <f t="shared" si="4"/>
        <v>0</v>
      </c>
      <c r="K11" s="216"/>
      <c r="L11" s="216">
        <f t="shared" si="5"/>
        <v>0</v>
      </c>
      <c r="M11" s="216"/>
      <c r="N11" s="217">
        <f t="shared" si="6"/>
        <v>0</v>
      </c>
      <c r="O11" s="216"/>
      <c r="P11" s="217">
        <f t="shared" si="7"/>
        <v>0</v>
      </c>
      <c r="Q11" s="217"/>
      <c r="R11" s="217">
        <f t="shared" si="8"/>
        <v>0</v>
      </c>
      <c r="S11" s="216">
        <v>135</v>
      </c>
      <c r="T11" s="216">
        <f t="shared" si="9"/>
        <v>32535</v>
      </c>
      <c r="U11" s="216"/>
      <c r="V11" s="216">
        <f t="shared" si="10"/>
        <v>0</v>
      </c>
      <c r="W11" s="216"/>
      <c r="X11" s="19">
        <f t="shared" si="11"/>
        <v>0</v>
      </c>
      <c r="Y11" s="20">
        <f t="shared" si="0"/>
        <v>32535</v>
      </c>
    </row>
    <row r="12" spans="1:25" ht="29.25" customHeight="1" x14ac:dyDescent="0.25">
      <c r="A12" s="2235" t="s">
        <v>31</v>
      </c>
      <c r="B12" s="2235"/>
      <c r="C12" s="18">
        <f t="shared" ref="C12:Y12" si="12">SUM(C6:C11)</f>
        <v>73268</v>
      </c>
      <c r="D12" s="18">
        <f t="shared" si="12"/>
        <v>71253.13</v>
      </c>
      <c r="E12" s="18">
        <f t="shared" si="12"/>
        <v>0</v>
      </c>
      <c r="F12" s="18">
        <f t="shared" si="12"/>
        <v>0</v>
      </c>
      <c r="G12" s="18">
        <f t="shared" si="12"/>
        <v>0</v>
      </c>
      <c r="H12" s="18">
        <f t="shared" si="12"/>
        <v>0</v>
      </c>
      <c r="I12" s="18">
        <f t="shared" si="12"/>
        <v>0</v>
      </c>
      <c r="J12" s="18">
        <f t="shared" si="12"/>
        <v>0</v>
      </c>
      <c r="K12" s="18">
        <f t="shared" si="12"/>
        <v>0</v>
      </c>
      <c r="L12" s="18">
        <f t="shared" si="12"/>
        <v>0</v>
      </c>
      <c r="M12" s="18">
        <f t="shared" si="12"/>
        <v>0</v>
      </c>
      <c r="N12" s="23">
        <f t="shared" si="12"/>
        <v>0</v>
      </c>
      <c r="O12" s="18">
        <f t="shared" si="12"/>
        <v>0</v>
      </c>
      <c r="P12" s="23">
        <f t="shared" si="12"/>
        <v>0</v>
      </c>
      <c r="Q12" s="23">
        <f t="shared" si="12"/>
        <v>0</v>
      </c>
      <c r="R12" s="23">
        <f>SUM(R6:R11)</f>
        <v>0</v>
      </c>
      <c r="S12" s="18">
        <f t="shared" si="12"/>
        <v>135</v>
      </c>
      <c r="T12" s="18">
        <f t="shared" si="12"/>
        <v>32535</v>
      </c>
      <c r="U12" s="18">
        <f t="shared" si="12"/>
        <v>0</v>
      </c>
      <c r="V12" s="18">
        <f t="shared" si="12"/>
        <v>0</v>
      </c>
      <c r="W12" s="18">
        <f t="shared" si="12"/>
        <v>0</v>
      </c>
      <c r="X12" s="18">
        <f t="shared" si="12"/>
        <v>0</v>
      </c>
      <c r="Y12" s="18">
        <f t="shared" si="12"/>
        <v>103788.13</v>
      </c>
    </row>
    <row r="14" spans="1:25" ht="41.25" customHeight="1" x14ac:dyDescent="0.25">
      <c r="A14" s="30" t="s">
        <v>32</v>
      </c>
      <c r="B14" s="2236" t="s">
        <v>27</v>
      </c>
      <c r="C14" s="2236"/>
      <c r="D14" s="30" t="s">
        <v>33</v>
      </c>
      <c r="E14" s="30" t="s">
        <v>65</v>
      </c>
      <c r="F14" s="30" t="s">
        <v>34</v>
      </c>
      <c r="G14" s="30" t="s">
        <v>13</v>
      </c>
      <c r="H14" s="142" t="s">
        <v>173</v>
      </c>
      <c r="I14" s="30" t="s">
        <v>17</v>
      </c>
      <c r="J14" s="221" t="s">
        <v>174</v>
      </c>
      <c r="K14" s="30" t="s">
        <v>36</v>
      </c>
      <c r="L14" s="30" t="s">
        <v>175</v>
      </c>
      <c r="M14" s="30" t="s">
        <v>69</v>
      </c>
      <c r="N14" s="30" t="s">
        <v>70</v>
      </c>
      <c r="O14" s="221" t="s">
        <v>114</v>
      </c>
      <c r="P14" s="221" t="s">
        <v>99</v>
      </c>
      <c r="Q14" s="2272" t="s">
        <v>256</v>
      </c>
      <c r="R14" s="2272"/>
      <c r="S14" s="221"/>
      <c r="T14" s="2235" t="s">
        <v>46</v>
      </c>
      <c r="U14" s="213" t="s">
        <v>176</v>
      </c>
      <c r="V14" s="2260">
        <v>3116</v>
      </c>
      <c r="W14" s="2268"/>
      <c r="X14" s="2261"/>
    </row>
    <row r="15" spans="1:25" ht="22.5" customHeight="1" x14ac:dyDescent="0.25">
      <c r="A15" s="100" t="s">
        <v>38</v>
      </c>
      <c r="B15" s="2260">
        <v>28926</v>
      </c>
      <c r="C15" s="2261"/>
      <c r="D15" s="218">
        <v>0</v>
      </c>
      <c r="E15" s="218">
        <v>0</v>
      </c>
      <c r="F15" s="218">
        <v>0</v>
      </c>
      <c r="G15" s="218">
        <v>0</v>
      </c>
      <c r="H15" s="218">
        <v>47</v>
      </c>
      <c r="I15" s="218">
        <v>0</v>
      </c>
      <c r="J15" s="218">
        <v>94</v>
      </c>
      <c r="K15" s="218">
        <v>47</v>
      </c>
      <c r="L15" s="218">
        <v>0</v>
      </c>
      <c r="M15" s="218">
        <v>0</v>
      </c>
      <c r="N15" s="218">
        <v>100</v>
      </c>
      <c r="O15" s="218">
        <v>0</v>
      </c>
      <c r="P15" s="218">
        <v>417</v>
      </c>
      <c r="Q15" s="2262">
        <v>673</v>
      </c>
      <c r="R15" s="2262"/>
      <c r="S15" s="213">
        <v>0</v>
      </c>
      <c r="T15" s="2235"/>
      <c r="U15" s="213" t="s">
        <v>64</v>
      </c>
      <c r="V15" s="2262">
        <v>33022</v>
      </c>
      <c r="W15" s="2262"/>
      <c r="X15" s="2262"/>
    </row>
    <row r="16" spans="1:25" ht="24.75" customHeight="1" x14ac:dyDescent="0.25">
      <c r="A16" s="100" t="s">
        <v>39</v>
      </c>
      <c r="B16" s="2260">
        <v>389818</v>
      </c>
      <c r="C16" s="2261"/>
      <c r="D16" s="218"/>
      <c r="E16" s="218">
        <v>3000</v>
      </c>
      <c r="F16" s="218">
        <v>20000</v>
      </c>
      <c r="G16" s="218"/>
      <c r="H16" s="218">
        <v>735</v>
      </c>
      <c r="I16" s="218">
        <v>100</v>
      </c>
      <c r="J16" s="218"/>
      <c r="K16" s="218">
        <v>25</v>
      </c>
      <c r="L16" s="218">
        <v>52</v>
      </c>
      <c r="M16" s="218"/>
      <c r="N16" s="218"/>
      <c r="O16" s="218"/>
      <c r="P16" s="218"/>
      <c r="Q16" s="2225"/>
      <c r="R16" s="2225"/>
      <c r="S16" s="218"/>
      <c r="T16" s="2254" t="s">
        <v>55</v>
      </c>
      <c r="U16" s="2254"/>
      <c r="V16" s="2267">
        <f>Y12</f>
        <v>103788.13</v>
      </c>
      <c r="W16" s="2267"/>
      <c r="X16" s="2262"/>
    </row>
    <row r="17" spans="1:25" ht="28.5" customHeight="1" x14ac:dyDescent="0.25">
      <c r="A17" s="101" t="s">
        <v>44</v>
      </c>
      <c r="B17" s="2260"/>
      <c r="C17" s="2261"/>
      <c r="D17" s="218"/>
      <c r="E17" s="218"/>
      <c r="F17" s="218"/>
      <c r="G17" s="218"/>
      <c r="H17" s="218"/>
      <c r="I17" s="218"/>
      <c r="J17" s="218"/>
      <c r="K17" s="218"/>
      <c r="L17" s="218"/>
      <c r="M17" s="218"/>
      <c r="N17" s="218"/>
      <c r="O17" s="218"/>
      <c r="P17" s="218"/>
      <c r="Q17" s="2225"/>
      <c r="R17" s="2225"/>
      <c r="S17" s="215"/>
      <c r="T17" s="2273" t="s">
        <v>250</v>
      </c>
      <c r="U17" s="2274"/>
      <c r="V17" s="2262"/>
      <c r="W17" s="2262"/>
      <c r="X17" s="2262"/>
    </row>
    <row r="18" spans="1:25" ht="27" customHeight="1" x14ac:dyDescent="0.25">
      <c r="A18" s="100" t="s">
        <v>40</v>
      </c>
      <c r="B18" s="2264">
        <f>C12</f>
        <v>73268</v>
      </c>
      <c r="C18" s="2261"/>
      <c r="D18" s="219">
        <f>E12</f>
        <v>0</v>
      </c>
      <c r="E18" s="219">
        <f>G12</f>
        <v>0</v>
      </c>
      <c r="F18" s="219">
        <f>I12</f>
        <v>0</v>
      </c>
      <c r="G18" s="219">
        <f>K12</f>
        <v>0</v>
      </c>
      <c r="H18" s="218">
        <v>52</v>
      </c>
      <c r="I18" s="219">
        <f>U12</f>
        <v>0</v>
      </c>
      <c r="J18" s="218"/>
      <c r="K18" s="219">
        <f>W12</f>
        <v>0</v>
      </c>
      <c r="L18" s="218"/>
      <c r="M18" s="219">
        <f>M12</f>
        <v>0</v>
      </c>
      <c r="N18" s="219">
        <f>O12</f>
        <v>0</v>
      </c>
      <c r="O18" s="220">
        <f>Q12</f>
        <v>0</v>
      </c>
      <c r="P18" s="218"/>
      <c r="Q18" s="2262">
        <v>135</v>
      </c>
      <c r="R18" s="2262"/>
      <c r="S18" s="213"/>
      <c r="T18" s="2254" t="s">
        <v>57</v>
      </c>
      <c r="U18" s="2254"/>
      <c r="V18" s="2262">
        <f>500+3742+16000</f>
        <v>20242</v>
      </c>
      <c r="W18" s="2262"/>
      <c r="X18" s="2262"/>
      <c r="Y18" s="2269" t="s">
        <v>257</v>
      </c>
    </row>
    <row r="19" spans="1:25" ht="25.5" customHeight="1" x14ac:dyDescent="0.25">
      <c r="A19" s="100" t="s">
        <v>41</v>
      </c>
      <c r="B19" s="2260">
        <f>B15+B16+B17-B18</f>
        <v>345476</v>
      </c>
      <c r="C19" s="2261"/>
      <c r="D19" s="218">
        <f>D15+D16+D17-D18</f>
        <v>0</v>
      </c>
      <c r="E19" s="218">
        <f t="shared" ref="E19:N19" si="13">E15+E16+E17-E18</f>
        <v>3000</v>
      </c>
      <c r="F19" s="218">
        <f t="shared" si="13"/>
        <v>20000</v>
      </c>
      <c r="G19" s="218">
        <f t="shared" si="13"/>
        <v>0</v>
      </c>
      <c r="H19" s="218">
        <f t="shared" si="13"/>
        <v>730</v>
      </c>
      <c r="I19" s="218">
        <f t="shared" si="13"/>
        <v>100</v>
      </c>
      <c r="J19" s="218">
        <f t="shared" si="13"/>
        <v>94</v>
      </c>
      <c r="K19" s="218">
        <f t="shared" si="13"/>
        <v>72</v>
      </c>
      <c r="L19" s="218">
        <f t="shared" si="13"/>
        <v>52</v>
      </c>
      <c r="M19" s="218">
        <f t="shared" si="13"/>
        <v>0</v>
      </c>
      <c r="N19" s="218">
        <f t="shared" si="13"/>
        <v>100</v>
      </c>
      <c r="O19" s="218">
        <f>O15+O16+O17-O18</f>
        <v>0</v>
      </c>
      <c r="P19" s="218">
        <f>P15+P16+P17-P18</f>
        <v>417</v>
      </c>
      <c r="Q19" s="2260">
        <f t="shared" ref="Q19" si="14">Q15+Q16+Q17-Q18</f>
        <v>538</v>
      </c>
      <c r="R19" s="2261"/>
      <c r="S19" s="213">
        <f>S15+S16-S17-S18</f>
        <v>0</v>
      </c>
      <c r="T19" s="2256" t="s">
        <v>48</v>
      </c>
      <c r="U19" s="49" t="s">
        <v>58</v>
      </c>
      <c r="V19" s="2262">
        <v>20000</v>
      </c>
      <c r="W19" s="2262"/>
      <c r="X19" s="2262"/>
      <c r="Y19" s="2269"/>
    </row>
    <row r="20" spans="1:25" ht="23.25" customHeight="1" x14ac:dyDescent="0.25">
      <c r="A20" s="210" t="s">
        <v>187</v>
      </c>
      <c r="B20" s="2284">
        <f>B19*0.9625</f>
        <v>332520.65000000002</v>
      </c>
      <c r="C20" s="2285"/>
      <c r="D20" s="211">
        <f>D19*13.56</f>
        <v>0</v>
      </c>
      <c r="E20" s="211">
        <f>28.2*E19</f>
        <v>84600</v>
      </c>
      <c r="F20" s="211">
        <f>18.31*F19</f>
        <v>366200</v>
      </c>
      <c r="G20" s="211">
        <f>19.3*G19</f>
        <v>0</v>
      </c>
      <c r="H20" s="211">
        <f>241*H19</f>
        <v>175930</v>
      </c>
      <c r="I20" s="211">
        <f>223*I19</f>
        <v>22300</v>
      </c>
      <c r="J20" s="211">
        <f>241*J19</f>
        <v>22654</v>
      </c>
      <c r="K20" s="211">
        <f>K19*100</f>
        <v>7200</v>
      </c>
      <c r="L20" s="211">
        <f>241*L19</f>
        <v>12532</v>
      </c>
      <c r="M20" s="211">
        <f>9.65*M19</f>
        <v>0</v>
      </c>
      <c r="N20" s="211">
        <f>N19*48.2</f>
        <v>4820</v>
      </c>
      <c r="O20" s="211">
        <f>241*O19</f>
        <v>0</v>
      </c>
      <c r="P20" s="211">
        <f>241*P19</f>
        <v>100497</v>
      </c>
      <c r="Q20" s="2284">
        <f>241*Q19</f>
        <v>129658</v>
      </c>
      <c r="R20" s="2285"/>
      <c r="S20" s="211">
        <f>241*S19</f>
        <v>0</v>
      </c>
      <c r="T20" s="2257"/>
      <c r="U20" s="49" t="s">
        <v>59</v>
      </c>
      <c r="V20" s="2262">
        <v>8435</v>
      </c>
      <c r="W20" s="2262"/>
      <c r="X20" s="2262"/>
      <c r="Y20" s="2269"/>
    </row>
    <row r="21" spans="1:25" ht="32.25" customHeight="1" x14ac:dyDescent="0.25">
      <c r="A21" s="143" t="s">
        <v>186</v>
      </c>
      <c r="B21" s="2283">
        <f>SUM(B20:S20)</f>
        <v>1258911.6499999999</v>
      </c>
      <c r="C21" s="2283"/>
      <c r="O21" s="222"/>
      <c r="P21" s="222"/>
      <c r="Q21" s="222"/>
      <c r="R21" s="222"/>
      <c r="T21" s="2273" t="s">
        <v>167</v>
      </c>
      <c r="U21" s="2274"/>
      <c r="V21" s="2260">
        <v>70000</v>
      </c>
      <c r="W21" s="2268"/>
      <c r="X21" s="2261"/>
      <c r="Y21" s="2269"/>
    </row>
    <row r="22" spans="1:25" ht="35.25" customHeight="1" x14ac:dyDescent="0.25">
      <c r="A22" s="15"/>
      <c r="B22" s="2275" t="s">
        <v>49</v>
      </c>
      <c r="C22" s="2265">
        <v>20000</v>
      </c>
      <c r="D22" s="2265">
        <v>20000</v>
      </c>
      <c r="E22" s="2265">
        <v>1018637</v>
      </c>
      <c r="F22" s="2265">
        <f>C22-D22+E22</f>
        <v>1018637</v>
      </c>
      <c r="G22" s="222"/>
      <c r="Q22" s="222"/>
      <c r="R22" s="222"/>
      <c r="T22" s="2251" t="s">
        <v>83</v>
      </c>
      <c r="U22" s="50" t="s">
        <v>60</v>
      </c>
      <c r="V22" s="2262">
        <v>71460</v>
      </c>
      <c r="W22" s="2262"/>
      <c r="X22" s="2262"/>
      <c r="Y22" s="2269"/>
    </row>
    <row r="23" spans="1:25" ht="39.75" customHeight="1" x14ac:dyDescent="0.25">
      <c r="A23" s="222"/>
      <c r="B23" s="2276"/>
      <c r="C23" s="2266"/>
      <c r="D23" s="2266"/>
      <c r="E23" s="2266"/>
      <c r="F23" s="2266"/>
      <c r="G23" s="222"/>
      <c r="Q23" s="222"/>
      <c r="R23" s="222"/>
      <c r="T23" s="2252"/>
      <c r="U23" s="50" t="s">
        <v>61</v>
      </c>
      <c r="V23" s="2262">
        <v>90000</v>
      </c>
      <c r="W23" s="2262"/>
      <c r="X23" s="2262"/>
      <c r="Y23" s="2269"/>
    </row>
    <row r="24" spans="1:25" ht="48" customHeight="1" x14ac:dyDescent="0.25">
      <c r="A24" s="222"/>
      <c r="B24" s="2277"/>
      <c r="C24" s="213" t="s">
        <v>46</v>
      </c>
      <c r="D24" s="213" t="s">
        <v>50</v>
      </c>
      <c r="E24" s="213" t="s">
        <v>51</v>
      </c>
      <c r="F24" s="213" t="s">
        <v>52</v>
      </c>
      <c r="G24" s="222"/>
      <c r="Q24" s="222"/>
      <c r="R24" s="222"/>
      <c r="T24" s="2235" t="s">
        <v>47</v>
      </c>
      <c r="U24" s="51" t="s">
        <v>62</v>
      </c>
      <c r="V24" s="2263">
        <f>V14+V16+V17-V18-V19-V20-V22+V23-V21</f>
        <v>6767.1300000000047</v>
      </c>
      <c r="W24" s="2263"/>
      <c r="X24" s="2263"/>
      <c r="Y24" s="2269"/>
    </row>
    <row r="25" spans="1:25" ht="40.5" customHeight="1" x14ac:dyDescent="0.25">
      <c r="T25" s="2235"/>
      <c r="U25" s="51" t="s">
        <v>63</v>
      </c>
      <c r="V25" s="2262">
        <f>V15+V22-V23</f>
        <v>14482</v>
      </c>
      <c r="W25" s="2262"/>
      <c r="X25" s="2262"/>
    </row>
    <row r="26" spans="1:25" ht="36" customHeight="1" x14ac:dyDescent="0.25"/>
    <row r="32" spans="1:25" x14ac:dyDescent="0.25">
      <c r="I32" s="2280"/>
      <c r="J32" s="2280"/>
      <c r="K32" s="2280"/>
      <c r="L32" s="2280"/>
    </row>
    <row r="33" spans="9:12" x14ac:dyDescent="0.25">
      <c r="I33" s="222"/>
      <c r="J33" s="222"/>
      <c r="K33" s="2280"/>
      <c r="L33" s="2280"/>
    </row>
  </sheetData>
  <mergeCells count="62">
    <mergeCell ref="I32:J32"/>
    <mergeCell ref="K32:L32"/>
    <mergeCell ref="K33:L33"/>
    <mergeCell ref="T22:T23"/>
    <mergeCell ref="V22:X22"/>
    <mergeCell ref="V23:X23"/>
    <mergeCell ref="T24:T25"/>
    <mergeCell ref="V24:X24"/>
    <mergeCell ref="V25:X25"/>
    <mergeCell ref="Y18:Y24"/>
    <mergeCell ref="B19:C19"/>
    <mergeCell ref="Q19:R19"/>
    <mergeCell ref="T19:T20"/>
    <mergeCell ref="V19:X19"/>
    <mergeCell ref="B20:C20"/>
    <mergeCell ref="B22:B24"/>
    <mergeCell ref="C22:C23"/>
    <mergeCell ref="D22:D23"/>
    <mergeCell ref="E22:E23"/>
    <mergeCell ref="F22:F23"/>
    <mergeCell ref="Q20:R20"/>
    <mergeCell ref="V20:X20"/>
    <mergeCell ref="B21:C21"/>
    <mergeCell ref="T21:U21"/>
    <mergeCell ref="V21:X21"/>
    <mergeCell ref="B17:C17"/>
    <mergeCell ref="Q17:R17"/>
    <mergeCell ref="T17:U17"/>
    <mergeCell ref="V17:X17"/>
    <mergeCell ref="B18:C18"/>
    <mergeCell ref="Q18:R18"/>
    <mergeCell ref="T18:U18"/>
    <mergeCell ref="V18:X18"/>
    <mergeCell ref="W4:X4"/>
    <mergeCell ref="B16:C16"/>
    <mergeCell ref="Q16:R16"/>
    <mergeCell ref="T16:U16"/>
    <mergeCell ref="V16:X16"/>
    <mergeCell ref="A12:B12"/>
    <mergeCell ref="B14:C14"/>
    <mergeCell ref="Q14:R14"/>
    <mergeCell ref="T14:T15"/>
    <mergeCell ref="V14:X14"/>
    <mergeCell ref="B15:C15"/>
    <mergeCell ref="Q15:R15"/>
    <mergeCell ref="V15:X15"/>
    <mergeCell ref="A1:Y1"/>
    <mergeCell ref="A2:Y2"/>
    <mergeCell ref="T3:Y3"/>
    <mergeCell ref="A4:A5"/>
    <mergeCell ref="B4:B5"/>
    <mergeCell ref="C4:D4"/>
    <mergeCell ref="E4:F4"/>
    <mergeCell ref="G4:H4"/>
    <mergeCell ref="I4:J4"/>
    <mergeCell ref="K4:L4"/>
    <mergeCell ref="Y4:Y5"/>
    <mergeCell ref="M4:N4"/>
    <mergeCell ref="O4:P4"/>
    <mergeCell ref="Q4:R4"/>
    <mergeCell ref="S4:T4"/>
    <mergeCell ref="U4:V4"/>
  </mergeCells>
  <pageMargins left="0.15748031496063" right="0.15748031496063" top="0" bottom="0" header="0" footer="0"/>
  <pageSetup paperSize="9" scale="47" orientation="landscape" r:id="rId1"/>
  <legacyDrawing r:id="rId2"/>
</worksheet>
</file>

<file path=xl/worksheets/sheet8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35D6E19-1573-4EB0-B216-F519294BCF6B}">
  <sheetPr>
    <pageSetUpPr fitToPage="1"/>
  </sheetPr>
  <dimension ref="A1:Y33"/>
  <sheetViews>
    <sheetView topLeftCell="A4" zoomScale="71" zoomScaleNormal="71" zoomScaleSheetLayoutView="100" workbookViewId="0">
      <selection activeCell="V18" sqref="V18:X18"/>
    </sheetView>
  </sheetViews>
  <sheetFormatPr defaultColWidth="9.140625" defaultRowHeight="15" x14ac:dyDescent="0.25"/>
  <cols>
    <col min="1" max="1" width="18.28515625" style="14" customWidth="1"/>
    <col min="2" max="2" width="10.7109375" style="14" customWidth="1"/>
    <col min="3" max="3" width="12.28515625" style="14" customWidth="1"/>
    <col min="4" max="4" width="11" style="14" customWidth="1"/>
    <col min="5" max="5" width="12" style="14" customWidth="1"/>
    <col min="6" max="6" width="12.5703125" style="14" bestFit="1" customWidth="1"/>
    <col min="7" max="7" width="9.28515625" style="14" bestFit="1" customWidth="1"/>
    <col min="8" max="8" width="10.140625" style="14" bestFit="1" customWidth="1"/>
    <col min="9" max="9" width="10.5703125" style="14" bestFit="1" customWidth="1"/>
    <col min="10" max="10" width="10.5703125" style="14" customWidth="1"/>
    <col min="11" max="11" width="10.28515625" style="14" bestFit="1" customWidth="1"/>
    <col min="12" max="12" width="10.42578125" style="14" bestFit="1" customWidth="1"/>
    <col min="13" max="13" width="9.85546875" style="14" bestFit="1" customWidth="1"/>
    <col min="14" max="14" width="10.140625" style="14" bestFit="1" customWidth="1"/>
    <col min="15" max="15" width="9" style="14" customWidth="1"/>
    <col min="16" max="16" width="12.85546875" style="14" bestFit="1" customWidth="1"/>
    <col min="17" max="18" width="9.42578125" style="14" customWidth="1"/>
    <col min="19" max="19" width="13.7109375" style="14" customWidth="1"/>
    <col min="20" max="20" width="12.140625" style="14" customWidth="1"/>
    <col min="21" max="21" width="19.5703125" style="14" bestFit="1" customWidth="1"/>
    <col min="22" max="22" width="9.85546875" style="14" customWidth="1"/>
    <col min="23" max="23" width="10.140625" style="14" bestFit="1" customWidth="1"/>
    <col min="24" max="24" width="10.28515625" style="14" customWidth="1"/>
    <col min="25" max="25" width="28" style="14" customWidth="1"/>
    <col min="26" max="16384" width="9.140625" style="14"/>
  </cols>
  <sheetData>
    <row r="1" spans="1:25" ht="46.15" customHeight="1" x14ac:dyDescent="0.25">
      <c r="A1" s="2240" t="s">
        <v>148</v>
      </c>
      <c r="B1" s="2240"/>
      <c r="C1" s="2240"/>
      <c r="D1" s="2240"/>
      <c r="E1" s="2240"/>
      <c r="F1" s="2240"/>
      <c r="G1" s="2240"/>
      <c r="H1" s="2240"/>
      <c r="I1" s="2240"/>
      <c r="J1" s="2240"/>
      <c r="K1" s="2240"/>
      <c r="L1" s="2240"/>
      <c r="M1" s="2240"/>
      <c r="N1" s="2240"/>
      <c r="O1" s="2240"/>
      <c r="P1" s="2240"/>
      <c r="Q1" s="2240"/>
      <c r="R1" s="2240"/>
      <c r="S1" s="2240"/>
      <c r="T1" s="2240"/>
      <c r="U1" s="2240"/>
      <c r="V1" s="2240"/>
      <c r="W1" s="2240"/>
      <c r="X1" s="2240"/>
      <c r="Y1" s="2240"/>
    </row>
    <row r="2" spans="1:25" ht="21.6" customHeight="1" x14ac:dyDescent="0.25">
      <c r="A2" s="2241" t="s">
        <v>77</v>
      </c>
      <c r="B2" s="2241"/>
      <c r="C2" s="2241"/>
      <c r="D2" s="2241"/>
      <c r="E2" s="2241"/>
      <c r="F2" s="2241"/>
      <c r="G2" s="2241"/>
      <c r="H2" s="2241"/>
      <c r="I2" s="2241"/>
      <c r="J2" s="2241"/>
      <c r="K2" s="2241"/>
      <c r="L2" s="2241"/>
      <c r="M2" s="2241"/>
      <c r="N2" s="2241"/>
      <c r="O2" s="2241"/>
      <c r="P2" s="2241"/>
      <c r="Q2" s="2241"/>
      <c r="R2" s="2241"/>
      <c r="S2" s="2241"/>
      <c r="T2" s="2241"/>
      <c r="U2" s="2241"/>
      <c r="V2" s="2241"/>
      <c r="W2" s="2241"/>
      <c r="X2" s="2241"/>
      <c r="Y2" s="2241"/>
    </row>
    <row r="3" spans="1:25" ht="21" customHeight="1" x14ac:dyDescent="0.25">
      <c r="A3" s="212"/>
      <c r="B3" s="212"/>
      <c r="C3" s="212"/>
      <c r="D3" s="212"/>
      <c r="E3" s="212"/>
      <c r="F3" s="212"/>
      <c r="G3" s="212"/>
      <c r="H3" s="212"/>
      <c r="I3" s="212"/>
      <c r="J3" s="212"/>
      <c r="K3" s="212"/>
      <c r="L3" s="212"/>
      <c r="M3" s="212"/>
      <c r="N3" s="212"/>
      <c r="O3" s="212"/>
      <c r="P3" s="212"/>
      <c r="Q3" s="212"/>
      <c r="R3" s="212"/>
      <c r="S3" s="212"/>
      <c r="T3" s="2242" t="s">
        <v>258</v>
      </c>
      <c r="U3" s="2242"/>
      <c r="V3" s="2242"/>
      <c r="W3" s="2242"/>
      <c r="X3" s="2242"/>
      <c r="Y3" s="2242"/>
    </row>
    <row r="4" spans="1:25" s="212" customFormat="1" ht="18" customHeight="1" x14ac:dyDescent="0.25">
      <c r="A4" s="2243" t="s">
        <v>25</v>
      </c>
      <c r="B4" s="2243" t="s">
        <v>26</v>
      </c>
      <c r="C4" s="2244" t="s">
        <v>27</v>
      </c>
      <c r="D4" s="2244"/>
      <c r="E4" s="2244" t="s">
        <v>28</v>
      </c>
      <c r="F4" s="2244"/>
      <c r="G4" s="2244" t="s">
        <v>65</v>
      </c>
      <c r="H4" s="2244"/>
      <c r="I4" s="2244" t="s">
        <v>29</v>
      </c>
      <c r="J4" s="2244"/>
      <c r="K4" s="2245" t="s">
        <v>13</v>
      </c>
      <c r="L4" s="2246"/>
      <c r="M4" s="2245" t="s">
        <v>67</v>
      </c>
      <c r="N4" s="2246"/>
      <c r="O4" s="2245" t="s">
        <v>68</v>
      </c>
      <c r="P4" s="2246"/>
      <c r="Q4" s="2245" t="s">
        <v>114</v>
      </c>
      <c r="R4" s="2246"/>
      <c r="S4" s="2244" t="s">
        <v>35</v>
      </c>
      <c r="T4" s="2244"/>
      <c r="U4" s="2245" t="s">
        <v>17</v>
      </c>
      <c r="V4" s="2246"/>
      <c r="W4" s="2247" t="s">
        <v>36</v>
      </c>
      <c r="X4" s="2248"/>
      <c r="Y4" s="2238" t="s">
        <v>30</v>
      </c>
    </row>
    <row r="5" spans="1:25" s="212" customFormat="1" ht="25.5" customHeight="1" x14ac:dyDescent="0.25">
      <c r="A5" s="2243"/>
      <c r="B5" s="2243"/>
      <c r="C5" s="214" t="s">
        <v>42</v>
      </c>
      <c r="D5" s="214" t="s">
        <v>43</v>
      </c>
      <c r="E5" s="214" t="s">
        <v>42</v>
      </c>
      <c r="F5" s="214" t="s">
        <v>43</v>
      </c>
      <c r="G5" s="214" t="s">
        <v>42</v>
      </c>
      <c r="H5" s="214" t="s">
        <v>43</v>
      </c>
      <c r="I5" s="214" t="s">
        <v>42</v>
      </c>
      <c r="J5" s="214" t="s">
        <v>43</v>
      </c>
      <c r="K5" s="214" t="s">
        <v>42</v>
      </c>
      <c r="L5" s="214" t="s">
        <v>43</v>
      </c>
      <c r="M5" s="214" t="s">
        <v>42</v>
      </c>
      <c r="N5" s="214" t="s">
        <v>43</v>
      </c>
      <c r="O5" s="214" t="s">
        <v>42</v>
      </c>
      <c r="P5" s="214" t="s">
        <v>43</v>
      </c>
      <c r="Q5" s="214" t="s">
        <v>42</v>
      </c>
      <c r="R5" s="214" t="s">
        <v>43</v>
      </c>
      <c r="S5" s="33" t="s">
        <v>42</v>
      </c>
      <c r="T5" s="33" t="s">
        <v>43</v>
      </c>
      <c r="U5" s="30" t="s">
        <v>42</v>
      </c>
      <c r="V5" s="30" t="s">
        <v>43</v>
      </c>
      <c r="W5" s="30" t="s">
        <v>42</v>
      </c>
      <c r="X5" s="30" t="s">
        <v>43</v>
      </c>
      <c r="Y5" s="2239"/>
    </row>
    <row r="6" spans="1:25" ht="34.5" customHeight="1" x14ac:dyDescent="0.25">
      <c r="A6" s="12">
        <v>1409935200</v>
      </c>
      <c r="B6" s="213" t="s">
        <v>71</v>
      </c>
      <c r="C6" s="216">
        <v>23846</v>
      </c>
      <c r="D6" s="217">
        <f>0.9725*C6</f>
        <v>23190.235000000001</v>
      </c>
      <c r="E6" s="216"/>
      <c r="F6" s="216">
        <f>13.7*E6</f>
        <v>0</v>
      </c>
      <c r="G6" s="216">
        <v>850</v>
      </c>
      <c r="H6" s="216">
        <f>28.2*G6</f>
        <v>23970</v>
      </c>
      <c r="I6" s="216">
        <v>590</v>
      </c>
      <c r="J6" s="216">
        <f>18.5*I6</f>
        <v>10915</v>
      </c>
      <c r="K6" s="216"/>
      <c r="L6" s="216">
        <f>19.5*K6</f>
        <v>0</v>
      </c>
      <c r="M6" s="216"/>
      <c r="N6" s="217">
        <f>M6*9.75</f>
        <v>0</v>
      </c>
      <c r="O6" s="216"/>
      <c r="P6" s="217">
        <f>O6*48.62</f>
        <v>0</v>
      </c>
      <c r="Q6" s="217"/>
      <c r="R6" s="217">
        <f>241*Q6</f>
        <v>0</v>
      </c>
      <c r="S6" s="216"/>
      <c r="T6" s="216">
        <f>241*S6</f>
        <v>0</v>
      </c>
      <c r="U6" s="216">
        <v>10</v>
      </c>
      <c r="V6" s="216">
        <f>232*U6</f>
        <v>2320</v>
      </c>
      <c r="W6" s="216"/>
      <c r="X6" s="19">
        <f>W6*100</f>
        <v>0</v>
      </c>
      <c r="Y6" s="89">
        <f t="shared" ref="Y6:Y11" si="0">D6+F6+H6+J6+L6+N6+P6+R6+T6+V6+X6</f>
        <v>60395.235000000001</v>
      </c>
    </row>
    <row r="7" spans="1:25" ht="31.5" customHeight="1" x14ac:dyDescent="0.25">
      <c r="A7" s="12">
        <v>1984225578</v>
      </c>
      <c r="B7" s="213" t="s">
        <v>72</v>
      </c>
      <c r="C7" s="216">
        <v>22341</v>
      </c>
      <c r="D7" s="217">
        <f t="shared" ref="D7:D11" si="1">0.9725*C7</f>
        <v>21726.622500000001</v>
      </c>
      <c r="E7" s="216"/>
      <c r="F7" s="216">
        <f t="shared" ref="F7:F11" si="2">13.7*E7</f>
        <v>0</v>
      </c>
      <c r="G7" s="216">
        <v>200</v>
      </c>
      <c r="H7" s="216">
        <f t="shared" ref="H7:H11" si="3">28.2*G7</f>
        <v>5640</v>
      </c>
      <c r="I7" s="216">
        <v>2480</v>
      </c>
      <c r="J7" s="216">
        <f t="shared" ref="J7:J11" si="4">18.5*I7</f>
        <v>45880</v>
      </c>
      <c r="K7" s="216"/>
      <c r="L7" s="216">
        <f t="shared" ref="L7:L11" si="5">19.5*K7</f>
        <v>0</v>
      </c>
      <c r="M7" s="216"/>
      <c r="N7" s="217">
        <f t="shared" ref="N7:N11" si="6">M7*9.75</f>
        <v>0</v>
      </c>
      <c r="O7" s="216"/>
      <c r="P7" s="217">
        <f t="shared" ref="P7:P11" si="7">O7*48.62</f>
        <v>0</v>
      </c>
      <c r="Q7" s="217"/>
      <c r="R7" s="217">
        <f t="shared" ref="R7:R11" si="8">241*Q7</f>
        <v>0</v>
      </c>
      <c r="S7" s="216">
        <v>15</v>
      </c>
      <c r="T7" s="216">
        <f t="shared" ref="T7:T11" si="9">241*S7</f>
        <v>3615</v>
      </c>
      <c r="U7" s="216">
        <v>50</v>
      </c>
      <c r="V7" s="216">
        <f t="shared" ref="V7:V11" si="10">232*U7</f>
        <v>11600</v>
      </c>
      <c r="W7" s="216"/>
      <c r="X7" s="19">
        <f t="shared" ref="X7:X11" si="11">W7*100</f>
        <v>0</v>
      </c>
      <c r="Y7" s="89">
        <f t="shared" si="0"/>
        <v>88461.622499999998</v>
      </c>
    </row>
    <row r="8" spans="1:25" ht="35.25" customHeight="1" x14ac:dyDescent="0.25">
      <c r="A8" s="12">
        <v>1967020280</v>
      </c>
      <c r="B8" s="213" t="s">
        <v>73</v>
      </c>
      <c r="C8" s="216">
        <v>15577</v>
      </c>
      <c r="D8" s="217">
        <f t="shared" si="1"/>
        <v>15148.6325</v>
      </c>
      <c r="E8" s="216"/>
      <c r="F8" s="216">
        <f t="shared" si="2"/>
        <v>0</v>
      </c>
      <c r="G8" s="216">
        <v>90</v>
      </c>
      <c r="H8" s="216">
        <f t="shared" si="3"/>
        <v>2538</v>
      </c>
      <c r="I8" s="216">
        <v>580</v>
      </c>
      <c r="J8" s="216">
        <f t="shared" si="4"/>
        <v>10730</v>
      </c>
      <c r="K8" s="216"/>
      <c r="L8" s="216">
        <f t="shared" si="5"/>
        <v>0</v>
      </c>
      <c r="M8" s="216"/>
      <c r="N8" s="217">
        <f t="shared" si="6"/>
        <v>0</v>
      </c>
      <c r="O8" s="216"/>
      <c r="P8" s="217">
        <f t="shared" si="7"/>
        <v>0</v>
      </c>
      <c r="Q8" s="217"/>
      <c r="R8" s="217">
        <f t="shared" si="8"/>
        <v>0</v>
      </c>
      <c r="S8" s="216"/>
      <c r="T8" s="216">
        <f t="shared" si="9"/>
        <v>0</v>
      </c>
      <c r="U8" s="216"/>
      <c r="V8" s="216">
        <f t="shared" si="10"/>
        <v>0</v>
      </c>
      <c r="W8" s="216"/>
      <c r="X8" s="19">
        <f t="shared" si="11"/>
        <v>0</v>
      </c>
      <c r="Y8" s="89">
        <f t="shared" si="0"/>
        <v>28416.6325</v>
      </c>
    </row>
    <row r="9" spans="1:25" ht="38.25" customHeight="1" x14ac:dyDescent="0.25">
      <c r="A9" s="12">
        <v>1409935199</v>
      </c>
      <c r="B9" s="213" t="s">
        <v>75</v>
      </c>
      <c r="C9" s="216">
        <v>7736</v>
      </c>
      <c r="D9" s="217">
        <f t="shared" si="1"/>
        <v>7523.26</v>
      </c>
      <c r="E9" s="216"/>
      <c r="F9" s="216">
        <f t="shared" si="2"/>
        <v>0</v>
      </c>
      <c r="G9" s="216">
        <v>30</v>
      </c>
      <c r="H9" s="216">
        <f t="shared" si="3"/>
        <v>846</v>
      </c>
      <c r="I9" s="216">
        <v>1220</v>
      </c>
      <c r="J9" s="216">
        <f t="shared" si="4"/>
        <v>22570</v>
      </c>
      <c r="K9" s="216"/>
      <c r="L9" s="216">
        <f t="shared" si="5"/>
        <v>0</v>
      </c>
      <c r="M9" s="216"/>
      <c r="N9" s="217">
        <f t="shared" si="6"/>
        <v>0</v>
      </c>
      <c r="O9" s="216"/>
      <c r="P9" s="217">
        <f t="shared" si="7"/>
        <v>0</v>
      </c>
      <c r="Q9" s="217"/>
      <c r="R9" s="217">
        <f t="shared" si="8"/>
        <v>0</v>
      </c>
      <c r="S9" s="216">
        <v>10</v>
      </c>
      <c r="T9" s="216">
        <f t="shared" si="9"/>
        <v>2410</v>
      </c>
      <c r="U9" s="216">
        <v>5</v>
      </c>
      <c r="V9" s="216">
        <f t="shared" si="10"/>
        <v>1160</v>
      </c>
      <c r="W9" s="216"/>
      <c r="X9" s="19">
        <f t="shared" si="11"/>
        <v>0</v>
      </c>
      <c r="Y9" s="89">
        <f t="shared" si="0"/>
        <v>34509.26</v>
      </c>
    </row>
    <row r="10" spans="1:25" ht="35.25" customHeight="1" x14ac:dyDescent="0.25">
      <c r="A10" s="12">
        <v>1984225580</v>
      </c>
      <c r="C10" s="216"/>
      <c r="D10" s="217">
        <f t="shared" si="1"/>
        <v>0</v>
      </c>
      <c r="E10" s="216"/>
      <c r="F10" s="216">
        <f t="shared" si="2"/>
        <v>0</v>
      </c>
      <c r="G10" s="216"/>
      <c r="H10" s="216">
        <f t="shared" si="3"/>
        <v>0</v>
      </c>
      <c r="I10" s="216"/>
      <c r="J10" s="216">
        <f t="shared" si="4"/>
        <v>0</v>
      </c>
      <c r="K10" s="216"/>
      <c r="L10" s="216">
        <f t="shared" si="5"/>
        <v>0</v>
      </c>
      <c r="M10" s="216"/>
      <c r="N10" s="217">
        <f t="shared" si="6"/>
        <v>0</v>
      </c>
      <c r="O10" s="216"/>
      <c r="P10" s="217">
        <f t="shared" si="7"/>
        <v>0</v>
      </c>
      <c r="Q10" s="217"/>
      <c r="R10" s="217">
        <f t="shared" si="8"/>
        <v>0</v>
      </c>
      <c r="S10" s="216"/>
      <c r="T10" s="216">
        <f t="shared" si="9"/>
        <v>0</v>
      </c>
      <c r="U10" s="216"/>
      <c r="V10" s="216">
        <f t="shared" si="10"/>
        <v>0</v>
      </c>
      <c r="W10" s="216"/>
      <c r="X10" s="19">
        <f t="shared" si="11"/>
        <v>0</v>
      </c>
      <c r="Y10" s="89">
        <f t="shared" si="0"/>
        <v>0</v>
      </c>
    </row>
    <row r="11" spans="1:25" ht="37.5" customHeight="1" x14ac:dyDescent="0.25">
      <c r="A11" s="12"/>
      <c r="B11" s="215"/>
      <c r="C11" s="216"/>
      <c r="D11" s="22">
        <f t="shared" si="1"/>
        <v>0</v>
      </c>
      <c r="E11" s="216"/>
      <c r="F11" s="216">
        <f t="shared" si="2"/>
        <v>0</v>
      </c>
      <c r="G11" s="216"/>
      <c r="H11" s="216">
        <f t="shared" si="3"/>
        <v>0</v>
      </c>
      <c r="I11" s="216"/>
      <c r="J11" s="216">
        <f t="shared" si="4"/>
        <v>0</v>
      </c>
      <c r="K11" s="216"/>
      <c r="L11" s="216">
        <f t="shared" si="5"/>
        <v>0</v>
      </c>
      <c r="M11" s="216"/>
      <c r="N11" s="217">
        <f t="shared" si="6"/>
        <v>0</v>
      </c>
      <c r="O11" s="216"/>
      <c r="P11" s="217">
        <f t="shared" si="7"/>
        <v>0</v>
      </c>
      <c r="Q11" s="217"/>
      <c r="R11" s="217">
        <f t="shared" si="8"/>
        <v>0</v>
      </c>
      <c r="S11" s="216">
        <v>13</v>
      </c>
      <c r="T11" s="216">
        <f t="shared" si="9"/>
        <v>3133</v>
      </c>
      <c r="U11" s="216"/>
      <c r="V11" s="216">
        <f t="shared" si="10"/>
        <v>0</v>
      </c>
      <c r="W11" s="216"/>
      <c r="X11" s="19">
        <f t="shared" si="11"/>
        <v>0</v>
      </c>
      <c r="Y11" s="20">
        <f t="shared" si="0"/>
        <v>3133</v>
      </c>
    </row>
    <row r="12" spans="1:25" ht="29.25" customHeight="1" x14ac:dyDescent="0.25">
      <c r="A12" s="2235" t="s">
        <v>31</v>
      </c>
      <c r="B12" s="2235"/>
      <c r="C12" s="18">
        <f t="shared" ref="C12:Y12" si="12">SUM(C6:C11)</f>
        <v>69500</v>
      </c>
      <c r="D12" s="18">
        <f t="shared" si="12"/>
        <v>67588.75</v>
      </c>
      <c r="E12" s="18">
        <f t="shared" si="12"/>
        <v>0</v>
      </c>
      <c r="F12" s="18">
        <f t="shared" si="12"/>
        <v>0</v>
      </c>
      <c r="G12" s="18">
        <f t="shared" si="12"/>
        <v>1170</v>
      </c>
      <c r="H12" s="18">
        <f t="shared" si="12"/>
        <v>32994</v>
      </c>
      <c r="I12" s="18">
        <f t="shared" si="12"/>
        <v>4870</v>
      </c>
      <c r="J12" s="18">
        <f t="shared" si="12"/>
        <v>90095</v>
      </c>
      <c r="K12" s="18">
        <f t="shared" si="12"/>
        <v>0</v>
      </c>
      <c r="L12" s="18">
        <f t="shared" si="12"/>
        <v>0</v>
      </c>
      <c r="M12" s="18">
        <f t="shared" si="12"/>
        <v>0</v>
      </c>
      <c r="N12" s="23">
        <f t="shared" si="12"/>
        <v>0</v>
      </c>
      <c r="O12" s="18">
        <f t="shared" si="12"/>
        <v>0</v>
      </c>
      <c r="P12" s="23">
        <f t="shared" si="12"/>
        <v>0</v>
      </c>
      <c r="Q12" s="23">
        <f t="shared" si="12"/>
        <v>0</v>
      </c>
      <c r="R12" s="23">
        <f>SUM(R6:R11)</f>
        <v>0</v>
      </c>
      <c r="S12" s="18">
        <f t="shared" si="12"/>
        <v>38</v>
      </c>
      <c r="T12" s="18">
        <f t="shared" si="12"/>
        <v>9158</v>
      </c>
      <c r="U12" s="18">
        <f t="shared" si="12"/>
        <v>65</v>
      </c>
      <c r="V12" s="18">
        <f t="shared" si="12"/>
        <v>15080</v>
      </c>
      <c r="W12" s="18">
        <f t="shared" si="12"/>
        <v>0</v>
      </c>
      <c r="X12" s="18">
        <f t="shared" si="12"/>
        <v>0</v>
      </c>
      <c r="Y12" s="18">
        <f t="shared" si="12"/>
        <v>214915.75</v>
      </c>
    </row>
    <row r="14" spans="1:25" ht="41.25" customHeight="1" x14ac:dyDescent="0.25">
      <c r="A14" s="30" t="s">
        <v>32</v>
      </c>
      <c r="B14" s="2236" t="s">
        <v>27</v>
      </c>
      <c r="C14" s="2236"/>
      <c r="D14" s="30" t="s">
        <v>33</v>
      </c>
      <c r="E14" s="30" t="s">
        <v>65</v>
      </c>
      <c r="F14" s="30" t="s">
        <v>34</v>
      </c>
      <c r="G14" s="30" t="s">
        <v>13</v>
      </c>
      <c r="H14" s="142" t="s">
        <v>173</v>
      </c>
      <c r="I14" s="30" t="s">
        <v>17</v>
      </c>
      <c r="J14" s="221" t="s">
        <v>174</v>
      </c>
      <c r="K14" s="30" t="s">
        <v>36</v>
      </c>
      <c r="L14" s="30" t="s">
        <v>175</v>
      </c>
      <c r="M14" s="30" t="s">
        <v>69</v>
      </c>
      <c r="N14" s="30" t="s">
        <v>70</v>
      </c>
      <c r="O14" s="221" t="s">
        <v>114</v>
      </c>
      <c r="P14" s="221" t="s">
        <v>99</v>
      </c>
      <c r="Q14" s="2272" t="s">
        <v>256</v>
      </c>
      <c r="R14" s="2272"/>
      <c r="S14" s="221"/>
      <c r="T14" s="2235" t="s">
        <v>46</v>
      </c>
      <c r="U14" s="213" t="s">
        <v>176</v>
      </c>
      <c r="V14" s="2260">
        <v>6767</v>
      </c>
      <c r="W14" s="2268"/>
      <c r="X14" s="2261"/>
    </row>
    <row r="15" spans="1:25" ht="22.5" customHeight="1" x14ac:dyDescent="0.25">
      <c r="A15" s="100" t="s">
        <v>38</v>
      </c>
      <c r="B15" s="2260">
        <v>345476</v>
      </c>
      <c r="C15" s="2261"/>
      <c r="D15" s="218">
        <v>0</v>
      </c>
      <c r="E15" s="218">
        <v>3000</v>
      </c>
      <c r="F15" s="218">
        <v>20000</v>
      </c>
      <c r="G15" s="218">
        <v>0</v>
      </c>
      <c r="H15" s="218">
        <v>730</v>
      </c>
      <c r="I15" s="218">
        <v>100</v>
      </c>
      <c r="J15" s="218">
        <v>94</v>
      </c>
      <c r="K15" s="218">
        <v>72</v>
      </c>
      <c r="L15" s="218">
        <v>52</v>
      </c>
      <c r="M15" s="218">
        <v>0</v>
      </c>
      <c r="N15" s="218">
        <v>100</v>
      </c>
      <c r="O15" s="218">
        <v>0</v>
      </c>
      <c r="P15" s="218">
        <v>417</v>
      </c>
      <c r="Q15" s="2262">
        <v>538</v>
      </c>
      <c r="R15" s="2262"/>
      <c r="S15" s="213">
        <v>0</v>
      </c>
      <c r="T15" s="2235"/>
      <c r="U15" s="213" t="s">
        <v>64</v>
      </c>
      <c r="V15" s="2262">
        <v>14482</v>
      </c>
      <c r="W15" s="2262"/>
      <c r="X15" s="2262"/>
    </row>
    <row r="16" spans="1:25" ht="24.75" customHeight="1" x14ac:dyDescent="0.25">
      <c r="A16" s="100" t="s">
        <v>39</v>
      </c>
      <c r="B16" s="2260"/>
      <c r="C16" s="2261"/>
      <c r="D16" s="218"/>
      <c r="E16" s="218"/>
      <c r="F16" s="218"/>
      <c r="G16" s="218"/>
      <c r="H16" s="218"/>
      <c r="I16" s="218"/>
      <c r="J16" s="218"/>
      <c r="K16" s="218"/>
      <c r="L16" s="218">
        <v>325</v>
      </c>
      <c r="M16" s="218"/>
      <c r="N16" s="218"/>
      <c r="O16" s="218"/>
      <c r="P16" s="218"/>
      <c r="Q16" s="2225"/>
      <c r="R16" s="2225"/>
      <c r="S16" s="218"/>
      <c r="T16" s="2254" t="s">
        <v>55</v>
      </c>
      <c r="U16" s="2254"/>
      <c r="V16" s="2267">
        <f>Y12</f>
        <v>214915.75</v>
      </c>
      <c r="W16" s="2267"/>
      <c r="X16" s="2262"/>
    </row>
    <row r="17" spans="1:25" ht="28.5" customHeight="1" x14ac:dyDescent="0.25">
      <c r="A17" s="101" t="s">
        <v>44</v>
      </c>
      <c r="B17" s="2260"/>
      <c r="C17" s="2261"/>
      <c r="D17" s="218"/>
      <c r="E17" s="218"/>
      <c r="F17" s="218"/>
      <c r="G17" s="218"/>
      <c r="H17" s="218"/>
      <c r="I17" s="218"/>
      <c r="J17" s="218"/>
      <c r="K17" s="218"/>
      <c r="L17" s="218"/>
      <c r="M17" s="218"/>
      <c r="N17" s="218"/>
      <c r="O17" s="218"/>
      <c r="P17" s="218"/>
      <c r="Q17" s="2225"/>
      <c r="R17" s="2225"/>
      <c r="S17" s="215"/>
      <c r="T17" s="2273" t="s">
        <v>250</v>
      </c>
      <c r="U17" s="2274"/>
      <c r="V17" s="2262"/>
      <c r="W17" s="2262"/>
      <c r="X17" s="2262"/>
    </row>
    <row r="18" spans="1:25" ht="27" customHeight="1" x14ac:dyDescent="0.25">
      <c r="A18" s="100" t="s">
        <v>40</v>
      </c>
      <c r="B18" s="2264">
        <f>C12</f>
        <v>69500</v>
      </c>
      <c r="C18" s="2261"/>
      <c r="D18" s="219">
        <f>E12</f>
        <v>0</v>
      </c>
      <c r="E18" s="219">
        <f>G12</f>
        <v>1170</v>
      </c>
      <c r="F18" s="219">
        <f>I12</f>
        <v>4870</v>
      </c>
      <c r="G18" s="219">
        <f>K12</f>
        <v>0</v>
      </c>
      <c r="H18" s="218">
        <v>350</v>
      </c>
      <c r="I18" s="219">
        <f>U12</f>
        <v>65</v>
      </c>
      <c r="J18" s="218"/>
      <c r="K18" s="219">
        <f>W12</f>
        <v>0</v>
      </c>
      <c r="L18" s="218"/>
      <c r="M18" s="219">
        <f>M12</f>
        <v>0</v>
      </c>
      <c r="N18" s="219">
        <f>O12</f>
        <v>0</v>
      </c>
      <c r="O18" s="220">
        <f>Q12</f>
        <v>0</v>
      </c>
      <c r="P18" s="218">
        <v>13</v>
      </c>
      <c r="Q18" s="2262"/>
      <c r="R18" s="2262"/>
      <c r="S18" s="213"/>
      <c r="T18" s="2254" t="s">
        <v>57</v>
      </c>
      <c r="U18" s="2254"/>
      <c r="V18" s="2262">
        <f>450+250</f>
        <v>700</v>
      </c>
      <c r="W18" s="2262"/>
      <c r="X18" s="2262"/>
      <c r="Y18" s="2269" t="s">
        <v>259</v>
      </c>
    </row>
    <row r="19" spans="1:25" ht="25.5" customHeight="1" x14ac:dyDescent="0.25">
      <c r="A19" s="100" t="s">
        <v>41</v>
      </c>
      <c r="B19" s="2260">
        <f>B15+B16+B17-B18</f>
        <v>275976</v>
      </c>
      <c r="C19" s="2261"/>
      <c r="D19" s="218">
        <f>D15+D16+D17-D18</f>
        <v>0</v>
      </c>
      <c r="E19" s="218">
        <f t="shared" ref="E19:N19" si="13">E15+E16+E17-E18</f>
        <v>1830</v>
      </c>
      <c r="F19" s="218">
        <f t="shared" si="13"/>
        <v>15130</v>
      </c>
      <c r="G19" s="218">
        <f t="shared" si="13"/>
        <v>0</v>
      </c>
      <c r="H19" s="218">
        <f t="shared" si="13"/>
        <v>380</v>
      </c>
      <c r="I19" s="218">
        <f t="shared" si="13"/>
        <v>35</v>
      </c>
      <c r="J19" s="218">
        <f t="shared" si="13"/>
        <v>94</v>
      </c>
      <c r="K19" s="218">
        <f t="shared" si="13"/>
        <v>72</v>
      </c>
      <c r="L19" s="218">
        <f t="shared" si="13"/>
        <v>377</v>
      </c>
      <c r="M19" s="218">
        <f t="shared" si="13"/>
        <v>0</v>
      </c>
      <c r="N19" s="218">
        <f t="shared" si="13"/>
        <v>100</v>
      </c>
      <c r="O19" s="218">
        <f>O15+O16+O17-O18</f>
        <v>0</v>
      </c>
      <c r="P19" s="218">
        <f>P15+P16+P17-P18</f>
        <v>404</v>
      </c>
      <c r="Q19" s="2260">
        <f t="shared" ref="Q19" si="14">Q15+Q16+Q17-Q18</f>
        <v>538</v>
      </c>
      <c r="R19" s="2261"/>
      <c r="S19" s="213">
        <f>S15+S16-S17-S18</f>
        <v>0</v>
      </c>
      <c r="T19" s="2256" t="s">
        <v>48</v>
      </c>
      <c r="U19" s="49" t="s">
        <v>58</v>
      </c>
      <c r="V19" s="2262"/>
      <c r="W19" s="2262"/>
      <c r="X19" s="2262"/>
      <c r="Y19" s="2269"/>
    </row>
    <row r="20" spans="1:25" ht="23.25" customHeight="1" x14ac:dyDescent="0.25">
      <c r="A20" s="210" t="s">
        <v>187</v>
      </c>
      <c r="B20" s="2284">
        <f>B19*0.9625</f>
        <v>265626.90000000002</v>
      </c>
      <c r="C20" s="2285"/>
      <c r="D20" s="211">
        <f>D19*13.56</f>
        <v>0</v>
      </c>
      <c r="E20" s="211">
        <f>28.2*E19</f>
        <v>51606</v>
      </c>
      <c r="F20" s="211">
        <f>18.31*F19</f>
        <v>277030.3</v>
      </c>
      <c r="G20" s="211">
        <f>19.3*G19</f>
        <v>0</v>
      </c>
      <c r="H20" s="211">
        <f>241*H19</f>
        <v>91580</v>
      </c>
      <c r="I20" s="211">
        <f>223*I19</f>
        <v>7805</v>
      </c>
      <c r="J20" s="211">
        <f>241*J19</f>
        <v>22654</v>
      </c>
      <c r="K20" s="211">
        <f>K19*100</f>
        <v>7200</v>
      </c>
      <c r="L20" s="211">
        <f>241*L19</f>
        <v>90857</v>
      </c>
      <c r="M20" s="211">
        <f>9.65*M19</f>
        <v>0</v>
      </c>
      <c r="N20" s="211">
        <f>N19*48.2</f>
        <v>4820</v>
      </c>
      <c r="O20" s="211">
        <f>241*O19</f>
        <v>0</v>
      </c>
      <c r="P20" s="211">
        <f>241*P19</f>
        <v>97364</v>
      </c>
      <c r="Q20" s="2284">
        <f>241*Q19</f>
        <v>129658</v>
      </c>
      <c r="R20" s="2285"/>
      <c r="S20" s="211">
        <f>241*S19</f>
        <v>0</v>
      </c>
      <c r="T20" s="2257"/>
      <c r="U20" s="49" t="s">
        <v>59</v>
      </c>
      <c r="V20" s="2262"/>
      <c r="W20" s="2262"/>
      <c r="X20" s="2262"/>
      <c r="Y20" s="2269"/>
    </row>
    <row r="21" spans="1:25" ht="32.25" customHeight="1" x14ac:dyDescent="0.25">
      <c r="A21" s="143" t="s">
        <v>186</v>
      </c>
      <c r="B21" s="2283">
        <f>SUM(B20:S20)</f>
        <v>1046201.2</v>
      </c>
      <c r="C21" s="2283"/>
      <c r="O21" s="222"/>
      <c r="P21" s="222"/>
      <c r="Q21" s="222"/>
      <c r="R21" s="222"/>
      <c r="T21" s="2273" t="s">
        <v>167</v>
      </c>
      <c r="U21" s="2274"/>
      <c r="V21" s="2260">
        <v>80000</v>
      </c>
      <c r="W21" s="2268"/>
      <c r="X21" s="2261"/>
      <c r="Y21" s="2269"/>
    </row>
    <row r="22" spans="1:25" ht="35.25" customHeight="1" x14ac:dyDescent="0.25">
      <c r="A22" s="15"/>
      <c r="B22" s="2275" t="s">
        <v>49</v>
      </c>
      <c r="C22" s="2265">
        <v>1018637</v>
      </c>
      <c r="D22" s="2265"/>
      <c r="E22" s="2265"/>
      <c r="F22" s="2265">
        <f>C22-D22+E22</f>
        <v>1018637</v>
      </c>
      <c r="G22" s="222"/>
      <c r="Q22" s="222"/>
      <c r="R22" s="222"/>
      <c r="T22" s="2251" t="s">
        <v>83</v>
      </c>
      <c r="U22" s="50" t="s">
        <v>60</v>
      </c>
      <c r="V22" s="2262">
        <v>205470</v>
      </c>
      <c r="W22" s="2262"/>
      <c r="X22" s="2262"/>
      <c r="Y22" s="2269"/>
    </row>
    <row r="23" spans="1:25" ht="39.75" customHeight="1" x14ac:dyDescent="0.25">
      <c r="A23" s="222"/>
      <c r="B23" s="2276"/>
      <c r="C23" s="2266"/>
      <c r="D23" s="2266"/>
      <c r="E23" s="2266"/>
      <c r="F23" s="2266"/>
      <c r="G23" s="222"/>
      <c r="Q23" s="222"/>
      <c r="R23" s="222"/>
      <c r="T23" s="2252"/>
      <c r="U23" s="50" t="s">
        <v>61</v>
      </c>
      <c r="V23" s="2262">
        <v>80000</v>
      </c>
      <c r="W23" s="2262"/>
      <c r="X23" s="2262"/>
      <c r="Y23" s="2269"/>
    </row>
    <row r="24" spans="1:25" ht="48" customHeight="1" x14ac:dyDescent="0.25">
      <c r="A24" s="222"/>
      <c r="B24" s="2277"/>
      <c r="C24" s="213" t="s">
        <v>46</v>
      </c>
      <c r="D24" s="213" t="s">
        <v>50</v>
      </c>
      <c r="E24" s="213" t="s">
        <v>51</v>
      </c>
      <c r="F24" s="213" t="s">
        <v>52</v>
      </c>
      <c r="G24" s="222"/>
      <c r="Q24" s="222"/>
      <c r="R24" s="222"/>
      <c r="T24" s="2235" t="s">
        <v>47</v>
      </c>
      <c r="U24" s="51" t="s">
        <v>62</v>
      </c>
      <c r="V24" s="2263">
        <f>V14+V16+V17-V18-V19-V20-V22+V23-V21</f>
        <v>15512.75</v>
      </c>
      <c r="W24" s="2263"/>
      <c r="X24" s="2263"/>
      <c r="Y24" s="2269"/>
    </row>
    <row r="25" spans="1:25" ht="40.5" customHeight="1" x14ac:dyDescent="0.25">
      <c r="T25" s="2235"/>
      <c r="U25" s="51" t="s">
        <v>63</v>
      </c>
      <c r="V25" s="2262">
        <f>V15+V22-V23</f>
        <v>139952</v>
      </c>
      <c r="W25" s="2262"/>
      <c r="X25" s="2262"/>
    </row>
    <row r="26" spans="1:25" ht="36" customHeight="1" x14ac:dyDescent="0.25"/>
    <row r="32" spans="1:25" x14ac:dyDescent="0.25">
      <c r="I32" s="2280"/>
      <c r="J32" s="2280"/>
      <c r="K32" s="2280"/>
      <c r="L32" s="2280"/>
    </row>
    <row r="33" spans="9:12" x14ac:dyDescent="0.25">
      <c r="I33" s="222"/>
      <c r="J33" s="222"/>
      <c r="K33" s="2280"/>
      <c r="L33" s="2280"/>
    </row>
  </sheetData>
  <mergeCells count="62">
    <mergeCell ref="I32:J32"/>
    <mergeCell ref="K32:L32"/>
    <mergeCell ref="K33:L33"/>
    <mergeCell ref="T22:T23"/>
    <mergeCell ref="V22:X22"/>
    <mergeCell ref="V23:X23"/>
    <mergeCell ref="T24:T25"/>
    <mergeCell ref="V24:X24"/>
    <mergeCell ref="V25:X25"/>
    <mergeCell ref="Y18:Y24"/>
    <mergeCell ref="B19:C19"/>
    <mergeCell ref="Q19:R19"/>
    <mergeCell ref="T19:T20"/>
    <mergeCell ref="V19:X19"/>
    <mergeCell ref="B20:C20"/>
    <mergeCell ref="B22:B24"/>
    <mergeCell ref="C22:C23"/>
    <mergeCell ref="D22:D23"/>
    <mergeCell ref="E22:E23"/>
    <mergeCell ref="F22:F23"/>
    <mergeCell ref="Q20:R20"/>
    <mergeCell ref="V20:X20"/>
    <mergeCell ref="B21:C21"/>
    <mergeCell ref="T21:U21"/>
    <mergeCell ref="V21:X21"/>
    <mergeCell ref="B17:C17"/>
    <mergeCell ref="Q17:R17"/>
    <mergeCell ref="T17:U17"/>
    <mergeCell ref="V17:X17"/>
    <mergeCell ref="B18:C18"/>
    <mergeCell ref="Q18:R18"/>
    <mergeCell ref="T18:U18"/>
    <mergeCell ref="V18:X18"/>
    <mergeCell ref="W4:X4"/>
    <mergeCell ref="B16:C16"/>
    <mergeCell ref="Q16:R16"/>
    <mergeCell ref="T16:U16"/>
    <mergeCell ref="V16:X16"/>
    <mergeCell ref="A12:B12"/>
    <mergeCell ref="B14:C14"/>
    <mergeCell ref="Q14:R14"/>
    <mergeCell ref="T14:T15"/>
    <mergeCell ref="V14:X14"/>
    <mergeCell ref="B15:C15"/>
    <mergeCell ref="Q15:R15"/>
    <mergeCell ref="V15:X15"/>
    <mergeCell ref="A1:Y1"/>
    <mergeCell ref="A2:Y2"/>
    <mergeCell ref="T3:Y3"/>
    <mergeCell ref="A4:A5"/>
    <mergeCell ref="B4:B5"/>
    <mergeCell ref="C4:D4"/>
    <mergeCell ref="E4:F4"/>
    <mergeCell ref="G4:H4"/>
    <mergeCell ref="I4:J4"/>
    <mergeCell ref="K4:L4"/>
    <mergeCell ref="Y4:Y5"/>
    <mergeCell ref="M4:N4"/>
    <mergeCell ref="O4:P4"/>
    <mergeCell ref="Q4:R4"/>
    <mergeCell ref="S4:T4"/>
    <mergeCell ref="U4:V4"/>
  </mergeCells>
  <pageMargins left="0.15748031496063" right="0.15748031496063" top="0" bottom="0" header="0" footer="0"/>
  <pageSetup paperSize="9" scale="47" orientation="landscape" r:id="rId1"/>
  <legacyDrawing r:id="rId2"/>
</worksheet>
</file>

<file path=xl/worksheets/sheet8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9C36174-F80E-4F83-B87F-0AD4C25413AC}">
  <sheetPr>
    <pageSetUpPr fitToPage="1"/>
  </sheetPr>
  <dimension ref="A1:Y33"/>
  <sheetViews>
    <sheetView topLeftCell="A8" zoomScale="71" zoomScaleNormal="71" zoomScaleSheetLayoutView="100" workbookViewId="0">
      <selection activeCell="O22" sqref="O22"/>
    </sheetView>
  </sheetViews>
  <sheetFormatPr defaultColWidth="9.140625" defaultRowHeight="15" x14ac:dyDescent="0.25"/>
  <cols>
    <col min="1" max="1" width="18.28515625" style="14" customWidth="1"/>
    <col min="2" max="2" width="10.7109375" style="14" customWidth="1"/>
    <col min="3" max="3" width="12.28515625" style="14" customWidth="1"/>
    <col min="4" max="4" width="11" style="14" customWidth="1"/>
    <col min="5" max="5" width="12" style="14" customWidth="1"/>
    <col min="6" max="6" width="12.5703125" style="14" bestFit="1" customWidth="1"/>
    <col min="7" max="7" width="9.28515625" style="14" bestFit="1" customWidth="1"/>
    <col min="8" max="8" width="10.140625" style="14" bestFit="1" customWidth="1"/>
    <col min="9" max="9" width="10.5703125" style="14" bestFit="1" customWidth="1"/>
    <col min="10" max="10" width="10.5703125" style="14" customWidth="1"/>
    <col min="11" max="11" width="10.28515625" style="14" bestFit="1" customWidth="1"/>
    <col min="12" max="12" width="10.42578125" style="14" bestFit="1" customWidth="1"/>
    <col min="13" max="13" width="9.85546875" style="14" bestFit="1" customWidth="1"/>
    <col min="14" max="14" width="10.140625" style="14" bestFit="1" customWidth="1"/>
    <col min="15" max="15" width="9" style="14" customWidth="1"/>
    <col min="16" max="16" width="12.85546875" style="14" bestFit="1" customWidth="1"/>
    <col min="17" max="18" width="9.42578125" style="14" customWidth="1"/>
    <col min="19" max="19" width="13.7109375" style="14" customWidth="1"/>
    <col min="20" max="20" width="12.140625" style="14" customWidth="1"/>
    <col min="21" max="21" width="19.5703125" style="14" bestFit="1" customWidth="1"/>
    <col min="22" max="22" width="9.85546875" style="14" customWidth="1"/>
    <col min="23" max="23" width="10.140625" style="14" bestFit="1" customWidth="1"/>
    <col min="24" max="24" width="10.28515625" style="14" customWidth="1"/>
    <col min="25" max="25" width="28" style="14" customWidth="1"/>
    <col min="26" max="16384" width="9.140625" style="14"/>
  </cols>
  <sheetData>
    <row r="1" spans="1:25" ht="46.15" customHeight="1" x14ac:dyDescent="0.25">
      <c r="A1" s="2240" t="s">
        <v>148</v>
      </c>
      <c r="B1" s="2240"/>
      <c r="C1" s="2240"/>
      <c r="D1" s="2240"/>
      <c r="E1" s="2240"/>
      <c r="F1" s="2240"/>
      <c r="G1" s="2240"/>
      <c r="H1" s="2240"/>
      <c r="I1" s="2240"/>
      <c r="J1" s="2240"/>
      <c r="K1" s="2240"/>
      <c r="L1" s="2240"/>
      <c r="M1" s="2240"/>
      <c r="N1" s="2240"/>
      <c r="O1" s="2240"/>
      <c r="P1" s="2240"/>
      <c r="Q1" s="2240"/>
      <c r="R1" s="2240"/>
      <c r="S1" s="2240"/>
      <c r="T1" s="2240"/>
      <c r="U1" s="2240"/>
      <c r="V1" s="2240"/>
      <c r="W1" s="2240"/>
      <c r="X1" s="2240"/>
      <c r="Y1" s="2240"/>
    </row>
    <row r="2" spans="1:25" ht="21.6" customHeight="1" x14ac:dyDescent="0.25">
      <c r="A2" s="2241" t="s">
        <v>77</v>
      </c>
      <c r="B2" s="2241"/>
      <c r="C2" s="2241"/>
      <c r="D2" s="2241"/>
      <c r="E2" s="2241"/>
      <c r="F2" s="2241"/>
      <c r="G2" s="2241"/>
      <c r="H2" s="2241"/>
      <c r="I2" s="2241"/>
      <c r="J2" s="2241"/>
      <c r="K2" s="2241"/>
      <c r="L2" s="2241"/>
      <c r="M2" s="2241"/>
      <c r="N2" s="2241"/>
      <c r="O2" s="2241"/>
      <c r="P2" s="2241"/>
      <c r="Q2" s="2241"/>
      <c r="R2" s="2241"/>
      <c r="S2" s="2241"/>
      <c r="T2" s="2241"/>
      <c r="U2" s="2241"/>
      <c r="V2" s="2241"/>
      <c r="W2" s="2241"/>
      <c r="X2" s="2241"/>
      <c r="Y2" s="2241"/>
    </row>
    <row r="3" spans="1:25" ht="21" customHeight="1" x14ac:dyDescent="0.25">
      <c r="A3" s="212"/>
      <c r="B3" s="212"/>
      <c r="C3" s="212"/>
      <c r="D3" s="212"/>
      <c r="E3" s="212"/>
      <c r="F3" s="212"/>
      <c r="G3" s="212"/>
      <c r="H3" s="212"/>
      <c r="I3" s="212"/>
      <c r="J3" s="212"/>
      <c r="K3" s="212"/>
      <c r="L3" s="212"/>
      <c r="M3" s="212"/>
      <c r="N3" s="212"/>
      <c r="O3" s="212"/>
      <c r="P3" s="212"/>
      <c r="Q3" s="212"/>
      <c r="R3" s="212"/>
      <c r="S3" s="212"/>
      <c r="T3" s="2242" t="s">
        <v>260</v>
      </c>
      <c r="U3" s="2242"/>
      <c r="V3" s="2242"/>
      <c r="W3" s="2242"/>
      <c r="X3" s="2242"/>
      <c r="Y3" s="2242"/>
    </row>
    <row r="4" spans="1:25" s="212" customFormat="1" ht="18" customHeight="1" x14ac:dyDescent="0.25">
      <c r="A4" s="2243" t="s">
        <v>25</v>
      </c>
      <c r="B4" s="2243" t="s">
        <v>26</v>
      </c>
      <c r="C4" s="2244" t="s">
        <v>27</v>
      </c>
      <c r="D4" s="2244"/>
      <c r="E4" s="2244" t="s">
        <v>28</v>
      </c>
      <c r="F4" s="2244"/>
      <c r="G4" s="2244" t="s">
        <v>65</v>
      </c>
      <c r="H4" s="2244"/>
      <c r="I4" s="2244" t="s">
        <v>29</v>
      </c>
      <c r="J4" s="2244"/>
      <c r="K4" s="2245" t="s">
        <v>13</v>
      </c>
      <c r="L4" s="2246"/>
      <c r="M4" s="2245" t="s">
        <v>67</v>
      </c>
      <c r="N4" s="2246"/>
      <c r="O4" s="2245" t="s">
        <v>68</v>
      </c>
      <c r="P4" s="2246"/>
      <c r="Q4" s="2245" t="s">
        <v>114</v>
      </c>
      <c r="R4" s="2246"/>
      <c r="S4" s="2244" t="s">
        <v>35</v>
      </c>
      <c r="T4" s="2244"/>
      <c r="U4" s="2245" t="s">
        <v>17</v>
      </c>
      <c r="V4" s="2246"/>
      <c r="W4" s="2247" t="s">
        <v>36</v>
      </c>
      <c r="X4" s="2248"/>
      <c r="Y4" s="2238" t="s">
        <v>30</v>
      </c>
    </row>
    <row r="5" spans="1:25" s="212" customFormat="1" ht="25.5" customHeight="1" x14ac:dyDescent="0.25">
      <c r="A5" s="2243"/>
      <c r="B5" s="2243"/>
      <c r="C5" s="214" t="s">
        <v>42</v>
      </c>
      <c r="D5" s="214" t="s">
        <v>43</v>
      </c>
      <c r="E5" s="214" t="s">
        <v>42</v>
      </c>
      <c r="F5" s="214" t="s">
        <v>43</v>
      </c>
      <c r="G5" s="214" t="s">
        <v>42</v>
      </c>
      <c r="H5" s="214" t="s">
        <v>43</v>
      </c>
      <c r="I5" s="214" t="s">
        <v>42</v>
      </c>
      <c r="J5" s="214" t="s">
        <v>43</v>
      </c>
      <c r="K5" s="214" t="s">
        <v>42</v>
      </c>
      <c r="L5" s="214" t="s">
        <v>43</v>
      </c>
      <c r="M5" s="214" t="s">
        <v>42</v>
      </c>
      <c r="N5" s="214" t="s">
        <v>43</v>
      </c>
      <c r="O5" s="214" t="s">
        <v>42</v>
      </c>
      <c r="P5" s="214" t="s">
        <v>43</v>
      </c>
      <c r="Q5" s="214" t="s">
        <v>42</v>
      </c>
      <c r="R5" s="214" t="s">
        <v>43</v>
      </c>
      <c r="S5" s="33" t="s">
        <v>42</v>
      </c>
      <c r="T5" s="33" t="s">
        <v>43</v>
      </c>
      <c r="U5" s="30" t="s">
        <v>42</v>
      </c>
      <c r="V5" s="30" t="s">
        <v>43</v>
      </c>
      <c r="W5" s="30" t="s">
        <v>42</v>
      </c>
      <c r="X5" s="30" t="s">
        <v>43</v>
      </c>
      <c r="Y5" s="2239"/>
    </row>
    <row r="6" spans="1:25" ht="34.5" customHeight="1" x14ac:dyDescent="0.25">
      <c r="A6" s="12">
        <v>1409935200</v>
      </c>
      <c r="B6" s="213" t="s">
        <v>71</v>
      </c>
      <c r="C6" s="216">
        <v>33201</v>
      </c>
      <c r="D6" s="217">
        <f>0.9725*C6</f>
        <v>32287.9725</v>
      </c>
      <c r="E6" s="216"/>
      <c r="F6" s="216">
        <f>13.7*E6</f>
        <v>0</v>
      </c>
      <c r="G6" s="216">
        <v>150</v>
      </c>
      <c r="H6" s="216">
        <f>28.2*G6</f>
        <v>4230</v>
      </c>
      <c r="I6" s="216">
        <v>2760</v>
      </c>
      <c r="J6" s="216">
        <f>18.5*I6</f>
        <v>51060</v>
      </c>
      <c r="K6" s="216"/>
      <c r="L6" s="216">
        <f>19.5*K6</f>
        <v>0</v>
      </c>
      <c r="M6" s="216"/>
      <c r="N6" s="217">
        <f>M6*9.75</f>
        <v>0</v>
      </c>
      <c r="O6" s="216"/>
      <c r="P6" s="217">
        <f>O6*48.62</f>
        <v>0</v>
      </c>
      <c r="Q6" s="217"/>
      <c r="R6" s="217">
        <f>241*Q6</f>
        <v>0</v>
      </c>
      <c r="S6" s="216"/>
      <c r="T6" s="216">
        <f>241*S6</f>
        <v>0</v>
      </c>
      <c r="U6" s="216"/>
      <c r="V6" s="216">
        <f>232*U6</f>
        <v>0</v>
      </c>
      <c r="W6" s="216"/>
      <c r="X6" s="19">
        <f>W6*100</f>
        <v>0</v>
      </c>
      <c r="Y6" s="89">
        <f t="shared" ref="Y6:Y11" si="0">D6+F6+H6+J6+L6+N6+P6+R6+T6+V6+X6</f>
        <v>87577.972500000003</v>
      </c>
    </row>
    <row r="7" spans="1:25" ht="31.5" customHeight="1" x14ac:dyDescent="0.25">
      <c r="A7" s="12">
        <v>1984225578</v>
      </c>
      <c r="B7" s="213" t="s">
        <v>72</v>
      </c>
      <c r="C7" s="216">
        <v>48716</v>
      </c>
      <c r="D7" s="217">
        <f t="shared" ref="D7:D11" si="1">0.9725*C7</f>
        <v>47376.310000000005</v>
      </c>
      <c r="E7" s="216"/>
      <c r="F7" s="216">
        <f t="shared" ref="F7:F11" si="2">13.7*E7</f>
        <v>0</v>
      </c>
      <c r="G7" s="216"/>
      <c r="H7" s="216">
        <f t="shared" ref="H7:H11" si="3">28.2*G7</f>
        <v>0</v>
      </c>
      <c r="I7" s="216"/>
      <c r="J7" s="216">
        <f t="shared" ref="J7:J11" si="4">18.5*I7</f>
        <v>0</v>
      </c>
      <c r="K7" s="216"/>
      <c r="L7" s="216">
        <f t="shared" ref="L7:L11" si="5">19.5*K7</f>
        <v>0</v>
      </c>
      <c r="M7" s="216"/>
      <c r="N7" s="217">
        <f t="shared" ref="N7:N11" si="6">M7*9.75</f>
        <v>0</v>
      </c>
      <c r="O7" s="216"/>
      <c r="P7" s="217">
        <f t="shared" ref="P7:P11" si="7">O7*48.62</f>
        <v>0</v>
      </c>
      <c r="Q7" s="217"/>
      <c r="R7" s="217">
        <f t="shared" ref="R7:R11" si="8">241*Q7</f>
        <v>0</v>
      </c>
      <c r="S7" s="216">
        <v>10</v>
      </c>
      <c r="T7" s="216">
        <f t="shared" ref="T7:T11" si="9">241*S7</f>
        <v>2410</v>
      </c>
      <c r="U7" s="216"/>
      <c r="V7" s="216">
        <f t="shared" ref="V7:V11" si="10">232*U7</f>
        <v>0</v>
      </c>
      <c r="W7" s="216"/>
      <c r="X7" s="19">
        <f t="shared" ref="X7:X11" si="11">W7*100</f>
        <v>0</v>
      </c>
      <c r="Y7" s="89">
        <f t="shared" si="0"/>
        <v>49786.310000000005</v>
      </c>
    </row>
    <row r="8" spans="1:25" ht="35.25" customHeight="1" x14ac:dyDescent="0.25">
      <c r="A8" s="12">
        <v>1967020280</v>
      </c>
      <c r="B8" s="213" t="s">
        <v>73</v>
      </c>
      <c r="C8" s="216">
        <v>17451</v>
      </c>
      <c r="D8" s="217">
        <f t="shared" si="1"/>
        <v>16971.0975</v>
      </c>
      <c r="E8" s="216"/>
      <c r="F8" s="216">
        <f t="shared" si="2"/>
        <v>0</v>
      </c>
      <c r="G8" s="216">
        <v>70</v>
      </c>
      <c r="H8" s="216">
        <f t="shared" si="3"/>
        <v>1974</v>
      </c>
      <c r="I8" s="216">
        <v>930</v>
      </c>
      <c r="J8" s="216">
        <f t="shared" si="4"/>
        <v>17205</v>
      </c>
      <c r="K8" s="216"/>
      <c r="L8" s="216">
        <f t="shared" si="5"/>
        <v>0</v>
      </c>
      <c r="M8" s="216"/>
      <c r="N8" s="217">
        <f t="shared" si="6"/>
        <v>0</v>
      </c>
      <c r="O8" s="216"/>
      <c r="P8" s="217">
        <f t="shared" si="7"/>
        <v>0</v>
      </c>
      <c r="Q8" s="217"/>
      <c r="R8" s="217">
        <f t="shared" si="8"/>
        <v>0</v>
      </c>
      <c r="S8" s="216"/>
      <c r="T8" s="216">
        <f t="shared" si="9"/>
        <v>0</v>
      </c>
      <c r="U8" s="216"/>
      <c r="V8" s="216">
        <f t="shared" si="10"/>
        <v>0</v>
      </c>
      <c r="W8" s="216"/>
      <c r="X8" s="19">
        <f t="shared" si="11"/>
        <v>0</v>
      </c>
      <c r="Y8" s="89">
        <f t="shared" si="0"/>
        <v>36150.097500000003</v>
      </c>
    </row>
    <row r="9" spans="1:25" ht="38.25" customHeight="1" x14ac:dyDescent="0.25">
      <c r="A9" s="12">
        <v>1409935199</v>
      </c>
      <c r="B9" s="213" t="s">
        <v>75</v>
      </c>
      <c r="C9" s="216">
        <v>18856</v>
      </c>
      <c r="D9" s="217">
        <f t="shared" si="1"/>
        <v>18337.46</v>
      </c>
      <c r="E9" s="216"/>
      <c r="F9" s="216">
        <f t="shared" si="2"/>
        <v>0</v>
      </c>
      <c r="G9" s="216"/>
      <c r="H9" s="216">
        <f t="shared" si="3"/>
        <v>0</v>
      </c>
      <c r="I9" s="216">
        <v>1000</v>
      </c>
      <c r="J9" s="216">
        <f t="shared" si="4"/>
        <v>18500</v>
      </c>
      <c r="K9" s="216"/>
      <c r="L9" s="216">
        <f t="shared" si="5"/>
        <v>0</v>
      </c>
      <c r="M9" s="216"/>
      <c r="N9" s="217">
        <f t="shared" si="6"/>
        <v>0</v>
      </c>
      <c r="O9" s="216"/>
      <c r="P9" s="217">
        <f t="shared" si="7"/>
        <v>0</v>
      </c>
      <c r="Q9" s="217"/>
      <c r="R9" s="217">
        <f t="shared" si="8"/>
        <v>0</v>
      </c>
      <c r="S9" s="216">
        <v>5</v>
      </c>
      <c r="T9" s="216">
        <f t="shared" si="9"/>
        <v>1205</v>
      </c>
      <c r="U9" s="216">
        <v>5</v>
      </c>
      <c r="V9" s="216">
        <f t="shared" si="10"/>
        <v>1160</v>
      </c>
      <c r="W9" s="216"/>
      <c r="X9" s="19">
        <f t="shared" si="11"/>
        <v>0</v>
      </c>
      <c r="Y9" s="89">
        <f t="shared" si="0"/>
        <v>39202.46</v>
      </c>
    </row>
    <row r="10" spans="1:25" ht="35.25" customHeight="1" x14ac:dyDescent="0.25">
      <c r="A10" s="12">
        <v>1984225580</v>
      </c>
      <c r="C10" s="216"/>
      <c r="D10" s="217">
        <f t="shared" si="1"/>
        <v>0</v>
      </c>
      <c r="E10" s="216"/>
      <c r="F10" s="216">
        <f t="shared" si="2"/>
        <v>0</v>
      </c>
      <c r="G10" s="216"/>
      <c r="H10" s="216">
        <f t="shared" si="3"/>
        <v>0</v>
      </c>
      <c r="I10" s="216"/>
      <c r="J10" s="216">
        <f t="shared" si="4"/>
        <v>0</v>
      </c>
      <c r="K10" s="216"/>
      <c r="L10" s="216">
        <f t="shared" si="5"/>
        <v>0</v>
      </c>
      <c r="M10" s="216"/>
      <c r="N10" s="217">
        <f t="shared" si="6"/>
        <v>0</v>
      </c>
      <c r="O10" s="216"/>
      <c r="P10" s="217">
        <f t="shared" si="7"/>
        <v>0</v>
      </c>
      <c r="Q10" s="217"/>
      <c r="R10" s="217">
        <f t="shared" si="8"/>
        <v>0</v>
      </c>
      <c r="S10" s="216"/>
      <c r="T10" s="216">
        <f t="shared" si="9"/>
        <v>0</v>
      </c>
      <c r="U10" s="216"/>
      <c r="V10" s="216">
        <f t="shared" si="10"/>
        <v>0</v>
      </c>
      <c r="W10" s="216"/>
      <c r="X10" s="19">
        <f t="shared" si="11"/>
        <v>0</v>
      </c>
      <c r="Y10" s="89">
        <f t="shared" si="0"/>
        <v>0</v>
      </c>
    </row>
    <row r="11" spans="1:25" ht="37.5" customHeight="1" x14ac:dyDescent="0.25">
      <c r="A11" s="12"/>
      <c r="B11" s="215"/>
      <c r="C11" s="216"/>
      <c r="D11" s="22">
        <f t="shared" si="1"/>
        <v>0</v>
      </c>
      <c r="E11" s="216"/>
      <c r="F11" s="216">
        <f t="shared" si="2"/>
        <v>0</v>
      </c>
      <c r="G11" s="216"/>
      <c r="H11" s="216">
        <f t="shared" si="3"/>
        <v>0</v>
      </c>
      <c r="I11" s="216"/>
      <c r="J11" s="216">
        <f t="shared" si="4"/>
        <v>0</v>
      </c>
      <c r="K11" s="216"/>
      <c r="L11" s="216">
        <f t="shared" si="5"/>
        <v>0</v>
      </c>
      <c r="M11" s="216"/>
      <c r="N11" s="217">
        <f t="shared" si="6"/>
        <v>0</v>
      </c>
      <c r="O11" s="216"/>
      <c r="P11" s="217">
        <f t="shared" si="7"/>
        <v>0</v>
      </c>
      <c r="Q11" s="217"/>
      <c r="R11" s="217">
        <f t="shared" si="8"/>
        <v>0</v>
      </c>
      <c r="S11" s="216">
        <v>86</v>
      </c>
      <c r="T11" s="216">
        <f t="shared" si="9"/>
        <v>20726</v>
      </c>
      <c r="U11" s="216"/>
      <c r="V11" s="216">
        <f t="shared" si="10"/>
        <v>0</v>
      </c>
      <c r="W11" s="216"/>
      <c r="X11" s="19">
        <f t="shared" si="11"/>
        <v>0</v>
      </c>
      <c r="Y11" s="20">
        <f t="shared" si="0"/>
        <v>20726</v>
      </c>
    </row>
    <row r="12" spans="1:25" ht="29.25" customHeight="1" x14ac:dyDescent="0.25">
      <c r="A12" s="2235" t="s">
        <v>31</v>
      </c>
      <c r="B12" s="2235"/>
      <c r="C12" s="18">
        <f t="shared" ref="C12:Y12" si="12">SUM(C6:C11)</f>
        <v>118224</v>
      </c>
      <c r="D12" s="18">
        <f t="shared" si="12"/>
        <v>114972.84</v>
      </c>
      <c r="E12" s="18">
        <f t="shared" si="12"/>
        <v>0</v>
      </c>
      <c r="F12" s="18">
        <f t="shared" si="12"/>
        <v>0</v>
      </c>
      <c r="G12" s="18">
        <f t="shared" si="12"/>
        <v>220</v>
      </c>
      <c r="H12" s="18">
        <f t="shared" si="12"/>
        <v>6204</v>
      </c>
      <c r="I12" s="18">
        <f t="shared" si="12"/>
        <v>4690</v>
      </c>
      <c r="J12" s="18">
        <f t="shared" si="12"/>
        <v>86765</v>
      </c>
      <c r="K12" s="18">
        <f t="shared" si="12"/>
        <v>0</v>
      </c>
      <c r="L12" s="18">
        <f t="shared" si="12"/>
        <v>0</v>
      </c>
      <c r="M12" s="18">
        <f t="shared" si="12"/>
        <v>0</v>
      </c>
      <c r="N12" s="23">
        <f t="shared" si="12"/>
        <v>0</v>
      </c>
      <c r="O12" s="18">
        <f t="shared" si="12"/>
        <v>0</v>
      </c>
      <c r="P12" s="23">
        <f t="shared" si="12"/>
        <v>0</v>
      </c>
      <c r="Q12" s="23">
        <f t="shared" si="12"/>
        <v>0</v>
      </c>
      <c r="R12" s="23">
        <f>SUM(R6:R11)</f>
        <v>0</v>
      </c>
      <c r="S12" s="18">
        <f t="shared" si="12"/>
        <v>101</v>
      </c>
      <c r="T12" s="18">
        <f t="shared" si="12"/>
        <v>24341</v>
      </c>
      <c r="U12" s="18">
        <f t="shared" si="12"/>
        <v>5</v>
      </c>
      <c r="V12" s="18">
        <f t="shared" si="12"/>
        <v>1160</v>
      </c>
      <c r="W12" s="18">
        <f t="shared" si="12"/>
        <v>0</v>
      </c>
      <c r="X12" s="18">
        <f t="shared" si="12"/>
        <v>0</v>
      </c>
      <c r="Y12" s="18">
        <f t="shared" si="12"/>
        <v>233442.84</v>
      </c>
    </row>
    <row r="14" spans="1:25" ht="41.25" customHeight="1" x14ac:dyDescent="0.25">
      <c r="A14" s="30" t="s">
        <v>32</v>
      </c>
      <c r="B14" s="2236" t="s">
        <v>27</v>
      </c>
      <c r="C14" s="2236"/>
      <c r="D14" s="30" t="s">
        <v>33</v>
      </c>
      <c r="E14" s="30" t="s">
        <v>65</v>
      </c>
      <c r="F14" s="30" t="s">
        <v>34</v>
      </c>
      <c r="G14" s="30" t="s">
        <v>13</v>
      </c>
      <c r="H14" s="142" t="s">
        <v>173</v>
      </c>
      <c r="I14" s="30" t="s">
        <v>17</v>
      </c>
      <c r="J14" s="221" t="s">
        <v>174</v>
      </c>
      <c r="K14" s="30" t="s">
        <v>36</v>
      </c>
      <c r="L14" s="30" t="s">
        <v>175</v>
      </c>
      <c r="M14" s="30" t="s">
        <v>69</v>
      </c>
      <c r="N14" s="30" t="s">
        <v>70</v>
      </c>
      <c r="O14" s="221" t="s">
        <v>114</v>
      </c>
      <c r="P14" s="221" t="s">
        <v>99</v>
      </c>
      <c r="Q14" s="2272" t="s">
        <v>256</v>
      </c>
      <c r="R14" s="2272"/>
      <c r="S14" s="221"/>
      <c r="T14" s="2235" t="s">
        <v>46</v>
      </c>
      <c r="U14" s="213" t="s">
        <v>176</v>
      </c>
      <c r="V14" s="2260">
        <v>15513</v>
      </c>
      <c r="W14" s="2268"/>
      <c r="X14" s="2261"/>
    </row>
    <row r="15" spans="1:25" ht="22.5" customHeight="1" x14ac:dyDescent="0.25">
      <c r="A15" s="100" t="s">
        <v>38</v>
      </c>
      <c r="B15" s="2260">
        <v>275976</v>
      </c>
      <c r="C15" s="2261"/>
      <c r="D15" s="218">
        <v>0</v>
      </c>
      <c r="E15" s="218">
        <v>1830</v>
      </c>
      <c r="F15" s="218">
        <v>15130</v>
      </c>
      <c r="G15" s="218">
        <v>0</v>
      </c>
      <c r="H15" s="218">
        <v>380</v>
      </c>
      <c r="I15" s="218">
        <v>35</v>
      </c>
      <c r="J15" s="218">
        <v>94</v>
      </c>
      <c r="K15" s="218">
        <v>72</v>
      </c>
      <c r="L15" s="218">
        <v>377</v>
      </c>
      <c r="M15" s="218">
        <v>0</v>
      </c>
      <c r="N15" s="218">
        <v>100</v>
      </c>
      <c r="O15" s="218">
        <v>0</v>
      </c>
      <c r="P15" s="218">
        <v>404</v>
      </c>
      <c r="Q15" s="2262">
        <v>538</v>
      </c>
      <c r="R15" s="2262"/>
      <c r="S15" s="213">
        <v>0</v>
      </c>
      <c r="T15" s="2235"/>
      <c r="U15" s="213" t="s">
        <v>64</v>
      </c>
      <c r="V15" s="2262">
        <v>139952</v>
      </c>
      <c r="W15" s="2262"/>
      <c r="X15" s="2262"/>
    </row>
    <row r="16" spans="1:25" ht="24.75" customHeight="1" x14ac:dyDescent="0.25">
      <c r="A16" s="100" t="s">
        <v>39</v>
      </c>
      <c r="B16" s="2260">
        <v>72727</v>
      </c>
      <c r="C16" s="2261"/>
      <c r="D16" s="218"/>
      <c r="E16" s="218"/>
      <c r="F16" s="218"/>
      <c r="G16" s="218"/>
      <c r="H16" s="218"/>
      <c r="I16" s="218"/>
      <c r="J16" s="218">
        <v>50</v>
      </c>
      <c r="K16" s="218"/>
      <c r="L16" s="218">
        <v>25</v>
      </c>
      <c r="M16" s="218"/>
      <c r="N16" s="218"/>
      <c r="O16" s="218"/>
      <c r="P16" s="218"/>
      <c r="Q16" s="2225"/>
      <c r="R16" s="2225"/>
      <c r="S16" s="218"/>
      <c r="T16" s="2254" t="s">
        <v>55</v>
      </c>
      <c r="U16" s="2254"/>
      <c r="V16" s="2267">
        <f>Y12</f>
        <v>233442.84</v>
      </c>
      <c r="W16" s="2267"/>
      <c r="X16" s="2262"/>
    </row>
    <row r="17" spans="1:25" ht="28.5" customHeight="1" x14ac:dyDescent="0.25">
      <c r="A17" s="101" t="s">
        <v>44</v>
      </c>
      <c r="B17" s="2260">
        <v>26459</v>
      </c>
      <c r="C17" s="2261"/>
      <c r="D17" s="218"/>
      <c r="E17" s="218"/>
      <c r="F17" s="218"/>
      <c r="G17" s="218"/>
      <c r="H17" s="218"/>
      <c r="I17" s="218"/>
      <c r="J17" s="218"/>
      <c r="K17" s="218"/>
      <c r="L17" s="218"/>
      <c r="M17" s="218"/>
      <c r="N17" s="218"/>
      <c r="O17" s="218"/>
      <c r="P17" s="218"/>
      <c r="Q17" s="2225"/>
      <c r="R17" s="2225"/>
      <c r="S17" s="215"/>
      <c r="T17" s="2273" t="s">
        <v>250</v>
      </c>
      <c r="U17" s="2274"/>
      <c r="V17" s="2262"/>
      <c r="W17" s="2262"/>
      <c r="X17" s="2262"/>
    </row>
    <row r="18" spans="1:25" ht="27" customHeight="1" x14ac:dyDescent="0.25">
      <c r="A18" s="100" t="s">
        <v>40</v>
      </c>
      <c r="B18" s="2264">
        <f>C12</f>
        <v>118224</v>
      </c>
      <c r="C18" s="2261"/>
      <c r="D18" s="219">
        <f>E12</f>
        <v>0</v>
      </c>
      <c r="E18" s="219">
        <f>G12</f>
        <v>220</v>
      </c>
      <c r="F18" s="219">
        <f>I12</f>
        <v>4690</v>
      </c>
      <c r="G18" s="219">
        <f>K12</f>
        <v>0</v>
      </c>
      <c r="H18" s="218">
        <v>90</v>
      </c>
      <c r="I18" s="219">
        <f>U12</f>
        <v>5</v>
      </c>
      <c r="J18" s="218"/>
      <c r="K18" s="219">
        <f>W12</f>
        <v>0</v>
      </c>
      <c r="L18" s="218"/>
      <c r="M18" s="219">
        <f>M12</f>
        <v>0</v>
      </c>
      <c r="N18" s="219">
        <f>O12</f>
        <v>0</v>
      </c>
      <c r="O18" s="220">
        <f>Q12</f>
        <v>0</v>
      </c>
      <c r="P18" s="218"/>
      <c r="Q18" s="2262">
        <v>86</v>
      </c>
      <c r="R18" s="2262"/>
      <c r="S18" s="213"/>
      <c r="T18" s="2254" t="s">
        <v>57</v>
      </c>
      <c r="U18" s="2254"/>
      <c r="V18" s="2262">
        <f>500+60+25467</f>
        <v>26027</v>
      </c>
      <c r="W18" s="2262"/>
      <c r="X18" s="2262"/>
      <c r="Y18" s="2269" t="s">
        <v>261</v>
      </c>
    </row>
    <row r="19" spans="1:25" ht="25.5" customHeight="1" x14ac:dyDescent="0.25">
      <c r="A19" s="100" t="s">
        <v>41</v>
      </c>
      <c r="B19" s="2260">
        <f>B15+B16+B17-B18</f>
        <v>256938</v>
      </c>
      <c r="C19" s="2261"/>
      <c r="D19" s="218">
        <f>D15+D16+D17-D18</f>
        <v>0</v>
      </c>
      <c r="E19" s="218">
        <f t="shared" ref="E19:N19" si="13">E15+E16+E17-E18</f>
        <v>1610</v>
      </c>
      <c r="F19" s="218">
        <f t="shared" si="13"/>
        <v>10440</v>
      </c>
      <c r="G19" s="218">
        <f t="shared" si="13"/>
        <v>0</v>
      </c>
      <c r="H19" s="218">
        <f t="shared" si="13"/>
        <v>290</v>
      </c>
      <c r="I19" s="218">
        <f t="shared" si="13"/>
        <v>30</v>
      </c>
      <c r="J19" s="218">
        <f t="shared" si="13"/>
        <v>144</v>
      </c>
      <c r="K19" s="218">
        <f t="shared" si="13"/>
        <v>72</v>
      </c>
      <c r="L19" s="218">
        <f t="shared" si="13"/>
        <v>402</v>
      </c>
      <c r="M19" s="218">
        <f t="shared" si="13"/>
        <v>0</v>
      </c>
      <c r="N19" s="218">
        <f t="shared" si="13"/>
        <v>100</v>
      </c>
      <c r="O19" s="218">
        <f>O15+O16+O17-O18</f>
        <v>0</v>
      </c>
      <c r="P19" s="218">
        <f>P15+P16+P17-P18</f>
        <v>404</v>
      </c>
      <c r="Q19" s="2260">
        <f t="shared" ref="Q19" si="14">Q15+Q16+Q17-Q18</f>
        <v>452</v>
      </c>
      <c r="R19" s="2261"/>
      <c r="S19" s="213">
        <f>S15+S16-S17-S18</f>
        <v>0</v>
      </c>
      <c r="T19" s="2256" t="s">
        <v>48</v>
      </c>
      <c r="U19" s="49" t="s">
        <v>58</v>
      </c>
      <c r="V19" s="2262">
        <v>323000</v>
      </c>
      <c r="W19" s="2262"/>
      <c r="X19" s="2262"/>
      <c r="Y19" s="2269"/>
    </row>
    <row r="20" spans="1:25" ht="23.25" customHeight="1" x14ac:dyDescent="0.25">
      <c r="A20" s="210" t="s">
        <v>187</v>
      </c>
      <c r="B20" s="2284">
        <f>B19*0.9625</f>
        <v>247302.82500000001</v>
      </c>
      <c r="C20" s="2285"/>
      <c r="D20" s="211">
        <f>D19*13.56</f>
        <v>0</v>
      </c>
      <c r="E20" s="211">
        <f>28.2*E19</f>
        <v>45402</v>
      </c>
      <c r="F20" s="211">
        <f>18.31*F19</f>
        <v>191156.4</v>
      </c>
      <c r="G20" s="211">
        <f>19.3*G19</f>
        <v>0</v>
      </c>
      <c r="H20" s="211">
        <f>241*H19</f>
        <v>69890</v>
      </c>
      <c r="I20" s="211">
        <f>223*I19</f>
        <v>6690</v>
      </c>
      <c r="J20" s="211">
        <f>241*J19</f>
        <v>34704</v>
      </c>
      <c r="K20" s="211">
        <f>K19*100</f>
        <v>7200</v>
      </c>
      <c r="L20" s="211">
        <f>241*L19</f>
        <v>96882</v>
      </c>
      <c r="M20" s="211">
        <f>9.65*M19</f>
        <v>0</v>
      </c>
      <c r="N20" s="211">
        <f>N19*48.2</f>
        <v>4820</v>
      </c>
      <c r="O20" s="211">
        <f>241*O19</f>
        <v>0</v>
      </c>
      <c r="P20" s="211">
        <f>241*P19</f>
        <v>97364</v>
      </c>
      <c r="Q20" s="2284">
        <f>241*Q19</f>
        <v>108932</v>
      </c>
      <c r="R20" s="2285"/>
      <c r="S20" s="211">
        <f>241*S19</f>
        <v>0</v>
      </c>
      <c r="T20" s="2257"/>
      <c r="U20" s="49" t="s">
        <v>59</v>
      </c>
      <c r="V20" s="2262"/>
      <c r="W20" s="2262"/>
      <c r="X20" s="2262"/>
      <c r="Y20" s="2269"/>
    </row>
    <row r="21" spans="1:25" ht="32.25" customHeight="1" x14ac:dyDescent="0.25">
      <c r="A21" s="143" t="s">
        <v>186</v>
      </c>
      <c r="B21" s="2283">
        <f>SUM(B20:S20)</f>
        <v>910343.22499999998</v>
      </c>
      <c r="C21" s="2283"/>
      <c r="O21" s="222"/>
      <c r="P21" s="222"/>
      <c r="Q21" s="222"/>
      <c r="R21" s="222"/>
      <c r="T21" s="2273" t="s">
        <v>167</v>
      </c>
      <c r="U21" s="2274"/>
      <c r="V21" s="2260"/>
      <c r="W21" s="2268"/>
      <c r="X21" s="2261"/>
      <c r="Y21" s="2269"/>
    </row>
    <row r="22" spans="1:25" ht="35.25" customHeight="1" x14ac:dyDescent="0.25">
      <c r="A22" s="15"/>
      <c r="B22" s="2275" t="s">
        <v>49</v>
      </c>
      <c r="C22" s="2265">
        <v>1018637</v>
      </c>
      <c r="D22" s="2265">
        <v>323000</v>
      </c>
      <c r="E22" s="2265">
        <v>70000</v>
      </c>
      <c r="F22" s="2265">
        <f>C22-D22+E22</f>
        <v>765637</v>
      </c>
      <c r="G22" s="222"/>
      <c r="Q22" s="222"/>
      <c r="R22" s="222"/>
      <c r="T22" s="2251" t="s">
        <v>83</v>
      </c>
      <c r="U22" s="50" t="s">
        <v>60</v>
      </c>
      <c r="V22" s="2262">
        <v>192230</v>
      </c>
      <c r="W22" s="2262"/>
      <c r="X22" s="2262"/>
      <c r="Y22" s="2269"/>
    </row>
    <row r="23" spans="1:25" ht="39.75" customHeight="1" x14ac:dyDescent="0.25">
      <c r="A23" s="222"/>
      <c r="B23" s="2276"/>
      <c r="C23" s="2266"/>
      <c r="D23" s="2266"/>
      <c r="E23" s="2266"/>
      <c r="F23" s="2266"/>
      <c r="G23" s="222"/>
      <c r="Q23" s="222"/>
      <c r="R23" s="222"/>
      <c r="T23" s="2252"/>
      <c r="U23" s="50" t="s">
        <v>61</v>
      </c>
      <c r="V23" s="2262">
        <v>323000</v>
      </c>
      <c r="W23" s="2262"/>
      <c r="X23" s="2262"/>
      <c r="Y23" s="2269"/>
    </row>
    <row r="24" spans="1:25" ht="48" customHeight="1" x14ac:dyDescent="0.25">
      <c r="A24" s="222"/>
      <c r="B24" s="2277"/>
      <c r="C24" s="213" t="s">
        <v>46</v>
      </c>
      <c r="D24" s="213" t="s">
        <v>50</v>
      </c>
      <c r="E24" s="213" t="s">
        <v>51</v>
      </c>
      <c r="F24" s="213" t="s">
        <v>52</v>
      </c>
      <c r="G24" s="222"/>
      <c r="Q24" s="222"/>
      <c r="R24" s="222"/>
      <c r="T24" s="2235" t="s">
        <v>47</v>
      </c>
      <c r="U24" s="51" t="s">
        <v>62</v>
      </c>
      <c r="V24" s="2263">
        <f>V14+V16+V17-V18-V19-V20-V22+V23-V21</f>
        <v>30698.839999999967</v>
      </c>
      <c r="W24" s="2263"/>
      <c r="X24" s="2263"/>
      <c r="Y24" s="2269"/>
    </row>
    <row r="25" spans="1:25" ht="40.5" customHeight="1" x14ac:dyDescent="0.25">
      <c r="T25" s="2235"/>
      <c r="U25" s="51" t="s">
        <v>63</v>
      </c>
      <c r="V25" s="2262">
        <f>V15+V22-V23</f>
        <v>9182</v>
      </c>
      <c r="W25" s="2262"/>
      <c r="X25" s="2262"/>
    </row>
    <row r="26" spans="1:25" ht="36" customHeight="1" x14ac:dyDescent="0.25"/>
    <row r="32" spans="1:25" x14ac:dyDescent="0.25">
      <c r="I32" s="2280"/>
      <c r="J32" s="2280"/>
      <c r="K32" s="2280"/>
      <c r="L32" s="2280"/>
    </row>
    <row r="33" spans="9:12" x14ac:dyDescent="0.25">
      <c r="I33" s="222"/>
      <c r="J33" s="222"/>
      <c r="K33" s="2280"/>
      <c r="L33" s="2280"/>
    </row>
  </sheetData>
  <mergeCells count="62">
    <mergeCell ref="I32:J32"/>
    <mergeCell ref="K32:L32"/>
    <mergeCell ref="K33:L33"/>
    <mergeCell ref="T22:T23"/>
    <mergeCell ref="V22:X22"/>
    <mergeCell ref="V23:X23"/>
    <mergeCell ref="T24:T25"/>
    <mergeCell ref="V24:X24"/>
    <mergeCell ref="V25:X25"/>
    <mergeCell ref="Y18:Y24"/>
    <mergeCell ref="B19:C19"/>
    <mergeCell ref="Q19:R19"/>
    <mergeCell ref="T19:T20"/>
    <mergeCell ref="V19:X19"/>
    <mergeCell ref="B20:C20"/>
    <mergeCell ref="B22:B24"/>
    <mergeCell ref="C22:C23"/>
    <mergeCell ref="D22:D23"/>
    <mergeCell ref="E22:E23"/>
    <mergeCell ref="F22:F23"/>
    <mergeCell ref="Q20:R20"/>
    <mergeCell ref="V20:X20"/>
    <mergeCell ref="B21:C21"/>
    <mergeCell ref="T21:U21"/>
    <mergeCell ref="V21:X21"/>
    <mergeCell ref="B17:C17"/>
    <mergeCell ref="Q17:R17"/>
    <mergeCell ref="T17:U17"/>
    <mergeCell ref="V17:X17"/>
    <mergeCell ref="B18:C18"/>
    <mergeCell ref="Q18:R18"/>
    <mergeCell ref="T18:U18"/>
    <mergeCell ref="V18:X18"/>
    <mergeCell ref="W4:X4"/>
    <mergeCell ref="B16:C16"/>
    <mergeCell ref="Q16:R16"/>
    <mergeCell ref="T16:U16"/>
    <mergeCell ref="V16:X16"/>
    <mergeCell ref="A12:B12"/>
    <mergeCell ref="B14:C14"/>
    <mergeCell ref="Q14:R14"/>
    <mergeCell ref="T14:T15"/>
    <mergeCell ref="V14:X14"/>
    <mergeCell ref="B15:C15"/>
    <mergeCell ref="Q15:R15"/>
    <mergeCell ref="V15:X15"/>
    <mergeCell ref="A1:Y1"/>
    <mergeCell ref="A2:Y2"/>
    <mergeCell ref="T3:Y3"/>
    <mergeCell ref="A4:A5"/>
    <mergeCell ref="B4:B5"/>
    <mergeCell ref="C4:D4"/>
    <mergeCell ref="E4:F4"/>
    <mergeCell ref="G4:H4"/>
    <mergeCell ref="I4:J4"/>
    <mergeCell ref="K4:L4"/>
    <mergeCell ref="Y4:Y5"/>
    <mergeCell ref="M4:N4"/>
    <mergeCell ref="O4:P4"/>
    <mergeCell ref="Q4:R4"/>
    <mergeCell ref="S4:T4"/>
    <mergeCell ref="U4:V4"/>
  </mergeCells>
  <pageMargins left="0.15748031496063" right="0.15748031496063" top="0" bottom="0" header="0" footer="0"/>
  <pageSetup paperSize="9" scale="47" orientation="landscape" r:id="rId1"/>
  <legacyDrawing r:id="rId2"/>
</worksheet>
</file>

<file path=xl/worksheets/sheet8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46C416D-FCBB-49CE-AE26-A2750A96CC0E}">
  <sheetPr>
    <pageSetUpPr fitToPage="1"/>
  </sheetPr>
  <dimension ref="A1:Y33"/>
  <sheetViews>
    <sheetView topLeftCell="D11" zoomScale="71" zoomScaleNormal="71" zoomScaleSheetLayoutView="100" workbookViewId="0">
      <selection activeCell="V18" sqref="V18:X18"/>
    </sheetView>
  </sheetViews>
  <sheetFormatPr defaultColWidth="9.140625" defaultRowHeight="15" x14ac:dyDescent="0.25"/>
  <cols>
    <col min="1" max="1" width="18.28515625" style="14" customWidth="1"/>
    <col min="2" max="2" width="10.7109375" style="14" customWidth="1"/>
    <col min="3" max="3" width="12.28515625" style="14" customWidth="1"/>
    <col min="4" max="4" width="11" style="14" customWidth="1"/>
    <col min="5" max="5" width="12" style="14" customWidth="1"/>
    <col min="6" max="6" width="12.5703125" style="14" bestFit="1" customWidth="1"/>
    <col min="7" max="7" width="9.28515625" style="14" bestFit="1" customWidth="1"/>
    <col min="8" max="8" width="10.140625" style="14" bestFit="1" customWidth="1"/>
    <col min="9" max="9" width="10.5703125" style="14" bestFit="1" customWidth="1"/>
    <col min="10" max="10" width="10.5703125" style="14" customWidth="1"/>
    <col min="11" max="11" width="10.28515625" style="14" bestFit="1" customWidth="1"/>
    <col min="12" max="12" width="10.42578125" style="14" bestFit="1" customWidth="1"/>
    <col min="13" max="13" width="9.85546875" style="14" bestFit="1" customWidth="1"/>
    <col min="14" max="14" width="10.140625" style="14" bestFit="1" customWidth="1"/>
    <col min="15" max="15" width="9" style="14" customWidth="1"/>
    <col min="16" max="16" width="12.85546875" style="14" bestFit="1" customWidth="1"/>
    <col min="17" max="18" width="9.42578125" style="14" customWidth="1"/>
    <col min="19" max="19" width="13.7109375" style="14" customWidth="1"/>
    <col min="20" max="20" width="12.140625" style="14" customWidth="1"/>
    <col min="21" max="21" width="19.5703125" style="14" bestFit="1" customWidth="1"/>
    <col min="22" max="22" width="9.85546875" style="14" customWidth="1"/>
    <col min="23" max="23" width="10.140625" style="14" bestFit="1" customWidth="1"/>
    <col min="24" max="24" width="10.28515625" style="14" customWidth="1"/>
    <col min="25" max="25" width="28" style="14" customWidth="1"/>
    <col min="26" max="16384" width="9.140625" style="14"/>
  </cols>
  <sheetData>
    <row r="1" spans="1:25" ht="46.15" customHeight="1" x14ac:dyDescent="0.25">
      <c r="A1" s="2240" t="s">
        <v>148</v>
      </c>
      <c r="B1" s="2240"/>
      <c r="C1" s="2240"/>
      <c r="D1" s="2240"/>
      <c r="E1" s="2240"/>
      <c r="F1" s="2240"/>
      <c r="G1" s="2240"/>
      <c r="H1" s="2240"/>
      <c r="I1" s="2240"/>
      <c r="J1" s="2240"/>
      <c r="K1" s="2240"/>
      <c r="L1" s="2240"/>
      <c r="M1" s="2240"/>
      <c r="N1" s="2240"/>
      <c r="O1" s="2240"/>
      <c r="P1" s="2240"/>
      <c r="Q1" s="2240"/>
      <c r="R1" s="2240"/>
      <c r="S1" s="2240"/>
      <c r="T1" s="2240"/>
      <c r="U1" s="2240"/>
      <c r="V1" s="2240"/>
      <c r="W1" s="2240"/>
      <c r="X1" s="2240"/>
      <c r="Y1" s="2240"/>
    </row>
    <row r="2" spans="1:25" ht="21.6" customHeight="1" x14ac:dyDescent="0.25">
      <c r="A2" s="2241" t="s">
        <v>77</v>
      </c>
      <c r="B2" s="2241"/>
      <c r="C2" s="2241"/>
      <c r="D2" s="2241"/>
      <c r="E2" s="2241"/>
      <c r="F2" s="2241"/>
      <c r="G2" s="2241"/>
      <c r="H2" s="2241"/>
      <c r="I2" s="2241"/>
      <c r="J2" s="2241"/>
      <c r="K2" s="2241"/>
      <c r="L2" s="2241"/>
      <c r="M2" s="2241"/>
      <c r="N2" s="2241"/>
      <c r="O2" s="2241"/>
      <c r="P2" s="2241"/>
      <c r="Q2" s="2241"/>
      <c r="R2" s="2241"/>
      <c r="S2" s="2241"/>
      <c r="T2" s="2241"/>
      <c r="U2" s="2241"/>
      <c r="V2" s="2241"/>
      <c r="W2" s="2241"/>
      <c r="X2" s="2241"/>
      <c r="Y2" s="2241"/>
    </row>
    <row r="3" spans="1:25" ht="21" customHeight="1" x14ac:dyDescent="0.25">
      <c r="A3" s="212"/>
      <c r="B3" s="212"/>
      <c r="C3" s="212"/>
      <c r="D3" s="212"/>
      <c r="E3" s="212"/>
      <c r="F3" s="212"/>
      <c r="G3" s="212"/>
      <c r="H3" s="212"/>
      <c r="I3" s="212"/>
      <c r="J3" s="212"/>
      <c r="K3" s="212"/>
      <c r="L3" s="212"/>
      <c r="M3" s="212"/>
      <c r="N3" s="212"/>
      <c r="O3" s="212"/>
      <c r="P3" s="212"/>
      <c r="Q3" s="212"/>
      <c r="R3" s="212"/>
      <c r="S3" s="212"/>
      <c r="T3" s="2242" t="s">
        <v>262</v>
      </c>
      <c r="U3" s="2242"/>
      <c r="V3" s="2242"/>
      <c r="W3" s="2242"/>
      <c r="X3" s="2242"/>
      <c r="Y3" s="2242"/>
    </row>
    <row r="4" spans="1:25" s="212" customFormat="1" ht="18" customHeight="1" x14ac:dyDescent="0.25">
      <c r="A4" s="2243" t="s">
        <v>25</v>
      </c>
      <c r="B4" s="2243" t="s">
        <v>26</v>
      </c>
      <c r="C4" s="2244" t="s">
        <v>27</v>
      </c>
      <c r="D4" s="2244"/>
      <c r="E4" s="2244" t="s">
        <v>28</v>
      </c>
      <c r="F4" s="2244"/>
      <c r="G4" s="2244" t="s">
        <v>65</v>
      </c>
      <c r="H4" s="2244"/>
      <c r="I4" s="2244" t="s">
        <v>29</v>
      </c>
      <c r="J4" s="2244"/>
      <c r="K4" s="2245" t="s">
        <v>13</v>
      </c>
      <c r="L4" s="2246"/>
      <c r="M4" s="2245" t="s">
        <v>67</v>
      </c>
      <c r="N4" s="2246"/>
      <c r="O4" s="2245" t="s">
        <v>68</v>
      </c>
      <c r="P4" s="2246"/>
      <c r="Q4" s="2245" t="s">
        <v>114</v>
      </c>
      <c r="R4" s="2246"/>
      <c r="S4" s="2244" t="s">
        <v>35</v>
      </c>
      <c r="T4" s="2244"/>
      <c r="U4" s="2245" t="s">
        <v>17</v>
      </c>
      <c r="V4" s="2246"/>
      <c r="W4" s="2247" t="s">
        <v>36</v>
      </c>
      <c r="X4" s="2248"/>
      <c r="Y4" s="2238" t="s">
        <v>30</v>
      </c>
    </row>
    <row r="5" spans="1:25" s="212" customFormat="1" ht="25.5" customHeight="1" x14ac:dyDescent="0.25">
      <c r="A5" s="2243"/>
      <c r="B5" s="2243"/>
      <c r="C5" s="214" t="s">
        <v>42</v>
      </c>
      <c r="D5" s="214" t="s">
        <v>43</v>
      </c>
      <c r="E5" s="214" t="s">
        <v>42</v>
      </c>
      <c r="F5" s="214" t="s">
        <v>43</v>
      </c>
      <c r="G5" s="214" t="s">
        <v>42</v>
      </c>
      <c r="H5" s="214" t="s">
        <v>43</v>
      </c>
      <c r="I5" s="214" t="s">
        <v>42</v>
      </c>
      <c r="J5" s="214" t="s">
        <v>43</v>
      </c>
      <c r="K5" s="214" t="s">
        <v>42</v>
      </c>
      <c r="L5" s="214" t="s">
        <v>43</v>
      </c>
      <c r="M5" s="214" t="s">
        <v>42</v>
      </c>
      <c r="N5" s="214" t="s">
        <v>43</v>
      </c>
      <c r="O5" s="214" t="s">
        <v>42</v>
      </c>
      <c r="P5" s="214" t="s">
        <v>43</v>
      </c>
      <c r="Q5" s="214" t="s">
        <v>42</v>
      </c>
      <c r="R5" s="214" t="s">
        <v>43</v>
      </c>
      <c r="S5" s="33" t="s">
        <v>42</v>
      </c>
      <c r="T5" s="33" t="s">
        <v>43</v>
      </c>
      <c r="U5" s="30" t="s">
        <v>42</v>
      </c>
      <c r="V5" s="30" t="s">
        <v>43</v>
      </c>
      <c r="W5" s="30" t="s">
        <v>42</v>
      </c>
      <c r="X5" s="30" t="s">
        <v>43</v>
      </c>
      <c r="Y5" s="2239"/>
    </row>
    <row r="6" spans="1:25" ht="34.5" customHeight="1" x14ac:dyDescent="0.25">
      <c r="A6" s="12">
        <v>1409935200</v>
      </c>
      <c r="B6" s="213" t="s">
        <v>71</v>
      </c>
      <c r="C6" s="216">
        <v>26413</v>
      </c>
      <c r="D6" s="217">
        <f>0.9725*C6</f>
        <v>25686.642500000002</v>
      </c>
      <c r="E6" s="216"/>
      <c r="F6" s="216">
        <f>13.7*E6</f>
        <v>0</v>
      </c>
      <c r="G6" s="216">
        <v>360</v>
      </c>
      <c r="H6" s="216">
        <f>28.2*G6</f>
        <v>10152</v>
      </c>
      <c r="I6" s="216">
        <v>880</v>
      </c>
      <c r="J6" s="216">
        <f>18.5*I6</f>
        <v>16280</v>
      </c>
      <c r="K6" s="216"/>
      <c r="L6" s="216">
        <f>19.5*K6</f>
        <v>0</v>
      </c>
      <c r="M6" s="216"/>
      <c r="N6" s="217">
        <f>M6*9.75</f>
        <v>0</v>
      </c>
      <c r="O6" s="216"/>
      <c r="P6" s="217">
        <f>O6*48.62</f>
        <v>0</v>
      </c>
      <c r="Q6" s="217"/>
      <c r="R6" s="217">
        <f>241*Q6</f>
        <v>0</v>
      </c>
      <c r="S6" s="216"/>
      <c r="T6" s="216">
        <f>241*S6</f>
        <v>0</v>
      </c>
      <c r="U6" s="216">
        <v>10</v>
      </c>
      <c r="V6" s="216">
        <f>232*U6</f>
        <v>2320</v>
      </c>
      <c r="W6" s="216"/>
      <c r="X6" s="19">
        <f>W6*100</f>
        <v>0</v>
      </c>
      <c r="Y6" s="89">
        <f t="shared" ref="Y6:Y11" si="0">D6+F6+H6+J6+L6+N6+P6+R6+T6+V6+X6</f>
        <v>54438.642500000002</v>
      </c>
    </row>
    <row r="7" spans="1:25" ht="31.5" customHeight="1" x14ac:dyDescent="0.25">
      <c r="A7" s="12">
        <v>1984225578</v>
      </c>
      <c r="B7" s="213" t="s">
        <v>72</v>
      </c>
      <c r="C7" s="216">
        <v>55768</v>
      </c>
      <c r="D7" s="217">
        <f t="shared" ref="D7:D11" si="1">0.9725*C7</f>
        <v>54234.380000000005</v>
      </c>
      <c r="E7" s="216"/>
      <c r="F7" s="216">
        <f t="shared" ref="F7:F11" si="2">13.7*E7</f>
        <v>0</v>
      </c>
      <c r="G7" s="216">
        <v>270</v>
      </c>
      <c r="H7" s="216">
        <f t="shared" ref="H7:H11" si="3">28.2*G7</f>
        <v>7614</v>
      </c>
      <c r="I7" s="216">
        <v>2520</v>
      </c>
      <c r="J7" s="216">
        <f t="shared" ref="J7:J11" si="4">18.5*I7</f>
        <v>46620</v>
      </c>
      <c r="K7" s="216"/>
      <c r="L7" s="216">
        <f t="shared" ref="L7:L11" si="5">19.5*K7</f>
        <v>0</v>
      </c>
      <c r="M7" s="216"/>
      <c r="N7" s="217">
        <f t="shared" ref="N7:N11" si="6">M7*9.75</f>
        <v>0</v>
      </c>
      <c r="O7" s="216"/>
      <c r="P7" s="217">
        <f t="shared" ref="P7:P11" si="7">O7*48.62</f>
        <v>0</v>
      </c>
      <c r="Q7" s="217"/>
      <c r="R7" s="217">
        <f t="shared" ref="R7:R11" si="8">241*Q7</f>
        <v>0</v>
      </c>
      <c r="S7" s="216">
        <v>5</v>
      </c>
      <c r="T7" s="216">
        <f t="shared" ref="T7:T11" si="9">241*S7</f>
        <v>1205</v>
      </c>
      <c r="U7" s="216"/>
      <c r="V7" s="216">
        <f t="shared" ref="V7:V11" si="10">232*U7</f>
        <v>0</v>
      </c>
      <c r="W7" s="216"/>
      <c r="X7" s="19">
        <f t="shared" ref="X7:X11" si="11">W7*100</f>
        <v>0</v>
      </c>
      <c r="Y7" s="89">
        <f t="shared" si="0"/>
        <v>109673.38</v>
      </c>
    </row>
    <row r="8" spans="1:25" ht="35.25" customHeight="1" x14ac:dyDescent="0.25">
      <c r="A8" s="12">
        <v>1967020280</v>
      </c>
      <c r="B8" s="213" t="s">
        <v>73</v>
      </c>
      <c r="C8" s="216">
        <v>37612</v>
      </c>
      <c r="D8" s="217">
        <f t="shared" si="1"/>
        <v>36577.67</v>
      </c>
      <c r="E8" s="216"/>
      <c r="F8" s="216">
        <f t="shared" si="2"/>
        <v>0</v>
      </c>
      <c r="G8" s="216">
        <v>30</v>
      </c>
      <c r="H8" s="216">
        <f t="shared" si="3"/>
        <v>846</v>
      </c>
      <c r="I8" s="216">
        <v>710</v>
      </c>
      <c r="J8" s="216">
        <f t="shared" si="4"/>
        <v>13135</v>
      </c>
      <c r="K8" s="216"/>
      <c r="L8" s="216">
        <f t="shared" si="5"/>
        <v>0</v>
      </c>
      <c r="M8" s="216"/>
      <c r="N8" s="217">
        <f t="shared" si="6"/>
        <v>0</v>
      </c>
      <c r="O8" s="216"/>
      <c r="P8" s="217">
        <f t="shared" si="7"/>
        <v>0</v>
      </c>
      <c r="Q8" s="217"/>
      <c r="R8" s="217">
        <f t="shared" si="8"/>
        <v>0</v>
      </c>
      <c r="S8" s="216"/>
      <c r="T8" s="216">
        <f t="shared" si="9"/>
        <v>0</v>
      </c>
      <c r="U8" s="216">
        <v>15</v>
      </c>
      <c r="V8" s="216">
        <f t="shared" si="10"/>
        <v>3480</v>
      </c>
      <c r="W8" s="216"/>
      <c r="X8" s="19">
        <f t="shared" si="11"/>
        <v>0</v>
      </c>
      <c r="Y8" s="89">
        <f t="shared" si="0"/>
        <v>54038.67</v>
      </c>
    </row>
    <row r="9" spans="1:25" ht="38.25" customHeight="1" x14ac:dyDescent="0.25">
      <c r="A9" s="12">
        <v>1409935199</v>
      </c>
      <c r="B9" s="213" t="s">
        <v>75</v>
      </c>
      <c r="C9" s="216">
        <v>38444</v>
      </c>
      <c r="D9" s="217">
        <f t="shared" si="1"/>
        <v>37386.79</v>
      </c>
      <c r="E9" s="216"/>
      <c r="F9" s="216">
        <f t="shared" si="2"/>
        <v>0</v>
      </c>
      <c r="G9" s="216"/>
      <c r="H9" s="216">
        <f t="shared" si="3"/>
        <v>0</v>
      </c>
      <c r="I9" s="216">
        <v>280</v>
      </c>
      <c r="J9" s="216">
        <f t="shared" si="4"/>
        <v>5180</v>
      </c>
      <c r="K9" s="216"/>
      <c r="L9" s="216">
        <f t="shared" si="5"/>
        <v>0</v>
      </c>
      <c r="M9" s="216"/>
      <c r="N9" s="217">
        <f t="shared" si="6"/>
        <v>0</v>
      </c>
      <c r="O9" s="216"/>
      <c r="P9" s="217">
        <f t="shared" si="7"/>
        <v>0</v>
      </c>
      <c r="Q9" s="217"/>
      <c r="R9" s="217">
        <f t="shared" si="8"/>
        <v>0</v>
      </c>
      <c r="S9" s="216"/>
      <c r="T9" s="216">
        <f t="shared" si="9"/>
        <v>0</v>
      </c>
      <c r="U9" s="216">
        <v>2</v>
      </c>
      <c r="V9" s="216">
        <f t="shared" si="10"/>
        <v>464</v>
      </c>
      <c r="W9" s="216"/>
      <c r="X9" s="19">
        <f t="shared" si="11"/>
        <v>0</v>
      </c>
      <c r="Y9" s="89">
        <f t="shared" si="0"/>
        <v>43030.79</v>
      </c>
    </row>
    <row r="10" spans="1:25" ht="35.25" customHeight="1" x14ac:dyDescent="0.25">
      <c r="A10" s="12">
        <v>1984225580</v>
      </c>
      <c r="C10" s="216"/>
      <c r="D10" s="217">
        <f t="shared" si="1"/>
        <v>0</v>
      </c>
      <c r="E10" s="216"/>
      <c r="F10" s="216">
        <f t="shared" si="2"/>
        <v>0</v>
      </c>
      <c r="G10" s="216"/>
      <c r="H10" s="216">
        <f t="shared" si="3"/>
        <v>0</v>
      </c>
      <c r="I10" s="216"/>
      <c r="J10" s="216">
        <f t="shared" si="4"/>
        <v>0</v>
      </c>
      <c r="K10" s="216"/>
      <c r="L10" s="216">
        <f t="shared" si="5"/>
        <v>0</v>
      </c>
      <c r="M10" s="216"/>
      <c r="N10" s="217">
        <f t="shared" si="6"/>
        <v>0</v>
      </c>
      <c r="O10" s="216"/>
      <c r="P10" s="217">
        <f t="shared" si="7"/>
        <v>0</v>
      </c>
      <c r="Q10" s="217"/>
      <c r="R10" s="217">
        <f t="shared" si="8"/>
        <v>0</v>
      </c>
      <c r="S10" s="216"/>
      <c r="T10" s="216">
        <f t="shared" si="9"/>
        <v>0</v>
      </c>
      <c r="U10" s="216"/>
      <c r="V10" s="216">
        <f t="shared" si="10"/>
        <v>0</v>
      </c>
      <c r="W10" s="216"/>
      <c r="X10" s="19">
        <f t="shared" si="11"/>
        <v>0</v>
      </c>
      <c r="Y10" s="89">
        <f t="shared" si="0"/>
        <v>0</v>
      </c>
    </row>
    <row r="11" spans="1:25" ht="37.5" customHeight="1" x14ac:dyDescent="0.25">
      <c r="A11" s="12"/>
      <c r="B11" s="215"/>
      <c r="C11" s="216"/>
      <c r="D11" s="22">
        <f t="shared" si="1"/>
        <v>0</v>
      </c>
      <c r="E11" s="216"/>
      <c r="F11" s="216">
        <f t="shared" si="2"/>
        <v>0</v>
      </c>
      <c r="G11" s="216"/>
      <c r="H11" s="216">
        <f t="shared" si="3"/>
        <v>0</v>
      </c>
      <c r="I11" s="216"/>
      <c r="J11" s="216">
        <f t="shared" si="4"/>
        <v>0</v>
      </c>
      <c r="K11" s="216"/>
      <c r="L11" s="216">
        <f t="shared" si="5"/>
        <v>0</v>
      </c>
      <c r="M11" s="216"/>
      <c r="N11" s="217">
        <f t="shared" si="6"/>
        <v>0</v>
      </c>
      <c r="O11" s="216"/>
      <c r="P11" s="217">
        <f t="shared" si="7"/>
        <v>0</v>
      </c>
      <c r="Q11" s="217"/>
      <c r="R11" s="217">
        <f t="shared" si="8"/>
        <v>0</v>
      </c>
      <c r="S11" s="216"/>
      <c r="T11" s="216">
        <f t="shared" si="9"/>
        <v>0</v>
      </c>
      <c r="U11" s="216"/>
      <c r="V11" s="216">
        <f t="shared" si="10"/>
        <v>0</v>
      </c>
      <c r="W11" s="216"/>
      <c r="X11" s="19">
        <f t="shared" si="11"/>
        <v>0</v>
      </c>
      <c r="Y11" s="20">
        <f t="shared" si="0"/>
        <v>0</v>
      </c>
    </row>
    <row r="12" spans="1:25" ht="29.25" customHeight="1" x14ac:dyDescent="0.25">
      <c r="A12" s="2235" t="s">
        <v>31</v>
      </c>
      <c r="B12" s="2235"/>
      <c r="C12" s="18">
        <f t="shared" ref="C12:Y12" si="12">SUM(C6:C11)</f>
        <v>158237</v>
      </c>
      <c r="D12" s="18">
        <f t="shared" si="12"/>
        <v>153885.48250000001</v>
      </c>
      <c r="E12" s="18">
        <f t="shared" si="12"/>
        <v>0</v>
      </c>
      <c r="F12" s="18">
        <f t="shared" si="12"/>
        <v>0</v>
      </c>
      <c r="G12" s="18">
        <f t="shared" si="12"/>
        <v>660</v>
      </c>
      <c r="H12" s="18">
        <f t="shared" si="12"/>
        <v>18612</v>
      </c>
      <c r="I12" s="18">
        <f t="shared" si="12"/>
        <v>4390</v>
      </c>
      <c r="J12" s="18">
        <f t="shared" si="12"/>
        <v>81215</v>
      </c>
      <c r="K12" s="18">
        <f t="shared" si="12"/>
        <v>0</v>
      </c>
      <c r="L12" s="18">
        <f t="shared" si="12"/>
        <v>0</v>
      </c>
      <c r="M12" s="18">
        <f t="shared" si="12"/>
        <v>0</v>
      </c>
      <c r="N12" s="23">
        <f t="shared" si="12"/>
        <v>0</v>
      </c>
      <c r="O12" s="18">
        <f t="shared" si="12"/>
        <v>0</v>
      </c>
      <c r="P12" s="23">
        <f t="shared" si="12"/>
        <v>0</v>
      </c>
      <c r="Q12" s="23">
        <f t="shared" si="12"/>
        <v>0</v>
      </c>
      <c r="R12" s="23">
        <f>SUM(R6:R11)</f>
        <v>0</v>
      </c>
      <c r="S12" s="18">
        <f t="shared" si="12"/>
        <v>5</v>
      </c>
      <c r="T12" s="18">
        <f t="shared" si="12"/>
        <v>1205</v>
      </c>
      <c r="U12" s="18">
        <f t="shared" si="12"/>
        <v>27</v>
      </c>
      <c r="V12" s="18">
        <f t="shared" si="12"/>
        <v>6264</v>
      </c>
      <c r="W12" s="18">
        <f t="shared" si="12"/>
        <v>0</v>
      </c>
      <c r="X12" s="18">
        <f t="shared" si="12"/>
        <v>0</v>
      </c>
      <c r="Y12" s="18">
        <f t="shared" si="12"/>
        <v>261181.48250000001</v>
      </c>
    </row>
    <row r="14" spans="1:25" ht="41.25" customHeight="1" x14ac:dyDescent="0.25">
      <c r="A14" s="30" t="s">
        <v>32</v>
      </c>
      <c r="B14" s="2236" t="s">
        <v>27</v>
      </c>
      <c r="C14" s="2236"/>
      <c r="D14" s="30" t="s">
        <v>33</v>
      </c>
      <c r="E14" s="30" t="s">
        <v>65</v>
      </c>
      <c r="F14" s="30" t="s">
        <v>34</v>
      </c>
      <c r="G14" s="30" t="s">
        <v>13</v>
      </c>
      <c r="H14" s="142" t="s">
        <v>173</v>
      </c>
      <c r="I14" s="30" t="s">
        <v>17</v>
      </c>
      <c r="J14" s="221" t="s">
        <v>174</v>
      </c>
      <c r="K14" s="30" t="s">
        <v>36</v>
      </c>
      <c r="L14" s="30" t="s">
        <v>175</v>
      </c>
      <c r="M14" s="30" t="s">
        <v>69</v>
      </c>
      <c r="N14" s="30" t="s">
        <v>70</v>
      </c>
      <c r="O14" s="221" t="s">
        <v>114</v>
      </c>
      <c r="P14" s="221" t="s">
        <v>99</v>
      </c>
      <c r="Q14" s="2272" t="s">
        <v>256</v>
      </c>
      <c r="R14" s="2272"/>
      <c r="S14" s="221"/>
      <c r="T14" s="2235" t="s">
        <v>46</v>
      </c>
      <c r="U14" s="213" t="s">
        <v>176</v>
      </c>
      <c r="V14" s="2260">
        <v>30699</v>
      </c>
      <c r="W14" s="2268"/>
      <c r="X14" s="2261"/>
    </row>
    <row r="15" spans="1:25" ht="22.5" customHeight="1" x14ac:dyDescent="0.25">
      <c r="A15" s="100" t="s">
        <v>38</v>
      </c>
      <c r="B15" s="2260">
        <v>256938</v>
      </c>
      <c r="C15" s="2261"/>
      <c r="D15" s="218">
        <v>0</v>
      </c>
      <c r="E15" s="218">
        <v>1610</v>
      </c>
      <c r="F15" s="218">
        <v>10440</v>
      </c>
      <c r="G15" s="218">
        <v>0</v>
      </c>
      <c r="H15" s="218">
        <v>290</v>
      </c>
      <c r="I15" s="218">
        <v>30</v>
      </c>
      <c r="J15" s="218">
        <v>144</v>
      </c>
      <c r="K15" s="218">
        <v>72</v>
      </c>
      <c r="L15" s="218">
        <v>402</v>
      </c>
      <c r="M15" s="218">
        <v>0</v>
      </c>
      <c r="N15" s="218">
        <v>100</v>
      </c>
      <c r="O15" s="218">
        <v>0</v>
      </c>
      <c r="P15" s="218">
        <v>404</v>
      </c>
      <c r="Q15" s="2262">
        <v>452</v>
      </c>
      <c r="R15" s="2262"/>
      <c r="S15" s="213">
        <v>0</v>
      </c>
      <c r="T15" s="2235"/>
      <c r="U15" s="213" t="s">
        <v>64</v>
      </c>
      <c r="V15" s="2262">
        <v>9182</v>
      </c>
      <c r="W15" s="2262"/>
      <c r="X15" s="2262"/>
    </row>
    <row r="16" spans="1:25" ht="24.75" customHeight="1" x14ac:dyDescent="0.25">
      <c r="A16" s="100" t="s">
        <v>39</v>
      </c>
      <c r="B16" s="2260">
        <v>415584</v>
      </c>
      <c r="C16" s="2261"/>
      <c r="D16" s="218"/>
      <c r="E16" s="218">
        <v>1000</v>
      </c>
      <c r="F16" s="218">
        <v>6000</v>
      </c>
      <c r="G16" s="218"/>
      <c r="H16" s="218">
        <v>300</v>
      </c>
      <c r="I16" s="218"/>
      <c r="J16" s="218"/>
      <c r="K16" s="218"/>
      <c r="L16" s="218">
        <v>200</v>
      </c>
      <c r="M16" s="218"/>
      <c r="N16" s="218"/>
      <c r="O16" s="218"/>
      <c r="P16" s="218"/>
      <c r="Q16" s="2225"/>
      <c r="R16" s="2225"/>
      <c r="S16" s="218"/>
      <c r="T16" s="2254" t="s">
        <v>55</v>
      </c>
      <c r="U16" s="2254"/>
      <c r="V16" s="2267">
        <f>Y12</f>
        <v>261181.48250000001</v>
      </c>
      <c r="W16" s="2267"/>
      <c r="X16" s="2262"/>
    </row>
    <row r="17" spans="1:25" ht="28.5" customHeight="1" x14ac:dyDescent="0.25">
      <c r="A17" s="101" t="s">
        <v>44</v>
      </c>
      <c r="B17" s="2260"/>
      <c r="C17" s="2261"/>
      <c r="D17" s="218"/>
      <c r="E17" s="218"/>
      <c r="F17" s="218"/>
      <c r="G17" s="218"/>
      <c r="H17" s="218"/>
      <c r="I17" s="218"/>
      <c r="J17" s="218"/>
      <c r="K17" s="218"/>
      <c r="L17" s="218"/>
      <c r="M17" s="218"/>
      <c r="N17" s="218"/>
      <c r="O17" s="218"/>
      <c r="P17" s="218"/>
      <c r="Q17" s="2225"/>
      <c r="R17" s="2225"/>
      <c r="S17" s="215"/>
      <c r="T17" s="2273" t="s">
        <v>250</v>
      </c>
      <c r="U17" s="2274"/>
      <c r="V17" s="2262"/>
      <c r="W17" s="2262"/>
      <c r="X17" s="2262"/>
    </row>
    <row r="18" spans="1:25" ht="27" customHeight="1" x14ac:dyDescent="0.25">
      <c r="A18" s="100" t="s">
        <v>40</v>
      </c>
      <c r="B18" s="2264">
        <f>C12</f>
        <v>158237</v>
      </c>
      <c r="C18" s="2261"/>
      <c r="D18" s="219">
        <f>E12</f>
        <v>0</v>
      </c>
      <c r="E18" s="219">
        <f>G12</f>
        <v>660</v>
      </c>
      <c r="F18" s="219">
        <f>I12</f>
        <v>4390</v>
      </c>
      <c r="G18" s="219">
        <f>K12</f>
        <v>0</v>
      </c>
      <c r="H18" s="218">
        <v>205</v>
      </c>
      <c r="I18" s="219">
        <f>U12</f>
        <v>27</v>
      </c>
      <c r="J18" s="218"/>
      <c r="K18" s="219">
        <f>W12</f>
        <v>0</v>
      </c>
      <c r="L18" s="218"/>
      <c r="M18" s="219">
        <f>M12</f>
        <v>0</v>
      </c>
      <c r="N18" s="219">
        <f>O12</f>
        <v>0</v>
      </c>
      <c r="O18" s="220">
        <f>Q12</f>
        <v>0</v>
      </c>
      <c r="P18" s="218"/>
      <c r="Q18" s="2262"/>
      <c r="R18" s="2262"/>
      <c r="S18" s="213"/>
      <c r="T18" s="2254" t="s">
        <v>57</v>
      </c>
      <c r="U18" s="2254"/>
      <c r="V18" s="2262">
        <f>450+80+1260</f>
        <v>1790</v>
      </c>
      <c r="W18" s="2262"/>
      <c r="X18" s="2262"/>
      <c r="Y18" s="2269" t="s">
        <v>263</v>
      </c>
    </row>
    <row r="19" spans="1:25" ht="25.5" customHeight="1" x14ac:dyDescent="0.25">
      <c r="A19" s="100" t="s">
        <v>41</v>
      </c>
      <c r="B19" s="2260">
        <f>B15+B16+B17-B18</f>
        <v>514285</v>
      </c>
      <c r="C19" s="2261"/>
      <c r="D19" s="218">
        <f>D15+D16+D17-D18</f>
        <v>0</v>
      </c>
      <c r="E19" s="218">
        <f t="shared" ref="E19:N19" si="13">E15+E16+E17-E18</f>
        <v>1950</v>
      </c>
      <c r="F19" s="218">
        <f t="shared" si="13"/>
        <v>12050</v>
      </c>
      <c r="G19" s="218">
        <f t="shared" si="13"/>
        <v>0</v>
      </c>
      <c r="H19" s="218">
        <f t="shared" si="13"/>
        <v>385</v>
      </c>
      <c r="I19" s="218">
        <f t="shared" si="13"/>
        <v>3</v>
      </c>
      <c r="J19" s="218">
        <f t="shared" si="13"/>
        <v>144</v>
      </c>
      <c r="K19" s="218">
        <f t="shared" si="13"/>
        <v>72</v>
      </c>
      <c r="L19" s="218">
        <f t="shared" si="13"/>
        <v>602</v>
      </c>
      <c r="M19" s="218">
        <f t="shared" si="13"/>
        <v>0</v>
      </c>
      <c r="N19" s="218">
        <f t="shared" si="13"/>
        <v>100</v>
      </c>
      <c r="O19" s="218">
        <f>O15+O16+O17-O18</f>
        <v>0</v>
      </c>
      <c r="P19" s="218">
        <f>P15+P16+P17-P18</f>
        <v>404</v>
      </c>
      <c r="Q19" s="2260">
        <f t="shared" ref="Q19" si="14">Q15+Q16+Q17-Q18</f>
        <v>452</v>
      </c>
      <c r="R19" s="2261"/>
      <c r="S19" s="213">
        <f>S15+S16-S17-S18</f>
        <v>0</v>
      </c>
      <c r="T19" s="2256" t="s">
        <v>48</v>
      </c>
      <c r="U19" s="49" t="s">
        <v>58</v>
      </c>
      <c r="V19" s="2262">
        <v>62000</v>
      </c>
      <c r="W19" s="2262"/>
      <c r="X19" s="2262"/>
      <c r="Y19" s="2269"/>
    </row>
    <row r="20" spans="1:25" ht="23.25" customHeight="1" x14ac:dyDescent="0.25">
      <c r="A20" s="210" t="s">
        <v>187</v>
      </c>
      <c r="B20" s="2284">
        <f>B19*0.9625</f>
        <v>494999.3125</v>
      </c>
      <c r="C20" s="2285"/>
      <c r="D20" s="211">
        <f>D19*13.56</f>
        <v>0</v>
      </c>
      <c r="E20" s="211">
        <f>28.2*E19</f>
        <v>54990</v>
      </c>
      <c r="F20" s="211">
        <f>18.31*F19</f>
        <v>220635.49999999997</v>
      </c>
      <c r="G20" s="211">
        <f>19.3*G19</f>
        <v>0</v>
      </c>
      <c r="H20" s="211">
        <f>241*H19</f>
        <v>92785</v>
      </c>
      <c r="I20" s="211">
        <f>223*I19</f>
        <v>669</v>
      </c>
      <c r="J20" s="211">
        <f>241*J19</f>
        <v>34704</v>
      </c>
      <c r="K20" s="211">
        <f>K19*100</f>
        <v>7200</v>
      </c>
      <c r="L20" s="211">
        <f>241*L19</f>
        <v>145082</v>
      </c>
      <c r="M20" s="211">
        <f>9.65*M19</f>
        <v>0</v>
      </c>
      <c r="N20" s="211">
        <f>N19*48.2</f>
        <v>4820</v>
      </c>
      <c r="O20" s="211">
        <f>241*O19</f>
        <v>0</v>
      </c>
      <c r="P20" s="211">
        <f>241*P19</f>
        <v>97364</v>
      </c>
      <c r="Q20" s="2284">
        <f>241*Q19</f>
        <v>108932</v>
      </c>
      <c r="R20" s="2285"/>
      <c r="S20" s="211">
        <f>241*S19</f>
        <v>0</v>
      </c>
      <c r="T20" s="2257"/>
      <c r="U20" s="49" t="s">
        <v>59</v>
      </c>
      <c r="V20" s="2262"/>
      <c r="W20" s="2262"/>
      <c r="X20" s="2262"/>
      <c r="Y20" s="2269"/>
    </row>
    <row r="21" spans="1:25" ht="32.25" customHeight="1" x14ac:dyDescent="0.25">
      <c r="A21" s="143" t="s">
        <v>186</v>
      </c>
      <c r="B21" s="2283">
        <f>SUM(B20:S20)</f>
        <v>1262180.8125</v>
      </c>
      <c r="C21" s="2283"/>
      <c r="O21" s="222"/>
      <c r="P21" s="222"/>
      <c r="Q21" s="222"/>
      <c r="R21" s="222"/>
      <c r="T21" s="2273" t="s">
        <v>167</v>
      </c>
      <c r="U21" s="2274"/>
      <c r="V21" s="2260"/>
      <c r="W21" s="2268"/>
      <c r="X21" s="2261"/>
      <c r="Y21" s="2269"/>
    </row>
    <row r="22" spans="1:25" ht="35.25" customHeight="1" x14ac:dyDescent="0.25">
      <c r="A22" s="15"/>
      <c r="B22" s="2275" t="s">
        <v>49</v>
      </c>
      <c r="C22" s="2265">
        <v>765637</v>
      </c>
      <c r="D22" s="2265">
        <v>62000</v>
      </c>
      <c r="E22" s="2265">
        <v>610072</v>
      </c>
      <c r="F22" s="2265">
        <f>C22-D22+E22</f>
        <v>1313709</v>
      </c>
      <c r="G22" s="222"/>
      <c r="Q22" s="222"/>
      <c r="R22" s="222"/>
      <c r="T22" s="2251" t="s">
        <v>83</v>
      </c>
      <c r="U22" s="50" t="s">
        <v>60</v>
      </c>
      <c r="V22" s="2262">
        <v>62050</v>
      </c>
      <c r="W22" s="2262"/>
      <c r="X22" s="2262"/>
      <c r="Y22" s="2269"/>
    </row>
    <row r="23" spans="1:25" ht="39.75" customHeight="1" x14ac:dyDescent="0.25">
      <c r="A23" s="222"/>
      <c r="B23" s="2276"/>
      <c r="C23" s="2266"/>
      <c r="D23" s="2266"/>
      <c r="E23" s="2266"/>
      <c r="F23" s="2266"/>
      <c r="G23" s="222"/>
      <c r="Q23" s="222"/>
      <c r="R23" s="222"/>
      <c r="T23" s="2252"/>
      <c r="U23" s="50" t="s">
        <v>61</v>
      </c>
      <c r="V23" s="2262">
        <v>62000</v>
      </c>
      <c r="W23" s="2262"/>
      <c r="X23" s="2262"/>
      <c r="Y23" s="2269"/>
    </row>
    <row r="24" spans="1:25" ht="48" customHeight="1" x14ac:dyDescent="0.25">
      <c r="A24" s="222"/>
      <c r="B24" s="2277"/>
      <c r="C24" s="213" t="s">
        <v>46</v>
      </c>
      <c r="D24" s="213" t="s">
        <v>50</v>
      </c>
      <c r="E24" s="213" t="s">
        <v>51</v>
      </c>
      <c r="F24" s="213" t="s">
        <v>52</v>
      </c>
      <c r="G24" s="222"/>
      <c r="Q24" s="222"/>
      <c r="R24" s="222"/>
      <c r="T24" s="2235" t="s">
        <v>47</v>
      </c>
      <c r="U24" s="51" t="s">
        <v>62</v>
      </c>
      <c r="V24" s="2263">
        <f>V14+V16+V17-V18-V19-V20-V22+V23-V21</f>
        <v>228040.48250000004</v>
      </c>
      <c r="W24" s="2263"/>
      <c r="X24" s="2263"/>
      <c r="Y24" s="2269"/>
    </row>
    <row r="25" spans="1:25" ht="40.5" customHeight="1" x14ac:dyDescent="0.25">
      <c r="T25" s="2235"/>
      <c r="U25" s="51" t="s">
        <v>63</v>
      </c>
      <c r="V25" s="2262">
        <f>V15+V22-V23</f>
        <v>9232</v>
      </c>
      <c r="W25" s="2262"/>
      <c r="X25" s="2262"/>
    </row>
    <row r="26" spans="1:25" ht="36" customHeight="1" x14ac:dyDescent="0.25"/>
    <row r="32" spans="1:25" x14ac:dyDescent="0.25">
      <c r="I32" s="2280"/>
      <c r="J32" s="2280"/>
      <c r="K32" s="2280"/>
      <c r="L32" s="2280"/>
    </row>
    <row r="33" spans="9:12" x14ac:dyDescent="0.25">
      <c r="I33" s="222"/>
      <c r="J33" s="222"/>
      <c r="K33" s="2280"/>
      <c r="L33" s="2280"/>
    </row>
  </sheetData>
  <mergeCells count="62">
    <mergeCell ref="I32:J32"/>
    <mergeCell ref="K32:L32"/>
    <mergeCell ref="K33:L33"/>
    <mergeCell ref="T22:T23"/>
    <mergeCell ref="V22:X22"/>
    <mergeCell ref="V23:X23"/>
    <mergeCell ref="T24:T25"/>
    <mergeCell ref="V24:X24"/>
    <mergeCell ref="V25:X25"/>
    <mergeCell ref="Y18:Y24"/>
    <mergeCell ref="B19:C19"/>
    <mergeCell ref="Q19:R19"/>
    <mergeCell ref="T19:T20"/>
    <mergeCell ref="V19:X19"/>
    <mergeCell ref="B20:C20"/>
    <mergeCell ref="B22:B24"/>
    <mergeCell ref="C22:C23"/>
    <mergeCell ref="D22:D23"/>
    <mergeCell ref="E22:E23"/>
    <mergeCell ref="F22:F23"/>
    <mergeCell ref="Q20:R20"/>
    <mergeCell ref="V20:X20"/>
    <mergeCell ref="B21:C21"/>
    <mergeCell ref="T21:U21"/>
    <mergeCell ref="V21:X21"/>
    <mergeCell ref="B17:C17"/>
    <mergeCell ref="Q17:R17"/>
    <mergeCell ref="T17:U17"/>
    <mergeCell ref="V17:X17"/>
    <mergeCell ref="B18:C18"/>
    <mergeCell ref="Q18:R18"/>
    <mergeCell ref="T18:U18"/>
    <mergeCell ref="V18:X18"/>
    <mergeCell ref="W4:X4"/>
    <mergeCell ref="B16:C16"/>
    <mergeCell ref="Q16:R16"/>
    <mergeCell ref="T16:U16"/>
    <mergeCell ref="V16:X16"/>
    <mergeCell ref="A12:B12"/>
    <mergeCell ref="B14:C14"/>
    <mergeCell ref="Q14:R14"/>
    <mergeCell ref="T14:T15"/>
    <mergeCell ref="V14:X14"/>
    <mergeCell ref="B15:C15"/>
    <mergeCell ref="Q15:R15"/>
    <mergeCell ref="V15:X15"/>
    <mergeCell ref="A1:Y1"/>
    <mergeCell ref="A2:Y2"/>
    <mergeCell ref="T3:Y3"/>
    <mergeCell ref="A4:A5"/>
    <mergeCell ref="B4:B5"/>
    <mergeCell ref="C4:D4"/>
    <mergeCell ref="E4:F4"/>
    <mergeCell ref="G4:H4"/>
    <mergeCell ref="I4:J4"/>
    <mergeCell ref="K4:L4"/>
    <mergeCell ref="Y4:Y5"/>
    <mergeCell ref="M4:N4"/>
    <mergeCell ref="O4:P4"/>
    <mergeCell ref="Q4:R4"/>
    <mergeCell ref="S4:T4"/>
    <mergeCell ref="U4:V4"/>
  </mergeCells>
  <pageMargins left="0.15748031496063" right="0.15748031496063" top="0" bottom="0" header="0" footer="0"/>
  <pageSetup paperSize="9" scale="47" orientation="landscape" r:id="rId1"/>
  <legacyDrawing r:id="rId2"/>
</worksheet>
</file>

<file path=xl/worksheets/sheet9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3C36F26-A7FF-47D9-9DDC-4D45A8D9444E}">
  <sheetPr>
    <pageSetUpPr fitToPage="1"/>
  </sheetPr>
  <dimension ref="A1:Y33"/>
  <sheetViews>
    <sheetView topLeftCell="D13" zoomScale="71" zoomScaleNormal="71" zoomScaleSheetLayoutView="100" workbookViewId="0">
      <selection activeCell="V18" sqref="V18:X18"/>
    </sheetView>
  </sheetViews>
  <sheetFormatPr defaultColWidth="9.140625" defaultRowHeight="15" x14ac:dyDescent="0.25"/>
  <cols>
    <col min="1" max="1" width="18.28515625" style="14" customWidth="1"/>
    <col min="2" max="2" width="10.7109375" style="14" customWidth="1"/>
    <col min="3" max="3" width="12.28515625" style="14" customWidth="1"/>
    <col min="4" max="4" width="11" style="14" customWidth="1"/>
    <col min="5" max="5" width="12" style="14" customWidth="1"/>
    <col min="6" max="6" width="12.5703125" style="14" bestFit="1" customWidth="1"/>
    <col min="7" max="7" width="9.28515625" style="14" bestFit="1" customWidth="1"/>
    <col min="8" max="8" width="10.140625" style="14" bestFit="1" customWidth="1"/>
    <col min="9" max="9" width="10.5703125" style="14" bestFit="1" customWidth="1"/>
    <col min="10" max="10" width="10.5703125" style="14" customWidth="1"/>
    <col min="11" max="11" width="10.28515625" style="14" bestFit="1" customWidth="1"/>
    <col min="12" max="12" width="10.42578125" style="14" bestFit="1" customWidth="1"/>
    <col min="13" max="13" width="9.85546875" style="14" bestFit="1" customWidth="1"/>
    <col min="14" max="14" width="10.140625" style="14" bestFit="1" customWidth="1"/>
    <col min="15" max="15" width="9" style="14" customWidth="1"/>
    <col min="16" max="16" width="12.85546875" style="14" bestFit="1" customWidth="1"/>
    <col min="17" max="18" width="9.42578125" style="14" customWidth="1"/>
    <col min="19" max="19" width="13.7109375" style="14" customWidth="1"/>
    <col min="20" max="20" width="12.140625" style="14" customWidth="1"/>
    <col min="21" max="21" width="19.5703125" style="14" bestFit="1" customWidth="1"/>
    <col min="22" max="22" width="9.85546875" style="14" customWidth="1"/>
    <col min="23" max="23" width="10.140625" style="14" bestFit="1" customWidth="1"/>
    <col min="24" max="24" width="10.28515625" style="14" customWidth="1"/>
    <col min="25" max="25" width="28" style="14" customWidth="1"/>
    <col min="26" max="16384" width="9.140625" style="14"/>
  </cols>
  <sheetData>
    <row r="1" spans="1:25" ht="46.15" customHeight="1" x14ac:dyDescent="0.25">
      <c r="A1" s="2240" t="s">
        <v>148</v>
      </c>
      <c r="B1" s="2240"/>
      <c r="C1" s="2240"/>
      <c r="D1" s="2240"/>
      <c r="E1" s="2240"/>
      <c r="F1" s="2240"/>
      <c r="G1" s="2240"/>
      <c r="H1" s="2240"/>
      <c r="I1" s="2240"/>
      <c r="J1" s="2240"/>
      <c r="K1" s="2240"/>
      <c r="L1" s="2240"/>
      <c r="M1" s="2240"/>
      <c r="N1" s="2240"/>
      <c r="O1" s="2240"/>
      <c r="P1" s="2240"/>
      <c r="Q1" s="2240"/>
      <c r="R1" s="2240"/>
      <c r="S1" s="2240"/>
      <c r="T1" s="2240"/>
      <c r="U1" s="2240"/>
      <c r="V1" s="2240"/>
      <c r="W1" s="2240"/>
      <c r="X1" s="2240"/>
      <c r="Y1" s="2240"/>
    </row>
    <row r="2" spans="1:25" ht="21.6" customHeight="1" x14ac:dyDescent="0.25">
      <c r="A2" s="2241" t="s">
        <v>77</v>
      </c>
      <c r="B2" s="2241"/>
      <c r="C2" s="2241"/>
      <c r="D2" s="2241"/>
      <c r="E2" s="2241"/>
      <c r="F2" s="2241"/>
      <c r="G2" s="2241"/>
      <c r="H2" s="2241"/>
      <c r="I2" s="2241"/>
      <c r="J2" s="2241"/>
      <c r="K2" s="2241"/>
      <c r="L2" s="2241"/>
      <c r="M2" s="2241"/>
      <c r="N2" s="2241"/>
      <c r="O2" s="2241"/>
      <c r="P2" s="2241"/>
      <c r="Q2" s="2241"/>
      <c r="R2" s="2241"/>
      <c r="S2" s="2241"/>
      <c r="T2" s="2241"/>
      <c r="U2" s="2241"/>
      <c r="V2" s="2241"/>
      <c r="W2" s="2241"/>
      <c r="X2" s="2241"/>
      <c r="Y2" s="2241"/>
    </row>
    <row r="3" spans="1:25" ht="21" customHeight="1" x14ac:dyDescent="0.25">
      <c r="A3" s="212"/>
      <c r="B3" s="212"/>
      <c r="C3" s="212"/>
      <c r="D3" s="212"/>
      <c r="E3" s="212"/>
      <c r="F3" s="212"/>
      <c r="G3" s="212"/>
      <c r="H3" s="212"/>
      <c r="I3" s="212"/>
      <c r="J3" s="212"/>
      <c r="K3" s="212"/>
      <c r="L3" s="212"/>
      <c r="M3" s="212"/>
      <c r="N3" s="212"/>
      <c r="O3" s="212"/>
      <c r="P3" s="212"/>
      <c r="Q3" s="212"/>
      <c r="R3" s="212"/>
      <c r="S3" s="212"/>
      <c r="T3" s="2242" t="s">
        <v>264</v>
      </c>
      <c r="U3" s="2242"/>
      <c r="V3" s="2242"/>
      <c r="W3" s="2242"/>
      <c r="X3" s="2242"/>
      <c r="Y3" s="2242"/>
    </row>
    <row r="4" spans="1:25" s="212" customFormat="1" ht="18" customHeight="1" x14ac:dyDescent="0.25">
      <c r="A4" s="2243" t="s">
        <v>25</v>
      </c>
      <c r="B4" s="2243" t="s">
        <v>26</v>
      </c>
      <c r="C4" s="2244" t="s">
        <v>27</v>
      </c>
      <c r="D4" s="2244"/>
      <c r="E4" s="2244" t="s">
        <v>28</v>
      </c>
      <c r="F4" s="2244"/>
      <c r="G4" s="2244" t="s">
        <v>65</v>
      </c>
      <c r="H4" s="2244"/>
      <c r="I4" s="2244" t="s">
        <v>29</v>
      </c>
      <c r="J4" s="2244"/>
      <c r="K4" s="2245" t="s">
        <v>13</v>
      </c>
      <c r="L4" s="2246"/>
      <c r="M4" s="2245" t="s">
        <v>67</v>
      </c>
      <c r="N4" s="2246"/>
      <c r="O4" s="2245" t="s">
        <v>68</v>
      </c>
      <c r="P4" s="2246"/>
      <c r="Q4" s="2245" t="s">
        <v>114</v>
      </c>
      <c r="R4" s="2246"/>
      <c r="S4" s="2244" t="s">
        <v>35</v>
      </c>
      <c r="T4" s="2244"/>
      <c r="U4" s="2245" t="s">
        <v>17</v>
      </c>
      <c r="V4" s="2246"/>
      <c r="W4" s="2247" t="s">
        <v>36</v>
      </c>
      <c r="X4" s="2248"/>
      <c r="Y4" s="2238" t="s">
        <v>30</v>
      </c>
    </row>
    <row r="5" spans="1:25" s="212" customFormat="1" ht="25.5" customHeight="1" x14ac:dyDescent="0.25">
      <c r="A5" s="2243"/>
      <c r="B5" s="2243"/>
      <c r="C5" s="214" t="s">
        <v>42</v>
      </c>
      <c r="D5" s="214" t="s">
        <v>43</v>
      </c>
      <c r="E5" s="214" t="s">
        <v>42</v>
      </c>
      <c r="F5" s="214" t="s">
        <v>43</v>
      </c>
      <c r="G5" s="214" t="s">
        <v>42</v>
      </c>
      <c r="H5" s="214" t="s">
        <v>43</v>
      </c>
      <c r="I5" s="214" t="s">
        <v>42</v>
      </c>
      <c r="J5" s="214" t="s">
        <v>43</v>
      </c>
      <c r="K5" s="214" t="s">
        <v>42</v>
      </c>
      <c r="L5" s="214" t="s">
        <v>43</v>
      </c>
      <c r="M5" s="214" t="s">
        <v>42</v>
      </c>
      <c r="N5" s="214" t="s">
        <v>43</v>
      </c>
      <c r="O5" s="214" t="s">
        <v>42</v>
      </c>
      <c r="P5" s="214" t="s">
        <v>43</v>
      </c>
      <c r="Q5" s="214" t="s">
        <v>42</v>
      </c>
      <c r="R5" s="214" t="s">
        <v>43</v>
      </c>
      <c r="S5" s="33" t="s">
        <v>42</v>
      </c>
      <c r="T5" s="33" t="s">
        <v>43</v>
      </c>
      <c r="U5" s="30" t="s">
        <v>42</v>
      </c>
      <c r="V5" s="30" t="s">
        <v>43</v>
      </c>
      <c r="W5" s="30" t="s">
        <v>42</v>
      </c>
      <c r="X5" s="30" t="s">
        <v>43</v>
      </c>
      <c r="Y5" s="2239"/>
    </row>
    <row r="6" spans="1:25" ht="34.5" customHeight="1" x14ac:dyDescent="0.25">
      <c r="A6" s="12">
        <v>1409935200</v>
      </c>
      <c r="B6" s="213" t="s">
        <v>71</v>
      </c>
      <c r="C6" s="216">
        <v>46569</v>
      </c>
      <c r="D6" s="217">
        <f>0.9725*C6</f>
        <v>45288.352500000001</v>
      </c>
      <c r="E6" s="216"/>
      <c r="F6" s="216">
        <f>13.7*E6</f>
        <v>0</v>
      </c>
      <c r="G6" s="216">
        <v>20</v>
      </c>
      <c r="H6" s="216">
        <f>28.2*G6</f>
        <v>564</v>
      </c>
      <c r="I6" s="216">
        <v>2420</v>
      </c>
      <c r="J6" s="216">
        <f>18.5*I6</f>
        <v>44770</v>
      </c>
      <c r="K6" s="216"/>
      <c r="L6" s="216">
        <f>19.5*K6</f>
        <v>0</v>
      </c>
      <c r="M6" s="216"/>
      <c r="N6" s="217">
        <f>M6*9.75</f>
        <v>0</v>
      </c>
      <c r="O6" s="216"/>
      <c r="P6" s="217">
        <f>O6*48.62</f>
        <v>0</v>
      </c>
      <c r="Q6" s="217"/>
      <c r="R6" s="217">
        <f>241*Q6</f>
        <v>0</v>
      </c>
      <c r="S6" s="216"/>
      <c r="T6" s="216">
        <f>241*S6</f>
        <v>0</v>
      </c>
      <c r="U6" s="216"/>
      <c r="V6" s="216">
        <f>232*U6</f>
        <v>0</v>
      </c>
      <c r="W6" s="216"/>
      <c r="X6" s="19">
        <f>W6*100</f>
        <v>0</v>
      </c>
      <c r="Y6" s="89">
        <f t="shared" ref="Y6:Y11" si="0">D6+F6+H6+J6+L6+N6+P6+R6+T6+V6+X6</f>
        <v>90622.352500000008</v>
      </c>
    </row>
    <row r="7" spans="1:25" ht="31.5" customHeight="1" x14ac:dyDescent="0.25">
      <c r="A7" s="12">
        <v>1984225578</v>
      </c>
      <c r="B7" s="213" t="s">
        <v>72</v>
      </c>
      <c r="C7" s="216">
        <v>30606</v>
      </c>
      <c r="D7" s="217">
        <f t="shared" ref="D7:D11" si="1">0.9725*C7</f>
        <v>29764.335000000003</v>
      </c>
      <c r="E7" s="216"/>
      <c r="F7" s="216">
        <f t="shared" ref="F7:F11" si="2">13.7*E7</f>
        <v>0</v>
      </c>
      <c r="G7" s="216">
        <v>30</v>
      </c>
      <c r="H7" s="216">
        <f t="shared" ref="H7:H11" si="3">28.2*G7</f>
        <v>846</v>
      </c>
      <c r="I7" s="216">
        <v>740</v>
      </c>
      <c r="J7" s="216">
        <f t="shared" ref="J7:J11" si="4">18.5*I7</f>
        <v>13690</v>
      </c>
      <c r="K7" s="216"/>
      <c r="L7" s="216">
        <f t="shared" ref="L7:L11" si="5">19.5*K7</f>
        <v>0</v>
      </c>
      <c r="M7" s="216"/>
      <c r="N7" s="217">
        <f t="shared" ref="N7:N11" si="6">M7*9.75</f>
        <v>0</v>
      </c>
      <c r="O7" s="216"/>
      <c r="P7" s="217">
        <f t="shared" ref="P7:P11" si="7">O7*48.62</f>
        <v>0</v>
      </c>
      <c r="Q7" s="217"/>
      <c r="R7" s="217">
        <f t="shared" ref="R7:R11" si="8">241*Q7</f>
        <v>0</v>
      </c>
      <c r="S7" s="216"/>
      <c r="T7" s="216">
        <f t="shared" ref="T7:T11" si="9">241*S7</f>
        <v>0</v>
      </c>
      <c r="U7" s="216"/>
      <c r="V7" s="216">
        <f t="shared" ref="V7:V11" si="10">232*U7</f>
        <v>0</v>
      </c>
      <c r="W7" s="216"/>
      <c r="X7" s="19">
        <f t="shared" ref="X7:X11" si="11">W7*100</f>
        <v>0</v>
      </c>
      <c r="Y7" s="89">
        <f t="shared" si="0"/>
        <v>44300.335000000006</v>
      </c>
    </row>
    <row r="8" spans="1:25" ht="35.25" customHeight="1" x14ac:dyDescent="0.25">
      <c r="A8" s="12">
        <v>1967020280</v>
      </c>
      <c r="B8" s="213" t="s">
        <v>73</v>
      </c>
      <c r="C8" s="216">
        <v>13010</v>
      </c>
      <c r="D8" s="217">
        <f t="shared" si="1"/>
        <v>12652.225</v>
      </c>
      <c r="E8" s="216"/>
      <c r="F8" s="216">
        <f t="shared" si="2"/>
        <v>0</v>
      </c>
      <c r="G8" s="216"/>
      <c r="H8" s="216">
        <f t="shared" si="3"/>
        <v>0</v>
      </c>
      <c r="I8" s="216">
        <v>280</v>
      </c>
      <c r="J8" s="216">
        <f t="shared" si="4"/>
        <v>5180</v>
      </c>
      <c r="K8" s="216"/>
      <c r="L8" s="216">
        <f t="shared" si="5"/>
        <v>0</v>
      </c>
      <c r="M8" s="216"/>
      <c r="N8" s="217">
        <f t="shared" si="6"/>
        <v>0</v>
      </c>
      <c r="O8" s="216"/>
      <c r="P8" s="217">
        <f t="shared" si="7"/>
        <v>0</v>
      </c>
      <c r="Q8" s="217"/>
      <c r="R8" s="217">
        <f t="shared" si="8"/>
        <v>0</v>
      </c>
      <c r="S8" s="216"/>
      <c r="T8" s="216">
        <f t="shared" si="9"/>
        <v>0</v>
      </c>
      <c r="U8" s="216"/>
      <c r="V8" s="216">
        <f t="shared" si="10"/>
        <v>0</v>
      </c>
      <c r="W8" s="216"/>
      <c r="X8" s="19">
        <f t="shared" si="11"/>
        <v>0</v>
      </c>
      <c r="Y8" s="89">
        <f t="shared" si="0"/>
        <v>17832.224999999999</v>
      </c>
    </row>
    <row r="9" spans="1:25" ht="38.25" customHeight="1" x14ac:dyDescent="0.25">
      <c r="A9" s="12">
        <v>1409935199</v>
      </c>
      <c r="B9" s="213" t="s">
        <v>75</v>
      </c>
      <c r="C9" s="216">
        <v>22283</v>
      </c>
      <c r="D9" s="217">
        <f t="shared" si="1"/>
        <v>21670.217500000002</v>
      </c>
      <c r="E9" s="216"/>
      <c r="F9" s="216">
        <f t="shared" si="2"/>
        <v>0</v>
      </c>
      <c r="G9" s="216"/>
      <c r="H9" s="216">
        <f t="shared" si="3"/>
        <v>0</v>
      </c>
      <c r="I9" s="216">
        <v>820</v>
      </c>
      <c r="J9" s="216">
        <f t="shared" si="4"/>
        <v>15170</v>
      </c>
      <c r="K9" s="216"/>
      <c r="L9" s="216">
        <f t="shared" si="5"/>
        <v>0</v>
      </c>
      <c r="M9" s="216"/>
      <c r="N9" s="217">
        <f t="shared" si="6"/>
        <v>0</v>
      </c>
      <c r="O9" s="216"/>
      <c r="P9" s="217">
        <f t="shared" si="7"/>
        <v>0</v>
      </c>
      <c r="Q9" s="217"/>
      <c r="R9" s="217">
        <f t="shared" si="8"/>
        <v>0</v>
      </c>
      <c r="S9" s="216"/>
      <c r="T9" s="216">
        <f t="shared" si="9"/>
        <v>0</v>
      </c>
      <c r="U9" s="216">
        <v>2</v>
      </c>
      <c r="V9" s="216">
        <f t="shared" si="10"/>
        <v>464</v>
      </c>
      <c r="W9" s="216"/>
      <c r="X9" s="19">
        <f t="shared" si="11"/>
        <v>0</v>
      </c>
      <c r="Y9" s="89">
        <f t="shared" si="0"/>
        <v>37304.217499999999</v>
      </c>
    </row>
    <row r="10" spans="1:25" ht="35.25" customHeight="1" x14ac:dyDescent="0.25">
      <c r="A10" s="12">
        <v>1984225580</v>
      </c>
      <c r="C10" s="216"/>
      <c r="D10" s="217">
        <f t="shared" si="1"/>
        <v>0</v>
      </c>
      <c r="E10" s="216"/>
      <c r="F10" s="216">
        <f t="shared" si="2"/>
        <v>0</v>
      </c>
      <c r="G10" s="216"/>
      <c r="H10" s="216">
        <f t="shared" si="3"/>
        <v>0</v>
      </c>
      <c r="I10" s="216"/>
      <c r="J10" s="216">
        <f t="shared" si="4"/>
        <v>0</v>
      </c>
      <c r="K10" s="216"/>
      <c r="L10" s="216">
        <f t="shared" si="5"/>
        <v>0</v>
      </c>
      <c r="M10" s="216"/>
      <c r="N10" s="217">
        <f t="shared" si="6"/>
        <v>0</v>
      </c>
      <c r="O10" s="216"/>
      <c r="P10" s="217">
        <f t="shared" si="7"/>
        <v>0</v>
      </c>
      <c r="Q10" s="217"/>
      <c r="R10" s="217">
        <f t="shared" si="8"/>
        <v>0</v>
      </c>
      <c r="S10" s="216"/>
      <c r="T10" s="216">
        <f t="shared" si="9"/>
        <v>0</v>
      </c>
      <c r="U10" s="216"/>
      <c r="V10" s="216">
        <f t="shared" si="10"/>
        <v>0</v>
      </c>
      <c r="W10" s="216"/>
      <c r="X10" s="19">
        <f t="shared" si="11"/>
        <v>0</v>
      </c>
      <c r="Y10" s="89">
        <f t="shared" si="0"/>
        <v>0</v>
      </c>
    </row>
    <row r="11" spans="1:25" ht="37.5" customHeight="1" x14ac:dyDescent="0.25">
      <c r="A11" s="12"/>
      <c r="B11" s="215"/>
      <c r="C11" s="216"/>
      <c r="D11" s="22">
        <f t="shared" si="1"/>
        <v>0</v>
      </c>
      <c r="E11" s="216"/>
      <c r="F11" s="216">
        <f t="shared" si="2"/>
        <v>0</v>
      </c>
      <c r="G11" s="216"/>
      <c r="H11" s="216">
        <f t="shared" si="3"/>
        <v>0</v>
      </c>
      <c r="I11" s="216"/>
      <c r="J11" s="216">
        <f t="shared" si="4"/>
        <v>0</v>
      </c>
      <c r="K11" s="216"/>
      <c r="L11" s="216">
        <f t="shared" si="5"/>
        <v>0</v>
      </c>
      <c r="M11" s="216"/>
      <c r="N11" s="217">
        <f t="shared" si="6"/>
        <v>0</v>
      </c>
      <c r="O11" s="216"/>
      <c r="P11" s="217">
        <f t="shared" si="7"/>
        <v>0</v>
      </c>
      <c r="Q11" s="217"/>
      <c r="R11" s="217">
        <f t="shared" si="8"/>
        <v>0</v>
      </c>
      <c r="S11" s="216"/>
      <c r="T11" s="216">
        <f t="shared" si="9"/>
        <v>0</v>
      </c>
      <c r="U11" s="216"/>
      <c r="V11" s="216">
        <f t="shared" si="10"/>
        <v>0</v>
      </c>
      <c r="W11" s="216"/>
      <c r="X11" s="19">
        <f t="shared" si="11"/>
        <v>0</v>
      </c>
      <c r="Y11" s="20">
        <f t="shared" si="0"/>
        <v>0</v>
      </c>
    </row>
    <row r="12" spans="1:25" ht="29.25" customHeight="1" x14ac:dyDescent="0.25">
      <c r="A12" s="2235" t="s">
        <v>31</v>
      </c>
      <c r="B12" s="2235"/>
      <c r="C12" s="18">
        <f t="shared" ref="C12:Y12" si="12">SUM(C6:C11)</f>
        <v>112468</v>
      </c>
      <c r="D12" s="18">
        <f t="shared" si="12"/>
        <v>109375.13</v>
      </c>
      <c r="E12" s="18">
        <f t="shared" si="12"/>
        <v>0</v>
      </c>
      <c r="F12" s="18">
        <f t="shared" si="12"/>
        <v>0</v>
      </c>
      <c r="G12" s="18">
        <f t="shared" si="12"/>
        <v>50</v>
      </c>
      <c r="H12" s="18">
        <f t="shared" si="12"/>
        <v>1410</v>
      </c>
      <c r="I12" s="18">
        <f t="shared" si="12"/>
        <v>4260</v>
      </c>
      <c r="J12" s="18">
        <f t="shared" si="12"/>
        <v>78810</v>
      </c>
      <c r="K12" s="18">
        <f t="shared" si="12"/>
        <v>0</v>
      </c>
      <c r="L12" s="18">
        <f t="shared" si="12"/>
        <v>0</v>
      </c>
      <c r="M12" s="18">
        <f t="shared" si="12"/>
        <v>0</v>
      </c>
      <c r="N12" s="23">
        <f t="shared" si="12"/>
        <v>0</v>
      </c>
      <c r="O12" s="18">
        <f t="shared" si="12"/>
        <v>0</v>
      </c>
      <c r="P12" s="23">
        <f t="shared" si="12"/>
        <v>0</v>
      </c>
      <c r="Q12" s="23">
        <f t="shared" si="12"/>
        <v>0</v>
      </c>
      <c r="R12" s="23">
        <f>SUM(R6:R11)</f>
        <v>0</v>
      </c>
      <c r="S12" s="18">
        <f t="shared" si="12"/>
        <v>0</v>
      </c>
      <c r="T12" s="18">
        <f t="shared" si="12"/>
        <v>0</v>
      </c>
      <c r="U12" s="18">
        <f t="shared" si="12"/>
        <v>2</v>
      </c>
      <c r="V12" s="18">
        <f t="shared" si="12"/>
        <v>464</v>
      </c>
      <c r="W12" s="18">
        <f t="shared" si="12"/>
        <v>0</v>
      </c>
      <c r="X12" s="18">
        <f t="shared" si="12"/>
        <v>0</v>
      </c>
      <c r="Y12" s="18">
        <f t="shared" si="12"/>
        <v>190059.13</v>
      </c>
    </row>
    <row r="14" spans="1:25" ht="41.25" customHeight="1" x14ac:dyDescent="0.25">
      <c r="A14" s="30" t="s">
        <v>32</v>
      </c>
      <c r="B14" s="2236" t="s">
        <v>27</v>
      </c>
      <c r="C14" s="2236"/>
      <c r="D14" s="30" t="s">
        <v>33</v>
      </c>
      <c r="E14" s="30" t="s">
        <v>65</v>
      </c>
      <c r="F14" s="30" t="s">
        <v>34</v>
      </c>
      <c r="G14" s="30" t="s">
        <v>13</v>
      </c>
      <c r="H14" s="142" t="s">
        <v>173</v>
      </c>
      <c r="I14" s="30" t="s">
        <v>17</v>
      </c>
      <c r="J14" s="221" t="s">
        <v>174</v>
      </c>
      <c r="K14" s="30" t="s">
        <v>36</v>
      </c>
      <c r="L14" s="30" t="s">
        <v>175</v>
      </c>
      <c r="M14" s="30" t="s">
        <v>69</v>
      </c>
      <c r="N14" s="30" t="s">
        <v>70</v>
      </c>
      <c r="O14" s="221" t="s">
        <v>114</v>
      </c>
      <c r="P14" s="221" t="s">
        <v>99</v>
      </c>
      <c r="Q14" s="2272" t="s">
        <v>256</v>
      </c>
      <c r="R14" s="2272"/>
      <c r="S14" s="221"/>
      <c r="T14" s="2235" t="s">
        <v>46</v>
      </c>
      <c r="U14" s="213" t="s">
        <v>176</v>
      </c>
      <c r="V14" s="2260">
        <v>228040</v>
      </c>
      <c r="W14" s="2268"/>
      <c r="X14" s="2261"/>
    </row>
    <row r="15" spans="1:25" ht="22.5" customHeight="1" x14ac:dyDescent="0.25">
      <c r="A15" s="100" t="s">
        <v>38</v>
      </c>
      <c r="B15" s="2260">
        <v>514285</v>
      </c>
      <c r="C15" s="2261"/>
      <c r="D15" s="218">
        <v>0</v>
      </c>
      <c r="E15" s="218">
        <v>1950</v>
      </c>
      <c r="F15" s="218">
        <v>12050</v>
      </c>
      <c r="G15" s="218">
        <v>0</v>
      </c>
      <c r="H15" s="218">
        <v>385</v>
      </c>
      <c r="I15" s="218">
        <v>3</v>
      </c>
      <c r="J15" s="218">
        <v>144</v>
      </c>
      <c r="K15" s="218">
        <v>72</v>
      </c>
      <c r="L15" s="218">
        <v>602</v>
      </c>
      <c r="M15" s="218">
        <v>0</v>
      </c>
      <c r="N15" s="218">
        <v>100</v>
      </c>
      <c r="O15" s="218">
        <v>0</v>
      </c>
      <c r="P15" s="218">
        <v>404</v>
      </c>
      <c r="Q15" s="2262">
        <v>452</v>
      </c>
      <c r="R15" s="2262"/>
      <c r="S15" s="213">
        <v>0</v>
      </c>
      <c r="T15" s="2235"/>
      <c r="U15" s="213" t="s">
        <v>64</v>
      </c>
      <c r="V15" s="2262">
        <v>9232</v>
      </c>
      <c r="W15" s="2262"/>
      <c r="X15" s="2262"/>
    </row>
    <row r="16" spans="1:25" ht="24.75" customHeight="1" x14ac:dyDescent="0.25">
      <c r="A16" s="100" t="s">
        <v>39</v>
      </c>
      <c r="B16" s="2260"/>
      <c r="C16" s="2261"/>
      <c r="D16" s="218"/>
      <c r="E16" s="218"/>
      <c r="F16" s="218"/>
      <c r="G16" s="218"/>
      <c r="H16" s="218"/>
      <c r="I16" s="218"/>
      <c r="J16" s="218"/>
      <c r="K16" s="218"/>
      <c r="L16" s="218">
        <v>175</v>
      </c>
      <c r="M16" s="218"/>
      <c r="N16" s="218"/>
      <c r="O16" s="218"/>
      <c r="P16" s="218"/>
      <c r="Q16" s="2225"/>
      <c r="R16" s="2225"/>
      <c r="S16" s="218"/>
      <c r="T16" s="2254" t="s">
        <v>55</v>
      </c>
      <c r="U16" s="2254"/>
      <c r="V16" s="2267">
        <f>Y12</f>
        <v>190059.13</v>
      </c>
      <c r="W16" s="2267"/>
      <c r="X16" s="2262"/>
    </row>
    <row r="17" spans="1:25" ht="28.5" customHeight="1" x14ac:dyDescent="0.25">
      <c r="A17" s="101" t="s">
        <v>44</v>
      </c>
      <c r="B17" s="2260"/>
      <c r="C17" s="2261"/>
      <c r="D17" s="218"/>
      <c r="E17" s="218"/>
      <c r="F17" s="218"/>
      <c r="G17" s="218"/>
      <c r="H17" s="218"/>
      <c r="I17" s="218"/>
      <c r="J17" s="218"/>
      <c r="K17" s="218"/>
      <c r="L17" s="218"/>
      <c r="M17" s="218"/>
      <c r="N17" s="218"/>
      <c r="O17" s="218"/>
      <c r="P17" s="218"/>
      <c r="Q17" s="2225"/>
      <c r="R17" s="2225"/>
      <c r="S17" s="215"/>
      <c r="T17" s="2273" t="s">
        <v>250</v>
      </c>
      <c r="U17" s="2274"/>
      <c r="V17" s="2262"/>
      <c r="W17" s="2262"/>
      <c r="X17" s="2262"/>
    </row>
    <row r="18" spans="1:25" ht="27" customHeight="1" x14ac:dyDescent="0.25">
      <c r="A18" s="100" t="s">
        <v>40</v>
      </c>
      <c r="B18" s="2264">
        <f>C12</f>
        <v>112468</v>
      </c>
      <c r="C18" s="2261"/>
      <c r="D18" s="219">
        <f>E12</f>
        <v>0</v>
      </c>
      <c r="E18" s="219">
        <f>G12</f>
        <v>50</v>
      </c>
      <c r="F18" s="219">
        <f>I12</f>
        <v>4260</v>
      </c>
      <c r="G18" s="219">
        <f>K12</f>
        <v>0</v>
      </c>
      <c r="H18" s="218">
        <v>175</v>
      </c>
      <c r="I18" s="219">
        <f>U12</f>
        <v>2</v>
      </c>
      <c r="J18" s="218"/>
      <c r="K18" s="219">
        <f>W12</f>
        <v>0</v>
      </c>
      <c r="L18" s="218"/>
      <c r="M18" s="219">
        <f>M12</f>
        <v>0</v>
      </c>
      <c r="N18" s="219">
        <f>O12</f>
        <v>0</v>
      </c>
      <c r="O18" s="220">
        <f>Q12</f>
        <v>0</v>
      </c>
      <c r="P18" s="218"/>
      <c r="Q18" s="2262"/>
      <c r="R18" s="2262"/>
      <c r="S18" s="213"/>
      <c r="T18" s="2254" t="s">
        <v>57</v>
      </c>
      <c r="U18" s="2254"/>
      <c r="V18" s="2262">
        <f>520+4000+50000+1071</f>
        <v>55591</v>
      </c>
      <c r="W18" s="2262"/>
      <c r="X18" s="2262"/>
      <c r="Y18" s="2269" t="s">
        <v>265</v>
      </c>
    </row>
    <row r="19" spans="1:25" ht="25.5" customHeight="1" x14ac:dyDescent="0.25">
      <c r="A19" s="100" t="s">
        <v>41</v>
      </c>
      <c r="B19" s="2260">
        <f>B15+B16+B17-B18</f>
        <v>401817</v>
      </c>
      <c r="C19" s="2261"/>
      <c r="D19" s="218">
        <f>D15+D16+D17-D18</f>
        <v>0</v>
      </c>
      <c r="E19" s="218">
        <f t="shared" ref="E19:N19" si="13">E15+E16+E17-E18</f>
        <v>1900</v>
      </c>
      <c r="F19" s="218">
        <f t="shared" si="13"/>
        <v>7790</v>
      </c>
      <c r="G19" s="218">
        <f t="shared" si="13"/>
        <v>0</v>
      </c>
      <c r="H19" s="218">
        <f t="shared" si="13"/>
        <v>210</v>
      </c>
      <c r="I19" s="218">
        <f t="shared" si="13"/>
        <v>1</v>
      </c>
      <c r="J19" s="218">
        <f t="shared" si="13"/>
        <v>144</v>
      </c>
      <c r="K19" s="218">
        <f t="shared" si="13"/>
        <v>72</v>
      </c>
      <c r="L19" s="218">
        <f t="shared" si="13"/>
        <v>777</v>
      </c>
      <c r="M19" s="218">
        <f t="shared" si="13"/>
        <v>0</v>
      </c>
      <c r="N19" s="218">
        <f t="shared" si="13"/>
        <v>100</v>
      </c>
      <c r="O19" s="218">
        <f>O15+O16+O17-O18</f>
        <v>0</v>
      </c>
      <c r="P19" s="218">
        <f>P15+P16+P17-P18</f>
        <v>404</v>
      </c>
      <c r="Q19" s="2260">
        <f t="shared" ref="Q19" si="14">Q15+Q16+Q17-Q18</f>
        <v>452</v>
      </c>
      <c r="R19" s="2261"/>
      <c r="S19" s="213">
        <f>S15+S16-S17-S18</f>
        <v>0</v>
      </c>
      <c r="T19" s="2256" t="s">
        <v>48</v>
      </c>
      <c r="U19" s="49" t="s">
        <v>58</v>
      </c>
      <c r="V19" s="2262"/>
      <c r="W19" s="2262"/>
      <c r="X19" s="2262"/>
      <c r="Y19" s="2269"/>
    </row>
    <row r="20" spans="1:25" ht="23.25" customHeight="1" x14ac:dyDescent="0.25">
      <c r="A20" s="210" t="s">
        <v>187</v>
      </c>
      <c r="B20" s="2284">
        <f>B19*0.9625</f>
        <v>386748.86249999999</v>
      </c>
      <c r="C20" s="2285"/>
      <c r="D20" s="211">
        <f>D19*13.56</f>
        <v>0</v>
      </c>
      <c r="E20" s="211">
        <f>28.2*E19</f>
        <v>53580</v>
      </c>
      <c r="F20" s="211">
        <f>18.31*F19</f>
        <v>142634.9</v>
      </c>
      <c r="G20" s="211">
        <f>19.3*G19</f>
        <v>0</v>
      </c>
      <c r="H20" s="211">
        <f>241*H19</f>
        <v>50610</v>
      </c>
      <c r="I20" s="211">
        <f>223*I19</f>
        <v>223</v>
      </c>
      <c r="J20" s="211">
        <f>241*J19</f>
        <v>34704</v>
      </c>
      <c r="K20" s="211">
        <f>K19*100</f>
        <v>7200</v>
      </c>
      <c r="L20" s="211">
        <f>241*L19</f>
        <v>187257</v>
      </c>
      <c r="M20" s="211">
        <f>9.65*M19</f>
        <v>0</v>
      </c>
      <c r="N20" s="211">
        <f>N19*48.2</f>
        <v>4820</v>
      </c>
      <c r="O20" s="211">
        <f>241*O19</f>
        <v>0</v>
      </c>
      <c r="P20" s="211">
        <f>241*P19</f>
        <v>97364</v>
      </c>
      <c r="Q20" s="2284">
        <f>241*Q19</f>
        <v>108932</v>
      </c>
      <c r="R20" s="2285"/>
      <c r="S20" s="211">
        <f>241*S19</f>
        <v>0</v>
      </c>
      <c r="T20" s="2257"/>
      <c r="U20" s="49" t="s">
        <v>59</v>
      </c>
      <c r="V20" s="2262"/>
      <c r="W20" s="2262"/>
      <c r="X20" s="2262"/>
      <c r="Y20" s="2269"/>
    </row>
    <row r="21" spans="1:25" ht="32.25" customHeight="1" x14ac:dyDescent="0.25">
      <c r="A21" s="143" t="s">
        <v>186</v>
      </c>
      <c r="B21" s="2283">
        <f>SUM(B20:S20)</f>
        <v>1074073.7625</v>
      </c>
      <c r="C21" s="2283"/>
      <c r="O21" s="222"/>
      <c r="P21" s="222"/>
      <c r="Q21" s="222"/>
      <c r="R21" s="222"/>
      <c r="T21" s="2273" t="s">
        <v>167</v>
      </c>
      <c r="U21" s="2274"/>
      <c r="V21" s="2260"/>
      <c r="W21" s="2268"/>
      <c r="X21" s="2261"/>
      <c r="Y21" s="2269"/>
    </row>
    <row r="22" spans="1:25" ht="35.25" customHeight="1" x14ac:dyDescent="0.25">
      <c r="A22" s="15"/>
      <c r="B22" s="2275" t="s">
        <v>49</v>
      </c>
      <c r="C22" s="2265">
        <v>1313709</v>
      </c>
      <c r="D22" s="2265"/>
      <c r="E22" s="2265"/>
      <c r="F22" s="2265">
        <f>C22-D22+E22</f>
        <v>1313709</v>
      </c>
      <c r="G22" s="222"/>
      <c r="Q22" s="222"/>
      <c r="R22" s="222"/>
      <c r="T22" s="2251" t="s">
        <v>83</v>
      </c>
      <c r="U22" s="50" t="s">
        <v>60</v>
      </c>
      <c r="V22" s="2262"/>
      <c r="W22" s="2262"/>
      <c r="X22" s="2262"/>
      <c r="Y22" s="2269"/>
    </row>
    <row r="23" spans="1:25" ht="39.75" customHeight="1" x14ac:dyDescent="0.25">
      <c r="A23" s="222"/>
      <c r="B23" s="2276"/>
      <c r="C23" s="2266"/>
      <c r="D23" s="2266"/>
      <c r="E23" s="2266"/>
      <c r="F23" s="2266"/>
      <c r="G23" s="222"/>
      <c r="Q23" s="222"/>
      <c r="R23" s="222"/>
      <c r="T23" s="2252"/>
      <c r="U23" s="50" t="s">
        <v>61</v>
      </c>
      <c r="V23" s="2262"/>
      <c r="W23" s="2262"/>
      <c r="X23" s="2262"/>
      <c r="Y23" s="2269"/>
    </row>
    <row r="24" spans="1:25" ht="48" customHeight="1" x14ac:dyDescent="0.25">
      <c r="A24" s="222"/>
      <c r="B24" s="2277"/>
      <c r="C24" s="213" t="s">
        <v>46</v>
      </c>
      <c r="D24" s="213" t="s">
        <v>50</v>
      </c>
      <c r="E24" s="213" t="s">
        <v>51</v>
      </c>
      <c r="F24" s="213" t="s">
        <v>52</v>
      </c>
      <c r="G24" s="222"/>
      <c r="Q24" s="222"/>
      <c r="R24" s="222"/>
      <c r="T24" s="2235" t="s">
        <v>47</v>
      </c>
      <c r="U24" s="51" t="s">
        <v>62</v>
      </c>
      <c r="V24" s="2263">
        <f>V14+V16+V17-V18-V19-V20-V22+V23-V21</f>
        <v>362508.13</v>
      </c>
      <c r="W24" s="2263"/>
      <c r="X24" s="2263"/>
      <c r="Y24" s="2269"/>
    </row>
    <row r="25" spans="1:25" ht="40.5" customHeight="1" x14ac:dyDescent="0.25">
      <c r="T25" s="2235"/>
      <c r="U25" s="51" t="s">
        <v>63</v>
      </c>
      <c r="V25" s="2262">
        <f>V15+V22-V23</f>
        <v>9232</v>
      </c>
      <c r="W25" s="2262"/>
      <c r="X25" s="2262"/>
    </row>
    <row r="26" spans="1:25" ht="36" customHeight="1" x14ac:dyDescent="0.25"/>
    <row r="32" spans="1:25" x14ac:dyDescent="0.25">
      <c r="I32" s="2280"/>
      <c r="J32" s="2280"/>
      <c r="K32" s="2280"/>
      <c r="L32" s="2280"/>
    </row>
    <row r="33" spans="9:12" x14ac:dyDescent="0.25">
      <c r="I33" s="222"/>
      <c r="J33" s="222"/>
      <c r="K33" s="2280"/>
      <c r="L33" s="2280"/>
    </row>
  </sheetData>
  <mergeCells count="62">
    <mergeCell ref="I32:J32"/>
    <mergeCell ref="K32:L32"/>
    <mergeCell ref="K33:L33"/>
    <mergeCell ref="T22:T23"/>
    <mergeCell ref="V22:X22"/>
    <mergeCell ref="V23:X23"/>
    <mergeCell ref="T24:T25"/>
    <mergeCell ref="V24:X24"/>
    <mergeCell ref="V25:X25"/>
    <mergeCell ref="Y18:Y24"/>
    <mergeCell ref="B19:C19"/>
    <mergeCell ref="Q19:R19"/>
    <mergeCell ref="T19:T20"/>
    <mergeCell ref="V19:X19"/>
    <mergeCell ref="B20:C20"/>
    <mergeCell ref="B22:B24"/>
    <mergeCell ref="C22:C23"/>
    <mergeCell ref="D22:D23"/>
    <mergeCell ref="E22:E23"/>
    <mergeCell ref="F22:F23"/>
    <mergeCell ref="Q20:R20"/>
    <mergeCell ref="V20:X20"/>
    <mergeCell ref="B21:C21"/>
    <mergeCell ref="T21:U21"/>
    <mergeCell ref="V21:X21"/>
    <mergeCell ref="B17:C17"/>
    <mergeCell ref="Q17:R17"/>
    <mergeCell ref="T17:U17"/>
    <mergeCell ref="V17:X17"/>
    <mergeCell ref="B18:C18"/>
    <mergeCell ref="Q18:R18"/>
    <mergeCell ref="T18:U18"/>
    <mergeCell ref="V18:X18"/>
    <mergeCell ref="W4:X4"/>
    <mergeCell ref="B16:C16"/>
    <mergeCell ref="Q16:R16"/>
    <mergeCell ref="T16:U16"/>
    <mergeCell ref="V16:X16"/>
    <mergeCell ref="A12:B12"/>
    <mergeCell ref="B14:C14"/>
    <mergeCell ref="Q14:R14"/>
    <mergeCell ref="T14:T15"/>
    <mergeCell ref="V14:X14"/>
    <mergeCell ref="B15:C15"/>
    <mergeCell ref="Q15:R15"/>
    <mergeCell ref="V15:X15"/>
    <mergeCell ref="A1:Y1"/>
    <mergeCell ref="A2:Y2"/>
    <mergeCell ref="T3:Y3"/>
    <mergeCell ref="A4:A5"/>
    <mergeCell ref="B4:B5"/>
    <mergeCell ref="C4:D4"/>
    <mergeCell ref="E4:F4"/>
    <mergeCell ref="G4:H4"/>
    <mergeCell ref="I4:J4"/>
    <mergeCell ref="K4:L4"/>
    <mergeCell ref="Y4:Y5"/>
    <mergeCell ref="M4:N4"/>
    <mergeCell ref="O4:P4"/>
    <mergeCell ref="Q4:R4"/>
    <mergeCell ref="S4:T4"/>
    <mergeCell ref="U4:V4"/>
  </mergeCells>
  <pageMargins left="0.15748031496063" right="0.15748031496063" top="0" bottom="0" header="0" footer="0"/>
  <pageSetup paperSize="9" scale="47" orientation="landscape" r:id="rId1"/>
  <legacyDrawing r:id="rId2"/>
</worksheet>
</file>

<file path=xl/worksheets/sheet9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79AF70E-434B-419B-AD2F-A92786194047}">
  <sheetPr>
    <pageSetUpPr fitToPage="1"/>
  </sheetPr>
  <dimension ref="A1:Y33"/>
  <sheetViews>
    <sheetView zoomScale="71" zoomScaleNormal="71" zoomScaleSheetLayoutView="100" workbookViewId="0">
      <selection activeCell="V18" sqref="V18:X18"/>
    </sheetView>
  </sheetViews>
  <sheetFormatPr defaultColWidth="9.140625" defaultRowHeight="15" x14ac:dyDescent="0.25"/>
  <cols>
    <col min="1" max="1" width="18.28515625" style="14" customWidth="1"/>
    <col min="2" max="2" width="10.7109375" style="14" customWidth="1"/>
    <col min="3" max="3" width="12.28515625" style="14" customWidth="1"/>
    <col min="4" max="4" width="11" style="14" customWidth="1"/>
    <col min="5" max="5" width="12" style="14" customWidth="1"/>
    <col min="6" max="6" width="12.5703125" style="14" bestFit="1" customWidth="1"/>
    <col min="7" max="7" width="9.28515625" style="14" bestFit="1" customWidth="1"/>
    <col min="8" max="8" width="10.140625" style="14" bestFit="1" customWidth="1"/>
    <col min="9" max="9" width="10.5703125" style="14" bestFit="1" customWidth="1"/>
    <col min="10" max="10" width="10.5703125" style="14" customWidth="1"/>
    <col min="11" max="11" width="10.28515625" style="14" bestFit="1" customWidth="1"/>
    <col min="12" max="12" width="10.42578125" style="14" bestFit="1" customWidth="1"/>
    <col min="13" max="13" width="9.85546875" style="14" bestFit="1" customWidth="1"/>
    <col min="14" max="14" width="10.140625" style="14" bestFit="1" customWidth="1"/>
    <col min="15" max="15" width="9" style="14" customWidth="1"/>
    <col min="16" max="16" width="12.85546875" style="14" bestFit="1" customWidth="1"/>
    <col min="17" max="18" width="9.42578125" style="14" customWidth="1"/>
    <col min="19" max="19" width="13.7109375" style="14" customWidth="1"/>
    <col min="20" max="20" width="12.140625" style="14" customWidth="1"/>
    <col min="21" max="21" width="19.5703125" style="14" bestFit="1" customWidth="1"/>
    <col min="22" max="22" width="9.85546875" style="14" customWidth="1"/>
    <col min="23" max="23" width="10.140625" style="14" bestFit="1" customWidth="1"/>
    <col min="24" max="24" width="10.28515625" style="14" customWidth="1"/>
    <col min="25" max="25" width="28" style="14" customWidth="1"/>
    <col min="26" max="16384" width="9.140625" style="14"/>
  </cols>
  <sheetData>
    <row r="1" spans="1:25" ht="46.15" customHeight="1" x14ac:dyDescent="0.25">
      <c r="A1" s="2240" t="s">
        <v>148</v>
      </c>
      <c r="B1" s="2240"/>
      <c r="C1" s="2240"/>
      <c r="D1" s="2240"/>
      <c r="E1" s="2240"/>
      <c r="F1" s="2240"/>
      <c r="G1" s="2240"/>
      <c r="H1" s="2240"/>
      <c r="I1" s="2240"/>
      <c r="J1" s="2240"/>
      <c r="K1" s="2240"/>
      <c r="L1" s="2240"/>
      <c r="M1" s="2240"/>
      <c r="N1" s="2240"/>
      <c r="O1" s="2240"/>
      <c r="P1" s="2240"/>
      <c r="Q1" s="2240"/>
      <c r="R1" s="2240"/>
      <c r="S1" s="2240"/>
      <c r="T1" s="2240"/>
      <c r="U1" s="2240"/>
      <c r="V1" s="2240"/>
      <c r="W1" s="2240"/>
      <c r="X1" s="2240"/>
      <c r="Y1" s="2240"/>
    </row>
    <row r="2" spans="1:25" ht="21.6" customHeight="1" x14ac:dyDescent="0.25">
      <c r="A2" s="2241" t="s">
        <v>77</v>
      </c>
      <c r="B2" s="2241"/>
      <c r="C2" s="2241"/>
      <c r="D2" s="2241"/>
      <c r="E2" s="2241"/>
      <c r="F2" s="2241"/>
      <c r="G2" s="2241"/>
      <c r="H2" s="2241"/>
      <c r="I2" s="2241"/>
      <c r="J2" s="2241"/>
      <c r="K2" s="2241"/>
      <c r="L2" s="2241"/>
      <c r="M2" s="2241"/>
      <c r="N2" s="2241"/>
      <c r="O2" s="2241"/>
      <c r="P2" s="2241"/>
      <c r="Q2" s="2241"/>
      <c r="R2" s="2241"/>
      <c r="S2" s="2241"/>
      <c r="T2" s="2241"/>
      <c r="U2" s="2241"/>
      <c r="V2" s="2241"/>
      <c r="W2" s="2241"/>
      <c r="X2" s="2241"/>
      <c r="Y2" s="2241"/>
    </row>
    <row r="3" spans="1:25" ht="21" customHeight="1" x14ac:dyDescent="0.25">
      <c r="A3" s="212"/>
      <c r="B3" s="212"/>
      <c r="C3" s="212"/>
      <c r="D3" s="212"/>
      <c r="E3" s="212"/>
      <c r="F3" s="212"/>
      <c r="G3" s="212"/>
      <c r="H3" s="212"/>
      <c r="I3" s="212"/>
      <c r="J3" s="212"/>
      <c r="K3" s="212"/>
      <c r="L3" s="212"/>
      <c r="M3" s="212"/>
      <c r="N3" s="212"/>
      <c r="O3" s="212"/>
      <c r="P3" s="212"/>
      <c r="Q3" s="212"/>
      <c r="R3" s="212"/>
      <c r="S3" s="212"/>
      <c r="T3" s="2242" t="s">
        <v>266</v>
      </c>
      <c r="U3" s="2242"/>
      <c r="V3" s="2242"/>
      <c r="W3" s="2242"/>
      <c r="X3" s="2242"/>
      <c r="Y3" s="2242"/>
    </row>
    <row r="4" spans="1:25" s="212" customFormat="1" ht="18" customHeight="1" x14ac:dyDescent="0.25">
      <c r="A4" s="2243" t="s">
        <v>25</v>
      </c>
      <c r="B4" s="2243" t="s">
        <v>26</v>
      </c>
      <c r="C4" s="2244" t="s">
        <v>27</v>
      </c>
      <c r="D4" s="2244"/>
      <c r="E4" s="2244" t="s">
        <v>28</v>
      </c>
      <c r="F4" s="2244"/>
      <c r="G4" s="2244" t="s">
        <v>65</v>
      </c>
      <c r="H4" s="2244"/>
      <c r="I4" s="2244" t="s">
        <v>29</v>
      </c>
      <c r="J4" s="2244"/>
      <c r="K4" s="2245" t="s">
        <v>13</v>
      </c>
      <c r="L4" s="2246"/>
      <c r="M4" s="2245" t="s">
        <v>67</v>
      </c>
      <c r="N4" s="2246"/>
      <c r="O4" s="2245" t="s">
        <v>68</v>
      </c>
      <c r="P4" s="2246"/>
      <c r="Q4" s="2245" t="s">
        <v>114</v>
      </c>
      <c r="R4" s="2246"/>
      <c r="S4" s="2244" t="s">
        <v>35</v>
      </c>
      <c r="T4" s="2244"/>
      <c r="U4" s="2245" t="s">
        <v>17</v>
      </c>
      <c r="V4" s="2246"/>
      <c r="W4" s="2247" t="s">
        <v>36</v>
      </c>
      <c r="X4" s="2248"/>
      <c r="Y4" s="2238" t="s">
        <v>30</v>
      </c>
    </row>
    <row r="5" spans="1:25" s="212" customFormat="1" ht="25.5" customHeight="1" x14ac:dyDescent="0.25">
      <c r="A5" s="2243"/>
      <c r="B5" s="2243"/>
      <c r="C5" s="214" t="s">
        <v>42</v>
      </c>
      <c r="D5" s="214" t="s">
        <v>43</v>
      </c>
      <c r="E5" s="214" t="s">
        <v>42</v>
      </c>
      <c r="F5" s="214" t="s">
        <v>43</v>
      </c>
      <c r="G5" s="214" t="s">
        <v>42</v>
      </c>
      <c r="H5" s="214" t="s">
        <v>43</v>
      </c>
      <c r="I5" s="214" t="s">
        <v>42</v>
      </c>
      <c r="J5" s="214" t="s">
        <v>43</v>
      </c>
      <c r="K5" s="214" t="s">
        <v>42</v>
      </c>
      <c r="L5" s="214" t="s">
        <v>43</v>
      </c>
      <c r="M5" s="214" t="s">
        <v>42</v>
      </c>
      <c r="N5" s="214" t="s">
        <v>43</v>
      </c>
      <c r="O5" s="214" t="s">
        <v>42</v>
      </c>
      <c r="P5" s="214" t="s">
        <v>43</v>
      </c>
      <c r="Q5" s="214" t="s">
        <v>42</v>
      </c>
      <c r="R5" s="214" t="s">
        <v>43</v>
      </c>
      <c r="S5" s="33" t="s">
        <v>42</v>
      </c>
      <c r="T5" s="33" t="s">
        <v>43</v>
      </c>
      <c r="U5" s="30" t="s">
        <v>42</v>
      </c>
      <c r="V5" s="30" t="s">
        <v>43</v>
      </c>
      <c r="W5" s="30" t="s">
        <v>42</v>
      </c>
      <c r="X5" s="30" t="s">
        <v>43</v>
      </c>
      <c r="Y5" s="2239"/>
    </row>
    <row r="6" spans="1:25" ht="34.5" customHeight="1" x14ac:dyDescent="0.25">
      <c r="A6" s="12">
        <v>1409935200</v>
      </c>
      <c r="B6" s="213" t="s">
        <v>71</v>
      </c>
      <c r="C6" s="216">
        <v>50110</v>
      </c>
      <c r="D6" s="217">
        <f>0.9725*C6</f>
        <v>48731.974999999999</v>
      </c>
      <c r="E6" s="216"/>
      <c r="F6" s="216">
        <f>13.7*E6</f>
        <v>0</v>
      </c>
      <c r="G6" s="216">
        <v>50</v>
      </c>
      <c r="H6" s="216">
        <f>28.2*G6</f>
        <v>1410</v>
      </c>
      <c r="I6" s="216">
        <v>270</v>
      </c>
      <c r="J6" s="216">
        <f>18.5*I6</f>
        <v>4995</v>
      </c>
      <c r="K6" s="216"/>
      <c r="L6" s="216">
        <f>19.5*K6</f>
        <v>0</v>
      </c>
      <c r="M6" s="216"/>
      <c r="N6" s="217">
        <f>M6*9.75</f>
        <v>0</v>
      </c>
      <c r="O6" s="216"/>
      <c r="P6" s="217">
        <f>O6*48.62</f>
        <v>0</v>
      </c>
      <c r="Q6" s="217"/>
      <c r="R6" s="217">
        <f>241*Q6</f>
        <v>0</v>
      </c>
      <c r="S6" s="216">
        <v>3</v>
      </c>
      <c r="T6" s="216">
        <f>241*S6</f>
        <v>723</v>
      </c>
      <c r="U6" s="216"/>
      <c r="V6" s="216">
        <f>232*U6</f>
        <v>0</v>
      </c>
      <c r="W6" s="216"/>
      <c r="X6" s="19">
        <f>W6*100</f>
        <v>0</v>
      </c>
      <c r="Y6" s="89">
        <f t="shared" ref="Y6:Y11" si="0">D6+F6+H6+J6+L6+N6+P6+R6+T6+V6+X6</f>
        <v>55859.974999999999</v>
      </c>
    </row>
    <row r="7" spans="1:25" ht="31.5" customHeight="1" x14ac:dyDescent="0.25">
      <c r="A7" s="12">
        <v>1984225578</v>
      </c>
      <c r="B7" s="213" t="s">
        <v>72</v>
      </c>
      <c r="C7" s="216">
        <v>27754</v>
      </c>
      <c r="D7" s="217">
        <f t="shared" ref="D7:D11" si="1">0.9725*C7</f>
        <v>26990.764999999999</v>
      </c>
      <c r="E7" s="216"/>
      <c r="F7" s="216">
        <f t="shared" ref="F7:F11" si="2">13.7*E7</f>
        <v>0</v>
      </c>
      <c r="G7" s="216">
        <v>120</v>
      </c>
      <c r="H7" s="216">
        <f t="shared" ref="H7:H11" si="3">28.2*G7</f>
        <v>3384</v>
      </c>
      <c r="I7" s="216">
        <v>1210</v>
      </c>
      <c r="J7" s="216">
        <f t="shared" ref="J7:J11" si="4">18.5*I7</f>
        <v>22385</v>
      </c>
      <c r="K7" s="216"/>
      <c r="L7" s="216">
        <f t="shared" ref="L7:L11" si="5">19.5*K7</f>
        <v>0</v>
      </c>
      <c r="M7" s="216"/>
      <c r="N7" s="217">
        <f t="shared" ref="N7:N11" si="6">M7*9.75</f>
        <v>0</v>
      </c>
      <c r="O7" s="216"/>
      <c r="P7" s="217">
        <f t="shared" ref="P7:P11" si="7">O7*48.62</f>
        <v>0</v>
      </c>
      <c r="Q7" s="217"/>
      <c r="R7" s="217">
        <f t="shared" ref="R7:R11" si="8">241*Q7</f>
        <v>0</v>
      </c>
      <c r="S7" s="216"/>
      <c r="T7" s="216">
        <f t="shared" ref="T7:T11" si="9">241*S7</f>
        <v>0</v>
      </c>
      <c r="U7" s="216"/>
      <c r="V7" s="216">
        <f t="shared" ref="V7:V11" si="10">232*U7</f>
        <v>0</v>
      </c>
      <c r="W7" s="216"/>
      <c r="X7" s="19">
        <f t="shared" ref="X7:X11" si="11">W7*100</f>
        <v>0</v>
      </c>
      <c r="Y7" s="89">
        <f t="shared" si="0"/>
        <v>52759.764999999999</v>
      </c>
    </row>
    <row r="8" spans="1:25" ht="35.25" customHeight="1" x14ac:dyDescent="0.25">
      <c r="A8" s="12">
        <v>1967020280</v>
      </c>
      <c r="B8" s="213" t="s">
        <v>73</v>
      </c>
      <c r="C8" s="216">
        <v>25693</v>
      </c>
      <c r="D8" s="217">
        <f t="shared" si="1"/>
        <v>24986.442500000001</v>
      </c>
      <c r="E8" s="216"/>
      <c r="F8" s="216">
        <f t="shared" si="2"/>
        <v>0</v>
      </c>
      <c r="G8" s="216">
        <v>50</v>
      </c>
      <c r="H8" s="216">
        <f t="shared" si="3"/>
        <v>1410</v>
      </c>
      <c r="I8" s="216">
        <v>1380</v>
      </c>
      <c r="J8" s="216">
        <f t="shared" si="4"/>
        <v>25530</v>
      </c>
      <c r="K8" s="216"/>
      <c r="L8" s="216">
        <f t="shared" si="5"/>
        <v>0</v>
      </c>
      <c r="M8" s="216"/>
      <c r="N8" s="217">
        <f t="shared" si="6"/>
        <v>0</v>
      </c>
      <c r="O8" s="216"/>
      <c r="P8" s="217">
        <f t="shared" si="7"/>
        <v>0</v>
      </c>
      <c r="Q8" s="217"/>
      <c r="R8" s="217">
        <f t="shared" si="8"/>
        <v>0</v>
      </c>
      <c r="S8" s="216">
        <v>2</v>
      </c>
      <c r="T8" s="216">
        <f t="shared" si="9"/>
        <v>482</v>
      </c>
      <c r="U8" s="216"/>
      <c r="V8" s="216">
        <f t="shared" si="10"/>
        <v>0</v>
      </c>
      <c r="W8" s="216"/>
      <c r="X8" s="19">
        <f t="shared" si="11"/>
        <v>0</v>
      </c>
      <c r="Y8" s="89">
        <f t="shared" si="0"/>
        <v>52408.442500000005</v>
      </c>
    </row>
    <row r="9" spans="1:25" ht="38.25" customHeight="1" x14ac:dyDescent="0.25">
      <c r="A9" s="12">
        <v>1409935199</v>
      </c>
      <c r="B9" s="213" t="s">
        <v>75</v>
      </c>
      <c r="C9" s="216">
        <v>23454</v>
      </c>
      <c r="D9" s="217">
        <f t="shared" si="1"/>
        <v>22809.014999999999</v>
      </c>
      <c r="E9" s="216"/>
      <c r="F9" s="216">
        <f t="shared" si="2"/>
        <v>0</v>
      </c>
      <c r="G9" s="216">
        <v>40</v>
      </c>
      <c r="H9" s="216">
        <f t="shared" si="3"/>
        <v>1128</v>
      </c>
      <c r="I9" s="216">
        <v>770</v>
      </c>
      <c r="J9" s="216">
        <f t="shared" si="4"/>
        <v>14245</v>
      </c>
      <c r="K9" s="216"/>
      <c r="L9" s="216">
        <f t="shared" si="5"/>
        <v>0</v>
      </c>
      <c r="M9" s="216"/>
      <c r="N9" s="217">
        <f t="shared" si="6"/>
        <v>0</v>
      </c>
      <c r="O9" s="216"/>
      <c r="P9" s="217">
        <f t="shared" si="7"/>
        <v>0</v>
      </c>
      <c r="Q9" s="217"/>
      <c r="R9" s="217">
        <f t="shared" si="8"/>
        <v>0</v>
      </c>
      <c r="S9" s="216">
        <v>10</v>
      </c>
      <c r="T9" s="216">
        <f t="shared" si="9"/>
        <v>2410</v>
      </c>
      <c r="U9" s="216"/>
      <c r="V9" s="216">
        <f t="shared" si="10"/>
        <v>0</v>
      </c>
      <c r="W9" s="216"/>
      <c r="X9" s="19">
        <f t="shared" si="11"/>
        <v>0</v>
      </c>
      <c r="Y9" s="89">
        <f t="shared" si="0"/>
        <v>40592.014999999999</v>
      </c>
    </row>
    <row r="10" spans="1:25" ht="35.25" customHeight="1" x14ac:dyDescent="0.25">
      <c r="A10" s="12">
        <v>1984225580</v>
      </c>
      <c r="C10" s="216"/>
      <c r="D10" s="217">
        <f t="shared" si="1"/>
        <v>0</v>
      </c>
      <c r="E10" s="216"/>
      <c r="F10" s="216">
        <f t="shared" si="2"/>
        <v>0</v>
      </c>
      <c r="G10" s="216"/>
      <c r="H10" s="216">
        <f t="shared" si="3"/>
        <v>0</v>
      </c>
      <c r="I10" s="216"/>
      <c r="J10" s="216">
        <f t="shared" si="4"/>
        <v>0</v>
      </c>
      <c r="K10" s="216"/>
      <c r="L10" s="216">
        <f t="shared" si="5"/>
        <v>0</v>
      </c>
      <c r="M10" s="216"/>
      <c r="N10" s="217">
        <f t="shared" si="6"/>
        <v>0</v>
      </c>
      <c r="O10" s="216"/>
      <c r="P10" s="217">
        <f t="shared" si="7"/>
        <v>0</v>
      </c>
      <c r="Q10" s="217"/>
      <c r="R10" s="217">
        <f t="shared" si="8"/>
        <v>0</v>
      </c>
      <c r="S10" s="216"/>
      <c r="T10" s="216">
        <f t="shared" si="9"/>
        <v>0</v>
      </c>
      <c r="U10" s="216"/>
      <c r="V10" s="216">
        <f t="shared" si="10"/>
        <v>0</v>
      </c>
      <c r="W10" s="216"/>
      <c r="X10" s="19">
        <f t="shared" si="11"/>
        <v>0</v>
      </c>
      <c r="Y10" s="89">
        <f t="shared" si="0"/>
        <v>0</v>
      </c>
    </row>
    <row r="11" spans="1:25" ht="37.5" customHeight="1" x14ac:dyDescent="0.25">
      <c r="A11" s="12"/>
      <c r="B11" s="215"/>
      <c r="C11" s="216"/>
      <c r="D11" s="22">
        <f t="shared" si="1"/>
        <v>0</v>
      </c>
      <c r="E11" s="216"/>
      <c r="F11" s="216">
        <f t="shared" si="2"/>
        <v>0</v>
      </c>
      <c r="G11" s="216"/>
      <c r="H11" s="216">
        <f t="shared" si="3"/>
        <v>0</v>
      </c>
      <c r="I11" s="216"/>
      <c r="J11" s="216">
        <f t="shared" si="4"/>
        <v>0</v>
      </c>
      <c r="K11" s="216"/>
      <c r="L11" s="216">
        <f t="shared" si="5"/>
        <v>0</v>
      </c>
      <c r="M11" s="216"/>
      <c r="N11" s="217">
        <f t="shared" si="6"/>
        <v>0</v>
      </c>
      <c r="O11" s="216"/>
      <c r="P11" s="217">
        <f t="shared" si="7"/>
        <v>0</v>
      </c>
      <c r="Q11" s="217"/>
      <c r="R11" s="217">
        <f t="shared" si="8"/>
        <v>0</v>
      </c>
      <c r="S11" s="216">
        <v>95</v>
      </c>
      <c r="T11" s="216">
        <f t="shared" si="9"/>
        <v>22895</v>
      </c>
      <c r="U11" s="216"/>
      <c r="V11" s="216">
        <f t="shared" si="10"/>
        <v>0</v>
      </c>
      <c r="W11" s="216"/>
      <c r="X11" s="19">
        <f t="shared" si="11"/>
        <v>0</v>
      </c>
      <c r="Y11" s="20">
        <f t="shared" si="0"/>
        <v>22895</v>
      </c>
    </row>
    <row r="12" spans="1:25" ht="29.25" customHeight="1" x14ac:dyDescent="0.25">
      <c r="A12" s="2235" t="s">
        <v>31</v>
      </c>
      <c r="B12" s="2235"/>
      <c r="C12" s="18">
        <f t="shared" ref="C12:Y12" si="12">SUM(C6:C11)</f>
        <v>127011</v>
      </c>
      <c r="D12" s="18">
        <f t="shared" si="12"/>
        <v>123518.19749999999</v>
      </c>
      <c r="E12" s="18">
        <f t="shared" si="12"/>
        <v>0</v>
      </c>
      <c r="F12" s="18">
        <f t="shared" si="12"/>
        <v>0</v>
      </c>
      <c r="G12" s="18">
        <f t="shared" si="12"/>
        <v>260</v>
      </c>
      <c r="H12" s="18">
        <f t="shared" si="12"/>
        <v>7332</v>
      </c>
      <c r="I12" s="18">
        <f t="shared" si="12"/>
        <v>3630</v>
      </c>
      <c r="J12" s="18">
        <f t="shared" si="12"/>
        <v>67155</v>
      </c>
      <c r="K12" s="18">
        <f t="shared" si="12"/>
        <v>0</v>
      </c>
      <c r="L12" s="18">
        <f t="shared" si="12"/>
        <v>0</v>
      </c>
      <c r="M12" s="18">
        <f t="shared" si="12"/>
        <v>0</v>
      </c>
      <c r="N12" s="23">
        <f t="shared" si="12"/>
        <v>0</v>
      </c>
      <c r="O12" s="18">
        <f t="shared" si="12"/>
        <v>0</v>
      </c>
      <c r="P12" s="23">
        <f t="shared" si="12"/>
        <v>0</v>
      </c>
      <c r="Q12" s="23">
        <f t="shared" si="12"/>
        <v>0</v>
      </c>
      <c r="R12" s="23">
        <f>SUM(R6:R11)</f>
        <v>0</v>
      </c>
      <c r="S12" s="18">
        <f t="shared" si="12"/>
        <v>110</v>
      </c>
      <c r="T12" s="18">
        <f t="shared" si="12"/>
        <v>26510</v>
      </c>
      <c r="U12" s="18">
        <f t="shared" si="12"/>
        <v>0</v>
      </c>
      <c r="V12" s="18">
        <f t="shared" si="12"/>
        <v>0</v>
      </c>
      <c r="W12" s="18">
        <f t="shared" si="12"/>
        <v>0</v>
      </c>
      <c r="X12" s="18">
        <f t="shared" si="12"/>
        <v>0</v>
      </c>
      <c r="Y12" s="18">
        <f t="shared" si="12"/>
        <v>224515.19750000001</v>
      </c>
    </row>
    <row r="14" spans="1:25" ht="41.25" customHeight="1" x14ac:dyDescent="0.25">
      <c r="A14" s="30" t="s">
        <v>32</v>
      </c>
      <c r="B14" s="2236" t="s">
        <v>27</v>
      </c>
      <c r="C14" s="2236"/>
      <c r="D14" s="30" t="s">
        <v>33</v>
      </c>
      <c r="E14" s="30" t="s">
        <v>65</v>
      </c>
      <c r="F14" s="30" t="s">
        <v>34</v>
      </c>
      <c r="G14" s="30" t="s">
        <v>13</v>
      </c>
      <c r="H14" s="142" t="s">
        <v>173</v>
      </c>
      <c r="I14" s="30" t="s">
        <v>17</v>
      </c>
      <c r="J14" s="221" t="s">
        <v>174</v>
      </c>
      <c r="K14" s="30" t="s">
        <v>36</v>
      </c>
      <c r="L14" s="30" t="s">
        <v>175</v>
      </c>
      <c r="M14" s="30" t="s">
        <v>69</v>
      </c>
      <c r="N14" s="30" t="s">
        <v>70</v>
      </c>
      <c r="O14" s="221" t="s">
        <v>114</v>
      </c>
      <c r="P14" s="221" t="s">
        <v>99</v>
      </c>
      <c r="Q14" s="2272" t="s">
        <v>256</v>
      </c>
      <c r="R14" s="2272"/>
      <c r="S14" s="221"/>
      <c r="T14" s="2235" t="s">
        <v>46</v>
      </c>
      <c r="U14" s="213" t="s">
        <v>176</v>
      </c>
      <c r="V14" s="2260">
        <v>362508</v>
      </c>
      <c r="W14" s="2268"/>
      <c r="X14" s="2261"/>
    </row>
    <row r="15" spans="1:25" ht="22.5" customHeight="1" x14ac:dyDescent="0.25">
      <c r="A15" s="100" t="s">
        <v>38</v>
      </c>
      <c r="B15" s="2260">
        <v>401817</v>
      </c>
      <c r="C15" s="2261"/>
      <c r="D15" s="218">
        <v>0</v>
      </c>
      <c r="E15" s="218">
        <v>1900</v>
      </c>
      <c r="F15" s="218">
        <v>7790</v>
      </c>
      <c r="G15" s="218">
        <v>0</v>
      </c>
      <c r="H15" s="218">
        <v>210</v>
      </c>
      <c r="I15" s="218">
        <v>1</v>
      </c>
      <c r="J15" s="218">
        <v>144</v>
      </c>
      <c r="K15" s="218">
        <v>72</v>
      </c>
      <c r="L15" s="218">
        <v>777</v>
      </c>
      <c r="M15" s="218">
        <v>0</v>
      </c>
      <c r="N15" s="218">
        <v>100</v>
      </c>
      <c r="O15" s="218">
        <v>0</v>
      </c>
      <c r="P15" s="218">
        <v>404</v>
      </c>
      <c r="Q15" s="2262">
        <v>452</v>
      </c>
      <c r="R15" s="2262"/>
      <c r="S15" s="213">
        <v>0</v>
      </c>
      <c r="T15" s="2235"/>
      <c r="U15" s="213" t="s">
        <v>64</v>
      </c>
      <c r="V15" s="2262">
        <v>9232</v>
      </c>
      <c r="W15" s="2262"/>
      <c r="X15" s="2262"/>
    </row>
    <row r="16" spans="1:25" ht="24.75" customHeight="1" x14ac:dyDescent="0.25">
      <c r="A16" s="100" t="s">
        <v>39</v>
      </c>
      <c r="B16" s="2260">
        <v>831168</v>
      </c>
      <c r="C16" s="2261"/>
      <c r="D16" s="218"/>
      <c r="E16" s="218"/>
      <c r="F16" s="218"/>
      <c r="G16" s="218"/>
      <c r="H16" s="218"/>
      <c r="I16" s="218"/>
      <c r="J16" s="218"/>
      <c r="K16" s="218"/>
      <c r="L16" s="218"/>
      <c r="M16" s="218"/>
      <c r="N16" s="218"/>
      <c r="O16" s="218"/>
      <c r="P16" s="218"/>
      <c r="Q16" s="2225"/>
      <c r="R16" s="2225"/>
      <c r="S16" s="218"/>
      <c r="T16" s="2254" t="s">
        <v>55</v>
      </c>
      <c r="U16" s="2254"/>
      <c r="V16" s="2267">
        <f>Y12</f>
        <v>224515.19750000001</v>
      </c>
      <c r="W16" s="2267"/>
      <c r="X16" s="2262"/>
    </row>
    <row r="17" spans="1:25" ht="28.5" customHeight="1" x14ac:dyDescent="0.25">
      <c r="A17" s="101" t="s">
        <v>44</v>
      </c>
      <c r="B17" s="2260">
        <v>28608</v>
      </c>
      <c r="C17" s="2261"/>
      <c r="D17" s="218"/>
      <c r="E17" s="218"/>
      <c r="F17" s="218"/>
      <c r="G17" s="218"/>
      <c r="H17" s="218"/>
      <c r="I17" s="218"/>
      <c r="J17" s="218"/>
      <c r="K17" s="218"/>
      <c r="L17" s="218"/>
      <c r="M17" s="218"/>
      <c r="N17" s="218"/>
      <c r="O17" s="218"/>
      <c r="P17" s="218"/>
      <c r="Q17" s="2225"/>
      <c r="R17" s="2225"/>
      <c r="S17" s="215"/>
      <c r="T17" s="2273" t="s">
        <v>267</v>
      </c>
      <c r="U17" s="2274"/>
      <c r="V17" s="2262">
        <v>8000</v>
      </c>
      <c r="W17" s="2262"/>
      <c r="X17" s="2262"/>
    </row>
    <row r="18" spans="1:25" ht="27" customHeight="1" x14ac:dyDescent="0.25">
      <c r="A18" s="100" t="s">
        <v>40</v>
      </c>
      <c r="B18" s="2264">
        <f>C12</f>
        <v>127011</v>
      </c>
      <c r="C18" s="2261"/>
      <c r="D18" s="219">
        <f>E12</f>
        <v>0</v>
      </c>
      <c r="E18" s="219">
        <f>G12</f>
        <v>260</v>
      </c>
      <c r="F18" s="219">
        <f>I12</f>
        <v>3630</v>
      </c>
      <c r="G18" s="219">
        <f>K12</f>
        <v>0</v>
      </c>
      <c r="H18" s="218">
        <v>15</v>
      </c>
      <c r="I18" s="219">
        <f>U12</f>
        <v>0</v>
      </c>
      <c r="J18" s="218">
        <v>81</v>
      </c>
      <c r="K18" s="219">
        <f>W12</f>
        <v>0</v>
      </c>
      <c r="L18" s="218"/>
      <c r="M18" s="219">
        <f>M12</f>
        <v>0</v>
      </c>
      <c r="N18" s="219">
        <f>O12</f>
        <v>0</v>
      </c>
      <c r="O18" s="220">
        <f>Q12</f>
        <v>0</v>
      </c>
      <c r="P18" s="218"/>
      <c r="Q18" s="2262">
        <v>14</v>
      </c>
      <c r="R18" s="2262"/>
      <c r="S18" s="213"/>
      <c r="T18" s="2254" t="s">
        <v>57</v>
      </c>
      <c r="U18" s="2254"/>
      <c r="V18" s="2262">
        <f>470+2270+794+27535</f>
        <v>31069</v>
      </c>
      <c r="W18" s="2262"/>
      <c r="X18" s="2262"/>
      <c r="Y18" s="2269" t="s">
        <v>268</v>
      </c>
    </row>
    <row r="19" spans="1:25" ht="25.5" customHeight="1" x14ac:dyDescent="0.25">
      <c r="A19" s="100" t="s">
        <v>41</v>
      </c>
      <c r="B19" s="2260">
        <f>B15+B16+B17-B18</f>
        <v>1134582</v>
      </c>
      <c r="C19" s="2261"/>
      <c r="D19" s="218">
        <f>D15+D16+D17-D18</f>
        <v>0</v>
      </c>
      <c r="E19" s="218">
        <f t="shared" ref="E19:N19" si="13">E15+E16+E17-E18</f>
        <v>1640</v>
      </c>
      <c r="F19" s="218">
        <f t="shared" si="13"/>
        <v>4160</v>
      </c>
      <c r="G19" s="218">
        <f t="shared" si="13"/>
        <v>0</v>
      </c>
      <c r="H19" s="218">
        <f t="shared" si="13"/>
        <v>195</v>
      </c>
      <c r="I19" s="218">
        <f t="shared" si="13"/>
        <v>1</v>
      </c>
      <c r="J19" s="218">
        <f t="shared" si="13"/>
        <v>63</v>
      </c>
      <c r="K19" s="218">
        <f t="shared" si="13"/>
        <v>72</v>
      </c>
      <c r="L19" s="218">
        <f t="shared" si="13"/>
        <v>777</v>
      </c>
      <c r="M19" s="218">
        <f t="shared" si="13"/>
        <v>0</v>
      </c>
      <c r="N19" s="218">
        <f t="shared" si="13"/>
        <v>100</v>
      </c>
      <c r="O19" s="218">
        <f>O15+O16+O17-O18</f>
        <v>0</v>
      </c>
      <c r="P19" s="218">
        <f>P15+P16+P17-P18</f>
        <v>404</v>
      </c>
      <c r="Q19" s="2260">
        <f t="shared" ref="Q19" si="14">Q15+Q16+Q17-Q18</f>
        <v>438</v>
      </c>
      <c r="R19" s="2261"/>
      <c r="S19" s="213">
        <f>S15+S16-S17-S18</f>
        <v>0</v>
      </c>
      <c r="T19" s="2256" t="s">
        <v>48</v>
      </c>
      <c r="U19" s="49" t="s">
        <v>58</v>
      </c>
      <c r="V19" s="2262"/>
      <c r="W19" s="2262"/>
      <c r="X19" s="2262"/>
      <c r="Y19" s="2269"/>
    </row>
    <row r="20" spans="1:25" ht="23.25" customHeight="1" x14ac:dyDescent="0.25">
      <c r="A20" s="210" t="s">
        <v>187</v>
      </c>
      <c r="B20" s="2284">
        <f>B19*0.9625</f>
        <v>1092035.175</v>
      </c>
      <c r="C20" s="2285"/>
      <c r="D20" s="211">
        <f>D19*13.56</f>
        <v>0</v>
      </c>
      <c r="E20" s="211">
        <f>28.2*E19</f>
        <v>46248</v>
      </c>
      <c r="F20" s="211">
        <f>18.31*F19</f>
        <v>76169.599999999991</v>
      </c>
      <c r="G20" s="211">
        <f>19.3*G19</f>
        <v>0</v>
      </c>
      <c r="H20" s="211">
        <f>241*H19</f>
        <v>46995</v>
      </c>
      <c r="I20" s="211">
        <f>223*I19</f>
        <v>223</v>
      </c>
      <c r="J20" s="211">
        <f>241*J19</f>
        <v>15183</v>
      </c>
      <c r="K20" s="211">
        <f>K19*100</f>
        <v>7200</v>
      </c>
      <c r="L20" s="211">
        <f>241*L19</f>
        <v>187257</v>
      </c>
      <c r="M20" s="211">
        <f>9.65*M19</f>
        <v>0</v>
      </c>
      <c r="N20" s="211">
        <f>N19*48.2</f>
        <v>4820</v>
      </c>
      <c r="O20" s="211">
        <f>241*O19</f>
        <v>0</v>
      </c>
      <c r="P20" s="211">
        <f>241*P19</f>
        <v>97364</v>
      </c>
      <c r="Q20" s="2284">
        <f>241*Q19</f>
        <v>105558</v>
      </c>
      <c r="R20" s="2285"/>
      <c r="S20" s="211">
        <f>241*S19</f>
        <v>0</v>
      </c>
      <c r="T20" s="2257"/>
      <c r="U20" s="49" t="s">
        <v>59</v>
      </c>
      <c r="V20" s="2262"/>
      <c r="W20" s="2262"/>
      <c r="X20" s="2262"/>
      <c r="Y20" s="2269"/>
    </row>
    <row r="21" spans="1:25" ht="32.25" customHeight="1" x14ac:dyDescent="0.25">
      <c r="A21" s="143" t="s">
        <v>186</v>
      </c>
      <c r="B21" s="2283">
        <f>SUM(B20:S20)</f>
        <v>1679052.7750000001</v>
      </c>
      <c r="C21" s="2283"/>
      <c r="O21" s="222"/>
      <c r="P21" s="222"/>
      <c r="Q21" s="222"/>
      <c r="R21" s="222"/>
      <c r="T21" s="2273" t="s">
        <v>167</v>
      </c>
      <c r="U21" s="2274"/>
      <c r="V21" s="2260">
        <v>8000</v>
      </c>
      <c r="W21" s="2268"/>
      <c r="X21" s="2261"/>
      <c r="Y21" s="2269"/>
    </row>
    <row r="22" spans="1:25" ht="35.25" customHeight="1" x14ac:dyDescent="0.25">
      <c r="A22" s="15"/>
      <c r="B22" s="2275" t="s">
        <v>49</v>
      </c>
      <c r="C22" s="2265">
        <v>1313709</v>
      </c>
      <c r="D22" s="2265"/>
      <c r="E22" s="2265">
        <v>800000</v>
      </c>
      <c r="F22" s="2265">
        <f>C22-D22+E22</f>
        <v>2113709</v>
      </c>
      <c r="G22" s="222"/>
      <c r="Q22" s="222"/>
      <c r="R22" s="222"/>
      <c r="T22" s="2251" t="s">
        <v>83</v>
      </c>
      <c r="U22" s="50" t="s">
        <v>60</v>
      </c>
      <c r="V22" s="2262"/>
      <c r="W22" s="2262"/>
      <c r="X22" s="2262"/>
      <c r="Y22" s="2269"/>
    </row>
    <row r="23" spans="1:25" ht="39.75" customHeight="1" x14ac:dyDescent="0.25">
      <c r="A23" s="222"/>
      <c r="B23" s="2276"/>
      <c r="C23" s="2266"/>
      <c r="D23" s="2266"/>
      <c r="E23" s="2266"/>
      <c r="F23" s="2266"/>
      <c r="G23" s="222"/>
      <c r="Q23" s="222"/>
      <c r="R23" s="222"/>
      <c r="T23" s="2252"/>
      <c r="U23" s="50" t="s">
        <v>61</v>
      </c>
      <c r="V23" s="2262"/>
      <c r="W23" s="2262"/>
      <c r="X23" s="2262"/>
      <c r="Y23" s="2269"/>
    </row>
    <row r="24" spans="1:25" ht="48" customHeight="1" x14ac:dyDescent="0.25">
      <c r="A24" s="222"/>
      <c r="B24" s="2277"/>
      <c r="C24" s="213" t="s">
        <v>46</v>
      </c>
      <c r="D24" s="213" t="s">
        <v>50</v>
      </c>
      <c r="E24" s="213" t="s">
        <v>51</v>
      </c>
      <c r="F24" s="213" t="s">
        <v>52</v>
      </c>
      <c r="G24" s="222"/>
      <c r="Q24" s="222"/>
      <c r="R24" s="222"/>
      <c r="T24" s="2235" t="s">
        <v>47</v>
      </c>
      <c r="U24" s="51" t="s">
        <v>62</v>
      </c>
      <c r="V24" s="2263">
        <f>V14+V16+V17-V18-V19-V20-V22+V23-V21</f>
        <v>555954.19750000001</v>
      </c>
      <c r="W24" s="2263"/>
      <c r="X24" s="2263"/>
      <c r="Y24" s="2269"/>
    </row>
    <row r="25" spans="1:25" ht="40.5" customHeight="1" x14ac:dyDescent="0.25">
      <c r="T25" s="2235"/>
      <c r="U25" s="51" t="s">
        <v>63</v>
      </c>
      <c r="V25" s="2262">
        <f>V15+V22-V23</f>
        <v>9232</v>
      </c>
      <c r="W25" s="2262"/>
      <c r="X25" s="2262"/>
    </row>
    <row r="26" spans="1:25" ht="36" customHeight="1" x14ac:dyDescent="0.25"/>
    <row r="32" spans="1:25" x14ac:dyDescent="0.25">
      <c r="I32" s="2280"/>
      <c r="J32" s="2280"/>
      <c r="K32" s="2280"/>
      <c r="L32" s="2280"/>
    </row>
    <row r="33" spans="9:12" x14ac:dyDescent="0.25">
      <c r="I33" s="222"/>
      <c r="J33" s="222"/>
      <c r="K33" s="2280"/>
      <c r="L33" s="2280"/>
    </row>
  </sheetData>
  <mergeCells count="62">
    <mergeCell ref="I32:J32"/>
    <mergeCell ref="K32:L32"/>
    <mergeCell ref="K33:L33"/>
    <mergeCell ref="T22:T23"/>
    <mergeCell ref="V22:X22"/>
    <mergeCell ref="V23:X23"/>
    <mergeCell ref="T24:T25"/>
    <mergeCell ref="V24:X24"/>
    <mergeCell ref="V25:X25"/>
    <mergeCell ref="Y18:Y24"/>
    <mergeCell ref="B19:C19"/>
    <mergeCell ref="Q19:R19"/>
    <mergeCell ref="T19:T20"/>
    <mergeCell ref="V19:X19"/>
    <mergeCell ref="B20:C20"/>
    <mergeCell ref="B22:B24"/>
    <mergeCell ref="C22:C23"/>
    <mergeCell ref="D22:D23"/>
    <mergeCell ref="E22:E23"/>
    <mergeCell ref="F22:F23"/>
    <mergeCell ref="Q20:R20"/>
    <mergeCell ref="V20:X20"/>
    <mergeCell ref="B21:C21"/>
    <mergeCell ref="T21:U21"/>
    <mergeCell ref="V21:X21"/>
    <mergeCell ref="B17:C17"/>
    <mergeCell ref="Q17:R17"/>
    <mergeCell ref="T17:U17"/>
    <mergeCell ref="V17:X17"/>
    <mergeCell ref="B18:C18"/>
    <mergeCell ref="Q18:R18"/>
    <mergeCell ref="T18:U18"/>
    <mergeCell ref="V18:X18"/>
    <mergeCell ref="W4:X4"/>
    <mergeCell ref="B16:C16"/>
    <mergeCell ref="Q16:R16"/>
    <mergeCell ref="T16:U16"/>
    <mergeCell ref="V16:X16"/>
    <mergeCell ref="A12:B12"/>
    <mergeCell ref="B14:C14"/>
    <mergeCell ref="Q14:R14"/>
    <mergeCell ref="T14:T15"/>
    <mergeCell ref="V14:X14"/>
    <mergeCell ref="B15:C15"/>
    <mergeCell ref="Q15:R15"/>
    <mergeCell ref="V15:X15"/>
    <mergeCell ref="A1:Y1"/>
    <mergeCell ref="A2:Y2"/>
    <mergeCell ref="T3:Y3"/>
    <mergeCell ref="A4:A5"/>
    <mergeCell ref="B4:B5"/>
    <mergeCell ref="C4:D4"/>
    <mergeCell ref="E4:F4"/>
    <mergeCell ref="G4:H4"/>
    <mergeCell ref="I4:J4"/>
    <mergeCell ref="K4:L4"/>
    <mergeCell ref="Y4:Y5"/>
    <mergeCell ref="M4:N4"/>
    <mergeCell ref="O4:P4"/>
    <mergeCell ref="Q4:R4"/>
    <mergeCell ref="S4:T4"/>
    <mergeCell ref="U4:V4"/>
  </mergeCells>
  <pageMargins left="0.15748031496063" right="0.15748031496063" top="0" bottom="0" header="0" footer="0"/>
  <pageSetup paperSize="9" scale="47" orientation="landscape" r:id="rId1"/>
  <legacyDrawing r:id="rId2"/>
</worksheet>
</file>

<file path=xl/worksheets/sheet9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E2B2D06-1CEC-48A0-91E2-408D6E1E4A28}">
  <sheetPr>
    <pageSetUpPr fitToPage="1"/>
  </sheetPr>
  <dimension ref="A1:Y33"/>
  <sheetViews>
    <sheetView zoomScale="71" zoomScaleNormal="71" zoomScaleSheetLayoutView="100" workbookViewId="0">
      <selection activeCell="V19" sqref="V19:X19"/>
    </sheetView>
  </sheetViews>
  <sheetFormatPr defaultColWidth="9.140625" defaultRowHeight="15" x14ac:dyDescent="0.25"/>
  <cols>
    <col min="1" max="1" width="18.28515625" style="14" customWidth="1"/>
    <col min="2" max="2" width="10.7109375" style="14" customWidth="1"/>
    <col min="3" max="3" width="12.28515625" style="14" customWidth="1"/>
    <col min="4" max="4" width="11" style="14" customWidth="1"/>
    <col min="5" max="5" width="12" style="14" customWidth="1"/>
    <col min="6" max="6" width="12.5703125" style="14" bestFit="1" customWidth="1"/>
    <col min="7" max="7" width="9.28515625" style="14" bestFit="1" customWidth="1"/>
    <col min="8" max="8" width="10.140625" style="14" bestFit="1" customWidth="1"/>
    <col min="9" max="9" width="10.5703125" style="14" bestFit="1" customWidth="1"/>
    <col min="10" max="10" width="10.5703125" style="14" customWidth="1"/>
    <col min="11" max="11" width="10.28515625" style="14" bestFit="1" customWidth="1"/>
    <col min="12" max="12" width="10.42578125" style="14" bestFit="1" customWidth="1"/>
    <col min="13" max="13" width="9.85546875" style="14" bestFit="1" customWidth="1"/>
    <col min="14" max="14" width="10.140625" style="14" bestFit="1" customWidth="1"/>
    <col min="15" max="15" width="9" style="14" customWidth="1"/>
    <col min="16" max="16" width="12.85546875" style="14" bestFit="1" customWidth="1"/>
    <col min="17" max="18" width="9.42578125" style="14" customWidth="1"/>
    <col min="19" max="19" width="13.7109375" style="14" customWidth="1"/>
    <col min="20" max="20" width="12.140625" style="14" customWidth="1"/>
    <col min="21" max="21" width="19.5703125" style="14" bestFit="1" customWidth="1"/>
    <col min="22" max="22" width="9.85546875" style="14" customWidth="1"/>
    <col min="23" max="23" width="10.140625" style="14" bestFit="1" customWidth="1"/>
    <col min="24" max="24" width="10.28515625" style="14" customWidth="1"/>
    <col min="25" max="25" width="28" style="14" customWidth="1"/>
    <col min="26" max="16384" width="9.140625" style="14"/>
  </cols>
  <sheetData>
    <row r="1" spans="1:25" ht="46.15" customHeight="1" x14ac:dyDescent="0.25">
      <c r="A1" s="2240" t="s">
        <v>148</v>
      </c>
      <c r="B1" s="2240"/>
      <c r="C1" s="2240"/>
      <c r="D1" s="2240"/>
      <c r="E1" s="2240"/>
      <c r="F1" s="2240"/>
      <c r="G1" s="2240"/>
      <c r="H1" s="2240"/>
      <c r="I1" s="2240"/>
      <c r="J1" s="2240"/>
      <c r="K1" s="2240"/>
      <c r="L1" s="2240"/>
      <c r="M1" s="2240"/>
      <c r="N1" s="2240"/>
      <c r="O1" s="2240"/>
      <c r="P1" s="2240"/>
      <c r="Q1" s="2240"/>
      <c r="R1" s="2240"/>
      <c r="S1" s="2240"/>
      <c r="T1" s="2240"/>
      <c r="U1" s="2240"/>
      <c r="V1" s="2240"/>
      <c r="W1" s="2240"/>
      <c r="X1" s="2240"/>
      <c r="Y1" s="2240"/>
    </row>
    <row r="2" spans="1:25" ht="21.6" customHeight="1" x14ac:dyDescent="0.25">
      <c r="A2" s="2241" t="s">
        <v>77</v>
      </c>
      <c r="B2" s="2241"/>
      <c r="C2" s="2241"/>
      <c r="D2" s="2241"/>
      <c r="E2" s="2241"/>
      <c r="F2" s="2241"/>
      <c r="G2" s="2241"/>
      <c r="H2" s="2241"/>
      <c r="I2" s="2241"/>
      <c r="J2" s="2241"/>
      <c r="K2" s="2241"/>
      <c r="L2" s="2241"/>
      <c r="M2" s="2241"/>
      <c r="N2" s="2241"/>
      <c r="O2" s="2241"/>
      <c r="P2" s="2241"/>
      <c r="Q2" s="2241"/>
      <c r="R2" s="2241"/>
      <c r="S2" s="2241"/>
      <c r="T2" s="2241"/>
      <c r="U2" s="2241"/>
      <c r="V2" s="2241"/>
      <c r="W2" s="2241"/>
      <c r="X2" s="2241"/>
      <c r="Y2" s="2241"/>
    </row>
    <row r="3" spans="1:25" ht="21" customHeight="1" x14ac:dyDescent="0.25">
      <c r="A3" s="212"/>
      <c r="B3" s="212"/>
      <c r="C3" s="212"/>
      <c r="D3" s="212"/>
      <c r="E3" s="212"/>
      <c r="F3" s="212"/>
      <c r="G3" s="212"/>
      <c r="H3" s="212"/>
      <c r="I3" s="212"/>
      <c r="J3" s="212"/>
      <c r="K3" s="212"/>
      <c r="L3" s="212"/>
      <c r="M3" s="212"/>
      <c r="N3" s="212"/>
      <c r="O3" s="212"/>
      <c r="P3" s="212"/>
      <c r="Q3" s="212"/>
      <c r="R3" s="212"/>
      <c r="S3" s="212"/>
      <c r="T3" s="2242" t="s">
        <v>271</v>
      </c>
      <c r="U3" s="2242"/>
      <c r="V3" s="2242"/>
      <c r="W3" s="2242"/>
      <c r="X3" s="2242"/>
      <c r="Y3" s="2242"/>
    </row>
    <row r="4" spans="1:25" s="212" customFormat="1" ht="18" customHeight="1" x14ac:dyDescent="0.25">
      <c r="A4" s="2243" t="s">
        <v>25</v>
      </c>
      <c r="B4" s="2243" t="s">
        <v>26</v>
      </c>
      <c r="C4" s="2244" t="s">
        <v>27</v>
      </c>
      <c r="D4" s="2244"/>
      <c r="E4" s="2244" t="s">
        <v>28</v>
      </c>
      <c r="F4" s="2244"/>
      <c r="G4" s="2244" t="s">
        <v>65</v>
      </c>
      <c r="H4" s="2244"/>
      <c r="I4" s="2244" t="s">
        <v>29</v>
      </c>
      <c r="J4" s="2244"/>
      <c r="K4" s="2245" t="s">
        <v>13</v>
      </c>
      <c r="L4" s="2246"/>
      <c r="M4" s="2245" t="s">
        <v>67</v>
      </c>
      <c r="N4" s="2246"/>
      <c r="O4" s="2245" t="s">
        <v>68</v>
      </c>
      <c r="P4" s="2246"/>
      <c r="Q4" s="2245" t="s">
        <v>114</v>
      </c>
      <c r="R4" s="2246"/>
      <c r="S4" s="2244" t="s">
        <v>35</v>
      </c>
      <c r="T4" s="2244"/>
      <c r="U4" s="2245" t="s">
        <v>17</v>
      </c>
      <c r="V4" s="2246"/>
      <c r="W4" s="2247" t="s">
        <v>36</v>
      </c>
      <c r="X4" s="2248"/>
      <c r="Y4" s="2238" t="s">
        <v>30</v>
      </c>
    </row>
    <row r="5" spans="1:25" s="212" customFormat="1" ht="25.5" customHeight="1" x14ac:dyDescent="0.25">
      <c r="A5" s="2243"/>
      <c r="B5" s="2243"/>
      <c r="C5" s="214" t="s">
        <v>42</v>
      </c>
      <c r="D5" s="214" t="s">
        <v>43</v>
      </c>
      <c r="E5" s="214" t="s">
        <v>42</v>
      </c>
      <c r="F5" s="214" t="s">
        <v>43</v>
      </c>
      <c r="G5" s="214" t="s">
        <v>42</v>
      </c>
      <c r="H5" s="214" t="s">
        <v>43</v>
      </c>
      <c r="I5" s="214" t="s">
        <v>42</v>
      </c>
      <c r="J5" s="214" t="s">
        <v>43</v>
      </c>
      <c r="K5" s="214" t="s">
        <v>42</v>
      </c>
      <c r="L5" s="214" t="s">
        <v>43</v>
      </c>
      <c r="M5" s="214" t="s">
        <v>42</v>
      </c>
      <c r="N5" s="214" t="s">
        <v>43</v>
      </c>
      <c r="O5" s="214" t="s">
        <v>42</v>
      </c>
      <c r="P5" s="214" t="s">
        <v>43</v>
      </c>
      <c r="Q5" s="214" t="s">
        <v>42</v>
      </c>
      <c r="R5" s="214" t="s">
        <v>43</v>
      </c>
      <c r="S5" s="33" t="s">
        <v>42</v>
      </c>
      <c r="T5" s="33" t="s">
        <v>43</v>
      </c>
      <c r="U5" s="30" t="s">
        <v>42</v>
      </c>
      <c r="V5" s="30" t="s">
        <v>43</v>
      </c>
      <c r="W5" s="30" t="s">
        <v>42</v>
      </c>
      <c r="X5" s="30" t="s">
        <v>43</v>
      </c>
      <c r="Y5" s="2239"/>
    </row>
    <row r="6" spans="1:25" ht="34.5" customHeight="1" x14ac:dyDescent="0.25">
      <c r="A6" s="12">
        <v>1409935200</v>
      </c>
      <c r="B6" s="213" t="s">
        <v>71</v>
      </c>
      <c r="C6" s="216">
        <v>198664</v>
      </c>
      <c r="D6" s="217">
        <f>0.9725*C6</f>
        <v>193200.74000000002</v>
      </c>
      <c r="E6" s="216"/>
      <c r="F6" s="216">
        <f>13.7*E6</f>
        <v>0</v>
      </c>
      <c r="G6" s="216">
        <v>320</v>
      </c>
      <c r="H6" s="216">
        <f>28.2*G6</f>
        <v>9024</v>
      </c>
      <c r="I6" s="216">
        <v>380</v>
      </c>
      <c r="J6" s="216">
        <f>18.5*I6</f>
        <v>7030</v>
      </c>
      <c r="K6" s="216"/>
      <c r="L6" s="216">
        <f>19.5*K6</f>
        <v>0</v>
      </c>
      <c r="M6" s="216"/>
      <c r="N6" s="217">
        <f>M6*9.75</f>
        <v>0</v>
      </c>
      <c r="O6" s="216"/>
      <c r="P6" s="217">
        <f>O6*48.62</f>
        <v>0</v>
      </c>
      <c r="Q6" s="217"/>
      <c r="R6" s="217">
        <f>241*Q6</f>
        <v>0</v>
      </c>
      <c r="S6" s="216"/>
      <c r="T6" s="216">
        <f>241*S6</f>
        <v>0</v>
      </c>
      <c r="U6" s="216"/>
      <c r="V6" s="216">
        <f>232*U6</f>
        <v>0</v>
      </c>
      <c r="W6" s="216"/>
      <c r="X6" s="19">
        <f>W6*100</f>
        <v>0</v>
      </c>
      <c r="Y6" s="89">
        <f t="shared" ref="Y6:Y11" si="0">D6+F6+H6+J6+L6+N6+P6+R6+T6+V6+X6</f>
        <v>209254.74000000002</v>
      </c>
    </row>
    <row r="7" spans="1:25" ht="31.5" customHeight="1" x14ac:dyDescent="0.25">
      <c r="A7" s="12">
        <v>1984225578</v>
      </c>
      <c r="B7" s="213" t="s">
        <v>72</v>
      </c>
      <c r="C7" s="216">
        <v>229499</v>
      </c>
      <c r="D7" s="217">
        <f t="shared" ref="D7:D11" si="1">0.9725*C7</f>
        <v>223187.7775</v>
      </c>
      <c r="E7" s="216"/>
      <c r="F7" s="216">
        <f t="shared" ref="F7:F11" si="2">13.7*E7</f>
        <v>0</v>
      </c>
      <c r="G7" s="216">
        <v>120</v>
      </c>
      <c r="H7" s="216">
        <f t="shared" ref="H7:H11" si="3">28.2*G7</f>
        <v>3384</v>
      </c>
      <c r="I7" s="216">
        <v>960</v>
      </c>
      <c r="J7" s="216">
        <f t="shared" ref="J7:J11" si="4">18.5*I7</f>
        <v>17760</v>
      </c>
      <c r="K7" s="216"/>
      <c r="L7" s="216">
        <f t="shared" ref="L7:L11" si="5">19.5*K7</f>
        <v>0</v>
      </c>
      <c r="M7" s="216"/>
      <c r="N7" s="217">
        <f t="shared" ref="N7:N11" si="6">M7*9.75</f>
        <v>0</v>
      </c>
      <c r="O7" s="216"/>
      <c r="P7" s="217">
        <f t="shared" ref="P7:P11" si="7">O7*48.62</f>
        <v>0</v>
      </c>
      <c r="Q7" s="217"/>
      <c r="R7" s="217">
        <f t="shared" ref="R7:R11" si="8">241*Q7</f>
        <v>0</v>
      </c>
      <c r="S7" s="216">
        <v>10</v>
      </c>
      <c r="T7" s="216">
        <f t="shared" ref="T7:T11" si="9">241*S7</f>
        <v>2410</v>
      </c>
      <c r="U7" s="216"/>
      <c r="V7" s="216">
        <f t="shared" ref="V7:V11" si="10">232*U7</f>
        <v>0</v>
      </c>
      <c r="W7" s="216"/>
      <c r="X7" s="19">
        <f t="shared" ref="X7:X11" si="11">W7*100</f>
        <v>0</v>
      </c>
      <c r="Y7" s="89">
        <f t="shared" si="0"/>
        <v>246741.7775</v>
      </c>
    </row>
    <row r="8" spans="1:25" ht="35.25" customHeight="1" x14ac:dyDescent="0.25">
      <c r="A8" s="12">
        <v>1967020280</v>
      </c>
      <c r="B8" s="213" t="s">
        <v>73</v>
      </c>
      <c r="C8" s="216">
        <v>175515</v>
      </c>
      <c r="D8" s="217">
        <f t="shared" si="1"/>
        <v>170688.33749999999</v>
      </c>
      <c r="E8" s="216"/>
      <c r="F8" s="216">
        <f t="shared" si="2"/>
        <v>0</v>
      </c>
      <c r="G8" s="216">
        <v>150</v>
      </c>
      <c r="H8" s="216">
        <f t="shared" si="3"/>
        <v>4230</v>
      </c>
      <c r="I8" s="216">
        <v>930</v>
      </c>
      <c r="J8" s="216">
        <f t="shared" si="4"/>
        <v>17205</v>
      </c>
      <c r="K8" s="216"/>
      <c r="L8" s="216">
        <f t="shared" si="5"/>
        <v>0</v>
      </c>
      <c r="M8" s="216"/>
      <c r="N8" s="217">
        <f t="shared" si="6"/>
        <v>0</v>
      </c>
      <c r="O8" s="216"/>
      <c r="P8" s="217">
        <f t="shared" si="7"/>
        <v>0</v>
      </c>
      <c r="Q8" s="217"/>
      <c r="R8" s="217">
        <f t="shared" si="8"/>
        <v>0</v>
      </c>
      <c r="S8" s="216"/>
      <c r="T8" s="216">
        <f t="shared" si="9"/>
        <v>0</v>
      </c>
      <c r="U8" s="216"/>
      <c r="V8" s="216">
        <f t="shared" si="10"/>
        <v>0</v>
      </c>
      <c r="W8" s="216"/>
      <c r="X8" s="19">
        <f t="shared" si="11"/>
        <v>0</v>
      </c>
      <c r="Y8" s="89">
        <f t="shared" si="0"/>
        <v>192123.33749999999</v>
      </c>
    </row>
    <row r="9" spans="1:25" ht="38.25" customHeight="1" x14ac:dyDescent="0.25">
      <c r="A9" s="12">
        <v>1409935199</v>
      </c>
      <c r="B9" s="213" t="s">
        <v>75</v>
      </c>
      <c r="C9" s="216">
        <v>128010</v>
      </c>
      <c r="D9" s="217">
        <f t="shared" si="1"/>
        <v>124489.72500000001</v>
      </c>
      <c r="E9" s="216"/>
      <c r="F9" s="216">
        <f t="shared" si="2"/>
        <v>0</v>
      </c>
      <c r="G9" s="216">
        <v>30</v>
      </c>
      <c r="H9" s="216">
        <f t="shared" si="3"/>
        <v>846</v>
      </c>
      <c r="I9" s="216">
        <v>910</v>
      </c>
      <c r="J9" s="216">
        <f t="shared" si="4"/>
        <v>16835</v>
      </c>
      <c r="K9" s="216"/>
      <c r="L9" s="216">
        <f t="shared" si="5"/>
        <v>0</v>
      </c>
      <c r="M9" s="216"/>
      <c r="N9" s="217">
        <f t="shared" si="6"/>
        <v>0</v>
      </c>
      <c r="O9" s="216"/>
      <c r="P9" s="217">
        <f t="shared" si="7"/>
        <v>0</v>
      </c>
      <c r="Q9" s="217"/>
      <c r="R9" s="217">
        <f t="shared" si="8"/>
        <v>0</v>
      </c>
      <c r="S9" s="216"/>
      <c r="T9" s="216">
        <f t="shared" si="9"/>
        <v>0</v>
      </c>
      <c r="U9" s="216"/>
      <c r="V9" s="216">
        <f t="shared" si="10"/>
        <v>0</v>
      </c>
      <c r="W9" s="216"/>
      <c r="X9" s="19">
        <f t="shared" si="11"/>
        <v>0</v>
      </c>
      <c r="Y9" s="89">
        <f t="shared" si="0"/>
        <v>142170.72500000001</v>
      </c>
    </row>
    <row r="10" spans="1:25" ht="35.25" customHeight="1" x14ac:dyDescent="0.25">
      <c r="A10" s="12">
        <v>1984225580</v>
      </c>
      <c r="C10" s="216"/>
      <c r="D10" s="217">
        <f t="shared" si="1"/>
        <v>0</v>
      </c>
      <c r="E10" s="216"/>
      <c r="F10" s="216">
        <f t="shared" si="2"/>
        <v>0</v>
      </c>
      <c r="G10" s="216"/>
      <c r="H10" s="216">
        <f t="shared" si="3"/>
        <v>0</v>
      </c>
      <c r="I10" s="216"/>
      <c r="J10" s="216">
        <f t="shared" si="4"/>
        <v>0</v>
      </c>
      <c r="K10" s="216"/>
      <c r="L10" s="216">
        <f t="shared" si="5"/>
        <v>0</v>
      </c>
      <c r="M10" s="216"/>
      <c r="N10" s="217">
        <f t="shared" si="6"/>
        <v>0</v>
      </c>
      <c r="O10" s="216"/>
      <c r="P10" s="217">
        <f t="shared" si="7"/>
        <v>0</v>
      </c>
      <c r="Q10" s="217"/>
      <c r="R10" s="217">
        <f t="shared" si="8"/>
        <v>0</v>
      </c>
      <c r="S10" s="216"/>
      <c r="T10" s="216">
        <f t="shared" si="9"/>
        <v>0</v>
      </c>
      <c r="U10" s="216"/>
      <c r="V10" s="216">
        <f t="shared" si="10"/>
        <v>0</v>
      </c>
      <c r="W10" s="216"/>
      <c r="X10" s="19">
        <f t="shared" si="11"/>
        <v>0</v>
      </c>
      <c r="Y10" s="89">
        <f t="shared" si="0"/>
        <v>0</v>
      </c>
    </row>
    <row r="11" spans="1:25" ht="37.5" customHeight="1" x14ac:dyDescent="0.25">
      <c r="A11" s="12"/>
      <c r="B11" s="215"/>
      <c r="C11" s="216"/>
      <c r="D11" s="22">
        <f t="shared" si="1"/>
        <v>0</v>
      </c>
      <c r="E11" s="216"/>
      <c r="F11" s="216">
        <f t="shared" si="2"/>
        <v>0</v>
      </c>
      <c r="G11" s="216"/>
      <c r="H11" s="216">
        <f t="shared" si="3"/>
        <v>0</v>
      </c>
      <c r="I11" s="216"/>
      <c r="J11" s="216">
        <f t="shared" si="4"/>
        <v>0</v>
      </c>
      <c r="K11" s="216"/>
      <c r="L11" s="216">
        <f t="shared" si="5"/>
        <v>0</v>
      </c>
      <c r="M11" s="216"/>
      <c r="N11" s="217">
        <f t="shared" si="6"/>
        <v>0</v>
      </c>
      <c r="O11" s="216"/>
      <c r="P11" s="217">
        <f t="shared" si="7"/>
        <v>0</v>
      </c>
      <c r="Q11" s="217"/>
      <c r="R11" s="217">
        <f t="shared" si="8"/>
        <v>0</v>
      </c>
      <c r="S11" s="216">
        <v>33</v>
      </c>
      <c r="T11" s="216">
        <f t="shared" si="9"/>
        <v>7953</v>
      </c>
      <c r="U11" s="216"/>
      <c r="V11" s="216">
        <f t="shared" si="10"/>
        <v>0</v>
      </c>
      <c r="W11" s="216"/>
      <c r="X11" s="19">
        <f t="shared" si="11"/>
        <v>0</v>
      </c>
      <c r="Y11" s="20">
        <f t="shared" si="0"/>
        <v>7953</v>
      </c>
    </row>
    <row r="12" spans="1:25" ht="29.25" customHeight="1" x14ac:dyDescent="0.25">
      <c r="A12" s="2235" t="s">
        <v>31</v>
      </c>
      <c r="B12" s="2235"/>
      <c r="C12" s="18">
        <f t="shared" ref="C12:Y12" si="12">SUM(C6:C11)</f>
        <v>731688</v>
      </c>
      <c r="D12" s="18">
        <f t="shared" si="12"/>
        <v>711566.58</v>
      </c>
      <c r="E12" s="18">
        <f t="shared" si="12"/>
        <v>0</v>
      </c>
      <c r="F12" s="18">
        <f t="shared" si="12"/>
        <v>0</v>
      </c>
      <c r="G12" s="18">
        <f t="shared" si="12"/>
        <v>620</v>
      </c>
      <c r="H12" s="18">
        <f t="shared" si="12"/>
        <v>17484</v>
      </c>
      <c r="I12" s="18">
        <f t="shared" si="12"/>
        <v>3180</v>
      </c>
      <c r="J12" s="18">
        <f t="shared" si="12"/>
        <v>58830</v>
      </c>
      <c r="K12" s="18">
        <f t="shared" si="12"/>
        <v>0</v>
      </c>
      <c r="L12" s="18">
        <f t="shared" si="12"/>
        <v>0</v>
      </c>
      <c r="M12" s="18">
        <f t="shared" si="12"/>
        <v>0</v>
      </c>
      <c r="N12" s="23">
        <f t="shared" si="12"/>
        <v>0</v>
      </c>
      <c r="O12" s="18">
        <f t="shared" si="12"/>
        <v>0</v>
      </c>
      <c r="P12" s="23">
        <f t="shared" si="12"/>
        <v>0</v>
      </c>
      <c r="Q12" s="23">
        <f t="shared" si="12"/>
        <v>0</v>
      </c>
      <c r="R12" s="23">
        <f>SUM(R6:R11)</f>
        <v>0</v>
      </c>
      <c r="S12" s="18">
        <f t="shared" si="12"/>
        <v>43</v>
      </c>
      <c r="T12" s="18">
        <f t="shared" si="12"/>
        <v>10363</v>
      </c>
      <c r="U12" s="18">
        <f t="shared" si="12"/>
        <v>0</v>
      </c>
      <c r="V12" s="18">
        <f t="shared" si="12"/>
        <v>0</v>
      </c>
      <c r="W12" s="18">
        <f t="shared" si="12"/>
        <v>0</v>
      </c>
      <c r="X12" s="18">
        <f t="shared" si="12"/>
        <v>0</v>
      </c>
      <c r="Y12" s="18">
        <f t="shared" si="12"/>
        <v>798243.58</v>
      </c>
    </row>
    <row r="14" spans="1:25" ht="41.25" customHeight="1" x14ac:dyDescent="0.25">
      <c r="A14" s="30" t="s">
        <v>32</v>
      </c>
      <c r="B14" s="2236" t="s">
        <v>27</v>
      </c>
      <c r="C14" s="2236"/>
      <c r="D14" s="30" t="s">
        <v>33</v>
      </c>
      <c r="E14" s="30" t="s">
        <v>65</v>
      </c>
      <c r="F14" s="30" t="s">
        <v>34</v>
      </c>
      <c r="G14" s="30" t="s">
        <v>13</v>
      </c>
      <c r="H14" s="142" t="s">
        <v>173</v>
      </c>
      <c r="I14" s="30" t="s">
        <v>17</v>
      </c>
      <c r="J14" s="221" t="s">
        <v>174</v>
      </c>
      <c r="K14" s="30" t="s">
        <v>36</v>
      </c>
      <c r="L14" s="30" t="s">
        <v>175</v>
      </c>
      <c r="M14" s="30" t="s">
        <v>69</v>
      </c>
      <c r="N14" s="30" t="s">
        <v>70</v>
      </c>
      <c r="O14" s="221" t="s">
        <v>114</v>
      </c>
      <c r="P14" s="221" t="s">
        <v>99</v>
      </c>
      <c r="Q14" s="2272" t="s">
        <v>256</v>
      </c>
      <c r="R14" s="2272"/>
      <c r="S14" s="221"/>
      <c r="T14" s="2235" t="s">
        <v>46</v>
      </c>
      <c r="U14" s="213" t="s">
        <v>176</v>
      </c>
      <c r="V14" s="2260">
        <v>555954</v>
      </c>
      <c r="W14" s="2268"/>
      <c r="X14" s="2261"/>
    </row>
    <row r="15" spans="1:25" ht="22.5" customHeight="1" x14ac:dyDescent="0.25">
      <c r="A15" s="100" t="s">
        <v>38</v>
      </c>
      <c r="B15" s="2260">
        <v>1134582</v>
      </c>
      <c r="C15" s="2261"/>
      <c r="D15" s="218">
        <v>0</v>
      </c>
      <c r="E15" s="218">
        <v>1640</v>
      </c>
      <c r="F15" s="218">
        <v>4160</v>
      </c>
      <c r="G15" s="218">
        <v>0</v>
      </c>
      <c r="H15" s="218">
        <v>195</v>
      </c>
      <c r="I15" s="218">
        <v>1</v>
      </c>
      <c r="J15" s="218">
        <v>63</v>
      </c>
      <c r="K15" s="218">
        <v>72</v>
      </c>
      <c r="L15" s="218">
        <v>777</v>
      </c>
      <c r="M15" s="218">
        <v>0</v>
      </c>
      <c r="N15" s="218">
        <v>100</v>
      </c>
      <c r="O15" s="218">
        <v>0</v>
      </c>
      <c r="P15" s="218">
        <v>404</v>
      </c>
      <c r="Q15" s="2262">
        <v>438</v>
      </c>
      <c r="R15" s="2262"/>
      <c r="S15" s="213">
        <v>0</v>
      </c>
      <c r="T15" s="2235"/>
      <c r="U15" s="213" t="s">
        <v>64</v>
      </c>
      <c r="V15" s="2262">
        <v>9232</v>
      </c>
      <c r="W15" s="2262"/>
      <c r="X15" s="2262"/>
    </row>
    <row r="16" spans="1:25" ht="24.75" customHeight="1" x14ac:dyDescent="0.25">
      <c r="A16" s="100" t="s">
        <v>39</v>
      </c>
      <c r="B16" s="2260">
        <v>363636</v>
      </c>
      <c r="C16" s="2261"/>
      <c r="D16" s="218"/>
      <c r="E16" s="218"/>
      <c r="F16" s="218"/>
      <c r="G16" s="218"/>
      <c r="H16" s="218"/>
      <c r="I16" s="218"/>
      <c r="J16" s="218"/>
      <c r="K16" s="218"/>
      <c r="L16" s="218"/>
      <c r="M16" s="218"/>
      <c r="N16" s="218"/>
      <c r="O16" s="218"/>
      <c r="P16" s="218"/>
      <c r="Q16" s="2225"/>
      <c r="R16" s="2225"/>
      <c r="S16" s="218"/>
      <c r="T16" s="2254" t="s">
        <v>55</v>
      </c>
      <c r="U16" s="2254"/>
      <c r="V16" s="2267">
        <f>Y12</f>
        <v>798243.58</v>
      </c>
      <c r="W16" s="2267"/>
      <c r="X16" s="2262"/>
    </row>
    <row r="17" spans="1:25" ht="28.5" customHeight="1" x14ac:dyDescent="0.25">
      <c r="A17" s="101" t="s">
        <v>44</v>
      </c>
      <c r="B17" s="2260"/>
      <c r="C17" s="2261"/>
      <c r="D17" s="218"/>
      <c r="E17" s="218"/>
      <c r="F17" s="218"/>
      <c r="G17" s="218"/>
      <c r="H17" s="218"/>
      <c r="I17" s="218"/>
      <c r="J17" s="218"/>
      <c r="K17" s="218"/>
      <c r="L17" s="218"/>
      <c r="M17" s="218"/>
      <c r="N17" s="218"/>
      <c r="O17" s="218"/>
      <c r="P17" s="218"/>
      <c r="Q17" s="2225"/>
      <c r="R17" s="2225"/>
      <c r="S17" s="215"/>
      <c r="T17" s="2273" t="s">
        <v>267</v>
      </c>
      <c r="U17" s="2274"/>
      <c r="V17" s="2262"/>
      <c r="W17" s="2262"/>
      <c r="X17" s="2262"/>
    </row>
    <row r="18" spans="1:25" ht="27" customHeight="1" x14ac:dyDescent="0.25">
      <c r="A18" s="100" t="s">
        <v>40</v>
      </c>
      <c r="B18" s="2264">
        <f>C12</f>
        <v>731688</v>
      </c>
      <c r="C18" s="2261"/>
      <c r="D18" s="219">
        <f>E12</f>
        <v>0</v>
      </c>
      <c r="E18" s="219">
        <f>G12</f>
        <v>620</v>
      </c>
      <c r="F18" s="219">
        <f>I12</f>
        <v>3180</v>
      </c>
      <c r="G18" s="219">
        <f>K12</f>
        <v>0</v>
      </c>
      <c r="H18" s="218">
        <v>10</v>
      </c>
      <c r="I18" s="219">
        <f>U12</f>
        <v>0</v>
      </c>
      <c r="J18" s="218"/>
      <c r="K18" s="219">
        <f>W12</f>
        <v>0</v>
      </c>
      <c r="L18" s="218"/>
      <c r="M18" s="219">
        <f>M12</f>
        <v>0</v>
      </c>
      <c r="N18" s="219">
        <f>O12</f>
        <v>0</v>
      </c>
      <c r="O18" s="220">
        <f>Q12</f>
        <v>0</v>
      </c>
      <c r="P18" s="218"/>
      <c r="Q18" s="2262">
        <v>33</v>
      </c>
      <c r="R18" s="2262"/>
      <c r="S18" s="213"/>
      <c r="T18" s="2254" t="s">
        <v>57</v>
      </c>
      <c r="U18" s="2254"/>
      <c r="V18" s="2262">
        <f>770+823+5229</f>
        <v>6822</v>
      </c>
      <c r="W18" s="2262"/>
      <c r="X18" s="2262"/>
      <c r="Y18" s="2269" t="s">
        <v>269</v>
      </c>
    </row>
    <row r="19" spans="1:25" ht="25.5" customHeight="1" x14ac:dyDescent="0.25">
      <c r="A19" s="100" t="s">
        <v>41</v>
      </c>
      <c r="B19" s="2260">
        <f>B15+B16+B17-B18</f>
        <v>766530</v>
      </c>
      <c r="C19" s="2261"/>
      <c r="D19" s="218">
        <f>D15+D16+D17-D18</f>
        <v>0</v>
      </c>
      <c r="E19" s="218">
        <f t="shared" ref="E19:N19" si="13">E15+E16+E17-E18</f>
        <v>1020</v>
      </c>
      <c r="F19" s="218">
        <f t="shared" si="13"/>
        <v>980</v>
      </c>
      <c r="G19" s="218">
        <f t="shared" si="13"/>
        <v>0</v>
      </c>
      <c r="H19" s="218">
        <f t="shared" si="13"/>
        <v>185</v>
      </c>
      <c r="I19" s="218">
        <f t="shared" si="13"/>
        <v>1</v>
      </c>
      <c r="J19" s="218">
        <f t="shared" si="13"/>
        <v>63</v>
      </c>
      <c r="K19" s="218">
        <f t="shared" si="13"/>
        <v>72</v>
      </c>
      <c r="L19" s="218">
        <f t="shared" si="13"/>
        <v>777</v>
      </c>
      <c r="M19" s="218">
        <f t="shared" si="13"/>
        <v>0</v>
      </c>
      <c r="N19" s="218">
        <f t="shared" si="13"/>
        <v>100</v>
      </c>
      <c r="O19" s="218">
        <f>O15+O16+O17-O18</f>
        <v>0</v>
      </c>
      <c r="P19" s="218">
        <f>P15+P16+P17-P18</f>
        <v>404</v>
      </c>
      <c r="Q19" s="2260">
        <f t="shared" ref="Q19" si="14">Q15+Q16+Q17-Q18</f>
        <v>405</v>
      </c>
      <c r="R19" s="2261"/>
      <c r="S19" s="213">
        <f>S15+S16-S17-S18</f>
        <v>0</v>
      </c>
      <c r="T19" s="2256" t="s">
        <v>48</v>
      </c>
      <c r="U19" s="49" t="s">
        <v>58</v>
      </c>
      <c r="V19" s="2262">
        <v>1145000</v>
      </c>
      <c r="W19" s="2262"/>
      <c r="X19" s="2262"/>
      <c r="Y19" s="2269"/>
    </row>
    <row r="20" spans="1:25" ht="23.25" customHeight="1" x14ac:dyDescent="0.25">
      <c r="A20" s="210" t="s">
        <v>187</v>
      </c>
      <c r="B20" s="2284">
        <f>B19*0.9625</f>
        <v>737785.125</v>
      </c>
      <c r="C20" s="2285"/>
      <c r="D20" s="211">
        <f>D19*13.56</f>
        <v>0</v>
      </c>
      <c r="E20" s="211">
        <f>28.2*E19</f>
        <v>28764</v>
      </c>
      <c r="F20" s="211">
        <f>18.31*F19</f>
        <v>17943.8</v>
      </c>
      <c r="G20" s="211">
        <f>19.3*G19</f>
        <v>0</v>
      </c>
      <c r="H20" s="211">
        <f>241*H19</f>
        <v>44585</v>
      </c>
      <c r="I20" s="211">
        <f>223*I19</f>
        <v>223</v>
      </c>
      <c r="J20" s="211">
        <f>241*J19</f>
        <v>15183</v>
      </c>
      <c r="K20" s="211">
        <f>K19*100</f>
        <v>7200</v>
      </c>
      <c r="L20" s="211">
        <f>241*L19</f>
        <v>187257</v>
      </c>
      <c r="M20" s="211">
        <f>9.65*M19</f>
        <v>0</v>
      </c>
      <c r="N20" s="211">
        <f>N19*48.2</f>
        <v>4820</v>
      </c>
      <c r="O20" s="211">
        <f>241*O19</f>
        <v>0</v>
      </c>
      <c r="P20" s="211">
        <f>241*P19</f>
        <v>97364</v>
      </c>
      <c r="Q20" s="2284">
        <f>241*Q19</f>
        <v>97605</v>
      </c>
      <c r="R20" s="2285"/>
      <c r="S20" s="211">
        <f>241*S19</f>
        <v>0</v>
      </c>
      <c r="T20" s="2257"/>
      <c r="U20" s="49" t="s">
        <v>59</v>
      </c>
      <c r="V20" s="2262"/>
      <c r="W20" s="2262"/>
      <c r="X20" s="2262"/>
      <c r="Y20" s="2269"/>
    </row>
    <row r="21" spans="1:25" ht="32.25" customHeight="1" x14ac:dyDescent="0.25">
      <c r="A21" s="143" t="s">
        <v>186</v>
      </c>
      <c r="B21" s="2283">
        <f>SUM(B20:S20)</f>
        <v>1238729.925</v>
      </c>
      <c r="C21" s="2283"/>
      <c r="O21" s="222"/>
      <c r="P21" s="222"/>
      <c r="Q21" s="222"/>
      <c r="R21" s="222"/>
      <c r="T21" s="2273" t="s">
        <v>167</v>
      </c>
      <c r="U21" s="2274"/>
      <c r="V21" s="2260"/>
      <c r="W21" s="2268"/>
      <c r="X21" s="2261"/>
      <c r="Y21" s="2269"/>
    </row>
    <row r="22" spans="1:25" ht="35.25" customHeight="1" x14ac:dyDescent="0.25">
      <c r="A22" s="15"/>
      <c r="B22" s="2275" t="s">
        <v>49</v>
      </c>
      <c r="C22" s="2265">
        <v>2113709</v>
      </c>
      <c r="D22" s="2265">
        <v>1145000</v>
      </c>
      <c r="E22" s="2265">
        <v>350000</v>
      </c>
      <c r="F22" s="2265">
        <f>C22-D22+E22</f>
        <v>1318709</v>
      </c>
      <c r="G22" s="222"/>
      <c r="Q22" s="222"/>
      <c r="R22" s="222"/>
      <c r="T22" s="2251" t="s">
        <v>83</v>
      </c>
      <c r="U22" s="50" t="s">
        <v>60</v>
      </c>
      <c r="V22" s="2262">
        <v>1014430</v>
      </c>
      <c r="W22" s="2262"/>
      <c r="X22" s="2262"/>
      <c r="Y22" s="2269"/>
    </row>
    <row r="23" spans="1:25" ht="39.75" customHeight="1" x14ac:dyDescent="0.25">
      <c r="A23" s="222"/>
      <c r="B23" s="2276"/>
      <c r="C23" s="2266"/>
      <c r="D23" s="2266"/>
      <c r="E23" s="2266"/>
      <c r="F23" s="2266"/>
      <c r="G23" s="222"/>
      <c r="Q23" s="222"/>
      <c r="R23" s="222"/>
      <c r="T23" s="2252"/>
      <c r="U23" s="50" t="s">
        <v>61</v>
      </c>
      <c r="V23" s="2262">
        <v>1013000</v>
      </c>
      <c r="W23" s="2262"/>
      <c r="X23" s="2262"/>
      <c r="Y23" s="2269"/>
    </row>
    <row r="24" spans="1:25" ht="48" customHeight="1" x14ac:dyDescent="0.25">
      <c r="A24" s="222"/>
      <c r="B24" s="2277"/>
      <c r="C24" s="213" t="s">
        <v>46</v>
      </c>
      <c r="D24" s="213" t="s">
        <v>50</v>
      </c>
      <c r="E24" s="213" t="s">
        <v>51</v>
      </c>
      <c r="F24" s="213" t="s">
        <v>52</v>
      </c>
      <c r="G24" s="222"/>
      <c r="Q24" s="222"/>
      <c r="R24" s="222"/>
      <c r="T24" s="2235" t="s">
        <v>47</v>
      </c>
      <c r="U24" s="51" t="s">
        <v>62</v>
      </c>
      <c r="V24" s="2263">
        <f>V14+V16+V17-V18-V19-V20-V22+V23-V21</f>
        <v>200945.58000000007</v>
      </c>
      <c r="W24" s="2263"/>
      <c r="X24" s="2263"/>
      <c r="Y24" s="2269"/>
    </row>
    <row r="25" spans="1:25" ht="40.5" customHeight="1" x14ac:dyDescent="0.25">
      <c r="T25" s="2235"/>
      <c r="U25" s="51" t="s">
        <v>63</v>
      </c>
      <c r="V25" s="2262">
        <f>V15+V22-V23</f>
        <v>10662</v>
      </c>
      <c r="W25" s="2262"/>
      <c r="X25" s="2262"/>
    </row>
    <row r="26" spans="1:25" ht="36" customHeight="1" x14ac:dyDescent="0.25"/>
    <row r="32" spans="1:25" x14ac:dyDescent="0.25">
      <c r="I32" s="2280"/>
      <c r="J32" s="2280"/>
      <c r="K32" s="2280"/>
      <c r="L32" s="2280"/>
    </row>
    <row r="33" spans="9:12" x14ac:dyDescent="0.25">
      <c r="I33" s="222"/>
      <c r="J33" s="222"/>
      <c r="K33" s="2280"/>
      <c r="L33" s="2280"/>
    </row>
  </sheetData>
  <mergeCells count="62">
    <mergeCell ref="I32:J32"/>
    <mergeCell ref="K32:L32"/>
    <mergeCell ref="K33:L33"/>
    <mergeCell ref="T22:T23"/>
    <mergeCell ref="V22:X22"/>
    <mergeCell ref="V23:X23"/>
    <mergeCell ref="T24:T25"/>
    <mergeCell ref="V24:X24"/>
    <mergeCell ref="V25:X25"/>
    <mergeCell ref="Y18:Y24"/>
    <mergeCell ref="B19:C19"/>
    <mergeCell ref="Q19:R19"/>
    <mergeCell ref="T19:T20"/>
    <mergeCell ref="V19:X19"/>
    <mergeCell ref="B20:C20"/>
    <mergeCell ref="B22:B24"/>
    <mergeCell ref="C22:C23"/>
    <mergeCell ref="D22:D23"/>
    <mergeCell ref="E22:E23"/>
    <mergeCell ref="F22:F23"/>
    <mergeCell ref="Q20:R20"/>
    <mergeCell ref="V20:X20"/>
    <mergeCell ref="B21:C21"/>
    <mergeCell ref="T21:U21"/>
    <mergeCell ref="V21:X21"/>
    <mergeCell ref="B17:C17"/>
    <mergeCell ref="Q17:R17"/>
    <mergeCell ref="T17:U17"/>
    <mergeCell ref="V17:X17"/>
    <mergeCell ref="B18:C18"/>
    <mergeCell ref="Q18:R18"/>
    <mergeCell ref="T18:U18"/>
    <mergeCell ref="V18:X18"/>
    <mergeCell ref="W4:X4"/>
    <mergeCell ref="B16:C16"/>
    <mergeCell ref="Q16:R16"/>
    <mergeCell ref="T16:U16"/>
    <mergeCell ref="V16:X16"/>
    <mergeCell ref="A12:B12"/>
    <mergeCell ref="B14:C14"/>
    <mergeCell ref="Q14:R14"/>
    <mergeCell ref="T14:T15"/>
    <mergeCell ref="V14:X14"/>
    <mergeCell ref="B15:C15"/>
    <mergeCell ref="Q15:R15"/>
    <mergeCell ref="V15:X15"/>
    <mergeCell ref="A1:Y1"/>
    <mergeCell ref="A2:Y2"/>
    <mergeCell ref="T3:Y3"/>
    <mergeCell ref="A4:A5"/>
    <mergeCell ref="B4:B5"/>
    <mergeCell ref="C4:D4"/>
    <mergeCell ref="E4:F4"/>
    <mergeCell ref="G4:H4"/>
    <mergeCell ref="I4:J4"/>
    <mergeCell ref="K4:L4"/>
    <mergeCell ref="Y4:Y5"/>
    <mergeCell ref="M4:N4"/>
    <mergeCell ref="O4:P4"/>
    <mergeCell ref="Q4:R4"/>
    <mergeCell ref="S4:T4"/>
    <mergeCell ref="U4:V4"/>
  </mergeCells>
  <pageMargins left="0.15748031496063" right="0.15748031496063" top="0" bottom="0" header="0" footer="0"/>
  <pageSetup paperSize="9" scale="47" orientation="landscape" r:id="rId1"/>
  <legacyDrawing r:id="rId2"/>
</worksheet>
</file>

<file path=xl/worksheets/sheet9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5401936-6457-4A9C-AE8B-29A21AFC9973}">
  <sheetPr>
    <pageSetUpPr fitToPage="1"/>
  </sheetPr>
  <dimension ref="A1:Y33"/>
  <sheetViews>
    <sheetView topLeftCell="A7" zoomScale="71" zoomScaleNormal="71" zoomScaleSheetLayoutView="100" workbookViewId="0">
      <selection activeCell="Y18" sqref="Y18:Y24"/>
    </sheetView>
  </sheetViews>
  <sheetFormatPr defaultColWidth="9.140625" defaultRowHeight="15" x14ac:dyDescent="0.25"/>
  <cols>
    <col min="1" max="1" width="18.28515625" style="14" customWidth="1"/>
    <col min="2" max="2" width="10.7109375" style="14" customWidth="1"/>
    <col min="3" max="3" width="12.28515625" style="14" customWidth="1"/>
    <col min="4" max="4" width="11" style="14" customWidth="1"/>
    <col min="5" max="5" width="12" style="14" customWidth="1"/>
    <col min="6" max="6" width="12.5703125" style="14" bestFit="1" customWidth="1"/>
    <col min="7" max="7" width="9.28515625" style="14" bestFit="1" customWidth="1"/>
    <col min="8" max="8" width="10.140625" style="14" bestFit="1" customWidth="1"/>
    <col min="9" max="9" width="10.5703125" style="14" bestFit="1" customWidth="1"/>
    <col min="10" max="10" width="10.5703125" style="14" customWidth="1"/>
    <col min="11" max="11" width="10.28515625" style="14" bestFit="1" customWidth="1"/>
    <col min="12" max="12" width="10.42578125" style="14" bestFit="1" customWidth="1"/>
    <col min="13" max="13" width="9.85546875" style="14" bestFit="1" customWidth="1"/>
    <col min="14" max="14" width="10.140625" style="14" bestFit="1" customWidth="1"/>
    <col min="15" max="15" width="9" style="14" customWidth="1"/>
    <col min="16" max="16" width="12.85546875" style="14" bestFit="1" customWidth="1"/>
    <col min="17" max="18" width="9.42578125" style="14" customWidth="1"/>
    <col min="19" max="19" width="13.7109375" style="14" customWidth="1"/>
    <col min="20" max="20" width="12.140625" style="14" customWidth="1"/>
    <col min="21" max="21" width="19.5703125" style="14" bestFit="1" customWidth="1"/>
    <col min="22" max="22" width="9.85546875" style="14" customWidth="1"/>
    <col min="23" max="23" width="10.140625" style="14" bestFit="1" customWidth="1"/>
    <col min="24" max="24" width="10.28515625" style="14" customWidth="1"/>
    <col min="25" max="25" width="28" style="14" customWidth="1"/>
    <col min="26" max="16384" width="9.140625" style="14"/>
  </cols>
  <sheetData>
    <row r="1" spans="1:25" ht="46.15" customHeight="1" x14ac:dyDescent="0.25">
      <c r="A1" s="2240" t="s">
        <v>148</v>
      </c>
      <c r="B1" s="2240"/>
      <c r="C1" s="2240"/>
      <c r="D1" s="2240"/>
      <c r="E1" s="2240"/>
      <c r="F1" s="2240"/>
      <c r="G1" s="2240"/>
      <c r="H1" s="2240"/>
      <c r="I1" s="2240"/>
      <c r="J1" s="2240"/>
      <c r="K1" s="2240"/>
      <c r="L1" s="2240"/>
      <c r="M1" s="2240"/>
      <c r="N1" s="2240"/>
      <c r="O1" s="2240"/>
      <c r="P1" s="2240"/>
      <c r="Q1" s="2240"/>
      <c r="R1" s="2240"/>
      <c r="S1" s="2240"/>
      <c r="T1" s="2240"/>
      <c r="U1" s="2240"/>
      <c r="V1" s="2240"/>
      <c r="W1" s="2240"/>
      <c r="X1" s="2240"/>
      <c r="Y1" s="2240"/>
    </row>
    <row r="2" spans="1:25" ht="21.6" customHeight="1" x14ac:dyDescent="0.25">
      <c r="A2" s="2241" t="s">
        <v>77</v>
      </c>
      <c r="B2" s="2241"/>
      <c r="C2" s="2241"/>
      <c r="D2" s="2241"/>
      <c r="E2" s="2241"/>
      <c r="F2" s="2241"/>
      <c r="G2" s="2241"/>
      <c r="H2" s="2241"/>
      <c r="I2" s="2241"/>
      <c r="J2" s="2241"/>
      <c r="K2" s="2241"/>
      <c r="L2" s="2241"/>
      <c r="M2" s="2241"/>
      <c r="N2" s="2241"/>
      <c r="O2" s="2241"/>
      <c r="P2" s="2241"/>
      <c r="Q2" s="2241"/>
      <c r="R2" s="2241"/>
      <c r="S2" s="2241"/>
      <c r="T2" s="2241"/>
      <c r="U2" s="2241"/>
      <c r="V2" s="2241"/>
      <c r="W2" s="2241"/>
      <c r="X2" s="2241"/>
      <c r="Y2" s="2241"/>
    </row>
    <row r="3" spans="1:25" ht="21" customHeight="1" x14ac:dyDescent="0.25">
      <c r="A3" s="223"/>
      <c r="B3" s="223"/>
      <c r="C3" s="223"/>
      <c r="D3" s="223"/>
      <c r="E3" s="223"/>
      <c r="F3" s="223"/>
      <c r="G3" s="223"/>
      <c r="H3" s="223"/>
      <c r="I3" s="223"/>
      <c r="J3" s="223"/>
      <c r="K3" s="223"/>
      <c r="L3" s="223"/>
      <c r="M3" s="223"/>
      <c r="N3" s="223"/>
      <c r="O3" s="223"/>
      <c r="P3" s="223"/>
      <c r="Q3" s="223"/>
      <c r="R3" s="223"/>
      <c r="S3" s="223"/>
      <c r="T3" s="2242" t="s">
        <v>270</v>
      </c>
      <c r="U3" s="2242"/>
      <c r="V3" s="2242"/>
      <c r="W3" s="2242"/>
      <c r="X3" s="2242"/>
      <c r="Y3" s="2242"/>
    </row>
    <row r="4" spans="1:25" s="223" customFormat="1" ht="18" customHeight="1" x14ac:dyDescent="0.25">
      <c r="A4" s="2243" t="s">
        <v>25</v>
      </c>
      <c r="B4" s="2243" t="s">
        <v>26</v>
      </c>
      <c r="C4" s="2244" t="s">
        <v>27</v>
      </c>
      <c r="D4" s="2244"/>
      <c r="E4" s="2244" t="s">
        <v>28</v>
      </c>
      <c r="F4" s="2244"/>
      <c r="G4" s="2244" t="s">
        <v>65</v>
      </c>
      <c r="H4" s="2244"/>
      <c r="I4" s="2244" t="s">
        <v>29</v>
      </c>
      <c r="J4" s="2244"/>
      <c r="K4" s="2245" t="s">
        <v>13</v>
      </c>
      <c r="L4" s="2246"/>
      <c r="M4" s="2245" t="s">
        <v>67</v>
      </c>
      <c r="N4" s="2246"/>
      <c r="O4" s="2245" t="s">
        <v>68</v>
      </c>
      <c r="P4" s="2246"/>
      <c r="Q4" s="2245" t="s">
        <v>114</v>
      </c>
      <c r="R4" s="2246"/>
      <c r="S4" s="2244" t="s">
        <v>35</v>
      </c>
      <c r="T4" s="2244"/>
      <c r="U4" s="2245" t="s">
        <v>17</v>
      </c>
      <c r="V4" s="2246"/>
      <c r="W4" s="2247" t="s">
        <v>36</v>
      </c>
      <c r="X4" s="2248"/>
      <c r="Y4" s="2238" t="s">
        <v>30</v>
      </c>
    </row>
    <row r="5" spans="1:25" s="223" customFormat="1" ht="25.5" customHeight="1" x14ac:dyDescent="0.25">
      <c r="A5" s="2243"/>
      <c r="B5" s="2243"/>
      <c r="C5" s="225" t="s">
        <v>42</v>
      </c>
      <c r="D5" s="225" t="s">
        <v>43</v>
      </c>
      <c r="E5" s="225" t="s">
        <v>42</v>
      </c>
      <c r="F5" s="225" t="s">
        <v>43</v>
      </c>
      <c r="G5" s="225" t="s">
        <v>42</v>
      </c>
      <c r="H5" s="225" t="s">
        <v>43</v>
      </c>
      <c r="I5" s="225" t="s">
        <v>42</v>
      </c>
      <c r="J5" s="225" t="s">
        <v>43</v>
      </c>
      <c r="K5" s="225" t="s">
        <v>42</v>
      </c>
      <c r="L5" s="225" t="s">
        <v>43</v>
      </c>
      <c r="M5" s="225" t="s">
        <v>42</v>
      </c>
      <c r="N5" s="225" t="s">
        <v>43</v>
      </c>
      <c r="O5" s="225" t="s">
        <v>42</v>
      </c>
      <c r="P5" s="225" t="s">
        <v>43</v>
      </c>
      <c r="Q5" s="225" t="s">
        <v>42</v>
      </c>
      <c r="R5" s="225" t="s">
        <v>43</v>
      </c>
      <c r="S5" s="33" t="s">
        <v>42</v>
      </c>
      <c r="T5" s="33" t="s">
        <v>43</v>
      </c>
      <c r="U5" s="30" t="s">
        <v>42</v>
      </c>
      <c r="V5" s="30" t="s">
        <v>43</v>
      </c>
      <c r="W5" s="30" t="s">
        <v>42</v>
      </c>
      <c r="X5" s="30" t="s">
        <v>43</v>
      </c>
      <c r="Y5" s="2239"/>
    </row>
    <row r="6" spans="1:25" ht="34.5" customHeight="1" x14ac:dyDescent="0.25">
      <c r="A6" s="12">
        <v>1409935200</v>
      </c>
      <c r="B6" s="224" t="s">
        <v>71</v>
      </c>
      <c r="C6" s="227">
        <v>159869</v>
      </c>
      <c r="D6" s="228">
        <f>0.9725*C6</f>
        <v>155472.60250000001</v>
      </c>
      <c r="E6" s="227"/>
      <c r="F6" s="227">
        <f>13.7*E6</f>
        <v>0</v>
      </c>
      <c r="G6" s="227"/>
      <c r="H6" s="227">
        <f>28.2*G6</f>
        <v>0</v>
      </c>
      <c r="I6" s="227"/>
      <c r="J6" s="227">
        <f>18.5*I6</f>
        <v>0</v>
      </c>
      <c r="K6" s="227"/>
      <c r="L6" s="227">
        <f>19.5*K6</f>
        <v>0</v>
      </c>
      <c r="M6" s="227"/>
      <c r="N6" s="228">
        <f>M6*9.75</f>
        <v>0</v>
      </c>
      <c r="O6" s="227"/>
      <c r="P6" s="228">
        <f>O6*48.62</f>
        <v>0</v>
      </c>
      <c r="Q6" s="228"/>
      <c r="R6" s="228">
        <f>241*Q6</f>
        <v>0</v>
      </c>
      <c r="S6" s="227"/>
      <c r="T6" s="227">
        <f>241*S6</f>
        <v>0</v>
      </c>
      <c r="U6" s="227"/>
      <c r="V6" s="227">
        <f>232*U6</f>
        <v>0</v>
      </c>
      <c r="W6" s="227"/>
      <c r="X6" s="19">
        <f>W6*100</f>
        <v>0</v>
      </c>
      <c r="Y6" s="89">
        <f t="shared" ref="Y6:Y11" si="0">D6+F6+H6+J6+L6+N6+P6+R6+T6+V6+X6</f>
        <v>155472.60250000001</v>
      </c>
    </row>
    <row r="7" spans="1:25" ht="31.5" customHeight="1" x14ac:dyDescent="0.25">
      <c r="A7" s="12">
        <v>1984225578</v>
      </c>
      <c r="B7" s="224" t="s">
        <v>72</v>
      </c>
      <c r="C7" s="227">
        <v>312781</v>
      </c>
      <c r="D7" s="228">
        <f t="shared" ref="D7:D11" si="1">0.9725*C7</f>
        <v>304179.52250000002</v>
      </c>
      <c r="E7" s="227"/>
      <c r="F7" s="227">
        <f t="shared" ref="F7:F11" si="2">13.7*E7</f>
        <v>0</v>
      </c>
      <c r="G7" s="227">
        <v>30</v>
      </c>
      <c r="H7" s="227">
        <f t="shared" ref="H7:H11" si="3">28.2*G7</f>
        <v>846</v>
      </c>
      <c r="I7" s="227">
        <v>90</v>
      </c>
      <c r="J7" s="227">
        <f t="shared" ref="J7:J11" si="4">18.5*I7</f>
        <v>1665</v>
      </c>
      <c r="K7" s="227"/>
      <c r="L7" s="227">
        <f t="shared" ref="L7:L11" si="5">19.5*K7</f>
        <v>0</v>
      </c>
      <c r="M7" s="227"/>
      <c r="N7" s="228">
        <f t="shared" ref="N7:N11" si="6">M7*9.75</f>
        <v>0</v>
      </c>
      <c r="O7" s="227"/>
      <c r="P7" s="228">
        <f t="shared" ref="P7:P11" si="7">O7*48.62</f>
        <v>0</v>
      </c>
      <c r="Q7" s="228"/>
      <c r="R7" s="228">
        <f t="shared" ref="R7:R11" si="8">241*Q7</f>
        <v>0</v>
      </c>
      <c r="S7" s="227">
        <v>10</v>
      </c>
      <c r="T7" s="227">
        <f t="shared" ref="T7:T11" si="9">241*S7</f>
        <v>2410</v>
      </c>
      <c r="U7" s="227"/>
      <c r="V7" s="227">
        <f t="shared" ref="V7:V11" si="10">232*U7</f>
        <v>0</v>
      </c>
      <c r="W7" s="227"/>
      <c r="X7" s="19">
        <f t="shared" ref="X7:X11" si="11">W7*100</f>
        <v>0</v>
      </c>
      <c r="Y7" s="89">
        <f t="shared" si="0"/>
        <v>309100.52250000002</v>
      </c>
    </row>
    <row r="8" spans="1:25" ht="35.25" customHeight="1" x14ac:dyDescent="0.25">
      <c r="A8" s="12">
        <v>1967020280</v>
      </c>
      <c r="B8" s="224" t="s">
        <v>73</v>
      </c>
      <c r="C8" s="227">
        <v>155863</v>
      </c>
      <c r="D8" s="228">
        <f t="shared" si="1"/>
        <v>151576.76750000002</v>
      </c>
      <c r="E8" s="227"/>
      <c r="F8" s="227">
        <f t="shared" si="2"/>
        <v>0</v>
      </c>
      <c r="G8" s="227">
        <v>80</v>
      </c>
      <c r="H8" s="227">
        <f t="shared" si="3"/>
        <v>2256</v>
      </c>
      <c r="I8" s="227">
        <v>190</v>
      </c>
      <c r="J8" s="227">
        <f t="shared" si="4"/>
        <v>3515</v>
      </c>
      <c r="K8" s="227"/>
      <c r="L8" s="227">
        <f t="shared" si="5"/>
        <v>0</v>
      </c>
      <c r="M8" s="227"/>
      <c r="N8" s="228">
        <f t="shared" si="6"/>
        <v>0</v>
      </c>
      <c r="O8" s="227"/>
      <c r="P8" s="228">
        <f t="shared" si="7"/>
        <v>0</v>
      </c>
      <c r="Q8" s="228"/>
      <c r="R8" s="228">
        <f t="shared" si="8"/>
        <v>0</v>
      </c>
      <c r="S8" s="227"/>
      <c r="T8" s="227">
        <f t="shared" si="9"/>
        <v>0</v>
      </c>
      <c r="U8" s="227"/>
      <c r="V8" s="227">
        <f t="shared" si="10"/>
        <v>0</v>
      </c>
      <c r="W8" s="227"/>
      <c r="X8" s="19">
        <f t="shared" si="11"/>
        <v>0</v>
      </c>
      <c r="Y8" s="89">
        <f t="shared" si="0"/>
        <v>157347.76750000002</v>
      </c>
    </row>
    <row r="9" spans="1:25" ht="38.25" customHeight="1" x14ac:dyDescent="0.25">
      <c r="A9" s="12">
        <v>1409935199</v>
      </c>
      <c r="B9" s="224" t="s">
        <v>75</v>
      </c>
      <c r="C9" s="227">
        <v>161635</v>
      </c>
      <c r="D9" s="228">
        <f t="shared" si="1"/>
        <v>157190.03750000001</v>
      </c>
      <c r="E9" s="227"/>
      <c r="F9" s="227">
        <f t="shared" si="2"/>
        <v>0</v>
      </c>
      <c r="G9" s="227">
        <v>100</v>
      </c>
      <c r="H9" s="227">
        <f t="shared" si="3"/>
        <v>2820</v>
      </c>
      <c r="I9" s="227">
        <v>700</v>
      </c>
      <c r="J9" s="227">
        <f t="shared" si="4"/>
        <v>12950</v>
      </c>
      <c r="K9" s="227"/>
      <c r="L9" s="227">
        <f t="shared" si="5"/>
        <v>0</v>
      </c>
      <c r="M9" s="227"/>
      <c r="N9" s="228">
        <f t="shared" si="6"/>
        <v>0</v>
      </c>
      <c r="O9" s="227"/>
      <c r="P9" s="228">
        <f t="shared" si="7"/>
        <v>0</v>
      </c>
      <c r="Q9" s="228"/>
      <c r="R9" s="228">
        <f t="shared" si="8"/>
        <v>0</v>
      </c>
      <c r="S9" s="227"/>
      <c r="T9" s="227">
        <f t="shared" si="9"/>
        <v>0</v>
      </c>
      <c r="U9" s="227">
        <v>1</v>
      </c>
      <c r="V9" s="227">
        <f t="shared" si="10"/>
        <v>232</v>
      </c>
      <c r="W9" s="227">
        <v>1</v>
      </c>
      <c r="X9" s="19">
        <f t="shared" si="11"/>
        <v>100</v>
      </c>
      <c r="Y9" s="89">
        <f t="shared" si="0"/>
        <v>173292.03750000001</v>
      </c>
    </row>
    <row r="10" spans="1:25" ht="35.25" customHeight="1" x14ac:dyDescent="0.25">
      <c r="A10" s="12">
        <v>1984225580</v>
      </c>
      <c r="C10" s="227"/>
      <c r="D10" s="228">
        <f t="shared" si="1"/>
        <v>0</v>
      </c>
      <c r="E10" s="227"/>
      <c r="F10" s="227">
        <f t="shared" si="2"/>
        <v>0</v>
      </c>
      <c r="G10" s="227">
        <v>500</v>
      </c>
      <c r="H10" s="227">
        <f t="shared" si="3"/>
        <v>14100</v>
      </c>
      <c r="I10" s="227"/>
      <c r="J10" s="227">
        <f t="shared" si="4"/>
        <v>0</v>
      </c>
      <c r="K10" s="227"/>
      <c r="L10" s="227">
        <f t="shared" si="5"/>
        <v>0</v>
      </c>
      <c r="M10" s="227"/>
      <c r="N10" s="228">
        <f t="shared" si="6"/>
        <v>0</v>
      </c>
      <c r="O10" s="227"/>
      <c r="P10" s="228">
        <f t="shared" si="7"/>
        <v>0</v>
      </c>
      <c r="Q10" s="228"/>
      <c r="R10" s="228">
        <f t="shared" si="8"/>
        <v>0</v>
      </c>
      <c r="S10" s="227"/>
      <c r="T10" s="227">
        <f t="shared" si="9"/>
        <v>0</v>
      </c>
      <c r="U10" s="227"/>
      <c r="V10" s="227">
        <f t="shared" si="10"/>
        <v>0</v>
      </c>
      <c r="W10" s="227"/>
      <c r="X10" s="19">
        <f t="shared" si="11"/>
        <v>0</v>
      </c>
      <c r="Y10" s="89">
        <f t="shared" si="0"/>
        <v>14100</v>
      </c>
    </row>
    <row r="11" spans="1:25" ht="37.5" customHeight="1" x14ac:dyDescent="0.25">
      <c r="A11" s="12"/>
      <c r="B11" s="226"/>
      <c r="C11" s="227"/>
      <c r="D11" s="22">
        <f t="shared" si="1"/>
        <v>0</v>
      </c>
      <c r="E11" s="227"/>
      <c r="F11" s="227">
        <f t="shared" si="2"/>
        <v>0</v>
      </c>
      <c r="G11" s="227"/>
      <c r="H11" s="227">
        <f t="shared" si="3"/>
        <v>0</v>
      </c>
      <c r="I11" s="227"/>
      <c r="J11" s="227">
        <f t="shared" si="4"/>
        <v>0</v>
      </c>
      <c r="K11" s="227"/>
      <c r="L11" s="227">
        <f t="shared" si="5"/>
        <v>0</v>
      </c>
      <c r="M11" s="227"/>
      <c r="N11" s="228">
        <f t="shared" si="6"/>
        <v>0</v>
      </c>
      <c r="O11" s="227"/>
      <c r="P11" s="228">
        <f t="shared" si="7"/>
        <v>0</v>
      </c>
      <c r="Q11" s="228"/>
      <c r="R11" s="228">
        <f t="shared" si="8"/>
        <v>0</v>
      </c>
      <c r="S11" s="227"/>
      <c r="T11" s="227">
        <f t="shared" si="9"/>
        <v>0</v>
      </c>
      <c r="U11" s="227"/>
      <c r="V11" s="227">
        <f t="shared" si="10"/>
        <v>0</v>
      </c>
      <c r="W11" s="227"/>
      <c r="X11" s="19">
        <f t="shared" si="11"/>
        <v>0</v>
      </c>
      <c r="Y11" s="20">
        <f t="shared" si="0"/>
        <v>0</v>
      </c>
    </row>
    <row r="12" spans="1:25" ht="29.25" customHeight="1" x14ac:dyDescent="0.25">
      <c r="A12" s="2235" t="s">
        <v>31</v>
      </c>
      <c r="B12" s="2235"/>
      <c r="C12" s="18">
        <f t="shared" ref="C12:Y12" si="12">SUM(C6:C11)</f>
        <v>790148</v>
      </c>
      <c r="D12" s="18">
        <f t="shared" si="12"/>
        <v>768418.93</v>
      </c>
      <c r="E12" s="18">
        <f t="shared" si="12"/>
        <v>0</v>
      </c>
      <c r="F12" s="18">
        <f t="shared" si="12"/>
        <v>0</v>
      </c>
      <c r="G12" s="18">
        <f t="shared" si="12"/>
        <v>710</v>
      </c>
      <c r="H12" s="18">
        <f t="shared" si="12"/>
        <v>20022</v>
      </c>
      <c r="I12" s="18">
        <f t="shared" si="12"/>
        <v>980</v>
      </c>
      <c r="J12" s="18">
        <f t="shared" si="12"/>
        <v>18130</v>
      </c>
      <c r="K12" s="18">
        <f t="shared" si="12"/>
        <v>0</v>
      </c>
      <c r="L12" s="18">
        <f t="shared" si="12"/>
        <v>0</v>
      </c>
      <c r="M12" s="18">
        <f t="shared" si="12"/>
        <v>0</v>
      </c>
      <c r="N12" s="23">
        <f t="shared" si="12"/>
        <v>0</v>
      </c>
      <c r="O12" s="18">
        <f t="shared" si="12"/>
        <v>0</v>
      </c>
      <c r="P12" s="23">
        <f t="shared" si="12"/>
        <v>0</v>
      </c>
      <c r="Q12" s="23">
        <f t="shared" si="12"/>
        <v>0</v>
      </c>
      <c r="R12" s="23">
        <f>SUM(R6:R11)</f>
        <v>0</v>
      </c>
      <c r="S12" s="18">
        <f t="shared" si="12"/>
        <v>10</v>
      </c>
      <c r="T12" s="18">
        <f t="shared" si="12"/>
        <v>2410</v>
      </c>
      <c r="U12" s="18">
        <f t="shared" si="12"/>
        <v>1</v>
      </c>
      <c r="V12" s="18">
        <f t="shared" si="12"/>
        <v>232</v>
      </c>
      <c r="W12" s="18">
        <f t="shared" si="12"/>
        <v>1</v>
      </c>
      <c r="X12" s="18">
        <f t="shared" si="12"/>
        <v>100</v>
      </c>
      <c r="Y12" s="18">
        <f t="shared" si="12"/>
        <v>809312.93</v>
      </c>
    </row>
    <row r="14" spans="1:25" ht="41.25" customHeight="1" x14ac:dyDescent="0.25">
      <c r="A14" s="30" t="s">
        <v>32</v>
      </c>
      <c r="B14" s="2236" t="s">
        <v>27</v>
      </c>
      <c r="C14" s="2236"/>
      <c r="D14" s="30" t="s">
        <v>33</v>
      </c>
      <c r="E14" s="30" t="s">
        <v>65</v>
      </c>
      <c r="F14" s="30" t="s">
        <v>34</v>
      </c>
      <c r="G14" s="30" t="s">
        <v>13</v>
      </c>
      <c r="H14" s="142" t="s">
        <v>173</v>
      </c>
      <c r="I14" s="30" t="s">
        <v>17</v>
      </c>
      <c r="J14" s="232" t="s">
        <v>174</v>
      </c>
      <c r="K14" s="30" t="s">
        <v>36</v>
      </c>
      <c r="L14" s="30" t="s">
        <v>175</v>
      </c>
      <c r="M14" s="30" t="s">
        <v>69</v>
      </c>
      <c r="N14" s="30" t="s">
        <v>70</v>
      </c>
      <c r="O14" s="232" t="s">
        <v>114</v>
      </c>
      <c r="P14" s="232" t="s">
        <v>99</v>
      </c>
      <c r="Q14" s="2272" t="s">
        <v>256</v>
      </c>
      <c r="R14" s="2272"/>
      <c r="S14" s="232"/>
      <c r="T14" s="2235" t="s">
        <v>46</v>
      </c>
      <c r="U14" s="224" t="s">
        <v>176</v>
      </c>
      <c r="V14" s="2260">
        <v>200946</v>
      </c>
      <c r="W14" s="2268"/>
      <c r="X14" s="2261"/>
    </row>
    <row r="15" spans="1:25" ht="22.5" customHeight="1" x14ac:dyDescent="0.25">
      <c r="A15" s="100" t="s">
        <v>38</v>
      </c>
      <c r="B15" s="2260">
        <v>766530</v>
      </c>
      <c r="C15" s="2261"/>
      <c r="D15" s="229">
        <v>0</v>
      </c>
      <c r="E15" s="229">
        <v>1020</v>
      </c>
      <c r="F15" s="229">
        <v>980</v>
      </c>
      <c r="G15" s="229">
        <v>0</v>
      </c>
      <c r="H15" s="229">
        <v>185</v>
      </c>
      <c r="I15" s="229">
        <v>1</v>
      </c>
      <c r="J15" s="229">
        <v>63</v>
      </c>
      <c r="K15" s="229">
        <v>72</v>
      </c>
      <c r="L15" s="229">
        <v>777</v>
      </c>
      <c r="M15" s="229">
        <v>0</v>
      </c>
      <c r="N15" s="229">
        <v>100</v>
      </c>
      <c r="O15" s="229">
        <v>0</v>
      </c>
      <c r="P15" s="229">
        <v>404</v>
      </c>
      <c r="Q15" s="2262">
        <v>405</v>
      </c>
      <c r="R15" s="2262"/>
      <c r="S15" s="224">
        <v>0</v>
      </c>
      <c r="T15" s="2235"/>
      <c r="U15" s="224" t="s">
        <v>64</v>
      </c>
      <c r="V15" s="2262">
        <v>10662</v>
      </c>
      <c r="W15" s="2262"/>
      <c r="X15" s="2262"/>
    </row>
    <row r="16" spans="1:25" ht="24.75" customHeight="1" x14ac:dyDescent="0.25">
      <c r="A16" s="100" t="s">
        <v>39</v>
      </c>
      <c r="B16" s="2260">
        <v>155844</v>
      </c>
      <c r="C16" s="2261"/>
      <c r="D16" s="229"/>
      <c r="E16" s="229"/>
      <c r="F16" s="229"/>
      <c r="G16" s="229"/>
      <c r="H16" s="229"/>
      <c r="I16" s="229"/>
      <c r="J16" s="229"/>
      <c r="K16" s="229"/>
      <c r="L16" s="229"/>
      <c r="M16" s="229"/>
      <c r="N16" s="229"/>
      <c r="O16" s="229"/>
      <c r="P16" s="229"/>
      <c r="Q16" s="2225"/>
      <c r="R16" s="2225"/>
      <c r="S16" s="229"/>
      <c r="T16" s="2254" t="s">
        <v>55</v>
      </c>
      <c r="U16" s="2254"/>
      <c r="V16" s="2267">
        <f>Y12</f>
        <v>809312.93</v>
      </c>
      <c r="W16" s="2267"/>
      <c r="X16" s="2262"/>
    </row>
    <row r="17" spans="1:25" ht="28.5" customHeight="1" x14ac:dyDescent="0.25">
      <c r="A17" s="101" t="s">
        <v>44</v>
      </c>
      <c r="B17" s="2260">
        <v>162231</v>
      </c>
      <c r="C17" s="2261"/>
      <c r="D17" s="229"/>
      <c r="E17" s="229"/>
      <c r="F17" s="229"/>
      <c r="G17" s="229"/>
      <c r="H17" s="229"/>
      <c r="I17" s="229"/>
      <c r="J17" s="229"/>
      <c r="K17" s="229"/>
      <c r="L17" s="229"/>
      <c r="M17" s="229"/>
      <c r="N17" s="229"/>
      <c r="O17" s="229"/>
      <c r="P17" s="229"/>
      <c r="Q17" s="2225"/>
      <c r="R17" s="2225"/>
      <c r="S17" s="226"/>
      <c r="T17" s="2273" t="s">
        <v>267</v>
      </c>
      <c r="U17" s="2274"/>
      <c r="V17" s="2262"/>
      <c r="W17" s="2262"/>
      <c r="X17" s="2262"/>
    </row>
    <row r="18" spans="1:25" ht="27" customHeight="1" x14ac:dyDescent="0.25">
      <c r="A18" s="100" t="s">
        <v>40</v>
      </c>
      <c r="B18" s="2264">
        <f>C12</f>
        <v>790148</v>
      </c>
      <c r="C18" s="2261"/>
      <c r="D18" s="230">
        <f>E12</f>
        <v>0</v>
      </c>
      <c r="E18" s="230">
        <f>G12</f>
        <v>710</v>
      </c>
      <c r="F18" s="230">
        <f>I12</f>
        <v>980</v>
      </c>
      <c r="G18" s="230">
        <f>K12</f>
        <v>0</v>
      </c>
      <c r="H18" s="229">
        <v>10</v>
      </c>
      <c r="I18" s="230">
        <f>U12</f>
        <v>1</v>
      </c>
      <c r="J18" s="229"/>
      <c r="K18" s="230">
        <f>W12</f>
        <v>1</v>
      </c>
      <c r="L18" s="229"/>
      <c r="M18" s="230">
        <f>M12</f>
        <v>0</v>
      </c>
      <c r="N18" s="230">
        <f>O12</f>
        <v>0</v>
      </c>
      <c r="O18" s="231">
        <f>Q12</f>
        <v>0</v>
      </c>
      <c r="P18" s="229"/>
      <c r="Q18" s="2262"/>
      <c r="R18" s="2262"/>
      <c r="S18" s="224"/>
      <c r="T18" s="2254" t="s">
        <v>57</v>
      </c>
      <c r="U18" s="2254"/>
      <c r="V18" s="2262">
        <f>920+6103</f>
        <v>7023</v>
      </c>
      <c r="W18" s="2262"/>
      <c r="X18" s="2262"/>
      <c r="Y18" s="2269" t="s">
        <v>272</v>
      </c>
    </row>
    <row r="19" spans="1:25" ht="25.5" customHeight="1" x14ac:dyDescent="0.25">
      <c r="A19" s="100" t="s">
        <v>41</v>
      </c>
      <c r="B19" s="2260">
        <f>B15+B16+B17-B18</f>
        <v>294457</v>
      </c>
      <c r="C19" s="2261"/>
      <c r="D19" s="229">
        <f>D15+D16+D17-D18</f>
        <v>0</v>
      </c>
      <c r="E19" s="229">
        <f t="shared" ref="E19:N19" si="13">E15+E16+E17-E18</f>
        <v>310</v>
      </c>
      <c r="F19" s="229">
        <f t="shared" si="13"/>
        <v>0</v>
      </c>
      <c r="G19" s="229">
        <f t="shared" si="13"/>
        <v>0</v>
      </c>
      <c r="H19" s="229">
        <f t="shared" si="13"/>
        <v>175</v>
      </c>
      <c r="I19" s="229">
        <f t="shared" si="13"/>
        <v>0</v>
      </c>
      <c r="J19" s="229">
        <f t="shared" si="13"/>
        <v>63</v>
      </c>
      <c r="K19" s="229">
        <f t="shared" si="13"/>
        <v>71</v>
      </c>
      <c r="L19" s="229">
        <f t="shared" si="13"/>
        <v>777</v>
      </c>
      <c r="M19" s="229">
        <f t="shared" si="13"/>
        <v>0</v>
      </c>
      <c r="N19" s="229">
        <f t="shared" si="13"/>
        <v>100</v>
      </c>
      <c r="O19" s="229">
        <f>O15+O16+O17-O18</f>
        <v>0</v>
      </c>
      <c r="P19" s="229">
        <f>P15+P16+P17-P18</f>
        <v>404</v>
      </c>
      <c r="Q19" s="2260">
        <f t="shared" ref="Q19" si="14">Q15+Q16+Q17-Q18</f>
        <v>405</v>
      </c>
      <c r="R19" s="2261"/>
      <c r="S19" s="224">
        <f>S15+S16-S17-S18</f>
        <v>0</v>
      </c>
      <c r="T19" s="2256" t="s">
        <v>48</v>
      </c>
      <c r="U19" s="49" t="s">
        <v>58</v>
      </c>
      <c r="V19" s="2262">
        <v>563000</v>
      </c>
      <c r="W19" s="2262"/>
      <c r="X19" s="2262"/>
      <c r="Y19" s="2269"/>
    </row>
    <row r="20" spans="1:25" ht="23.25" customHeight="1" x14ac:dyDescent="0.25">
      <c r="A20" s="210" t="s">
        <v>187</v>
      </c>
      <c r="B20" s="2284">
        <f>B19*0.9625</f>
        <v>283414.86249999999</v>
      </c>
      <c r="C20" s="2285"/>
      <c r="D20" s="211">
        <f>D19*13.56</f>
        <v>0</v>
      </c>
      <c r="E20" s="211">
        <f>28.2*E19</f>
        <v>8742</v>
      </c>
      <c r="F20" s="211">
        <f>18.31*F19</f>
        <v>0</v>
      </c>
      <c r="G20" s="211">
        <f>19.3*G19</f>
        <v>0</v>
      </c>
      <c r="H20" s="211">
        <f>241*H19</f>
        <v>42175</v>
      </c>
      <c r="I20" s="211">
        <f>223*I19</f>
        <v>0</v>
      </c>
      <c r="J20" s="211">
        <f>241*J19</f>
        <v>15183</v>
      </c>
      <c r="K20" s="211">
        <f>K19*100</f>
        <v>7100</v>
      </c>
      <c r="L20" s="211">
        <f>241*L19</f>
        <v>187257</v>
      </c>
      <c r="M20" s="211">
        <f>9.65*M19</f>
        <v>0</v>
      </c>
      <c r="N20" s="211">
        <f>N19*48.2</f>
        <v>4820</v>
      </c>
      <c r="O20" s="211">
        <f>241*O19</f>
        <v>0</v>
      </c>
      <c r="P20" s="211">
        <f>241*P19</f>
        <v>97364</v>
      </c>
      <c r="Q20" s="2284">
        <f>241*Q19</f>
        <v>97605</v>
      </c>
      <c r="R20" s="2285"/>
      <c r="S20" s="211">
        <f>241*S19</f>
        <v>0</v>
      </c>
      <c r="T20" s="2257"/>
      <c r="U20" s="49" t="s">
        <v>59</v>
      </c>
      <c r="V20" s="2262"/>
      <c r="W20" s="2262"/>
      <c r="X20" s="2262"/>
      <c r="Y20" s="2269"/>
    </row>
    <row r="21" spans="1:25" ht="32.25" customHeight="1" x14ac:dyDescent="0.25">
      <c r="A21" s="143" t="s">
        <v>186</v>
      </c>
      <c r="B21" s="2283">
        <f>SUM(B20:S20)</f>
        <v>743660.86250000005</v>
      </c>
      <c r="C21" s="2283"/>
      <c r="O21" s="233"/>
      <c r="P21" s="233"/>
      <c r="Q21" s="233"/>
      <c r="R21" s="233"/>
      <c r="T21" s="2273" t="s">
        <v>167</v>
      </c>
      <c r="U21" s="2274"/>
      <c r="V21" s="2260"/>
      <c r="W21" s="2268"/>
      <c r="X21" s="2261"/>
      <c r="Y21" s="2269"/>
    </row>
    <row r="22" spans="1:25" ht="35.25" customHeight="1" x14ac:dyDescent="0.25">
      <c r="A22" s="15"/>
      <c r="B22" s="2275" t="s">
        <v>49</v>
      </c>
      <c r="C22" s="2265">
        <v>1318709</v>
      </c>
      <c r="D22" s="2265">
        <v>563000</v>
      </c>
      <c r="E22" s="2265">
        <v>150000</v>
      </c>
      <c r="F22" s="2265">
        <f>C22-D22+E22</f>
        <v>905709</v>
      </c>
      <c r="G22" s="233"/>
      <c r="Q22" s="233"/>
      <c r="R22" s="233"/>
      <c r="T22" s="2251" t="s">
        <v>83</v>
      </c>
      <c r="U22" s="50" t="s">
        <v>60</v>
      </c>
      <c r="V22" s="2262">
        <v>371050</v>
      </c>
      <c r="W22" s="2262"/>
      <c r="X22" s="2262"/>
      <c r="Y22" s="2269"/>
    </row>
    <row r="23" spans="1:25" ht="39.75" customHeight="1" x14ac:dyDescent="0.25">
      <c r="A23" s="233"/>
      <c r="B23" s="2276"/>
      <c r="C23" s="2266"/>
      <c r="D23" s="2266"/>
      <c r="E23" s="2266"/>
      <c r="F23" s="2266"/>
      <c r="G23" s="233"/>
      <c r="Q23" s="233"/>
      <c r="R23" s="233"/>
      <c r="T23" s="2252"/>
      <c r="U23" s="50" t="s">
        <v>61</v>
      </c>
      <c r="V23" s="2262">
        <v>371000</v>
      </c>
      <c r="W23" s="2262"/>
      <c r="X23" s="2262"/>
      <c r="Y23" s="2269"/>
    </row>
    <row r="24" spans="1:25" ht="48" customHeight="1" x14ac:dyDescent="0.25">
      <c r="A24" s="233"/>
      <c r="B24" s="2277"/>
      <c r="C24" s="224" t="s">
        <v>46</v>
      </c>
      <c r="D24" s="224" t="s">
        <v>50</v>
      </c>
      <c r="E24" s="224" t="s">
        <v>51</v>
      </c>
      <c r="F24" s="224" t="s">
        <v>52</v>
      </c>
      <c r="G24" s="233"/>
      <c r="Q24" s="233"/>
      <c r="R24" s="233"/>
      <c r="T24" s="2235" t="s">
        <v>47</v>
      </c>
      <c r="U24" s="51" t="s">
        <v>62</v>
      </c>
      <c r="V24" s="2263">
        <f>V14+V16+V17-V18-V19-V20-V22+V23-V21</f>
        <v>440185.93000000005</v>
      </c>
      <c r="W24" s="2263"/>
      <c r="X24" s="2263"/>
      <c r="Y24" s="2269"/>
    </row>
    <row r="25" spans="1:25" ht="40.5" customHeight="1" x14ac:dyDescent="0.25">
      <c r="T25" s="2235"/>
      <c r="U25" s="51" t="s">
        <v>63</v>
      </c>
      <c r="V25" s="2262">
        <f>V15+V22-V23</f>
        <v>10712</v>
      </c>
      <c r="W25" s="2262"/>
      <c r="X25" s="2262"/>
    </row>
    <row r="26" spans="1:25" ht="36" customHeight="1" x14ac:dyDescent="0.25"/>
    <row r="32" spans="1:25" x14ac:dyDescent="0.25">
      <c r="I32" s="2280"/>
      <c r="J32" s="2280"/>
      <c r="K32" s="2280"/>
      <c r="L32" s="2280"/>
    </row>
    <row r="33" spans="9:12" x14ac:dyDescent="0.25">
      <c r="I33" s="233"/>
      <c r="J33" s="233"/>
      <c r="K33" s="2280"/>
      <c r="L33" s="2280"/>
    </row>
  </sheetData>
  <mergeCells count="62">
    <mergeCell ref="I32:J32"/>
    <mergeCell ref="K32:L32"/>
    <mergeCell ref="K33:L33"/>
    <mergeCell ref="T22:T23"/>
    <mergeCell ref="V22:X22"/>
    <mergeCell ref="V23:X23"/>
    <mergeCell ref="T24:T25"/>
    <mergeCell ref="V24:X24"/>
    <mergeCell ref="V25:X25"/>
    <mergeCell ref="Y18:Y24"/>
    <mergeCell ref="B19:C19"/>
    <mergeCell ref="Q19:R19"/>
    <mergeCell ref="T19:T20"/>
    <mergeCell ref="V19:X19"/>
    <mergeCell ref="B20:C20"/>
    <mergeCell ref="B22:B24"/>
    <mergeCell ref="C22:C23"/>
    <mergeCell ref="D22:D23"/>
    <mergeCell ref="E22:E23"/>
    <mergeCell ref="F22:F23"/>
    <mergeCell ref="Q20:R20"/>
    <mergeCell ref="V20:X20"/>
    <mergeCell ref="B21:C21"/>
    <mergeCell ref="T21:U21"/>
    <mergeCell ref="V21:X21"/>
    <mergeCell ref="B17:C17"/>
    <mergeCell ref="Q17:R17"/>
    <mergeCell ref="T17:U17"/>
    <mergeCell ref="V17:X17"/>
    <mergeCell ref="B18:C18"/>
    <mergeCell ref="Q18:R18"/>
    <mergeCell ref="T18:U18"/>
    <mergeCell ref="V18:X18"/>
    <mergeCell ref="W4:X4"/>
    <mergeCell ref="B16:C16"/>
    <mergeCell ref="Q16:R16"/>
    <mergeCell ref="T16:U16"/>
    <mergeCell ref="V16:X16"/>
    <mergeCell ref="A12:B12"/>
    <mergeCell ref="B14:C14"/>
    <mergeCell ref="Q14:R14"/>
    <mergeCell ref="T14:T15"/>
    <mergeCell ref="V14:X14"/>
    <mergeCell ref="B15:C15"/>
    <mergeCell ref="Q15:R15"/>
    <mergeCell ref="V15:X15"/>
    <mergeCell ref="A1:Y1"/>
    <mergeCell ref="A2:Y2"/>
    <mergeCell ref="T3:Y3"/>
    <mergeCell ref="A4:A5"/>
    <mergeCell ref="B4:B5"/>
    <mergeCell ref="C4:D4"/>
    <mergeCell ref="E4:F4"/>
    <mergeCell ref="G4:H4"/>
    <mergeCell ref="I4:J4"/>
    <mergeCell ref="K4:L4"/>
    <mergeCell ref="Y4:Y5"/>
    <mergeCell ref="M4:N4"/>
    <mergeCell ref="O4:P4"/>
    <mergeCell ref="Q4:R4"/>
    <mergeCell ref="S4:T4"/>
    <mergeCell ref="U4:V4"/>
  </mergeCells>
  <pageMargins left="0.15748031496063" right="0.15748031496063" top="0" bottom="0" header="0" footer="0"/>
  <pageSetup paperSize="9" scale="47" orientation="landscape" r:id="rId1"/>
  <legacyDrawing r:id="rId2"/>
</worksheet>
</file>

<file path=xl/worksheets/sheet9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11566DA-9171-40E7-996B-C200A2E90249}">
  <sheetPr>
    <pageSetUpPr fitToPage="1"/>
  </sheetPr>
  <dimension ref="A1:Y33"/>
  <sheetViews>
    <sheetView topLeftCell="A11" zoomScale="71" zoomScaleNormal="71" zoomScaleSheetLayoutView="100" workbookViewId="0">
      <selection activeCell="N25" sqref="N25"/>
    </sheetView>
  </sheetViews>
  <sheetFormatPr defaultColWidth="9.140625" defaultRowHeight="15" x14ac:dyDescent="0.25"/>
  <cols>
    <col min="1" max="1" width="18.28515625" style="14" customWidth="1"/>
    <col min="2" max="2" width="10.7109375" style="14" customWidth="1"/>
    <col min="3" max="3" width="12.28515625" style="14" customWidth="1"/>
    <col min="4" max="4" width="11" style="14" customWidth="1"/>
    <col min="5" max="5" width="12" style="14" customWidth="1"/>
    <col min="6" max="6" width="12.5703125" style="14" bestFit="1" customWidth="1"/>
    <col min="7" max="7" width="9.28515625" style="14" bestFit="1" customWidth="1"/>
    <col min="8" max="8" width="10.140625" style="14" bestFit="1" customWidth="1"/>
    <col min="9" max="9" width="10.5703125" style="14" bestFit="1" customWidth="1"/>
    <col min="10" max="10" width="10.5703125" style="14" customWidth="1"/>
    <col min="11" max="11" width="10.28515625" style="14" bestFit="1" customWidth="1"/>
    <col min="12" max="12" width="10.42578125" style="14" bestFit="1" customWidth="1"/>
    <col min="13" max="13" width="9.85546875" style="14" bestFit="1" customWidth="1"/>
    <col min="14" max="14" width="10.140625" style="14" bestFit="1" customWidth="1"/>
    <col min="15" max="15" width="9" style="14" customWidth="1"/>
    <col min="16" max="16" width="12.85546875" style="14" bestFit="1" customWidth="1"/>
    <col min="17" max="18" width="9.42578125" style="14" customWidth="1"/>
    <col min="19" max="19" width="13.7109375" style="14" customWidth="1"/>
    <col min="20" max="20" width="12.140625" style="14" customWidth="1"/>
    <col min="21" max="21" width="19.5703125" style="14" bestFit="1" customWidth="1"/>
    <col min="22" max="22" width="9.85546875" style="14" customWidth="1"/>
    <col min="23" max="23" width="10.140625" style="14" bestFit="1" customWidth="1"/>
    <col min="24" max="24" width="10.28515625" style="14" customWidth="1"/>
    <col min="25" max="25" width="28" style="14" customWidth="1"/>
    <col min="26" max="16384" width="9.140625" style="14"/>
  </cols>
  <sheetData>
    <row r="1" spans="1:25" ht="46.15" customHeight="1" x14ac:dyDescent="0.25">
      <c r="A1" s="2240" t="s">
        <v>148</v>
      </c>
      <c r="B1" s="2240"/>
      <c r="C1" s="2240"/>
      <c r="D1" s="2240"/>
      <c r="E1" s="2240"/>
      <c r="F1" s="2240"/>
      <c r="G1" s="2240"/>
      <c r="H1" s="2240"/>
      <c r="I1" s="2240"/>
      <c r="J1" s="2240"/>
      <c r="K1" s="2240"/>
      <c r="L1" s="2240"/>
      <c r="M1" s="2240"/>
      <c r="N1" s="2240"/>
      <c r="O1" s="2240"/>
      <c r="P1" s="2240"/>
      <c r="Q1" s="2240"/>
      <c r="R1" s="2240"/>
      <c r="S1" s="2240"/>
      <c r="T1" s="2240"/>
      <c r="U1" s="2240"/>
      <c r="V1" s="2240"/>
      <c r="W1" s="2240"/>
      <c r="X1" s="2240"/>
      <c r="Y1" s="2240"/>
    </row>
    <row r="2" spans="1:25" ht="21.6" customHeight="1" x14ac:dyDescent="0.25">
      <c r="A2" s="2241" t="s">
        <v>77</v>
      </c>
      <c r="B2" s="2241"/>
      <c r="C2" s="2241"/>
      <c r="D2" s="2241"/>
      <c r="E2" s="2241"/>
      <c r="F2" s="2241"/>
      <c r="G2" s="2241"/>
      <c r="H2" s="2241"/>
      <c r="I2" s="2241"/>
      <c r="J2" s="2241"/>
      <c r="K2" s="2241"/>
      <c r="L2" s="2241"/>
      <c r="M2" s="2241"/>
      <c r="N2" s="2241"/>
      <c r="O2" s="2241"/>
      <c r="P2" s="2241"/>
      <c r="Q2" s="2241"/>
      <c r="R2" s="2241"/>
      <c r="S2" s="2241"/>
      <c r="T2" s="2241"/>
      <c r="U2" s="2241"/>
      <c r="V2" s="2241"/>
      <c r="W2" s="2241"/>
      <c r="X2" s="2241"/>
      <c r="Y2" s="2241"/>
    </row>
    <row r="3" spans="1:25" ht="21" customHeight="1" x14ac:dyDescent="0.25">
      <c r="A3" s="239"/>
      <c r="B3" s="239"/>
      <c r="C3" s="239"/>
      <c r="D3" s="239"/>
      <c r="E3" s="239"/>
      <c r="F3" s="239"/>
      <c r="G3" s="239"/>
      <c r="H3" s="239"/>
      <c r="I3" s="239"/>
      <c r="J3" s="239"/>
      <c r="K3" s="239"/>
      <c r="L3" s="239"/>
      <c r="M3" s="239"/>
      <c r="N3" s="239"/>
      <c r="O3" s="239"/>
      <c r="P3" s="239"/>
      <c r="Q3" s="239"/>
      <c r="R3" s="239"/>
      <c r="S3" s="239"/>
      <c r="T3" s="2242" t="s">
        <v>273</v>
      </c>
      <c r="U3" s="2242"/>
      <c r="V3" s="2242"/>
      <c r="W3" s="2242"/>
      <c r="X3" s="2242"/>
      <c r="Y3" s="2242"/>
    </row>
    <row r="4" spans="1:25" s="239" customFormat="1" ht="18" customHeight="1" x14ac:dyDescent="0.25">
      <c r="A4" s="2243" t="s">
        <v>25</v>
      </c>
      <c r="B4" s="2243" t="s">
        <v>26</v>
      </c>
      <c r="C4" s="2244" t="s">
        <v>27</v>
      </c>
      <c r="D4" s="2244"/>
      <c r="E4" s="2244" t="s">
        <v>28</v>
      </c>
      <c r="F4" s="2244"/>
      <c r="G4" s="2244" t="s">
        <v>65</v>
      </c>
      <c r="H4" s="2244"/>
      <c r="I4" s="2244" t="s">
        <v>29</v>
      </c>
      <c r="J4" s="2244"/>
      <c r="K4" s="2245" t="s">
        <v>13</v>
      </c>
      <c r="L4" s="2246"/>
      <c r="M4" s="2245" t="s">
        <v>67</v>
      </c>
      <c r="N4" s="2246"/>
      <c r="O4" s="2245" t="s">
        <v>68</v>
      </c>
      <c r="P4" s="2246"/>
      <c r="Q4" s="2245" t="s">
        <v>114</v>
      </c>
      <c r="R4" s="2246"/>
      <c r="S4" s="2244" t="s">
        <v>35</v>
      </c>
      <c r="T4" s="2244"/>
      <c r="U4" s="2245" t="s">
        <v>17</v>
      </c>
      <c r="V4" s="2246"/>
      <c r="W4" s="2247" t="s">
        <v>36</v>
      </c>
      <c r="X4" s="2248"/>
      <c r="Y4" s="2238" t="s">
        <v>30</v>
      </c>
    </row>
    <row r="5" spans="1:25" s="239" customFormat="1" ht="25.5" customHeight="1" x14ac:dyDescent="0.25">
      <c r="A5" s="2243"/>
      <c r="B5" s="2243"/>
      <c r="C5" s="238" t="s">
        <v>42</v>
      </c>
      <c r="D5" s="238" t="s">
        <v>43</v>
      </c>
      <c r="E5" s="238" t="s">
        <v>42</v>
      </c>
      <c r="F5" s="238" t="s">
        <v>43</v>
      </c>
      <c r="G5" s="238" t="s">
        <v>42</v>
      </c>
      <c r="H5" s="238" t="s">
        <v>43</v>
      </c>
      <c r="I5" s="238" t="s">
        <v>42</v>
      </c>
      <c r="J5" s="238" t="s">
        <v>43</v>
      </c>
      <c r="K5" s="238" t="s">
        <v>42</v>
      </c>
      <c r="L5" s="238" t="s">
        <v>43</v>
      </c>
      <c r="M5" s="238" t="s">
        <v>42</v>
      </c>
      <c r="N5" s="238" t="s">
        <v>43</v>
      </c>
      <c r="O5" s="238" t="s">
        <v>42</v>
      </c>
      <c r="P5" s="238" t="s">
        <v>43</v>
      </c>
      <c r="Q5" s="238" t="s">
        <v>42</v>
      </c>
      <c r="R5" s="238" t="s">
        <v>43</v>
      </c>
      <c r="S5" s="33" t="s">
        <v>42</v>
      </c>
      <c r="T5" s="33" t="s">
        <v>43</v>
      </c>
      <c r="U5" s="30" t="s">
        <v>42</v>
      </c>
      <c r="V5" s="30" t="s">
        <v>43</v>
      </c>
      <c r="W5" s="30" t="s">
        <v>42</v>
      </c>
      <c r="X5" s="30" t="s">
        <v>43</v>
      </c>
      <c r="Y5" s="2239"/>
    </row>
    <row r="6" spans="1:25" ht="34.5" customHeight="1" x14ac:dyDescent="0.25">
      <c r="A6" s="12">
        <v>1409935200</v>
      </c>
      <c r="B6" s="237" t="s">
        <v>71</v>
      </c>
      <c r="C6" s="235">
        <v>24735</v>
      </c>
      <c r="D6" s="234">
        <f>0.9725*C6</f>
        <v>24054.787500000002</v>
      </c>
      <c r="E6" s="235"/>
      <c r="F6" s="235">
        <f>13.7*E6</f>
        <v>0</v>
      </c>
      <c r="G6" s="235"/>
      <c r="H6" s="235">
        <f>28.2*G6</f>
        <v>0</v>
      </c>
      <c r="I6" s="235"/>
      <c r="J6" s="235">
        <f>18.5*I6</f>
        <v>0</v>
      </c>
      <c r="K6" s="235"/>
      <c r="L6" s="235">
        <f>19.5*K6</f>
        <v>0</v>
      </c>
      <c r="M6" s="235"/>
      <c r="N6" s="234">
        <f>M6*9.75</f>
        <v>0</v>
      </c>
      <c r="O6" s="235"/>
      <c r="P6" s="234">
        <f>O6*48.62</f>
        <v>0</v>
      </c>
      <c r="Q6" s="234"/>
      <c r="R6" s="234">
        <f>241*Q6</f>
        <v>0</v>
      </c>
      <c r="S6" s="235"/>
      <c r="T6" s="235">
        <f>241*S6</f>
        <v>0</v>
      </c>
      <c r="U6" s="235"/>
      <c r="V6" s="235">
        <f>232*U6</f>
        <v>0</v>
      </c>
      <c r="W6" s="235"/>
      <c r="X6" s="19">
        <f>W6*100</f>
        <v>0</v>
      </c>
      <c r="Y6" s="89">
        <f t="shared" ref="Y6:Y11" si="0">D6+F6+H6+J6+L6+N6+P6+R6+T6+V6+X6</f>
        <v>24054.787500000002</v>
      </c>
    </row>
    <row r="7" spans="1:25" ht="31.5" customHeight="1" x14ac:dyDescent="0.25">
      <c r="A7" s="12">
        <v>1984225578</v>
      </c>
      <c r="B7" s="237" t="s">
        <v>72</v>
      </c>
      <c r="C7" s="235">
        <v>15683</v>
      </c>
      <c r="D7" s="234">
        <f t="shared" ref="D7:D11" si="1">0.9725*C7</f>
        <v>15251.717500000001</v>
      </c>
      <c r="E7" s="235"/>
      <c r="F7" s="235">
        <f t="shared" ref="F7:F11" si="2">13.7*E7</f>
        <v>0</v>
      </c>
      <c r="G7" s="235"/>
      <c r="H7" s="235">
        <f t="shared" ref="H7:H11" si="3">28.2*G7</f>
        <v>0</v>
      </c>
      <c r="I7" s="235"/>
      <c r="J7" s="235">
        <f t="shared" ref="J7:J11" si="4">18.5*I7</f>
        <v>0</v>
      </c>
      <c r="K7" s="235"/>
      <c r="L7" s="235">
        <f t="shared" ref="L7:L11" si="5">19.5*K7</f>
        <v>0</v>
      </c>
      <c r="M7" s="235"/>
      <c r="N7" s="234">
        <f t="shared" ref="N7:N11" si="6">M7*9.75</f>
        <v>0</v>
      </c>
      <c r="O7" s="235"/>
      <c r="P7" s="234">
        <f t="shared" ref="P7:P11" si="7">O7*48.62</f>
        <v>0</v>
      </c>
      <c r="Q7" s="234"/>
      <c r="R7" s="234">
        <f t="shared" ref="R7:R11" si="8">241*Q7</f>
        <v>0</v>
      </c>
      <c r="S7" s="235"/>
      <c r="T7" s="235">
        <f t="shared" ref="T7:T11" si="9">241*S7</f>
        <v>0</v>
      </c>
      <c r="U7" s="235"/>
      <c r="V7" s="235">
        <f t="shared" ref="V7:V11" si="10">232*U7</f>
        <v>0</v>
      </c>
      <c r="W7" s="235"/>
      <c r="X7" s="19">
        <f t="shared" ref="X7:X11" si="11">W7*100</f>
        <v>0</v>
      </c>
      <c r="Y7" s="89">
        <f t="shared" si="0"/>
        <v>15251.717500000001</v>
      </c>
    </row>
    <row r="8" spans="1:25" ht="35.25" customHeight="1" x14ac:dyDescent="0.25">
      <c r="A8" s="12">
        <v>1967020280</v>
      </c>
      <c r="B8" s="237" t="s">
        <v>73</v>
      </c>
      <c r="C8" s="235">
        <v>26028</v>
      </c>
      <c r="D8" s="234">
        <f t="shared" si="1"/>
        <v>25312.23</v>
      </c>
      <c r="E8" s="235"/>
      <c r="F8" s="235">
        <f t="shared" si="2"/>
        <v>0</v>
      </c>
      <c r="G8" s="235"/>
      <c r="H8" s="235">
        <f t="shared" si="3"/>
        <v>0</v>
      </c>
      <c r="I8" s="235"/>
      <c r="J8" s="235">
        <f t="shared" si="4"/>
        <v>0</v>
      </c>
      <c r="K8" s="235"/>
      <c r="L8" s="235">
        <f t="shared" si="5"/>
        <v>0</v>
      </c>
      <c r="M8" s="235"/>
      <c r="N8" s="234">
        <f t="shared" si="6"/>
        <v>0</v>
      </c>
      <c r="O8" s="235"/>
      <c r="P8" s="234">
        <f t="shared" si="7"/>
        <v>0</v>
      </c>
      <c r="Q8" s="234"/>
      <c r="R8" s="234">
        <f t="shared" si="8"/>
        <v>0</v>
      </c>
      <c r="S8" s="235"/>
      <c r="T8" s="235">
        <f t="shared" si="9"/>
        <v>0</v>
      </c>
      <c r="U8" s="235"/>
      <c r="V8" s="235">
        <f t="shared" si="10"/>
        <v>0</v>
      </c>
      <c r="W8" s="235"/>
      <c r="X8" s="19">
        <f t="shared" si="11"/>
        <v>0</v>
      </c>
      <c r="Y8" s="89">
        <f t="shared" si="0"/>
        <v>25312.23</v>
      </c>
    </row>
    <row r="9" spans="1:25" ht="38.25" customHeight="1" x14ac:dyDescent="0.25">
      <c r="A9" s="12">
        <v>1409935199</v>
      </c>
      <c r="B9" s="237" t="s">
        <v>75</v>
      </c>
      <c r="C9" s="235">
        <v>16441</v>
      </c>
      <c r="D9" s="234">
        <f t="shared" si="1"/>
        <v>15988.872500000001</v>
      </c>
      <c r="E9" s="235"/>
      <c r="F9" s="235">
        <f t="shared" si="2"/>
        <v>0</v>
      </c>
      <c r="G9" s="235"/>
      <c r="H9" s="235">
        <f t="shared" si="3"/>
        <v>0</v>
      </c>
      <c r="I9" s="235">
        <v>3000</v>
      </c>
      <c r="J9" s="235">
        <f t="shared" si="4"/>
        <v>55500</v>
      </c>
      <c r="K9" s="235"/>
      <c r="L9" s="235">
        <f t="shared" si="5"/>
        <v>0</v>
      </c>
      <c r="M9" s="235"/>
      <c r="N9" s="234">
        <f t="shared" si="6"/>
        <v>0</v>
      </c>
      <c r="O9" s="235"/>
      <c r="P9" s="234">
        <f t="shared" si="7"/>
        <v>0</v>
      </c>
      <c r="Q9" s="234"/>
      <c r="R9" s="234">
        <f t="shared" si="8"/>
        <v>0</v>
      </c>
      <c r="S9" s="235"/>
      <c r="T9" s="235">
        <f t="shared" si="9"/>
        <v>0</v>
      </c>
      <c r="U9" s="235"/>
      <c r="V9" s="235">
        <f t="shared" si="10"/>
        <v>0</v>
      </c>
      <c r="W9" s="235"/>
      <c r="X9" s="19">
        <f t="shared" si="11"/>
        <v>0</v>
      </c>
      <c r="Y9" s="89">
        <f t="shared" si="0"/>
        <v>71488.872499999998</v>
      </c>
    </row>
    <row r="10" spans="1:25" ht="35.25" customHeight="1" x14ac:dyDescent="0.25">
      <c r="A10" s="12">
        <v>1984225580</v>
      </c>
      <c r="C10" s="235"/>
      <c r="D10" s="234">
        <f t="shared" si="1"/>
        <v>0</v>
      </c>
      <c r="E10" s="235"/>
      <c r="F10" s="235">
        <f t="shared" si="2"/>
        <v>0</v>
      </c>
      <c r="G10" s="235"/>
      <c r="H10" s="235">
        <f t="shared" si="3"/>
        <v>0</v>
      </c>
      <c r="I10" s="235"/>
      <c r="J10" s="235">
        <f t="shared" si="4"/>
        <v>0</v>
      </c>
      <c r="K10" s="235"/>
      <c r="L10" s="235">
        <f t="shared" si="5"/>
        <v>0</v>
      </c>
      <c r="M10" s="235"/>
      <c r="N10" s="234">
        <f t="shared" si="6"/>
        <v>0</v>
      </c>
      <c r="O10" s="235"/>
      <c r="P10" s="234">
        <f t="shared" si="7"/>
        <v>0</v>
      </c>
      <c r="Q10" s="234"/>
      <c r="R10" s="234">
        <f t="shared" si="8"/>
        <v>0</v>
      </c>
      <c r="S10" s="235"/>
      <c r="T10" s="235">
        <f t="shared" si="9"/>
        <v>0</v>
      </c>
      <c r="U10" s="235"/>
      <c r="V10" s="235">
        <f t="shared" si="10"/>
        <v>0</v>
      </c>
      <c r="W10" s="235"/>
      <c r="X10" s="19">
        <f t="shared" si="11"/>
        <v>0</v>
      </c>
      <c r="Y10" s="89">
        <f t="shared" si="0"/>
        <v>0</v>
      </c>
    </row>
    <row r="11" spans="1:25" ht="37.5" customHeight="1" x14ac:dyDescent="0.25">
      <c r="A11" s="12"/>
      <c r="B11" s="236"/>
      <c r="C11" s="235"/>
      <c r="D11" s="22">
        <f t="shared" si="1"/>
        <v>0</v>
      </c>
      <c r="E11" s="235"/>
      <c r="F11" s="235">
        <f t="shared" si="2"/>
        <v>0</v>
      </c>
      <c r="G11" s="235"/>
      <c r="H11" s="235">
        <f t="shared" si="3"/>
        <v>0</v>
      </c>
      <c r="I11" s="235"/>
      <c r="J11" s="235">
        <f t="shared" si="4"/>
        <v>0</v>
      </c>
      <c r="K11" s="235"/>
      <c r="L11" s="235">
        <f t="shared" si="5"/>
        <v>0</v>
      </c>
      <c r="M11" s="235"/>
      <c r="N11" s="234">
        <f t="shared" si="6"/>
        <v>0</v>
      </c>
      <c r="O11" s="235"/>
      <c r="P11" s="234">
        <f t="shared" si="7"/>
        <v>0</v>
      </c>
      <c r="Q11" s="234"/>
      <c r="R11" s="234">
        <f t="shared" si="8"/>
        <v>0</v>
      </c>
      <c r="S11" s="235"/>
      <c r="T11" s="235">
        <f t="shared" si="9"/>
        <v>0</v>
      </c>
      <c r="U11" s="235"/>
      <c r="V11" s="235">
        <f t="shared" si="10"/>
        <v>0</v>
      </c>
      <c r="W11" s="235"/>
      <c r="X11" s="19">
        <f t="shared" si="11"/>
        <v>0</v>
      </c>
      <c r="Y11" s="20">
        <f t="shared" si="0"/>
        <v>0</v>
      </c>
    </row>
    <row r="12" spans="1:25" ht="29.25" customHeight="1" x14ac:dyDescent="0.25">
      <c r="A12" s="2235" t="s">
        <v>31</v>
      </c>
      <c r="B12" s="2235"/>
      <c r="C12" s="18">
        <f t="shared" ref="C12:Y12" si="12">SUM(C6:C11)</f>
        <v>82887</v>
      </c>
      <c r="D12" s="18">
        <f t="shared" si="12"/>
        <v>80607.607499999998</v>
      </c>
      <c r="E12" s="18">
        <f t="shared" si="12"/>
        <v>0</v>
      </c>
      <c r="F12" s="18">
        <f t="shared" si="12"/>
        <v>0</v>
      </c>
      <c r="G12" s="18">
        <f t="shared" si="12"/>
        <v>0</v>
      </c>
      <c r="H12" s="18">
        <f t="shared" si="12"/>
        <v>0</v>
      </c>
      <c r="I12" s="18">
        <f t="shared" si="12"/>
        <v>3000</v>
      </c>
      <c r="J12" s="18">
        <f t="shared" si="12"/>
        <v>55500</v>
      </c>
      <c r="K12" s="18">
        <f t="shared" si="12"/>
        <v>0</v>
      </c>
      <c r="L12" s="18">
        <f t="shared" si="12"/>
        <v>0</v>
      </c>
      <c r="M12" s="18">
        <f t="shared" si="12"/>
        <v>0</v>
      </c>
      <c r="N12" s="23">
        <f t="shared" si="12"/>
        <v>0</v>
      </c>
      <c r="O12" s="18">
        <f t="shared" si="12"/>
        <v>0</v>
      </c>
      <c r="P12" s="23">
        <f t="shared" si="12"/>
        <v>0</v>
      </c>
      <c r="Q12" s="23">
        <f t="shared" si="12"/>
        <v>0</v>
      </c>
      <c r="R12" s="23">
        <f>SUM(R6:R11)</f>
        <v>0</v>
      </c>
      <c r="S12" s="18">
        <f t="shared" si="12"/>
        <v>0</v>
      </c>
      <c r="T12" s="18">
        <f t="shared" si="12"/>
        <v>0</v>
      </c>
      <c r="U12" s="18">
        <f t="shared" si="12"/>
        <v>0</v>
      </c>
      <c r="V12" s="18">
        <f t="shared" si="12"/>
        <v>0</v>
      </c>
      <c r="W12" s="18">
        <f t="shared" si="12"/>
        <v>0</v>
      </c>
      <c r="X12" s="18">
        <f t="shared" si="12"/>
        <v>0</v>
      </c>
      <c r="Y12" s="18">
        <f t="shared" si="12"/>
        <v>136107.60749999998</v>
      </c>
    </row>
    <row r="14" spans="1:25" ht="41.25" customHeight="1" x14ac:dyDescent="0.25">
      <c r="A14" s="30" t="s">
        <v>32</v>
      </c>
      <c r="B14" s="2236" t="s">
        <v>27</v>
      </c>
      <c r="C14" s="2236"/>
      <c r="D14" s="30" t="s">
        <v>33</v>
      </c>
      <c r="E14" s="30" t="s">
        <v>65</v>
      </c>
      <c r="F14" s="30" t="s">
        <v>34</v>
      </c>
      <c r="G14" s="30" t="s">
        <v>13</v>
      </c>
      <c r="H14" s="142" t="s">
        <v>173</v>
      </c>
      <c r="I14" s="30" t="s">
        <v>17</v>
      </c>
      <c r="J14" s="243" t="s">
        <v>174</v>
      </c>
      <c r="K14" s="30" t="s">
        <v>36</v>
      </c>
      <c r="L14" s="30" t="s">
        <v>175</v>
      </c>
      <c r="M14" s="30" t="s">
        <v>69</v>
      </c>
      <c r="N14" s="30" t="s">
        <v>70</v>
      </c>
      <c r="O14" s="243" t="s">
        <v>114</v>
      </c>
      <c r="P14" s="243" t="s">
        <v>99</v>
      </c>
      <c r="Q14" s="2272" t="s">
        <v>256</v>
      </c>
      <c r="R14" s="2272"/>
      <c r="S14" s="243"/>
      <c r="T14" s="2235" t="s">
        <v>46</v>
      </c>
      <c r="U14" s="237" t="s">
        <v>176</v>
      </c>
      <c r="V14" s="2260">
        <v>440186</v>
      </c>
      <c r="W14" s="2268"/>
      <c r="X14" s="2261"/>
    </row>
    <row r="15" spans="1:25" ht="22.5" customHeight="1" x14ac:dyDescent="0.25">
      <c r="A15" s="100" t="s">
        <v>38</v>
      </c>
      <c r="B15" s="2260">
        <v>294457</v>
      </c>
      <c r="C15" s="2261"/>
      <c r="D15" s="240">
        <v>0</v>
      </c>
      <c r="E15" s="240">
        <v>310</v>
      </c>
      <c r="F15" s="240">
        <v>0</v>
      </c>
      <c r="G15" s="240">
        <v>0</v>
      </c>
      <c r="H15" s="240">
        <v>175</v>
      </c>
      <c r="I15" s="240">
        <v>0</v>
      </c>
      <c r="J15" s="240">
        <v>63</v>
      </c>
      <c r="K15" s="240">
        <v>71</v>
      </c>
      <c r="L15" s="240">
        <v>777</v>
      </c>
      <c r="M15" s="240">
        <v>0</v>
      </c>
      <c r="N15" s="240">
        <v>100</v>
      </c>
      <c r="O15" s="240">
        <v>0</v>
      </c>
      <c r="P15" s="240">
        <v>404</v>
      </c>
      <c r="Q15" s="2262">
        <v>405</v>
      </c>
      <c r="R15" s="2262"/>
      <c r="S15" s="237">
        <v>0</v>
      </c>
      <c r="T15" s="2235"/>
      <c r="U15" s="237" t="s">
        <v>64</v>
      </c>
      <c r="V15" s="2262">
        <v>10712</v>
      </c>
      <c r="W15" s="2262"/>
      <c r="X15" s="2262"/>
    </row>
    <row r="16" spans="1:25" ht="24.75" customHeight="1" x14ac:dyDescent="0.25">
      <c r="A16" s="100" t="s">
        <v>39</v>
      </c>
      <c r="B16" s="2260"/>
      <c r="C16" s="2261"/>
      <c r="D16" s="240"/>
      <c r="E16" s="240"/>
      <c r="F16" s="240">
        <v>5000</v>
      </c>
      <c r="G16" s="240"/>
      <c r="H16" s="240">
        <v>300</v>
      </c>
      <c r="I16" s="240"/>
      <c r="J16" s="240">
        <v>50</v>
      </c>
      <c r="K16" s="240"/>
      <c r="L16" s="240">
        <v>109</v>
      </c>
      <c r="M16" s="240"/>
      <c r="N16" s="240"/>
      <c r="O16" s="240"/>
      <c r="P16" s="240"/>
      <c r="Q16" s="2225"/>
      <c r="R16" s="2225"/>
      <c r="S16" s="240"/>
      <c r="T16" s="2254" t="s">
        <v>55</v>
      </c>
      <c r="U16" s="2254"/>
      <c r="V16" s="2267">
        <f>Y12</f>
        <v>136107.60749999998</v>
      </c>
      <c r="W16" s="2267"/>
      <c r="X16" s="2262"/>
    </row>
    <row r="17" spans="1:25" ht="28.5" customHeight="1" x14ac:dyDescent="0.25">
      <c r="A17" s="101" t="s">
        <v>44</v>
      </c>
      <c r="B17" s="2260">
        <v>40412</v>
      </c>
      <c r="C17" s="2261"/>
      <c r="D17" s="240"/>
      <c r="E17" s="240"/>
      <c r="F17" s="240"/>
      <c r="G17" s="240"/>
      <c r="H17" s="240"/>
      <c r="I17" s="240"/>
      <c r="J17" s="240"/>
      <c r="K17" s="240"/>
      <c r="L17" s="240"/>
      <c r="M17" s="240"/>
      <c r="N17" s="240"/>
      <c r="O17" s="240"/>
      <c r="P17" s="240"/>
      <c r="Q17" s="2225"/>
      <c r="R17" s="2225"/>
      <c r="S17" s="236"/>
      <c r="T17" s="2273" t="s">
        <v>87</v>
      </c>
      <c r="U17" s="2274"/>
      <c r="V17" s="2262">
        <v>180000</v>
      </c>
      <c r="W17" s="2262"/>
      <c r="X17" s="2262"/>
    </row>
    <row r="18" spans="1:25" ht="27" customHeight="1" x14ac:dyDescent="0.25">
      <c r="A18" s="100" t="s">
        <v>40</v>
      </c>
      <c r="B18" s="2264">
        <f>C12</f>
        <v>82887</v>
      </c>
      <c r="C18" s="2261"/>
      <c r="D18" s="242">
        <f>E12</f>
        <v>0</v>
      </c>
      <c r="E18" s="242">
        <f>G12</f>
        <v>0</v>
      </c>
      <c r="F18" s="242">
        <f>I12</f>
        <v>3000</v>
      </c>
      <c r="G18" s="242">
        <f>K12</f>
        <v>0</v>
      </c>
      <c r="H18" s="240">
        <v>159</v>
      </c>
      <c r="I18" s="242">
        <f>U12</f>
        <v>0</v>
      </c>
      <c r="J18" s="240"/>
      <c r="K18" s="242">
        <f>W12</f>
        <v>0</v>
      </c>
      <c r="L18" s="240"/>
      <c r="M18" s="242">
        <f>M12</f>
        <v>0</v>
      </c>
      <c r="N18" s="242">
        <f>O12</f>
        <v>0</v>
      </c>
      <c r="O18" s="241">
        <f>Q12</f>
        <v>0</v>
      </c>
      <c r="P18" s="240"/>
      <c r="Q18" s="2262"/>
      <c r="R18" s="2262"/>
      <c r="S18" s="237"/>
      <c r="T18" s="2254" t="s">
        <v>57</v>
      </c>
      <c r="U18" s="2254"/>
      <c r="V18" s="2262">
        <v>920</v>
      </c>
      <c r="W18" s="2262"/>
      <c r="X18" s="2262"/>
      <c r="Y18" s="2269" t="s">
        <v>217</v>
      </c>
    </row>
    <row r="19" spans="1:25" ht="25.5" customHeight="1" x14ac:dyDescent="0.25">
      <c r="A19" s="100" t="s">
        <v>41</v>
      </c>
      <c r="B19" s="2260">
        <f>B15+B16+B17-B18</f>
        <v>251982</v>
      </c>
      <c r="C19" s="2261"/>
      <c r="D19" s="240">
        <f>D15+D16+D17-D18</f>
        <v>0</v>
      </c>
      <c r="E19" s="240">
        <f t="shared" ref="E19:N19" si="13">E15+E16+E17-E18</f>
        <v>310</v>
      </c>
      <c r="F19" s="240">
        <f t="shared" si="13"/>
        <v>2000</v>
      </c>
      <c r="G19" s="240">
        <f t="shared" si="13"/>
        <v>0</v>
      </c>
      <c r="H19" s="240">
        <f t="shared" si="13"/>
        <v>316</v>
      </c>
      <c r="I19" s="240">
        <f t="shared" si="13"/>
        <v>0</v>
      </c>
      <c r="J19" s="240">
        <f t="shared" si="13"/>
        <v>113</v>
      </c>
      <c r="K19" s="240">
        <f t="shared" si="13"/>
        <v>71</v>
      </c>
      <c r="L19" s="240">
        <f t="shared" si="13"/>
        <v>886</v>
      </c>
      <c r="M19" s="240">
        <f t="shared" si="13"/>
        <v>0</v>
      </c>
      <c r="N19" s="240">
        <f t="shared" si="13"/>
        <v>100</v>
      </c>
      <c r="O19" s="240">
        <f>O15+O16+O17-O18</f>
        <v>0</v>
      </c>
      <c r="P19" s="240">
        <f>P15+P16+P17-P18</f>
        <v>404</v>
      </c>
      <c r="Q19" s="2260">
        <f t="shared" ref="Q19" si="14">Q15+Q16+Q17-Q18</f>
        <v>405</v>
      </c>
      <c r="R19" s="2261"/>
      <c r="S19" s="237">
        <f>S15+S16-S17-S18</f>
        <v>0</v>
      </c>
      <c r="T19" s="2256" t="s">
        <v>48</v>
      </c>
      <c r="U19" s="49" t="s">
        <v>58</v>
      </c>
      <c r="V19" s="2262">
        <v>737000</v>
      </c>
      <c r="W19" s="2262"/>
      <c r="X19" s="2262"/>
      <c r="Y19" s="2269"/>
    </row>
    <row r="20" spans="1:25" ht="23.25" customHeight="1" x14ac:dyDescent="0.25">
      <c r="A20" s="210" t="s">
        <v>187</v>
      </c>
      <c r="B20" s="2284">
        <f>B19*0.9625</f>
        <v>242532.67500000002</v>
      </c>
      <c r="C20" s="2285"/>
      <c r="D20" s="211">
        <f>D19*13.56</f>
        <v>0</v>
      </c>
      <c r="E20" s="211">
        <f>28.2*E19</f>
        <v>8742</v>
      </c>
      <c r="F20" s="211">
        <f>18.31*F19</f>
        <v>36620</v>
      </c>
      <c r="G20" s="211">
        <f>19.3*G19</f>
        <v>0</v>
      </c>
      <c r="H20" s="211">
        <f>241*H19</f>
        <v>76156</v>
      </c>
      <c r="I20" s="211">
        <f>223*I19</f>
        <v>0</v>
      </c>
      <c r="J20" s="211">
        <f>241*J19</f>
        <v>27233</v>
      </c>
      <c r="K20" s="211">
        <f>K19*100</f>
        <v>7100</v>
      </c>
      <c r="L20" s="211">
        <f>241*L19</f>
        <v>213526</v>
      </c>
      <c r="M20" s="211">
        <f>9.65*M19</f>
        <v>0</v>
      </c>
      <c r="N20" s="211">
        <f>N19*48.2</f>
        <v>4820</v>
      </c>
      <c r="O20" s="211">
        <f>241*O19</f>
        <v>0</v>
      </c>
      <c r="P20" s="211">
        <f>241*P19</f>
        <v>97364</v>
      </c>
      <c r="Q20" s="2284">
        <f>241*Q19</f>
        <v>97605</v>
      </c>
      <c r="R20" s="2285"/>
      <c r="S20" s="211">
        <f>241*S19</f>
        <v>0</v>
      </c>
      <c r="T20" s="2257"/>
      <c r="U20" s="49" t="s">
        <v>59</v>
      </c>
      <c r="V20" s="2262"/>
      <c r="W20" s="2262"/>
      <c r="X20" s="2262"/>
      <c r="Y20" s="2269"/>
    </row>
    <row r="21" spans="1:25" ht="32.25" customHeight="1" x14ac:dyDescent="0.25">
      <c r="A21" s="143" t="s">
        <v>186</v>
      </c>
      <c r="B21" s="2283">
        <f>SUM(B20:S20)</f>
        <v>811698.67500000005</v>
      </c>
      <c r="C21" s="2283"/>
      <c r="O21" s="244"/>
      <c r="P21" s="244"/>
      <c r="Q21" s="244"/>
      <c r="R21" s="244"/>
      <c r="T21" s="2273" t="s">
        <v>167</v>
      </c>
      <c r="U21" s="2274"/>
      <c r="V21" s="2260"/>
      <c r="W21" s="2268"/>
      <c r="X21" s="2261"/>
      <c r="Y21" s="2269"/>
    </row>
    <row r="22" spans="1:25" ht="35.25" customHeight="1" x14ac:dyDescent="0.25">
      <c r="A22" s="15"/>
      <c r="B22" s="2275" t="s">
        <v>49</v>
      </c>
      <c r="C22" s="2265">
        <v>905709</v>
      </c>
      <c r="D22" s="2265">
        <v>737000</v>
      </c>
      <c r="E22" s="2265">
        <v>163850</v>
      </c>
      <c r="F22" s="2265">
        <f>C22-D22+E22</f>
        <v>332559</v>
      </c>
      <c r="G22" s="244"/>
      <c r="Q22" s="244"/>
      <c r="R22" s="244"/>
      <c r="T22" s="2251" t="s">
        <v>83</v>
      </c>
      <c r="U22" s="50" t="s">
        <v>60</v>
      </c>
      <c r="V22" s="2262">
        <v>752450</v>
      </c>
      <c r="W22" s="2262"/>
      <c r="X22" s="2262"/>
      <c r="Y22" s="2269"/>
    </row>
    <row r="23" spans="1:25" ht="39.75" customHeight="1" x14ac:dyDescent="0.25">
      <c r="A23" s="244"/>
      <c r="B23" s="2276"/>
      <c r="C23" s="2266"/>
      <c r="D23" s="2266"/>
      <c r="E23" s="2266"/>
      <c r="F23" s="2266"/>
      <c r="G23" s="244"/>
      <c r="Q23" s="244"/>
      <c r="R23" s="244"/>
      <c r="T23" s="2252"/>
      <c r="U23" s="50" t="s">
        <v>61</v>
      </c>
      <c r="V23" s="2262">
        <v>737000</v>
      </c>
      <c r="W23" s="2262"/>
      <c r="X23" s="2262"/>
      <c r="Y23" s="2269"/>
    </row>
    <row r="24" spans="1:25" ht="48" customHeight="1" x14ac:dyDescent="0.25">
      <c r="A24" s="244"/>
      <c r="B24" s="2277"/>
      <c r="C24" s="237" t="s">
        <v>46</v>
      </c>
      <c r="D24" s="237" t="s">
        <v>50</v>
      </c>
      <c r="E24" s="237" t="s">
        <v>51</v>
      </c>
      <c r="F24" s="237" t="s">
        <v>52</v>
      </c>
      <c r="G24" s="244"/>
      <c r="Q24" s="244"/>
      <c r="R24" s="244"/>
      <c r="T24" s="2235" t="s">
        <v>47</v>
      </c>
      <c r="U24" s="51" t="s">
        <v>62</v>
      </c>
      <c r="V24" s="2263">
        <f>V14+V16+V17-V18-V19-V20-V22+V23-V21</f>
        <v>2923.6074999999255</v>
      </c>
      <c r="W24" s="2263"/>
      <c r="X24" s="2263"/>
      <c r="Y24" s="2269"/>
    </row>
    <row r="25" spans="1:25" ht="40.5" customHeight="1" x14ac:dyDescent="0.25">
      <c r="T25" s="2235"/>
      <c r="U25" s="51" t="s">
        <v>63</v>
      </c>
      <c r="V25" s="2262">
        <f>V15+V22-V23</f>
        <v>26162</v>
      </c>
      <c r="W25" s="2262"/>
      <c r="X25" s="2262"/>
    </row>
    <row r="26" spans="1:25" ht="36" customHeight="1" x14ac:dyDescent="0.25"/>
    <row r="32" spans="1:25" x14ac:dyDescent="0.25">
      <c r="I32" s="2280"/>
      <c r="J32" s="2280"/>
      <c r="K32" s="2280"/>
      <c r="L32" s="2280"/>
    </row>
    <row r="33" spans="9:12" x14ac:dyDescent="0.25">
      <c r="I33" s="244"/>
      <c r="J33" s="244"/>
      <c r="K33" s="2280"/>
      <c r="L33" s="2280"/>
    </row>
  </sheetData>
  <mergeCells count="62">
    <mergeCell ref="A1:Y1"/>
    <mergeCell ref="A2:Y2"/>
    <mergeCell ref="T3:Y3"/>
    <mergeCell ref="A4:A5"/>
    <mergeCell ref="B4:B5"/>
    <mergeCell ref="C4:D4"/>
    <mergeCell ref="E4:F4"/>
    <mergeCell ref="G4:H4"/>
    <mergeCell ref="I4:J4"/>
    <mergeCell ref="K4:L4"/>
    <mergeCell ref="Y4:Y5"/>
    <mergeCell ref="M4:N4"/>
    <mergeCell ref="O4:P4"/>
    <mergeCell ref="Q4:R4"/>
    <mergeCell ref="S4:T4"/>
    <mergeCell ref="U4:V4"/>
    <mergeCell ref="W4:X4"/>
    <mergeCell ref="B16:C16"/>
    <mergeCell ref="Q16:R16"/>
    <mergeCell ref="T16:U16"/>
    <mergeCell ref="V16:X16"/>
    <mergeCell ref="A12:B12"/>
    <mergeCell ref="B14:C14"/>
    <mergeCell ref="Q14:R14"/>
    <mergeCell ref="T14:T15"/>
    <mergeCell ref="V14:X14"/>
    <mergeCell ref="B15:C15"/>
    <mergeCell ref="Q15:R15"/>
    <mergeCell ref="V15:X15"/>
    <mergeCell ref="B17:C17"/>
    <mergeCell ref="Q17:R17"/>
    <mergeCell ref="T17:U17"/>
    <mergeCell ref="V17:X17"/>
    <mergeCell ref="B18:C18"/>
    <mergeCell ref="Q18:R18"/>
    <mergeCell ref="T18:U18"/>
    <mergeCell ref="V18:X18"/>
    <mergeCell ref="Y18:Y24"/>
    <mergeCell ref="B19:C19"/>
    <mergeCell ref="Q19:R19"/>
    <mergeCell ref="T19:T20"/>
    <mergeCell ref="V19:X19"/>
    <mergeCell ref="B20:C20"/>
    <mergeCell ref="B22:B24"/>
    <mergeCell ref="C22:C23"/>
    <mergeCell ref="D22:D23"/>
    <mergeCell ref="E22:E23"/>
    <mergeCell ref="F22:F23"/>
    <mergeCell ref="Q20:R20"/>
    <mergeCell ref="V20:X20"/>
    <mergeCell ref="B21:C21"/>
    <mergeCell ref="T21:U21"/>
    <mergeCell ref="V21:X21"/>
    <mergeCell ref="I32:J32"/>
    <mergeCell ref="K32:L32"/>
    <mergeCell ref="K33:L33"/>
    <mergeCell ref="T22:T23"/>
    <mergeCell ref="V22:X22"/>
    <mergeCell ref="V23:X23"/>
    <mergeCell ref="T24:T25"/>
    <mergeCell ref="V24:X24"/>
    <mergeCell ref="V25:X25"/>
  </mergeCells>
  <pageMargins left="0.15748031496063" right="0.15748031496063" top="0" bottom="0" header="0" footer="0"/>
  <pageSetup paperSize="9" scale="47" orientation="landscape" r:id="rId1"/>
  <legacyDrawing r:id="rId2"/>
</worksheet>
</file>

<file path=xl/worksheets/sheet9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4E4AA74-2931-4A18-8DB8-3C90BD15696F}">
  <sheetPr>
    <pageSetUpPr fitToPage="1"/>
  </sheetPr>
  <dimension ref="A1:Y33"/>
  <sheetViews>
    <sheetView topLeftCell="A10" zoomScale="71" zoomScaleNormal="71" zoomScaleSheetLayoutView="100" workbookViewId="0">
      <selection activeCell="O23" sqref="O23"/>
    </sheetView>
  </sheetViews>
  <sheetFormatPr defaultColWidth="9.140625" defaultRowHeight="15" x14ac:dyDescent="0.25"/>
  <cols>
    <col min="1" max="1" width="18.28515625" style="14" customWidth="1"/>
    <col min="2" max="2" width="10.7109375" style="14" customWidth="1"/>
    <col min="3" max="3" width="12.28515625" style="14" customWidth="1"/>
    <col min="4" max="4" width="11" style="14" customWidth="1"/>
    <col min="5" max="5" width="12" style="14" customWidth="1"/>
    <col min="6" max="6" width="12.5703125" style="14" bestFit="1" customWidth="1"/>
    <col min="7" max="7" width="9.28515625" style="14" bestFit="1" customWidth="1"/>
    <col min="8" max="8" width="10.140625" style="14" bestFit="1" customWidth="1"/>
    <col min="9" max="9" width="10.5703125" style="14" bestFit="1" customWidth="1"/>
    <col min="10" max="10" width="10.5703125" style="14" customWidth="1"/>
    <col min="11" max="11" width="10.28515625" style="14" bestFit="1" customWidth="1"/>
    <col min="12" max="12" width="10.42578125" style="14" bestFit="1" customWidth="1"/>
    <col min="13" max="13" width="9.85546875" style="14" bestFit="1" customWidth="1"/>
    <col min="14" max="14" width="10.140625" style="14" bestFit="1" customWidth="1"/>
    <col min="15" max="15" width="9" style="14" customWidth="1"/>
    <col min="16" max="16" width="12.85546875" style="14" bestFit="1" customWidth="1"/>
    <col min="17" max="18" width="9.42578125" style="14" customWidth="1"/>
    <col min="19" max="19" width="13.7109375" style="14" customWidth="1"/>
    <col min="20" max="20" width="12.140625" style="14" customWidth="1"/>
    <col min="21" max="21" width="19.5703125" style="14" bestFit="1" customWidth="1"/>
    <col min="22" max="22" width="9.85546875" style="14" customWidth="1"/>
    <col min="23" max="23" width="10.140625" style="14" bestFit="1" customWidth="1"/>
    <col min="24" max="24" width="10.28515625" style="14" customWidth="1"/>
    <col min="25" max="25" width="28" style="14" customWidth="1"/>
    <col min="26" max="16384" width="9.140625" style="14"/>
  </cols>
  <sheetData>
    <row r="1" spans="1:25" ht="46.15" customHeight="1" x14ac:dyDescent="0.25">
      <c r="A1" s="2240" t="s">
        <v>148</v>
      </c>
      <c r="B1" s="2240"/>
      <c r="C1" s="2240"/>
      <c r="D1" s="2240"/>
      <c r="E1" s="2240"/>
      <c r="F1" s="2240"/>
      <c r="G1" s="2240"/>
      <c r="H1" s="2240"/>
      <c r="I1" s="2240"/>
      <c r="J1" s="2240"/>
      <c r="K1" s="2240"/>
      <c r="L1" s="2240"/>
      <c r="M1" s="2240"/>
      <c r="N1" s="2240"/>
      <c r="O1" s="2240"/>
      <c r="P1" s="2240"/>
      <c r="Q1" s="2240"/>
      <c r="R1" s="2240"/>
      <c r="S1" s="2240"/>
      <c r="T1" s="2240"/>
      <c r="U1" s="2240"/>
      <c r="V1" s="2240"/>
      <c r="W1" s="2240"/>
      <c r="X1" s="2240"/>
      <c r="Y1" s="2240"/>
    </row>
    <row r="2" spans="1:25" ht="21.6" customHeight="1" x14ac:dyDescent="0.25">
      <c r="A2" s="2241" t="s">
        <v>77</v>
      </c>
      <c r="B2" s="2241"/>
      <c r="C2" s="2241"/>
      <c r="D2" s="2241"/>
      <c r="E2" s="2241"/>
      <c r="F2" s="2241"/>
      <c r="G2" s="2241"/>
      <c r="H2" s="2241"/>
      <c r="I2" s="2241"/>
      <c r="J2" s="2241"/>
      <c r="K2" s="2241"/>
      <c r="L2" s="2241"/>
      <c r="M2" s="2241"/>
      <c r="N2" s="2241"/>
      <c r="O2" s="2241"/>
      <c r="P2" s="2241"/>
      <c r="Q2" s="2241"/>
      <c r="R2" s="2241"/>
      <c r="S2" s="2241"/>
      <c r="T2" s="2241"/>
      <c r="U2" s="2241"/>
      <c r="V2" s="2241"/>
      <c r="W2" s="2241"/>
      <c r="X2" s="2241"/>
      <c r="Y2" s="2241"/>
    </row>
    <row r="3" spans="1:25" ht="21" customHeight="1" x14ac:dyDescent="0.25">
      <c r="A3" s="250"/>
      <c r="B3" s="250"/>
      <c r="C3" s="250"/>
      <c r="D3" s="250"/>
      <c r="E3" s="250"/>
      <c r="F3" s="250"/>
      <c r="G3" s="250"/>
      <c r="H3" s="250"/>
      <c r="I3" s="250"/>
      <c r="J3" s="250"/>
      <c r="K3" s="250"/>
      <c r="L3" s="250"/>
      <c r="M3" s="250"/>
      <c r="N3" s="250"/>
      <c r="O3" s="250"/>
      <c r="P3" s="250"/>
      <c r="Q3" s="250"/>
      <c r="R3" s="250"/>
      <c r="S3" s="250"/>
      <c r="T3" s="2242" t="s">
        <v>274</v>
      </c>
      <c r="U3" s="2242"/>
      <c r="V3" s="2242"/>
      <c r="W3" s="2242"/>
      <c r="X3" s="2242"/>
      <c r="Y3" s="2242"/>
    </row>
    <row r="4" spans="1:25" s="250" customFormat="1" ht="18" customHeight="1" x14ac:dyDescent="0.25">
      <c r="A4" s="2243" t="s">
        <v>25</v>
      </c>
      <c r="B4" s="2243" t="s">
        <v>26</v>
      </c>
      <c r="C4" s="2244" t="s">
        <v>27</v>
      </c>
      <c r="D4" s="2244"/>
      <c r="E4" s="2244" t="s">
        <v>28</v>
      </c>
      <c r="F4" s="2244"/>
      <c r="G4" s="2244" t="s">
        <v>65</v>
      </c>
      <c r="H4" s="2244"/>
      <c r="I4" s="2244" t="s">
        <v>29</v>
      </c>
      <c r="J4" s="2244"/>
      <c r="K4" s="2245" t="s">
        <v>13</v>
      </c>
      <c r="L4" s="2246"/>
      <c r="M4" s="2245" t="s">
        <v>67</v>
      </c>
      <c r="N4" s="2246"/>
      <c r="O4" s="2245" t="s">
        <v>68</v>
      </c>
      <c r="P4" s="2246"/>
      <c r="Q4" s="2245" t="s">
        <v>114</v>
      </c>
      <c r="R4" s="2246"/>
      <c r="S4" s="2244" t="s">
        <v>35</v>
      </c>
      <c r="T4" s="2244"/>
      <c r="U4" s="2245" t="s">
        <v>17</v>
      </c>
      <c r="V4" s="2246"/>
      <c r="W4" s="2247" t="s">
        <v>36</v>
      </c>
      <c r="X4" s="2248"/>
      <c r="Y4" s="2238" t="s">
        <v>30</v>
      </c>
    </row>
    <row r="5" spans="1:25" s="250" customFormat="1" ht="25.5" customHeight="1" x14ac:dyDescent="0.25">
      <c r="A5" s="2243"/>
      <c r="B5" s="2243"/>
      <c r="C5" s="249" t="s">
        <v>42</v>
      </c>
      <c r="D5" s="249" t="s">
        <v>43</v>
      </c>
      <c r="E5" s="249" t="s">
        <v>42</v>
      </c>
      <c r="F5" s="249" t="s">
        <v>43</v>
      </c>
      <c r="G5" s="249" t="s">
        <v>42</v>
      </c>
      <c r="H5" s="249" t="s">
        <v>43</v>
      </c>
      <c r="I5" s="249" t="s">
        <v>42</v>
      </c>
      <c r="J5" s="249" t="s">
        <v>43</v>
      </c>
      <c r="K5" s="249" t="s">
        <v>42</v>
      </c>
      <c r="L5" s="249" t="s">
        <v>43</v>
      </c>
      <c r="M5" s="249" t="s">
        <v>42</v>
      </c>
      <c r="N5" s="249" t="s">
        <v>43</v>
      </c>
      <c r="O5" s="249" t="s">
        <v>42</v>
      </c>
      <c r="P5" s="249" t="s">
        <v>43</v>
      </c>
      <c r="Q5" s="249" t="s">
        <v>42</v>
      </c>
      <c r="R5" s="249" t="s">
        <v>43</v>
      </c>
      <c r="S5" s="33" t="s">
        <v>42</v>
      </c>
      <c r="T5" s="33" t="s">
        <v>43</v>
      </c>
      <c r="U5" s="30" t="s">
        <v>42</v>
      </c>
      <c r="V5" s="30" t="s">
        <v>43</v>
      </c>
      <c r="W5" s="30" t="s">
        <v>42</v>
      </c>
      <c r="X5" s="30" t="s">
        <v>43</v>
      </c>
      <c r="Y5" s="2239"/>
    </row>
    <row r="6" spans="1:25" ht="34.5" customHeight="1" x14ac:dyDescent="0.25">
      <c r="A6" s="12">
        <v>1409935200</v>
      </c>
      <c r="B6" s="248" t="s">
        <v>71</v>
      </c>
      <c r="C6" s="246">
        <v>25920</v>
      </c>
      <c r="D6" s="245">
        <f>0.9725*C6</f>
        <v>25207.200000000001</v>
      </c>
      <c r="E6" s="246"/>
      <c r="F6" s="246">
        <f>13.7*E6</f>
        <v>0</v>
      </c>
      <c r="G6" s="246">
        <v>80</v>
      </c>
      <c r="H6" s="246">
        <f>28.2*G6</f>
        <v>2256</v>
      </c>
      <c r="I6" s="246"/>
      <c r="J6" s="246">
        <f>18.5*I6</f>
        <v>0</v>
      </c>
      <c r="K6" s="246"/>
      <c r="L6" s="246">
        <f>19.5*K6</f>
        <v>0</v>
      </c>
      <c r="M6" s="246"/>
      <c r="N6" s="245">
        <f>M6*9.75</f>
        <v>0</v>
      </c>
      <c r="O6" s="246"/>
      <c r="P6" s="245">
        <f>O6*48.62</f>
        <v>0</v>
      </c>
      <c r="Q6" s="245"/>
      <c r="R6" s="245">
        <f>241*Q6</f>
        <v>0</v>
      </c>
      <c r="S6" s="246"/>
      <c r="T6" s="246">
        <f>241*S6</f>
        <v>0</v>
      </c>
      <c r="U6" s="246"/>
      <c r="V6" s="246">
        <f>232*U6</f>
        <v>0</v>
      </c>
      <c r="W6" s="246"/>
      <c r="X6" s="19">
        <f>W6*100</f>
        <v>0</v>
      </c>
      <c r="Y6" s="89">
        <f t="shared" ref="Y6:Y11" si="0">D6+F6+H6+J6+L6+N6+P6+R6+T6+V6+X6</f>
        <v>27463.200000000001</v>
      </c>
    </row>
    <row r="7" spans="1:25" ht="31.5" customHeight="1" x14ac:dyDescent="0.25">
      <c r="A7" s="12">
        <v>1984225578</v>
      </c>
      <c r="B7" s="248" t="s">
        <v>72</v>
      </c>
      <c r="C7" s="246">
        <v>17714</v>
      </c>
      <c r="D7" s="245">
        <f t="shared" ref="D7:D11" si="1">0.9725*C7</f>
        <v>17226.865000000002</v>
      </c>
      <c r="E7" s="246"/>
      <c r="F7" s="246">
        <f t="shared" ref="F7:F11" si="2">13.7*E7</f>
        <v>0</v>
      </c>
      <c r="G7" s="246">
        <v>30</v>
      </c>
      <c r="H7" s="246">
        <f t="shared" ref="H7:H11" si="3">28.2*G7</f>
        <v>846</v>
      </c>
      <c r="I7" s="246">
        <v>250</v>
      </c>
      <c r="J7" s="246">
        <f t="shared" ref="J7:J11" si="4">18.5*I7</f>
        <v>4625</v>
      </c>
      <c r="K7" s="246"/>
      <c r="L7" s="246">
        <f t="shared" ref="L7:L11" si="5">19.5*K7</f>
        <v>0</v>
      </c>
      <c r="M7" s="246"/>
      <c r="N7" s="245">
        <f t="shared" ref="N7:N11" si="6">M7*9.75</f>
        <v>0</v>
      </c>
      <c r="O7" s="246"/>
      <c r="P7" s="245">
        <f t="shared" ref="P7:P11" si="7">O7*48.62</f>
        <v>0</v>
      </c>
      <c r="Q7" s="245"/>
      <c r="R7" s="245">
        <f t="shared" ref="R7:R11" si="8">241*Q7</f>
        <v>0</v>
      </c>
      <c r="S7" s="246">
        <v>14</v>
      </c>
      <c r="T7" s="246">
        <f t="shared" ref="T7:T11" si="9">241*S7</f>
        <v>3374</v>
      </c>
      <c r="U7" s="246"/>
      <c r="V7" s="246">
        <f t="shared" ref="V7:V11" si="10">232*U7</f>
        <v>0</v>
      </c>
      <c r="W7" s="246"/>
      <c r="X7" s="19">
        <f t="shared" ref="X7:X11" si="11">W7*100</f>
        <v>0</v>
      </c>
      <c r="Y7" s="89">
        <f t="shared" si="0"/>
        <v>26071.865000000002</v>
      </c>
    </row>
    <row r="8" spans="1:25" ht="35.25" customHeight="1" x14ac:dyDescent="0.25">
      <c r="A8" s="12">
        <v>1967020280</v>
      </c>
      <c r="B8" s="248" t="s">
        <v>73</v>
      </c>
      <c r="C8" s="246">
        <v>19421</v>
      </c>
      <c r="D8" s="245">
        <f t="shared" si="1"/>
        <v>18886.922500000001</v>
      </c>
      <c r="E8" s="246"/>
      <c r="F8" s="246">
        <f t="shared" si="2"/>
        <v>0</v>
      </c>
      <c r="G8" s="246"/>
      <c r="H8" s="246">
        <f t="shared" si="3"/>
        <v>0</v>
      </c>
      <c r="I8" s="246"/>
      <c r="J8" s="246">
        <f t="shared" si="4"/>
        <v>0</v>
      </c>
      <c r="K8" s="246"/>
      <c r="L8" s="246">
        <f t="shared" si="5"/>
        <v>0</v>
      </c>
      <c r="M8" s="246"/>
      <c r="N8" s="245">
        <f t="shared" si="6"/>
        <v>0</v>
      </c>
      <c r="O8" s="246"/>
      <c r="P8" s="245">
        <f t="shared" si="7"/>
        <v>0</v>
      </c>
      <c r="Q8" s="245"/>
      <c r="R8" s="245">
        <f t="shared" si="8"/>
        <v>0</v>
      </c>
      <c r="S8" s="246"/>
      <c r="T8" s="246">
        <f t="shared" si="9"/>
        <v>0</v>
      </c>
      <c r="U8" s="246"/>
      <c r="V8" s="246">
        <f t="shared" si="10"/>
        <v>0</v>
      </c>
      <c r="W8" s="246"/>
      <c r="X8" s="19">
        <f t="shared" si="11"/>
        <v>0</v>
      </c>
      <c r="Y8" s="89">
        <f t="shared" si="0"/>
        <v>18886.922500000001</v>
      </c>
    </row>
    <row r="9" spans="1:25" ht="38.25" customHeight="1" x14ac:dyDescent="0.25">
      <c r="A9" s="12">
        <v>1409935199</v>
      </c>
      <c r="B9" s="248" t="s">
        <v>75</v>
      </c>
      <c r="C9" s="246">
        <v>8643</v>
      </c>
      <c r="D9" s="245">
        <f t="shared" si="1"/>
        <v>8405.317500000001</v>
      </c>
      <c r="E9" s="246"/>
      <c r="F9" s="246">
        <f t="shared" si="2"/>
        <v>0</v>
      </c>
      <c r="G9" s="246"/>
      <c r="H9" s="246">
        <f t="shared" si="3"/>
        <v>0</v>
      </c>
      <c r="I9" s="246"/>
      <c r="J9" s="246">
        <f t="shared" si="4"/>
        <v>0</v>
      </c>
      <c r="K9" s="246"/>
      <c r="L9" s="246">
        <f t="shared" si="5"/>
        <v>0</v>
      </c>
      <c r="M9" s="246"/>
      <c r="N9" s="245">
        <f t="shared" si="6"/>
        <v>0</v>
      </c>
      <c r="O9" s="246"/>
      <c r="P9" s="245">
        <f t="shared" si="7"/>
        <v>0</v>
      </c>
      <c r="Q9" s="245"/>
      <c r="R9" s="245">
        <f t="shared" si="8"/>
        <v>0</v>
      </c>
      <c r="S9" s="246"/>
      <c r="T9" s="246">
        <f t="shared" si="9"/>
        <v>0</v>
      </c>
      <c r="U9" s="246"/>
      <c r="V9" s="246">
        <f t="shared" si="10"/>
        <v>0</v>
      </c>
      <c r="W9" s="246"/>
      <c r="X9" s="19">
        <f t="shared" si="11"/>
        <v>0</v>
      </c>
      <c r="Y9" s="89">
        <f t="shared" si="0"/>
        <v>8405.317500000001</v>
      </c>
    </row>
    <row r="10" spans="1:25" ht="35.25" customHeight="1" x14ac:dyDescent="0.25">
      <c r="A10" s="12">
        <v>1984225580</v>
      </c>
      <c r="C10" s="246"/>
      <c r="D10" s="245">
        <f t="shared" si="1"/>
        <v>0</v>
      </c>
      <c r="E10" s="246"/>
      <c r="F10" s="246">
        <f t="shared" si="2"/>
        <v>0</v>
      </c>
      <c r="G10" s="246"/>
      <c r="H10" s="246">
        <f t="shared" si="3"/>
        <v>0</v>
      </c>
      <c r="I10" s="246"/>
      <c r="J10" s="246">
        <f t="shared" si="4"/>
        <v>0</v>
      </c>
      <c r="K10" s="246"/>
      <c r="L10" s="246">
        <f t="shared" si="5"/>
        <v>0</v>
      </c>
      <c r="M10" s="246"/>
      <c r="N10" s="245">
        <f t="shared" si="6"/>
        <v>0</v>
      </c>
      <c r="O10" s="246"/>
      <c r="P10" s="245">
        <f t="shared" si="7"/>
        <v>0</v>
      </c>
      <c r="Q10" s="245"/>
      <c r="R10" s="245">
        <f t="shared" si="8"/>
        <v>0</v>
      </c>
      <c r="S10" s="246"/>
      <c r="T10" s="246">
        <f t="shared" si="9"/>
        <v>0</v>
      </c>
      <c r="U10" s="246"/>
      <c r="V10" s="246">
        <f t="shared" si="10"/>
        <v>0</v>
      </c>
      <c r="W10" s="246"/>
      <c r="X10" s="19">
        <f t="shared" si="11"/>
        <v>0</v>
      </c>
      <c r="Y10" s="89">
        <f t="shared" si="0"/>
        <v>0</v>
      </c>
    </row>
    <row r="11" spans="1:25" ht="37.5" customHeight="1" x14ac:dyDescent="0.25">
      <c r="A11" s="12"/>
      <c r="B11" s="247"/>
      <c r="C11" s="246"/>
      <c r="D11" s="22">
        <f t="shared" si="1"/>
        <v>0</v>
      </c>
      <c r="E11" s="246"/>
      <c r="F11" s="246">
        <f t="shared" si="2"/>
        <v>0</v>
      </c>
      <c r="G11" s="246"/>
      <c r="H11" s="246">
        <f t="shared" si="3"/>
        <v>0</v>
      </c>
      <c r="I11" s="246"/>
      <c r="J11" s="246">
        <f t="shared" si="4"/>
        <v>0</v>
      </c>
      <c r="K11" s="246"/>
      <c r="L11" s="246">
        <f t="shared" si="5"/>
        <v>0</v>
      </c>
      <c r="M11" s="246"/>
      <c r="N11" s="245">
        <f t="shared" si="6"/>
        <v>0</v>
      </c>
      <c r="O11" s="246"/>
      <c r="P11" s="245">
        <f t="shared" si="7"/>
        <v>0</v>
      </c>
      <c r="Q11" s="245"/>
      <c r="R11" s="245">
        <f t="shared" si="8"/>
        <v>0</v>
      </c>
      <c r="S11" s="246"/>
      <c r="T11" s="246">
        <f t="shared" si="9"/>
        <v>0</v>
      </c>
      <c r="U11" s="246"/>
      <c r="V11" s="246">
        <f t="shared" si="10"/>
        <v>0</v>
      </c>
      <c r="W11" s="246"/>
      <c r="X11" s="19">
        <f t="shared" si="11"/>
        <v>0</v>
      </c>
      <c r="Y11" s="20">
        <f t="shared" si="0"/>
        <v>0</v>
      </c>
    </row>
    <row r="12" spans="1:25" ht="29.25" customHeight="1" x14ac:dyDescent="0.25">
      <c r="A12" s="2235" t="s">
        <v>31</v>
      </c>
      <c r="B12" s="2235"/>
      <c r="C12" s="18">
        <f t="shared" ref="C12:Y12" si="12">SUM(C6:C11)</f>
        <v>71698</v>
      </c>
      <c r="D12" s="18">
        <f t="shared" si="12"/>
        <v>69726.305000000008</v>
      </c>
      <c r="E12" s="18">
        <f t="shared" si="12"/>
        <v>0</v>
      </c>
      <c r="F12" s="18">
        <f t="shared" si="12"/>
        <v>0</v>
      </c>
      <c r="G12" s="18">
        <f t="shared" si="12"/>
        <v>110</v>
      </c>
      <c r="H12" s="18">
        <f t="shared" si="12"/>
        <v>3102</v>
      </c>
      <c r="I12" s="18">
        <f t="shared" si="12"/>
        <v>250</v>
      </c>
      <c r="J12" s="18">
        <f t="shared" si="12"/>
        <v>4625</v>
      </c>
      <c r="K12" s="18">
        <f t="shared" si="12"/>
        <v>0</v>
      </c>
      <c r="L12" s="18">
        <f t="shared" si="12"/>
        <v>0</v>
      </c>
      <c r="M12" s="18">
        <f t="shared" si="12"/>
        <v>0</v>
      </c>
      <c r="N12" s="23">
        <f t="shared" si="12"/>
        <v>0</v>
      </c>
      <c r="O12" s="18">
        <f t="shared" si="12"/>
        <v>0</v>
      </c>
      <c r="P12" s="23">
        <f t="shared" si="12"/>
        <v>0</v>
      </c>
      <c r="Q12" s="23">
        <f t="shared" si="12"/>
        <v>0</v>
      </c>
      <c r="R12" s="23">
        <f>SUM(R6:R11)</f>
        <v>0</v>
      </c>
      <c r="S12" s="18">
        <f t="shared" si="12"/>
        <v>14</v>
      </c>
      <c r="T12" s="18">
        <f t="shared" si="12"/>
        <v>3374</v>
      </c>
      <c r="U12" s="18">
        <f t="shared" si="12"/>
        <v>0</v>
      </c>
      <c r="V12" s="18">
        <f t="shared" si="12"/>
        <v>0</v>
      </c>
      <c r="W12" s="18">
        <f t="shared" si="12"/>
        <v>0</v>
      </c>
      <c r="X12" s="18">
        <f t="shared" si="12"/>
        <v>0</v>
      </c>
      <c r="Y12" s="18">
        <f t="shared" si="12"/>
        <v>80827.305000000008</v>
      </c>
    </row>
    <row r="14" spans="1:25" ht="41.25" customHeight="1" x14ac:dyDescent="0.25">
      <c r="A14" s="30" t="s">
        <v>32</v>
      </c>
      <c r="B14" s="2236" t="s">
        <v>27</v>
      </c>
      <c r="C14" s="2236"/>
      <c r="D14" s="30" t="s">
        <v>33</v>
      </c>
      <c r="E14" s="30" t="s">
        <v>65</v>
      </c>
      <c r="F14" s="30" t="s">
        <v>34</v>
      </c>
      <c r="G14" s="30" t="s">
        <v>13</v>
      </c>
      <c r="H14" s="142" t="s">
        <v>173</v>
      </c>
      <c r="I14" s="30" t="s">
        <v>17</v>
      </c>
      <c r="J14" s="254" t="s">
        <v>174</v>
      </c>
      <c r="K14" s="30" t="s">
        <v>36</v>
      </c>
      <c r="L14" s="30" t="s">
        <v>175</v>
      </c>
      <c r="M14" s="30" t="s">
        <v>69</v>
      </c>
      <c r="N14" s="30" t="s">
        <v>70</v>
      </c>
      <c r="O14" s="254" t="s">
        <v>114</v>
      </c>
      <c r="P14" s="254" t="s">
        <v>99</v>
      </c>
      <c r="Q14" s="2272" t="s">
        <v>256</v>
      </c>
      <c r="R14" s="2272"/>
      <c r="S14" s="254"/>
      <c r="T14" s="2235" t="s">
        <v>46</v>
      </c>
      <c r="U14" s="248" t="s">
        <v>176</v>
      </c>
      <c r="V14" s="2260">
        <v>2924</v>
      </c>
      <c r="W14" s="2268"/>
      <c r="X14" s="2261"/>
    </row>
    <row r="15" spans="1:25" ht="22.5" customHeight="1" x14ac:dyDescent="0.25">
      <c r="A15" s="100" t="s">
        <v>38</v>
      </c>
      <c r="B15" s="2260">
        <v>251982</v>
      </c>
      <c r="C15" s="2261"/>
      <c r="D15" s="251">
        <v>0</v>
      </c>
      <c r="E15" s="251">
        <v>310</v>
      </c>
      <c r="F15" s="251">
        <v>2000</v>
      </c>
      <c r="G15" s="251">
        <v>0</v>
      </c>
      <c r="H15" s="251">
        <v>316</v>
      </c>
      <c r="I15" s="251">
        <v>0</v>
      </c>
      <c r="J15" s="251">
        <v>113</v>
      </c>
      <c r="K15" s="251">
        <v>71</v>
      </c>
      <c r="L15" s="251">
        <v>886</v>
      </c>
      <c r="M15" s="251">
        <v>0</v>
      </c>
      <c r="N15" s="251">
        <v>100</v>
      </c>
      <c r="O15" s="251">
        <v>0</v>
      </c>
      <c r="P15" s="251">
        <v>404</v>
      </c>
      <c r="Q15" s="2262">
        <v>405</v>
      </c>
      <c r="R15" s="2262"/>
      <c r="S15" s="248">
        <v>0</v>
      </c>
      <c r="T15" s="2235"/>
      <c r="U15" s="248" t="s">
        <v>64</v>
      </c>
      <c r="V15" s="2262">
        <v>26162</v>
      </c>
      <c r="W15" s="2262"/>
      <c r="X15" s="2262"/>
    </row>
    <row r="16" spans="1:25" ht="24.75" customHeight="1" x14ac:dyDescent="0.25">
      <c r="A16" s="100" t="s">
        <v>39</v>
      </c>
      <c r="B16" s="2260">
        <v>77992</v>
      </c>
      <c r="C16" s="2261"/>
      <c r="D16" s="251"/>
      <c r="E16" s="251"/>
      <c r="F16" s="251"/>
      <c r="G16" s="251"/>
      <c r="H16" s="251"/>
      <c r="I16" s="251"/>
      <c r="J16" s="251"/>
      <c r="K16" s="251"/>
      <c r="L16" s="251"/>
      <c r="M16" s="251"/>
      <c r="N16" s="251"/>
      <c r="O16" s="251"/>
      <c r="P16" s="251"/>
      <c r="Q16" s="2225"/>
      <c r="R16" s="2225"/>
      <c r="S16" s="251"/>
      <c r="T16" s="2254" t="s">
        <v>55</v>
      </c>
      <c r="U16" s="2254"/>
      <c r="V16" s="2267">
        <f>Y12</f>
        <v>80827.305000000008</v>
      </c>
      <c r="W16" s="2267"/>
      <c r="X16" s="2262"/>
    </row>
    <row r="17" spans="1:25" ht="28.5" customHeight="1" x14ac:dyDescent="0.25">
      <c r="A17" s="101" t="s">
        <v>44</v>
      </c>
      <c r="B17" s="2260"/>
      <c r="C17" s="2261"/>
      <c r="D17" s="251"/>
      <c r="E17" s="251"/>
      <c r="F17" s="251"/>
      <c r="G17" s="251"/>
      <c r="H17" s="251"/>
      <c r="I17" s="251"/>
      <c r="J17" s="251"/>
      <c r="K17" s="251"/>
      <c r="L17" s="251"/>
      <c r="M17" s="251"/>
      <c r="N17" s="251"/>
      <c r="O17" s="251"/>
      <c r="P17" s="251"/>
      <c r="Q17" s="2225"/>
      <c r="R17" s="2225"/>
      <c r="S17" s="247"/>
      <c r="T17" s="2273" t="s">
        <v>87</v>
      </c>
      <c r="U17" s="2274"/>
      <c r="V17" s="2262"/>
      <c r="W17" s="2262"/>
      <c r="X17" s="2262"/>
    </row>
    <row r="18" spans="1:25" ht="27" customHeight="1" x14ac:dyDescent="0.25">
      <c r="A18" s="100" t="s">
        <v>40</v>
      </c>
      <c r="B18" s="2264">
        <f>C12</f>
        <v>71698</v>
      </c>
      <c r="C18" s="2261"/>
      <c r="D18" s="253">
        <f>E12</f>
        <v>0</v>
      </c>
      <c r="E18" s="253">
        <f>G12</f>
        <v>110</v>
      </c>
      <c r="F18" s="253">
        <f>I12</f>
        <v>250</v>
      </c>
      <c r="G18" s="253">
        <f>K12</f>
        <v>0</v>
      </c>
      <c r="H18" s="251">
        <v>14</v>
      </c>
      <c r="I18" s="253">
        <f>U12</f>
        <v>0</v>
      </c>
      <c r="J18" s="251"/>
      <c r="K18" s="253">
        <f>W12</f>
        <v>0</v>
      </c>
      <c r="L18" s="251"/>
      <c r="M18" s="253">
        <f>M12</f>
        <v>0</v>
      </c>
      <c r="N18" s="253">
        <f>O12</f>
        <v>0</v>
      </c>
      <c r="O18" s="252">
        <f>Q12</f>
        <v>0</v>
      </c>
      <c r="P18" s="251"/>
      <c r="Q18" s="2262"/>
      <c r="R18" s="2262"/>
      <c r="S18" s="248"/>
      <c r="T18" s="2254" t="s">
        <v>57</v>
      </c>
      <c r="U18" s="2254"/>
      <c r="V18" s="2262">
        <f>470+90+370+700</f>
        <v>1630</v>
      </c>
      <c r="W18" s="2262"/>
      <c r="X18" s="2262"/>
      <c r="Y18" s="2269" t="s">
        <v>275</v>
      </c>
    </row>
    <row r="19" spans="1:25" ht="25.5" customHeight="1" x14ac:dyDescent="0.25">
      <c r="A19" s="100" t="s">
        <v>41</v>
      </c>
      <c r="B19" s="2260">
        <f>B15+B16+B17-B18</f>
        <v>258276</v>
      </c>
      <c r="C19" s="2261"/>
      <c r="D19" s="251">
        <f>D15+D16+D17-D18</f>
        <v>0</v>
      </c>
      <c r="E19" s="251">
        <f t="shared" ref="E19:N19" si="13">E15+E16+E17-E18</f>
        <v>200</v>
      </c>
      <c r="F19" s="251">
        <f t="shared" si="13"/>
        <v>1750</v>
      </c>
      <c r="G19" s="251">
        <f t="shared" si="13"/>
        <v>0</v>
      </c>
      <c r="H19" s="251">
        <f t="shared" si="13"/>
        <v>302</v>
      </c>
      <c r="I19" s="251">
        <f t="shared" si="13"/>
        <v>0</v>
      </c>
      <c r="J19" s="251">
        <f t="shared" si="13"/>
        <v>113</v>
      </c>
      <c r="K19" s="251">
        <f t="shared" si="13"/>
        <v>71</v>
      </c>
      <c r="L19" s="251">
        <f t="shared" si="13"/>
        <v>886</v>
      </c>
      <c r="M19" s="251">
        <f t="shared" si="13"/>
        <v>0</v>
      </c>
      <c r="N19" s="251">
        <f t="shared" si="13"/>
        <v>100</v>
      </c>
      <c r="O19" s="251">
        <f>O15+O16+O17-O18</f>
        <v>0</v>
      </c>
      <c r="P19" s="251">
        <f>P15+P16+P17-P18</f>
        <v>404</v>
      </c>
      <c r="Q19" s="2260">
        <f t="shared" ref="Q19" si="14">Q15+Q16+Q17-Q18</f>
        <v>405</v>
      </c>
      <c r="R19" s="2261"/>
      <c r="S19" s="248">
        <f>S15+S16-S17-S18</f>
        <v>0</v>
      </c>
      <c r="T19" s="2256" t="s">
        <v>48</v>
      </c>
      <c r="U19" s="49" t="s">
        <v>58</v>
      </c>
      <c r="V19" s="2262">
        <v>100000</v>
      </c>
      <c r="W19" s="2262"/>
      <c r="X19" s="2262"/>
      <c r="Y19" s="2269"/>
    </row>
    <row r="20" spans="1:25" ht="23.25" customHeight="1" x14ac:dyDescent="0.25">
      <c r="A20" s="210" t="s">
        <v>187</v>
      </c>
      <c r="B20" s="2284">
        <f>B19*0.9625</f>
        <v>248590.65</v>
      </c>
      <c r="C20" s="2285"/>
      <c r="D20" s="211">
        <f>D19*13.56</f>
        <v>0</v>
      </c>
      <c r="E20" s="211">
        <f>28.2*E19</f>
        <v>5640</v>
      </c>
      <c r="F20" s="211">
        <f>18.31*F19</f>
        <v>32042.499999999996</v>
      </c>
      <c r="G20" s="211">
        <f>19.3*G19</f>
        <v>0</v>
      </c>
      <c r="H20" s="211">
        <f>241*H19</f>
        <v>72782</v>
      </c>
      <c r="I20" s="211">
        <f>223*I19</f>
        <v>0</v>
      </c>
      <c r="J20" s="211">
        <f>241*J19</f>
        <v>27233</v>
      </c>
      <c r="K20" s="211">
        <f>K19*100</f>
        <v>7100</v>
      </c>
      <c r="L20" s="211">
        <f>241*L19</f>
        <v>213526</v>
      </c>
      <c r="M20" s="211">
        <f>9.65*M19</f>
        <v>0</v>
      </c>
      <c r="N20" s="211">
        <f>N19*48.2</f>
        <v>4820</v>
      </c>
      <c r="O20" s="211">
        <f>241*O19</f>
        <v>0</v>
      </c>
      <c r="P20" s="211">
        <f>241*P19</f>
        <v>97364</v>
      </c>
      <c r="Q20" s="2284">
        <f>241*Q19</f>
        <v>97605</v>
      </c>
      <c r="R20" s="2285"/>
      <c r="S20" s="211">
        <f>241*S19</f>
        <v>0</v>
      </c>
      <c r="T20" s="2257"/>
      <c r="U20" s="49" t="s">
        <v>59</v>
      </c>
      <c r="V20" s="2262"/>
      <c r="W20" s="2262"/>
      <c r="X20" s="2262"/>
      <c r="Y20" s="2269"/>
    </row>
    <row r="21" spans="1:25" ht="32.25" customHeight="1" x14ac:dyDescent="0.25">
      <c r="A21" s="143" t="s">
        <v>186</v>
      </c>
      <c r="B21" s="2283">
        <f>SUM(B20:S20)</f>
        <v>806703.14999999991</v>
      </c>
      <c r="C21" s="2283"/>
      <c r="O21" s="255"/>
      <c r="P21" s="255"/>
      <c r="Q21" s="255"/>
      <c r="R21" s="255"/>
      <c r="T21" s="2273" t="s">
        <v>167</v>
      </c>
      <c r="U21" s="2274"/>
      <c r="V21" s="2260"/>
      <c r="W21" s="2268"/>
      <c r="X21" s="2261"/>
      <c r="Y21" s="2269"/>
    </row>
    <row r="22" spans="1:25" ht="35.25" customHeight="1" x14ac:dyDescent="0.25">
      <c r="A22" s="15"/>
      <c r="B22" s="2275" t="s">
        <v>49</v>
      </c>
      <c r="C22" s="2265">
        <v>332559</v>
      </c>
      <c r="D22" s="2265">
        <v>100000</v>
      </c>
      <c r="E22" s="2265">
        <v>75000</v>
      </c>
      <c r="F22" s="2265">
        <f>C22-D22+E22</f>
        <v>307559</v>
      </c>
      <c r="G22" s="255"/>
      <c r="Q22" s="255"/>
      <c r="R22" s="255"/>
      <c r="T22" s="2251" t="s">
        <v>83</v>
      </c>
      <c r="U22" s="50" t="s">
        <v>60</v>
      </c>
      <c r="V22" s="2262">
        <v>80490</v>
      </c>
      <c r="W22" s="2262"/>
      <c r="X22" s="2262"/>
      <c r="Y22" s="2269"/>
    </row>
    <row r="23" spans="1:25" ht="39.75" customHeight="1" x14ac:dyDescent="0.25">
      <c r="A23" s="255"/>
      <c r="B23" s="2276"/>
      <c r="C23" s="2266"/>
      <c r="D23" s="2266"/>
      <c r="E23" s="2266"/>
      <c r="F23" s="2266"/>
      <c r="G23" s="255"/>
      <c r="Q23" s="255"/>
      <c r="R23" s="255"/>
      <c r="T23" s="2252"/>
      <c r="U23" s="50" t="s">
        <v>61</v>
      </c>
      <c r="V23" s="2262">
        <v>100000</v>
      </c>
      <c r="W23" s="2262"/>
      <c r="X23" s="2262"/>
      <c r="Y23" s="2269"/>
    </row>
    <row r="24" spans="1:25" ht="48" customHeight="1" x14ac:dyDescent="0.25">
      <c r="A24" s="255"/>
      <c r="B24" s="2277"/>
      <c r="C24" s="248" t="s">
        <v>46</v>
      </c>
      <c r="D24" s="248" t="s">
        <v>50</v>
      </c>
      <c r="E24" s="248" t="s">
        <v>51</v>
      </c>
      <c r="F24" s="248" t="s">
        <v>52</v>
      </c>
      <c r="G24" s="255"/>
      <c r="Q24" s="255"/>
      <c r="R24" s="255"/>
      <c r="T24" s="2235" t="s">
        <v>47</v>
      </c>
      <c r="U24" s="51" t="s">
        <v>62</v>
      </c>
      <c r="V24" s="2263">
        <f>V14+V16+V17-V18-V19-V20-V22+V23-V21</f>
        <v>1631.3050000000076</v>
      </c>
      <c r="W24" s="2263"/>
      <c r="X24" s="2263"/>
      <c r="Y24" s="2269"/>
    </row>
    <row r="25" spans="1:25" ht="40.5" customHeight="1" x14ac:dyDescent="0.25">
      <c r="T25" s="2235"/>
      <c r="U25" s="51" t="s">
        <v>63</v>
      </c>
      <c r="V25" s="2262">
        <f>V15+V22-V23</f>
        <v>6652</v>
      </c>
      <c r="W25" s="2262"/>
      <c r="X25" s="2262"/>
    </row>
    <row r="26" spans="1:25" ht="36" customHeight="1" x14ac:dyDescent="0.25"/>
    <row r="32" spans="1:25" x14ac:dyDescent="0.25">
      <c r="I32" s="2280"/>
      <c r="J32" s="2280"/>
      <c r="K32" s="2280"/>
      <c r="L32" s="2280"/>
    </row>
    <row r="33" spans="9:12" x14ac:dyDescent="0.25">
      <c r="I33" s="255"/>
      <c r="J33" s="255"/>
      <c r="K33" s="2280"/>
      <c r="L33" s="2280"/>
    </row>
  </sheetData>
  <mergeCells count="62">
    <mergeCell ref="A1:Y1"/>
    <mergeCell ref="A2:Y2"/>
    <mergeCell ref="T3:Y3"/>
    <mergeCell ref="A4:A5"/>
    <mergeCell ref="B4:B5"/>
    <mergeCell ref="C4:D4"/>
    <mergeCell ref="E4:F4"/>
    <mergeCell ref="G4:H4"/>
    <mergeCell ref="I4:J4"/>
    <mergeCell ref="K4:L4"/>
    <mergeCell ref="Y4:Y5"/>
    <mergeCell ref="M4:N4"/>
    <mergeCell ref="O4:P4"/>
    <mergeCell ref="Q4:R4"/>
    <mergeCell ref="S4:T4"/>
    <mergeCell ref="U4:V4"/>
    <mergeCell ref="W4:X4"/>
    <mergeCell ref="B16:C16"/>
    <mergeCell ref="Q16:R16"/>
    <mergeCell ref="T16:U16"/>
    <mergeCell ref="V16:X16"/>
    <mergeCell ref="A12:B12"/>
    <mergeCell ref="B14:C14"/>
    <mergeCell ref="Q14:R14"/>
    <mergeCell ref="T14:T15"/>
    <mergeCell ref="V14:X14"/>
    <mergeCell ref="B15:C15"/>
    <mergeCell ref="Q15:R15"/>
    <mergeCell ref="V15:X15"/>
    <mergeCell ref="B17:C17"/>
    <mergeCell ref="Q17:R17"/>
    <mergeCell ref="T17:U17"/>
    <mergeCell ref="V17:X17"/>
    <mergeCell ref="B18:C18"/>
    <mergeCell ref="Q18:R18"/>
    <mergeCell ref="T18:U18"/>
    <mergeCell ref="V18:X18"/>
    <mergeCell ref="Y18:Y24"/>
    <mergeCell ref="B19:C19"/>
    <mergeCell ref="Q19:R19"/>
    <mergeCell ref="T19:T20"/>
    <mergeCell ref="V19:X19"/>
    <mergeCell ref="B20:C20"/>
    <mergeCell ref="B22:B24"/>
    <mergeCell ref="C22:C23"/>
    <mergeCell ref="D22:D23"/>
    <mergeCell ref="E22:E23"/>
    <mergeCell ref="F22:F23"/>
    <mergeCell ref="Q20:R20"/>
    <mergeCell ref="V20:X20"/>
    <mergeCell ref="B21:C21"/>
    <mergeCell ref="T21:U21"/>
    <mergeCell ref="V21:X21"/>
    <mergeCell ref="I32:J32"/>
    <mergeCell ref="K32:L32"/>
    <mergeCell ref="K33:L33"/>
    <mergeCell ref="T22:T23"/>
    <mergeCell ref="V22:X22"/>
    <mergeCell ref="V23:X23"/>
    <mergeCell ref="T24:T25"/>
    <mergeCell ref="V24:X24"/>
    <mergeCell ref="V25:X25"/>
  </mergeCells>
  <pageMargins left="0.15748031496063" right="0.15748031496063" top="0" bottom="0" header="0" footer="0"/>
  <pageSetup paperSize="9" scale="47" orientation="landscape" r:id="rId1"/>
  <legacyDrawing r:id="rId2"/>
</worksheet>
</file>

<file path=xl/worksheets/sheet9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B70E7CD-1F37-4AAE-834F-C6AF9191E75D}">
  <sheetPr>
    <pageSetUpPr fitToPage="1"/>
  </sheetPr>
  <dimension ref="A1:Y33"/>
  <sheetViews>
    <sheetView topLeftCell="A5" zoomScale="71" zoomScaleNormal="71" zoomScaleSheetLayoutView="100" workbookViewId="0">
      <selection activeCell="P23" sqref="P23"/>
    </sheetView>
  </sheetViews>
  <sheetFormatPr defaultColWidth="9.140625" defaultRowHeight="15" x14ac:dyDescent="0.25"/>
  <cols>
    <col min="1" max="1" width="18.28515625" style="14" customWidth="1"/>
    <col min="2" max="2" width="10.7109375" style="14" customWidth="1"/>
    <col min="3" max="3" width="12.28515625" style="14" customWidth="1"/>
    <col min="4" max="4" width="11" style="14" customWidth="1"/>
    <col min="5" max="5" width="12" style="14" customWidth="1"/>
    <col min="6" max="6" width="12.5703125" style="14" bestFit="1" customWidth="1"/>
    <col min="7" max="7" width="9.28515625" style="14" bestFit="1" customWidth="1"/>
    <col min="8" max="8" width="10.140625" style="14" bestFit="1" customWidth="1"/>
    <col min="9" max="9" width="10.5703125" style="14" bestFit="1" customWidth="1"/>
    <col min="10" max="10" width="10.5703125" style="14" customWidth="1"/>
    <col min="11" max="11" width="10.28515625" style="14" bestFit="1" customWidth="1"/>
    <col min="12" max="12" width="10.42578125" style="14" bestFit="1" customWidth="1"/>
    <col min="13" max="13" width="9.85546875" style="14" bestFit="1" customWidth="1"/>
    <col min="14" max="14" width="10.140625" style="14" bestFit="1" customWidth="1"/>
    <col min="15" max="15" width="9" style="14" customWidth="1"/>
    <col min="16" max="16" width="12.85546875" style="14" bestFit="1" customWidth="1"/>
    <col min="17" max="18" width="9.42578125" style="14" customWidth="1"/>
    <col min="19" max="19" width="13.7109375" style="14" customWidth="1"/>
    <col min="20" max="20" width="12.140625" style="14" customWidth="1"/>
    <col min="21" max="21" width="19.5703125" style="14" bestFit="1" customWidth="1"/>
    <col min="22" max="22" width="9.85546875" style="14" customWidth="1"/>
    <col min="23" max="23" width="10.140625" style="14" bestFit="1" customWidth="1"/>
    <col min="24" max="24" width="10.28515625" style="14" customWidth="1"/>
    <col min="25" max="25" width="28" style="14" customWidth="1"/>
    <col min="26" max="16384" width="9.140625" style="14"/>
  </cols>
  <sheetData>
    <row r="1" spans="1:25" ht="46.15" customHeight="1" x14ac:dyDescent="0.25">
      <c r="A1" s="2240" t="s">
        <v>148</v>
      </c>
      <c r="B1" s="2240"/>
      <c r="C1" s="2240"/>
      <c r="D1" s="2240"/>
      <c r="E1" s="2240"/>
      <c r="F1" s="2240"/>
      <c r="G1" s="2240"/>
      <c r="H1" s="2240"/>
      <c r="I1" s="2240"/>
      <c r="J1" s="2240"/>
      <c r="K1" s="2240"/>
      <c r="L1" s="2240"/>
      <c r="M1" s="2240"/>
      <c r="N1" s="2240"/>
      <c r="O1" s="2240"/>
      <c r="P1" s="2240"/>
      <c r="Q1" s="2240"/>
      <c r="R1" s="2240"/>
      <c r="S1" s="2240"/>
      <c r="T1" s="2240"/>
      <c r="U1" s="2240"/>
      <c r="V1" s="2240"/>
      <c r="W1" s="2240"/>
      <c r="X1" s="2240"/>
      <c r="Y1" s="2240"/>
    </row>
    <row r="2" spans="1:25" ht="21.6" customHeight="1" x14ac:dyDescent="0.25">
      <c r="A2" s="2241" t="s">
        <v>77</v>
      </c>
      <c r="B2" s="2241"/>
      <c r="C2" s="2241"/>
      <c r="D2" s="2241"/>
      <c r="E2" s="2241"/>
      <c r="F2" s="2241"/>
      <c r="G2" s="2241"/>
      <c r="H2" s="2241"/>
      <c r="I2" s="2241"/>
      <c r="J2" s="2241"/>
      <c r="K2" s="2241"/>
      <c r="L2" s="2241"/>
      <c r="M2" s="2241"/>
      <c r="N2" s="2241"/>
      <c r="O2" s="2241"/>
      <c r="P2" s="2241"/>
      <c r="Q2" s="2241"/>
      <c r="R2" s="2241"/>
      <c r="S2" s="2241"/>
      <c r="T2" s="2241"/>
      <c r="U2" s="2241"/>
      <c r="V2" s="2241"/>
      <c r="W2" s="2241"/>
      <c r="X2" s="2241"/>
      <c r="Y2" s="2241"/>
    </row>
    <row r="3" spans="1:25" ht="21" customHeight="1" x14ac:dyDescent="0.25">
      <c r="A3" s="250"/>
      <c r="B3" s="250"/>
      <c r="C3" s="250"/>
      <c r="D3" s="250"/>
      <c r="E3" s="250"/>
      <c r="F3" s="250"/>
      <c r="G3" s="250"/>
      <c r="H3" s="250"/>
      <c r="I3" s="250"/>
      <c r="J3" s="250"/>
      <c r="K3" s="250"/>
      <c r="L3" s="250"/>
      <c r="M3" s="250"/>
      <c r="N3" s="250"/>
      <c r="O3" s="250"/>
      <c r="P3" s="250"/>
      <c r="Q3" s="250"/>
      <c r="R3" s="250"/>
      <c r="S3" s="250"/>
      <c r="T3" s="2242" t="s">
        <v>276</v>
      </c>
      <c r="U3" s="2242"/>
      <c r="V3" s="2242"/>
      <c r="W3" s="2242"/>
      <c r="X3" s="2242"/>
      <c r="Y3" s="2242"/>
    </row>
    <row r="4" spans="1:25" s="250" customFormat="1" ht="18" customHeight="1" x14ac:dyDescent="0.25">
      <c r="A4" s="2243" t="s">
        <v>25</v>
      </c>
      <c r="B4" s="2243" t="s">
        <v>26</v>
      </c>
      <c r="C4" s="2244" t="s">
        <v>27</v>
      </c>
      <c r="D4" s="2244"/>
      <c r="E4" s="2244" t="s">
        <v>28</v>
      </c>
      <c r="F4" s="2244"/>
      <c r="G4" s="2244" t="s">
        <v>65</v>
      </c>
      <c r="H4" s="2244"/>
      <c r="I4" s="2244" t="s">
        <v>29</v>
      </c>
      <c r="J4" s="2244"/>
      <c r="K4" s="2245" t="s">
        <v>13</v>
      </c>
      <c r="L4" s="2246"/>
      <c r="M4" s="2245" t="s">
        <v>67</v>
      </c>
      <c r="N4" s="2246"/>
      <c r="O4" s="2245" t="s">
        <v>68</v>
      </c>
      <c r="P4" s="2246"/>
      <c r="Q4" s="2245" t="s">
        <v>114</v>
      </c>
      <c r="R4" s="2246"/>
      <c r="S4" s="2244" t="s">
        <v>35</v>
      </c>
      <c r="T4" s="2244"/>
      <c r="U4" s="2245" t="s">
        <v>17</v>
      </c>
      <c r="V4" s="2246"/>
      <c r="W4" s="2247" t="s">
        <v>36</v>
      </c>
      <c r="X4" s="2248"/>
      <c r="Y4" s="2238" t="s">
        <v>30</v>
      </c>
    </row>
    <row r="5" spans="1:25" s="250" customFormat="1" ht="25.5" customHeight="1" x14ac:dyDescent="0.25">
      <c r="A5" s="2243"/>
      <c r="B5" s="2243"/>
      <c r="C5" s="249" t="s">
        <v>42</v>
      </c>
      <c r="D5" s="249" t="s">
        <v>43</v>
      </c>
      <c r="E5" s="249" t="s">
        <v>42</v>
      </c>
      <c r="F5" s="249" t="s">
        <v>43</v>
      </c>
      <c r="G5" s="249" t="s">
        <v>42</v>
      </c>
      <c r="H5" s="249" t="s">
        <v>43</v>
      </c>
      <c r="I5" s="249" t="s">
        <v>42</v>
      </c>
      <c r="J5" s="249" t="s">
        <v>43</v>
      </c>
      <c r="K5" s="249" t="s">
        <v>42</v>
      </c>
      <c r="L5" s="249" t="s">
        <v>43</v>
      </c>
      <c r="M5" s="249" t="s">
        <v>42</v>
      </c>
      <c r="N5" s="249" t="s">
        <v>43</v>
      </c>
      <c r="O5" s="249" t="s">
        <v>42</v>
      </c>
      <c r="P5" s="249" t="s">
        <v>43</v>
      </c>
      <c r="Q5" s="249" t="s">
        <v>42</v>
      </c>
      <c r="R5" s="249" t="s">
        <v>43</v>
      </c>
      <c r="S5" s="33" t="s">
        <v>42</v>
      </c>
      <c r="T5" s="33" t="s">
        <v>43</v>
      </c>
      <c r="U5" s="30" t="s">
        <v>42</v>
      </c>
      <c r="V5" s="30" t="s">
        <v>43</v>
      </c>
      <c r="W5" s="30" t="s">
        <v>42</v>
      </c>
      <c r="X5" s="30" t="s">
        <v>43</v>
      </c>
      <c r="Y5" s="2239"/>
    </row>
    <row r="6" spans="1:25" ht="34.5" customHeight="1" x14ac:dyDescent="0.25">
      <c r="A6" s="12">
        <v>1409935200</v>
      </c>
      <c r="B6" s="248" t="s">
        <v>71</v>
      </c>
      <c r="C6" s="246">
        <v>31375</v>
      </c>
      <c r="D6" s="245">
        <f>0.9725*C6</f>
        <v>30512.1875</v>
      </c>
      <c r="E6" s="246"/>
      <c r="F6" s="246">
        <f>13.7*E6</f>
        <v>0</v>
      </c>
      <c r="G6" s="246"/>
      <c r="H6" s="246">
        <f>28.2*G6</f>
        <v>0</v>
      </c>
      <c r="I6" s="246">
        <v>420</v>
      </c>
      <c r="J6" s="246">
        <f>18.5*I6</f>
        <v>7770</v>
      </c>
      <c r="K6" s="246"/>
      <c r="L6" s="246">
        <f>19.5*K6</f>
        <v>0</v>
      </c>
      <c r="M6" s="246"/>
      <c r="N6" s="245">
        <f>M6*9.75</f>
        <v>0</v>
      </c>
      <c r="O6" s="246"/>
      <c r="P6" s="245">
        <f>O6*48.62</f>
        <v>0</v>
      </c>
      <c r="Q6" s="245"/>
      <c r="R6" s="245">
        <f>241*Q6</f>
        <v>0</v>
      </c>
      <c r="S6" s="246"/>
      <c r="T6" s="246">
        <f>241*S6</f>
        <v>0</v>
      </c>
      <c r="U6" s="246"/>
      <c r="V6" s="246">
        <f>232*U6</f>
        <v>0</v>
      </c>
      <c r="W6" s="246"/>
      <c r="X6" s="19">
        <f>W6*100</f>
        <v>0</v>
      </c>
      <c r="Y6" s="89">
        <f t="shared" ref="Y6:Y11" si="0">D6+F6+H6+J6+L6+N6+P6+R6+T6+V6+X6</f>
        <v>38282.1875</v>
      </c>
    </row>
    <row r="7" spans="1:25" ht="31.5" customHeight="1" x14ac:dyDescent="0.25">
      <c r="A7" s="12">
        <v>1984225578</v>
      </c>
      <c r="B7" s="248" t="s">
        <v>72</v>
      </c>
      <c r="C7" s="246">
        <v>18073</v>
      </c>
      <c r="D7" s="245">
        <f t="shared" ref="D7:D11" si="1">0.9725*C7</f>
        <v>17575.9925</v>
      </c>
      <c r="E7" s="246"/>
      <c r="F7" s="246">
        <f t="shared" ref="F7:F11" si="2">13.7*E7</f>
        <v>0</v>
      </c>
      <c r="G7" s="246"/>
      <c r="H7" s="246">
        <f t="shared" ref="H7:H11" si="3">28.2*G7</f>
        <v>0</v>
      </c>
      <c r="I7" s="246">
        <v>577</v>
      </c>
      <c r="J7" s="246">
        <f t="shared" ref="J7:J11" si="4">18.5*I7</f>
        <v>10674.5</v>
      </c>
      <c r="K7" s="246"/>
      <c r="L7" s="246">
        <f t="shared" ref="L7:L11" si="5">19.5*K7</f>
        <v>0</v>
      </c>
      <c r="M7" s="246"/>
      <c r="N7" s="245">
        <f t="shared" ref="N7:N11" si="6">M7*9.75</f>
        <v>0</v>
      </c>
      <c r="O7" s="246"/>
      <c r="P7" s="245">
        <f t="shared" ref="P7:P11" si="7">O7*48.62</f>
        <v>0</v>
      </c>
      <c r="Q7" s="245"/>
      <c r="R7" s="245">
        <f t="shared" ref="R7:R11" si="8">241*Q7</f>
        <v>0</v>
      </c>
      <c r="S7" s="246">
        <v>8</v>
      </c>
      <c r="T7" s="246">
        <f t="shared" ref="T7:T11" si="9">241*S7</f>
        <v>1928</v>
      </c>
      <c r="U7" s="246"/>
      <c r="V7" s="246">
        <f t="shared" ref="V7:V11" si="10">232*U7</f>
        <v>0</v>
      </c>
      <c r="W7" s="246"/>
      <c r="X7" s="19">
        <f t="shared" ref="X7:X11" si="11">W7*100</f>
        <v>0</v>
      </c>
      <c r="Y7" s="89">
        <f t="shared" si="0"/>
        <v>30178.4925</v>
      </c>
    </row>
    <row r="8" spans="1:25" ht="35.25" customHeight="1" x14ac:dyDescent="0.25">
      <c r="A8" s="12">
        <v>1967020280</v>
      </c>
      <c r="B8" s="248" t="s">
        <v>73</v>
      </c>
      <c r="C8" s="246">
        <v>10374</v>
      </c>
      <c r="D8" s="245">
        <f t="shared" si="1"/>
        <v>10088.715</v>
      </c>
      <c r="E8" s="246"/>
      <c r="F8" s="246">
        <f t="shared" si="2"/>
        <v>0</v>
      </c>
      <c r="G8" s="246"/>
      <c r="H8" s="246">
        <f t="shared" si="3"/>
        <v>0</v>
      </c>
      <c r="I8" s="246">
        <v>323</v>
      </c>
      <c r="J8" s="246">
        <f t="shared" si="4"/>
        <v>5975.5</v>
      </c>
      <c r="K8" s="246"/>
      <c r="L8" s="246">
        <f t="shared" si="5"/>
        <v>0</v>
      </c>
      <c r="M8" s="246"/>
      <c r="N8" s="245">
        <f t="shared" si="6"/>
        <v>0</v>
      </c>
      <c r="O8" s="246"/>
      <c r="P8" s="245">
        <f t="shared" si="7"/>
        <v>0</v>
      </c>
      <c r="Q8" s="245"/>
      <c r="R8" s="245">
        <f t="shared" si="8"/>
        <v>0</v>
      </c>
      <c r="S8" s="246"/>
      <c r="T8" s="246">
        <f t="shared" si="9"/>
        <v>0</v>
      </c>
      <c r="U8" s="246"/>
      <c r="V8" s="246">
        <f t="shared" si="10"/>
        <v>0</v>
      </c>
      <c r="W8" s="246"/>
      <c r="X8" s="19">
        <f t="shared" si="11"/>
        <v>0</v>
      </c>
      <c r="Y8" s="89">
        <f t="shared" si="0"/>
        <v>16064.215</v>
      </c>
    </row>
    <row r="9" spans="1:25" ht="38.25" customHeight="1" x14ac:dyDescent="0.25">
      <c r="A9" s="12">
        <v>1409935199</v>
      </c>
      <c r="B9" s="248" t="s">
        <v>75</v>
      </c>
      <c r="C9" s="246">
        <v>21582</v>
      </c>
      <c r="D9" s="245">
        <f t="shared" si="1"/>
        <v>20988.494999999999</v>
      </c>
      <c r="E9" s="246"/>
      <c r="F9" s="246">
        <f t="shared" si="2"/>
        <v>0</v>
      </c>
      <c r="G9" s="246"/>
      <c r="H9" s="246">
        <f t="shared" si="3"/>
        <v>0</v>
      </c>
      <c r="I9" s="246">
        <v>430</v>
      </c>
      <c r="J9" s="246">
        <f t="shared" si="4"/>
        <v>7955</v>
      </c>
      <c r="K9" s="246"/>
      <c r="L9" s="246">
        <f t="shared" si="5"/>
        <v>0</v>
      </c>
      <c r="M9" s="246"/>
      <c r="N9" s="245">
        <f t="shared" si="6"/>
        <v>0</v>
      </c>
      <c r="O9" s="246"/>
      <c r="P9" s="245">
        <f t="shared" si="7"/>
        <v>0</v>
      </c>
      <c r="Q9" s="245"/>
      <c r="R9" s="245">
        <f t="shared" si="8"/>
        <v>0</v>
      </c>
      <c r="S9" s="246"/>
      <c r="T9" s="246">
        <f t="shared" si="9"/>
        <v>0</v>
      </c>
      <c r="U9" s="246"/>
      <c r="V9" s="246">
        <f t="shared" si="10"/>
        <v>0</v>
      </c>
      <c r="W9" s="246"/>
      <c r="X9" s="19">
        <f t="shared" si="11"/>
        <v>0</v>
      </c>
      <c r="Y9" s="89">
        <f t="shared" si="0"/>
        <v>28943.494999999999</v>
      </c>
    </row>
    <row r="10" spans="1:25" ht="35.25" customHeight="1" x14ac:dyDescent="0.25">
      <c r="A10" s="12">
        <v>1984225580</v>
      </c>
      <c r="C10" s="246"/>
      <c r="D10" s="245">
        <f t="shared" si="1"/>
        <v>0</v>
      </c>
      <c r="E10" s="246"/>
      <c r="F10" s="246">
        <f t="shared" si="2"/>
        <v>0</v>
      </c>
      <c r="G10" s="246"/>
      <c r="H10" s="246">
        <f t="shared" si="3"/>
        <v>0</v>
      </c>
      <c r="I10" s="246">
        <v>1500</v>
      </c>
      <c r="J10" s="246">
        <f t="shared" si="4"/>
        <v>27750</v>
      </c>
      <c r="K10" s="246"/>
      <c r="L10" s="246">
        <f t="shared" si="5"/>
        <v>0</v>
      </c>
      <c r="M10" s="246"/>
      <c r="N10" s="245">
        <f t="shared" si="6"/>
        <v>0</v>
      </c>
      <c r="O10" s="246"/>
      <c r="P10" s="245">
        <f t="shared" si="7"/>
        <v>0</v>
      </c>
      <c r="Q10" s="245"/>
      <c r="R10" s="245">
        <f t="shared" si="8"/>
        <v>0</v>
      </c>
      <c r="S10" s="246"/>
      <c r="T10" s="246">
        <f t="shared" si="9"/>
        <v>0</v>
      </c>
      <c r="U10" s="246"/>
      <c r="V10" s="246">
        <f t="shared" si="10"/>
        <v>0</v>
      </c>
      <c r="W10" s="246"/>
      <c r="X10" s="19">
        <f t="shared" si="11"/>
        <v>0</v>
      </c>
      <c r="Y10" s="89">
        <f t="shared" si="0"/>
        <v>27750</v>
      </c>
    </row>
    <row r="11" spans="1:25" ht="37.5" customHeight="1" x14ac:dyDescent="0.25">
      <c r="A11" s="12"/>
      <c r="B11" s="247"/>
      <c r="C11" s="246"/>
      <c r="D11" s="22">
        <f t="shared" si="1"/>
        <v>0</v>
      </c>
      <c r="E11" s="246"/>
      <c r="F11" s="246">
        <f t="shared" si="2"/>
        <v>0</v>
      </c>
      <c r="G11" s="246"/>
      <c r="H11" s="246">
        <f t="shared" si="3"/>
        <v>0</v>
      </c>
      <c r="I11" s="246"/>
      <c r="J11" s="246">
        <f t="shared" si="4"/>
        <v>0</v>
      </c>
      <c r="K11" s="246"/>
      <c r="L11" s="246">
        <f t="shared" si="5"/>
        <v>0</v>
      </c>
      <c r="M11" s="246"/>
      <c r="N11" s="245">
        <f t="shared" si="6"/>
        <v>0</v>
      </c>
      <c r="O11" s="246"/>
      <c r="P11" s="245">
        <f t="shared" si="7"/>
        <v>0</v>
      </c>
      <c r="Q11" s="245"/>
      <c r="R11" s="245">
        <f t="shared" si="8"/>
        <v>0</v>
      </c>
      <c r="S11" s="246"/>
      <c r="T11" s="246">
        <f t="shared" si="9"/>
        <v>0</v>
      </c>
      <c r="U11" s="246"/>
      <c r="V11" s="246">
        <f t="shared" si="10"/>
        <v>0</v>
      </c>
      <c r="W11" s="246"/>
      <c r="X11" s="19">
        <f t="shared" si="11"/>
        <v>0</v>
      </c>
      <c r="Y11" s="20">
        <f t="shared" si="0"/>
        <v>0</v>
      </c>
    </row>
    <row r="12" spans="1:25" ht="29.25" customHeight="1" x14ac:dyDescent="0.25">
      <c r="A12" s="2235" t="s">
        <v>31</v>
      </c>
      <c r="B12" s="2235"/>
      <c r="C12" s="18">
        <f t="shared" ref="C12:Y12" si="12">SUM(C6:C11)</f>
        <v>81404</v>
      </c>
      <c r="D12" s="18">
        <f t="shared" si="12"/>
        <v>79165.39</v>
      </c>
      <c r="E12" s="18">
        <f t="shared" si="12"/>
        <v>0</v>
      </c>
      <c r="F12" s="18">
        <f t="shared" si="12"/>
        <v>0</v>
      </c>
      <c r="G12" s="18">
        <f t="shared" si="12"/>
        <v>0</v>
      </c>
      <c r="H12" s="18">
        <f t="shared" si="12"/>
        <v>0</v>
      </c>
      <c r="I12" s="18">
        <f t="shared" si="12"/>
        <v>3250</v>
      </c>
      <c r="J12" s="18">
        <f t="shared" si="12"/>
        <v>60125</v>
      </c>
      <c r="K12" s="18">
        <f t="shared" si="12"/>
        <v>0</v>
      </c>
      <c r="L12" s="18">
        <f t="shared" si="12"/>
        <v>0</v>
      </c>
      <c r="M12" s="18">
        <f t="shared" si="12"/>
        <v>0</v>
      </c>
      <c r="N12" s="23">
        <f t="shared" si="12"/>
        <v>0</v>
      </c>
      <c r="O12" s="18">
        <f t="shared" si="12"/>
        <v>0</v>
      </c>
      <c r="P12" s="23">
        <f t="shared" si="12"/>
        <v>0</v>
      </c>
      <c r="Q12" s="23">
        <f t="shared" si="12"/>
        <v>0</v>
      </c>
      <c r="R12" s="23">
        <f>SUM(R6:R11)</f>
        <v>0</v>
      </c>
      <c r="S12" s="18">
        <f t="shared" si="12"/>
        <v>8</v>
      </c>
      <c r="T12" s="18">
        <f t="shared" si="12"/>
        <v>1928</v>
      </c>
      <c r="U12" s="18">
        <f t="shared" si="12"/>
        <v>0</v>
      </c>
      <c r="V12" s="18">
        <f t="shared" si="12"/>
        <v>0</v>
      </c>
      <c r="W12" s="18">
        <f t="shared" si="12"/>
        <v>0</v>
      </c>
      <c r="X12" s="18">
        <f t="shared" si="12"/>
        <v>0</v>
      </c>
      <c r="Y12" s="18">
        <f t="shared" si="12"/>
        <v>141218.38999999998</v>
      </c>
    </row>
    <row r="14" spans="1:25" ht="41.25" customHeight="1" x14ac:dyDescent="0.25">
      <c r="A14" s="30" t="s">
        <v>32</v>
      </c>
      <c r="B14" s="2236" t="s">
        <v>27</v>
      </c>
      <c r="C14" s="2236"/>
      <c r="D14" s="30" t="s">
        <v>33</v>
      </c>
      <c r="E14" s="30" t="s">
        <v>65</v>
      </c>
      <c r="F14" s="30" t="s">
        <v>34</v>
      </c>
      <c r="G14" s="30" t="s">
        <v>13</v>
      </c>
      <c r="H14" s="142" t="s">
        <v>173</v>
      </c>
      <c r="I14" s="30" t="s">
        <v>17</v>
      </c>
      <c r="J14" s="254" t="s">
        <v>174</v>
      </c>
      <c r="K14" s="30" t="s">
        <v>36</v>
      </c>
      <c r="L14" s="30" t="s">
        <v>175</v>
      </c>
      <c r="M14" s="30" t="s">
        <v>69</v>
      </c>
      <c r="N14" s="30" t="s">
        <v>70</v>
      </c>
      <c r="O14" s="254" t="s">
        <v>114</v>
      </c>
      <c r="P14" s="254" t="s">
        <v>99</v>
      </c>
      <c r="Q14" s="2272" t="s">
        <v>256</v>
      </c>
      <c r="R14" s="2272"/>
      <c r="S14" s="254"/>
      <c r="T14" s="2235" t="s">
        <v>46</v>
      </c>
      <c r="U14" s="248" t="s">
        <v>176</v>
      </c>
      <c r="V14" s="2260">
        <v>1631</v>
      </c>
      <c r="W14" s="2268"/>
      <c r="X14" s="2261"/>
    </row>
    <row r="15" spans="1:25" ht="22.5" customHeight="1" x14ac:dyDescent="0.25">
      <c r="A15" s="100" t="s">
        <v>38</v>
      </c>
      <c r="B15" s="2260">
        <v>258276</v>
      </c>
      <c r="C15" s="2261"/>
      <c r="D15" s="251">
        <v>0</v>
      </c>
      <c r="E15" s="251">
        <v>200</v>
      </c>
      <c r="F15" s="251">
        <v>1750</v>
      </c>
      <c r="G15" s="251">
        <v>0</v>
      </c>
      <c r="H15" s="251">
        <v>302</v>
      </c>
      <c r="I15" s="251">
        <v>0</v>
      </c>
      <c r="J15" s="251">
        <v>113</v>
      </c>
      <c r="K15" s="251">
        <v>71</v>
      </c>
      <c r="L15" s="251">
        <v>886</v>
      </c>
      <c r="M15" s="251">
        <v>0</v>
      </c>
      <c r="N15" s="251">
        <v>100</v>
      </c>
      <c r="O15" s="251">
        <v>0</v>
      </c>
      <c r="P15" s="251">
        <v>404</v>
      </c>
      <c r="Q15" s="2262">
        <v>405</v>
      </c>
      <c r="R15" s="2262"/>
      <c r="S15" s="248">
        <v>0</v>
      </c>
      <c r="T15" s="2235"/>
      <c r="U15" s="248" t="s">
        <v>64</v>
      </c>
      <c r="V15" s="2262">
        <v>6652</v>
      </c>
      <c r="W15" s="2262"/>
      <c r="X15" s="2262"/>
    </row>
    <row r="16" spans="1:25" ht="24.75" customHeight="1" x14ac:dyDescent="0.25">
      <c r="A16" s="100" t="s">
        <v>39</v>
      </c>
      <c r="B16" s="2260">
        <v>77852</v>
      </c>
      <c r="C16" s="2261"/>
      <c r="D16" s="251"/>
      <c r="E16" s="251"/>
      <c r="F16" s="251">
        <v>5000</v>
      </c>
      <c r="G16" s="251"/>
      <c r="H16" s="251"/>
      <c r="I16" s="251">
        <v>75</v>
      </c>
      <c r="J16" s="251"/>
      <c r="K16" s="251"/>
      <c r="L16" s="251">
        <v>75</v>
      </c>
      <c r="M16" s="251"/>
      <c r="N16" s="251"/>
      <c r="O16" s="251"/>
      <c r="P16" s="251"/>
      <c r="Q16" s="2225"/>
      <c r="R16" s="2225"/>
      <c r="S16" s="251"/>
      <c r="T16" s="2254" t="s">
        <v>55</v>
      </c>
      <c r="U16" s="2254"/>
      <c r="V16" s="2267">
        <f>Y12</f>
        <v>141218.38999999998</v>
      </c>
      <c r="W16" s="2267"/>
      <c r="X16" s="2262"/>
    </row>
    <row r="17" spans="1:25" ht="28.5" customHeight="1" x14ac:dyDescent="0.25">
      <c r="A17" s="101" t="s">
        <v>44</v>
      </c>
      <c r="B17" s="2260"/>
      <c r="C17" s="2261"/>
      <c r="D17" s="251"/>
      <c r="E17" s="251"/>
      <c r="F17" s="251"/>
      <c r="G17" s="251"/>
      <c r="H17" s="251"/>
      <c r="I17" s="251"/>
      <c r="J17" s="251"/>
      <c r="K17" s="251"/>
      <c r="L17" s="251"/>
      <c r="M17" s="251"/>
      <c r="N17" s="251"/>
      <c r="O17" s="251"/>
      <c r="P17" s="251"/>
      <c r="Q17" s="2225"/>
      <c r="R17" s="2225"/>
      <c r="S17" s="247"/>
      <c r="T17" s="2273" t="s">
        <v>87</v>
      </c>
      <c r="U17" s="2274"/>
      <c r="V17" s="2262"/>
      <c r="W17" s="2262"/>
      <c r="X17" s="2262"/>
    </row>
    <row r="18" spans="1:25" ht="27" customHeight="1" x14ac:dyDescent="0.25">
      <c r="A18" s="100" t="s">
        <v>40</v>
      </c>
      <c r="B18" s="2264">
        <f>C12</f>
        <v>81404</v>
      </c>
      <c r="C18" s="2261"/>
      <c r="D18" s="253">
        <f>E12</f>
        <v>0</v>
      </c>
      <c r="E18" s="253">
        <f>G12</f>
        <v>0</v>
      </c>
      <c r="F18" s="253">
        <f>I12</f>
        <v>3250</v>
      </c>
      <c r="G18" s="253">
        <f>K12</f>
        <v>0</v>
      </c>
      <c r="H18" s="251">
        <v>83</v>
      </c>
      <c r="I18" s="253">
        <f>U12</f>
        <v>0</v>
      </c>
      <c r="J18" s="251"/>
      <c r="K18" s="253">
        <f>W12</f>
        <v>0</v>
      </c>
      <c r="L18" s="251"/>
      <c r="M18" s="253">
        <f>M12</f>
        <v>0</v>
      </c>
      <c r="N18" s="253">
        <f>O12</f>
        <v>0</v>
      </c>
      <c r="O18" s="252">
        <f>Q12</f>
        <v>0</v>
      </c>
      <c r="P18" s="251"/>
      <c r="Q18" s="2262"/>
      <c r="R18" s="2262"/>
      <c r="S18" s="248"/>
      <c r="T18" s="2254" t="s">
        <v>57</v>
      </c>
      <c r="U18" s="2254"/>
      <c r="V18" s="2262">
        <v>520</v>
      </c>
      <c r="W18" s="2262"/>
      <c r="X18" s="2262"/>
      <c r="Y18" s="2269" t="s">
        <v>217</v>
      </c>
    </row>
    <row r="19" spans="1:25" ht="25.5" customHeight="1" x14ac:dyDescent="0.25">
      <c r="A19" s="100" t="s">
        <v>41</v>
      </c>
      <c r="B19" s="2260">
        <f>B15+B16+B17-B18</f>
        <v>254724</v>
      </c>
      <c r="C19" s="2261"/>
      <c r="D19" s="251">
        <f>D15+D16+D17-D18</f>
        <v>0</v>
      </c>
      <c r="E19" s="251">
        <f t="shared" ref="E19:N19" si="13">E15+E16+E17-E18</f>
        <v>200</v>
      </c>
      <c r="F19" s="251">
        <f t="shared" si="13"/>
        <v>3500</v>
      </c>
      <c r="G19" s="251">
        <f t="shared" si="13"/>
        <v>0</v>
      </c>
      <c r="H19" s="251">
        <f t="shared" si="13"/>
        <v>219</v>
      </c>
      <c r="I19" s="251">
        <f t="shared" si="13"/>
        <v>75</v>
      </c>
      <c r="J19" s="251">
        <f t="shared" si="13"/>
        <v>113</v>
      </c>
      <c r="K19" s="251">
        <f t="shared" si="13"/>
        <v>71</v>
      </c>
      <c r="L19" s="251">
        <f t="shared" si="13"/>
        <v>961</v>
      </c>
      <c r="M19" s="251">
        <f t="shared" si="13"/>
        <v>0</v>
      </c>
      <c r="N19" s="251">
        <f t="shared" si="13"/>
        <v>100</v>
      </c>
      <c r="O19" s="251">
        <f>O15+O16+O17-O18</f>
        <v>0</v>
      </c>
      <c r="P19" s="251">
        <f>P15+P16+P17-P18</f>
        <v>404</v>
      </c>
      <c r="Q19" s="2260">
        <f t="shared" ref="Q19" si="14">Q15+Q16+Q17-Q18</f>
        <v>405</v>
      </c>
      <c r="R19" s="2261"/>
      <c r="S19" s="248">
        <f>S15+S16-S17-S18</f>
        <v>0</v>
      </c>
      <c r="T19" s="2256" t="s">
        <v>48</v>
      </c>
      <c r="U19" s="49" t="s">
        <v>58</v>
      </c>
      <c r="V19" s="2262">
        <v>138850</v>
      </c>
      <c r="W19" s="2262"/>
      <c r="X19" s="2262"/>
      <c r="Y19" s="2269"/>
    </row>
    <row r="20" spans="1:25" ht="23.25" customHeight="1" x14ac:dyDescent="0.25">
      <c r="A20" s="210" t="s">
        <v>187</v>
      </c>
      <c r="B20" s="2284">
        <f>B19*0.9625</f>
        <v>245171.85</v>
      </c>
      <c r="C20" s="2285"/>
      <c r="D20" s="211">
        <f>D19*13.56</f>
        <v>0</v>
      </c>
      <c r="E20" s="211">
        <f>28.2*E19</f>
        <v>5640</v>
      </c>
      <c r="F20" s="211">
        <f>18.31*F19</f>
        <v>64084.999999999993</v>
      </c>
      <c r="G20" s="211">
        <f>19.3*G19</f>
        <v>0</v>
      </c>
      <c r="H20" s="211">
        <f>241*H19</f>
        <v>52779</v>
      </c>
      <c r="I20" s="211">
        <f>223*I19</f>
        <v>16725</v>
      </c>
      <c r="J20" s="211">
        <f>241*J19</f>
        <v>27233</v>
      </c>
      <c r="K20" s="211">
        <f>K19*100</f>
        <v>7100</v>
      </c>
      <c r="L20" s="211">
        <f>241*L19</f>
        <v>231601</v>
      </c>
      <c r="M20" s="211">
        <f>9.65*M19</f>
        <v>0</v>
      </c>
      <c r="N20" s="211">
        <f>N19*48.2</f>
        <v>4820</v>
      </c>
      <c r="O20" s="211">
        <f>241*O19</f>
        <v>0</v>
      </c>
      <c r="P20" s="211">
        <f>241*P19</f>
        <v>97364</v>
      </c>
      <c r="Q20" s="2284">
        <f>241*Q19</f>
        <v>97605</v>
      </c>
      <c r="R20" s="2285"/>
      <c r="S20" s="211">
        <f>241*S19</f>
        <v>0</v>
      </c>
      <c r="T20" s="2257"/>
      <c r="U20" s="49" t="s">
        <v>59</v>
      </c>
      <c r="V20" s="2262"/>
      <c r="W20" s="2262"/>
      <c r="X20" s="2262"/>
      <c r="Y20" s="2269"/>
    </row>
    <row r="21" spans="1:25" ht="32.25" customHeight="1" x14ac:dyDescent="0.25">
      <c r="A21" s="143" t="s">
        <v>186</v>
      </c>
      <c r="B21" s="2283">
        <f>SUM(B20:S20)</f>
        <v>850123.85</v>
      </c>
      <c r="C21" s="2283"/>
      <c r="O21" s="255"/>
      <c r="P21" s="255"/>
      <c r="Q21" s="255"/>
      <c r="R21" s="255"/>
      <c r="T21" s="2273" t="s">
        <v>167</v>
      </c>
      <c r="U21" s="2274"/>
      <c r="V21" s="2260"/>
      <c r="W21" s="2268"/>
      <c r="X21" s="2261"/>
      <c r="Y21" s="2269"/>
    </row>
    <row r="22" spans="1:25" ht="35.25" customHeight="1" x14ac:dyDescent="0.25">
      <c r="A22" s="15"/>
      <c r="B22" s="2275" t="s">
        <v>49</v>
      </c>
      <c r="C22" s="2265">
        <v>307559</v>
      </c>
      <c r="D22" s="2265">
        <v>138850</v>
      </c>
      <c r="E22" s="2265">
        <v>183275</v>
      </c>
      <c r="F22" s="2265">
        <f>C22-D22+E22</f>
        <v>351984</v>
      </c>
      <c r="G22" s="255"/>
      <c r="Q22" s="255"/>
      <c r="R22" s="255"/>
      <c r="T22" s="2251" t="s">
        <v>83</v>
      </c>
      <c r="U22" s="50" t="s">
        <v>60</v>
      </c>
      <c r="V22" s="2262">
        <v>139640</v>
      </c>
      <c r="W22" s="2262"/>
      <c r="X22" s="2262"/>
      <c r="Y22" s="2269"/>
    </row>
    <row r="23" spans="1:25" ht="39.75" customHeight="1" x14ac:dyDescent="0.25">
      <c r="A23" s="255"/>
      <c r="B23" s="2276"/>
      <c r="C23" s="2266"/>
      <c r="D23" s="2266"/>
      <c r="E23" s="2266"/>
      <c r="F23" s="2266"/>
      <c r="G23" s="255"/>
      <c r="Q23" s="255"/>
      <c r="R23" s="255"/>
      <c r="T23" s="2252"/>
      <c r="U23" s="50" t="s">
        <v>61</v>
      </c>
      <c r="V23" s="2262">
        <v>138850</v>
      </c>
      <c r="W23" s="2262"/>
      <c r="X23" s="2262"/>
      <c r="Y23" s="2269"/>
    </row>
    <row r="24" spans="1:25" ht="48" customHeight="1" x14ac:dyDescent="0.25">
      <c r="A24" s="255"/>
      <c r="B24" s="2277"/>
      <c r="C24" s="248" t="s">
        <v>46</v>
      </c>
      <c r="D24" s="248" t="s">
        <v>50</v>
      </c>
      <c r="E24" s="248" t="s">
        <v>51</v>
      </c>
      <c r="F24" s="248" t="s">
        <v>52</v>
      </c>
      <c r="G24" s="255"/>
      <c r="Q24" s="255"/>
      <c r="R24" s="255"/>
      <c r="T24" s="2235" t="s">
        <v>47</v>
      </c>
      <c r="U24" s="51" t="s">
        <v>62</v>
      </c>
      <c r="V24" s="2263">
        <f>V14+V16+V17-V18-V19-V20-V22+V23-V21</f>
        <v>2689.3899999999849</v>
      </c>
      <c r="W24" s="2263"/>
      <c r="X24" s="2263"/>
      <c r="Y24" s="2269"/>
    </row>
    <row r="25" spans="1:25" ht="40.5" customHeight="1" x14ac:dyDescent="0.25">
      <c r="T25" s="2235"/>
      <c r="U25" s="51" t="s">
        <v>63</v>
      </c>
      <c r="V25" s="2262">
        <f>V15+V22-V23</f>
        <v>7442</v>
      </c>
      <c r="W25" s="2262"/>
      <c r="X25" s="2262"/>
    </row>
    <row r="26" spans="1:25" ht="36" customHeight="1" x14ac:dyDescent="0.25"/>
    <row r="32" spans="1:25" x14ac:dyDescent="0.25">
      <c r="I32" s="2280"/>
      <c r="J32" s="2280"/>
      <c r="K32" s="2280"/>
      <c r="L32" s="2280"/>
    </row>
    <row r="33" spans="9:12" x14ac:dyDescent="0.25">
      <c r="I33" s="255"/>
      <c r="J33" s="255"/>
      <c r="K33" s="2280"/>
      <c r="L33" s="2280"/>
    </row>
  </sheetData>
  <mergeCells count="62">
    <mergeCell ref="A1:Y1"/>
    <mergeCell ref="A2:Y2"/>
    <mergeCell ref="T3:Y3"/>
    <mergeCell ref="A4:A5"/>
    <mergeCell ref="B4:B5"/>
    <mergeCell ref="C4:D4"/>
    <mergeCell ref="E4:F4"/>
    <mergeCell ref="G4:H4"/>
    <mergeCell ref="I4:J4"/>
    <mergeCell ref="K4:L4"/>
    <mergeCell ref="Y4:Y5"/>
    <mergeCell ref="M4:N4"/>
    <mergeCell ref="O4:P4"/>
    <mergeCell ref="Q4:R4"/>
    <mergeCell ref="S4:T4"/>
    <mergeCell ref="U4:V4"/>
    <mergeCell ref="W4:X4"/>
    <mergeCell ref="B16:C16"/>
    <mergeCell ref="Q16:R16"/>
    <mergeCell ref="T16:U16"/>
    <mergeCell ref="V16:X16"/>
    <mergeCell ref="A12:B12"/>
    <mergeCell ref="B14:C14"/>
    <mergeCell ref="Q14:R14"/>
    <mergeCell ref="T14:T15"/>
    <mergeCell ref="V14:X14"/>
    <mergeCell ref="B15:C15"/>
    <mergeCell ref="Q15:R15"/>
    <mergeCell ref="V15:X15"/>
    <mergeCell ref="B17:C17"/>
    <mergeCell ref="Q17:R17"/>
    <mergeCell ref="T17:U17"/>
    <mergeCell ref="V17:X17"/>
    <mergeCell ref="B18:C18"/>
    <mergeCell ref="Q18:R18"/>
    <mergeCell ref="T18:U18"/>
    <mergeCell ref="V18:X18"/>
    <mergeCell ref="Y18:Y24"/>
    <mergeCell ref="B19:C19"/>
    <mergeCell ref="Q19:R19"/>
    <mergeCell ref="T19:T20"/>
    <mergeCell ref="V19:X19"/>
    <mergeCell ref="B20:C20"/>
    <mergeCell ref="B22:B24"/>
    <mergeCell ref="C22:C23"/>
    <mergeCell ref="D22:D23"/>
    <mergeCell ref="E22:E23"/>
    <mergeCell ref="F22:F23"/>
    <mergeCell ref="Q20:R20"/>
    <mergeCell ref="V20:X20"/>
    <mergeCell ref="B21:C21"/>
    <mergeCell ref="T21:U21"/>
    <mergeCell ref="V21:X21"/>
    <mergeCell ref="I32:J32"/>
    <mergeCell ref="K32:L32"/>
    <mergeCell ref="K33:L33"/>
    <mergeCell ref="T22:T23"/>
    <mergeCell ref="V22:X22"/>
    <mergeCell ref="V23:X23"/>
    <mergeCell ref="T24:T25"/>
    <mergeCell ref="V24:X24"/>
    <mergeCell ref="V25:X25"/>
  </mergeCells>
  <pageMargins left="0.15748031496063" right="0.15748031496063" top="0" bottom="0" header="0" footer="0"/>
  <pageSetup paperSize="9" scale="47" orientation="landscape" r:id="rId1"/>
  <legacyDrawing r:id="rId2"/>
</worksheet>
</file>

<file path=xl/worksheets/sheet9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BE58BA8-B11A-43F7-9C18-7B171CB7BD61}">
  <sheetPr>
    <pageSetUpPr fitToPage="1"/>
  </sheetPr>
  <dimension ref="A1:Y33"/>
  <sheetViews>
    <sheetView topLeftCell="A7" zoomScale="71" zoomScaleNormal="71" zoomScaleSheetLayoutView="100" workbookViewId="0">
      <selection activeCell="H23" sqref="H23"/>
    </sheetView>
  </sheetViews>
  <sheetFormatPr defaultColWidth="9.140625" defaultRowHeight="15" x14ac:dyDescent="0.25"/>
  <cols>
    <col min="1" max="1" width="18.28515625" style="14" customWidth="1"/>
    <col min="2" max="2" width="10.7109375" style="14" customWidth="1"/>
    <col min="3" max="3" width="12.28515625" style="14" customWidth="1"/>
    <col min="4" max="4" width="11" style="14" customWidth="1"/>
    <col min="5" max="5" width="12" style="14" customWidth="1"/>
    <col min="6" max="6" width="12.5703125" style="14" bestFit="1" customWidth="1"/>
    <col min="7" max="7" width="9.28515625" style="14" bestFit="1" customWidth="1"/>
    <col min="8" max="8" width="10.140625" style="14" bestFit="1" customWidth="1"/>
    <col min="9" max="9" width="10.5703125" style="14" bestFit="1" customWidth="1"/>
    <col min="10" max="10" width="10.5703125" style="14" customWidth="1"/>
    <col min="11" max="11" width="10.28515625" style="14" bestFit="1" customWidth="1"/>
    <col min="12" max="12" width="10.42578125" style="14" bestFit="1" customWidth="1"/>
    <col min="13" max="13" width="9.85546875" style="14" bestFit="1" customWidth="1"/>
    <col min="14" max="14" width="10.140625" style="14" bestFit="1" customWidth="1"/>
    <col min="15" max="15" width="9" style="14" customWidth="1"/>
    <col min="16" max="16" width="12.85546875" style="14" bestFit="1" customWidth="1"/>
    <col min="17" max="18" width="9.42578125" style="14" customWidth="1"/>
    <col min="19" max="19" width="13.7109375" style="14" customWidth="1"/>
    <col min="20" max="20" width="12.140625" style="14" customWidth="1"/>
    <col min="21" max="21" width="19.5703125" style="14" bestFit="1" customWidth="1"/>
    <col min="22" max="22" width="9.85546875" style="14" customWidth="1"/>
    <col min="23" max="23" width="10.140625" style="14" bestFit="1" customWidth="1"/>
    <col min="24" max="24" width="10.28515625" style="14" customWidth="1"/>
    <col min="25" max="25" width="28" style="14" customWidth="1"/>
    <col min="26" max="16384" width="9.140625" style="14"/>
  </cols>
  <sheetData>
    <row r="1" spans="1:25" ht="46.15" customHeight="1" x14ac:dyDescent="0.25">
      <c r="A1" s="2240" t="s">
        <v>148</v>
      </c>
      <c r="B1" s="2240"/>
      <c r="C1" s="2240"/>
      <c r="D1" s="2240"/>
      <c r="E1" s="2240"/>
      <c r="F1" s="2240"/>
      <c r="G1" s="2240"/>
      <c r="H1" s="2240"/>
      <c r="I1" s="2240"/>
      <c r="J1" s="2240"/>
      <c r="K1" s="2240"/>
      <c r="L1" s="2240"/>
      <c r="M1" s="2240"/>
      <c r="N1" s="2240"/>
      <c r="O1" s="2240"/>
      <c r="P1" s="2240"/>
      <c r="Q1" s="2240"/>
      <c r="R1" s="2240"/>
      <c r="S1" s="2240"/>
      <c r="T1" s="2240"/>
      <c r="U1" s="2240"/>
      <c r="V1" s="2240"/>
      <c r="W1" s="2240"/>
      <c r="X1" s="2240"/>
      <c r="Y1" s="2240"/>
    </row>
    <row r="2" spans="1:25" ht="21.6" customHeight="1" x14ac:dyDescent="0.25">
      <c r="A2" s="2241" t="s">
        <v>77</v>
      </c>
      <c r="B2" s="2241"/>
      <c r="C2" s="2241"/>
      <c r="D2" s="2241"/>
      <c r="E2" s="2241"/>
      <c r="F2" s="2241"/>
      <c r="G2" s="2241"/>
      <c r="H2" s="2241"/>
      <c r="I2" s="2241"/>
      <c r="J2" s="2241"/>
      <c r="K2" s="2241"/>
      <c r="L2" s="2241"/>
      <c r="M2" s="2241"/>
      <c r="N2" s="2241"/>
      <c r="O2" s="2241"/>
      <c r="P2" s="2241"/>
      <c r="Q2" s="2241"/>
      <c r="R2" s="2241"/>
      <c r="S2" s="2241"/>
      <c r="T2" s="2241"/>
      <c r="U2" s="2241"/>
      <c r="V2" s="2241"/>
      <c r="W2" s="2241"/>
      <c r="X2" s="2241"/>
      <c r="Y2" s="2241"/>
    </row>
    <row r="3" spans="1:25" ht="21" customHeight="1" x14ac:dyDescent="0.25">
      <c r="A3" s="256"/>
      <c r="B3" s="256"/>
      <c r="C3" s="256"/>
      <c r="D3" s="256"/>
      <c r="E3" s="256"/>
      <c r="F3" s="256"/>
      <c r="G3" s="256"/>
      <c r="H3" s="256"/>
      <c r="I3" s="256"/>
      <c r="J3" s="256"/>
      <c r="K3" s="256"/>
      <c r="L3" s="256"/>
      <c r="M3" s="256"/>
      <c r="N3" s="256"/>
      <c r="O3" s="256"/>
      <c r="P3" s="256"/>
      <c r="Q3" s="256"/>
      <c r="R3" s="256"/>
      <c r="S3" s="256"/>
      <c r="T3" s="2242" t="s">
        <v>277</v>
      </c>
      <c r="U3" s="2242"/>
      <c r="V3" s="2242"/>
      <c r="W3" s="2242"/>
      <c r="X3" s="2242"/>
      <c r="Y3" s="2242"/>
    </row>
    <row r="4" spans="1:25" s="256" customFormat="1" ht="18" customHeight="1" x14ac:dyDescent="0.25">
      <c r="A4" s="2243" t="s">
        <v>25</v>
      </c>
      <c r="B4" s="2243" t="s">
        <v>26</v>
      </c>
      <c r="C4" s="2244" t="s">
        <v>27</v>
      </c>
      <c r="D4" s="2244"/>
      <c r="E4" s="2244" t="s">
        <v>28</v>
      </c>
      <c r="F4" s="2244"/>
      <c r="G4" s="2244" t="s">
        <v>65</v>
      </c>
      <c r="H4" s="2244"/>
      <c r="I4" s="2244" t="s">
        <v>29</v>
      </c>
      <c r="J4" s="2244"/>
      <c r="K4" s="2245" t="s">
        <v>13</v>
      </c>
      <c r="L4" s="2246"/>
      <c r="M4" s="2245" t="s">
        <v>67</v>
      </c>
      <c r="N4" s="2246"/>
      <c r="O4" s="2245" t="s">
        <v>68</v>
      </c>
      <c r="P4" s="2246"/>
      <c r="Q4" s="2245" t="s">
        <v>114</v>
      </c>
      <c r="R4" s="2246"/>
      <c r="S4" s="2244" t="s">
        <v>35</v>
      </c>
      <c r="T4" s="2244"/>
      <c r="U4" s="2245" t="s">
        <v>17</v>
      </c>
      <c r="V4" s="2246"/>
      <c r="W4" s="2247" t="s">
        <v>36</v>
      </c>
      <c r="X4" s="2248"/>
      <c r="Y4" s="2238" t="s">
        <v>30</v>
      </c>
    </row>
    <row r="5" spans="1:25" s="256" customFormat="1" ht="25.5" customHeight="1" x14ac:dyDescent="0.25">
      <c r="A5" s="2243"/>
      <c r="B5" s="2243"/>
      <c r="C5" s="258" t="s">
        <v>42</v>
      </c>
      <c r="D5" s="258" t="s">
        <v>43</v>
      </c>
      <c r="E5" s="258" t="s">
        <v>42</v>
      </c>
      <c r="F5" s="258" t="s">
        <v>43</v>
      </c>
      <c r="G5" s="258" t="s">
        <v>42</v>
      </c>
      <c r="H5" s="258" t="s">
        <v>43</v>
      </c>
      <c r="I5" s="258" t="s">
        <v>42</v>
      </c>
      <c r="J5" s="258" t="s">
        <v>43</v>
      </c>
      <c r="K5" s="258" t="s">
        <v>42</v>
      </c>
      <c r="L5" s="258" t="s">
        <v>43</v>
      </c>
      <c r="M5" s="258" t="s">
        <v>42</v>
      </c>
      <c r="N5" s="258" t="s">
        <v>43</v>
      </c>
      <c r="O5" s="258" t="s">
        <v>42</v>
      </c>
      <c r="P5" s="258" t="s">
        <v>43</v>
      </c>
      <c r="Q5" s="258" t="s">
        <v>42</v>
      </c>
      <c r="R5" s="258" t="s">
        <v>43</v>
      </c>
      <c r="S5" s="33" t="s">
        <v>42</v>
      </c>
      <c r="T5" s="33" t="s">
        <v>43</v>
      </c>
      <c r="U5" s="30" t="s">
        <v>42</v>
      </c>
      <c r="V5" s="30" t="s">
        <v>43</v>
      </c>
      <c r="W5" s="30" t="s">
        <v>42</v>
      </c>
      <c r="X5" s="30" t="s">
        <v>43</v>
      </c>
      <c r="Y5" s="2239"/>
    </row>
    <row r="6" spans="1:25" ht="34.5" customHeight="1" x14ac:dyDescent="0.25">
      <c r="A6" s="12">
        <v>1409935200</v>
      </c>
      <c r="B6" s="257" t="s">
        <v>71</v>
      </c>
      <c r="C6" s="260">
        <v>33020</v>
      </c>
      <c r="D6" s="261">
        <f>0.9725*C6</f>
        <v>32111.95</v>
      </c>
      <c r="E6" s="260"/>
      <c r="F6" s="260">
        <f>13.7*E6</f>
        <v>0</v>
      </c>
      <c r="G6" s="260">
        <v>20</v>
      </c>
      <c r="H6" s="260">
        <f>28.2*G6</f>
        <v>564</v>
      </c>
      <c r="I6" s="260">
        <v>320</v>
      </c>
      <c r="J6" s="260">
        <f>18.5*I6</f>
        <v>5920</v>
      </c>
      <c r="K6" s="260"/>
      <c r="L6" s="260">
        <f>19.5*K6</f>
        <v>0</v>
      </c>
      <c r="M6" s="260"/>
      <c r="N6" s="261">
        <f>M6*9.75</f>
        <v>0</v>
      </c>
      <c r="O6" s="260"/>
      <c r="P6" s="261">
        <f>O6*48.62</f>
        <v>0</v>
      </c>
      <c r="Q6" s="261"/>
      <c r="R6" s="261">
        <f>241*Q6</f>
        <v>0</v>
      </c>
      <c r="S6" s="260"/>
      <c r="T6" s="260">
        <f>241*S6</f>
        <v>0</v>
      </c>
      <c r="U6" s="260"/>
      <c r="V6" s="260">
        <f>232*U6</f>
        <v>0</v>
      </c>
      <c r="W6" s="260"/>
      <c r="X6" s="19">
        <f>W6*100</f>
        <v>0</v>
      </c>
      <c r="Y6" s="89">
        <f t="shared" ref="Y6:Y11" si="0">D6+F6+H6+J6+L6+N6+P6+R6+T6+V6+X6</f>
        <v>38595.949999999997</v>
      </c>
    </row>
    <row r="7" spans="1:25" ht="31.5" customHeight="1" x14ac:dyDescent="0.25">
      <c r="A7" s="12">
        <v>1984225578</v>
      </c>
      <c r="B7" s="257" t="s">
        <v>72</v>
      </c>
      <c r="C7" s="260">
        <v>28085</v>
      </c>
      <c r="D7" s="261">
        <f t="shared" ref="D7:D11" si="1">0.9725*C7</f>
        <v>27312.662500000002</v>
      </c>
      <c r="E7" s="260"/>
      <c r="F7" s="260">
        <f t="shared" ref="F7:F11" si="2">13.7*E7</f>
        <v>0</v>
      </c>
      <c r="G7" s="260"/>
      <c r="H7" s="260">
        <f t="shared" ref="H7:H11" si="3">28.2*G7</f>
        <v>0</v>
      </c>
      <c r="I7" s="260">
        <v>280</v>
      </c>
      <c r="J7" s="260">
        <f t="shared" ref="J7:J11" si="4">18.5*I7</f>
        <v>5180</v>
      </c>
      <c r="K7" s="260"/>
      <c r="L7" s="260">
        <f t="shared" ref="L7:L11" si="5">19.5*K7</f>
        <v>0</v>
      </c>
      <c r="M7" s="260"/>
      <c r="N7" s="261">
        <f t="shared" ref="N7:N11" si="6">M7*9.75</f>
        <v>0</v>
      </c>
      <c r="O7" s="260"/>
      <c r="P7" s="261">
        <f t="shared" ref="P7:P11" si="7">O7*48.62</f>
        <v>0</v>
      </c>
      <c r="Q7" s="261"/>
      <c r="R7" s="261">
        <f t="shared" ref="R7:R11" si="8">241*Q7</f>
        <v>0</v>
      </c>
      <c r="S7" s="260">
        <v>11</v>
      </c>
      <c r="T7" s="260">
        <f t="shared" ref="T7:T11" si="9">241*S7</f>
        <v>2651</v>
      </c>
      <c r="U7" s="260">
        <v>60</v>
      </c>
      <c r="V7" s="260">
        <f t="shared" ref="V7:V11" si="10">232*U7</f>
        <v>13920</v>
      </c>
      <c r="W7" s="260"/>
      <c r="X7" s="19">
        <f t="shared" ref="X7:X11" si="11">W7*100</f>
        <v>0</v>
      </c>
      <c r="Y7" s="89">
        <f t="shared" si="0"/>
        <v>49063.662500000006</v>
      </c>
    </row>
    <row r="8" spans="1:25" ht="35.25" customHeight="1" x14ac:dyDescent="0.25">
      <c r="A8" s="12">
        <v>1967020280</v>
      </c>
      <c r="B8" s="257" t="s">
        <v>73</v>
      </c>
      <c r="C8" s="260">
        <v>21293</v>
      </c>
      <c r="D8" s="261">
        <f t="shared" si="1"/>
        <v>20707.442500000001</v>
      </c>
      <c r="E8" s="260"/>
      <c r="F8" s="260">
        <f t="shared" si="2"/>
        <v>0</v>
      </c>
      <c r="G8" s="260">
        <v>60</v>
      </c>
      <c r="H8" s="260">
        <f t="shared" si="3"/>
        <v>1692</v>
      </c>
      <c r="I8" s="260">
        <v>500</v>
      </c>
      <c r="J8" s="260">
        <f t="shared" si="4"/>
        <v>9250</v>
      </c>
      <c r="K8" s="260"/>
      <c r="L8" s="260">
        <f t="shared" si="5"/>
        <v>0</v>
      </c>
      <c r="M8" s="260"/>
      <c r="N8" s="261">
        <f t="shared" si="6"/>
        <v>0</v>
      </c>
      <c r="O8" s="260"/>
      <c r="P8" s="261">
        <f t="shared" si="7"/>
        <v>0</v>
      </c>
      <c r="Q8" s="261"/>
      <c r="R8" s="261">
        <f t="shared" si="8"/>
        <v>0</v>
      </c>
      <c r="S8" s="260"/>
      <c r="T8" s="260">
        <f t="shared" si="9"/>
        <v>0</v>
      </c>
      <c r="U8" s="260">
        <v>10</v>
      </c>
      <c r="V8" s="260">
        <f t="shared" si="10"/>
        <v>2320</v>
      </c>
      <c r="W8" s="260"/>
      <c r="X8" s="19">
        <f t="shared" si="11"/>
        <v>0</v>
      </c>
      <c r="Y8" s="89">
        <f t="shared" si="0"/>
        <v>33969.442500000005</v>
      </c>
    </row>
    <row r="9" spans="1:25" ht="38.25" customHeight="1" x14ac:dyDescent="0.25">
      <c r="A9" s="12">
        <v>1409935199</v>
      </c>
      <c r="B9" s="257" t="s">
        <v>75</v>
      </c>
      <c r="C9" s="260">
        <v>7812</v>
      </c>
      <c r="D9" s="261">
        <f t="shared" si="1"/>
        <v>7597.17</v>
      </c>
      <c r="E9" s="260"/>
      <c r="F9" s="260">
        <f t="shared" si="2"/>
        <v>0</v>
      </c>
      <c r="G9" s="260"/>
      <c r="H9" s="260">
        <f t="shared" si="3"/>
        <v>0</v>
      </c>
      <c r="I9" s="260"/>
      <c r="J9" s="260">
        <f t="shared" si="4"/>
        <v>0</v>
      </c>
      <c r="K9" s="260"/>
      <c r="L9" s="260">
        <f t="shared" si="5"/>
        <v>0</v>
      </c>
      <c r="M9" s="260"/>
      <c r="N9" s="261">
        <f t="shared" si="6"/>
        <v>0</v>
      </c>
      <c r="O9" s="260"/>
      <c r="P9" s="261">
        <f t="shared" si="7"/>
        <v>0</v>
      </c>
      <c r="Q9" s="261"/>
      <c r="R9" s="261">
        <f t="shared" si="8"/>
        <v>0</v>
      </c>
      <c r="S9" s="260"/>
      <c r="T9" s="260">
        <f t="shared" si="9"/>
        <v>0</v>
      </c>
      <c r="U9" s="260"/>
      <c r="V9" s="260">
        <f t="shared" si="10"/>
        <v>0</v>
      </c>
      <c r="W9" s="260"/>
      <c r="X9" s="19">
        <f t="shared" si="11"/>
        <v>0</v>
      </c>
      <c r="Y9" s="89">
        <f t="shared" si="0"/>
        <v>7597.17</v>
      </c>
    </row>
    <row r="10" spans="1:25" ht="35.25" customHeight="1" x14ac:dyDescent="0.25">
      <c r="A10" s="12">
        <v>1984225580</v>
      </c>
      <c r="C10" s="260"/>
      <c r="D10" s="261">
        <f t="shared" si="1"/>
        <v>0</v>
      </c>
      <c r="E10" s="260"/>
      <c r="F10" s="260">
        <f t="shared" si="2"/>
        <v>0</v>
      </c>
      <c r="G10" s="260"/>
      <c r="H10" s="260">
        <f t="shared" si="3"/>
        <v>0</v>
      </c>
      <c r="I10" s="260"/>
      <c r="J10" s="260">
        <f t="shared" si="4"/>
        <v>0</v>
      </c>
      <c r="K10" s="260"/>
      <c r="L10" s="260">
        <f t="shared" si="5"/>
        <v>0</v>
      </c>
      <c r="M10" s="260"/>
      <c r="N10" s="261">
        <f t="shared" si="6"/>
        <v>0</v>
      </c>
      <c r="O10" s="260"/>
      <c r="P10" s="261">
        <f t="shared" si="7"/>
        <v>0</v>
      </c>
      <c r="Q10" s="261"/>
      <c r="R10" s="261">
        <f t="shared" si="8"/>
        <v>0</v>
      </c>
      <c r="S10" s="260"/>
      <c r="T10" s="260">
        <f t="shared" si="9"/>
        <v>0</v>
      </c>
      <c r="U10" s="260"/>
      <c r="V10" s="260">
        <f t="shared" si="10"/>
        <v>0</v>
      </c>
      <c r="W10" s="260"/>
      <c r="X10" s="19">
        <f t="shared" si="11"/>
        <v>0</v>
      </c>
      <c r="Y10" s="89">
        <f t="shared" si="0"/>
        <v>0</v>
      </c>
    </row>
    <row r="11" spans="1:25" ht="37.5" customHeight="1" x14ac:dyDescent="0.25">
      <c r="A11" s="12"/>
      <c r="B11" s="259"/>
      <c r="C11" s="260"/>
      <c r="D11" s="22">
        <f t="shared" si="1"/>
        <v>0</v>
      </c>
      <c r="E11" s="260"/>
      <c r="F11" s="260">
        <f t="shared" si="2"/>
        <v>0</v>
      </c>
      <c r="G11" s="260"/>
      <c r="H11" s="260">
        <f t="shared" si="3"/>
        <v>0</v>
      </c>
      <c r="I11" s="260"/>
      <c r="J11" s="260">
        <f t="shared" si="4"/>
        <v>0</v>
      </c>
      <c r="K11" s="260"/>
      <c r="L11" s="260">
        <f t="shared" si="5"/>
        <v>0</v>
      </c>
      <c r="M11" s="260"/>
      <c r="N11" s="261">
        <f t="shared" si="6"/>
        <v>0</v>
      </c>
      <c r="O11" s="260"/>
      <c r="P11" s="261">
        <f t="shared" si="7"/>
        <v>0</v>
      </c>
      <c r="Q11" s="261"/>
      <c r="R11" s="261">
        <f t="shared" si="8"/>
        <v>0</v>
      </c>
      <c r="S11" s="260"/>
      <c r="T11" s="260">
        <f t="shared" si="9"/>
        <v>0</v>
      </c>
      <c r="U11" s="260"/>
      <c r="V11" s="260">
        <f t="shared" si="10"/>
        <v>0</v>
      </c>
      <c r="W11" s="260"/>
      <c r="X11" s="19">
        <f t="shared" si="11"/>
        <v>0</v>
      </c>
      <c r="Y11" s="20">
        <f t="shared" si="0"/>
        <v>0</v>
      </c>
    </row>
    <row r="12" spans="1:25" ht="29.25" customHeight="1" x14ac:dyDescent="0.25">
      <c r="A12" s="2235" t="s">
        <v>31</v>
      </c>
      <c r="B12" s="2235"/>
      <c r="C12" s="18">
        <f t="shared" ref="C12:Y12" si="12">SUM(C6:C11)</f>
        <v>90210</v>
      </c>
      <c r="D12" s="18">
        <f t="shared" si="12"/>
        <v>87729.225000000006</v>
      </c>
      <c r="E12" s="18">
        <f t="shared" si="12"/>
        <v>0</v>
      </c>
      <c r="F12" s="18">
        <f t="shared" si="12"/>
        <v>0</v>
      </c>
      <c r="G12" s="18">
        <f t="shared" si="12"/>
        <v>80</v>
      </c>
      <c r="H12" s="18">
        <f t="shared" si="12"/>
        <v>2256</v>
      </c>
      <c r="I12" s="18">
        <f t="shared" si="12"/>
        <v>1100</v>
      </c>
      <c r="J12" s="18">
        <f t="shared" si="12"/>
        <v>20350</v>
      </c>
      <c r="K12" s="18">
        <f t="shared" si="12"/>
        <v>0</v>
      </c>
      <c r="L12" s="18">
        <f t="shared" si="12"/>
        <v>0</v>
      </c>
      <c r="M12" s="18">
        <f t="shared" si="12"/>
        <v>0</v>
      </c>
      <c r="N12" s="23">
        <f t="shared" si="12"/>
        <v>0</v>
      </c>
      <c r="O12" s="18">
        <f t="shared" si="12"/>
        <v>0</v>
      </c>
      <c r="P12" s="23">
        <f t="shared" si="12"/>
        <v>0</v>
      </c>
      <c r="Q12" s="23">
        <f t="shared" si="12"/>
        <v>0</v>
      </c>
      <c r="R12" s="23">
        <f>SUM(R6:R11)</f>
        <v>0</v>
      </c>
      <c r="S12" s="18">
        <f t="shared" si="12"/>
        <v>11</v>
      </c>
      <c r="T12" s="18">
        <f t="shared" si="12"/>
        <v>2651</v>
      </c>
      <c r="U12" s="18">
        <f t="shared" si="12"/>
        <v>70</v>
      </c>
      <c r="V12" s="18">
        <f t="shared" si="12"/>
        <v>16240</v>
      </c>
      <c r="W12" s="18">
        <f t="shared" si="12"/>
        <v>0</v>
      </c>
      <c r="X12" s="18">
        <f t="shared" si="12"/>
        <v>0</v>
      </c>
      <c r="Y12" s="18">
        <f t="shared" si="12"/>
        <v>129226.22500000001</v>
      </c>
    </row>
    <row r="14" spans="1:25" ht="41.25" customHeight="1" x14ac:dyDescent="0.25">
      <c r="A14" s="30" t="s">
        <v>32</v>
      </c>
      <c r="B14" s="2236" t="s">
        <v>27</v>
      </c>
      <c r="C14" s="2236"/>
      <c r="D14" s="30" t="s">
        <v>33</v>
      </c>
      <c r="E14" s="30" t="s">
        <v>65</v>
      </c>
      <c r="F14" s="30" t="s">
        <v>34</v>
      </c>
      <c r="G14" s="30" t="s">
        <v>13</v>
      </c>
      <c r="H14" s="142" t="s">
        <v>173</v>
      </c>
      <c r="I14" s="30" t="s">
        <v>17</v>
      </c>
      <c r="J14" s="265" t="s">
        <v>174</v>
      </c>
      <c r="K14" s="30" t="s">
        <v>36</v>
      </c>
      <c r="L14" s="30" t="s">
        <v>175</v>
      </c>
      <c r="M14" s="30" t="s">
        <v>69</v>
      </c>
      <c r="N14" s="30" t="s">
        <v>70</v>
      </c>
      <c r="O14" s="265" t="s">
        <v>114</v>
      </c>
      <c r="P14" s="265" t="s">
        <v>99</v>
      </c>
      <c r="Q14" s="2272" t="s">
        <v>256</v>
      </c>
      <c r="R14" s="2272"/>
      <c r="S14" s="265"/>
      <c r="T14" s="2235" t="s">
        <v>46</v>
      </c>
      <c r="U14" s="257" t="s">
        <v>176</v>
      </c>
      <c r="V14" s="2260">
        <v>2689</v>
      </c>
      <c r="W14" s="2268"/>
      <c r="X14" s="2261"/>
    </row>
    <row r="15" spans="1:25" ht="22.5" customHeight="1" x14ac:dyDescent="0.25">
      <c r="A15" s="100" t="s">
        <v>38</v>
      </c>
      <c r="B15" s="2260">
        <v>254724</v>
      </c>
      <c r="C15" s="2261"/>
      <c r="D15" s="262">
        <v>0</v>
      </c>
      <c r="E15" s="262">
        <v>200</v>
      </c>
      <c r="F15" s="262">
        <v>3500</v>
      </c>
      <c r="G15" s="262">
        <v>0</v>
      </c>
      <c r="H15" s="262">
        <v>219</v>
      </c>
      <c r="I15" s="262">
        <v>75</v>
      </c>
      <c r="J15" s="262">
        <v>113</v>
      </c>
      <c r="K15" s="262">
        <v>71</v>
      </c>
      <c r="L15" s="262">
        <v>961</v>
      </c>
      <c r="M15" s="262">
        <v>0</v>
      </c>
      <c r="N15" s="262">
        <v>100</v>
      </c>
      <c r="O15" s="262">
        <v>0</v>
      </c>
      <c r="P15" s="262">
        <v>404</v>
      </c>
      <c r="Q15" s="2262">
        <v>405</v>
      </c>
      <c r="R15" s="2262"/>
      <c r="S15" s="257">
        <v>0</v>
      </c>
      <c r="T15" s="2235"/>
      <c r="U15" s="257" t="s">
        <v>64</v>
      </c>
      <c r="V15" s="2262">
        <v>7442</v>
      </c>
      <c r="W15" s="2262"/>
      <c r="X15" s="2262"/>
    </row>
    <row r="16" spans="1:25" ht="24.75" customHeight="1" x14ac:dyDescent="0.25">
      <c r="A16" s="100" t="s">
        <v>39</v>
      </c>
      <c r="B16" s="2260">
        <v>135065</v>
      </c>
      <c r="C16" s="2261"/>
      <c r="D16" s="262"/>
      <c r="E16" s="262"/>
      <c r="F16" s="262"/>
      <c r="G16" s="262"/>
      <c r="H16" s="262">
        <v>300</v>
      </c>
      <c r="I16" s="262"/>
      <c r="J16" s="262"/>
      <c r="K16" s="262"/>
      <c r="L16" s="262">
        <v>155</v>
      </c>
      <c r="M16" s="262"/>
      <c r="N16" s="262"/>
      <c r="O16" s="262"/>
      <c r="P16" s="262"/>
      <c r="Q16" s="2225"/>
      <c r="R16" s="2225"/>
      <c r="S16" s="262"/>
      <c r="T16" s="2254" t="s">
        <v>55</v>
      </c>
      <c r="U16" s="2254"/>
      <c r="V16" s="2267">
        <f>Y12</f>
        <v>129226.22500000001</v>
      </c>
      <c r="W16" s="2267"/>
      <c r="X16" s="2262"/>
    </row>
    <row r="17" spans="1:25" ht="28.5" customHeight="1" x14ac:dyDescent="0.25">
      <c r="A17" s="101" t="s">
        <v>44</v>
      </c>
      <c r="B17" s="2260">
        <v>81787</v>
      </c>
      <c r="C17" s="2261"/>
      <c r="D17" s="262"/>
      <c r="E17" s="262"/>
      <c r="F17" s="262"/>
      <c r="G17" s="262"/>
      <c r="H17" s="262"/>
      <c r="I17" s="262"/>
      <c r="J17" s="262"/>
      <c r="K17" s="262"/>
      <c r="L17" s="262"/>
      <c r="M17" s="262"/>
      <c r="N17" s="262"/>
      <c r="O17" s="262"/>
      <c r="P17" s="262"/>
      <c r="Q17" s="2225"/>
      <c r="R17" s="2225"/>
      <c r="S17" s="259"/>
      <c r="T17" s="2273" t="s">
        <v>87</v>
      </c>
      <c r="U17" s="2274"/>
      <c r="V17" s="2262"/>
      <c r="W17" s="2262"/>
      <c r="X17" s="2262"/>
    </row>
    <row r="18" spans="1:25" ht="27" customHeight="1" x14ac:dyDescent="0.25">
      <c r="A18" s="100" t="s">
        <v>40</v>
      </c>
      <c r="B18" s="2264">
        <f>C12</f>
        <v>90210</v>
      </c>
      <c r="C18" s="2261"/>
      <c r="D18" s="263">
        <f>E12</f>
        <v>0</v>
      </c>
      <c r="E18" s="263">
        <f>G12</f>
        <v>80</v>
      </c>
      <c r="F18" s="263">
        <f>I12</f>
        <v>1100</v>
      </c>
      <c r="G18" s="263">
        <f>K12</f>
        <v>0</v>
      </c>
      <c r="H18" s="262">
        <v>166</v>
      </c>
      <c r="I18" s="263">
        <f>U12</f>
        <v>70</v>
      </c>
      <c r="J18" s="262"/>
      <c r="K18" s="263">
        <f>W12</f>
        <v>0</v>
      </c>
      <c r="L18" s="262"/>
      <c r="M18" s="263">
        <f>M12</f>
        <v>0</v>
      </c>
      <c r="N18" s="263">
        <f>O12</f>
        <v>0</v>
      </c>
      <c r="O18" s="264">
        <f>Q12</f>
        <v>0</v>
      </c>
      <c r="P18" s="262"/>
      <c r="Q18" s="2262"/>
      <c r="R18" s="2262"/>
      <c r="S18" s="257"/>
      <c r="T18" s="2254" t="s">
        <v>57</v>
      </c>
      <c r="U18" s="2254"/>
      <c r="V18" s="2262">
        <f>470+1590+100</f>
        <v>2160</v>
      </c>
      <c r="W18" s="2262"/>
      <c r="X18" s="2262"/>
      <c r="Y18" s="2269" t="s">
        <v>278</v>
      </c>
    </row>
    <row r="19" spans="1:25" ht="25.5" customHeight="1" x14ac:dyDescent="0.25">
      <c r="A19" s="100" t="s">
        <v>41</v>
      </c>
      <c r="B19" s="2260">
        <f>B15+B16+B17-B18</f>
        <v>381366</v>
      </c>
      <c r="C19" s="2261"/>
      <c r="D19" s="262">
        <f>D15+D16+D17-D18</f>
        <v>0</v>
      </c>
      <c r="E19" s="262">
        <f t="shared" ref="E19:N19" si="13">E15+E16+E17-E18</f>
        <v>120</v>
      </c>
      <c r="F19" s="262">
        <f t="shared" si="13"/>
        <v>2400</v>
      </c>
      <c r="G19" s="262">
        <f t="shared" si="13"/>
        <v>0</v>
      </c>
      <c r="H19" s="262">
        <f t="shared" si="13"/>
        <v>353</v>
      </c>
      <c r="I19" s="262">
        <f t="shared" si="13"/>
        <v>5</v>
      </c>
      <c r="J19" s="262">
        <f t="shared" si="13"/>
        <v>113</v>
      </c>
      <c r="K19" s="262">
        <f t="shared" si="13"/>
        <v>71</v>
      </c>
      <c r="L19" s="262">
        <f t="shared" si="13"/>
        <v>1116</v>
      </c>
      <c r="M19" s="262">
        <f t="shared" si="13"/>
        <v>0</v>
      </c>
      <c r="N19" s="262">
        <f t="shared" si="13"/>
        <v>100</v>
      </c>
      <c r="O19" s="262">
        <f>O15+O16+O17-O18</f>
        <v>0</v>
      </c>
      <c r="P19" s="262">
        <f>P15+P16+P17-P18</f>
        <v>404</v>
      </c>
      <c r="Q19" s="2260">
        <f t="shared" ref="Q19" si="14">Q15+Q16+Q17-Q18</f>
        <v>405</v>
      </c>
      <c r="R19" s="2261"/>
      <c r="S19" s="257">
        <f>S15+S16-S17-S18</f>
        <v>0</v>
      </c>
      <c r="T19" s="2256" t="s">
        <v>48</v>
      </c>
      <c r="U19" s="49" t="s">
        <v>58</v>
      </c>
      <c r="V19" s="2262">
        <v>115000</v>
      </c>
      <c r="W19" s="2262"/>
      <c r="X19" s="2262"/>
      <c r="Y19" s="2269"/>
    </row>
    <row r="20" spans="1:25" ht="23.25" customHeight="1" x14ac:dyDescent="0.25">
      <c r="A20" s="210" t="s">
        <v>187</v>
      </c>
      <c r="B20" s="2284">
        <f>B19*0.9625</f>
        <v>367064.77500000002</v>
      </c>
      <c r="C20" s="2285"/>
      <c r="D20" s="211">
        <f>D19*13.56</f>
        <v>0</v>
      </c>
      <c r="E20" s="211">
        <f>28.2*E19</f>
        <v>3384</v>
      </c>
      <c r="F20" s="211">
        <f>18.31*F19</f>
        <v>43944</v>
      </c>
      <c r="G20" s="211">
        <f>19.3*G19</f>
        <v>0</v>
      </c>
      <c r="H20" s="211">
        <f>241*H19</f>
        <v>85073</v>
      </c>
      <c r="I20" s="211">
        <f>223*I19</f>
        <v>1115</v>
      </c>
      <c r="J20" s="211">
        <f>241*J19</f>
        <v>27233</v>
      </c>
      <c r="K20" s="211">
        <f>K19*100</f>
        <v>7100</v>
      </c>
      <c r="L20" s="211">
        <f>241*L19</f>
        <v>268956</v>
      </c>
      <c r="M20" s="211">
        <f>9.65*M19</f>
        <v>0</v>
      </c>
      <c r="N20" s="211">
        <f>N19*48.2</f>
        <v>4820</v>
      </c>
      <c r="O20" s="211">
        <f>241*O19</f>
        <v>0</v>
      </c>
      <c r="P20" s="211">
        <f>241*P19</f>
        <v>97364</v>
      </c>
      <c r="Q20" s="2284">
        <f>241*Q19</f>
        <v>97605</v>
      </c>
      <c r="R20" s="2285"/>
      <c r="S20" s="211">
        <f>241*S19</f>
        <v>0</v>
      </c>
      <c r="T20" s="2257"/>
      <c r="U20" s="49" t="s">
        <v>59</v>
      </c>
      <c r="V20" s="2262"/>
      <c r="W20" s="2262"/>
      <c r="X20" s="2262"/>
      <c r="Y20" s="2269"/>
    </row>
    <row r="21" spans="1:25" ht="32.25" customHeight="1" x14ac:dyDescent="0.25">
      <c r="A21" s="143" t="s">
        <v>186</v>
      </c>
      <c r="B21" s="2283">
        <f>SUM(B20:S20)</f>
        <v>1003658.775</v>
      </c>
      <c r="C21" s="2283"/>
      <c r="O21" s="266"/>
      <c r="P21" s="266"/>
      <c r="Q21" s="266"/>
      <c r="R21" s="266"/>
      <c r="T21" s="2273" t="s">
        <v>167</v>
      </c>
      <c r="U21" s="2274"/>
      <c r="V21" s="2260"/>
      <c r="W21" s="2268"/>
      <c r="X21" s="2261"/>
      <c r="Y21" s="2269"/>
    </row>
    <row r="22" spans="1:25" ht="35.25" customHeight="1" x14ac:dyDescent="0.25">
      <c r="A22" s="15"/>
      <c r="B22" s="2275" t="s">
        <v>49</v>
      </c>
      <c r="C22" s="2265">
        <v>351984</v>
      </c>
      <c r="D22" s="2265">
        <v>115000</v>
      </c>
      <c r="E22" s="2265">
        <v>202300</v>
      </c>
      <c r="F22" s="2265">
        <f>C22-D22+E22</f>
        <v>439284</v>
      </c>
      <c r="G22" s="266"/>
      <c r="Q22" s="266"/>
      <c r="R22" s="266"/>
      <c r="T22" s="2251" t="s">
        <v>83</v>
      </c>
      <c r="U22" s="50" t="s">
        <v>60</v>
      </c>
      <c r="V22" s="2262">
        <v>115050</v>
      </c>
      <c r="W22" s="2262"/>
      <c r="X22" s="2262"/>
      <c r="Y22" s="2269"/>
    </row>
    <row r="23" spans="1:25" ht="39.75" customHeight="1" x14ac:dyDescent="0.25">
      <c r="A23" s="266"/>
      <c r="B23" s="2276"/>
      <c r="C23" s="2266"/>
      <c r="D23" s="2266"/>
      <c r="E23" s="2266"/>
      <c r="F23" s="2266"/>
      <c r="G23" s="266"/>
      <c r="Q23" s="266"/>
      <c r="R23" s="266"/>
      <c r="T23" s="2252"/>
      <c r="U23" s="50" t="s">
        <v>61</v>
      </c>
      <c r="V23" s="2262">
        <v>115000</v>
      </c>
      <c r="W23" s="2262"/>
      <c r="X23" s="2262"/>
      <c r="Y23" s="2269"/>
    </row>
    <row r="24" spans="1:25" ht="48" customHeight="1" x14ac:dyDescent="0.25">
      <c r="A24" s="266"/>
      <c r="B24" s="2277"/>
      <c r="C24" s="257" t="s">
        <v>46</v>
      </c>
      <c r="D24" s="257" t="s">
        <v>50</v>
      </c>
      <c r="E24" s="257" t="s">
        <v>51</v>
      </c>
      <c r="F24" s="257" t="s">
        <v>52</v>
      </c>
      <c r="G24" s="266"/>
      <c r="Q24" s="266"/>
      <c r="R24" s="266"/>
      <c r="T24" s="2235" t="s">
        <v>47</v>
      </c>
      <c r="U24" s="51" t="s">
        <v>62</v>
      </c>
      <c r="V24" s="2263">
        <f>V14+V16+V17-V18-V19-V20-V22+V23-V21</f>
        <v>14705.225000000006</v>
      </c>
      <c r="W24" s="2263"/>
      <c r="X24" s="2263"/>
      <c r="Y24" s="2269"/>
    </row>
    <row r="25" spans="1:25" ht="40.5" customHeight="1" x14ac:dyDescent="0.25">
      <c r="T25" s="2235"/>
      <c r="U25" s="51" t="s">
        <v>63</v>
      </c>
      <c r="V25" s="2262">
        <f>V15+V22-V23</f>
        <v>7492</v>
      </c>
      <c r="W25" s="2262"/>
      <c r="X25" s="2262"/>
    </row>
    <row r="26" spans="1:25" ht="36" customHeight="1" x14ac:dyDescent="0.25"/>
    <row r="32" spans="1:25" x14ac:dyDescent="0.25">
      <c r="I32" s="2280"/>
      <c r="J32" s="2280"/>
      <c r="K32" s="2280"/>
      <c r="L32" s="2280"/>
    </row>
    <row r="33" spans="9:12" x14ac:dyDescent="0.25">
      <c r="I33" s="266"/>
      <c r="J33" s="266"/>
      <c r="K33" s="2280"/>
      <c r="L33" s="2280"/>
    </row>
  </sheetData>
  <mergeCells count="62">
    <mergeCell ref="I32:J32"/>
    <mergeCell ref="K32:L32"/>
    <mergeCell ref="K33:L33"/>
    <mergeCell ref="T22:T23"/>
    <mergeCell ref="V22:X22"/>
    <mergeCell ref="V23:X23"/>
    <mergeCell ref="T24:T25"/>
    <mergeCell ref="V24:X24"/>
    <mergeCell ref="V25:X25"/>
    <mergeCell ref="Y18:Y24"/>
    <mergeCell ref="B19:C19"/>
    <mergeCell ref="Q19:R19"/>
    <mergeCell ref="T19:T20"/>
    <mergeCell ref="V19:X19"/>
    <mergeCell ref="B20:C20"/>
    <mergeCell ref="B22:B24"/>
    <mergeCell ref="C22:C23"/>
    <mergeCell ref="D22:D23"/>
    <mergeCell ref="E22:E23"/>
    <mergeCell ref="F22:F23"/>
    <mergeCell ref="Q20:R20"/>
    <mergeCell ref="V20:X20"/>
    <mergeCell ref="B21:C21"/>
    <mergeCell ref="T21:U21"/>
    <mergeCell ref="V21:X21"/>
    <mergeCell ref="B17:C17"/>
    <mergeCell ref="Q17:R17"/>
    <mergeCell ref="T17:U17"/>
    <mergeCell ref="V17:X17"/>
    <mergeCell ref="B18:C18"/>
    <mergeCell ref="Q18:R18"/>
    <mergeCell ref="T18:U18"/>
    <mergeCell ref="V18:X18"/>
    <mergeCell ref="W4:X4"/>
    <mergeCell ref="B16:C16"/>
    <mergeCell ref="Q16:R16"/>
    <mergeCell ref="T16:U16"/>
    <mergeCell ref="V16:X16"/>
    <mergeCell ref="A12:B12"/>
    <mergeCell ref="B14:C14"/>
    <mergeCell ref="Q14:R14"/>
    <mergeCell ref="T14:T15"/>
    <mergeCell ref="V14:X14"/>
    <mergeCell ref="B15:C15"/>
    <mergeCell ref="Q15:R15"/>
    <mergeCell ref="V15:X15"/>
    <mergeCell ref="A1:Y1"/>
    <mergeCell ref="A2:Y2"/>
    <mergeCell ref="T3:Y3"/>
    <mergeCell ref="A4:A5"/>
    <mergeCell ref="B4:B5"/>
    <mergeCell ref="C4:D4"/>
    <mergeCell ref="E4:F4"/>
    <mergeCell ref="G4:H4"/>
    <mergeCell ref="I4:J4"/>
    <mergeCell ref="K4:L4"/>
    <mergeCell ref="Y4:Y5"/>
    <mergeCell ref="M4:N4"/>
    <mergeCell ref="O4:P4"/>
    <mergeCell ref="Q4:R4"/>
    <mergeCell ref="S4:T4"/>
    <mergeCell ref="U4:V4"/>
  </mergeCells>
  <pageMargins left="0.15748031496063" right="0.15748031496063" top="0" bottom="0" header="0" footer="0"/>
  <pageSetup paperSize="9" scale="47" orientation="landscape" r:id="rId1"/>
  <legacyDrawing r:id="rId2"/>
</worksheet>
</file>

<file path=xl/worksheets/sheet9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23BBC8B-1073-4B06-BB1D-F9717D7224BF}">
  <sheetPr>
    <pageSetUpPr fitToPage="1"/>
  </sheetPr>
  <dimension ref="A1:Y33"/>
  <sheetViews>
    <sheetView topLeftCell="A11" zoomScale="71" zoomScaleNormal="71" zoomScaleSheetLayoutView="100" workbookViewId="0">
      <selection activeCell="M25" sqref="M25"/>
    </sheetView>
  </sheetViews>
  <sheetFormatPr defaultColWidth="9.140625" defaultRowHeight="15" x14ac:dyDescent="0.25"/>
  <cols>
    <col min="1" max="1" width="18.28515625" style="14" customWidth="1"/>
    <col min="2" max="2" width="10.7109375" style="14" customWidth="1"/>
    <col min="3" max="3" width="12.28515625" style="14" customWidth="1"/>
    <col min="4" max="4" width="11" style="14" customWidth="1"/>
    <col min="5" max="5" width="12" style="14" customWidth="1"/>
    <col min="6" max="6" width="12.5703125" style="14" bestFit="1" customWidth="1"/>
    <col min="7" max="7" width="9.28515625" style="14" bestFit="1" customWidth="1"/>
    <col min="8" max="8" width="10.140625" style="14" bestFit="1" customWidth="1"/>
    <col min="9" max="9" width="10.5703125" style="14" bestFit="1" customWidth="1"/>
    <col min="10" max="10" width="10.5703125" style="14" customWidth="1"/>
    <col min="11" max="11" width="10.28515625" style="14" bestFit="1" customWidth="1"/>
    <col min="12" max="12" width="10.42578125" style="14" bestFit="1" customWidth="1"/>
    <col min="13" max="13" width="9.85546875" style="14" bestFit="1" customWidth="1"/>
    <col min="14" max="14" width="10.140625" style="14" bestFit="1" customWidth="1"/>
    <col min="15" max="15" width="9" style="14" customWidth="1"/>
    <col min="16" max="16" width="12.85546875" style="14" bestFit="1" customWidth="1"/>
    <col min="17" max="18" width="9.42578125" style="14" customWidth="1"/>
    <col min="19" max="19" width="13.7109375" style="14" customWidth="1"/>
    <col min="20" max="20" width="12.140625" style="14" customWidth="1"/>
    <col min="21" max="21" width="19.5703125" style="14" bestFit="1" customWidth="1"/>
    <col min="22" max="22" width="9.85546875" style="14" customWidth="1"/>
    <col min="23" max="23" width="10.140625" style="14" bestFit="1" customWidth="1"/>
    <col min="24" max="24" width="10.28515625" style="14" customWidth="1"/>
    <col min="25" max="25" width="28" style="14" customWidth="1"/>
    <col min="26" max="16384" width="9.140625" style="14"/>
  </cols>
  <sheetData>
    <row r="1" spans="1:25" ht="46.15" customHeight="1" x14ac:dyDescent="0.25">
      <c r="A1" s="2240" t="s">
        <v>148</v>
      </c>
      <c r="B1" s="2240"/>
      <c r="C1" s="2240"/>
      <c r="D1" s="2240"/>
      <c r="E1" s="2240"/>
      <c r="F1" s="2240"/>
      <c r="G1" s="2240"/>
      <c r="H1" s="2240"/>
      <c r="I1" s="2240"/>
      <c r="J1" s="2240"/>
      <c r="K1" s="2240"/>
      <c r="L1" s="2240"/>
      <c r="M1" s="2240"/>
      <c r="N1" s="2240"/>
      <c r="O1" s="2240"/>
      <c r="P1" s="2240"/>
      <c r="Q1" s="2240"/>
      <c r="R1" s="2240"/>
      <c r="S1" s="2240"/>
      <c r="T1" s="2240"/>
      <c r="U1" s="2240"/>
      <c r="V1" s="2240"/>
      <c r="W1" s="2240"/>
      <c r="X1" s="2240"/>
      <c r="Y1" s="2240"/>
    </row>
    <row r="2" spans="1:25" ht="21.6" customHeight="1" x14ac:dyDescent="0.25">
      <c r="A2" s="2241" t="s">
        <v>77</v>
      </c>
      <c r="B2" s="2241"/>
      <c r="C2" s="2241"/>
      <c r="D2" s="2241"/>
      <c r="E2" s="2241"/>
      <c r="F2" s="2241"/>
      <c r="G2" s="2241"/>
      <c r="H2" s="2241"/>
      <c r="I2" s="2241"/>
      <c r="J2" s="2241"/>
      <c r="K2" s="2241"/>
      <c r="L2" s="2241"/>
      <c r="M2" s="2241"/>
      <c r="N2" s="2241"/>
      <c r="O2" s="2241"/>
      <c r="P2" s="2241"/>
      <c r="Q2" s="2241"/>
      <c r="R2" s="2241"/>
      <c r="S2" s="2241"/>
      <c r="T2" s="2241"/>
      <c r="U2" s="2241"/>
      <c r="V2" s="2241"/>
      <c r="W2" s="2241"/>
      <c r="X2" s="2241"/>
      <c r="Y2" s="2241"/>
    </row>
    <row r="3" spans="1:25" ht="21" customHeight="1" x14ac:dyDescent="0.25">
      <c r="A3" s="272"/>
      <c r="B3" s="272"/>
      <c r="C3" s="272"/>
      <c r="D3" s="272"/>
      <c r="E3" s="272"/>
      <c r="F3" s="272"/>
      <c r="G3" s="272"/>
      <c r="H3" s="272"/>
      <c r="I3" s="272"/>
      <c r="J3" s="272"/>
      <c r="K3" s="272"/>
      <c r="L3" s="272"/>
      <c r="M3" s="272"/>
      <c r="N3" s="272"/>
      <c r="O3" s="272"/>
      <c r="P3" s="272"/>
      <c r="Q3" s="272"/>
      <c r="R3" s="272"/>
      <c r="S3" s="272"/>
      <c r="T3" s="2242" t="s">
        <v>279</v>
      </c>
      <c r="U3" s="2242"/>
      <c r="V3" s="2242"/>
      <c r="W3" s="2242"/>
      <c r="X3" s="2242"/>
      <c r="Y3" s="2242"/>
    </row>
    <row r="4" spans="1:25" s="272" customFormat="1" ht="18" customHeight="1" x14ac:dyDescent="0.25">
      <c r="A4" s="2243" t="s">
        <v>25</v>
      </c>
      <c r="B4" s="2243" t="s">
        <v>26</v>
      </c>
      <c r="C4" s="2244" t="s">
        <v>27</v>
      </c>
      <c r="D4" s="2244"/>
      <c r="E4" s="2244" t="s">
        <v>28</v>
      </c>
      <c r="F4" s="2244"/>
      <c r="G4" s="2244" t="s">
        <v>65</v>
      </c>
      <c r="H4" s="2244"/>
      <c r="I4" s="2244" t="s">
        <v>29</v>
      </c>
      <c r="J4" s="2244"/>
      <c r="K4" s="2245" t="s">
        <v>13</v>
      </c>
      <c r="L4" s="2246"/>
      <c r="M4" s="2245" t="s">
        <v>67</v>
      </c>
      <c r="N4" s="2246"/>
      <c r="O4" s="2245" t="s">
        <v>68</v>
      </c>
      <c r="P4" s="2246"/>
      <c r="Q4" s="2245" t="s">
        <v>114</v>
      </c>
      <c r="R4" s="2246"/>
      <c r="S4" s="2244" t="s">
        <v>35</v>
      </c>
      <c r="T4" s="2244"/>
      <c r="U4" s="2245" t="s">
        <v>17</v>
      </c>
      <c r="V4" s="2246"/>
      <c r="W4" s="2247" t="s">
        <v>36</v>
      </c>
      <c r="X4" s="2248"/>
      <c r="Y4" s="2238" t="s">
        <v>30</v>
      </c>
    </row>
    <row r="5" spans="1:25" s="272" customFormat="1" ht="25.5" customHeight="1" x14ac:dyDescent="0.25">
      <c r="A5" s="2243"/>
      <c r="B5" s="2243"/>
      <c r="C5" s="271" t="s">
        <v>42</v>
      </c>
      <c r="D5" s="271" t="s">
        <v>43</v>
      </c>
      <c r="E5" s="271" t="s">
        <v>42</v>
      </c>
      <c r="F5" s="271" t="s">
        <v>43</v>
      </c>
      <c r="G5" s="271" t="s">
        <v>42</v>
      </c>
      <c r="H5" s="271" t="s">
        <v>43</v>
      </c>
      <c r="I5" s="271" t="s">
        <v>42</v>
      </c>
      <c r="J5" s="271" t="s">
        <v>43</v>
      </c>
      <c r="K5" s="271" t="s">
        <v>42</v>
      </c>
      <c r="L5" s="271" t="s">
        <v>43</v>
      </c>
      <c r="M5" s="271" t="s">
        <v>42</v>
      </c>
      <c r="N5" s="271" t="s">
        <v>43</v>
      </c>
      <c r="O5" s="271" t="s">
        <v>42</v>
      </c>
      <c r="P5" s="271" t="s">
        <v>43</v>
      </c>
      <c r="Q5" s="271" t="s">
        <v>42</v>
      </c>
      <c r="R5" s="271" t="s">
        <v>43</v>
      </c>
      <c r="S5" s="33" t="s">
        <v>42</v>
      </c>
      <c r="T5" s="33" t="s">
        <v>43</v>
      </c>
      <c r="U5" s="30" t="s">
        <v>42</v>
      </c>
      <c r="V5" s="30" t="s">
        <v>43</v>
      </c>
      <c r="W5" s="30" t="s">
        <v>42</v>
      </c>
      <c r="X5" s="30" t="s">
        <v>43</v>
      </c>
      <c r="Y5" s="2239"/>
    </row>
    <row r="6" spans="1:25" ht="34.5" customHeight="1" x14ac:dyDescent="0.25">
      <c r="A6" s="12">
        <v>1409935200</v>
      </c>
      <c r="B6" s="270" t="s">
        <v>71</v>
      </c>
      <c r="C6" s="268">
        <v>39954</v>
      </c>
      <c r="D6" s="267">
        <f>0.9725*C6</f>
        <v>38855.264999999999</v>
      </c>
      <c r="E6" s="268"/>
      <c r="F6" s="268">
        <f>13.7*E6</f>
        <v>0</v>
      </c>
      <c r="G6" s="268">
        <v>40</v>
      </c>
      <c r="H6" s="268">
        <f>28.2*G6</f>
        <v>1128</v>
      </c>
      <c r="I6" s="268">
        <v>320</v>
      </c>
      <c r="J6" s="268">
        <f>18.5*I6</f>
        <v>5920</v>
      </c>
      <c r="K6" s="268"/>
      <c r="L6" s="268">
        <f>19.5*K6</f>
        <v>0</v>
      </c>
      <c r="M6" s="268"/>
      <c r="N6" s="267">
        <f>M6*9.75</f>
        <v>0</v>
      </c>
      <c r="O6" s="268"/>
      <c r="P6" s="267">
        <f>O6*48.62</f>
        <v>0</v>
      </c>
      <c r="Q6" s="267"/>
      <c r="R6" s="267">
        <f>241*Q6</f>
        <v>0</v>
      </c>
      <c r="S6" s="268"/>
      <c r="T6" s="268">
        <f>241*S6</f>
        <v>0</v>
      </c>
      <c r="U6" s="268"/>
      <c r="V6" s="268">
        <f>232*U6</f>
        <v>0</v>
      </c>
      <c r="W6" s="268"/>
      <c r="X6" s="19">
        <f>W6*100</f>
        <v>0</v>
      </c>
      <c r="Y6" s="89">
        <f t="shared" ref="Y6:Y11" si="0">D6+F6+H6+J6+L6+N6+P6+R6+T6+V6+X6</f>
        <v>45903.264999999999</v>
      </c>
    </row>
    <row r="7" spans="1:25" ht="31.5" customHeight="1" x14ac:dyDescent="0.25">
      <c r="A7" s="12">
        <v>1984225578</v>
      </c>
      <c r="B7" s="270" t="s">
        <v>72</v>
      </c>
      <c r="C7" s="268">
        <v>29179</v>
      </c>
      <c r="D7" s="267">
        <f t="shared" ref="D7:D11" si="1">0.9725*C7</f>
        <v>28376.577499999999</v>
      </c>
      <c r="E7" s="268"/>
      <c r="F7" s="268">
        <f t="shared" ref="F7:F11" si="2">13.7*E7</f>
        <v>0</v>
      </c>
      <c r="G7" s="268"/>
      <c r="H7" s="268">
        <f t="shared" ref="H7:H11" si="3">28.2*G7</f>
        <v>0</v>
      </c>
      <c r="I7" s="268">
        <v>530</v>
      </c>
      <c r="J7" s="268">
        <f t="shared" ref="J7:J11" si="4">18.5*I7</f>
        <v>9805</v>
      </c>
      <c r="K7" s="268"/>
      <c r="L7" s="268">
        <f t="shared" ref="L7:L11" si="5">19.5*K7</f>
        <v>0</v>
      </c>
      <c r="M7" s="268"/>
      <c r="N7" s="267">
        <f t="shared" ref="N7:N11" si="6">M7*9.75</f>
        <v>0</v>
      </c>
      <c r="O7" s="268"/>
      <c r="P7" s="267">
        <f t="shared" ref="P7:P11" si="7">O7*48.62</f>
        <v>0</v>
      </c>
      <c r="Q7" s="267"/>
      <c r="R7" s="267">
        <f t="shared" ref="R7:R11" si="8">241*Q7</f>
        <v>0</v>
      </c>
      <c r="S7" s="268"/>
      <c r="T7" s="268">
        <f t="shared" ref="T7:T11" si="9">241*S7</f>
        <v>0</v>
      </c>
      <c r="U7" s="268"/>
      <c r="V7" s="268">
        <f t="shared" ref="V7:V11" si="10">232*U7</f>
        <v>0</v>
      </c>
      <c r="W7" s="268"/>
      <c r="X7" s="19">
        <f t="shared" ref="X7:X11" si="11">W7*100</f>
        <v>0</v>
      </c>
      <c r="Y7" s="89">
        <f t="shared" si="0"/>
        <v>38181.577499999999</v>
      </c>
    </row>
    <row r="8" spans="1:25" ht="35.25" customHeight="1" x14ac:dyDescent="0.25">
      <c r="A8" s="12">
        <v>1967020280</v>
      </c>
      <c r="B8" s="270" t="s">
        <v>73</v>
      </c>
      <c r="C8" s="268">
        <v>19492</v>
      </c>
      <c r="D8" s="267">
        <f t="shared" si="1"/>
        <v>18955.97</v>
      </c>
      <c r="E8" s="268"/>
      <c r="F8" s="268">
        <f t="shared" si="2"/>
        <v>0</v>
      </c>
      <c r="G8" s="268"/>
      <c r="H8" s="268">
        <f t="shared" si="3"/>
        <v>0</v>
      </c>
      <c r="I8" s="268"/>
      <c r="J8" s="268">
        <f t="shared" si="4"/>
        <v>0</v>
      </c>
      <c r="K8" s="268"/>
      <c r="L8" s="268">
        <f t="shared" si="5"/>
        <v>0</v>
      </c>
      <c r="M8" s="268"/>
      <c r="N8" s="267">
        <f t="shared" si="6"/>
        <v>0</v>
      </c>
      <c r="O8" s="268"/>
      <c r="P8" s="267">
        <f t="shared" si="7"/>
        <v>0</v>
      </c>
      <c r="Q8" s="267"/>
      <c r="R8" s="267">
        <f t="shared" si="8"/>
        <v>0</v>
      </c>
      <c r="S8" s="268"/>
      <c r="T8" s="268">
        <f t="shared" si="9"/>
        <v>0</v>
      </c>
      <c r="U8" s="268"/>
      <c r="V8" s="268">
        <f t="shared" si="10"/>
        <v>0</v>
      </c>
      <c r="W8" s="268"/>
      <c r="X8" s="19">
        <f t="shared" si="11"/>
        <v>0</v>
      </c>
      <c r="Y8" s="89">
        <f t="shared" si="0"/>
        <v>18955.97</v>
      </c>
    </row>
    <row r="9" spans="1:25" ht="38.25" customHeight="1" x14ac:dyDescent="0.25">
      <c r="A9" s="12">
        <v>1409935199</v>
      </c>
      <c r="B9" s="270" t="s">
        <v>75</v>
      </c>
      <c r="C9" s="268">
        <v>16971</v>
      </c>
      <c r="D9" s="267">
        <f t="shared" si="1"/>
        <v>16504.297500000001</v>
      </c>
      <c r="E9" s="268"/>
      <c r="F9" s="268">
        <f t="shared" si="2"/>
        <v>0</v>
      </c>
      <c r="G9" s="268">
        <v>30</v>
      </c>
      <c r="H9" s="268">
        <f t="shared" si="3"/>
        <v>846</v>
      </c>
      <c r="I9" s="268">
        <v>960</v>
      </c>
      <c r="J9" s="268">
        <f t="shared" si="4"/>
        <v>17760</v>
      </c>
      <c r="K9" s="268"/>
      <c r="L9" s="268">
        <f t="shared" si="5"/>
        <v>0</v>
      </c>
      <c r="M9" s="268"/>
      <c r="N9" s="267">
        <f t="shared" si="6"/>
        <v>0</v>
      </c>
      <c r="O9" s="268"/>
      <c r="P9" s="267">
        <f t="shared" si="7"/>
        <v>0</v>
      </c>
      <c r="Q9" s="267"/>
      <c r="R9" s="267">
        <f t="shared" si="8"/>
        <v>0</v>
      </c>
      <c r="S9" s="268"/>
      <c r="T9" s="268">
        <f t="shared" si="9"/>
        <v>0</v>
      </c>
      <c r="U9" s="268"/>
      <c r="V9" s="268">
        <f t="shared" si="10"/>
        <v>0</v>
      </c>
      <c r="W9" s="268"/>
      <c r="X9" s="19">
        <f t="shared" si="11"/>
        <v>0</v>
      </c>
      <c r="Y9" s="89">
        <f t="shared" si="0"/>
        <v>35110.297500000001</v>
      </c>
    </row>
    <row r="10" spans="1:25" ht="35.25" customHeight="1" x14ac:dyDescent="0.25">
      <c r="A10" s="12">
        <v>1984225580</v>
      </c>
      <c r="C10" s="268"/>
      <c r="D10" s="267">
        <f t="shared" si="1"/>
        <v>0</v>
      </c>
      <c r="E10" s="268"/>
      <c r="F10" s="268">
        <f t="shared" si="2"/>
        <v>0</v>
      </c>
      <c r="G10" s="268"/>
      <c r="H10" s="268">
        <f t="shared" si="3"/>
        <v>0</v>
      </c>
      <c r="I10" s="268"/>
      <c r="J10" s="268">
        <f t="shared" si="4"/>
        <v>0</v>
      </c>
      <c r="K10" s="268"/>
      <c r="L10" s="268">
        <f t="shared" si="5"/>
        <v>0</v>
      </c>
      <c r="M10" s="268"/>
      <c r="N10" s="267">
        <f t="shared" si="6"/>
        <v>0</v>
      </c>
      <c r="O10" s="268"/>
      <c r="P10" s="267">
        <f t="shared" si="7"/>
        <v>0</v>
      </c>
      <c r="Q10" s="267"/>
      <c r="R10" s="267">
        <f t="shared" si="8"/>
        <v>0</v>
      </c>
      <c r="S10" s="268"/>
      <c r="T10" s="268">
        <f t="shared" si="9"/>
        <v>0</v>
      </c>
      <c r="U10" s="268"/>
      <c r="V10" s="268">
        <f t="shared" si="10"/>
        <v>0</v>
      </c>
      <c r="W10" s="268"/>
      <c r="X10" s="19">
        <f t="shared" si="11"/>
        <v>0</v>
      </c>
      <c r="Y10" s="89">
        <f t="shared" si="0"/>
        <v>0</v>
      </c>
    </row>
    <row r="11" spans="1:25" ht="37.5" customHeight="1" x14ac:dyDescent="0.25">
      <c r="A11" s="12"/>
      <c r="B11" s="269"/>
      <c r="C11" s="268"/>
      <c r="D11" s="22">
        <f t="shared" si="1"/>
        <v>0</v>
      </c>
      <c r="E11" s="268"/>
      <c r="F11" s="268">
        <f t="shared" si="2"/>
        <v>0</v>
      </c>
      <c r="G11" s="268"/>
      <c r="H11" s="268">
        <f t="shared" si="3"/>
        <v>0</v>
      </c>
      <c r="I11" s="268"/>
      <c r="J11" s="268">
        <f t="shared" si="4"/>
        <v>0</v>
      </c>
      <c r="K11" s="268"/>
      <c r="L11" s="268">
        <f t="shared" si="5"/>
        <v>0</v>
      </c>
      <c r="M11" s="268"/>
      <c r="N11" s="267">
        <f t="shared" si="6"/>
        <v>0</v>
      </c>
      <c r="O11" s="268"/>
      <c r="P11" s="267">
        <f t="shared" si="7"/>
        <v>0</v>
      </c>
      <c r="Q11" s="267"/>
      <c r="R11" s="267">
        <f t="shared" si="8"/>
        <v>0</v>
      </c>
      <c r="S11" s="268"/>
      <c r="T11" s="268">
        <f t="shared" si="9"/>
        <v>0</v>
      </c>
      <c r="U11" s="268"/>
      <c r="V11" s="268">
        <f t="shared" si="10"/>
        <v>0</v>
      </c>
      <c r="W11" s="268"/>
      <c r="X11" s="19">
        <f t="shared" si="11"/>
        <v>0</v>
      </c>
      <c r="Y11" s="20">
        <f t="shared" si="0"/>
        <v>0</v>
      </c>
    </row>
    <row r="12" spans="1:25" ht="29.25" customHeight="1" x14ac:dyDescent="0.25">
      <c r="A12" s="2235" t="s">
        <v>31</v>
      </c>
      <c r="B12" s="2235"/>
      <c r="C12" s="18">
        <f t="shared" ref="C12:Y12" si="12">SUM(C6:C11)</f>
        <v>105596</v>
      </c>
      <c r="D12" s="18">
        <f t="shared" si="12"/>
        <v>102692.11</v>
      </c>
      <c r="E12" s="18">
        <f t="shared" si="12"/>
        <v>0</v>
      </c>
      <c r="F12" s="18">
        <f t="shared" si="12"/>
        <v>0</v>
      </c>
      <c r="G12" s="18">
        <f t="shared" si="12"/>
        <v>70</v>
      </c>
      <c r="H12" s="18">
        <f t="shared" si="12"/>
        <v>1974</v>
      </c>
      <c r="I12" s="18">
        <f t="shared" si="12"/>
        <v>1810</v>
      </c>
      <c r="J12" s="18">
        <f t="shared" si="12"/>
        <v>33485</v>
      </c>
      <c r="K12" s="18">
        <f t="shared" si="12"/>
        <v>0</v>
      </c>
      <c r="L12" s="18">
        <f t="shared" si="12"/>
        <v>0</v>
      </c>
      <c r="M12" s="18">
        <f t="shared" si="12"/>
        <v>0</v>
      </c>
      <c r="N12" s="23">
        <f t="shared" si="12"/>
        <v>0</v>
      </c>
      <c r="O12" s="18">
        <f t="shared" si="12"/>
        <v>0</v>
      </c>
      <c r="P12" s="23">
        <f t="shared" si="12"/>
        <v>0</v>
      </c>
      <c r="Q12" s="23">
        <f t="shared" si="12"/>
        <v>0</v>
      </c>
      <c r="R12" s="23">
        <f>SUM(R6:R11)</f>
        <v>0</v>
      </c>
      <c r="S12" s="18">
        <f t="shared" si="12"/>
        <v>0</v>
      </c>
      <c r="T12" s="18">
        <f t="shared" si="12"/>
        <v>0</v>
      </c>
      <c r="U12" s="18">
        <f t="shared" si="12"/>
        <v>0</v>
      </c>
      <c r="V12" s="18">
        <f t="shared" si="12"/>
        <v>0</v>
      </c>
      <c r="W12" s="18">
        <f t="shared" si="12"/>
        <v>0</v>
      </c>
      <c r="X12" s="18">
        <f t="shared" si="12"/>
        <v>0</v>
      </c>
      <c r="Y12" s="18">
        <f t="shared" si="12"/>
        <v>138151.10999999999</v>
      </c>
    </row>
    <row r="14" spans="1:25" ht="41.25" customHeight="1" x14ac:dyDescent="0.25">
      <c r="A14" s="30" t="s">
        <v>32</v>
      </c>
      <c r="B14" s="2236" t="s">
        <v>27</v>
      </c>
      <c r="C14" s="2236"/>
      <c r="D14" s="30" t="s">
        <v>33</v>
      </c>
      <c r="E14" s="30" t="s">
        <v>65</v>
      </c>
      <c r="F14" s="30" t="s">
        <v>34</v>
      </c>
      <c r="G14" s="30" t="s">
        <v>13</v>
      </c>
      <c r="H14" s="142" t="s">
        <v>173</v>
      </c>
      <c r="I14" s="30" t="s">
        <v>17</v>
      </c>
      <c r="J14" s="276" t="s">
        <v>174</v>
      </c>
      <c r="K14" s="30" t="s">
        <v>36</v>
      </c>
      <c r="L14" s="30" t="s">
        <v>175</v>
      </c>
      <c r="M14" s="30" t="s">
        <v>69</v>
      </c>
      <c r="N14" s="30" t="s">
        <v>70</v>
      </c>
      <c r="O14" s="276" t="s">
        <v>114</v>
      </c>
      <c r="P14" s="276" t="s">
        <v>99</v>
      </c>
      <c r="Q14" s="2272" t="s">
        <v>256</v>
      </c>
      <c r="R14" s="2272"/>
      <c r="S14" s="276"/>
      <c r="T14" s="2235" t="s">
        <v>46</v>
      </c>
      <c r="U14" s="270" t="s">
        <v>176</v>
      </c>
      <c r="V14" s="2260">
        <v>14705</v>
      </c>
      <c r="W14" s="2268"/>
      <c r="X14" s="2261"/>
    </row>
    <row r="15" spans="1:25" ht="22.5" customHeight="1" x14ac:dyDescent="0.25">
      <c r="A15" s="100" t="s">
        <v>38</v>
      </c>
      <c r="B15" s="2260">
        <v>381366</v>
      </c>
      <c r="C15" s="2261"/>
      <c r="D15" s="273">
        <v>0</v>
      </c>
      <c r="E15" s="273">
        <v>120</v>
      </c>
      <c r="F15" s="273">
        <v>2400</v>
      </c>
      <c r="G15" s="273">
        <v>0</v>
      </c>
      <c r="H15" s="273">
        <v>353</v>
      </c>
      <c r="I15" s="273">
        <v>5</v>
      </c>
      <c r="J15" s="273">
        <v>113</v>
      </c>
      <c r="K15" s="273">
        <v>71</v>
      </c>
      <c r="L15" s="273">
        <v>1116</v>
      </c>
      <c r="M15" s="273">
        <v>0</v>
      </c>
      <c r="N15" s="273">
        <v>100</v>
      </c>
      <c r="O15" s="273">
        <v>0</v>
      </c>
      <c r="P15" s="273">
        <v>404</v>
      </c>
      <c r="Q15" s="2262">
        <v>405</v>
      </c>
      <c r="R15" s="2262"/>
      <c r="S15" s="270">
        <v>0</v>
      </c>
      <c r="T15" s="2235"/>
      <c r="U15" s="270" t="s">
        <v>64</v>
      </c>
      <c r="V15" s="2262">
        <v>7492</v>
      </c>
      <c r="W15" s="2262"/>
      <c r="X15" s="2262"/>
    </row>
    <row r="16" spans="1:25" ht="24.75" customHeight="1" x14ac:dyDescent="0.25">
      <c r="A16" s="100" t="s">
        <v>39</v>
      </c>
      <c r="B16" s="2260"/>
      <c r="C16" s="2261"/>
      <c r="D16" s="273"/>
      <c r="E16" s="273"/>
      <c r="F16" s="273"/>
      <c r="G16" s="273"/>
      <c r="H16" s="273"/>
      <c r="I16" s="273"/>
      <c r="J16" s="273"/>
      <c r="K16" s="273"/>
      <c r="L16" s="273">
        <v>45</v>
      </c>
      <c r="M16" s="273"/>
      <c r="N16" s="273"/>
      <c r="O16" s="273"/>
      <c r="P16" s="273"/>
      <c r="Q16" s="2225"/>
      <c r="R16" s="2225"/>
      <c r="S16" s="273"/>
      <c r="T16" s="2254" t="s">
        <v>55</v>
      </c>
      <c r="U16" s="2254"/>
      <c r="V16" s="2267">
        <f>Y12</f>
        <v>138151.10999999999</v>
      </c>
      <c r="W16" s="2267"/>
      <c r="X16" s="2262"/>
    </row>
    <row r="17" spans="1:25" ht="28.5" customHeight="1" x14ac:dyDescent="0.25">
      <c r="A17" s="101" t="s">
        <v>44</v>
      </c>
      <c r="B17" s="2260"/>
      <c r="C17" s="2261"/>
      <c r="D17" s="273"/>
      <c r="E17" s="273"/>
      <c r="F17" s="273"/>
      <c r="G17" s="273"/>
      <c r="H17" s="273"/>
      <c r="I17" s="273"/>
      <c r="J17" s="273"/>
      <c r="K17" s="273"/>
      <c r="L17" s="273"/>
      <c r="M17" s="273"/>
      <c r="N17" s="273"/>
      <c r="O17" s="273"/>
      <c r="P17" s="273"/>
      <c r="Q17" s="2225"/>
      <c r="R17" s="2225"/>
      <c r="S17" s="269"/>
      <c r="T17" s="2273" t="s">
        <v>87</v>
      </c>
      <c r="U17" s="2274"/>
      <c r="V17" s="2262"/>
      <c r="W17" s="2262"/>
      <c r="X17" s="2262"/>
    </row>
    <row r="18" spans="1:25" ht="27" customHeight="1" x14ac:dyDescent="0.25">
      <c r="A18" s="100" t="s">
        <v>40</v>
      </c>
      <c r="B18" s="2264">
        <f>C12</f>
        <v>105596</v>
      </c>
      <c r="C18" s="2261"/>
      <c r="D18" s="275">
        <f>E12</f>
        <v>0</v>
      </c>
      <c r="E18" s="275">
        <f>G12</f>
        <v>70</v>
      </c>
      <c r="F18" s="275">
        <f>I12</f>
        <v>1810</v>
      </c>
      <c r="G18" s="275">
        <f>K12</f>
        <v>0</v>
      </c>
      <c r="H18" s="273">
        <v>45</v>
      </c>
      <c r="I18" s="275">
        <f>U12</f>
        <v>0</v>
      </c>
      <c r="J18" s="273"/>
      <c r="K18" s="275">
        <f>W12</f>
        <v>0</v>
      </c>
      <c r="L18" s="273"/>
      <c r="M18" s="275">
        <f>M12</f>
        <v>0</v>
      </c>
      <c r="N18" s="275">
        <f>O12</f>
        <v>0</v>
      </c>
      <c r="O18" s="274">
        <f>Q12</f>
        <v>0</v>
      </c>
      <c r="P18" s="273"/>
      <c r="Q18" s="2262"/>
      <c r="R18" s="2262"/>
      <c r="S18" s="270"/>
      <c r="T18" s="2254" t="s">
        <v>57</v>
      </c>
      <c r="U18" s="2254"/>
      <c r="V18" s="2262">
        <f>520+240+700</f>
        <v>1460</v>
      </c>
      <c r="W18" s="2262"/>
      <c r="X18" s="2262"/>
      <c r="Y18" s="2269" t="s">
        <v>280</v>
      </c>
    </row>
    <row r="19" spans="1:25" ht="25.5" customHeight="1" x14ac:dyDescent="0.25">
      <c r="A19" s="100" t="s">
        <v>41</v>
      </c>
      <c r="B19" s="2260">
        <f>B15+B16+B17-B18</f>
        <v>275770</v>
      </c>
      <c r="C19" s="2261"/>
      <c r="D19" s="273">
        <f>D15+D16+D17-D18</f>
        <v>0</v>
      </c>
      <c r="E19" s="273">
        <f t="shared" ref="E19:N19" si="13">E15+E16+E17-E18</f>
        <v>50</v>
      </c>
      <c r="F19" s="273">
        <f t="shared" si="13"/>
        <v>590</v>
      </c>
      <c r="G19" s="273">
        <f t="shared" si="13"/>
        <v>0</v>
      </c>
      <c r="H19" s="273">
        <f t="shared" si="13"/>
        <v>308</v>
      </c>
      <c r="I19" s="273">
        <f t="shared" si="13"/>
        <v>5</v>
      </c>
      <c r="J19" s="273">
        <f t="shared" si="13"/>
        <v>113</v>
      </c>
      <c r="K19" s="273">
        <f t="shared" si="13"/>
        <v>71</v>
      </c>
      <c r="L19" s="273">
        <f t="shared" si="13"/>
        <v>1161</v>
      </c>
      <c r="M19" s="273">
        <f t="shared" si="13"/>
        <v>0</v>
      </c>
      <c r="N19" s="273">
        <f t="shared" si="13"/>
        <v>100</v>
      </c>
      <c r="O19" s="273">
        <f>O15+O16+O17-O18</f>
        <v>0</v>
      </c>
      <c r="P19" s="273">
        <f>P15+P16+P17-P18</f>
        <v>404</v>
      </c>
      <c r="Q19" s="2260">
        <f t="shared" ref="Q19" si="14">Q15+Q16+Q17-Q18</f>
        <v>405</v>
      </c>
      <c r="R19" s="2261"/>
      <c r="S19" s="270">
        <f>S15+S16-S17-S18</f>
        <v>0</v>
      </c>
      <c r="T19" s="2256" t="s">
        <v>48</v>
      </c>
      <c r="U19" s="49" t="s">
        <v>58</v>
      </c>
      <c r="V19" s="2262"/>
      <c r="W19" s="2262"/>
      <c r="X19" s="2262"/>
      <c r="Y19" s="2269"/>
    </row>
    <row r="20" spans="1:25" ht="23.25" customHeight="1" x14ac:dyDescent="0.25">
      <c r="A20" s="210" t="s">
        <v>187</v>
      </c>
      <c r="B20" s="2284">
        <f>B19*0.9625</f>
        <v>265428.625</v>
      </c>
      <c r="C20" s="2285"/>
      <c r="D20" s="211">
        <f>D19*13.56</f>
        <v>0</v>
      </c>
      <c r="E20" s="211">
        <f>28.2*E19</f>
        <v>1410</v>
      </c>
      <c r="F20" s="211">
        <f>18.31*F19</f>
        <v>10802.9</v>
      </c>
      <c r="G20" s="211">
        <f>19.3*G19</f>
        <v>0</v>
      </c>
      <c r="H20" s="211">
        <f>241*H19</f>
        <v>74228</v>
      </c>
      <c r="I20" s="211">
        <f>223*I19</f>
        <v>1115</v>
      </c>
      <c r="J20" s="211">
        <f>241*J19</f>
        <v>27233</v>
      </c>
      <c r="K20" s="211">
        <f>K19*100</f>
        <v>7100</v>
      </c>
      <c r="L20" s="211">
        <f>241*L19</f>
        <v>279801</v>
      </c>
      <c r="M20" s="211">
        <f>9.65*M19</f>
        <v>0</v>
      </c>
      <c r="N20" s="211">
        <f>N19*48.2</f>
        <v>4820</v>
      </c>
      <c r="O20" s="211">
        <f>241*O19</f>
        <v>0</v>
      </c>
      <c r="P20" s="211">
        <f>241*P19</f>
        <v>97364</v>
      </c>
      <c r="Q20" s="2284">
        <f>241*Q19</f>
        <v>97605</v>
      </c>
      <c r="R20" s="2285"/>
      <c r="S20" s="211">
        <f>241*S19</f>
        <v>0</v>
      </c>
      <c r="T20" s="2257"/>
      <c r="U20" s="49" t="s">
        <v>59</v>
      </c>
      <c r="V20" s="2262"/>
      <c r="W20" s="2262"/>
      <c r="X20" s="2262"/>
      <c r="Y20" s="2269"/>
    </row>
    <row r="21" spans="1:25" ht="32.25" customHeight="1" x14ac:dyDescent="0.25">
      <c r="A21" s="143" t="s">
        <v>186</v>
      </c>
      <c r="B21" s="2283">
        <f>SUM(B20:S20)</f>
        <v>866907.52500000002</v>
      </c>
      <c r="C21" s="2283"/>
      <c r="O21" s="277"/>
      <c r="P21" s="277"/>
      <c r="Q21" s="277"/>
      <c r="R21" s="277"/>
      <c r="T21" s="2273" t="s">
        <v>167</v>
      </c>
      <c r="U21" s="2274"/>
      <c r="V21" s="2260"/>
      <c r="W21" s="2268"/>
      <c r="X21" s="2261"/>
      <c r="Y21" s="2269"/>
    </row>
    <row r="22" spans="1:25" ht="35.25" customHeight="1" x14ac:dyDescent="0.25">
      <c r="A22" s="15"/>
      <c r="B22" s="2275" t="s">
        <v>49</v>
      </c>
      <c r="C22" s="2265">
        <v>439284</v>
      </c>
      <c r="D22" s="2265"/>
      <c r="E22" s="2265"/>
      <c r="F22" s="2265">
        <f>C22-D22+E22</f>
        <v>439284</v>
      </c>
      <c r="G22" s="277"/>
      <c r="Q22" s="277"/>
      <c r="R22" s="277"/>
      <c r="T22" s="2251" t="s">
        <v>83</v>
      </c>
      <c r="U22" s="50" t="s">
        <v>60</v>
      </c>
      <c r="V22" s="2262"/>
      <c r="W22" s="2262"/>
      <c r="X22" s="2262"/>
      <c r="Y22" s="2269"/>
    </row>
    <row r="23" spans="1:25" ht="39.75" customHeight="1" x14ac:dyDescent="0.25">
      <c r="A23" s="277"/>
      <c r="B23" s="2276"/>
      <c r="C23" s="2266"/>
      <c r="D23" s="2266"/>
      <c r="E23" s="2266"/>
      <c r="F23" s="2266"/>
      <c r="G23" s="277"/>
      <c r="Q23" s="277"/>
      <c r="R23" s="277"/>
      <c r="T23" s="2252"/>
      <c r="U23" s="50" t="s">
        <v>61</v>
      </c>
      <c r="V23" s="2262"/>
      <c r="W23" s="2262"/>
      <c r="X23" s="2262"/>
      <c r="Y23" s="2269"/>
    </row>
    <row r="24" spans="1:25" ht="48" customHeight="1" x14ac:dyDescent="0.25">
      <c r="A24" s="277"/>
      <c r="B24" s="2277"/>
      <c r="C24" s="270" t="s">
        <v>46</v>
      </c>
      <c r="D24" s="270" t="s">
        <v>50</v>
      </c>
      <c r="E24" s="270" t="s">
        <v>51</v>
      </c>
      <c r="F24" s="270" t="s">
        <v>52</v>
      </c>
      <c r="G24" s="277"/>
      <c r="Q24" s="277"/>
      <c r="R24" s="277"/>
      <c r="T24" s="2235" t="s">
        <v>47</v>
      </c>
      <c r="U24" s="51" t="s">
        <v>62</v>
      </c>
      <c r="V24" s="2263">
        <f>V14+V16+V17-V18-V19-V20-V22+V23-V21</f>
        <v>151396.10999999999</v>
      </c>
      <c r="W24" s="2263"/>
      <c r="X24" s="2263"/>
      <c r="Y24" s="2269"/>
    </row>
    <row r="25" spans="1:25" ht="40.5" customHeight="1" x14ac:dyDescent="0.25">
      <c r="T25" s="2235"/>
      <c r="U25" s="51" t="s">
        <v>63</v>
      </c>
      <c r="V25" s="2262">
        <f>V15+V22-V23</f>
        <v>7492</v>
      </c>
      <c r="W25" s="2262"/>
      <c r="X25" s="2262"/>
    </row>
    <row r="26" spans="1:25" ht="36" customHeight="1" x14ac:dyDescent="0.25"/>
    <row r="32" spans="1:25" x14ac:dyDescent="0.25">
      <c r="I32" s="2280"/>
      <c r="J32" s="2280"/>
      <c r="K32" s="2280"/>
      <c r="L32" s="2280"/>
    </row>
    <row r="33" spans="9:12" x14ac:dyDescent="0.25">
      <c r="I33" s="277"/>
      <c r="J33" s="277"/>
      <c r="K33" s="2280"/>
      <c r="L33" s="2280"/>
    </row>
  </sheetData>
  <mergeCells count="62">
    <mergeCell ref="A1:Y1"/>
    <mergeCell ref="A2:Y2"/>
    <mergeCell ref="T3:Y3"/>
    <mergeCell ref="A4:A5"/>
    <mergeCell ref="B4:B5"/>
    <mergeCell ref="C4:D4"/>
    <mergeCell ref="E4:F4"/>
    <mergeCell ref="G4:H4"/>
    <mergeCell ref="I4:J4"/>
    <mergeCell ref="K4:L4"/>
    <mergeCell ref="Y4:Y5"/>
    <mergeCell ref="M4:N4"/>
    <mergeCell ref="O4:P4"/>
    <mergeCell ref="Q4:R4"/>
    <mergeCell ref="S4:T4"/>
    <mergeCell ref="U4:V4"/>
    <mergeCell ref="W4:X4"/>
    <mergeCell ref="B16:C16"/>
    <mergeCell ref="Q16:R16"/>
    <mergeCell ref="T16:U16"/>
    <mergeCell ref="V16:X16"/>
    <mergeCell ref="A12:B12"/>
    <mergeCell ref="B14:C14"/>
    <mergeCell ref="Q14:R14"/>
    <mergeCell ref="T14:T15"/>
    <mergeCell ref="V14:X14"/>
    <mergeCell ref="B15:C15"/>
    <mergeCell ref="Q15:R15"/>
    <mergeCell ref="V15:X15"/>
    <mergeCell ref="B17:C17"/>
    <mergeCell ref="Q17:R17"/>
    <mergeCell ref="T17:U17"/>
    <mergeCell ref="V17:X17"/>
    <mergeCell ref="B18:C18"/>
    <mergeCell ref="Q18:R18"/>
    <mergeCell ref="T18:U18"/>
    <mergeCell ref="V18:X18"/>
    <mergeCell ref="Y18:Y24"/>
    <mergeCell ref="B19:C19"/>
    <mergeCell ref="Q19:R19"/>
    <mergeCell ref="T19:T20"/>
    <mergeCell ref="V19:X19"/>
    <mergeCell ref="B20:C20"/>
    <mergeCell ref="B22:B24"/>
    <mergeCell ref="C22:C23"/>
    <mergeCell ref="D22:D23"/>
    <mergeCell ref="E22:E23"/>
    <mergeCell ref="F22:F23"/>
    <mergeCell ref="Q20:R20"/>
    <mergeCell ref="V20:X20"/>
    <mergeCell ref="B21:C21"/>
    <mergeCell ref="T21:U21"/>
    <mergeCell ref="V21:X21"/>
    <mergeCell ref="I32:J32"/>
    <mergeCell ref="K32:L32"/>
    <mergeCell ref="K33:L33"/>
    <mergeCell ref="T22:T23"/>
    <mergeCell ref="V22:X22"/>
    <mergeCell ref="V23:X23"/>
    <mergeCell ref="T24:T25"/>
    <mergeCell ref="V24:X24"/>
    <mergeCell ref="V25:X25"/>
  </mergeCells>
  <pageMargins left="0.15748031496063" right="0.15748031496063" top="0" bottom="0" header="0" footer="0"/>
  <pageSetup paperSize="9" scale="47" orientation="landscape" r:id="rId1"/>
  <legacyDrawing r:id="rId2"/>
</worksheet>
</file>

<file path=xl/worksheets/sheet9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C27AA46-BB79-45EF-BF64-16EA6A38CF73}">
  <sheetPr>
    <pageSetUpPr fitToPage="1"/>
  </sheetPr>
  <dimension ref="A1:Y33"/>
  <sheetViews>
    <sheetView topLeftCell="D13" zoomScale="71" zoomScaleNormal="71" zoomScaleSheetLayoutView="100" workbookViewId="0">
      <selection activeCell="L22" sqref="L22"/>
    </sheetView>
  </sheetViews>
  <sheetFormatPr defaultColWidth="9.140625" defaultRowHeight="15" x14ac:dyDescent="0.25"/>
  <cols>
    <col min="1" max="1" width="18.28515625" style="14" customWidth="1"/>
    <col min="2" max="2" width="10.7109375" style="14" customWidth="1"/>
    <col min="3" max="3" width="12.28515625" style="14" customWidth="1"/>
    <col min="4" max="4" width="11" style="14" customWidth="1"/>
    <col min="5" max="5" width="12" style="14" customWidth="1"/>
    <col min="6" max="6" width="12.5703125" style="14" bestFit="1" customWidth="1"/>
    <col min="7" max="7" width="9.28515625" style="14" bestFit="1" customWidth="1"/>
    <col min="8" max="8" width="10.140625" style="14" bestFit="1" customWidth="1"/>
    <col min="9" max="9" width="10.5703125" style="14" bestFit="1" customWidth="1"/>
    <col min="10" max="10" width="10.5703125" style="14" customWidth="1"/>
    <col min="11" max="11" width="10.28515625" style="14" bestFit="1" customWidth="1"/>
    <col min="12" max="12" width="10.42578125" style="14" bestFit="1" customWidth="1"/>
    <col min="13" max="13" width="9.85546875" style="14" bestFit="1" customWidth="1"/>
    <col min="14" max="14" width="10.140625" style="14" bestFit="1" customWidth="1"/>
    <col min="15" max="15" width="9" style="14" customWidth="1"/>
    <col min="16" max="16" width="12.85546875" style="14" bestFit="1" customWidth="1"/>
    <col min="17" max="18" width="9.42578125" style="14" customWidth="1"/>
    <col min="19" max="19" width="13.7109375" style="14" customWidth="1"/>
    <col min="20" max="20" width="12.140625" style="14" customWidth="1"/>
    <col min="21" max="21" width="19.5703125" style="14" bestFit="1" customWidth="1"/>
    <col min="22" max="22" width="9.85546875" style="14" customWidth="1"/>
    <col min="23" max="23" width="10.140625" style="14" bestFit="1" customWidth="1"/>
    <col min="24" max="24" width="10.28515625" style="14" customWidth="1"/>
    <col min="25" max="25" width="28" style="14" customWidth="1"/>
    <col min="26" max="16384" width="9.140625" style="14"/>
  </cols>
  <sheetData>
    <row r="1" spans="1:25" ht="46.15" customHeight="1" x14ac:dyDescent="0.25">
      <c r="A1" s="2240" t="s">
        <v>148</v>
      </c>
      <c r="B1" s="2240"/>
      <c r="C1" s="2240"/>
      <c r="D1" s="2240"/>
      <c r="E1" s="2240"/>
      <c r="F1" s="2240"/>
      <c r="G1" s="2240"/>
      <c r="H1" s="2240"/>
      <c r="I1" s="2240"/>
      <c r="J1" s="2240"/>
      <c r="K1" s="2240"/>
      <c r="L1" s="2240"/>
      <c r="M1" s="2240"/>
      <c r="N1" s="2240"/>
      <c r="O1" s="2240"/>
      <c r="P1" s="2240"/>
      <c r="Q1" s="2240"/>
      <c r="R1" s="2240"/>
      <c r="S1" s="2240"/>
      <c r="T1" s="2240"/>
      <c r="U1" s="2240"/>
      <c r="V1" s="2240"/>
      <c r="W1" s="2240"/>
      <c r="X1" s="2240"/>
      <c r="Y1" s="2240"/>
    </row>
    <row r="2" spans="1:25" ht="21.6" customHeight="1" x14ac:dyDescent="0.25">
      <c r="A2" s="2241" t="s">
        <v>77</v>
      </c>
      <c r="B2" s="2241"/>
      <c r="C2" s="2241"/>
      <c r="D2" s="2241"/>
      <c r="E2" s="2241"/>
      <c r="F2" s="2241"/>
      <c r="G2" s="2241"/>
      <c r="H2" s="2241"/>
      <c r="I2" s="2241"/>
      <c r="J2" s="2241"/>
      <c r="K2" s="2241"/>
      <c r="L2" s="2241"/>
      <c r="M2" s="2241"/>
      <c r="N2" s="2241"/>
      <c r="O2" s="2241"/>
      <c r="P2" s="2241"/>
      <c r="Q2" s="2241"/>
      <c r="R2" s="2241"/>
      <c r="S2" s="2241"/>
      <c r="T2" s="2241"/>
      <c r="U2" s="2241"/>
      <c r="V2" s="2241"/>
      <c r="W2" s="2241"/>
      <c r="X2" s="2241"/>
      <c r="Y2" s="2241"/>
    </row>
    <row r="3" spans="1:25" ht="21" customHeight="1" x14ac:dyDescent="0.25">
      <c r="A3" s="272"/>
      <c r="B3" s="272"/>
      <c r="C3" s="272"/>
      <c r="D3" s="272"/>
      <c r="E3" s="272"/>
      <c r="F3" s="272"/>
      <c r="G3" s="272"/>
      <c r="H3" s="272"/>
      <c r="I3" s="272"/>
      <c r="J3" s="272"/>
      <c r="K3" s="272"/>
      <c r="L3" s="272"/>
      <c r="M3" s="272"/>
      <c r="N3" s="272"/>
      <c r="O3" s="272"/>
      <c r="P3" s="272"/>
      <c r="Q3" s="272"/>
      <c r="R3" s="272"/>
      <c r="S3" s="272"/>
      <c r="T3" s="2242" t="s">
        <v>281</v>
      </c>
      <c r="U3" s="2242"/>
      <c r="V3" s="2242"/>
      <c r="W3" s="2242"/>
      <c r="X3" s="2242"/>
      <c r="Y3" s="2242"/>
    </row>
    <row r="4" spans="1:25" s="272" customFormat="1" ht="18" customHeight="1" x14ac:dyDescent="0.25">
      <c r="A4" s="2243" t="s">
        <v>25</v>
      </c>
      <c r="B4" s="2243" t="s">
        <v>26</v>
      </c>
      <c r="C4" s="2244" t="s">
        <v>27</v>
      </c>
      <c r="D4" s="2244"/>
      <c r="E4" s="2244" t="s">
        <v>28</v>
      </c>
      <c r="F4" s="2244"/>
      <c r="G4" s="2244" t="s">
        <v>65</v>
      </c>
      <c r="H4" s="2244"/>
      <c r="I4" s="2244" t="s">
        <v>29</v>
      </c>
      <c r="J4" s="2244"/>
      <c r="K4" s="2245" t="s">
        <v>13</v>
      </c>
      <c r="L4" s="2246"/>
      <c r="M4" s="2245" t="s">
        <v>67</v>
      </c>
      <c r="N4" s="2246"/>
      <c r="O4" s="2245" t="s">
        <v>68</v>
      </c>
      <c r="P4" s="2246"/>
      <c r="Q4" s="2245" t="s">
        <v>114</v>
      </c>
      <c r="R4" s="2246"/>
      <c r="S4" s="2244" t="s">
        <v>35</v>
      </c>
      <c r="T4" s="2244"/>
      <c r="U4" s="2245" t="s">
        <v>17</v>
      </c>
      <c r="V4" s="2246"/>
      <c r="W4" s="2247" t="s">
        <v>36</v>
      </c>
      <c r="X4" s="2248"/>
      <c r="Y4" s="2238" t="s">
        <v>30</v>
      </c>
    </row>
    <row r="5" spans="1:25" s="272" customFormat="1" ht="25.5" customHeight="1" x14ac:dyDescent="0.25">
      <c r="A5" s="2243"/>
      <c r="B5" s="2243"/>
      <c r="C5" s="271" t="s">
        <v>42</v>
      </c>
      <c r="D5" s="271" t="s">
        <v>43</v>
      </c>
      <c r="E5" s="271" t="s">
        <v>42</v>
      </c>
      <c r="F5" s="271" t="s">
        <v>43</v>
      </c>
      <c r="G5" s="271" t="s">
        <v>42</v>
      </c>
      <c r="H5" s="271" t="s">
        <v>43</v>
      </c>
      <c r="I5" s="271" t="s">
        <v>42</v>
      </c>
      <c r="J5" s="271" t="s">
        <v>43</v>
      </c>
      <c r="K5" s="271" t="s">
        <v>42</v>
      </c>
      <c r="L5" s="271" t="s">
        <v>43</v>
      </c>
      <c r="M5" s="271" t="s">
        <v>42</v>
      </c>
      <c r="N5" s="271" t="s">
        <v>43</v>
      </c>
      <c r="O5" s="271" t="s">
        <v>42</v>
      </c>
      <c r="P5" s="271" t="s">
        <v>43</v>
      </c>
      <c r="Q5" s="271" t="s">
        <v>42</v>
      </c>
      <c r="R5" s="271" t="s">
        <v>43</v>
      </c>
      <c r="S5" s="33" t="s">
        <v>42</v>
      </c>
      <c r="T5" s="33" t="s">
        <v>43</v>
      </c>
      <c r="U5" s="30" t="s">
        <v>42</v>
      </c>
      <c r="V5" s="30" t="s">
        <v>43</v>
      </c>
      <c r="W5" s="30" t="s">
        <v>42</v>
      </c>
      <c r="X5" s="30" t="s">
        <v>43</v>
      </c>
      <c r="Y5" s="2239"/>
    </row>
    <row r="6" spans="1:25" ht="34.5" customHeight="1" x14ac:dyDescent="0.25">
      <c r="A6" s="12">
        <v>1409935200</v>
      </c>
      <c r="B6" s="270" t="s">
        <v>71</v>
      </c>
      <c r="C6" s="268">
        <v>31971</v>
      </c>
      <c r="D6" s="267">
        <f>0.9725*C6</f>
        <v>31091.797500000001</v>
      </c>
      <c r="E6" s="268"/>
      <c r="F6" s="268">
        <f>13.7*E6</f>
        <v>0</v>
      </c>
      <c r="G6" s="268"/>
      <c r="H6" s="268">
        <f>28.2*G6</f>
        <v>0</v>
      </c>
      <c r="I6" s="268">
        <v>300</v>
      </c>
      <c r="J6" s="268">
        <f>18.5*I6</f>
        <v>5550</v>
      </c>
      <c r="K6" s="268"/>
      <c r="L6" s="268">
        <f>19.5*K6</f>
        <v>0</v>
      </c>
      <c r="M6" s="268"/>
      <c r="N6" s="267">
        <f>M6*9.75</f>
        <v>0</v>
      </c>
      <c r="O6" s="268"/>
      <c r="P6" s="267">
        <f>O6*48.62</f>
        <v>0</v>
      </c>
      <c r="Q6" s="267"/>
      <c r="R6" s="267">
        <f>241*Q6</f>
        <v>0</v>
      </c>
      <c r="S6" s="268">
        <v>10</v>
      </c>
      <c r="T6" s="268">
        <f>241*S6</f>
        <v>2410</v>
      </c>
      <c r="U6" s="268"/>
      <c r="V6" s="268">
        <f>232*U6</f>
        <v>0</v>
      </c>
      <c r="W6" s="268"/>
      <c r="X6" s="19">
        <f>W6*100</f>
        <v>0</v>
      </c>
      <c r="Y6" s="89">
        <f t="shared" ref="Y6:Y11" si="0">D6+F6+H6+J6+L6+N6+P6+R6+T6+V6+X6</f>
        <v>39051.797500000001</v>
      </c>
    </row>
    <row r="7" spans="1:25" ht="31.5" customHeight="1" x14ac:dyDescent="0.25">
      <c r="A7" s="12">
        <v>1984225578</v>
      </c>
      <c r="B7" s="270" t="s">
        <v>72</v>
      </c>
      <c r="C7" s="268">
        <v>28253</v>
      </c>
      <c r="D7" s="267">
        <f t="shared" ref="D7:D11" si="1">0.9725*C7</f>
        <v>27476.0425</v>
      </c>
      <c r="E7" s="268"/>
      <c r="F7" s="268">
        <f t="shared" ref="F7:F11" si="2">13.7*E7</f>
        <v>0</v>
      </c>
      <c r="G7" s="268"/>
      <c r="H7" s="268">
        <f t="shared" ref="H7:H11" si="3">28.2*G7</f>
        <v>0</v>
      </c>
      <c r="I7" s="268"/>
      <c r="J7" s="268">
        <f t="shared" ref="J7:J11" si="4">18.5*I7</f>
        <v>0</v>
      </c>
      <c r="K7" s="268"/>
      <c r="L7" s="268">
        <f t="shared" ref="L7:L11" si="5">19.5*K7</f>
        <v>0</v>
      </c>
      <c r="M7" s="268"/>
      <c r="N7" s="267">
        <f t="shared" ref="N7:N11" si="6">M7*9.75</f>
        <v>0</v>
      </c>
      <c r="O7" s="268"/>
      <c r="P7" s="267">
        <f t="shared" ref="P7:P11" si="7">O7*48.62</f>
        <v>0</v>
      </c>
      <c r="Q7" s="267"/>
      <c r="R7" s="267">
        <f t="shared" ref="R7:R11" si="8">241*Q7</f>
        <v>0</v>
      </c>
      <c r="S7" s="268"/>
      <c r="T7" s="268">
        <f t="shared" ref="T7:T11" si="9">241*S7</f>
        <v>0</v>
      </c>
      <c r="U7" s="268">
        <v>5</v>
      </c>
      <c r="V7" s="268">
        <f t="shared" ref="V7:V11" si="10">232*U7</f>
        <v>1160</v>
      </c>
      <c r="W7" s="268"/>
      <c r="X7" s="19">
        <f t="shared" ref="X7:X11" si="11">W7*100</f>
        <v>0</v>
      </c>
      <c r="Y7" s="89">
        <f t="shared" si="0"/>
        <v>28636.0425</v>
      </c>
    </row>
    <row r="8" spans="1:25" ht="35.25" customHeight="1" x14ac:dyDescent="0.25">
      <c r="A8" s="12">
        <v>1967020280</v>
      </c>
      <c r="B8" s="270" t="s">
        <v>73</v>
      </c>
      <c r="C8" s="268">
        <v>25021</v>
      </c>
      <c r="D8" s="267">
        <f t="shared" si="1"/>
        <v>24332.922500000001</v>
      </c>
      <c r="E8" s="268"/>
      <c r="F8" s="268">
        <f t="shared" si="2"/>
        <v>0</v>
      </c>
      <c r="G8" s="268"/>
      <c r="H8" s="268">
        <f t="shared" si="3"/>
        <v>0</v>
      </c>
      <c r="I8" s="268"/>
      <c r="J8" s="268">
        <f t="shared" si="4"/>
        <v>0</v>
      </c>
      <c r="K8" s="268"/>
      <c r="L8" s="268">
        <f t="shared" si="5"/>
        <v>0</v>
      </c>
      <c r="M8" s="268"/>
      <c r="N8" s="267">
        <f t="shared" si="6"/>
        <v>0</v>
      </c>
      <c r="O8" s="268"/>
      <c r="P8" s="267">
        <f t="shared" si="7"/>
        <v>0</v>
      </c>
      <c r="Q8" s="267"/>
      <c r="R8" s="267">
        <f t="shared" si="8"/>
        <v>0</v>
      </c>
      <c r="S8" s="268"/>
      <c r="T8" s="268">
        <f t="shared" si="9"/>
        <v>0</v>
      </c>
      <c r="U8" s="268"/>
      <c r="V8" s="268">
        <f t="shared" si="10"/>
        <v>0</v>
      </c>
      <c r="W8" s="268"/>
      <c r="X8" s="19">
        <f t="shared" si="11"/>
        <v>0</v>
      </c>
      <c r="Y8" s="89">
        <f t="shared" si="0"/>
        <v>24332.922500000001</v>
      </c>
    </row>
    <row r="9" spans="1:25" ht="38.25" customHeight="1" x14ac:dyDescent="0.25">
      <c r="A9" s="12">
        <v>1409935199</v>
      </c>
      <c r="B9" s="270" t="s">
        <v>75</v>
      </c>
      <c r="C9" s="268">
        <v>18814</v>
      </c>
      <c r="D9" s="267">
        <f t="shared" si="1"/>
        <v>18296.615000000002</v>
      </c>
      <c r="E9" s="268"/>
      <c r="F9" s="268">
        <f t="shared" si="2"/>
        <v>0</v>
      </c>
      <c r="G9" s="268">
        <v>50</v>
      </c>
      <c r="H9" s="268">
        <f t="shared" si="3"/>
        <v>1410</v>
      </c>
      <c r="I9" s="268">
        <v>290</v>
      </c>
      <c r="J9" s="268">
        <f t="shared" si="4"/>
        <v>5365</v>
      </c>
      <c r="K9" s="268"/>
      <c r="L9" s="268">
        <f t="shared" si="5"/>
        <v>0</v>
      </c>
      <c r="M9" s="268"/>
      <c r="N9" s="267">
        <f t="shared" si="6"/>
        <v>0</v>
      </c>
      <c r="O9" s="268"/>
      <c r="P9" s="267">
        <f t="shared" si="7"/>
        <v>0</v>
      </c>
      <c r="Q9" s="267"/>
      <c r="R9" s="267">
        <f t="shared" si="8"/>
        <v>0</v>
      </c>
      <c r="S9" s="268"/>
      <c r="T9" s="268">
        <f t="shared" si="9"/>
        <v>0</v>
      </c>
      <c r="U9" s="268"/>
      <c r="V9" s="268">
        <f t="shared" si="10"/>
        <v>0</v>
      </c>
      <c r="W9" s="268"/>
      <c r="X9" s="19">
        <f t="shared" si="11"/>
        <v>0</v>
      </c>
      <c r="Y9" s="89">
        <f t="shared" si="0"/>
        <v>25071.615000000002</v>
      </c>
    </row>
    <row r="10" spans="1:25" ht="35.25" customHeight="1" x14ac:dyDescent="0.25">
      <c r="A10" s="12">
        <v>1984225580</v>
      </c>
      <c r="C10" s="268"/>
      <c r="D10" s="267">
        <f t="shared" si="1"/>
        <v>0</v>
      </c>
      <c r="E10" s="268"/>
      <c r="F10" s="268">
        <f t="shared" si="2"/>
        <v>0</v>
      </c>
      <c r="G10" s="268"/>
      <c r="H10" s="268">
        <f t="shared" si="3"/>
        <v>0</v>
      </c>
      <c r="I10" s="268"/>
      <c r="J10" s="268">
        <f t="shared" si="4"/>
        <v>0</v>
      </c>
      <c r="K10" s="268"/>
      <c r="L10" s="268">
        <f t="shared" si="5"/>
        <v>0</v>
      </c>
      <c r="M10" s="268"/>
      <c r="N10" s="267">
        <f t="shared" si="6"/>
        <v>0</v>
      </c>
      <c r="O10" s="268"/>
      <c r="P10" s="267">
        <f t="shared" si="7"/>
        <v>0</v>
      </c>
      <c r="Q10" s="267"/>
      <c r="R10" s="267">
        <f t="shared" si="8"/>
        <v>0</v>
      </c>
      <c r="S10" s="268"/>
      <c r="T10" s="268">
        <f t="shared" si="9"/>
        <v>0</v>
      </c>
      <c r="U10" s="268"/>
      <c r="V10" s="268">
        <f t="shared" si="10"/>
        <v>0</v>
      </c>
      <c r="W10" s="268"/>
      <c r="X10" s="19">
        <f t="shared" si="11"/>
        <v>0</v>
      </c>
      <c r="Y10" s="89">
        <f t="shared" si="0"/>
        <v>0</v>
      </c>
    </row>
    <row r="11" spans="1:25" ht="37.5" customHeight="1" x14ac:dyDescent="0.25">
      <c r="A11" s="12"/>
      <c r="B11" s="269"/>
      <c r="C11" s="268"/>
      <c r="D11" s="22">
        <f t="shared" si="1"/>
        <v>0</v>
      </c>
      <c r="E11" s="268"/>
      <c r="F11" s="268">
        <f t="shared" si="2"/>
        <v>0</v>
      </c>
      <c r="G11" s="268"/>
      <c r="H11" s="268">
        <f t="shared" si="3"/>
        <v>0</v>
      </c>
      <c r="I11" s="268"/>
      <c r="J11" s="268">
        <f t="shared" si="4"/>
        <v>0</v>
      </c>
      <c r="K11" s="268"/>
      <c r="L11" s="268">
        <f t="shared" si="5"/>
        <v>0</v>
      </c>
      <c r="M11" s="268"/>
      <c r="N11" s="267">
        <f t="shared" si="6"/>
        <v>0</v>
      </c>
      <c r="O11" s="268"/>
      <c r="P11" s="267">
        <f t="shared" si="7"/>
        <v>0</v>
      </c>
      <c r="Q11" s="267"/>
      <c r="R11" s="267">
        <f t="shared" si="8"/>
        <v>0</v>
      </c>
      <c r="S11" s="268">
        <v>838</v>
      </c>
      <c r="T11" s="268">
        <f t="shared" si="9"/>
        <v>201958</v>
      </c>
      <c r="U11" s="268"/>
      <c r="V11" s="268">
        <f t="shared" si="10"/>
        <v>0</v>
      </c>
      <c r="W11" s="268"/>
      <c r="X11" s="19">
        <f t="shared" si="11"/>
        <v>0</v>
      </c>
      <c r="Y11" s="20">
        <f t="shared" si="0"/>
        <v>201958</v>
      </c>
    </row>
    <row r="12" spans="1:25" ht="29.25" customHeight="1" x14ac:dyDescent="0.25">
      <c r="A12" s="2235" t="s">
        <v>31</v>
      </c>
      <c r="B12" s="2235"/>
      <c r="C12" s="18">
        <f t="shared" ref="C12:Y12" si="12">SUM(C6:C11)</f>
        <v>104059</v>
      </c>
      <c r="D12" s="18">
        <f t="shared" si="12"/>
        <v>101197.3775</v>
      </c>
      <c r="E12" s="18">
        <f t="shared" si="12"/>
        <v>0</v>
      </c>
      <c r="F12" s="18">
        <f t="shared" si="12"/>
        <v>0</v>
      </c>
      <c r="G12" s="18">
        <f t="shared" si="12"/>
        <v>50</v>
      </c>
      <c r="H12" s="18">
        <f t="shared" si="12"/>
        <v>1410</v>
      </c>
      <c r="I12" s="18">
        <f t="shared" si="12"/>
        <v>590</v>
      </c>
      <c r="J12" s="18">
        <f t="shared" si="12"/>
        <v>10915</v>
      </c>
      <c r="K12" s="18">
        <f t="shared" si="12"/>
        <v>0</v>
      </c>
      <c r="L12" s="18">
        <f t="shared" si="12"/>
        <v>0</v>
      </c>
      <c r="M12" s="18">
        <f t="shared" si="12"/>
        <v>0</v>
      </c>
      <c r="N12" s="23">
        <f t="shared" si="12"/>
        <v>0</v>
      </c>
      <c r="O12" s="18">
        <f t="shared" si="12"/>
        <v>0</v>
      </c>
      <c r="P12" s="23">
        <f t="shared" si="12"/>
        <v>0</v>
      </c>
      <c r="Q12" s="23">
        <f t="shared" si="12"/>
        <v>0</v>
      </c>
      <c r="R12" s="23">
        <f>SUM(R6:R11)</f>
        <v>0</v>
      </c>
      <c r="S12" s="18">
        <f t="shared" si="12"/>
        <v>848</v>
      </c>
      <c r="T12" s="18">
        <f t="shared" si="12"/>
        <v>204368</v>
      </c>
      <c r="U12" s="18">
        <f t="shared" si="12"/>
        <v>5</v>
      </c>
      <c r="V12" s="18">
        <f t="shared" si="12"/>
        <v>1160</v>
      </c>
      <c r="W12" s="18">
        <f t="shared" si="12"/>
        <v>0</v>
      </c>
      <c r="X12" s="18">
        <f t="shared" si="12"/>
        <v>0</v>
      </c>
      <c r="Y12" s="18">
        <f t="shared" si="12"/>
        <v>319050.3775</v>
      </c>
    </row>
    <row r="14" spans="1:25" ht="41.25" customHeight="1" x14ac:dyDescent="0.25">
      <c r="A14" s="30" t="s">
        <v>32</v>
      </c>
      <c r="B14" s="2236" t="s">
        <v>27</v>
      </c>
      <c r="C14" s="2236"/>
      <c r="D14" s="30" t="s">
        <v>33</v>
      </c>
      <c r="E14" s="30" t="s">
        <v>65</v>
      </c>
      <c r="F14" s="30" t="s">
        <v>34</v>
      </c>
      <c r="G14" s="30" t="s">
        <v>13</v>
      </c>
      <c r="H14" s="142" t="s">
        <v>173</v>
      </c>
      <c r="I14" s="30" t="s">
        <v>17</v>
      </c>
      <c r="J14" s="276" t="s">
        <v>174</v>
      </c>
      <c r="K14" s="30" t="s">
        <v>36</v>
      </c>
      <c r="L14" s="30" t="s">
        <v>175</v>
      </c>
      <c r="M14" s="30" t="s">
        <v>69</v>
      </c>
      <c r="N14" s="30" t="s">
        <v>70</v>
      </c>
      <c r="O14" s="276" t="s">
        <v>114</v>
      </c>
      <c r="P14" s="276" t="s">
        <v>99</v>
      </c>
      <c r="Q14" s="2272" t="s">
        <v>256</v>
      </c>
      <c r="R14" s="2272"/>
      <c r="S14" s="276"/>
      <c r="T14" s="2235" t="s">
        <v>46</v>
      </c>
      <c r="U14" s="270" t="s">
        <v>176</v>
      </c>
      <c r="V14" s="2260">
        <v>151396</v>
      </c>
      <c r="W14" s="2268"/>
      <c r="X14" s="2261"/>
    </row>
    <row r="15" spans="1:25" ht="22.5" customHeight="1" x14ac:dyDescent="0.25">
      <c r="A15" s="100" t="s">
        <v>38</v>
      </c>
      <c r="B15" s="2260">
        <v>275770</v>
      </c>
      <c r="C15" s="2261"/>
      <c r="D15" s="273">
        <v>0</v>
      </c>
      <c r="E15" s="273">
        <v>50</v>
      </c>
      <c r="F15" s="273">
        <v>590</v>
      </c>
      <c r="G15" s="273">
        <v>0</v>
      </c>
      <c r="H15" s="273">
        <v>308</v>
      </c>
      <c r="I15" s="273">
        <v>5</v>
      </c>
      <c r="J15" s="273">
        <v>113</v>
      </c>
      <c r="K15" s="273">
        <v>71</v>
      </c>
      <c r="L15" s="273">
        <v>1161</v>
      </c>
      <c r="M15" s="273">
        <v>0</v>
      </c>
      <c r="N15" s="273">
        <v>100</v>
      </c>
      <c r="O15" s="273">
        <v>0</v>
      </c>
      <c r="P15" s="273">
        <v>404</v>
      </c>
      <c r="Q15" s="2262">
        <v>405</v>
      </c>
      <c r="R15" s="2262"/>
      <c r="S15" s="270">
        <v>0</v>
      </c>
      <c r="T15" s="2235"/>
      <c r="U15" s="270" t="s">
        <v>64</v>
      </c>
      <c r="V15" s="2262">
        <v>7492</v>
      </c>
      <c r="W15" s="2262"/>
      <c r="X15" s="2262"/>
    </row>
    <row r="16" spans="1:25" ht="24.75" customHeight="1" x14ac:dyDescent="0.25">
      <c r="A16" s="100" t="s">
        <v>39</v>
      </c>
      <c r="B16" s="2260">
        <v>80000</v>
      </c>
      <c r="C16" s="2261"/>
      <c r="D16" s="273"/>
      <c r="E16" s="273"/>
      <c r="F16" s="273"/>
      <c r="G16" s="273"/>
      <c r="H16" s="273"/>
      <c r="I16" s="273"/>
      <c r="J16" s="273"/>
      <c r="K16" s="273"/>
      <c r="L16" s="273">
        <v>165</v>
      </c>
      <c r="M16" s="273"/>
      <c r="N16" s="273"/>
      <c r="O16" s="273"/>
      <c r="P16" s="273"/>
      <c r="Q16" s="2225"/>
      <c r="R16" s="2225"/>
      <c r="S16" s="273"/>
      <c r="T16" s="2254" t="s">
        <v>55</v>
      </c>
      <c r="U16" s="2254"/>
      <c r="V16" s="2267">
        <f>Y12</f>
        <v>319050.3775</v>
      </c>
      <c r="W16" s="2267"/>
      <c r="X16" s="2262"/>
    </row>
    <row r="17" spans="1:25" ht="28.5" customHeight="1" x14ac:dyDescent="0.25">
      <c r="A17" s="101" t="s">
        <v>44</v>
      </c>
      <c r="B17" s="2260"/>
      <c r="C17" s="2261"/>
      <c r="D17" s="273"/>
      <c r="E17" s="273"/>
      <c r="F17" s="273"/>
      <c r="G17" s="273"/>
      <c r="H17" s="273"/>
      <c r="I17" s="273"/>
      <c r="J17" s="273"/>
      <c r="K17" s="273"/>
      <c r="L17" s="273"/>
      <c r="M17" s="273"/>
      <c r="N17" s="273"/>
      <c r="O17" s="273"/>
      <c r="P17" s="273"/>
      <c r="Q17" s="2225"/>
      <c r="R17" s="2225"/>
      <c r="S17" s="269"/>
      <c r="T17" s="2294" t="s">
        <v>282</v>
      </c>
      <c r="U17" s="2295"/>
      <c r="V17" s="2296">
        <v>15075</v>
      </c>
      <c r="W17" s="2296"/>
      <c r="X17" s="2296"/>
    </row>
    <row r="18" spans="1:25" ht="27" customHeight="1" x14ac:dyDescent="0.25">
      <c r="A18" s="100" t="s">
        <v>40</v>
      </c>
      <c r="B18" s="2264">
        <f>C12</f>
        <v>104059</v>
      </c>
      <c r="C18" s="2261"/>
      <c r="D18" s="275">
        <f>E12</f>
        <v>0</v>
      </c>
      <c r="E18" s="275">
        <f>G12</f>
        <v>50</v>
      </c>
      <c r="F18" s="275">
        <f>I12</f>
        <v>590</v>
      </c>
      <c r="G18" s="275">
        <f>K12</f>
        <v>0</v>
      </c>
      <c r="H18" s="273">
        <v>175</v>
      </c>
      <c r="I18" s="275">
        <f>U12</f>
        <v>5</v>
      </c>
      <c r="J18" s="273">
        <v>68</v>
      </c>
      <c r="K18" s="275">
        <f>W12</f>
        <v>0</v>
      </c>
      <c r="L18" s="273">
        <v>412</v>
      </c>
      <c r="M18" s="275">
        <f>M12</f>
        <v>0</v>
      </c>
      <c r="N18" s="275">
        <f>O12</f>
        <v>0</v>
      </c>
      <c r="O18" s="274">
        <f>Q12</f>
        <v>0</v>
      </c>
      <c r="P18" s="273"/>
      <c r="Q18" s="2262">
        <v>358</v>
      </c>
      <c r="R18" s="2262"/>
      <c r="S18" s="270"/>
      <c r="T18" s="2254" t="s">
        <v>57</v>
      </c>
      <c r="U18" s="2254"/>
      <c r="V18" s="2262">
        <v>205508</v>
      </c>
      <c r="W18" s="2262"/>
      <c r="X18" s="2262"/>
      <c r="Y18" s="2269" t="s">
        <v>283</v>
      </c>
    </row>
    <row r="19" spans="1:25" ht="25.5" customHeight="1" x14ac:dyDescent="0.25">
      <c r="A19" s="100" t="s">
        <v>41</v>
      </c>
      <c r="B19" s="2260">
        <f>B15+B16+B17-B18</f>
        <v>251711</v>
      </c>
      <c r="C19" s="2261"/>
      <c r="D19" s="273">
        <f>D15+D16+D17-D18</f>
        <v>0</v>
      </c>
      <c r="E19" s="273">
        <f t="shared" ref="E19:N19" si="13">E15+E16+E17-E18</f>
        <v>0</v>
      </c>
      <c r="F19" s="273">
        <f t="shared" si="13"/>
        <v>0</v>
      </c>
      <c r="G19" s="273">
        <f t="shared" si="13"/>
        <v>0</v>
      </c>
      <c r="H19" s="273">
        <f t="shared" si="13"/>
        <v>133</v>
      </c>
      <c r="I19" s="273">
        <f t="shared" si="13"/>
        <v>0</v>
      </c>
      <c r="J19" s="273">
        <f t="shared" si="13"/>
        <v>45</v>
      </c>
      <c r="K19" s="273">
        <f t="shared" si="13"/>
        <v>71</v>
      </c>
      <c r="L19" s="273">
        <f t="shared" si="13"/>
        <v>914</v>
      </c>
      <c r="M19" s="273">
        <f t="shared" si="13"/>
        <v>0</v>
      </c>
      <c r="N19" s="273">
        <f t="shared" si="13"/>
        <v>100</v>
      </c>
      <c r="O19" s="273">
        <f>O15+O16+O17-O18</f>
        <v>0</v>
      </c>
      <c r="P19" s="273">
        <f>P15+P16+P17-P18</f>
        <v>404</v>
      </c>
      <c r="Q19" s="2260">
        <f t="shared" ref="Q19" si="14">Q15+Q16+Q17-Q18</f>
        <v>47</v>
      </c>
      <c r="R19" s="2261"/>
      <c r="S19" s="270">
        <f>S15+S16-S17-S18</f>
        <v>0</v>
      </c>
      <c r="T19" s="2256" t="s">
        <v>48</v>
      </c>
      <c r="U19" s="49" t="s">
        <v>58</v>
      </c>
      <c r="V19" s="2262">
        <v>270575</v>
      </c>
      <c r="W19" s="2262"/>
      <c r="X19" s="2262"/>
      <c r="Y19" s="2269"/>
    </row>
    <row r="20" spans="1:25" ht="23.25" customHeight="1" x14ac:dyDescent="0.25">
      <c r="A20" s="289" t="s">
        <v>187</v>
      </c>
      <c r="B20" s="2286">
        <f>B19*0.9625</f>
        <v>242271.83749999999</v>
      </c>
      <c r="C20" s="2287"/>
      <c r="D20" s="290">
        <f>D19*13.56</f>
        <v>0</v>
      </c>
      <c r="E20" s="290">
        <f>28.2*E19</f>
        <v>0</v>
      </c>
      <c r="F20" s="290">
        <f>18.31*F19</f>
        <v>0</v>
      </c>
      <c r="G20" s="290">
        <f>19.3*G19</f>
        <v>0</v>
      </c>
      <c r="H20" s="290">
        <f>241*H19</f>
        <v>32053</v>
      </c>
      <c r="I20" s="290">
        <f>223*I19</f>
        <v>0</v>
      </c>
      <c r="J20" s="290">
        <f>241*J19</f>
        <v>10845</v>
      </c>
      <c r="K20" s="290">
        <f>K19*100</f>
        <v>7100</v>
      </c>
      <c r="L20" s="290">
        <f>241*L19</f>
        <v>220274</v>
      </c>
      <c r="M20" s="290">
        <f>9.65*M19</f>
        <v>0</v>
      </c>
      <c r="N20" s="290">
        <f>N19*48.2</f>
        <v>4820</v>
      </c>
      <c r="O20" s="290">
        <f>241*O19</f>
        <v>0</v>
      </c>
      <c r="P20" s="290">
        <f>241*P19</f>
        <v>97364</v>
      </c>
      <c r="Q20" s="2286">
        <f>241*Q19</f>
        <v>11327</v>
      </c>
      <c r="R20" s="2287"/>
      <c r="S20" s="290">
        <f>241*S19</f>
        <v>0</v>
      </c>
      <c r="T20" s="2257"/>
      <c r="U20" s="49" t="s">
        <v>59</v>
      </c>
      <c r="V20" s="2262"/>
      <c r="W20" s="2262"/>
      <c r="X20" s="2262"/>
      <c r="Y20" s="2269"/>
    </row>
    <row r="21" spans="1:25" ht="32.25" customHeight="1" x14ac:dyDescent="0.25">
      <c r="A21" s="291" t="s">
        <v>186</v>
      </c>
      <c r="B21" s="2293">
        <f>SUM(B20:S20)</f>
        <v>626054.83750000002</v>
      </c>
      <c r="C21" s="2293"/>
      <c r="O21" s="277"/>
      <c r="P21" s="277"/>
      <c r="Q21" s="277"/>
      <c r="R21" s="277"/>
      <c r="T21" s="2273" t="s">
        <v>167</v>
      </c>
      <c r="U21" s="2274"/>
      <c r="V21" s="2260"/>
      <c r="W21" s="2268"/>
      <c r="X21" s="2261"/>
      <c r="Y21" s="2269"/>
    </row>
    <row r="22" spans="1:25" ht="35.25" customHeight="1" x14ac:dyDescent="0.25">
      <c r="A22" s="15"/>
      <c r="B22" s="2288" t="s">
        <v>49</v>
      </c>
      <c r="C22" s="2291">
        <v>439284</v>
      </c>
      <c r="D22" s="2291">
        <v>270575</v>
      </c>
      <c r="E22" s="2291">
        <v>77000</v>
      </c>
      <c r="F22" s="2291">
        <f>C22-D22+E22</f>
        <v>245709</v>
      </c>
      <c r="G22" s="277"/>
      <c r="Q22" s="277"/>
      <c r="R22" s="277"/>
      <c r="T22" s="2251" t="s">
        <v>83</v>
      </c>
      <c r="U22" s="50" t="s">
        <v>60</v>
      </c>
      <c r="V22" s="2262">
        <v>271180</v>
      </c>
      <c r="W22" s="2262"/>
      <c r="X22" s="2262"/>
      <c r="Y22" s="2269"/>
    </row>
    <row r="23" spans="1:25" ht="39.75" customHeight="1" x14ac:dyDescent="0.25">
      <c r="A23" s="277"/>
      <c r="B23" s="2289"/>
      <c r="C23" s="2292"/>
      <c r="D23" s="2292"/>
      <c r="E23" s="2292"/>
      <c r="F23" s="2292"/>
      <c r="G23" s="277"/>
      <c r="Q23" s="277"/>
      <c r="R23" s="277"/>
      <c r="T23" s="2252"/>
      <c r="U23" s="50" t="s">
        <v>61</v>
      </c>
      <c r="V23" s="2262">
        <v>270575</v>
      </c>
      <c r="W23" s="2262"/>
      <c r="X23" s="2262"/>
      <c r="Y23" s="2269"/>
    </row>
    <row r="24" spans="1:25" ht="48" customHeight="1" x14ac:dyDescent="0.25">
      <c r="A24" s="277"/>
      <c r="B24" s="2290"/>
      <c r="C24" s="290" t="s">
        <v>46</v>
      </c>
      <c r="D24" s="290" t="s">
        <v>50</v>
      </c>
      <c r="E24" s="290" t="s">
        <v>51</v>
      </c>
      <c r="F24" s="290" t="s">
        <v>52</v>
      </c>
      <c r="G24" s="277"/>
      <c r="Q24" s="277"/>
      <c r="R24" s="277"/>
      <c r="T24" s="2235" t="s">
        <v>47</v>
      </c>
      <c r="U24" s="51" t="s">
        <v>62</v>
      </c>
      <c r="V24" s="2263">
        <f>V14+V16+V17-V18-V19-V20-V22+V23-V21</f>
        <v>8833.3775000000023</v>
      </c>
      <c r="W24" s="2263"/>
      <c r="X24" s="2263"/>
      <c r="Y24" s="2269"/>
    </row>
    <row r="25" spans="1:25" ht="40.5" customHeight="1" x14ac:dyDescent="0.25">
      <c r="T25" s="2235"/>
      <c r="U25" s="51" t="s">
        <v>63</v>
      </c>
      <c r="V25" s="2262">
        <f>V15+V22-V23</f>
        <v>8097</v>
      </c>
      <c r="W25" s="2262"/>
      <c r="X25" s="2262"/>
    </row>
    <row r="26" spans="1:25" ht="36" customHeight="1" x14ac:dyDescent="0.25"/>
    <row r="32" spans="1:25" x14ac:dyDescent="0.25">
      <c r="I32" s="2280"/>
      <c r="J32" s="2280"/>
      <c r="K32" s="2280"/>
      <c r="L32" s="2280"/>
    </row>
    <row r="33" spans="9:12" x14ac:dyDescent="0.25">
      <c r="I33" s="277"/>
      <c r="J33" s="277"/>
      <c r="K33" s="2280"/>
      <c r="L33" s="2280"/>
    </row>
  </sheetData>
  <mergeCells count="62">
    <mergeCell ref="A1:Y1"/>
    <mergeCell ref="A2:Y2"/>
    <mergeCell ref="T3:Y3"/>
    <mergeCell ref="A4:A5"/>
    <mergeCell ref="B4:B5"/>
    <mergeCell ref="C4:D4"/>
    <mergeCell ref="E4:F4"/>
    <mergeCell ref="G4:H4"/>
    <mergeCell ref="I4:J4"/>
    <mergeCell ref="K4:L4"/>
    <mergeCell ref="Y4:Y5"/>
    <mergeCell ref="M4:N4"/>
    <mergeCell ref="O4:P4"/>
    <mergeCell ref="Q4:R4"/>
    <mergeCell ref="S4:T4"/>
    <mergeCell ref="U4:V4"/>
    <mergeCell ref="W4:X4"/>
    <mergeCell ref="B16:C16"/>
    <mergeCell ref="Q16:R16"/>
    <mergeCell ref="T16:U16"/>
    <mergeCell ref="V16:X16"/>
    <mergeCell ref="A12:B12"/>
    <mergeCell ref="B14:C14"/>
    <mergeCell ref="Q14:R14"/>
    <mergeCell ref="T14:T15"/>
    <mergeCell ref="V14:X14"/>
    <mergeCell ref="B15:C15"/>
    <mergeCell ref="Q15:R15"/>
    <mergeCell ref="V15:X15"/>
    <mergeCell ref="B17:C17"/>
    <mergeCell ref="Q17:R17"/>
    <mergeCell ref="T17:U17"/>
    <mergeCell ref="V17:X17"/>
    <mergeCell ref="B18:C18"/>
    <mergeCell ref="Q18:R18"/>
    <mergeCell ref="T18:U18"/>
    <mergeCell ref="V18:X18"/>
    <mergeCell ref="Y18:Y24"/>
    <mergeCell ref="B19:C19"/>
    <mergeCell ref="Q19:R19"/>
    <mergeCell ref="T19:T20"/>
    <mergeCell ref="V19:X19"/>
    <mergeCell ref="B20:C20"/>
    <mergeCell ref="B22:B24"/>
    <mergeCell ref="C22:C23"/>
    <mergeCell ref="D22:D23"/>
    <mergeCell ref="E22:E23"/>
    <mergeCell ref="F22:F23"/>
    <mergeCell ref="Q20:R20"/>
    <mergeCell ref="V20:X20"/>
    <mergeCell ref="B21:C21"/>
    <mergeCell ref="T21:U21"/>
    <mergeCell ref="V21:X21"/>
    <mergeCell ref="I32:J32"/>
    <mergeCell ref="K32:L32"/>
    <mergeCell ref="K33:L33"/>
    <mergeCell ref="T22:T23"/>
    <mergeCell ref="V22:X22"/>
    <mergeCell ref="V23:X23"/>
    <mergeCell ref="T24:T25"/>
    <mergeCell ref="V24:X24"/>
    <mergeCell ref="V25:X25"/>
  </mergeCells>
  <pageMargins left="0.15748031496063" right="0.15748031496063" top="0" bottom="0" header="0" footer="0"/>
  <pageSetup paperSize="9" scale="47" orientation="landscape" r:id="rId1"/>
  <legacyDrawing r:id="rId2"/>
</worksheet>
</file>

<file path=xl/worksheets/sheet10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BC789CB-7050-4033-80FA-3640C0C422B7}">
  <sheetPr>
    <pageSetUpPr fitToPage="1"/>
  </sheetPr>
  <dimension ref="A1:Y33"/>
  <sheetViews>
    <sheetView topLeftCell="A7" zoomScale="71" zoomScaleNormal="71" zoomScaleSheetLayoutView="100" workbookViewId="0">
      <selection activeCell="K24" sqref="K24"/>
    </sheetView>
  </sheetViews>
  <sheetFormatPr defaultColWidth="9.140625" defaultRowHeight="15" x14ac:dyDescent="0.25"/>
  <cols>
    <col min="1" max="1" width="18.28515625" style="14" customWidth="1"/>
    <col min="2" max="2" width="10.7109375" style="14" customWidth="1"/>
    <col min="3" max="3" width="12.28515625" style="14" customWidth="1"/>
    <col min="4" max="4" width="11" style="14" customWidth="1"/>
    <col min="5" max="5" width="12" style="14" customWidth="1"/>
    <col min="6" max="6" width="12.5703125" style="14" bestFit="1" customWidth="1"/>
    <col min="7" max="7" width="9.28515625" style="14" bestFit="1" customWidth="1"/>
    <col min="8" max="8" width="10.140625" style="14" bestFit="1" customWidth="1"/>
    <col min="9" max="9" width="10.5703125" style="14" bestFit="1" customWidth="1"/>
    <col min="10" max="10" width="10.5703125" style="14" customWidth="1"/>
    <col min="11" max="11" width="10.28515625" style="14" bestFit="1" customWidth="1"/>
    <col min="12" max="12" width="10.42578125" style="14" bestFit="1" customWidth="1"/>
    <col min="13" max="13" width="9.85546875" style="14" bestFit="1" customWidth="1"/>
    <col min="14" max="14" width="10.140625" style="14" bestFit="1" customWidth="1"/>
    <col min="15" max="15" width="9" style="14" customWidth="1"/>
    <col min="16" max="16" width="12.85546875" style="14" bestFit="1" customWidth="1"/>
    <col min="17" max="18" width="9.42578125" style="14" customWidth="1"/>
    <col min="19" max="19" width="13.7109375" style="14" customWidth="1"/>
    <col min="20" max="20" width="12.140625" style="14" customWidth="1"/>
    <col min="21" max="21" width="19.5703125" style="14" bestFit="1" customWidth="1"/>
    <col min="22" max="22" width="9.85546875" style="14" customWidth="1"/>
    <col min="23" max="23" width="10.140625" style="14" bestFit="1" customWidth="1"/>
    <col min="24" max="24" width="10.28515625" style="14" customWidth="1"/>
    <col min="25" max="25" width="28" style="14" customWidth="1"/>
    <col min="26" max="16384" width="9.140625" style="14"/>
  </cols>
  <sheetData>
    <row r="1" spans="1:25" ht="46.15" customHeight="1" x14ac:dyDescent="0.25">
      <c r="A1" s="2240" t="s">
        <v>148</v>
      </c>
      <c r="B1" s="2240"/>
      <c r="C1" s="2240"/>
      <c r="D1" s="2240"/>
      <c r="E1" s="2240"/>
      <c r="F1" s="2240"/>
      <c r="G1" s="2240"/>
      <c r="H1" s="2240"/>
      <c r="I1" s="2240"/>
      <c r="J1" s="2240"/>
      <c r="K1" s="2240"/>
      <c r="L1" s="2240"/>
      <c r="M1" s="2240"/>
      <c r="N1" s="2240"/>
      <c r="O1" s="2240"/>
      <c r="P1" s="2240"/>
      <c r="Q1" s="2240"/>
      <c r="R1" s="2240"/>
      <c r="S1" s="2240"/>
      <c r="T1" s="2240"/>
      <c r="U1" s="2240"/>
      <c r="V1" s="2240"/>
      <c r="W1" s="2240"/>
      <c r="X1" s="2240"/>
      <c r="Y1" s="2240"/>
    </row>
    <row r="2" spans="1:25" ht="21.6" customHeight="1" x14ac:dyDescent="0.25">
      <c r="A2" s="2241" t="s">
        <v>77</v>
      </c>
      <c r="B2" s="2241"/>
      <c r="C2" s="2241"/>
      <c r="D2" s="2241"/>
      <c r="E2" s="2241"/>
      <c r="F2" s="2241"/>
      <c r="G2" s="2241"/>
      <c r="H2" s="2241"/>
      <c r="I2" s="2241"/>
      <c r="J2" s="2241"/>
      <c r="K2" s="2241"/>
      <c r="L2" s="2241"/>
      <c r="M2" s="2241"/>
      <c r="N2" s="2241"/>
      <c r="O2" s="2241"/>
      <c r="P2" s="2241"/>
      <c r="Q2" s="2241"/>
      <c r="R2" s="2241"/>
      <c r="S2" s="2241"/>
      <c r="T2" s="2241"/>
      <c r="U2" s="2241"/>
      <c r="V2" s="2241"/>
      <c r="W2" s="2241"/>
      <c r="X2" s="2241"/>
      <c r="Y2" s="2241"/>
    </row>
    <row r="3" spans="1:25" ht="21" customHeight="1" x14ac:dyDescent="0.25">
      <c r="A3" s="272"/>
      <c r="B3" s="272"/>
      <c r="C3" s="272"/>
      <c r="D3" s="272"/>
      <c r="E3" s="272"/>
      <c r="F3" s="272"/>
      <c r="G3" s="272"/>
      <c r="H3" s="272"/>
      <c r="I3" s="272"/>
      <c r="J3" s="272"/>
      <c r="K3" s="272"/>
      <c r="L3" s="272"/>
      <c r="M3" s="272"/>
      <c r="N3" s="272"/>
      <c r="O3" s="272"/>
      <c r="P3" s="272"/>
      <c r="Q3" s="272"/>
      <c r="R3" s="272"/>
      <c r="S3" s="272"/>
      <c r="T3" s="2242" t="s">
        <v>284</v>
      </c>
      <c r="U3" s="2242"/>
      <c r="V3" s="2242"/>
      <c r="W3" s="2242"/>
      <c r="X3" s="2242"/>
      <c r="Y3" s="2242"/>
    </row>
    <row r="4" spans="1:25" s="272" customFormat="1" ht="18" customHeight="1" x14ac:dyDescent="0.25">
      <c r="A4" s="2243" t="s">
        <v>25</v>
      </c>
      <c r="B4" s="2243" t="s">
        <v>26</v>
      </c>
      <c r="C4" s="2244" t="s">
        <v>27</v>
      </c>
      <c r="D4" s="2244"/>
      <c r="E4" s="2244" t="s">
        <v>28</v>
      </c>
      <c r="F4" s="2244"/>
      <c r="G4" s="2244" t="s">
        <v>65</v>
      </c>
      <c r="H4" s="2244"/>
      <c r="I4" s="2244" t="s">
        <v>29</v>
      </c>
      <c r="J4" s="2244"/>
      <c r="K4" s="2245" t="s">
        <v>13</v>
      </c>
      <c r="L4" s="2246"/>
      <c r="M4" s="2245" t="s">
        <v>67</v>
      </c>
      <c r="N4" s="2246"/>
      <c r="O4" s="2245" t="s">
        <v>68</v>
      </c>
      <c r="P4" s="2246"/>
      <c r="Q4" s="2245" t="s">
        <v>114</v>
      </c>
      <c r="R4" s="2246"/>
      <c r="S4" s="2244" t="s">
        <v>35</v>
      </c>
      <c r="T4" s="2244"/>
      <c r="U4" s="2245" t="s">
        <v>17</v>
      </c>
      <c r="V4" s="2246"/>
      <c r="W4" s="2247" t="s">
        <v>36</v>
      </c>
      <c r="X4" s="2248"/>
      <c r="Y4" s="2238" t="s">
        <v>30</v>
      </c>
    </row>
    <row r="5" spans="1:25" s="272" customFormat="1" ht="25.5" customHeight="1" x14ac:dyDescent="0.25">
      <c r="A5" s="2243"/>
      <c r="B5" s="2243"/>
      <c r="C5" s="271" t="s">
        <v>42</v>
      </c>
      <c r="D5" s="271" t="s">
        <v>43</v>
      </c>
      <c r="E5" s="271" t="s">
        <v>42</v>
      </c>
      <c r="F5" s="271" t="s">
        <v>43</v>
      </c>
      <c r="G5" s="271" t="s">
        <v>42</v>
      </c>
      <c r="H5" s="271" t="s">
        <v>43</v>
      </c>
      <c r="I5" s="271" t="s">
        <v>42</v>
      </c>
      <c r="J5" s="271" t="s">
        <v>43</v>
      </c>
      <c r="K5" s="271" t="s">
        <v>42</v>
      </c>
      <c r="L5" s="271" t="s">
        <v>43</v>
      </c>
      <c r="M5" s="271" t="s">
        <v>42</v>
      </c>
      <c r="N5" s="271" t="s">
        <v>43</v>
      </c>
      <c r="O5" s="271" t="s">
        <v>42</v>
      </c>
      <c r="P5" s="271" t="s">
        <v>43</v>
      </c>
      <c r="Q5" s="271" t="s">
        <v>42</v>
      </c>
      <c r="R5" s="271" t="s">
        <v>43</v>
      </c>
      <c r="S5" s="33" t="s">
        <v>42</v>
      </c>
      <c r="T5" s="33" t="s">
        <v>43</v>
      </c>
      <c r="U5" s="30" t="s">
        <v>42</v>
      </c>
      <c r="V5" s="30" t="s">
        <v>43</v>
      </c>
      <c r="W5" s="30" t="s">
        <v>42</v>
      </c>
      <c r="X5" s="30" t="s">
        <v>43</v>
      </c>
      <c r="Y5" s="2239"/>
    </row>
    <row r="6" spans="1:25" ht="34.5" customHeight="1" x14ac:dyDescent="0.25">
      <c r="A6" s="12">
        <v>1409935200</v>
      </c>
      <c r="B6" s="270" t="s">
        <v>71</v>
      </c>
      <c r="C6" s="268">
        <v>46235</v>
      </c>
      <c r="D6" s="267">
        <f>0.9725*C6</f>
        <v>44963.537499999999</v>
      </c>
      <c r="E6" s="268"/>
      <c r="F6" s="268">
        <f>13.7*E6</f>
        <v>0</v>
      </c>
      <c r="G6" s="268"/>
      <c r="H6" s="268">
        <f>28.2*G6</f>
        <v>0</v>
      </c>
      <c r="I6" s="268"/>
      <c r="J6" s="268">
        <f>18.5*I6</f>
        <v>0</v>
      </c>
      <c r="K6" s="268"/>
      <c r="L6" s="268">
        <f>19.5*K6</f>
        <v>0</v>
      </c>
      <c r="M6" s="268"/>
      <c r="N6" s="267">
        <f>M6*9.75</f>
        <v>0</v>
      </c>
      <c r="O6" s="268"/>
      <c r="P6" s="267">
        <f>O6*48.62</f>
        <v>0</v>
      </c>
      <c r="Q6" s="267"/>
      <c r="R6" s="267">
        <f>241*Q6</f>
        <v>0</v>
      </c>
      <c r="S6" s="268">
        <v>5</v>
      </c>
      <c r="T6" s="268">
        <f>241*S6</f>
        <v>1205</v>
      </c>
      <c r="U6" s="268"/>
      <c r="V6" s="268">
        <f>232*U6</f>
        <v>0</v>
      </c>
      <c r="W6" s="268">
        <v>2</v>
      </c>
      <c r="X6" s="19">
        <f>W6*100</f>
        <v>200</v>
      </c>
      <c r="Y6" s="89">
        <f t="shared" ref="Y6:Y11" si="0">D6+F6+H6+J6+L6+N6+P6+R6+T6+V6+X6</f>
        <v>46368.537499999999</v>
      </c>
    </row>
    <row r="7" spans="1:25" ht="31.5" customHeight="1" x14ac:dyDescent="0.25">
      <c r="A7" s="12">
        <v>1984225578</v>
      </c>
      <c r="B7" s="270" t="s">
        <v>72</v>
      </c>
      <c r="C7" s="268">
        <v>23318</v>
      </c>
      <c r="D7" s="267">
        <f t="shared" ref="D7:D11" si="1">0.9725*C7</f>
        <v>22676.755000000001</v>
      </c>
      <c r="E7" s="268"/>
      <c r="F7" s="268">
        <f t="shared" ref="F7:F11" si="2">13.7*E7</f>
        <v>0</v>
      </c>
      <c r="G7" s="268"/>
      <c r="H7" s="268">
        <f t="shared" ref="H7:H11" si="3">28.2*G7</f>
        <v>0</v>
      </c>
      <c r="I7" s="268"/>
      <c r="J7" s="268">
        <f t="shared" ref="J7:J11" si="4">18.5*I7</f>
        <v>0</v>
      </c>
      <c r="K7" s="268"/>
      <c r="L7" s="268">
        <f t="shared" ref="L7:L11" si="5">19.5*K7</f>
        <v>0</v>
      </c>
      <c r="M7" s="268"/>
      <c r="N7" s="267">
        <f t="shared" ref="N7:N11" si="6">M7*9.75</f>
        <v>0</v>
      </c>
      <c r="O7" s="268"/>
      <c r="P7" s="267">
        <f t="shared" ref="P7:P11" si="7">O7*48.62</f>
        <v>0</v>
      </c>
      <c r="Q7" s="267"/>
      <c r="R7" s="267">
        <f t="shared" ref="R7:R11" si="8">241*Q7</f>
        <v>0</v>
      </c>
      <c r="S7" s="268"/>
      <c r="T7" s="268">
        <f t="shared" ref="T7:T11" si="9">241*S7</f>
        <v>0</v>
      </c>
      <c r="U7" s="268"/>
      <c r="V7" s="268">
        <f t="shared" ref="V7:V11" si="10">232*U7</f>
        <v>0</v>
      </c>
      <c r="W7" s="268"/>
      <c r="X7" s="19">
        <f t="shared" ref="X7:X11" si="11">W7*100</f>
        <v>0</v>
      </c>
      <c r="Y7" s="89">
        <f t="shared" si="0"/>
        <v>22676.755000000001</v>
      </c>
    </row>
    <row r="8" spans="1:25" ht="35.25" customHeight="1" x14ac:dyDescent="0.25">
      <c r="A8" s="12">
        <v>1967020280</v>
      </c>
      <c r="B8" s="270" t="s">
        <v>73</v>
      </c>
      <c r="C8" s="268">
        <v>16334</v>
      </c>
      <c r="D8" s="267">
        <f t="shared" si="1"/>
        <v>15884.815000000001</v>
      </c>
      <c r="E8" s="268"/>
      <c r="F8" s="268">
        <f t="shared" si="2"/>
        <v>0</v>
      </c>
      <c r="G8" s="268"/>
      <c r="H8" s="268">
        <f t="shared" si="3"/>
        <v>0</v>
      </c>
      <c r="I8" s="268"/>
      <c r="J8" s="268">
        <f t="shared" si="4"/>
        <v>0</v>
      </c>
      <c r="K8" s="268"/>
      <c r="L8" s="268">
        <f t="shared" si="5"/>
        <v>0</v>
      </c>
      <c r="M8" s="268"/>
      <c r="N8" s="267">
        <f t="shared" si="6"/>
        <v>0</v>
      </c>
      <c r="O8" s="268"/>
      <c r="P8" s="267">
        <f t="shared" si="7"/>
        <v>0</v>
      </c>
      <c r="Q8" s="267"/>
      <c r="R8" s="267">
        <f t="shared" si="8"/>
        <v>0</v>
      </c>
      <c r="S8" s="268"/>
      <c r="T8" s="268">
        <f t="shared" si="9"/>
        <v>0</v>
      </c>
      <c r="U8" s="268"/>
      <c r="V8" s="268">
        <f t="shared" si="10"/>
        <v>0</v>
      </c>
      <c r="W8" s="268"/>
      <c r="X8" s="19">
        <f t="shared" si="11"/>
        <v>0</v>
      </c>
      <c r="Y8" s="89">
        <f t="shared" si="0"/>
        <v>15884.815000000001</v>
      </c>
    </row>
    <row r="9" spans="1:25" ht="38.25" customHeight="1" x14ac:dyDescent="0.25">
      <c r="A9" s="12">
        <v>1409935199</v>
      </c>
      <c r="B9" s="270" t="s">
        <v>75</v>
      </c>
      <c r="C9" s="268">
        <v>21938</v>
      </c>
      <c r="D9" s="267">
        <f t="shared" si="1"/>
        <v>21334.705000000002</v>
      </c>
      <c r="E9" s="268"/>
      <c r="F9" s="268">
        <f t="shared" si="2"/>
        <v>0</v>
      </c>
      <c r="G9" s="268"/>
      <c r="H9" s="268">
        <f t="shared" si="3"/>
        <v>0</v>
      </c>
      <c r="I9" s="268"/>
      <c r="J9" s="268">
        <f t="shared" si="4"/>
        <v>0</v>
      </c>
      <c r="K9" s="268"/>
      <c r="L9" s="268">
        <f t="shared" si="5"/>
        <v>0</v>
      </c>
      <c r="M9" s="268"/>
      <c r="N9" s="267">
        <f t="shared" si="6"/>
        <v>0</v>
      </c>
      <c r="O9" s="268"/>
      <c r="P9" s="267">
        <f t="shared" si="7"/>
        <v>0</v>
      </c>
      <c r="Q9" s="267"/>
      <c r="R9" s="267">
        <f t="shared" si="8"/>
        <v>0</v>
      </c>
      <c r="S9" s="268"/>
      <c r="T9" s="268">
        <f t="shared" si="9"/>
        <v>0</v>
      </c>
      <c r="U9" s="268"/>
      <c r="V9" s="268">
        <f t="shared" si="10"/>
        <v>0</v>
      </c>
      <c r="W9" s="268"/>
      <c r="X9" s="19">
        <f t="shared" si="11"/>
        <v>0</v>
      </c>
      <c r="Y9" s="89">
        <f t="shared" si="0"/>
        <v>21334.705000000002</v>
      </c>
    </row>
    <row r="10" spans="1:25" ht="35.25" customHeight="1" x14ac:dyDescent="0.25">
      <c r="A10" s="12">
        <v>1984225580</v>
      </c>
      <c r="C10" s="268"/>
      <c r="D10" s="267">
        <f t="shared" si="1"/>
        <v>0</v>
      </c>
      <c r="E10" s="268"/>
      <c r="F10" s="268">
        <f t="shared" si="2"/>
        <v>0</v>
      </c>
      <c r="G10" s="268"/>
      <c r="H10" s="268">
        <f t="shared" si="3"/>
        <v>0</v>
      </c>
      <c r="I10" s="268">
        <v>2700</v>
      </c>
      <c r="J10" s="268">
        <f t="shared" si="4"/>
        <v>49950</v>
      </c>
      <c r="K10" s="268"/>
      <c r="L10" s="268">
        <f t="shared" si="5"/>
        <v>0</v>
      </c>
      <c r="M10" s="268"/>
      <c r="N10" s="267">
        <f t="shared" si="6"/>
        <v>0</v>
      </c>
      <c r="O10" s="268"/>
      <c r="P10" s="267">
        <f t="shared" si="7"/>
        <v>0</v>
      </c>
      <c r="Q10" s="267"/>
      <c r="R10" s="267">
        <f t="shared" si="8"/>
        <v>0</v>
      </c>
      <c r="S10" s="268"/>
      <c r="T10" s="268">
        <f t="shared" si="9"/>
        <v>0</v>
      </c>
      <c r="U10" s="268"/>
      <c r="V10" s="268">
        <f t="shared" si="10"/>
        <v>0</v>
      </c>
      <c r="W10" s="268"/>
      <c r="X10" s="19">
        <f t="shared" si="11"/>
        <v>0</v>
      </c>
      <c r="Y10" s="89">
        <f t="shared" si="0"/>
        <v>49950</v>
      </c>
    </row>
    <row r="11" spans="1:25" ht="37.5" customHeight="1" x14ac:dyDescent="0.25">
      <c r="A11" s="12"/>
      <c r="B11" s="269"/>
      <c r="C11" s="268"/>
      <c r="D11" s="22">
        <f t="shared" si="1"/>
        <v>0</v>
      </c>
      <c r="E11" s="268"/>
      <c r="F11" s="268">
        <f t="shared" si="2"/>
        <v>0</v>
      </c>
      <c r="G11" s="268"/>
      <c r="H11" s="268">
        <f t="shared" si="3"/>
        <v>0</v>
      </c>
      <c r="I11" s="268"/>
      <c r="J11" s="268">
        <f t="shared" si="4"/>
        <v>0</v>
      </c>
      <c r="K11" s="268"/>
      <c r="L11" s="268">
        <f t="shared" si="5"/>
        <v>0</v>
      </c>
      <c r="M11" s="268"/>
      <c r="N11" s="267">
        <f t="shared" si="6"/>
        <v>0</v>
      </c>
      <c r="O11" s="268"/>
      <c r="P11" s="267">
        <f t="shared" si="7"/>
        <v>0</v>
      </c>
      <c r="Q11" s="267"/>
      <c r="R11" s="267">
        <f t="shared" si="8"/>
        <v>0</v>
      </c>
      <c r="S11" s="268"/>
      <c r="T11" s="268">
        <f t="shared" si="9"/>
        <v>0</v>
      </c>
      <c r="U11" s="268"/>
      <c r="V11" s="268">
        <f t="shared" si="10"/>
        <v>0</v>
      </c>
      <c r="W11" s="268"/>
      <c r="X11" s="19">
        <f t="shared" si="11"/>
        <v>0</v>
      </c>
      <c r="Y11" s="20">
        <f t="shared" si="0"/>
        <v>0</v>
      </c>
    </row>
    <row r="12" spans="1:25" ht="29.25" customHeight="1" x14ac:dyDescent="0.25">
      <c r="A12" s="2235" t="s">
        <v>31</v>
      </c>
      <c r="B12" s="2235"/>
      <c r="C12" s="18">
        <f t="shared" ref="C12:Y12" si="12">SUM(C6:C11)</f>
        <v>107825</v>
      </c>
      <c r="D12" s="18">
        <f t="shared" si="12"/>
        <v>104859.8125</v>
      </c>
      <c r="E12" s="18">
        <f t="shared" si="12"/>
        <v>0</v>
      </c>
      <c r="F12" s="18">
        <f t="shared" si="12"/>
        <v>0</v>
      </c>
      <c r="G12" s="18">
        <f t="shared" si="12"/>
        <v>0</v>
      </c>
      <c r="H12" s="18">
        <f t="shared" si="12"/>
        <v>0</v>
      </c>
      <c r="I12" s="18">
        <f t="shared" si="12"/>
        <v>2700</v>
      </c>
      <c r="J12" s="18">
        <f t="shared" si="12"/>
        <v>49950</v>
      </c>
      <c r="K12" s="18">
        <f t="shared" si="12"/>
        <v>0</v>
      </c>
      <c r="L12" s="18">
        <f t="shared" si="12"/>
        <v>0</v>
      </c>
      <c r="M12" s="18">
        <f t="shared" si="12"/>
        <v>0</v>
      </c>
      <c r="N12" s="23">
        <f t="shared" si="12"/>
        <v>0</v>
      </c>
      <c r="O12" s="18">
        <f t="shared" si="12"/>
        <v>0</v>
      </c>
      <c r="P12" s="23">
        <f t="shared" si="12"/>
        <v>0</v>
      </c>
      <c r="Q12" s="23">
        <f t="shared" si="12"/>
        <v>0</v>
      </c>
      <c r="R12" s="23">
        <f>SUM(R6:R11)</f>
        <v>0</v>
      </c>
      <c r="S12" s="18">
        <f t="shared" si="12"/>
        <v>5</v>
      </c>
      <c r="T12" s="18">
        <f t="shared" si="12"/>
        <v>1205</v>
      </c>
      <c r="U12" s="18">
        <f t="shared" si="12"/>
        <v>0</v>
      </c>
      <c r="V12" s="18">
        <f t="shared" si="12"/>
        <v>0</v>
      </c>
      <c r="W12" s="18">
        <f t="shared" si="12"/>
        <v>2</v>
      </c>
      <c r="X12" s="18">
        <f t="shared" si="12"/>
        <v>200</v>
      </c>
      <c r="Y12" s="18">
        <f t="shared" si="12"/>
        <v>156214.8125</v>
      </c>
    </row>
    <row r="14" spans="1:25" ht="41.25" customHeight="1" x14ac:dyDescent="0.25">
      <c r="A14" s="30" t="s">
        <v>32</v>
      </c>
      <c r="B14" s="2236" t="s">
        <v>27</v>
      </c>
      <c r="C14" s="2236"/>
      <c r="D14" s="30" t="s">
        <v>33</v>
      </c>
      <c r="E14" s="30" t="s">
        <v>65</v>
      </c>
      <c r="F14" s="30" t="s">
        <v>34</v>
      </c>
      <c r="G14" s="30" t="s">
        <v>13</v>
      </c>
      <c r="H14" s="142" t="s">
        <v>173</v>
      </c>
      <c r="I14" s="30" t="s">
        <v>17</v>
      </c>
      <c r="J14" s="276" t="s">
        <v>174</v>
      </c>
      <c r="K14" s="30" t="s">
        <v>36</v>
      </c>
      <c r="L14" s="30" t="s">
        <v>175</v>
      </c>
      <c r="M14" s="30" t="s">
        <v>69</v>
      </c>
      <c r="N14" s="30" t="s">
        <v>70</v>
      </c>
      <c r="O14" s="276" t="s">
        <v>114</v>
      </c>
      <c r="P14" s="276" t="s">
        <v>99</v>
      </c>
      <c r="Q14" s="2272" t="s">
        <v>256</v>
      </c>
      <c r="R14" s="2272"/>
      <c r="S14" s="276"/>
      <c r="T14" s="2235" t="s">
        <v>46</v>
      </c>
      <c r="U14" s="270" t="s">
        <v>176</v>
      </c>
      <c r="V14" s="2260">
        <v>8833</v>
      </c>
      <c r="W14" s="2268"/>
      <c r="X14" s="2261"/>
    </row>
    <row r="15" spans="1:25" ht="22.5" customHeight="1" x14ac:dyDescent="0.25">
      <c r="A15" s="100" t="s">
        <v>38</v>
      </c>
      <c r="B15" s="2260">
        <v>251711</v>
      </c>
      <c r="C15" s="2261"/>
      <c r="D15" s="273">
        <v>0</v>
      </c>
      <c r="E15" s="273">
        <v>0</v>
      </c>
      <c r="F15" s="273">
        <v>0</v>
      </c>
      <c r="G15" s="273">
        <v>0</v>
      </c>
      <c r="H15" s="273">
        <v>133</v>
      </c>
      <c r="I15" s="273">
        <v>0</v>
      </c>
      <c r="J15" s="273">
        <v>45</v>
      </c>
      <c r="K15" s="273">
        <v>71</v>
      </c>
      <c r="L15" s="273">
        <v>914</v>
      </c>
      <c r="M15" s="273">
        <v>0</v>
      </c>
      <c r="N15" s="273">
        <v>100</v>
      </c>
      <c r="O15" s="273">
        <v>0</v>
      </c>
      <c r="P15" s="273">
        <v>404</v>
      </c>
      <c r="Q15" s="2262">
        <v>47</v>
      </c>
      <c r="R15" s="2262"/>
      <c r="S15" s="270">
        <v>0</v>
      </c>
      <c r="T15" s="2235"/>
      <c r="U15" s="270" t="s">
        <v>64</v>
      </c>
      <c r="V15" s="2262">
        <v>8097</v>
      </c>
      <c r="W15" s="2262"/>
      <c r="X15" s="2262"/>
    </row>
    <row r="16" spans="1:25" ht="24.75" customHeight="1" x14ac:dyDescent="0.25">
      <c r="A16" s="100" t="s">
        <v>39</v>
      </c>
      <c r="B16" s="2260">
        <v>242068</v>
      </c>
      <c r="C16" s="2261"/>
      <c r="D16" s="273"/>
      <c r="E16" s="273">
        <v>5000</v>
      </c>
      <c r="F16" s="273">
        <v>25000</v>
      </c>
      <c r="G16" s="273"/>
      <c r="H16" s="273">
        <v>300</v>
      </c>
      <c r="I16" s="273"/>
      <c r="J16" s="273"/>
      <c r="K16" s="273"/>
      <c r="L16" s="273">
        <v>25</v>
      </c>
      <c r="M16" s="273"/>
      <c r="N16" s="273"/>
      <c r="O16" s="273"/>
      <c r="P16" s="273"/>
      <c r="Q16" s="2225"/>
      <c r="R16" s="2225"/>
      <c r="S16" s="273"/>
      <c r="T16" s="2254" t="s">
        <v>55</v>
      </c>
      <c r="U16" s="2254"/>
      <c r="V16" s="2267">
        <f>Y12</f>
        <v>156214.8125</v>
      </c>
      <c r="W16" s="2267"/>
      <c r="X16" s="2262"/>
    </row>
    <row r="17" spans="1:25" ht="28.5" customHeight="1" x14ac:dyDescent="0.25">
      <c r="A17" s="101" t="s">
        <v>44</v>
      </c>
      <c r="B17" s="2260"/>
      <c r="C17" s="2261"/>
      <c r="D17" s="273"/>
      <c r="E17" s="273"/>
      <c r="F17" s="273"/>
      <c r="G17" s="273"/>
      <c r="H17" s="273"/>
      <c r="I17" s="273"/>
      <c r="J17" s="273"/>
      <c r="K17" s="273"/>
      <c r="L17" s="273"/>
      <c r="M17" s="273"/>
      <c r="N17" s="273"/>
      <c r="O17" s="273"/>
      <c r="P17" s="273"/>
      <c r="Q17" s="2225"/>
      <c r="R17" s="2225"/>
      <c r="S17" s="269"/>
      <c r="T17" s="2294"/>
      <c r="U17" s="2295"/>
      <c r="V17" s="2296"/>
      <c r="W17" s="2296"/>
      <c r="X17" s="2296"/>
    </row>
    <row r="18" spans="1:25" ht="27" customHeight="1" x14ac:dyDescent="0.25">
      <c r="A18" s="100" t="s">
        <v>40</v>
      </c>
      <c r="B18" s="2264">
        <f>C12</f>
        <v>107825</v>
      </c>
      <c r="C18" s="2261"/>
      <c r="D18" s="275">
        <f>E12</f>
        <v>0</v>
      </c>
      <c r="E18" s="275">
        <f>G12</f>
        <v>0</v>
      </c>
      <c r="F18" s="275">
        <f>I12</f>
        <v>2700</v>
      </c>
      <c r="G18" s="275">
        <f>K12</f>
        <v>0</v>
      </c>
      <c r="H18" s="273">
        <v>30</v>
      </c>
      <c r="I18" s="275">
        <f>U12</f>
        <v>0</v>
      </c>
      <c r="J18" s="273"/>
      <c r="K18" s="275">
        <f>W12</f>
        <v>2</v>
      </c>
      <c r="L18" s="273"/>
      <c r="M18" s="275">
        <f>M12</f>
        <v>0</v>
      </c>
      <c r="N18" s="275">
        <f>O12</f>
        <v>0</v>
      </c>
      <c r="O18" s="274">
        <f>Q12</f>
        <v>0</v>
      </c>
      <c r="P18" s="273"/>
      <c r="Q18" s="2262"/>
      <c r="R18" s="2262"/>
      <c r="S18" s="270"/>
      <c r="T18" s="2254" t="s">
        <v>57</v>
      </c>
      <c r="U18" s="2254"/>
      <c r="V18" s="2262">
        <f>520+60+250</f>
        <v>830</v>
      </c>
      <c r="W18" s="2262"/>
      <c r="X18" s="2262"/>
      <c r="Y18" s="2269" t="s">
        <v>285</v>
      </c>
    </row>
    <row r="19" spans="1:25" ht="25.5" customHeight="1" x14ac:dyDescent="0.25">
      <c r="A19" s="100" t="s">
        <v>41</v>
      </c>
      <c r="B19" s="2260">
        <f>B15+B16+B17-B18</f>
        <v>385954</v>
      </c>
      <c r="C19" s="2261"/>
      <c r="D19" s="273">
        <f>D15+D16+D17-D18</f>
        <v>0</v>
      </c>
      <c r="E19" s="273">
        <f t="shared" ref="E19:N19" si="13">E15+E16+E17-E18</f>
        <v>5000</v>
      </c>
      <c r="F19" s="273">
        <f t="shared" si="13"/>
        <v>22300</v>
      </c>
      <c r="G19" s="273">
        <f t="shared" si="13"/>
        <v>0</v>
      </c>
      <c r="H19" s="273">
        <f t="shared" si="13"/>
        <v>403</v>
      </c>
      <c r="I19" s="273">
        <f t="shared" si="13"/>
        <v>0</v>
      </c>
      <c r="J19" s="273">
        <f t="shared" si="13"/>
        <v>45</v>
      </c>
      <c r="K19" s="273">
        <f t="shared" si="13"/>
        <v>69</v>
      </c>
      <c r="L19" s="273">
        <f t="shared" si="13"/>
        <v>939</v>
      </c>
      <c r="M19" s="273">
        <f t="shared" si="13"/>
        <v>0</v>
      </c>
      <c r="N19" s="273">
        <f t="shared" si="13"/>
        <v>100</v>
      </c>
      <c r="O19" s="273">
        <f>O15+O16+O17-O18</f>
        <v>0</v>
      </c>
      <c r="P19" s="273">
        <f>P15+P16+P17-P18</f>
        <v>404</v>
      </c>
      <c r="Q19" s="2260">
        <f t="shared" ref="Q19" si="14">Q15+Q16+Q17-Q18</f>
        <v>47</v>
      </c>
      <c r="R19" s="2261"/>
      <c r="S19" s="270">
        <f>S15+S16-S17-S18</f>
        <v>0</v>
      </c>
      <c r="T19" s="2256" t="s">
        <v>48</v>
      </c>
      <c r="U19" s="49" t="s">
        <v>58</v>
      </c>
      <c r="V19" s="2262">
        <v>80000</v>
      </c>
      <c r="W19" s="2262"/>
      <c r="X19" s="2262"/>
      <c r="Y19" s="2269"/>
    </row>
    <row r="20" spans="1:25" ht="23.25" customHeight="1" x14ac:dyDescent="0.25">
      <c r="A20" s="289" t="s">
        <v>187</v>
      </c>
      <c r="B20" s="2286">
        <f>B19*0.9625</f>
        <v>371480.72500000003</v>
      </c>
      <c r="C20" s="2287"/>
      <c r="D20" s="290">
        <f>D19*13.56</f>
        <v>0</v>
      </c>
      <c r="E20" s="290">
        <f>28.2*E19</f>
        <v>141000</v>
      </c>
      <c r="F20" s="290">
        <f>18.31*F19</f>
        <v>408313</v>
      </c>
      <c r="G20" s="290">
        <f>19.3*G19</f>
        <v>0</v>
      </c>
      <c r="H20" s="290">
        <f>241*H19</f>
        <v>97123</v>
      </c>
      <c r="I20" s="290">
        <f>223*I19</f>
        <v>0</v>
      </c>
      <c r="J20" s="290">
        <f>241*J19</f>
        <v>10845</v>
      </c>
      <c r="K20" s="290">
        <f>K19*100</f>
        <v>6900</v>
      </c>
      <c r="L20" s="290">
        <f>241*L19</f>
        <v>226299</v>
      </c>
      <c r="M20" s="290">
        <f>9.65*M19</f>
        <v>0</v>
      </c>
      <c r="N20" s="290">
        <f>N19*48.2</f>
        <v>4820</v>
      </c>
      <c r="O20" s="290">
        <f>241*O19</f>
        <v>0</v>
      </c>
      <c r="P20" s="290">
        <f>241*P19</f>
        <v>97364</v>
      </c>
      <c r="Q20" s="2286">
        <f>241*Q19</f>
        <v>11327</v>
      </c>
      <c r="R20" s="2287"/>
      <c r="S20" s="290">
        <f>241*S19</f>
        <v>0</v>
      </c>
      <c r="T20" s="2257"/>
      <c r="U20" s="49" t="s">
        <v>59</v>
      </c>
      <c r="V20" s="2262"/>
      <c r="W20" s="2262"/>
      <c r="X20" s="2262"/>
      <c r="Y20" s="2269"/>
    </row>
    <row r="21" spans="1:25" ht="32.25" customHeight="1" x14ac:dyDescent="0.25">
      <c r="A21" s="291" t="s">
        <v>186</v>
      </c>
      <c r="B21" s="2293">
        <f>SUM(B20:S20)</f>
        <v>1375471.7250000001</v>
      </c>
      <c r="C21" s="2293"/>
      <c r="O21" s="277"/>
      <c r="P21" s="277"/>
      <c r="Q21" s="277"/>
      <c r="R21" s="277"/>
      <c r="T21" s="2273" t="s">
        <v>167</v>
      </c>
      <c r="U21" s="2274"/>
      <c r="V21" s="2260">
        <v>80000</v>
      </c>
      <c r="W21" s="2268"/>
      <c r="X21" s="2261"/>
      <c r="Y21" s="2269"/>
    </row>
    <row r="22" spans="1:25" ht="35.25" customHeight="1" x14ac:dyDescent="0.25">
      <c r="A22" s="15"/>
      <c r="B22" s="2288" t="s">
        <v>49</v>
      </c>
      <c r="C22" s="2291">
        <v>245709</v>
      </c>
      <c r="D22" s="2291">
        <v>80000</v>
      </c>
      <c r="E22" s="2291">
        <v>902603</v>
      </c>
      <c r="F22" s="2291">
        <f>C22-D22+E22</f>
        <v>1068312</v>
      </c>
      <c r="G22" s="277"/>
      <c r="Q22" s="277"/>
      <c r="R22" s="277"/>
      <c r="T22" s="2251" t="s">
        <v>83</v>
      </c>
      <c r="U22" s="50" t="s">
        <v>60</v>
      </c>
      <c r="V22" s="2262">
        <v>82520</v>
      </c>
      <c r="W22" s="2262"/>
      <c r="X22" s="2262"/>
      <c r="Y22" s="2269"/>
    </row>
    <row r="23" spans="1:25" ht="39.75" customHeight="1" x14ac:dyDescent="0.25">
      <c r="A23" s="277"/>
      <c r="B23" s="2289"/>
      <c r="C23" s="2292"/>
      <c r="D23" s="2292"/>
      <c r="E23" s="2292"/>
      <c r="F23" s="2292"/>
      <c r="G23" s="277"/>
      <c r="Q23" s="277"/>
      <c r="R23" s="277"/>
      <c r="T23" s="2252"/>
      <c r="U23" s="50" t="s">
        <v>61</v>
      </c>
      <c r="V23" s="2262">
        <v>80000</v>
      </c>
      <c r="W23" s="2262"/>
      <c r="X23" s="2262"/>
      <c r="Y23" s="2269"/>
    </row>
    <row r="24" spans="1:25" ht="48" customHeight="1" x14ac:dyDescent="0.25">
      <c r="A24" s="277"/>
      <c r="B24" s="2290"/>
      <c r="C24" s="290" t="s">
        <v>46</v>
      </c>
      <c r="D24" s="290" t="s">
        <v>50</v>
      </c>
      <c r="E24" s="290" t="s">
        <v>51</v>
      </c>
      <c r="F24" s="290" t="s">
        <v>52</v>
      </c>
      <c r="G24" s="277"/>
      <c r="Q24" s="277"/>
      <c r="R24" s="277"/>
      <c r="T24" s="2235" t="s">
        <v>47</v>
      </c>
      <c r="U24" s="51" t="s">
        <v>62</v>
      </c>
      <c r="V24" s="2263">
        <f>V14+V16+V17-V18-V19-V20-V22+V23-V21</f>
        <v>1697.8125</v>
      </c>
      <c r="W24" s="2263"/>
      <c r="X24" s="2263"/>
      <c r="Y24" s="2269"/>
    </row>
    <row r="25" spans="1:25" ht="40.5" customHeight="1" x14ac:dyDescent="0.25">
      <c r="T25" s="2235"/>
      <c r="U25" s="51" t="s">
        <v>63</v>
      </c>
      <c r="V25" s="2262">
        <f>V15+V22-V23</f>
        <v>10617</v>
      </c>
      <c r="W25" s="2262"/>
      <c r="X25" s="2262"/>
    </row>
    <row r="26" spans="1:25" ht="36" customHeight="1" x14ac:dyDescent="0.25"/>
    <row r="32" spans="1:25" x14ac:dyDescent="0.25">
      <c r="I32" s="2280"/>
      <c r="J32" s="2280"/>
      <c r="K32" s="2280"/>
      <c r="L32" s="2280"/>
    </row>
    <row r="33" spans="9:12" x14ac:dyDescent="0.25">
      <c r="I33" s="277"/>
      <c r="J33" s="277"/>
      <c r="K33" s="2280"/>
      <c r="L33" s="2280"/>
    </row>
  </sheetData>
  <mergeCells count="62">
    <mergeCell ref="A1:Y1"/>
    <mergeCell ref="A2:Y2"/>
    <mergeCell ref="T3:Y3"/>
    <mergeCell ref="A4:A5"/>
    <mergeCell ref="B4:B5"/>
    <mergeCell ref="C4:D4"/>
    <mergeCell ref="E4:F4"/>
    <mergeCell ref="G4:H4"/>
    <mergeCell ref="I4:J4"/>
    <mergeCell ref="K4:L4"/>
    <mergeCell ref="Y4:Y5"/>
    <mergeCell ref="M4:N4"/>
    <mergeCell ref="O4:P4"/>
    <mergeCell ref="Q4:R4"/>
    <mergeCell ref="S4:T4"/>
    <mergeCell ref="U4:V4"/>
    <mergeCell ref="W4:X4"/>
    <mergeCell ref="B16:C16"/>
    <mergeCell ref="Q16:R16"/>
    <mergeCell ref="T16:U16"/>
    <mergeCell ref="V16:X16"/>
    <mergeCell ref="A12:B12"/>
    <mergeCell ref="B14:C14"/>
    <mergeCell ref="Q14:R14"/>
    <mergeCell ref="T14:T15"/>
    <mergeCell ref="V14:X14"/>
    <mergeCell ref="B15:C15"/>
    <mergeCell ref="Q15:R15"/>
    <mergeCell ref="V15:X15"/>
    <mergeCell ref="B17:C17"/>
    <mergeCell ref="Q17:R17"/>
    <mergeCell ref="T17:U17"/>
    <mergeCell ref="V17:X17"/>
    <mergeCell ref="B18:C18"/>
    <mergeCell ref="Q18:R18"/>
    <mergeCell ref="T18:U18"/>
    <mergeCell ref="V18:X18"/>
    <mergeCell ref="Y18:Y24"/>
    <mergeCell ref="B19:C19"/>
    <mergeCell ref="Q19:R19"/>
    <mergeCell ref="T19:T20"/>
    <mergeCell ref="V19:X19"/>
    <mergeCell ref="B20:C20"/>
    <mergeCell ref="B22:B24"/>
    <mergeCell ref="C22:C23"/>
    <mergeCell ref="D22:D23"/>
    <mergeCell ref="E22:E23"/>
    <mergeCell ref="F22:F23"/>
    <mergeCell ref="Q20:R20"/>
    <mergeCell ref="V20:X20"/>
    <mergeCell ref="B21:C21"/>
    <mergeCell ref="T21:U21"/>
    <mergeCell ref="V21:X21"/>
    <mergeCell ref="I32:J32"/>
    <mergeCell ref="K32:L32"/>
    <mergeCell ref="K33:L33"/>
    <mergeCell ref="T22:T23"/>
    <mergeCell ref="V22:X22"/>
    <mergeCell ref="V23:X23"/>
    <mergeCell ref="T24:T25"/>
    <mergeCell ref="V24:X24"/>
    <mergeCell ref="V25:X25"/>
  </mergeCells>
  <pageMargins left="0.15748031496063" right="0.15748031496063" top="0" bottom="0" header="0" footer="0"/>
  <pageSetup paperSize="9" scale="47" orientation="landscape" r:id="rId1"/>
  <legacyDrawing r:id="rId2"/>
</worksheet>
</file>

<file path=xl/worksheets/sheet10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D9EA484-5D3C-42B6-A9BD-9D982923D0C3}">
  <sheetPr>
    <pageSetUpPr fitToPage="1"/>
  </sheetPr>
  <dimension ref="A1:Y33"/>
  <sheetViews>
    <sheetView topLeftCell="A11" zoomScale="71" zoomScaleNormal="71" zoomScaleSheetLayoutView="100" workbookViewId="0">
      <selection activeCell="P23" sqref="P23"/>
    </sheetView>
  </sheetViews>
  <sheetFormatPr defaultColWidth="9.140625" defaultRowHeight="15" x14ac:dyDescent="0.25"/>
  <cols>
    <col min="1" max="1" width="18.28515625" style="14" customWidth="1"/>
    <col min="2" max="2" width="10.7109375" style="14" customWidth="1"/>
    <col min="3" max="3" width="12.28515625" style="14" customWidth="1"/>
    <col min="4" max="4" width="11" style="14" customWidth="1"/>
    <col min="5" max="5" width="12" style="14" customWidth="1"/>
    <col min="6" max="6" width="12.5703125" style="14" bestFit="1" customWidth="1"/>
    <col min="7" max="7" width="9.28515625" style="14" bestFit="1" customWidth="1"/>
    <col min="8" max="8" width="10.140625" style="14" bestFit="1" customWidth="1"/>
    <col min="9" max="9" width="10.5703125" style="14" bestFit="1" customWidth="1"/>
    <col min="10" max="10" width="10.5703125" style="14" customWidth="1"/>
    <col min="11" max="11" width="10.28515625" style="14" bestFit="1" customWidth="1"/>
    <col min="12" max="12" width="10.42578125" style="14" bestFit="1" customWidth="1"/>
    <col min="13" max="13" width="9.85546875" style="14" bestFit="1" customWidth="1"/>
    <col min="14" max="14" width="10.140625" style="14" bestFit="1" customWidth="1"/>
    <col min="15" max="15" width="9" style="14" customWidth="1"/>
    <col min="16" max="16" width="12.85546875" style="14" bestFit="1" customWidth="1"/>
    <col min="17" max="18" width="9.42578125" style="14" customWidth="1"/>
    <col min="19" max="19" width="13.7109375" style="14" customWidth="1"/>
    <col min="20" max="20" width="12.140625" style="14" customWidth="1"/>
    <col min="21" max="21" width="19.5703125" style="14" bestFit="1" customWidth="1"/>
    <col min="22" max="22" width="9.85546875" style="14" customWidth="1"/>
    <col min="23" max="23" width="10.140625" style="14" bestFit="1" customWidth="1"/>
    <col min="24" max="24" width="10.28515625" style="14" customWidth="1"/>
    <col min="25" max="25" width="28" style="14" customWidth="1"/>
    <col min="26" max="16384" width="9.140625" style="14"/>
  </cols>
  <sheetData>
    <row r="1" spans="1:25" ht="46.15" customHeight="1" x14ac:dyDescent="0.25">
      <c r="A1" s="2240" t="s">
        <v>148</v>
      </c>
      <c r="B1" s="2240"/>
      <c r="C1" s="2240"/>
      <c r="D1" s="2240"/>
      <c r="E1" s="2240"/>
      <c r="F1" s="2240"/>
      <c r="G1" s="2240"/>
      <c r="H1" s="2240"/>
      <c r="I1" s="2240"/>
      <c r="J1" s="2240"/>
      <c r="K1" s="2240"/>
      <c r="L1" s="2240"/>
      <c r="M1" s="2240"/>
      <c r="N1" s="2240"/>
      <c r="O1" s="2240"/>
      <c r="P1" s="2240"/>
      <c r="Q1" s="2240"/>
      <c r="R1" s="2240"/>
      <c r="S1" s="2240"/>
      <c r="T1" s="2240"/>
      <c r="U1" s="2240"/>
      <c r="V1" s="2240"/>
      <c r="W1" s="2240"/>
      <c r="X1" s="2240"/>
      <c r="Y1" s="2240"/>
    </row>
    <row r="2" spans="1:25" ht="21.6" customHeight="1" x14ac:dyDescent="0.25">
      <c r="A2" s="2241" t="s">
        <v>77</v>
      </c>
      <c r="B2" s="2241"/>
      <c r="C2" s="2241"/>
      <c r="D2" s="2241"/>
      <c r="E2" s="2241"/>
      <c r="F2" s="2241"/>
      <c r="G2" s="2241"/>
      <c r="H2" s="2241"/>
      <c r="I2" s="2241"/>
      <c r="J2" s="2241"/>
      <c r="K2" s="2241"/>
      <c r="L2" s="2241"/>
      <c r="M2" s="2241"/>
      <c r="N2" s="2241"/>
      <c r="O2" s="2241"/>
      <c r="P2" s="2241"/>
      <c r="Q2" s="2241"/>
      <c r="R2" s="2241"/>
      <c r="S2" s="2241"/>
      <c r="T2" s="2241"/>
      <c r="U2" s="2241"/>
      <c r="V2" s="2241"/>
      <c r="W2" s="2241"/>
      <c r="X2" s="2241"/>
      <c r="Y2" s="2241"/>
    </row>
    <row r="3" spans="1:25" ht="21" customHeight="1" x14ac:dyDescent="0.25">
      <c r="A3" s="272"/>
      <c r="B3" s="272"/>
      <c r="C3" s="272"/>
      <c r="D3" s="272"/>
      <c r="E3" s="272"/>
      <c r="F3" s="272"/>
      <c r="G3" s="272"/>
      <c r="H3" s="272"/>
      <c r="I3" s="272"/>
      <c r="J3" s="272"/>
      <c r="K3" s="272"/>
      <c r="L3" s="272"/>
      <c r="M3" s="272"/>
      <c r="N3" s="272"/>
      <c r="O3" s="272"/>
      <c r="P3" s="272"/>
      <c r="Q3" s="272"/>
      <c r="R3" s="272"/>
      <c r="S3" s="272"/>
      <c r="T3" s="2242" t="s">
        <v>286</v>
      </c>
      <c r="U3" s="2242"/>
      <c r="V3" s="2242"/>
      <c r="W3" s="2242"/>
      <c r="X3" s="2242"/>
      <c r="Y3" s="2242"/>
    </row>
    <row r="4" spans="1:25" s="272" customFormat="1" ht="18" customHeight="1" x14ac:dyDescent="0.25">
      <c r="A4" s="2243" t="s">
        <v>25</v>
      </c>
      <c r="B4" s="2243" t="s">
        <v>26</v>
      </c>
      <c r="C4" s="2244" t="s">
        <v>27</v>
      </c>
      <c r="D4" s="2244"/>
      <c r="E4" s="2244" t="s">
        <v>28</v>
      </c>
      <c r="F4" s="2244"/>
      <c r="G4" s="2244" t="s">
        <v>65</v>
      </c>
      <c r="H4" s="2244"/>
      <c r="I4" s="2244" t="s">
        <v>29</v>
      </c>
      <c r="J4" s="2244"/>
      <c r="K4" s="2245" t="s">
        <v>13</v>
      </c>
      <c r="L4" s="2246"/>
      <c r="M4" s="2245" t="s">
        <v>67</v>
      </c>
      <c r="N4" s="2246"/>
      <c r="O4" s="2245" t="s">
        <v>68</v>
      </c>
      <c r="P4" s="2246"/>
      <c r="Q4" s="2245" t="s">
        <v>114</v>
      </c>
      <c r="R4" s="2246"/>
      <c r="S4" s="2244" t="s">
        <v>35</v>
      </c>
      <c r="T4" s="2244"/>
      <c r="U4" s="2245" t="s">
        <v>17</v>
      </c>
      <c r="V4" s="2246"/>
      <c r="W4" s="2247" t="s">
        <v>36</v>
      </c>
      <c r="X4" s="2248"/>
      <c r="Y4" s="2238" t="s">
        <v>30</v>
      </c>
    </row>
    <row r="5" spans="1:25" s="272" customFormat="1" ht="25.5" customHeight="1" x14ac:dyDescent="0.25">
      <c r="A5" s="2243"/>
      <c r="B5" s="2243"/>
      <c r="C5" s="271" t="s">
        <v>42</v>
      </c>
      <c r="D5" s="271" t="s">
        <v>43</v>
      </c>
      <c r="E5" s="271" t="s">
        <v>42</v>
      </c>
      <c r="F5" s="271" t="s">
        <v>43</v>
      </c>
      <c r="G5" s="271" t="s">
        <v>42</v>
      </c>
      <c r="H5" s="271" t="s">
        <v>43</v>
      </c>
      <c r="I5" s="271" t="s">
        <v>42</v>
      </c>
      <c r="J5" s="271" t="s">
        <v>43</v>
      </c>
      <c r="K5" s="271" t="s">
        <v>42</v>
      </c>
      <c r="L5" s="271" t="s">
        <v>43</v>
      </c>
      <c r="M5" s="271" t="s">
        <v>42</v>
      </c>
      <c r="N5" s="271" t="s">
        <v>43</v>
      </c>
      <c r="O5" s="271" t="s">
        <v>42</v>
      </c>
      <c r="P5" s="271" t="s">
        <v>43</v>
      </c>
      <c r="Q5" s="271" t="s">
        <v>42</v>
      </c>
      <c r="R5" s="271" t="s">
        <v>43</v>
      </c>
      <c r="S5" s="33" t="s">
        <v>42</v>
      </c>
      <c r="T5" s="33" t="s">
        <v>43</v>
      </c>
      <c r="U5" s="30" t="s">
        <v>42</v>
      </c>
      <c r="V5" s="30" t="s">
        <v>43</v>
      </c>
      <c r="W5" s="30" t="s">
        <v>42</v>
      </c>
      <c r="X5" s="30" t="s">
        <v>43</v>
      </c>
      <c r="Y5" s="2239"/>
    </row>
    <row r="6" spans="1:25" ht="34.5" customHeight="1" x14ac:dyDescent="0.25">
      <c r="A6" s="12">
        <v>1409935200</v>
      </c>
      <c r="B6" s="270" t="s">
        <v>71</v>
      </c>
      <c r="C6" s="268">
        <v>26509</v>
      </c>
      <c r="D6" s="267">
        <f>0.9725*C6</f>
        <v>25780.002500000002</v>
      </c>
      <c r="E6" s="268"/>
      <c r="F6" s="268">
        <f>13.7*E6</f>
        <v>0</v>
      </c>
      <c r="G6" s="268"/>
      <c r="H6" s="268">
        <f>28.2*G6</f>
        <v>0</v>
      </c>
      <c r="I6" s="268"/>
      <c r="J6" s="268">
        <f>18.5*I6</f>
        <v>0</v>
      </c>
      <c r="K6" s="268"/>
      <c r="L6" s="268">
        <f>19.5*K6</f>
        <v>0</v>
      </c>
      <c r="M6" s="268"/>
      <c r="N6" s="267">
        <f>M6*9.75</f>
        <v>0</v>
      </c>
      <c r="O6" s="268"/>
      <c r="P6" s="267">
        <f>O6*48.62</f>
        <v>0</v>
      </c>
      <c r="Q6" s="267"/>
      <c r="R6" s="267">
        <f>241*Q6</f>
        <v>0</v>
      </c>
      <c r="S6" s="268"/>
      <c r="T6" s="268">
        <f>241*S6</f>
        <v>0</v>
      </c>
      <c r="U6" s="268"/>
      <c r="V6" s="268">
        <f>232*U6</f>
        <v>0</v>
      </c>
      <c r="W6" s="268"/>
      <c r="X6" s="19">
        <f>W6*100</f>
        <v>0</v>
      </c>
      <c r="Y6" s="89">
        <f t="shared" ref="Y6:Y11" si="0">D6+F6+H6+J6+L6+N6+P6+R6+T6+V6+X6</f>
        <v>25780.002500000002</v>
      </c>
    </row>
    <row r="7" spans="1:25" ht="31.5" customHeight="1" x14ac:dyDescent="0.25">
      <c r="A7" s="12">
        <v>1984225578</v>
      </c>
      <c r="B7" s="270" t="s">
        <v>72</v>
      </c>
      <c r="C7" s="268">
        <v>20162</v>
      </c>
      <c r="D7" s="267">
        <f t="shared" ref="D7:D11" si="1">0.9725*C7</f>
        <v>19607.545000000002</v>
      </c>
      <c r="E7" s="268"/>
      <c r="F7" s="268">
        <f t="shared" ref="F7:F11" si="2">13.7*E7</f>
        <v>0</v>
      </c>
      <c r="G7" s="268"/>
      <c r="H7" s="268">
        <f t="shared" ref="H7:H11" si="3">28.2*G7</f>
        <v>0</v>
      </c>
      <c r="I7" s="268"/>
      <c r="J7" s="268">
        <f t="shared" ref="J7:J11" si="4">18.5*I7</f>
        <v>0</v>
      </c>
      <c r="K7" s="268"/>
      <c r="L7" s="268">
        <f t="shared" ref="L7:L11" si="5">19.5*K7</f>
        <v>0</v>
      </c>
      <c r="M7" s="268"/>
      <c r="N7" s="267">
        <f t="shared" ref="N7:N11" si="6">M7*9.75</f>
        <v>0</v>
      </c>
      <c r="O7" s="268"/>
      <c r="P7" s="267">
        <f t="shared" ref="P7:P11" si="7">O7*48.62</f>
        <v>0</v>
      </c>
      <c r="Q7" s="267"/>
      <c r="R7" s="267">
        <f t="shared" ref="R7:R11" si="8">241*Q7</f>
        <v>0</v>
      </c>
      <c r="S7" s="268"/>
      <c r="T7" s="268">
        <f t="shared" ref="T7:T11" si="9">241*S7</f>
        <v>0</v>
      </c>
      <c r="U7" s="268"/>
      <c r="V7" s="268">
        <f t="shared" ref="V7:V11" si="10">232*U7</f>
        <v>0</v>
      </c>
      <c r="W7" s="268"/>
      <c r="X7" s="19">
        <f t="shared" ref="X7:X11" si="11">W7*100</f>
        <v>0</v>
      </c>
      <c r="Y7" s="89">
        <f t="shared" si="0"/>
        <v>19607.545000000002</v>
      </c>
    </row>
    <row r="8" spans="1:25" ht="35.25" customHeight="1" x14ac:dyDescent="0.25">
      <c r="A8" s="12">
        <v>1967020280</v>
      </c>
      <c r="B8" s="270" t="s">
        <v>73</v>
      </c>
      <c r="C8" s="268">
        <v>11402</v>
      </c>
      <c r="D8" s="267">
        <f t="shared" si="1"/>
        <v>11088.445</v>
      </c>
      <c r="E8" s="268"/>
      <c r="F8" s="268">
        <f t="shared" si="2"/>
        <v>0</v>
      </c>
      <c r="G8" s="268"/>
      <c r="H8" s="268">
        <f t="shared" si="3"/>
        <v>0</v>
      </c>
      <c r="I8" s="268"/>
      <c r="J8" s="268">
        <f t="shared" si="4"/>
        <v>0</v>
      </c>
      <c r="K8" s="268"/>
      <c r="L8" s="268">
        <f t="shared" si="5"/>
        <v>0</v>
      </c>
      <c r="M8" s="268"/>
      <c r="N8" s="267">
        <f t="shared" si="6"/>
        <v>0</v>
      </c>
      <c r="O8" s="268"/>
      <c r="P8" s="267">
        <f t="shared" si="7"/>
        <v>0</v>
      </c>
      <c r="Q8" s="267"/>
      <c r="R8" s="267">
        <f t="shared" si="8"/>
        <v>0</v>
      </c>
      <c r="S8" s="268"/>
      <c r="T8" s="268">
        <f t="shared" si="9"/>
        <v>0</v>
      </c>
      <c r="U8" s="268"/>
      <c r="V8" s="268">
        <f t="shared" si="10"/>
        <v>0</v>
      </c>
      <c r="W8" s="268"/>
      <c r="X8" s="19">
        <f t="shared" si="11"/>
        <v>0</v>
      </c>
      <c r="Y8" s="89">
        <f t="shared" si="0"/>
        <v>11088.445</v>
      </c>
    </row>
    <row r="9" spans="1:25" ht="38.25" customHeight="1" x14ac:dyDescent="0.25">
      <c r="A9" s="12">
        <v>1409935199</v>
      </c>
      <c r="B9" s="270" t="s">
        <v>75</v>
      </c>
      <c r="C9" s="268">
        <v>12278</v>
      </c>
      <c r="D9" s="267">
        <f t="shared" si="1"/>
        <v>11940.355</v>
      </c>
      <c r="E9" s="268"/>
      <c r="F9" s="268">
        <f t="shared" si="2"/>
        <v>0</v>
      </c>
      <c r="G9" s="268"/>
      <c r="H9" s="268">
        <f t="shared" si="3"/>
        <v>0</v>
      </c>
      <c r="I9" s="268">
        <v>1800</v>
      </c>
      <c r="J9" s="268">
        <f t="shared" si="4"/>
        <v>33300</v>
      </c>
      <c r="K9" s="268"/>
      <c r="L9" s="268">
        <f t="shared" si="5"/>
        <v>0</v>
      </c>
      <c r="M9" s="268"/>
      <c r="N9" s="267">
        <f t="shared" si="6"/>
        <v>0</v>
      </c>
      <c r="O9" s="268"/>
      <c r="P9" s="267">
        <f t="shared" si="7"/>
        <v>0</v>
      </c>
      <c r="Q9" s="267"/>
      <c r="R9" s="267">
        <f t="shared" si="8"/>
        <v>0</v>
      </c>
      <c r="S9" s="268"/>
      <c r="T9" s="268">
        <f t="shared" si="9"/>
        <v>0</v>
      </c>
      <c r="U9" s="268"/>
      <c r="V9" s="268">
        <f t="shared" si="10"/>
        <v>0</v>
      </c>
      <c r="W9" s="268"/>
      <c r="X9" s="19">
        <f t="shared" si="11"/>
        <v>0</v>
      </c>
      <c r="Y9" s="89">
        <f t="shared" si="0"/>
        <v>45240.354999999996</v>
      </c>
    </row>
    <row r="10" spans="1:25" ht="35.25" customHeight="1" x14ac:dyDescent="0.25">
      <c r="A10" s="12">
        <v>1984225580</v>
      </c>
      <c r="C10" s="268"/>
      <c r="D10" s="267">
        <f t="shared" si="1"/>
        <v>0</v>
      </c>
      <c r="E10" s="268"/>
      <c r="F10" s="268">
        <f t="shared" si="2"/>
        <v>0</v>
      </c>
      <c r="G10" s="268"/>
      <c r="H10" s="268">
        <f t="shared" si="3"/>
        <v>0</v>
      </c>
      <c r="I10" s="268"/>
      <c r="J10" s="268">
        <f t="shared" si="4"/>
        <v>0</v>
      </c>
      <c r="K10" s="268"/>
      <c r="L10" s="268">
        <f t="shared" si="5"/>
        <v>0</v>
      </c>
      <c r="M10" s="268"/>
      <c r="N10" s="267">
        <f t="shared" si="6"/>
        <v>0</v>
      </c>
      <c r="O10" s="268"/>
      <c r="P10" s="267">
        <f t="shared" si="7"/>
        <v>0</v>
      </c>
      <c r="Q10" s="267"/>
      <c r="R10" s="267">
        <f t="shared" si="8"/>
        <v>0</v>
      </c>
      <c r="S10" s="268"/>
      <c r="T10" s="268">
        <f t="shared" si="9"/>
        <v>0</v>
      </c>
      <c r="U10" s="268"/>
      <c r="V10" s="268">
        <f t="shared" si="10"/>
        <v>0</v>
      </c>
      <c r="W10" s="268"/>
      <c r="X10" s="19">
        <f t="shared" si="11"/>
        <v>0</v>
      </c>
      <c r="Y10" s="89">
        <f t="shared" si="0"/>
        <v>0</v>
      </c>
    </row>
    <row r="11" spans="1:25" ht="37.5" customHeight="1" x14ac:dyDescent="0.25">
      <c r="A11" s="12"/>
      <c r="B11" s="269"/>
      <c r="C11" s="268"/>
      <c r="D11" s="22">
        <f t="shared" si="1"/>
        <v>0</v>
      </c>
      <c r="E11" s="268"/>
      <c r="F11" s="268">
        <f t="shared" si="2"/>
        <v>0</v>
      </c>
      <c r="G11" s="268"/>
      <c r="H11" s="268">
        <f t="shared" si="3"/>
        <v>0</v>
      </c>
      <c r="I11" s="268"/>
      <c r="J11" s="268">
        <f t="shared" si="4"/>
        <v>0</v>
      </c>
      <c r="K11" s="268"/>
      <c r="L11" s="268">
        <f t="shared" si="5"/>
        <v>0</v>
      </c>
      <c r="M11" s="268"/>
      <c r="N11" s="267">
        <f t="shared" si="6"/>
        <v>0</v>
      </c>
      <c r="O11" s="268"/>
      <c r="P11" s="267">
        <f t="shared" si="7"/>
        <v>0</v>
      </c>
      <c r="Q11" s="267"/>
      <c r="R11" s="267">
        <f t="shared" si="8"/>
        <v>0</v>
      </c>
      <c r="S11" s="268"/>
      <c r="T11" s="268">
        <f t="shared" si="9"/>
        <v>0</v>
      </c>
      <c r="U11" s="268"/>
      <c r="V11" s="268">
        <f t="shared" si="10"/>
        <v>0</v>
      </c>
      <c r="W11" s="268"/>
      <c r="X11" s="19">
        <f t="shared" si="11"/>
        <v>0</v>
      </c>
      <c r="Y11" s="20">
        <f t="shared" si="0"/>
        <v>0</v>
      </c>
    </row>
    <row r="12" spans="1:25" ht="29.25" customHeight="1" x14ac:dyDescent="0.25">
      <c r="A12" s="2235" t="s">
        <v>31</v>
      </c>
      <c r="B12" s="2235"/>
      <c r="C12" s="18">
        <f t="shared" ref="C12:Y12" si="12">SUM(C6:C11)</f>
        <v>70351</v>
      </c>
      <c r="D12" s="18">
        <f t="shared" si="12"/>
        <v>68416.347500000003</v>
      </c>
      <c r="E12" s="18">
        <f t="shared" si="12"/>
        <v>0</v>
      </c>
      <c r="F12" s="18">
        <f t="shared" si="12"/>
        <v>0</v>
      </c>
      <c r="G12" s="18">
        <f t="shared" si="12"/>
        <v>0</v>
      </c>
      <c r="H12" s="18">
        <f t="shared" si="12"/>
        <v>0</v>
      </c>
      <c r="I12" s="18">
        <f t="shared" si="12"/>
        <v>1800</v>
      </c>
      <c r="J12" s="18">
        <f t="shared" si="12"/>
        <v>33300</v>
      </c>
      <c r="K12" s="18">
        <f t="shared" si="12"/>
        <v>0</v>
      </c>
      <c r="L12" s="18">
        <f t="shared" si="12"/>
        <v>0</v>
      </c>
      <c r="M12" s="18">
        <f t="shared" si="12"/>
        <v>0</v>
      </c>
      <c r="N12" s="23">
        <f t="shared" si="12"/>
        <v>0</v>
      </c>
      <c r="O12" s="18">
        <f t="shared" si="12"/>
        <v>0</v>
      </c>
      <c r="P12" s="23">
        <f t="shared" si="12"/>
        <v>0</v>
      </c>
      <c r="Q12" s="23">
        <f t="shared" si="12"/>
        <v>0</v>
      </c>
      <c r="R12" s="23">
        <f>SUM(R6:R11)</f>
        <v>0</v>
      </c>
      <c r="S12" s="18">
        <f t="shared" si="12"/>
        <v>0</v>
      </c>
      <c r="T12" s="18">
        <f t="shared" si="12"/>
        <v>0</v>
      </c>
      <c r="U12" s="18">
        <f t="shared" si="12"/>
        <v>0</v>
      </c>
      <c r="V12" s="18">
        <f t="shared" si="12"/>
        <v>0</v>
      </c>
      <c r="W12" s="18">
        <f t="shared" si="12"/>
        <v>0</v>
      </c>
      <c r="X12" s="18">
        <f t="shared" si="12"/>
        <v>0</v>
      </c>
      <c r="Y12" s="18">
        <f t="shared" si="12"/>
        <v>101716.3475</v>
      </c>
    </row>
    <row r="14" spans="1:25" ht="41.25" customHeight="1" x14ac:dyDescent="0.25">
      <c r="A14" s="30" t="s">
        <v>32</v>
      </c>
      <c r="B14" s="2236" t="s">
        <v>27</v>
      </c>
      <c r="C14" s="2236"/>
      <c r="D14" s="30" t="s">
        <v>33</v>
      </c>
      <c r="E14" s="30" t="s">
        <v>65</v>
      </c>
      <c r="F14" s="30" t="s">
        <v>34</v>
      </c>
      <c r="G14" s="30" t="s">
        <v>13</v>
      </c>
      <c r="H14" s="142" t="s">
        <v>173</v>
      </c>
      <c r="I14" s="30" t="s">
        <v>17</v>
      </c>
      <c r="J14" s="276" t="s">
        <v>174</v>
      </c>
      <c r="K14" s="30" t="s">
        <v>36</v>
      </c>
      <c r="L14" s="30" t="s">
        <v>175</v>
      </c>
      <c r="M14" s="30" t="s">
        <v>69</v>
      </c>
      <c r="N14" s="30" t="s">
        <v>70</v>
      </c>
      <c r="O14" s="276" t="s">
        <v>114</v>
      </c>
      <c r="P14" s="276" t="s">
        <v>99</v>
      </c>
      <c r="Q14" s="2272" t="s">
        <v>256</v>
      </c>
      <c r="R14" s="2272"/>
      <c r="S14" s="276"/>
      <c r="T14" s="2235" t="s">
        <v>46</v>
      </c>
      <c r="U14" s="270" t="s">
        <v>176</v>
      </c>
      <c r="V14" s="2260">
        <v>1698</v>
      </c>
      <c r="W14" s="2268"/>
      <c r="X14" s="2261"/>
    </row>
    <row r="15" spans="1:25" ht="22.5" customHeight="1" x14ac:dyDescent="0.25">
      <c r="A15" s="100" t="s">
        <v>38</v>
      </c>
      <c r="B15" s="2260">
        <v>385954</v>
      </c>
      <c r="C15" s="2261"/>
      <c r="D15" s="273">
        <v>0</v>
      </c>
      <c r="E15" s="273">
        <v>5000</v>
      </c>
      <c r="F15" s="273">
        <v>22300</v>
      </c>
      <c r="G15" s="273">
        <v>0</v>
      </c>
      <c r="H15" s="273">
        <v>403</v>
      </c>
      <c r="I15" s="273">
        <v>0</v>
      </c>
      <c r="J15" s="273">
        <v>45</v>
      </c>
      <c r="K15" s="273">
        <v>69</v>
      </c>
      <c r="L15" s="273">
        <v>939</v>
      </c>
      <c r="M15" s="273">
        <v>0</v>
      </c>
      <c r="N15" s="273">
        <v>100</v>
      </c>
      <c r="O15" s="273">
        <v>0</v>
      </c>
      <c r="P15" s="273">
        <v>404</v>
      </c>
      <c r="Q15" s="2262">
        <v>47</v>
      </c>
      <c r="R15" s="2262"/>
      <c r="S15" s="270">
        <v>0</v>
      </c>
      <c r="T15" s="2235"/>
      <c r="U15" s="270" t="s">
        <v>64</v>
      </c>
      <c r="V15" s="2262">
        <v>10617</v>
      </c>
      <c r="W15" s="2262"/>
      <c r="X15" s="2262"/>
    </row>
    <row r="16" spans="1:25" ht="24.75" customHeight="1" x14ac:dyDescent="0.25">
      <c r="A16" s="100" t="s">
        <v>39</v>
      </c>
      <c r="B16" s="2260"/>
      <c r="C16" s="2261"/>
      <c r="D16" s="273"/>
      <c r="E16" s="273"/>
      <c r="F16" s="273"/>
      <c r="G16" s="273"/>
      <c r="H16" s="273"/>
      <c r="I16" s="273"/>
      <c r="J16" s="273">
        <v>50</v>
      </c>
      <c r="K16" s="273"/>
      <c r="L16" s="273">
        <v>25</v>
      </c>
      <c r="M16" s="273"/>
      <c r="N16" s="273"/>
      <c r="O16" s="273"/>
      <c r="P16" s="273"/>
      <c r="Q16" s="2225"/>
      <c r="R16" s="2225"/>
      <c r="S16" s="273"/>
      <c r="T16" s="2254" t="s">
        <v>55</v>
      </c>
      <c r="U16" s="2254"/>
      <c r="V16" s="2267">
        <f>Y12</f>
        <v>101716.3475</v>
      </c>
      <c r="W16" s="2267"/>
      <c r="X16" s="2262"/>
    </row>
    <row r="17" spans="1:25" ht="28.5" customHeight="1" x14ac:dyDescent="0.25">
      <c r="A17" s="101" t="s">
        <v>44</v>
      </c>
      <c r="B17" s="2260"/>
      <c r="C17" s="2261"/>
      <c r="D17" s="273"/>
      <c r="E17" s="273"/>
      <c r="F17" s="273"/>
      <c r="G17" s="273"/>
      <c r="H17" s="273"/>
      <c r="I17" s="273"/>
      <c r="J17" s="273"/>
      <c r="K17" s="273"/>
      <c r="L17" s="273"/>
      <c r="M17" s="273"/>
      <c r="N17" s="273"/>
      <c r="O17" s="273"/>
      <c r="P17" s="273"/>
      <c r="Q17" s="2225"/>
      <c r="R17" s="2225"/>
      <c r="S17" s="269"/>
      <c r="T17" s="2294"/>
      <c r="U17" s="2295"/>
      <c r="V17" s="2296"/>
      <c r="W17" s="2296"/>
      <c r="X17" s="2296"/>
    </row>
    <row r="18" spans="1:25" ht="27" customHeight="1" x14ac:dyDescent="0.25">
      <c r="A18" s="100" t="s">
        <v>40</v>
      </c>
      <c r="B18" s="2264">
        <f>C12</f>
        <v>70351</v>
      </c>
      <c r="C18" s="2261"/>
      <c r="D18" s="275">
        <f>E12</f>
        <v>0</v>
      </c>
      <c r="E18" s="275">
        <f>G12</f>
        <v>0</v>
      </c>
      <c r="F18" s="275">
        <f>I12</f>
        <v>1800</v>
      </c>
      <c r="G18" s="275">
        <f>K12</f>
        <v>0</v>
      </c>
      <c r="H18" s="273">
        <v>75</v>
      </c>
      <c r="I18" s="275">
        <f>U12</f>
        <v>0</v>
      </c>
      <c r="J18" s="273"/>
      <c r="K18" s="275">
        <f>W12</f>
        <v>0</v>
      </c>
      <c r="L18" s="273"/>
      <c r="M18" s="275">
        <f>M12</f>
        <v>0</v>
      </c>
      <c r="N18" s="275">
        <f>O12</f>
        <v>0</v>
      </c>
      <c r="O18" s="274">
        <f>Q12</f>
        <v>0</v>
      </c>
      <c r="P18" s="273"/>
      <c r="Q18" s="2262"/>
      <c r="R18" s="2262"/>
      <c r="S18" s="270"/>
      <c r="T18" s="2254" t="s">
        <v>57</v>
      </c>
      <c r="U18" s="2254"/>
      <c r="V18" s="2262">
        <f>470+500</f>
        <v>970</v>
      </c>
      <c r="W18" s="2262"/>
      <c r="X18" s="2262"/>
      <c r="Y18" s="2269" t="s">
        <v>287</v>
      </c>
    </row>
    <row r="19" spans="1:25" ht="25.5" customHeight="1" x14ac:dyDescent="0.25">
      <c r="A19" s="100" t="s">
        <v>41</v>
      </c>
      <c r="B19" s="2260">
        <f>B15+B16+B17-B18</f>
        <v>315603</v>
      </c>
      <c r="C19" s="2261"/>
      <c r="D19" s="273">
        <f>D15+D16+D17-D18</f>
        <v>0</v>
      </c>
      <c r="E19" s="273">
        <f t="shared" ref="E19:N19" si="13">E15+E16+E17-E18</f>
        <v>5000</v>
      </c>
      <c r="F19" s="273">
        <f t="shared" si="13"/>
        <v>20500</v>
      </c>
      <c r="G19" s="273">
        <f t="shared" si="13"/>
        <v>0</v>
      </c>
      <c r="H19" s="273">
        <f t="shared" si="13"/>
        <v>328</v>
      </c>
      <c r="I19" s="273">
        <f t="shared" si="13"/>
        <v>0</v>
      </c>
      <c r="J19" s="273">
        <f t="shared" si="13"/>
        <v>95</v>
      </c>
      <c r="K19" s="273">
        <f t="shared" si="13"/>
        <v>69</v>
      </c>
      <c r="L19" s="273">
        <f t="shared" si="13"/>
        <v>964</v>
      </c>
      <c r="M19" s="273">
        <f t="shared" si="13"/>
        <v>0</v>
      </c>
      <c r="N19" s="273">
        <f t="shared" si="13"/>
        <v>100</v>
      </c>
      <c r="O19" s="273">
        <f>O15+O16+O17-O18</f>
        <v>0</v>
      </c>
      <c r="P19" s="273">
        <f>P15+P16+P17-P18</f>
        <v>404</v>
      </c>
      <c r="Q19" s="2260">
        <f t="shared" ref="Q19" si="14">Q15+Q16+Q17-Q18</f>
        <v>47</v>
      </c>
      <c r="R19" s="2261"/>
      <c r="S19" s="270">
        <f>S15+S16-S17-S18</f>
        <v>0</v>
      </c>
      <c r="T19" s="2256" t="s">
        <v>48</v>
      </c>
      <c r="U19" s="49" t="s">
        <v>58</v>
      </c>
      <c r="V19" s="2262"/>
      <c r="W19" s="2262"/>
      <c r="X19" s="2262"/>
      <c r="Y19" s="2269"/>
    </row>
    <row r="20" spans="1:25" ht="23.25" customHeight="1" x14ac:dyDescent="0.25">
      <c r="A20" s="289" t="s">
        <v>187</v>
      </c>
      <c r="B20" s="2286">
        <f>B19*0.9625</f>
        <v>303767.88750000001</v>
      </c>
      <c r="C20" s="2287"/>
      <c r="D20" s="290">
        <f>D19*13.56</f>
        <v>0</v>
      </c>
      <c r="E20" s="290">
        <f>28.2*E19</f>
        <v>141000</v>
      </c>
      <c r="F20" s="290">
        <f>18.31*F19</f>
        <v>375355</v>
      </c>
      <c r="G20" s="290">
        <f>19.3*G19</f>
        <v>0</v>
      </c>
      <c r="H20" s="290">
        <f>241*H19</f>
        <v>79048</v>
      </c>
      <c r="I20" s="290">
        <f>223*I19</f>
        <v>0</v>
      </c>
      <c r="J20" s="290">
        <f>241*J19</f>
        <v>22895</v>
      </c>
      <c r="K20" s="290">
        <f>K19*100</f>
        <v>6900</v>
      </c>
      <c r="L20" s="290">
        <f>241*L19</f>
        <v>232324</v>
      </c>
      <c r="M20" s="290">
        <f>9.65*M19</f>
        <v>0</v>
      </c>
      <c r="N20" s="290">
        <f>N19*48.2</f>
        <v>4820</v>
      </c>
      <c r="O20" s="290">
        <f>241*O19</f>
        <v>0</v>
      </c>
      <c r="P20" s="290">
        <f>241*P19</f>
        <v>97364</v>
      </c>
      <c r="Q20" s="2286">
        <f>241*Q19</f>
        <v>11327</v>
      </c>
      <c r="R20" s="2287"/>
      <c r="S20" s="290">
        <f>241*S19</f>
        <v>0</v>
      </c>
      <c r="T20" s="2257"/>
      <c r="U20" s="49" t="s">
        <v>59</v>
      </c>
      <c r="V20" s="2262"/>
      <c r="W20" s="2262"/>
      <c r="X20" s="2262"/>
      <c r="Y20" s="2269"/>
    </row>
    <row r="21" spans="1:25" ht="32.25" customHeight="1" x14ac:dyDescent="0.25">
      <c r="A21" s="291" t="s">
        <v>186</v>
      </c>
      <c r="B21" s="2293">
        <f>SUM(B20:S20)</f>
        <v>1274800.8875</v>
      </c>
      <c r="C21" s="2293"/>
      <c r="O21" s="277"/>
      <c r="P21" s="277"/>
      <c r="Q21" s="277"/>
      <c r="R21" s="277"/>
      <c r="T21" s="2273" t="s">
        <v>167</v>
      </c>
      <c r="U21" s="2274"/>
      <c r="V21" s="2260">
        <v>100000</v>
      </c>
      <c r="W21" s="2268"/>
      <c r="X21" s="2261"/>
      <c r="Y21" s="2269"/>
    </row>
    <row r="22" spans="1:25" ht="35.25" customHeight="1" x14ac:dyDescent="0.25">
      <c r="A22" s="15"/>
      <c r="B22" s="2288" t="s">
        <v>49</v>
      </c>
      <c r="C22" s="2291">
        <v>1068312</v>
      </c>
      <c r="D22" s="2291"/>
      <c r="E22" s="2291"/>
      <c r="F22" s="2291">
        <f>C22-D22+E22</f>
        <v>1068312</v>
      </c>
      <c r="G22" s="277"/>
      <c r="Q22" s="277"/>
      <c r="R22" s="277"/>
      <c r="T22" s="2251" t="s">
        <v>83</v>
      </c>
      <c r="U22" s="50" t="s">
        <v>60</v>
      </c>
      <c r="V22" s="2262">
        <v>100820</v>
      </c>
      <c r="W22" s="2262"/>
      <c r="X22" s="2262"/>
      <c r="Y22" s="2269"/>
    </row>
    <row r="23" spans="1:25" ht="39.75" customHeight="1" x14ac:dyDescent="0.25">
      <c r="A23" s="277"/>
      <c r="B23" s="2289"/>
      <c r="C23" s="2292"/>
      <c r="D23" s="2292"/>
      <c r="E23" s="2292"/>
      <c r="F23" s="2292"/>
      <c r="G23" s="277"/>
      <c r="Q23" s="277"/>
      <c r="R23" s="277"/>
      <c r="T23" s="2252"/>
      <c r="U23" s="50" t="s">
        <v>61</v>
      </c>
      <c r="V23" s="2262">
        <v>100000</v>
      </c>
      <c r="W23" s="2262"/>
      <c r="X23" s="2262"/>
      <c r="Y23" s="2269"/>
    </row>
    <row r="24" spans="1:25" ht="48" customHeight="1" x14ac:dyDescent="0.25">
      <c r="A24" s="277"/>
      <c r="B24" s="2290"/>
      <c r="C24" s="290" t="s">
        <v>46</v>
      </c>
      <c r="D24" s="290" t="s">
        <v>50</v>
      </c>
      <c r="E24" s="290" t="s">
        <v>51</v>
      </c>
      <c r="F24" s="290" t="s">
        <v>52</v>
      </c>
      <c r="G24" s="277"/>
      <c r="Q24" s="277"/>
      <c r="R24" s="277"/>
      <c r="T24" s="2235" t="s">
        <v>47</v>
      </c>
      <c r="U24" s="51" t="s">
        <v>62</v>
      </c>
      <c r="V24" s="2263">
        <f>V14+V16+V17-V18-V19-V20-V22+V23-V21</f>
        <v>1624.3475000000035</v>
      </c>
      <c r="W24" s="2263"/>
      <c r="X24" s="2263"/>
      <c r="Y24" s="2269"/>
    </row>
    <row r="25" spans="1:25" ht="40.5" customHeight="1" x14ac:dyDescent="0.25">
      <c r="T25" s="2235"/>
      <c r="U25" s="51" t="s">
        <v>63</v>
      </c>
      <c r="V25" s="2262">
        <f>V15+V22-V23</f>
        <v>11437</v>
      </c>
      <c r="W25" s="2262"/>
      <c r="X25" s="2262"/>
    </row>
    <row r="26" spans="1:25" ht="36" customHeight="1" x14ac:dyDescent="0.25"/>
    <row r="32" spans="1:25" x14ac:dyDescent="0.25">
      <c r="I32" s="2280"/>
      <c r="J32" s="2280"/>
      <c r="K32" s="2280"/>
      <c r="L32" s="2280"/>
    </row>
    <row r="33" spans="9:12" x14ac:dyDescent="0.25">
      <c r="I33" s="277"/>
      <c r="J33" s="277"/>
      <c r="K33" s="2280"/>
      <c r="L33" s="2280"/>
    </row>
  </sheetData>
  <mergeCells count="62">
    <mergeCell ref="A1:Y1"/>
    <mergeCell ref="A2:Y2"/>
    <mergeCell ref="T3:Y3"/>
    <mergeCell ref="A4:A5"/>
    <mergeCell ref="B4:B5"/>
    <mergeCell ref="C4:D4"/>
    <mergeCell ref="E4:F4"/>
    <mergeCell ref="G4:H4"/>
    <mergeCell ref="I4:J4"/>
    <mergeCell ref="K4:L4"/>
    <mergeCell ref="Y4:Y5"/>
    <mergeCell ref="M4:N4"/>
    <mergeCell ref="O4:P4"/>
    <mergeCell ref="Q4:R4"/>
    <mergeCell ref="S4:T4"/>
    <mergeCell ref="U4:V4"/>
    <mergeCell ref="W4:X4"/>
    <mergeCell ref="B16:C16"/>
    <mergeCell ref="Q16:R16"/>
    <mergeCell ref="T16:U16"/>
    <mergeCell ref="V16:X16"/>
    <mergeCell ref="A12:B12"/>
    <mergeCell ref="B14:C14"/>
    <mergeCell ref="Q14:R14"/>
    <mergeCell ref="T14:T15"/>
    <mergeCell ref="V14:X14"/>
    <mergeCell ref="B15:C15"/>
    <mergeCell ref="Q15:R15"/>
    <mergeCell ref="V15:X15"/>
    <mergeCell ref="B17:C17"/>
    <mergeCell ref="Q17:R17"/>
    <mergeCell ref="T17:U17"/>
    <mergeCell ref="V17:X17"/>
    <mergeCell ref="B18:C18"/>
    <mergeCell ref="Q18:R18"/>
    <mergeCell ref="T18:U18"/>
    <mergeCell ref="V18:X18"/>
    <mergeCell ref="Y18:Y24"/>
    <mergeCell ref="B19:C19"/>
    <mergeCell ref="Q19:R19"/>
    <mergeCell ref="T19:T20"/>
    <mergeCell ref="V19:X19"/>
    <mergeCell ref="B20:C20"/>
    <mergeCell ref="B22:B24"/>
    <mergeCell ref="C22:C23"/>
    <mergeCell ref="D22:D23"/>
    <mergeCell ref="E22:E23"/>
    <mergeCell ref="F22:F23"/>
    <mergeCell ref="Q20:R20"/>
    <mergeCell ref="V20:X20"/>
    <mergeCell ref="B21:C21"/>
    <mergeCell ref="T21:U21"/>
    <mergeCell ref="V21:X21"/>
    <mergeCell ref="I32:J32"/>
    <mergeCell ref="K32:L32"/>
    <mergeCell ref="K33:L33"/>
    <mergeCell ref="T22:T23"/>
    <mergeCell ref="V22:X22"/>
    <mergeCell ref="V23:X23"/>
    <mergeCell ref="T24:T25"/>
    <mergeCell ref="V24:X24"/>
    <mergeCell ref="V25:X25"/>
  </mergeCells>
  <pageMargins left="0.15748031496063" right="0.15748031496063" top="0" bottom="0" header="0" footer="0"/>
  <pageSetup paperSize="9" scale="47" orientation="landscape" r:id="rId1"/>
  <legacyDrawing r:id="rId2"/>
</worksheet>
</file>

<file path=xl/worksheets/sheet10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8FDA98D-57EA-470B-BF4E-E3923D29174C}">
  <sheetPr>
    <pageSetUpPr fitToPage="1"/>
  </sheetPr>
  <dimension ref="A1:Y33"/>
  <sheetViews>
    <sheetView topLeftCell="A7" zoomScale="71" zoomScaleNormal="71" zoomScaleSheetLayoutView="100" workbookViewId="0">
      <selection activeCell="O23" sqref="O23"/>
    </sheetView>
  </sheetViews>
  <sheetFormatPr defaultColWidth="9.140625" defaultRowHeight="15" x14ac:dyDescent="0.25"/>
  <cols>
    <col min="1" max="1" width="18.28515625" style="14" customWidth="1"/>
    <col min="2" max="2" width="10.7109375" style="14" customWidth="1"/>
    <col min="3" max="3" width="12.28515625" style="14" customWidth="1"/>
    <col min="4" max="4" width="11" style="14" customWidth="1"/>
    <col min="5" max="5" width="12" style="14" customWidth="1"/>
    <col min="6" max="6" width="12.5703125" style="14" bestFit="1" customWidth="1"/>
    <col min="7" max="7" width="9.28515625" style="14" bestFit="1" customWidth="1"/>
    <col min="8" max="8" width="10.140625" style="14" bestFit="1" customWidth="1"/>
    <col min="9" max="9" width="10.5703125" style="14" bestFit="1" customWidth="1"/>
    <col min="10" max="10" width="10.5703125" style="14" customWidth="1"/>
    <col min="11" max="11" width="10.28515625" style="14" bestFit="1" customWidth="1"/>
    <col min="12" max="12" width="10.42578125" style="14" bestFit="1" customWidth="1"/>
    <col min="13" max="13" width="9.85546875" style="14" bestFit="1" customWidth="1"/>
    <col min="14" max="14" width="10.140625" style="14" bestFit="1" customWidth="1"/>
    <col min="15" max="15" width="9" style="14" customWidth="1"/>
    <col min="16" max="16" width="12.85546875" style="14" bestFit="1" customWidth="1"/>
    <col min="17" max="18" width="9.42578125" style="14" customWidth="1"/>
    <col min="19" max="19" width="13.7109375" style="14" customWidth="1"/>
    <col min="20" max="20" width="12.140625" style="14" customWidth="1"/>
    <col min="21" max="21" width="19.5703125" style="14" bestFit="1" customWidth="1"/>
    <col min="22" max="22" width="9.85546875" style="14" customWidth="1"/>
    <col min="23" max="23" width="10.140625" style="14" bestFit="1" customWidth="1"/>
    <col min="24" max="24" width="10.28515625" style="14" customWidth="1"/>
    <col min="25" max="25" width="28" style="14" customWidth="1"/>
    <col min="26" max="16384" width="9.140625" style="14"/>
  </cols>
  <sheetData>
    <row r="1" spans="1:25" ht="46.15" customHeight="1" x14ac:dyDescent="0.25">
      <c r="A1" s="2240" t="s">
        <v>148</v>
      </c>
      <c r="B1" s="2240"/>
      <c r="C1" s="2240"/>
      <c r="D1" s="2240"/>
      <c r="E1" s="2240"/>
      <c r="F1" s="2240"/>
      <c r="G1" s="2240"/>
      <c r="H1" s="2240"/>
      <c r="I1" s="2240"/>
      <c r="J1" s="2240"/>
      <c r="K1" s="2240"/>
      <c r="L1" s="2240"/>
      <c r="M1" s="2240"/>
      <c r="N1" s="2240"/>
      <c r="O1" s="2240"/>
      <c r="P1" s="2240"/>
      <c r="Q1" s="2240"/>
      <c r="R1" s="2240"/>
      <c r="S1" s="2240"/>
      <c r="T1" s="2240"/>
      <c r="U1" s="2240"/>
      <c r="V1" s="2240"/>
      <c r="W1" s="2240"/>
      <c r="X1" s="2240"/>
      <c r="Y1" s="2240"/>
    </row>
    <row r="2" spans="1:25" ht="21.6" customHeight="1" x14ac:dyDescent="0.25">
      <c r="A2" s="2241" t="s">
        <v>77</v>
      </c>
      <c r="B2" s="2241"/>
      <c r="C2" s="2241"/>
      <c r="D2" s="2241"/>
      <c r="E2" s="2241"/>
      <c r="F2" s="2241"/>
      <c r="G2" s="2241"/>
      <c r="H2" s="2241"/>
      <c r="I2" s="2241"/>
      <c r="J2" s="2241"/>
      <c r="K2" s="2241"/>
      <c r="L2" s="2241"/>
      <c r="M2" s="2241"/>
      <c r="N2" s="2241"/>
      <c r="O2" s="2241"/>
      <c r="P2" s="2241"/>
      <c r="Q2" s="2241"/>
      <c r="R2" s="2241"/>
      <c r="S2" s="2241"/>
      <c r="T2" s="2241"/>
      <c r="U2" s="2241"/>
      <c r="V2" s="2241"/>
      <c r="W2" s="2241"/>
      <c r="X2" s="2241"/>
      <c r="Y2" s="2241"/>
    </row>
    <row r="3" spans="1:25" ht="21" customHeight="1" x14ac:dyDescent="0.25">
      <c r="A3" s="278"/>
      <c r="B3" s="278"/>
      <c r="C3" s="278"/>
      <c r="D3" s="278"/>
      <c r="E3" s="278"/>
      <c r="F3" s="278"/>
      <c r="G3" s="278"/>
      <c r="H3" s="278"/>
      <c r="I3" s="278"/>
      <c r="J3" s="278"/>
      <c r="K3" s="278"/>
      <c r="L3" s="278"/>
      <c r="M3" s="278"/>
      <c r="N3" s="278"/>
      <c r="O3" s="278"/>
      <c r="P3" s="278"/>
      <c r="Q3" s="278"/>
      <c r="R3" s="278"/>
      <c r="S3" s="278"/>
      <c r="T3" s="2242" t="s">
        <v>288</v>
      </c>
      <c r="U3" s="2242"/>
      <c r="V3" s="2242"/>
      <c r="W3" s="2242"/>
      <c r="X3" s="2242"/>
      <c r="Y3" s="2242"/>
    </row>
    <row r="4" spans="1:25" s="278" customFormat="1" ht="18" customHeight="1" x14ac:dyDescent="0.25">
      <c r="A4" s="2243" t="s">
        <v>25</v>
      </c>
      <c r="B4" s="2243" t="s">
        <v>26</v>
      </c>
      <c r="C4" s="2244" t="s">
        <v>27</v>
      </c>
      <c r="D4" s="2244"/>
      <c r="E4" s="2244" t="s">
        <v>28</v>
      </c>
      <c r="F4" s="2244"/>
      <c r="G4" s="2244" t="s">
        <v>65</v>
      </c>
      <c r="H4" s="2244"/>
      <c r="I4" s="2244" t="s">
        <v>29</v>
      </c>
      <c r="J4" s="2244"/>
      <c r="K4" s="2245" t="s">
        <v>13</v>
      </c>
      <c r="L4" s="2246"/>
      <c r="M4" s="2245" t="s">
        <v>67</v>
      </c>
      <c r="N4" s="2246"/>
      <c r="O4" s="2245" t="s">
        <v>68</v>
      </c>
      <c r="P4" s="2246"/>
      <c r="Q4" s="2245" t="s">
        <v>114</v>
      </c>
      <c r="R4" s="2246"/>
      <c r="S4" s="2244" t="s">
        <v>35</v>
      </c>
      <c r="T4" s="2244"/>
      <c r="U4" s="2245" t="s">
        <v>17</v>
      </c>
      <c r="V4" s="2246"/>
      <c r="W4" s="2247" t="s">
        <v>36</v>
      </c>
      <c r="X4" s="2248"/>
      <c r="Y4" s="2238" t="s">
        <v>30</v>
      </c>
    </row>
    <row r="5" spans="1:25" s="278" customFormat="1" ht="25.5" customHeight="1" x14ac:dyDescent="0.25">
      <c r="A5" s="2243"/>
      <c r="B5" s="2243"/>
      <c r="C5" s="280" t="s">
        <v>42</v>
      </c>
      <c r="D5" s="280" t="s">
        <v>43</v>
      </c>
      <c r="E5" s="280" t="s">
        <v>42</v>
      </c>
      <c r="F5" s="280" t="s">
        <v>43</v>
      </c>
      <c r="G5" s="280" t="s">
        <v>42</v>
      </c>
      <c r="H5" s="280" t="s">
        <v>43</v>
      </c>
      <c r="I5" s="280" t="s">
        <v>42</v>
      </c>
      <c r="J5" s="280" t="s">
        <v>43</v>
      </c>
      <c r="K5" s="280" t="s">
        <v>42</v>
      </c>
      <c r="L5" s="280" t="s">
        <v>43</v>
      </c>
      <c r="M5" s="280" t="s">
        <v>42</v>
      </c>
      <c r="N5" s="280" t="s">
        <v>43</v>
      </c>
      <c r="O5" s="280" t="s">
        <v>42</v>
      </c>
      <c r="P5" s="280" t="s">
        <v>43</v>
      </c>
      <c r="Q5" s="280" t="s">
        <v>42</v>
      </c>
      <c r="R5" s="280" t="s">
        <v>43</v>
      </c>
      <c r="S5" s="33" t="s">
        <v>42</v>
      </c>
      <c r="T5" s="33" t="s">
        <v>43</v>
      </c>
      <c r="U5" s="30" t="s">
        <v>42</v>
      </c>
      <c r="V5" s="30" t="s">
        <v>43</v>
      </c>
      <c r="W5" s="30" t="s">
        <v>42</v>
      </c>
      <c r="X5" s="30" t="s">
        <v>43</v>
      </c>
      <c r="Y5" s="2239"/>
    </row>
    <row r="6" spans="1:25" ht="34.5" customHeight="1" x14ac:dyDescent="0.25">
      <c r="A6" s="12">
        <v>1409935200</v>
      </c>
      <c r="B6" s="279" t="s">
        <v>71</v>
      </c>
      <c r="C6" s="282">
        <v>41279</v>
      </c>
      <c r="D6" s="283">
        <f>0.9725*C6</f>
        <v>40143.827499999999</v>
      </c>
      <c r="E6" s="282"/>
      <c r="F6" s="282">
        <f>13.7*E6</f>
        <v>0</v>
      </c>
      <c r="G6" s="282">
        <v>120</v>
      </c>
      <c r="H6" s="282">
        <f>28.2*G6</f>
        <v>3384</v>
      </c>
      <c r="I6" s="282">
        <v>1150</v>
      </c>
      <c r="J6" s="282">
        <f>18.5*I6</f>
        <v>21275</v>
      </c>
      <c r="K6" s="282"/>
      <c r="L6" s="282">
        <f>19.5*K6</f>
        <v>0</v>
      </c>
      <c r="M6" s="282"/>
      <c r="N6" s="283">
        <f>M6*9.75</f>
        <v>0</v>
      </c>
      <c r="O6" s="282"/>
      <c r="P6" s="283">
        <f>O6*48.62</f>
        <v>0</v>
      </c>
      <c r="Q6" s="283"/>
      <c r="R6" s="283">
        <f>241*Q6</f>
        <v>0</v>
      </c>
      <c r="S6" s="282">
        <v>5</v>
      </c>
      <c r="T6" s="282">
        <f>241*S6</f>
        <v>1205</v>
      </c>
      <c r="U6" s="282"/>
      <c r="V6" s="282">
        <f>232*U6</f>
        <v>0</v>
      </c>
      <c r="W6" s="282"/>
      <c r="X6" s="19">
        <f>W6*100</f>
        <v>0</v>
      </c>
      <c r="Y6" s="89">
        <f t="shared" ref="Y6:Y11" si="0">D6+F6+H6+J6+L6+N6+P6+R6+T6+V6+X6</f>
        <v>66007.827499999999</v>
      </c>
    </row>
    <row r="7" spans="1:25" ht="31.5" customHeight="1" x14ac:dyDescent="0.25">
      <c r="A7" s="12">
        <v>1984225578</v>
      </c>
      <c r="B7" s="279" t="s">
        <v>72</v>
      </c>
      <c r="C7" s="282">
        <v>23917</v>
      </c>
      <c r="D7" s="283">
        <f t="shared" ref="D7:D11" si="1">0.9725*C7</f>
        <v>23259.282500000001</v>
      </c>
      <c r="E7" s="282"/>
      <c r="F7" s="282">
        <f t="shared" ref="F7:F11" si="2">13.7*E7</f>
        <v>0</v>
      </c>
      <c r="G7" s="282">
        <v>500</v>
      </c>
      <c r="H7" s="282">
        <f t="shared" ref="H7:H11" si="3">28.2*G7</f>
        <v>14100</v>
      </c>
      <c r="I7" s="282">
        <v>3250</v>
      </c>
      <c r="J7" s="282">
        <f t="shared" ref="J7:J11" si="4">18.5*I7</f>
        <v>60125</v>
      </c>
      <c r="K7" s="282"/>
      <c r="L7" s="282">
        <f t="shared" ref="L7:L11" si="5">19.5*K7</f>
        <v>0</v>
      </c>
      <c r="M7" s="282"/>
      <c r="N7" s="283">
        <f t="shared" ref="N7:N11" si="6">M7*9.75</f>
        <v>0</v>
      </c>
      <c r="O7" s="282"/>
      <c r="P7" s="283">
        <f t="shared" ref="P7:P11" si="7">O7*48.62</f>
        <v>0</v>
      </c>
      <c r="Q7" s="283"/>
      <c r="R7" s="283">
        <f t="shared" ref="R7:R11" si="8">241*Q7</f>
        <v>0</v>
      </c>
      <c r="S7" s="282"/>
      <c r="T7" s="282">
        <f t="shared" ref="T7:T11" si="9">241*S7</f>
        <v>0</v>
      </c>
      <c r="U7" s="282"/>
      <c r="V7" s="282">
        <f t="shared" ref="V7:V11" si="10">232*U7</f>
        <v>0</v>
      </c>
      <c r="W7" s="282"/>
      <c r="X7" s="19">
        <f t="shared" ref="X7:X11" si="11">W7*100</f>
        <v>0</v>
      </c>
      <c r="Y7" s="89">
        <f t="shared" si="0"/>
        <v>97484.282500000001</v>
      </c>
    </row>
    <row r="8" spans="1:25" ht="35.25" customHeight="1" x14ac:dyDescent="0.25">
      <c r="A8" s="12">
        <v>1967020280</v>
      </c>
      <c r="B8" s="279" t="s">
        <v>73</v>
      </c>
      <c r="C8" s="282">
        <v>21493</v>
      </c>
      <c r="D8" s="283">
        <f t="shared" si="1"/>
        <v>20901.942500000001</v>
      </c>
      <c r="E8" s="282"/>
      <c r="F8" s="282">
        <f t="shared" si="2"/>
        <v>0</v>
      </c>
      <c r="G8" s="282"/>
      <c r="H8" s="282">
        <f t="shared" si="3"/>
        <v>0</v>
      </c>
      <c r="I8" s="282">
        <v>2840</v>
      </c>
      <c r="J8" s="282">
        <f t="shared" si="4"/>
        <v>52540</v>
      </c>
      <c r="K8" s="282"/>
      <c r="L8" s="282">
        <f t="shared" si="5"/>
        <v>0</v>
      </c>
      <c r="M8" s="282"/>
      <c r="N8" s="283">
        <f t="shared" si="6"/>
        <v>0</v>
      </c>
      <c r="O8" s="282"/>
      <c r="P8" s="283">
        <f t="shared" si="7"/>
        <v>0</v>
      </c>
      <c r="Q8" s="283"/>
      <c r="R8" s="283">
        <f t="shared" si="8"/>
        <v>0</v>
      </c>
      <c r="S8" s="282"/>
      <c r="T8" s="282">
        <f t="shared" si="9"/>
        <v>0</v>
      </c>
      <c r="U8" s="282"/>
      <c r="V8" s="282">
        <f t="shared" si="10"/>
        <v>0</v>
      </c>
      <c r="W8" s="282"/>
      <c r="X8" s="19">
        <f t="shared" si="11"/>
        <v>0</v>
      </c>
      <c r="Y8" s="89">
        <f t="shared" si="0"/>
        <v>73441.942500000005</v>
      </c>
    </row>
    <row r="9" spans="1:25" ht="38.25" customHeight="1" x14ac:dyDescent="0.25">
      <c r="A9" s="12">
        <v>1409935199</v>
      </c>
      <c r="B9" s="279" t="s">
        <v>75</v>
      </c>
      <c r="C9" s="282">
        <v>26085</v>
      </c>
      <c r="D9" s="283">
        <f t="shared" si="1"/>
        <v>25367.662500000002</v>
      </c>
      <c r="E9" s="282"/>
      <c r="F9" s="282">
        <f t="shared" si="2"/>
        <v>0</v>
      </c>
      <c r="G9" s="282"/>
      <c r="H9" s="282">
        <f t="shared" si="3"/>
        <v>0</v>
      </c>
      <c r="I9" s="282">
        <v>1880</v>
      </c>
      <c r="J9" s="282">
        <f t="shared" si="4"/>
        <v>34780</v>
      </c>
      <c r="K9" s="282"/>
      <c r="L9" s="282">
        <f t="shared" si="5"/>
        <v>0</v>
      </c>
      <c r="M9" s="282"/>
      <c r="N9" s="283">
        <f t="shared" si="6"/>
        <v>0</v>
      </c>
      <c r="O9" s="282"/>
      <c r="P9" s="283">
        <f t="shared" si="7"/>
        <v>0</v>
      </c>
      <c r="Q9" s="283"/>
      <c r="R9" s="283">
        <f t="shared" si="8"/>
        <v>0</v>
      </c>
      <c r="S9" s="282"/>
      <c r="T9" s="282">
        <f t="shared" si="9"/>
        <v>0</v>
      </c>
      <c r="U9" s="282"/>
      <c r="V9" s="282">
        <f t="shared" si="10"/>
        <v>0</v>
      </c>
      <c r="W9" s="282"/>
      <c r="X9" s="19">
        <f t="shared" si="11"/>
        <v>0</v>
      </c>
      <c r="Y9" s="89">
        <f t="shared" si="0"/>
        <v>60147.662500000006</v>
      </c>
    </row>
    <row r="10" spans="1:25" ht="35.25" customHeight="1" x14ac:dyDescent="0.25">
      <c r="A10" s="12">
        <v>1984225580</v>
      </c>
      <c r="C10" s="282"/>
      <c r="D10" s="283">
        <f t="shared" si="1"/>
        <v>0</v>
      </c>
      <c r="E10" s="282"/>
      <c r="F10" s="282">
        <f t="shared" si="2"/>
        <v>0</v>
      </c>
      <c r="G10" s="282">
        <v>4000</v>
      </c>
      <c r="H10" s="282">
        <f t="shared" si="3"/>
        <v>112800</v>
      </c>
      <c r="I10" s="282">
        <v>10300</v>
      </c>
      <c r="J10" s="282">
        <f t="shared" si="4"/>
        <v>190550</v>
      </c>
      <c r="K10" s="282"/>
      <c r="L10" s="282">
        <f t="shared" si="5"/>
        <v>0</v>
      </c>
      <c r="M10" s="282"/>
      <c r="N10" s="283">
        <f t="shared" si="6"/>
        <v>0</v>
      </c>
      <c r="O10" s="282"/>
      <c r="P10" s="283">
        <f t="shared" si="7"/>
        <v>0</v>
      </c>
      <c r="Q10" s="283"/>
      <c r="R10" s="283">
        <f t="shared" si="8"/>
        <v>0</v>
      </c>
      <c r="S10" s="282"/>
      <c r="T10" s="282">
        <f t="shared" si="9"/>
        <v>0</v>
      </c>
      <c r="U10" s="282"/>
      <c r="V10" s="282">
        <f t="shared" si="10"/>
        <v>0</v>
      </c>
      <c r="W10" s="282"/>
      <c r="X10" s="19">
        <f t="shared" si="11"/>
        <v>0</v>
      </c>
      <c r="Y10" s="89">
        <f t="shared" si="0"/>
        <v>303350</v>
      </c>
    </row>
    <row r="11" spans="1:25" ht="37.5" customHeight="1" x14ac:dyDescent="0.25">
      <c r="A11" s="12"/>
      <c r="B11" s="281"/>
      <c r="C11" s="282"/>
      <c r="D11" s="22">
        <f t="shared" si="1"/>
        <v>0</v>
      </c>
      <c r="E11" s="282"/>
      <c r="F11" s="282">
        <f t="shared" si="2"/>
        <v>0</v>
      </c>
      <c r="G11" s="282"/>
      <c r="H11" s="282">
        <f t="shared" si="3"/>
        <v>0</v>
      </c>
      <c r="I11" s="282"/>
      <c r="J11" s="282">
        <f t="shared" si="4"/>
        <v>0</v>
      </c>
      <c r="K11" s="282"/>
      <c r="L11" s="282">
        <f t="shared" si="5"/>
        <v>0</v>
      </c>
      <c r="M11" s="282"/>
      <c r="N11" s="283">
        <f t="shared" si="6"/>
        <v>0</v>
      </c>
      <c r="O11" s="282"/>
      <c r="P11" s="283">
        <f t="shared" si="7"/>
        <v>0</v>
      </c>
      <c r="Q11" s="283"/>
      <c r="R11" s="283">
        <f t="shared" si="8"/>
        <v>0</v>
      </c>
      <c r="S11" s="282"/>
      <c r="T11" s="282">
        <f t="shared" si="9"/>
        <v>0</v>
      </c>
      <c r="U11" s="282"/>
      <c r="V11" s="282">
        <f t="shared" si="10"/>
        <v>0</v>
      </c>
      <c r="W11" s="282"/>
      <c r="X11" s="19">
        <f t="shared" si="11"/>
        <v>0</v>
      </c>
      <c r="Y11" s="20">
        <f t="shared" si="0"/>
        <v>0</v>
      </c>
    </row>
    <row r="12" spans="1:25" ht="29.25" customHeight="1" x14ac:dyDescent="0.25">
      <c r="A12" s="2235" t="s">
        <v>31</v>
      </c>
      <c r="B12" s="2235"/>
      <c r="C12" s="18">
        <f t="shared" ref="C12:Y12" si="12">SUM(C6:C11)</f>
        <v>112774</v>
      </c>
      <c r="D12" s="18">
        <f t="shared" si="12"/>
        <v>109672.71500000001</v>
      </c>
      <c r="E12" s="18">
        <f t="shared" si="12"/>
        <v>0</v>
      </c>
      <c r="F12" s="18">
        <f t="shared" si="12"/>
        <v>0</v>
      </c>
      <c r="G12" s="18">
        <f t="shared" si="12"/>
        <v>4620</v>
      </c>
      <c r="H12" s="18">
        <f t="shared" si="12"/>
        <v>130284</v>
      </c>
      <c r="I12" s="18">
        <f t="shared" si="12"/>
        <v>19420</v>
      </c>
      <c r="J12" s="18">
        <f t="shared" si="12"/>
        <v>359270</v>
      </c>
      <c r="K12" s="18">
        <f t="shared" si="12"/>
        <v>0</v>
      </c>
      <c r="L12" s="18">
        <f t="shared" si="12"/>
        <v>0</v>
      </c>
      <c r="M12" s="18">
        <f t="shared" si="12"/>
        <v>0</v>
      </c>
      <c r="N12" s="23">
        <f t="shared" si="12"/>
        <v>0</v>
      </c>
      <c r="O12" s="18">
        <f t="shared" si="12"/>
        <v>0</v>
      </c>
      <c r="P12" s="23">
        <f t="shared" si="12"/>
        <v>0</v>
      </c>
      <c r="Q12" s="23">
        <f t="shared" si="12"/>
        <v>0</v>
      </c>
      <c r="R12" s="23">
        <f>SUM(R6:R11)</f>
        <v>0</v>
      </c>
      <c r="S12" s="18">
        <f t="shared" si="12"/>
        <v>5</v>
      </c>
      <c r="T12" s="18">
        <f t="shared" si="12"/>
        <v>1205</v>
      </c>
      <c r="U12" s="18">
        <f t="shared" si="12"/>
        <v>0</v>
      </c>
      <c r="V12" s="18">
        <f t="shared" si="12"/>
        <v>0</v>
      </c>
      <c r="W12" s="18">
        <f t="shared" si="12"/>
        <v>0</v>
      </c>
      <c r="X12" s="18">
        <f t="shared" si="12"/>
        <v>0</v>
      </c>
      <c r="Y12" s="18">
        <f t="shared" si="12"/>
        <v>600431.71499999997</v>
      </c>
    </row>
    <row r="14" spans="1:25" ht="41.25" customHeight="1" x14ac:dyDescent="0.25">
      <c r="A14" s="30" t="s">
        <v>32</v>
      </c>
      <c r="B14" s="2236" t="s">
        <v>27</v>
      </c>
      <c r="C14" s="2236"/>
      <c r="D14" s="30" t="s">
        <v>33</v>
      </c>
      <c r="E14" s="30" t="s">
        <v>65</v>
      </c>
      <c r="F14" s="30" t="s">
        <v>34</v>
      </c>
      <c r="G14" s="30" t="s">
        <v>13</v>
      </c>
      <c r="H14" s="142" t="s">
        <v>173</v>
      </c>
      <c r="I14" s="30" t="s">
        <v>17</v>
      </c>
      <c r="J14" s="287" t="s">
        <v>174</v>
      </c>
      <c r="K14" s="30" t="s">
        <v>36</v>
      </c>
      <c r="L14" s="30" t="s">
        <v>175</v>
      </c>
      <c r="M14" s="30" t="s">
        <v>69</v>
      </c>
      <c r="N14" s="30" t="s">
        <v>70</v>
      </c>
      <c r="O14" s="287" t="s">
        <v>114</v>
      </c>
      <c r="P14" s="287" t="s">
        <v>99</v>
      </c>
      <c r="Q14" s="2272" t="s">
        <v>256</v>
      </c>
      <c r="R14" s="2272"/>
      <c r="S14" s="287"/>
      <c r="T14" s="2235" t="s">
        <v>46</v>
      </c>
      <c r="U14" s="279" t="s">
        <v>176</v>
      </c>
      <c r="V14" s="2260">
        <v>1624</v>
      </c>
      <c r="W14" s="2268"/>
      <c r="X14" s="2261"/>
    </row>
    <row r="15" spans="1:25" ht="22.5" customHeight="1" x14ac:dyDescent="0.25">
      <c r="A15" s="100" t="s">
        <v>38</v>
      </c>
      <c r="B15" s="2260">
        <v>315603</v>
      </c>
      <c r="C15" s="2261"/>
      <c r="D15" s="284">
        <v>0</v>
      </c>
      <c r="E15" s="284">
        <v>5000</v>
      </c>
      <c r="F15" s="284">
        <v>20500</v>
      </c>
      <c r="G15" s="284">
        <v>0</v>
      </c>
      <c r="H15" s="284">
        <v>328</v>
      </c>
      <c r="I15" s="284">
        <v>0</v>
      </c>
      <c r="J15" s="284">
        <v>95</v>
      </c>
      <c r="K15" s="284">
        <v>69</v>
      </c>
      <c r="L15" s="284">
        <v>964</v>
      </c>
      <c r="M15" s="284">
        <v>0</v>
      </c>
      <c r="N15" s="284">
        <v>100</v>
      </c>
      <c r="O15" s="284">
        <v>0</v>
      </c>
      <c r="P15" s="284">
        <v>404</v>
      </c>
      <c r="Q15" s="2262">
        <v>47</v>
      </c>
      <c r="R15" s="2262"/>
      <c r="S15" s="279">
        <v>0</v>
      </c>
      <c r="T15" s="2235"/>
      <c r="U15" s="279" t="s">
        <v>64</v>
      </c>
      <c r="V15" s="2262">
        <v>11437</v>
      </c>
      <c r="W15" s="2262"/>
      <c r="X15" s="2262"/>
    </row>
    <row r="16" spans="1:25" ht="24.75" customHeight="1" x14ac:dyDescent="0.25">
      <c r="A16" s="100" t="s">
        <v>39</v>
      </c>
      <c r="B16" s="2260">
        <v>51948</v>
      </c>
      <c r="C16" s="2261"/>
      <c r="D16" s="284"/>
      <c r="E16" s="284"/>
      <c r="F16" s="284"/>
      <c r="G16" s="284"/>
      <c r="H16" s="284"/>
      <c r="I16" s="284"/>
      <c r="J16" s="284"/>
      <c r="K16" s="284"/>
      <c r="L16" s="284">
        <v>50</v>
      </c>
      <c r="M16" s="284"/>
      <c r="N16" s="284"/>
      <c r="O16" s="284"/>
      <c r="P16" s="284"/>
      <c r="Q16" s="2225"/>
      <c r="R16" s="2225"/>
      <c r="S16" s="284"/>
      <c r="T16" s="2254" t="s">
        <v>55</v>
      </c>
      <c r="U16" s="2254"/>
      <c r="V16" s="2267">
        <f>Y12</f>
        <v>600431.71499999997</v>
      </c>
      <c r="W16" s="2267"/>
      <c r="X16" s="2262"/>
    </row>
    <row r="17" spans="1:25" ht="28.5" customHeight="1" x14ac:dyDescent="0.25">
      <c r="A17" s="101" t="s">
        <v>44</v>
      </c>
      <c r="B17" s="2260"/>
      <c r="C17" s="2261"/>
      <c r="D17" s="284"/>
      <c r="E17" s="284"/>
      <c r="F17" s="284"/>
      <c r="G17" s="284"/>
      <c r="H17" s="284"/>
      <c r="I17" s="284"/>
      <c r="J17" s="284"/>
      <c r="K17" s="284"/>
      <c r="L17" s="284"/>
      <c r="M17" s="284"/>
      <c r="N17" s="284"/>
      <c r="O17" s="284"/>
      <c r="P17" s="284"/>
      <c r="Q17" s="2225"/>
      <c r="R17" s="2225"/>
      <c r="S17" s="281"/>
      <c r="T17" s="2294"/>
      <c r="U17" s="2295"/>
      <c r="V17" s="2296"/>
      <c r="W17" s="2296"/>
      <c r="X17" s="2296"/>
    </row>
    <row r="18" spans="1:25" ht="27" customHeight="1" x14ac:dyDescent="0.25">
      <c r="A18" s="100" t="s">
        <v>40</v>
      </c>
      <c r="B18" s="2264">
        <f>C12</f>
        <v>112774</v>
      </c>
      <c r="C18" s="2261"/>
      <c r="D18" s="285">
        <f>E12</f>
        <v>0</v>
      </c>
      <c r="E18" s="285">
        <f>G12</f>
        <v>4620</v>
      </c>
      <c r="F18" s="285">
        <f>I12</f>
        <v>19420</v>
      </c>
      <c r="G18" s="285">
        <f>K12</f>
        <v>0</v>
      </c>
      <c r="H18" s="284">
        <v>55</v>
      </c>
      <c r="I18" s="285">
        <f>U12</f>
        <v>0</v>
      </c>
      <c r="J18" s="284"/>
      <c r="K18" s="285">
        <f>W12</f>
        <v>0</v>
      </c>
      <c r="L18" s="284"/>
      <c r="M18" s="285">
        <f>M12</f>
        <v>0</v>
      </c>
      <c r="N18" s="285">
        <f>O12</f>
        <v>0</v>
      </c>
      <c r="O18" s="286">
        <f>Q12</f>
        <v>0</v>
      </c>
      <c r="P18" s="284"/>
      <c r="Q18" s="2262"/>
      <c r="R18" s="2262"/>
      <c r="S18" s="279"/>
      <c r="T18" s="2254" t="s">
        <v>57</v>
      </c>
      <c r="U18" s="2254"/>
      <c r="V18" s="2262">
        <f>520+200+4010</f>
        <v>4730</v>
      </c>
      <c r="W18" s="2262"/>
      <c r="X18" s="2262"/>
      <c r="Y18" s="2269" t="s">
        <v>289</v>
      </c>
    </row>
    <row r="19" spans="1:25" ht="25.5" customHeight="1" x14ac:dyDescent="0.25">
      <c r="A19" s="100" t="s">
        <v>41</v>
      </c>
      <c r="B19" s="2260">
        <f>B15+B16+B17-B18</f>
        <v>254777</v>
      </c>
      <c r="C19" s="2261"/>
      <c r="D19" s="284">
        <f>D15+D16+D17-D18</f>
        <v>0</v>
      </c>
      <c r="E19" s="284">
        <f t="shared" ref="E19:N19" si="13">E15+E16+E17-E18</f>
        <v>380</v>
      </c>
      <c r="F19" s="284">
        <f t="shared" si="13"/>
        <v>1080</v>
      </c>
      <c r="G19" s="284">
        <f t="shared" si="13"/>
        <v>0</v>
      </c>
      <c r="H19" s="284">
        <f t="shared" si="13"/>
        <v>273</v>
      </c>
      <c r="I19" s="284">
        <f t="shared" si="13"/>
        <v>0</v>
      </c>
      <c r="J19" s="284">
        <f t="shared" si="13"/>
        <v>95</v>
      </c>
      <c r="K19" s="284">
        <f t="shared" si="13"/>
        <v>69</v>
      </c>
      <c r="L19" s="284">
        <f t="shared" si="13"/>
        <v>1014</v>
      </c>
      <c r="M19" s="284">
        <f t="shared" si="13"/>
        <v>0</v>
      </c>
      <c r="N19" s="284">
        <f t="shared" si="13"/>
        <v>100</v>
      </c>
      <c r="O19" s="284">
        <f>O15+O16+O17-O18</f>
        <v>0</v>
      </c>
      <c r="P19" s="284">
        <f>P15+P16+P17-P18</f>
        <v>404</v>
      </c>
      <c r="Q19" s="2260">
        <f t="shared" ref="Q19" si="14">Q15+Q16+Q17-Q18</f>
        <v>47</v>
      </c>
      <c r="R19" s="2261"/>
      <c r="S19" s="279">
        <f>S15+S16-S17-S18</f>
        <v>0</v>
      </c>
      <c r="T19" s="2256" t="s">
        <v>48</v>
      </c>
      <c r="U19" s="49" t="s">
        <v>58</v>
      </c>
      <c r="V19" s="2262">
        <v>302312</v>
      </c>
      <c r="W19" s="2262"/>
      <c r="X19" s="2262"/>
      <c r="Y19" s="2269"/>
    </row>
    <row r="20" spans="1:25" ht="23.25" customHeight="1" x14ac:dyDescent="0.25">
      <c r="A20" s="289" t="s">
        <v>187</v>
      </c>
      <c r="B20" s="2286">
        <f>B19*0.9625</f>
        <v>245222.86250000002</v>
      </c>
      <c r="C20" s="2287"/>
      <c r="D20" s="290">
        <f>D19*13.56</f>
        <v>0</v>
      </c>
      <c r="E20" s="290">
        <f>28.2*E19</f>
        <v>10716</v>
      </c>
      <c r="F20" s="290">
        <f>18.31*F19</f>
        <v>19774.8</v>
      </c>
      <c r="G20" s="290">
        <f>19.3*G19</f>
        <v>0</v>
      </c>
      <c r="H20" s="290">
        <f>241*H19</f>
        <v>65793</v>
      </c>
      <c r="I20" s="290">
        <f>223*I19</f>
        <v>0</v>
      </c>
      <c r="J20" s="290">
        <f>241*J19</f>
        <v>22895</v>
      </c>
      <c r="K20" s="290">
        <f>K19*100</f>
        <v>6900</v>
      </c>
      <c r="L20" s="290">
        <f>241*L19</f>
        <v>244374</v>
      </c>
      <c r="M20" s="290">
        <f>9.65*M19</f>
        <v>0</v>
      </c>
      <c r="N20" s="290">
        <f>N19*48.2</f>
        <v>4820</v>
      </c>
      <c r="O20" s="290">
        <f>241*O19</f>
        <v>0</v>
      </c>
      <c r="P20" s="290">
        <f>241*P19</f>
        <v>97364</v>
      </c>
      <c r="Q20" s="2286">
        <f>241*Q19</f>
        <v>11327</v>
      </c>
      <c r="R20" s="2287"/>
      <c r="S20" s="290">
        <f>241*S19</f>
        <v>0</v>
      </c>
      <c r="T20" s="2257"/>
      <c r="U20" s="49" t="s">
        <v>59</v>
      </c>
      <c r="V20" s="2262"/>
      <c r="W20" s="2262"/>
      <c r="X20" s="2262"/>
      <c r="Y20" s="2269"/>
    </row>
    <row r="21" spans="1:25" ht="32.25" customHeight="1" x14ac:dyDescent="0.25">
      <c r="A21" s="291" t="s">
        <v>186</v>
      </c>
      <c r="B21" s="2293">
        <f>SUM(B20:S20)</f>
        <v>729186.66250000009</v>
      </c>
      <c r="C21" s="2293"/>
      <c r="O21" s="288"/>
      <c r="P21" s="288"/>
      <c r="Q21" s="288"/>
      <c r="R21" s="288"/>
      <c r="T21" s="2273" t="s">
        <v>167</v>
      </c>
      <c r="U21" s="2274"/>
      <c r="V21" s="2260"/>
      <c r="W21" s="2268"/>
      <c r="X21" s="2261"/>
      <c r="Y21" s="2269"/>
    </row>
    <row r="22" spans="1:25" ht="35.25" customHeight="1" x14ac:dyDescent="0.25">
      <c r="A22" s="15"/>
      <c r="B22" s="2288" t="s">
        <v>49</v>
      </c>
      <c r="C22" s="2291">
        <v>1068312</v>
      </c>
      <c r="D22" s="2291">
        <v>302312</v>
      </c>
      <c r="E22" s="2291">
        <v>50000</v>
      </c>
      <c r="F22" s="2291">
        <f>C22-D22+E22</f>
        <v>816000</v>
      </c>
      <c r="G22" s="288"/>
      <c r="Q22" s="288"/>
      <c r="R22" s="288"/>
      <c r="T22" s="2251" t="s">
        <v>83</v>
      </c>
      <c r="U22" s="50" t="s">
        <v>60</v>
      </c>
      <c r="V22" s="2262">
        <v>597150</v>
      </c>
      <c r="W22" s="2262"/>
      <c r="X22" s="2262"/>
      <c r="Y22" s="2269"/>
    </row>
    <row r="23" spans="1:25" ht="39.75" customHeight="1" x14ac:dyDescent="0.25">
      <c r="A23" s="288"/>
      <c r="B23" s="2289"/>
      <c r="C23" s="2292"/>
      <c r="D23" s="2292"/>
      <c r="E23" s="2292"/>
      <c r="F23" s="2292"/>
      <c r="G23" s="288"/>
      <c r="Q23" s="288"/>
      <c r="R23" s="288"/>
      <c r="T23" s="2252"/>
      <c r="U23" s="50" t="s">
        <v>61</v>
      </c>
      <c r="V23" s="2262">
        <v>302312</v>
      </c>
      <c r="W23" s="2262"/>
      <c r="X23" s="2262"/>
      <c r="Y23" s="2269"/>
    </row>
    <row r="24" spans="1:25" ht="48" customHeight="1" x14ac:dyDescent="0.25">
      <c r="A24" s="288"/>
      <c r="B24" s="2290"/>
      <c r="C24" s="290" t="s">
        <v>46</v>
      </c>
      <c r="D24" s="290" t="s">
        <v>50</v>
      </c>
      <c r="E24" s="290" t="s">
        <v>51</v>
      </c>
      <c r="F24" s="290" t="s">
        <v>52</v>
      </c>
      <c r="G24" s="288"/>
      <c r="Q24" s="288"/>
      <c r="R24" s="288"/>
      <c r="T24" s="2235" t="s">
        <v>47</v>
      </c>
      <c r="U24" s="51" t="s">
        <v>62</v>
      </c>
      <c r="V24" s="2263">
        <f>V14+V16+V17-V18-V19-V20-V22+V23-V21</f>
        <v>175.7149999999674</v>
      </c>
      <c r="W24" s="2263"/>
      <c r="X24" s="2263"/>
      <c r="Y24" s="2269"/>
    </row>
    <row r="25" spans="1:25" ht="40.5" customHeight="1" x14ac:dyDescent="0.25">
      <c r="T25" s="2235"/>
      <c r="U25" s="51" t="s">
        <v>63</v>
      </c>
      <c r="V25" s="2262">
        <f>V15+V22-V23</f>
        <v>306275</v>
      </c>
      <c r="W25" s="2262"/>
      <c r="X25" s="2262"/>
    </row>
    <row r="26" spans="1:25" ht="36" customHeight="1" x14ac:dyDescent="0.25"/>
    <row r="32" spans="1:25" x14ac:dyDescent="0.25">
      <c r="I32" s="2280"/>
      <c r="J32" s="2280"/>
      <c r="K32" s="2280"/>
      <c r="L32" s="2280"/>
    </row>
    <row r="33" spans="9:12" x14ac:dyDescent="0.25">
      <c r="I33" s="288"/>
      <c r="J33" s="288"/>
      <c r="K33" s="2280"/>
      <c r="L33" s="2280"/>
    </row>
  </sheetData>
  <mergeCells count="62">
    <mergeCell ref="I32:J32"/>
    <mergeCell ref="K32:L32"/>
    <mergeCell ref="K33:L33"/>
    <mergeCell ref="T22:T23"/>
    <mergeCell ref="V22:X22"/>
    <mergeCell ref="V23:X23"/>
    <mergeCell ref="T24:T25"/>
    <mergeCell ref="V24:X24"/>
    <mergeCell ref="V25:X25"/>
    <mergeCell ref="Y18:Y24"/>
    <mergeCell ref="B19:C19"/>
    <mergeCell ref="Q19:R19"/>
    <mergeCell ref="T19:T20"/>
    <mergeCell ref="V19:X19"/>
    <mergeCell ref="B20:C20"/>
    <mergeCell ref="B22:B24"/>
    <mergeCell ref="C22:C23"/>
    <mergeCell ref="D22:D23"/>
    <mergeCell ref="E22:E23"/>
    <mergeCell ref="F22:F23"/>
    <mergeCell ref="Q20:R20"/>
    <mergeCell ref="V20:X20"/>
    <mergeCell ref="B21:C21"/>
    <mergeCell ref="T21:U21"/>
    <mergeCell ref="V21:X21"/>
    <mergeCell ref="B17:C17"/>
    <mergeCell ref="Q17:R17"/>
    <mergeCell ref="T17:U17"/>
    <mergeCell ref="V17:X17"/>
    <mergeCell ref="B18:C18"/>
    <mergeCell ref="Q18:R18"/>
    <mergeCell ref="T18:U18"/>
    <mergeCell ref="V18:X18"/>
    <mergeCell ref="W4:X4"/>
    <mergeCell ref="B16:C16"/>
    <mergeCell ref="Q16:R16"/>
    <mergeCell ref="T16:U16"/>
    <mergeCell ref="V16:X16"/>
    <mergeCell ref="A12:B12"/>
    <mergeCell ref="B14:C14"/>
    <mergeCell ref="Q14:R14"/>
    <mergeCell ref="T14:T15"/>
    <mergeCell ref="V14:X14"/>
    <mergeCell ref="B15:C15"/>
    <mergeCell ref="Q15:R15"/>
    <mergeCell ref="V15:X15"/>
    <mergeCell ref="A1:Y1"/>
    <mergeCell ref="A2:Y2"/>
    <mergeCell ref="T3:Y3"/>
    <mergeCell ref="A4:A5"/>
    <mergeCell ref="B4:B5"/>
    <mergeCell ref="C4:D4"/>
    <mergeCell ref="E4:F4"/>
    <mergeCell ref="G4:H4"/>
    <mergeCell ref="I4:J4"/>
    <mergeCell ref="K4:L4"/>
    <mergeCell ref="Y4:Y5"/>
    <mergeCell ref="M4:N4"/>
    <mergeCell ref="O4:P4"/>
    <mergeCell ref="Q4:R4"/>
    <mergeCell ref="S4:T4"/>
    <mergeCell ref="U4:V4"/>
  </mergeCells>
  <pageMargins left="0.15748031496063" right="0.15748031496063" top="0" bottom="0" header="0" footer="0"/>
  <pageSetup paperSize="9" scale="47" orientation="landscape" r:id="rId1"/>
  <legacyDrawing r:id="rId2"/>
</worksheet>
</file>

<file path=xl/worksheets/sheet10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CFB117D-1B7C-44C6-9023-4FD9AF11430C}">
  <sheetPr>
    <pageSetUpPr fitToPage="1"/>
  </sheetPr>
  <dimension ref="A1:Y33"/>
  <sheetViews>
    <sheetView topLeftCell="A13" zoomScale="71" zoomScaleNormal="71" zoomScaleSheetLayoutView="100" workbookViewId="0">
      <selection activeCell="N24" sqref="N24"/>
    </sheetView>
  </sheetViews>
  <sheetFormatPr defaultColWidth="9.140625" defaultRowHeight="15" x14ac:dyDescent="0.25"/>
  <cols>
    <col min="1" max="1" width="18.28515625" style="14" customWidth="1"/>
    <col min="2" max="2" width="10.7109375" style="14" customWidth="1"/>
    <col min="3" max="3" width="12.28515625" style="14" customWidth="1"/>
    <col min="4" max="4" width="11" style="14" customWidth="1"/>
    <col min="5" max="5" width="12" style="14" customWidth="1"/>
    <col min="6" max="6" width="12.5703125" style="14" bestFit="1" customWidth="1"/>
    <col min="7" max="7" width="9.28515625" style="14" bestFit="1" customWidth="1"/>
    <col min="8" max="8" width="10.140625" style="14" bestFit="1" customWidth="1"/>
    <col min="9" max="9" width="10.5703125" style="14" bestFit="1" customWidth="1"/>
    <col min="10" max="10" width="10.5703125" style="14" customWidth="1"/>
    <col min="11" max="11" width="10.28515625" style="14" bestFit="1" customWidth="1"/>
    <col min="12" max="12" width="10.42578125" style="14" bestFit="1" customWidth="1"/>
    <col min="13" max="13" width="9.85546875" style="14" bestFit="1" customWidth="1"/>
    <col min="14" max="14" width="10.140625" style="14" bestFit="1" customWidth="1"/>
    <col min="15" max="15" width="9" style="14" customWidth="1"/>
    <col min="16" max="16" width="12.85546875" style="14" bestFit="1" customWidth="1"/>
    <col min="17" max="18" width="9.42578125" style="14" customWidth="1"/>
    <col min="19" max="19" width="13.7109375" style="14" customWidth="1"/>
    <col min="20" max="20" width="12.140625" style="14" customWidth="1"/>
    <col min="21" max="21" width="19.5703125" style="14" bestFit="1" customWidth="1"/>
    <col min="22" max="22" width="9.85546875" style="14" customWidth="1"/>
    <col min="23" max="23" width="10.140625" style="14" bestFit="1" customWidth="1"/>
    <col min="24" max="24" width="10.28515625" style="14" customWidth="1"/>
    <col min="25" max="25" width="28" style="14" customWidth="1"/>
    <col min="26" max="16384" width="9.140625" style="14"/>
  </cols>
  <sheetData>
    <row r="1" spans="1:25" ht="46.15" customHeight="1" x14ac:dyDescent="0.25">
      <c r="A1" s="2240" t="s">
        <v>148</v>
      </c>
      <c r="B1" s="2240"/>
      <c r="C1" s="2240"/>
      <c r="D1" s="2240"/>
      <c r="E1" s="2240"/>
      <c r="F1" s="2240"/>
      <c r="G1" s="2240"/>
      <c r="H1" s="2240"/>
      <c r="I1" s="2240"/>
      <c r="J1" s="2240"/>
      <c r="K1" s="2240"/>
      <c r="L1" s="2240"/>
      <c r="M1" s="2240"/>
      <c r="N1" s="2240"/>
      <c r="O1" s="2240"/>
      <c r="P1" s="2240"/>
      <c r="Q1" s="2240"/>
      <c r="R1" s="2240"/>
      <c r="S1" s="2240"/>
      <c r="T1" s="2240"/>
      <c r="U1" s="2240"/>
      <c r="V1" s="2240"/>
      <c r="W1" s="2240"/>
      <c r="X1" s="2240"/>
      <c r="Y1" s="2240"/>
    </row>
    <row r="2" spans="1:25" ht="21.6" customHeight="1" x14ac:dyDescent="0.25">
      <c r="A2" s="2241" t="s">
        <v>77</v>
      </c>
      <c r="B2" s="2241"/>
      <c r="C2" s="2241"/>
      <c r="D2" s="2241"/>
      <c r="E2" s="2241"/>
      <c r="F2" s="2241"/>
      <c r="G2" s="2241"/>
      <c r="H2" s="2241"/>
      <c r="I2" s="2241"/>
      <c r="J2" s="2241"/>
      <c r="K2" s="2241"/>
      <c r="L2" s="2241"/>
      <c r="M2" s="2241"/>
      <c r="N2" s="2241"/>
      <c r="O2" s="2241"/>
      <c r="P2" s="2241"/>
      <c r="Q2" s="2241"/>
      <c r="R2" s="2241"/>
      <c r="S2" s="2241"/>
      <c r="T2" s="2241"/>
      <c r="U2" s="2241"/>
      <c r="V2" s="2241"/>
      <c r="W2" s="2241"/>
      <c r="X2" s="2241"/>
      <c r="Y2" s="2241"/>
    </row>
    <row r="3" spans="1:25" ht="21" customHeight="1" x14ac:dyDescent="0.25">
      <c r="A3" s="278"/>
      <c r="B3" s="278"/>
      <c r="C3" s="278"/>
      <c r="D3" s="278"/>
      <c r="E3" s="278"/>
      <c r="F3" s="278"/>
      <c r="G3" s="278"/>
      <c r="H3" s="278"/>
      <c r="I3" s="278"/>
      <c r="J3" s="278"/>
      <c r="K3" s="278"/>
      <c r="L3" s="278"/>
      <c r="M3" s="278"/>
      <c r="N3" s="278"/>
      <c r="O3" s="278"/>
      <c r="P3" s="278"/>
      <c r="Q3" s="278"/>
      <c r="R3" s="278"/>
      <c r="S3" s="278"/>
      <c r="T3" s="2242" t="s">
        <v>290</v>
      </c>
      <c r="U3" s="2242"/>
      <c r="V3" s="2242"/>
      <c r="W3" s="2242"/>
      <c r="X3" s="2242"/>
      <c r="Y3" s="2242"/>
    </row>
    <row r="4" spans="1:25" s="278" customFormat="1" ht="18" customHeight="1" x14ac:dyDescent="0.25">
      <c r="A4" s="2243" t="s">
        <v>25</v>
      </c>
      <c r="B4" s="2243" t="s">
        <v>26</v>
      </c>
      <c r="C4" s="2244" t="s">
        <v>27</v>
      </c>
      <c r="D4" s="2244"/>
      <c r="E4" s="2244" t="s">
        <v>28</v>
      </c>
      <c r="F4" s="2244"/>
      <c r="G4" s="2244" t="s">
        <v>65</v>
      </c>
      <c r="H4" s="2244"/>
      <c r="I4" s="2244" t="s">
        <v>29</v>
      </c>
      <c r="J4" s="2244"/>
      <c r="K4" s="2245" t="s">
        <v>13</v>
      </c>
      <c r="L4" s="2246"/>
      <c r="M4" s="2245" t="s">
        <v>67</v>
      </c>
      <c r="N4" s="2246"/>
      <c r="O4" s="2245" t="s">
        <v>68</v>
      </c>
      <c r="P4" s="2246"/>
      <c r="Q4" s="2245" t="s">
        <v>114</v>
      </c>
      <c r="R4" s="2246"/>
      <c r="S4" s="2244" t="s">
        <v>35</v>
      </c>
      <c r="T4" s="2244"/>
      <c r="U4" s="2245" t="s">
        <v>17</v>
      </c>
      <c r="V4" s="2246"/>
      <c r="W4" s="2247" t="s">
        <v>36</v>
      </c>
      <c r="X4" s="2248"/>
      <c r="Y4" s="2238" t="s">
        <v>30</v>
      </c>
    </row>
    <row r="5" spans="1:25" s="278" customFormat="1" ht="25.5" customHeight="1" x14ac:dyDescent="0.25">
      <c r="A5" s="2243"/>
      <c r="B5" s="2243"/>
      <c r="C5" s="280" t="s">
        <v>42</v>
      </c>
      <c r="D5" s="280" t="s">
        <v>43</v>
      </c>
      <c r="E5" s="280" t="s">
        <v>42</v>
      </c>
      <c r="F5" s="280" t="s">
        <v>43</v>
      </c>
      <c r="G5" s="280" t="s">
        <v>42</v>
      </c>
      <c r="H5" s="280" t="s">
        <v>43</v>
      </c>
      <c r="I5" s="280" t="s">
        <v>42</v>
      </c>
      <c r="J5" s="280" t="s">
        <v>43</v>
      </c>
      <c r="K5" s="280" t="s">
        <v>42</v>
      </c>
      <c r="L5" s="280" t="s">
        <v>43</v>
      </c>
      <c r="M5" s="280" t="s">
        <v>42</v>
      </c>
      <c r="N5" s="280" t="s">
        <v>43</v>
      </c>
      <c r="O5" s="280" t="s">
        <v>42</v>
      </c>
      <c r="P5" s="280" t="s">
        <v>43</v>
      </c>
      <c r="Q5" s="280" t="s">
        <v>42</v>
      </c>
      <c r="R5" s="280" t="s">
        <v>43</v>
      </c>
      <c r="S5" s="33" t="s">
        <v>42</v>
      </c>
      <c r="T5" s="33" t="s">
        <v>43</v>
      </c>
      <c r="U5" s="30" t="s">
        <v>42</v>
      </c>
      <c r="V5" s="30" t="s">
        <v>43</v>
      </c>
      <c r="W5" s="30" t="s">
        <v>42</v>
      </c>
      <c r="X5" s="30" t="s">
        <v>43</v>
      </c>
      <c r="Y5" s="2239"/>
    </row>
    <row r="6" spans="1:25" ht="34.5" customHeight="1" x14ac:dyDescent="0.25">
      <c r="A6" s="12">
        <v>1409935200</v>
      </c>
      <c r="B6" s="279" t="s">
        <v>71</v>
      </c>
      <c r="C6" s="282">
        <v>32928</v>
      </c>
      <c r="D6" s="283">
        <f>0.9725*C6</f>
        <v>32022.48</v>
      </c>
      <c r="E6" s="282"/>
      <c r="F6" s="282">
        <f>13.7*E6</f>
        <v>0</v>
      </c>
      <c r="G6" s="282">
        <v>170</v>
      </c>
      <c r="H6" s="282">
        <f>28.2*G6</f>
        <v>4794</v>
      </c>
      <c r="I6" s="282"/>
      <c r="J6" s="282">
        <f>18.5*I6</f>
        <v>0</v>
      </c>
      <c r="K6" s="282"/>
      <c r="L6" s="282">
        <f>19.5*K6</f>
        <v>0</v>
      </c>
      <c r="M6" s="282"/>
      <c r="N6" s="283">
        <f>M6*9.75</f>
        <v>0</v>
      </c>
      <c r="O6" s="282"/>
      <c r="P6" s="283">
        <f>O6*48.62</f>
        <v>0</v>
      </c>
      <c r="Q6" s="283"/>
      <c r="R6" s="283">
        <f>241*Q6</f>
        <v>0</v>
      </c>
      <c r="S6" s="282">
        <v>5</v>
      </c>
      <c r="T6" s="282">
        <f>241*S6</f>
        <v>1205</v>
      </c>
      <c r="U6" s="282"/>
      <c r="V6" s="282">
        <f>232*U6</f>
        <v>0</v>
      </c>
      <c r="W6" s="282"/>
      <c r="X6" s="19">
        <f>W6*100</f>
        <v>0</v>
      </c>
      <c r="Y6" s="89">
        <f t="shared" ref="Y6:Y11" si="0">D6+F6+H6+J6+L6+N6+P6+R6+T6+V6+X6</f>
        <v>38021.479999999996</v>
      </c>
    </row>
    <row r="7" spans="1:25" ht="31.5" customHeight="1" x14ac:dyDescent="0.25">
      <c r="A7" s="12">
        <v>1984225578</v>
      </c>
      <c r="B7" s="279" t="s">
        <v>72</v>
      </c>
      <c r="C7" s="282">
        <v>34294</v>
      </c>
      <c r="D7" s="283">
        <f t="shared" ref="D7:D11" si="1">0.9725*C7</f>
        <v>33350.915000000001</v>
      </c>
      <c r="E7" s="282"/>
      <c r="F7" s="282">
        <f t="shared" ref="F7:F11" si="2">13.7*E7</f>
        <v>0</v>
      </c>
      <c r="G7" s="282"/>
      <c r="H7" s="282">
        <f t="shared" ref="H7:H11" si="3">28.2*G7</f>
        <v>0</v>
      </c>
      <c r="I7" s="282"/>
      <c r="J7" s="282">
        <f t="shared" ref="J7:J11" si="4">18.5*I7</f>
        <v>0</v>
      </c>
      <c r="K7" s="282"/>
      <c r="L7" s="282">
        <f t="shared" ref="L7:L11" si="5">19.5*K7</f>
        <v>0</v>
      </c>
      <c r="M7" s="282"/>
      <c r="N7" s="283">
        <f t="shared" ref="N7:N11" si="6">M7*9.75</f>
        <v>0</v>
      </c>
      <c r="O7" s="282"/>
      <c r="P7" s="283">
        <f t="shared" ref="P7:P11" si="7">O7*48.62</f>
        <v>0</v>
      </c>
      <c r="Q7" s="283"/>
      <c r="R7" s="283">
        <f t="shared" ref="R7:R11" si="8">241*Q7</f>
        <v>0</v>
      </c>
      <c r="S7" s="282"/>
      <c r="T7" s="282">
        <f t="shared" ref="T7:T11" si="9">241*S7</f>
        <v>0</v>
      </c>
      <c r="U7" s="282"/>
      <c r="V7" s="282">
        <f t="shared" ref="V7:V11" si="10">232*U7</f>
        <v>0</v>
      </c>
      <c r="W7" s="282"/>
      <c r="X7" s="19">
        <f t="shared" ref="X7:X11" si="11">W7*100</f>
        <v>0</v>
      </c>
      <c r="Y7" s="89">
        <f t="shared" si="0"/>
        <v>33350.915000000001</v>
      </c>
    </row>
    <row r="8" spans="1:25" ht="35.25" customHeight="1" x14ac:dyDescent="0.25">
      <c r="A8" s="12">
        <v>1967020280</v>
      </c>
      <c r="B8" s="279" t="s">
        <v>73</v>
      </c>
      <c r="C8" s="282">
        <v>36124</v>
      </c>
      <c r="D8" s="283">
        <f t="shared" si="1"/>
        <v>35130.590000000004</v>
      </c>
      <c r="E8" s="282"/>
      <c r="F8" s="282">
        <f t="shared" si="2"/>
        <v>0</v>
      </c>
      <c r="G8" s="282"/>
      <c r="H8" s="282">
        <f t="shared" si="3"/>
        <v>0</v>
      </c>
      <c r="I8" s="282"/>
      <c r="J8" s="282">
        <f t="shared" si="4"/>
        <v>0</v>
      </c>
      <c r="K8" s="282"/>
      <c r="L8" s="282">
        <f t="shared" si="5"/>
        <v>0</v>
      </c>
      <c r="M8" s="282"/>
      <c r="N8" s="283">
        <f t="shared" si="6"/>
        <v>0</v>
      </c>
      <c r="O8" s="282"/>
      <c r="P8" s="283">
        <f t="shared" si="7"/>
        <v>0</v>
      </c>
      <c r="Q8" s="283"/>
      <c r="R8" s="283">
        <f t="shared" si="8"/>
        <v>0</v>
      </c>
      <c r="S8" s="282"/>
      <c r="T8" s="282">
        <f t="shared" si="9"/>
        <v>0</v>
      </c>
      <c r="U8" s="282"/>
      <c r="V8" s="282">
        <f t="shared" si="10"/>
        <v>0</v>
      </c>
      <c r="W8" s="282"/>
      <c r="X8" s="19">
        <f t="shared" si="11"/>
        <v>0</v>
      </c>
      <c r="Y8" s="89">
        <f t="shared" si="0"/>
        <v>35130.590000000004</v>
      </c>
    </row>
    <row r="9" spans="1:25" ht="38.25" customHeight="1" x14ac:dyDescent="0.25">
      <c r="A9" s="12">
        <v>1409935199</v>
      </c>
      <c r="B9" s="279" t="s">
        <v>75</v>
      </c>
      <c r="C9" s="282">
        <v>47324</v>
      </c>
      <c r="D9" s="283">
        <f t="shared" si="1"/>
        <v>46022.590000000004</v>
      </c>
      <c r="E9" s="282"/>
      <c r="F9" s="282">
        <f t="shared" si="2"/>
        <v>0</v>
      </c>
      <c r="G9" s="282"/>
      <c r="H9" s="282">
        <f t="shared" si="3"/>
        <v>0</v>
      </c>
      <c r="I9" s="282"/>
      <c r="J9" s="282">
        <f t="shared" si="4"/>
        <v>0</v>
      </c>
      <c r="K9" s="282"/>
      <c r="L9" s="282">
        <f t="shared" si="5"/>
        <v>0</v>
      </c>
      <c r="M9" s="282"/>
      <c r="N9" s="283">
        <f t="shared" si="6"/>
        <v>0</v>
      </c>
      <c r="O9" s="282"/>
      <c r="P9" s="283">
        <f t="shared" si="7"/>
        <v>0</v>
      </c>
      <c r="Q9" s="283"/>
      <c r="R9" s="283">
        <f t="shared" si="8"/>
        <v>0</v>
      </c>
      <c r="S9" s="282">
        <v>17</v>
      </c>
      <c r="T9" s="282">
        <f t="shared" si="9"/>
        <v>4097</v>
      </c>
      <c r="U9" s="282"/>
      <c r="V9" s="282">
        <f t="shared" si="10"/>
        <v>0</v>
      </c>
      <c r="W9" s="282"/>
      <c r="X9" s="19">
        <f t="shared" si="11"/>
        <v>0</v>
      </c>
      <c r="Y9" s="89">
        <f t="shared" si="0"/>
        <v>50119.590000000004</v>
      </c>
    </row>
    <row r="10" spans="1:25" ht="35.25" customHeight="1" x14ac:dyDescent="0.25">
      <c r="A10" s="12">
        <v>1984225580</v>
      </c>
      <c r="C10" s="282"/>
      <c r="D10" s="283">
        <f t="shared" si="1"/>
        <v>0</v>
      </c>
      <c r="E10" s="282"/>
      <c r="F10" s="282">
        <f t="shared" si="2"/>
        <v>0</v>
      </c>
      <c r="G10" s="282"/>
      <c r="H10" s="282">
        <f t="shared" si="3"/>
        <v>0</v>
      </c>
      <c r="I10" s="282"/>
      <c r="J10" s="282">
        <f t="shared" si="4"/>
        <v>0</v>
      </c>
      <c r="K10" s="282"/>
      <c r="L10" s="282">
        <f t="shared" si="5"/>
        <v>0</v>
      </c>
      <c r="M10" s="282"/>
      <c r="N10" s="283">
        <f t="shared" si="6"/>
        <v>0</v>
      </c>
      <c r="O10" s="282"/>
      <c r="P10" s="283">
        <f t="shared" si="7"/>
        <v>0</v>
      </c>
      <c r="Q10" s="283"/>
      <c r="R10" s="283">
        <f t="shared" si="8"/>
        <v>0</v>
      </c>
      <c r="S10" s="282"/>
      <c r="T10" s="282">
        <f t="shared" si="9"/>
        <v>0</v>
      </c>
      <c r="U10" s="282"/>
      <c r="V10" s="282">
        <f t="shared" si="10"/>
        <v>0</v>
      </c>
      <c r="W10" s="282"/>
      <c r="X10" s="19">
        <f t="shared" si="11"/>
        <v>0</v>
      </c>
      <c r="Y10" s="89">
        <f t="shared" si="0"/>
        <v>0</v>
      </c>
    </row>
    <row r="11" spans="1:25" ht="37.5" customHeight="1" x14ac:dyDescent="0.25">
      <c r="A11" s="12"/>
      <c r="B11" s="281"/>
      <c r="C11" s="282"/>
      <c r="D11" s="22">
        <f t="shared" si="1"/>
        <v>0</v>
      </c>
      <c r="E11" s="282"/>
      <c r="F11" s="282">
        <f t="shared" si="2"/>
        <v>0</v>
      </c>
      <c r="G11" s="282"/>
      <c r="H11" s="282">
        <f t="shared" si="3"/>
        <v>0</v>
      </c>
      <c r="I11" s="282"/>
      <c r="J11" s="282">
        <f t="shared" si="4"/>
        <v>0</v>
      </c>
      <c r="K11" s="282"/>
      <c r="L11" s="282">
        <f t="shared" si="5"/>
        <v>0</v>
      </c>
      <c r="M11" s="282"/>
      <c r="N11" s="283">
        <f t="shared" si="6"/>
        <v>0</v>
      </c>
      <c r="O11" s="282"/>
      <c r="P11" s="283">
        <f t="shared" si="7"/>
        <v>0</v>
      </c>
      <c r="Q11" s="283"/>
      <c r="R11" s="283">
        <f t="shared" si="8"/>
        <v>0</v>
      </c>
      <c r="S11" s="282"/>
      <c r="T11" s="282">
        <f t="shared" si="9"/>
        <v>0</v>
      </c>
      <c r="U11" s="282"/>
      <c r="V11" s="282">
        <f t="shared" si="10"/>
        <v>0</v>
      </c>
      <c r="W11" s="282"/>
      <c r="X11" s="19">
        <f t="shared" si="11"/>
        <v>0</v>
      </c>
      <c r="Y11" s="20">
        <f t="shared" si="0"/>
        <v>0</v>
      </c>
    </row>
    <row r="12" spans="1:25" ht="29.25" customHeight="1" x14ac:dyDescent="0.25">
      <c r="A12" s="2235" t="s">
        <v>31</v>
      </c>
      <c r="B12" s="2235"/>
      <c r="C12" s="18">
        <f t="shared" ref="C12:Y12" si="12">SUM(C6:C11)</f>
        <v>150670</v>
      </c>
      <c r="D12" s="18">
        <f t="shared" si="12"/>
        <v>146526.57500000001</v>
      </c>
      <c r="E12" s="18">
        <f t="shared" si="12"/>
        <v>0</v>
      </c>
      <c r="F12" s="18">
        <f t="shared" si="12"/>
        <v>0</v>
      </c>
      <c r="G12" s="18">
        <f t="shared" si="12"/>
        <v>170</v>
      </c>
      <c r="H12" s="18">
        <f t="shared" si="12"/>
        <v>4794</v>
      </c>
      <c r="I12" s="18">
        <f t="shared" si="12"/>
        <v>0</v>
      </c>
      <c r="J12" s="18">
        <f t="shared" si="12"/>
        <v>0</v>
      </c>
      <c r="K12" s="18">
        <f t="shared" si="12"/>
        <v>0</v>
      </c>
      <c r="L12" s="18">
        <f t="shared" si="12"/>
        <v>0</v>
      </c>
      <c r="M12" s="18">
        <f t="shared" si="12"/>
        <v>0</v>
      </c>
      <c r="N12" s="23">
        <f t="shared" si="12"/>
        <v>0</v>
      </c>
      <c r="O12" s="18">
        <f t="shared" si="12"/>
        <v>0</v>
      </c>
      <c r="P12" s="23">
        <f t="shared" si="12"/>
        <v>0</v>
      </c>
      <c r="Q12" s="23">
        <f t="shared" si="12"/>
        <v>0</v>
      </c>
      <c r="R12" s="23">
        <f>SUM(R6:R11)</f>
        <v>0</v>
      </c>
      <c r="S12" s="18">
        <f t="shared" si="12"/>
        <v>22</v>
      </c>
      <c r="T12" s="18">
        <f t="shared" si="12"/>
        <v>5302</v>
      </c>
      <c r="U12" s="18">
        <f t="shared" si="12"/>
        <v>0</v>
      </c>
      <c r="V12" s="18">
        <f t="shared" si="12"/>
        <v>0</v>
      </c>
      <c r="W12" s="18">
        <f t="shared" si="12"/>
        <v>0</v>
      </c>
      <c r="X12" s="18">
        <f t="shared" si="12"/>
        <v>0</v>
      </c>
      <c r="Y12" s="18">
        <f t="shared" si="12"/>
        <v>156622.57499999998</v>
      </c>
    </row>
    <row r="14" spans="1:25" ht="41.25" customHeight="1" x14ac:dyDescent="0.25">
      <c r="A14" s="30" t="s">
        <v>32</v>
      </c>
      <c r="B14" s="2236" t="s">
        <v>27</v>
      </c>
      <c r="C14" s="2236"/>
      <c r="D14" s="30" t="s">
        <v>33</v>
      </c>
      <c r="E14" s="30" t="s">
        <v>65</v>
      </c>
      <c r="F14" s="30" t="s">
        <v>34</v>
      </c>
      <c r="G14" s="30" t="s">
        <v>13</v>
      </c>
      <c r="H14" s="142" t="s">
        <v>173</v>
      </c>
      <c r="I14" s="30" t="s">
        <v>17</v>
      </c>
      <c r="J14" s="287" t="s">
        <v>174</v>
      </c>
      <c r="K14" s="30" t="s">
        <v>36</v>
      </c>
      <c r="L14" s="30" t="s">
        <v>175</v>
      </c>
      <c r="M14" s="30" t="s">
        <v>69</v>
      </c>
      <c r="N14" s="30" t="s">
        <v>70</v>
      </c>
      <c r="O14" s="287" t="s">
        <v>114</v>
      </c>
      <c r="P14" s="287" t="s">
        <v>99</v>
      </c>
      <c r="Q14" s="2272" t="s">
        <v>256</v>
      </c>
      <c r="R14" s="2272"/>
      <c r="S14" s="287"/>
      <c r="T14" s="2235" t="s">
        <v>46</v>
      </c>
      <c r="U14" s="279" t="s">
        <v>176</v>
      </c>
      <c r="V14" s="2260">
        <v>176</v>
      </c>
      <c r="W14" s="2268"/>
      <c r="X14" s="2261"/>
    </row>
    <row r="15" spans="1:25" ht="22.5" customHeight="1" x14ac:dyDescent="0.25">
      <c r="A15" s="100" t="s">
        <v>38</v>
      </c>
      <c r="B15" s="2260">
        <v>254777</v>
      </c>
      <c r="C15" s="2261"/>
      <c r="D15" s="284">
        <v>0</v>
      </c>
      <c r="E15" s="284">
        <v>380</v>
      </c>
      <c r="F15" s="284">
        <v>1080</v>
      </c>
      <c r="G15" s="284">
        <v>0</v>
      </c>
      <c r="H15" s="284">
        <v>273</v>
      </c>
      <c r="I15" s="284">
        <v>0</v>
      </c>
      <c r="J15" s="284">
        <v>95</v>
      </c>
      <c r="K15" s="284">
        <v>69</v>
      </c>
      <c r="L15" s="284">
        <v>1014</v>
      </c>
      <c r="M15" s="284">
        <v>0</v>
      </c>
      <c r="N15" s="284">
        <v>100</v>
      </c>
      <c r="O15" s="284">
        <v>0</v>
      </c>
      <c r="P15" s="284">
        <v>404</v>
      </c>
      <c r="Q15" s="2262">
        <v>47</v>
      </c>
      <c r="R15" s="2262"/>
      <c r="S15" s="279">
        <v>0</v>
      </c>
      <c r="T15" s="2235"/>
      <c r="U15" s="279" t="s">
        <v>64</v>
      </c>
      <c r="V15" s="2262">
        <v>306275</v>
      </c>
      <c r="W15" s="2262"/>
      <c r="X15" s="2262"/>
    </row>
    <row r="16" spans="1:25" ht="24.75" customHeight="1" x14ac:dyDescent="0.25">
      <c r="A16" s="100" t="s">
        <v>39</v>
      </c>
      <c r="B16" s="2260">
        <v>280519</v>
      </c>
      <c r="C16" s="2261"/>
      <c r="D16" s="284"/>
      <c r="E16" s="284">
        <v>900</v>
      </c>
      <c r="F16" s="284">
        <v>3000</v>
      </c>
      <c r="G16" s="284"/>
      <c r="H16" s="284"/>
      <c r="I16" s="284"/>
      <c r="J16" s="284"/>
      <c r="K16" s="284"/>
      <c r="L16" s="284">
        <v>135</v>
      </c>
      <c r="M16" s="284"/>
      <c r="N16" s="284"/>
      <c r="O16" s="284"/>
      <c r="P16" s="284"/>
      <c r="Q16" s="2225"/>
      <c r="R16" s="2225"/>
      <c r="S16" s="284"/>
      <c r="T16" s="2254" t="s">
        <v>55</v>
      </c>
      <c r="U16" s="2254"/>
      <c r="V16" s="2267">
        <f>Y12</f>
        <v>156622.57499999998</v>
      </c>
      <c r="W16" s="2267"/>
      <c r="X16" s="2262"/>
    </row>
    <row r="17" spans="1:25" ht="28.5" customHeight="1" x14ac:dyDescent="0.25">
      <c r="A17" s="101" t="s">
        <v>44</v>
      </c>
      <c r="B17" s="2260"/>
      <c r="C17" s="2261"/>
      <c r="D17" s="284"/>
      <c r="E17" s="284"/>
      <c r="F17" s="284"/>
      <c r="G17" s="284"/>
      <c r="H17" s="284"/>
      <c r="I17" s="284"/>
      <c r="J17" s="284"/>
      <c r="K17" s="284"/>
      <c r="L17" s="284"/>
      <c r="M17" s="284"/>
      <c r="N17" s="284"/>
      <c r="O17" s="284"/>
      <c r="P17" s="284"/>
      <c r="Q17" s="2225"/>
      <c r="R17" s="2225"/>
      <c r="S17" s="281"/>
      <c r="T17" s="2294"/>
      <c r="U17" s="2295"/>
      <c r="V17" s="2296"/>
      <c r="W17" s="2296"/>
      <c r="X17" s="2296"/>
    </row>
    <row r="18" spans="1:25" ht="27" customHeight="1" x14ac:dyDescent="0.25">
      <c r="A18" s="100" t="s">
        <v>40</v>
      </c>
      <c r="B18" s="2264">
        <f>C12</f>
        <v>150670</v>
      </c>
      <c r="C18" s="2261"/>
      <c r="D18" s="285">
        <f>E12</f>
        <v>0</v>
      </c>
      <c r="E18" s="285">
        <f>G12</f>
        <v>170</v>
      </c>
      <c r="F18" s="285">
        <f>I12</f>
        <v>0</v>
      </c>
      <c r="G18" s="285">
        <f>K12</f>
        <v>0</v>
      </c>
      <c r="H18" s="284">
        <v>157</v>
      </c>
      <c r="I18" s="285">
        <f>U12</f>
        <v>0</v>
      </c>
      <c r="J18" s="284"/>
      <c r="K18" s="285">
        <f>W12</f>
        <v>0</v>
      </c>
      <c r="L18" s="284"/>
      <c r="M18" s="285">
        <f>M12</f>
        <v>0</v>
      </c>
      <c r="N18" s="285">
        <f>O12</f>
        <v>0</v>
      </c>
      <c r="O18" s="286">
        <f>Q12</f>
        <v>0</v>
      </c>
      <c r="P18" s="284"/>
      <c r="Q18" s="2262"/>
      <c r="R18" s="2262"/>
      <c r="S18" s="279"/>
      <c r="T18" s="2254" t="s">
        <v>57</v>
      </c>
      <c r="U18" s="2254"/>
      <c r="V18" s="2262">
        <v>470</v>
      </c>
      <c r="W18" s="2262"/>
      <c r="X18" s="2262"/>
      <c r="Y18" s="2269" t="s">
        <v>291</v>
      </c>
    </row>
    <row r="19" spans="1:25" ht="25.5" customHeight="1" x14ac:dyDescent="0.25">
      <c r="A19" s="100" t="s">
        <v>41</v>
      </c>
      <c r="B19" s="2260">
        <f>B15+B16+B17-B18</f>
        <v>384626</v>
      </c>
      <c r="C19" s="2261"/>
      <c r="D19" s="284">
        <f>D15+D16+D17-D18</f>
        <v>0</v>
      </c>
      <c r="E19" s="284">
        <f t="shared" ref="E19:N19" si="13">E15+E16+E17-E18</f>
        <v>1110</v>
      </c>
      <c r="F19" s="284">
        <f t="shared" si="13"/>
        <v>4080</v>
      </c>
      <c r="G19" s="284">
        <f t="shared" si="13"/>
        <v>0</v>
      </c>
      <c r="H19" s="284">
        <f t="shared" si="13"/>
        <v>116</v>
      </c>
      <c r="I19" s="284">
        <f t="shared" si="13"/>
        <v>0</v>
      </c>
      <c r="J19" s="284">
        <f t="shared" si="13"/>
        <v>95</v>
      </c>
      <c r="K19" s="284">
        <f t="shared" si="13"/>
        <v>69</v>
      </c>
      <c r="L19" s="284">
        <f t="shared" si="13"/>
        <v>1149</v>
      </c>
      <c r="M19" s="284">
        <f t="shared" si="13"/>
        <v>0</v>
      </c>
      <c r="N19" s="284">
        <f t="shared" si="13"/>
        <v>100</v>
      </c>
      <c r="O19" s="284">
        <f>O15+O16+O17-O18</f>
        <v>0</v>
      </c>
      <c r="P19" s="284">
        <f>P15+P16+P17-P18</f>
        <v>404</v>
      </c>
      <c r="Q19" s="2260">
        <f t="shared" ref="Q19" si="14">Q15+Q16+Q17-Q18</f>
        <v>47</v>
      </c>
      <c r="R19" s="2261"/>
      <c r="S19" s="279">
        <f>S15+S16-S17-S18</f>
        <v>0</v>
      </c>
      <c r="T19" s="2256" t="s">
        <v>48</v>
      </c>
      <c r="U19" s="49" t="s">
        <v>58</v>
      </c>
      <c r="V19" s="2262">
        <v>130049</v>
      </c>
      <c r="W19" s="2262"/>
      <c r="X19" s="2262"/>
      <c r="Y19" s="2269"/>
    </row>
    <row r="20" spans="1:25" ht="23.25" customHeight="1" x14ac:dyDescent="0.25">
      <c r="A20" s="289" t="s">
        <v>187</v>
      </c>
      <c r="B20" s="2286">
        <f>B19*0.9625</f>
        <v>370202.52500000002</v>
      </c>
      <c r="C20" s="2287"/>
      <c r="D20" s="290">
        <f>D19*13.56</f>
        <v>0</v>
      </c>
      <c r="E20" s="290">
        <f>28.2*E19</f>
        <v>31302</v>
      </c>
      <c r="F20" s="290">
        <f>18.31*F19</f>
        <v>74704.799999999988</v>
      </c>
      <c r="G20" s="290">
        <f>19.3*G19</f>
        <v>0</v>
      </c>
      <c r="H20" s="290">
        <f>241*H19</f>
        <v>27956</v>
      </c>
      <c r="I20" s="290">
        <f>223*I19</f>
        <v>0</v>
      </c>
      <c r="J20" s="290">
        <f>241*J19</f>
        <v>22895</v>
      </c>
      <c r="K20" s="290">
        <f>K19*100</f>
        <v>6900</v>
      </c>
      <c r="L20" s="290">
        <f>241*L19</f>
        <v>276909</v>
      </c>
      <c r="M20" s="290">
        <f>9.65*M19</f>
        <v>0</v>
      </c>
      <c r="N20" s="290">
        <f>N19*48.2</f>
        <v>4820</v>
      </c>
      <c r="O20" s="290">
        <f>241*O19</f>
        <v>0</v>
      </c>
      <c r="P20" s="290">
        <f>241*P19</f>
        <v>97364</v>
      </c>
      <c r="Q20" s="2286">
        <f>241*Q19</f>
        <v>11327</v>
      </c>
      <c r="R20" s="2287"/>
      <c r="S20" s="290">
        <f>241*S19</f>
        <v>0</v>
      </c>
      <c r="T20" s="2257"/>
      <c r="U20" s="49" t="s">
        <v>59</v>
      </c>
      <c r="V20" s="2262"/>
      <c r="W20" s="2262"/>
      <c r="X20" s="2262"/>
      <c r="Y20" s="2269"/>
    </row>
    <row r="21" spans="1:25" ht="32.25" customHeight="1" x14ac:dyDescent="0.25">
      <c r="A21" s="291" t="s">
        <v>186</v>
      </c>
      <c r="B21" s="2293">
        <f>SUM(B20:S20)</f>
        <v>924380.32499999995</v>
      </c>
      <c r="C21" s="2293"/>
      <c r="O21" s="288"/>
      <c r="P21" s="288"/>
      <c r="Q21" s="288"/>
      <c r="R21" s="288"/>
      <c r="T21" s="2273" t="s">
        <v>167</v>
      </c>
      <c r="U21" s="2274"/>
      <c r="V21" s="2260">
        <v>18000</v>
      </c>
      <c r="W21" s="2268"/>
      <c r="X21" s="2261"/>
      <c r="Y21" s="2269"/>
    </row>
    <row r="22" spans="1:25" ht="35.25" customHeight="1" x14ac:dyDescent="0.25">
      <c r="A22" s="15"/>
      <c r="B22" s="2288" t="s">
        <v>49</v>
      </c>
      <c r="C22" s="2291">
        <v>816000</v>
      </c>
      <c r="D22" s="2291">
        <v>130049</v>
      </c>
      <c r="E22" s="2291">
        <v>350051</v>
      </c>
      <c r="F22" s="2291">
        <f>C22-D22+E22</f>
        <v>1036002</v>
      </c>
      <c r="G22" s="288"/>
      <c r="Q22" s="288"/>
      <c r="R22" s="288"/>
      <c r="T22" s="2251" t="s">
        <v>83</v>
      </c>
      <c r="U22" s="50" t="s">
        <v>60</v>
      </c>
      <c r="V22" s="2262">
        <v>136300</v>
      </c>
      <c r="W22" s="2262"/>
      <c r="X22" s="2262"/>
      <c r="Y22" s="2269"/>
    </row>
    <row r="23" spans="1:25" ht="39.75" customHeight="1" x14ac:dyDescent="0.25">
      <c r="A23" s="288"/>
      <c r="B23" s="2289"/>
      <c r="C23" s="2292"/>
      <c r="D23" s="2292"/>
      <c r="E23" s="2292"/>
      <c r="F23" s="2292"/>
      <c r="G23" s="288"/>
      <c r="Q23" s="288"/>
      <c r="R23" s="288"/>
      <c r="T23" s="2252"/>
      <c r="U23" s="50" t="s">
        <v>61</v>
      </c>
      <c r="V23" s="2262">
        <v>130049</v>
      </c>
      <c r="W23" s="2262"/>
      <c r="X23" s="2262"/>
      <c r="Y23" s="2269"/>
    </row>
    <row r="24" spans="1:25" ht="48" customHeight="1" x14ac:dyDescent="0.25">
      <c r="A24" s="288"/>
      <c r="B24" s="2290"/>
      <c r="C24" s="290" t="s">
        <v>46</v>
      </c>
      <c r="D24" s="290" t="s">
        <v>50</v>
      </c>
      <c r="E24" s="290" t="s">
        <v>51</v>
      </c>
      <c r="F24" s="290" t="s">
        <v>52</v>
      </c>
      <c r="G24" s="288"/>
      <c r="Q24" s="288"/>
      <c r="R24" s="288"/>
      <c r="T24" s="2235" t="s">
        <v>47</v>
      </c>
      <c r="U24" s="51" t="s">
        <v>62</v>
      </c>
      <c r="V24" s="2263">
        <f>V14+V16+V17-V18-V19-V20-V22+V23-V21</f>
        <v>2028.5749999999825</v>
      </c>
      <c r="W24" s="2263"/>
      <c r="X24" s="2263"/>
      <c r="Y24" s="2269"/>
    </row>
    <row r="25" spans="1:25" ht="40.5" customHeight="1" x14ac:dyDescent="0.25">
      <c r="T25" s="2235"/>
      <c r="U25" s="51" t="s">
        <v>63</v>
      </c>
      <c r="V25" s="2262">
        <f>V15+V22-V23</f>
        <v>312526</v>
      </c>
      <c r="W25" s="2262"/>
      <c r="X25" s="2262"/>
    </row>
    <row r="26" spans="1:25" ht="36" customHeight="1" x14ac:dyDescent="0.25"/>
    <row r="32" spans="1:25" x14ac:dyDescent="0.25">
      <c r="I32" s="2280"/>
      <c r="J32" s="2280"/>
      <c r="K32" s="2280"/>
      <c r="L32" s="2280"/>
    </row>
    <row r="33" spans="9:12" x14ac:dyDescent="0.25">
      <c r="I33" s="288"/>
      <c r="J33" s="288"/>
      <c r="K33" s="2280"/>
      <c r="L33" s="2280"/>
    </row>
  </sheetData>
  <mergeCells count="62">
    <mergeCell ref="I32:J32"/>
    <mergeCell ref="K32:L32"/>
    <mergeCell ref="K33:L33"/>
    <mergeCell ref="T22:T23"/>
    <mergeCell ref="V22:X22"/>
    <mergeCell ref="V23:X23"/>
    <mergeCell ref="T24:T25"/>
    <mergeCell ref="V24:X24"/>
    <mergeCell ref="V25:X25"/>
    <mergeCell ref="Y18:Y24"/>
    <mergeCell ref="B19:C19"/>
    <mergeCell ref="Q19:R19"/>
    <mergeCell ref="T19:T20"/>
    <mergeCell ref="V19:X19"/>
    <mergeCell ref="B20:C20"/>
    <mergeCell ref="B22:B24"/>
    <mergeCell ref="C22:C23"/>
    <mergeCell ref="D22:D23"/>
    <mergeCell ref="E22:E23"/>
    <mergeCell ref="F22:F23"/>
    <mergeCell ref="Q20:R20"/>
    <mergeCell ref="V20:X20"/>
    <mergeCell ref="B21:C21"/>
    <mergeCell ref="T21:U21"/>
    <mergeCell ref="V21:X21"/>
    <mergeCell ref="B17:C17"/>
    <mergeCell ref="Q17:R17"/>
    <mergeCell ref="T17:U17"/>
    <mergeCell ref="V17:X17"/>
    <mergeCell ref="B18:C18"/>
    <mergeCell ref="Q18:R18"/>
    <mergeCell ref="T18:U18"/>
    <mergeCell ref="V18:X18"/>
    <mergeCell ref="W4:X4"/>
    <mergeCell ref="B16:C16"/>
    <mergeCell ref="Q16:R16"/>
    <mergeCell ref="T16:U16"/>
    <mergeCell ref="V16:X16"/>
    <mergeCell ref="A12:B12"/>
    <mergeCell ref="B14:C14"/>
    <mergeCell ref="Q14:R14"/>
    <mergeCell ref="T14:T15"/>
    <mergeCell ref="V14:X14"/>
    <mergeCell ref="B15:C15"/>
    <mergeCell ref="Q15:R15"/>
    <mergeCell ref="V15:X15"/>
    <mergeCell ref="A1:Y1"/>
    <mergeCell ref="A2:Y2"/>
    <mergeCell ref="T3:Y3"/>
    <mergeCell ref="A4:A5"/>
    <mergeCell ref="B4:B5"/>
    <mergeCell ref="C4:D4"/>
    <mergeCell ref="E4:F4"/>
    <mergeCell ref="G4:H4"/>
    <mergeCell ref="I4:J4"/>
    <mergeCell ref="K4:L4"/>
    <mergeCell ref="Y4:Y5"/>
    <mergeCell ref="M4:N4"/>
    <mergeCell ref="O4:P4"/>
    <mergeCell ref="Q4:R4"/>
    <mergeCell ref="S4:T4"/>
    <mergeCell ref="U4:V4"/>
  </mergeCells>
  <pageMargins left="0.15748031496063" right="0.15748031496063" top="0" bottom="0" header="0" footer="0"/>
  <pageSetup paperSize="9" scale="47" orientation="landscape" r:id="rId1"/>
  <legacyDrawing r:id="rId2"/>
</worksheet>
</file>

<file path=xl/worksheets/sheet10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442E580-8369-4FB8-8314-B95C1F39BF38}">
  <sheetPr>
    <pageSetUpPr fitToPage="1"/>
  </sheetPr>
  <dimension ref="A1:Y33"/>
  <sheetViews>
    <sheetView topLeftCell="A14" zoomScale="71" zoomScaleNormal="71" zoomScaleSheetLayoutView="100" workbookViewId="0">
      <selection activeCell="K24" sqref="K24"/>
    </sheetView>
  </sheetViews>
  <sheetFormatPr defaultColWidth="9.140625" defaultRowHeight="15" x14ac:dyDescent="0.25"/>
  <cols>
    <col min="1" max="1" width="18.28515625" style="14" customWidth="1"/>
    <col min="2" max="2" width="10.7109375" style="14" customWidth="1"/>
    <col min="3" max="3" width="12.28515625" style="14" customWidth="1"/>
    <col min="4" max="4" width="11" style="14" customWidth="1"/>
    <col min="5" max="5" width="12" style="14" customWidth="1"/>
    <col min="6" max="6" width="12.5703125" style="14" bestFit="1" customWidth="1"/>
    <col min="7" max="7" width="9.28515625" style="14" bestFit="1" customWidth="1"/>
    <col min="8" max="8" width="10.140625" style="14" bestFit="1" customWidth="1"/>
    <col min="9" max="9" width="10.5703125" style="14" bestFit="1" customWidth="1"/>
    <col min="10" max="10" width="10.5703125" style="14" customWidth="1"/>
    <col min="11" max="11" width="10.28515625" style="14" bestFit="1" customWidth="1"/>
    <col min="12" max="12" width="10.42578125" style="14" bestFit="1" customWidth="1"/>
    <col min="13" max="13" width="9.85546875" style="14" bestFit="1" customWidth="1"/>
    <col min="14" max="14" width="10.140625" style="14" bestFit="1" customWidth="1"/>
    <col min="15" max="15" width="9" style="14" customWidth="1"/>
    <col min="16" max="16" width="12.85546875" style="14" bestFit="1" customWidth="1"/>
    <col min="17" max="18" width="9.42578125" style="14" customWidth="1"/>
    <col min="19" max="19" width="13.7109375" style="14" customWidth="1"/>
    <col min="20" max="20" width="12.140625" style="14" customWidth="1"/>
    <col min="21" max="21" width="19.5703125" style="14" bestFit="1" customWidth="1"/>
    <col min="22" max="22" width="9.85546875" style="14" customWidth="1"/>
    <col min="23" max="23" width="10.140625" style="14" bestFit="1" customWidth="1"/>
    <col min="24" max="24" width="10.28515625" style="14" customWidth="1"/>
    <col min="25" max="25" width="28" style="14" customWidth="1"/>
    <col min="26" max="16384" width="9.140625" style="14"/>
  </cols>
  <sheetData>
    <row r="1" spans="1:25" ht="46.15" customHeight="1" x14ac:dyDescent="0.25">
      <c r="A1" s="2240" t="s">
        <v>148</v>
      </c>
      <c r="B1" s="2240"/>
      <c r="C1" s="2240"/>
      <c r="D1" s="2240"/>
      <c r="E1" s="2240"/>
      <c r="F1" s="2240"/>
      <c r="G1" s="2240"/>
      <c r="H1" s="2240"/>
      <c r="I1" s="2240"/>
      <c r="J1" s="2240"/>
      <c r="K1" s="2240"/>
      <c r="L1" s="2240"/>
      <c r="M1" s="2240"/>
      <c r="N1" s="2240"/>
      <c r="O1" s="2240"/>
      <c r="P1" s="2240"/>
      <c r="Q1" s="2240"/>
      <c r="R1" s="2240"/>
      <c r="S1" s="2240"/>
      <c r="T1" s="2240"/>
      <c r="U1" s="2240"/>
      <c r="V1" s="2240"/>
      <c r="W1" s="2240"/>
      <c r="X1" s="2240"/>
      <c r="Y1" s="2240"/>
    </row>
    <row r="2" spans="1:25" ht="21.6" customHeight="1" x14ac:dyDescent="0.25">
      <c r="A2" s="2241" t="s">
        <v>77</v>
      </c>
      <c r="B2" s="2241"/>
      <c r="C2" s="2241"/>
      <c r="D2" s="2241"/>
      <c r="E2" s="2241"/>
      <c r="F2" s="2241"/>
      <c r="G2" s="2241"/>
      <c r="H2" s="2241"/>
      <c r="I2" s="2241"/>
      <c r="J2" s="2241"/>
      <c r="K2" s="2241"/>
      <c r="L2" s="2241"/>
      <c r="M2" s="2241"/>
      <c r="N2" s="2241"/>
      <c r="O2" s="2241"/>
      <c r="P2" s="2241"/>
      <c r="Q2" s="2241"/>
      <c r="R2" s="2241"/>
      <c r="S2" s="2241"/>
      <c r="T2" s="2241"/>
      <c r="U2" s="2241"/>
      <c r="V2" s="2241"/>
      <c r="W2" s="2241"/>
      <c r="X2" s="2241"/>
      <c r="Y2" s="2241"/>
    </row>
    <row r="3" spans="1:25" ht="21" customHeight="1" x14ac:dyDescent="0.25">
      <c r="A3" s="278"/>
      <c r="B3" s="278"/>
      <c r="C3" s="278"/>
      <c r="D3" s="278"/>
      <c r="E3" s="278"/>
      <c r="F3" s="278"/>
      <c r="G3" s="278"/>
      <c r="H3" s="278"/>
      <c r="I3" s="278"/>
      <c r="J3" s="278"/>
      <c r="K3" s="278"/>
      <c r="L3" s="278"/>
      <c r="M3" s="278"/>
      <c r="N3" s="278"/>
      <c r="O3" s="278"/>
      <c r="P3" s="278"/>
      <c r="Q3" s="278"/>
      <c r="R3" s="278"/>
      <c r="S3" s="278"/>
      <c r="T3" s="2242" t="s">
        <v>292</v>
      </c>
      <c r="U3" s="2242"/>
      <c r="V3" s="2242"/>
      <c r="W3" s="2242"/>
      <c r="X3" s="2242"/>
      <c r="Y3" s="2242"/>
    </row>
    <row r="4" spans="1:25" s="278" customFormat="1" ht="18" customHeight="1" x14ac:dyDescent="0.25">
      <c r="A4" s="2243" t="s">
        <v>25</v>
      </c>
      <c r="B4" s="2243" t="s">
        <v>26</v>
      </c>
      <c r="C4" s="2244" t="s">
        <v>27</v>
      </c>
      <c r="D4" s="2244"/>
      <c r="E4" s="2244" t="s">
        <v>28</v>
      </c>
      <c r="F4" s="2244"/>
      <c r="G4" s="2244" t="s">
        <v>65</v>
      </c>
      <c r="H4" s="2244"/>
      <c r="I4" s="2244" t="s">
        <v>29</v>
      </c>
      <c r="J4" s="2244"/>
      <c r="K4" s="2245" t="s">
        <v>13</v>
      </c>
      <c r="L4" s="2246"/>
      <c r="M4" s="2245" t="s">
        <v>67</v>
      </c>
      <c r="N4" s="2246"/>
      <c r="O4" s="2245" t="s">
        <v>68</v>
      </c>
      <c r="P4" s="2246"/>
      <c r="Q4" s="2245" t="s">
        <v>114</v>
      </c>
      <c r="R4" s="2246"/>
      <c r="S4" s="2244" t="s">
        <v>35</v>
      </c>
      <c r="T4" s="2244"/>
      <c r="U4" s="2245" t="s">
        <v>17</v>
      </c>
      <c r="V4" s="2246"/>
      <c r="W4" s="2247" t="s">
        <v>36</v>
      </c>
      <c r="X4" s="2248"/>
      <c r="Y4" s="2238" t="s">
        <v>30</v>
      </c>
    </row>
    <row r="5" spans="1:25" s="278" customFormat="1" ht="25.5" customHeight="1" x14ac:dyDescent="0.25">
      <c r="A5" s="2243"/>
      <c r="B5" s="2243"/>
      <c r="C5" s="280" t="s">
        <v>42</v>
      </c>
      <c r="D5" s="280" t="s">
        <v>43</v>
      </c>
      <c r="E5" s="280" t="s">
        <v>42</v>
      </c>
      <c r="F5" s="280" t="s">
        <v>43</v>
      </c>
      <c r="G5" s="280" t="s">
        <v>42</v>
      </c>
      <c r="H5" s="280" t="s">
        <v>43</v>
      </c>
      <c r="I5" s="280" t="s">
        <v>42</v>
      </c>
      <c r="J5" s="280" t="s">
        <v>43</v>
      </c>
      <c r="K5" s="280" t="s">
        <v>42</v>
      </c>
      <c r="L5" s="280" t="s">
        <v>43</v>
      </c>
      <c r="M5" s="280" t="s">
        <v>42</v>
      </c>
      <c r="N5" s="280" t="s">
        <v>43</v>
      </c>
      <c r="O5" s="280" t="s">
        <v>42</v>
      </c>
      <c r="P5" s="280" t="s">
        <v>43</v>
      </c>
      <c r="Q5" s="280" t="s">
        <v>42</v>
      </c>
      <c r="R5" s="280" t="s">
        <v>43</v>
      </c>
      <c r="S5" s="33" t="s">
        <v>42</v>
      </c>
      <c r="T5" s="33" t="s">
        <v>43</v>
      </c>
      <c r="U5" s="30" t="s">
        <v>42</v>
      </c>
      <c r="V5" s="30" t="s">
        <v>43</v>
      </c>
      <c r="W5" s="30" t="s">
        <v>42</v>
      </c>
      <c r="X5" s="30" t="s">
        <v>43</v>
      </c>
      <c r="Y5" s="2239"/>
    </row>
    <row r="6" spans="1:25" ht="34.5" customHeight="1" x14ac:dyDescent="0.25">
      <c r="A6" s="12">
        <v>1409935200</v>
      </c>
      <c r="B6" s="279" t="s">
        <v>71</v>
      </c>
      <c r="C6" s="282">
        <v>51414</v>
      </c>
      <c r="D6" s="283">
        <f>0.9725*C6</f>
        <v>50000.114999999998</v>
      </c>
      <c r="E6" s="282"/>
      <c r="F6" s="282">
        <f>13.7*E6</f>
        <v>0</v>
      </c>
      <c r="G6" s="282">
        <v>10</v>
      </c>
      <c r="H6" s="282">
        <f>28.2*G6</f>
        <v>282</v>
      </c>
      <c r="I6" s="282">
        <v>430</v>
      </c>
      <c r="J6" s="282">
        <f>18.5*I6</f>
        <v>7955</v>
      </c>
      <c r="K6" s="282"/>
      <c r="L6" s="282">
        <f>19.5*K6</f>
        <v>0</v>
      </c>
      <c r="M6" s="282"/>
      <c r="N6" s="283">
        <f>M6*9.75</f>
        <v>0</v>
      </c>
      <c r="O6" s="282"/>
      <c r="P6" s="283">
        <f>O6*48.62</f>
        <v>0</v>
      </c>
      <c r="Q6" s="283"/>
      <c r="R6" s="283">
        <f>241*Q6</f>
        <v>0</v>
      </c>
      <c r="S6" s="282">
        <v>1</v>
      </c>
      <c r="T6" s="282">
        <f>241*S6</f>
        <v>241</v>
      </c>
      <c r="U6" s="282"/>
      <c r="V6" s="282">
        <f>232*U6</f>
        <v>0</v>
      </c>
      <c r="W6" s="282"/>
      <c r="X6" s="19">
        <f>W6*100</f>
        <v>0</v>
      </c>
      <c r="Y6" s="89">
        <f t="shared" ref="Y6:Y11" si="0">D6+F6+H6+J6+L6+N6+P6+R6+T6+V6+X6</f>
        <v>58478.114999999998</v>
      </c>
    </row>
    <row r="7" spans="1:25" ht="31.5" customHeight="1" x14ac:dyDescent="0.25">
      <c r="A7" s="12">
        <v>1984225578</v>
      </c>
      <c r="B7" s="279" t="s">
        <v>72</v>
      </c>
      <c r="C7" s="282">
        <v>25588</v>
      </c>
      <c r="D7" s="283">
        <f t="shared" ref="D7:D11" si="1">0.9725*C7</f>
        <v>24884.33</v>
      </c>
      <c r="E7" s="282"/>
      <c r="F7" s="282">
        <f t="shared" ref="F7:F11" si="2">13.7*E7</f>
        <v>0</v>
      </c>
      <c r="G7" s="282"/>
      <c r="H7" s="282">
        <f t="shared" ref="H7:H11" si="3">28.2*G7</f>
        <v>0</v>
      </c>
      <c r="I7" s="282">
        <v>310</v>
      </c>
      <c r="J7" s="282">
        <f t="shared" ref="J7:J11" si="4">18.5*I7</f>
        <v>5735</v>
      </c>
      <c r="K7" s="282"/>
      <c r="L7" s="282">
        <f t="shared" ref="L7:L11" si="5">19.5*K7</f>
        <v>0</v>
      </c>
      <c r="M7" s="282"/>
      <c r="N7" s="283">
        <f t="shared" ref="N7:N11" si="6">M7*9.75</f>
        <v>0</v>
      </c>
      <c r="O7" s="282"/>
      <c r="P7" s="283">
        <f t="shared" ref="P7:P11" si="7">O7*48.62</f>
        <v>0</v>
      </c>
      <c r="Q7" s="283"/>
      <c r="R7" s="283">
        <f t="shared" ref="R7:R11" si="8">241*Q7</f>
        <v>0</v>
      </c>
      <c r="S7" s="282"/>
      <c r="T7" s="282">
        <f t="shared" ref="T7:T11" si="9">241*S7</f>
        <v>0</v>
      </c>
      <c r="U7" s="282"/>
      <c r="V7" s="282">
        <f t="shared" ref="V7:V11" si="10">232*U7</f>
        <v>0</v>
      </c>
      <c r="W7" s="282"/>
      <c r="X7" s="19">
        <f t="shared" ref="X7:X11" si="11">W7*100</f>
        <v>0</v>
      </c>
      <c r="Y7" s="89">
        <f t="shared" si="0"/>
        <v>30619.33</v>
      </c>
    </row>
    <row r="8" spans="1:25" ht="35.25" customHeight="1" x14ac:dyDescent="0.25">
      <c r="A8" s="12">
        <v>1967020280</v>
      </c>
      <c r="B8" s="279" t="s">
        <v>73</v>
      </c>
      <c r="C8" s="282">
        <v>35857</v>
      </c>
      <c r="D8" s="283">
        <f t="shared" si="1"/>
        <v>34870.932500000003</v>
      </c>
      <c r="E8" s="282"/>
      <c r="F8" s="282">
        <f t="shared" si="2"/>
        <v>0</v>
      </c>
      <c r="G8" s="282"/>
      <c r="H8" s="282">
        <f t="shared" si="3"/>
        <v>0</v>
      </c>
      <c r="I8" s="282"/>
      <c r="J8" s="282">
        <f t="shared" si="4"/>
        <v>0</v>
      </c>
      <c r="K8" s="282"/>
      <c r="L8" s="282">
        <f t="shared" si="5"/>
        <v>0</v>
      </c>
      <c r="M8" s="282"/>
      <c r="N8" s="283">
        <f t="shared" si="6"/>
        <v>0</v>
      </c>
      <c r="O8" s="282"/>
      <c r="P8" s="283">
        <f t="shared" si="7"/>
        <v>0</v>
      </c>
      <c r="Q8" s="283"/>
      <c r="R8" s="283">
        <f t="shared" si="8"/>
        <v>0</v>
      </c>
      <c r="S8" s="282"/>
      <c r="T8" s="282">
        <f t="shared" si="9"/>
        <v>0</v>
      </c>
      <c r="U8" s="282"/>
      <c r="V8" s="282">
        <f t="shared" si="10"/>
        <v>0</v>
      </c>
      <c r="W8" s="282"/>
      <c r="X8" s="19">
        <f t="shared" si="11"/>
        <v>0</v>
      </c>
      <c r="Y8" s="89">
        <f t="shared" si="0"/>
        <v>34870.932500000003</v>
      </c>
    </row>
    <row r="9" spans="1:25" ht="38.25" customHeight="1" x14ac:dyDescent="0.25">
      <c r="A9" s="12">
        <v>1409935199</v>
      </c>
      <c r="B9" s="279" t="s">
        <v>75</v>
      </c>
      <c r="C9" s="282">
        <v>26632</v>
      </c>
      <c r="D9" s="283">
        <f t="shared" si="1"/>
        <v>25899.620000000003</v>
      </c>
      <c r="E9" s="282"/>
      <c r="F9" s="282">
        <f t="shared" si="2"/>
        <v>0</v>
      </c>
      <c r="G9" s="282"/>
      <c r="H9" s="282">
        <f t="shared" si="3"/>
        <v>0</v>
      </c>
      <c r="I9" s="282"/>
      <c r="J9" s="282">
        <f t="shared" si="4"/>
        <v>0</v>
      </c>
      <c r="K9" s="282"/>
      <c r="L9" s="282">
        <f t="shared" si="5"/>
        <v>0</v>
      </c>
      <c r="M9" s="282"/>
      <c r="N9" s="283">
        <f t="shared" si="6"/>
        <v>0</v>
      </c>
      <c r="O9" s="282"/>
      <c r="P9" s="283">
        <f t="shared" si="7"/>
        <v>0</v>
      </c>
      <c r="Q9" s="283"/>
      <c r="R9" s="283">
        <f t="shared" si="8"/>
        <v>0</v>
      </c>
      <c r="S9" s="282"/>
      <c r="T9" s="282">
        <f t="shared" si="9"/>
        <v>0</v>
      </c>
      <c r="U9" s="282"/>
      <c r="V9" s="282">
        <f t="shared" si="10"/>
        <v>0</v>
      </c>
      <c r="W9" s="282"/>
      <c r="X9" s="19">
        <f t="shared" si="11"/>
        <v>0</v>
      </c>
      <c r="Y9" s="89">
        <f t="shared" si="0"/>
        <v>25899.620000000003</v>
      </c>
    </row>
    <row r="10" spans="1:25" ht="35.25" customHeight="1" x14ac:dyDescent="0.25">
      <c r="A10" s="12">
        <v>1984225580</v>
      </c>
      <c r="C10" s="282"/>
      <c r="D10" s="283">
        <f t="shared" si="1"/>
        <v>0</v>
      </c>
      <c r="E10" s="282"/>
      <c r="F10" s="282">
        <f t="shared" si="2"/>
        <v>0</v>
      </c>
      <c r="G10" s="282"/>
      <c r="H10" s="282">
        <f t="shared" si="3"/>
        <v>0</v>
      </c>
      <c r="I10" s="282"/>
      <c r="J10" s="282">
        <f t="shared" si="4"/>
        <v>0</v>
      </c>
      <c r="K10" s="282"/>
      <c r="L10" s="282">
        <f t="shared" si="5"/>
        <v>0</v>
      </c>
      <c r="M10" s="282"/>
      <c r="N10" s="283">
        <f t="shared" si="6"/>
        <v>0</v>
      </c>
      <c r="O10" s="282"/>
      <c r="P10" s="283">
        <f t="shared" si="7"/>
        <v>0</v>
      </c>
      <c r="Q10" s="283"/>
      <c r="R10" s="283">
        <f t="shared" si="8"/>
        <v>0</v>
      </c>
      <c r="S10" s="282"/>
      <c r="T10" s="282">
        <f t="shared" si="9"/>
        <v>0</v>
      </c>
      <c r="U10" s="282"/>
      <c r="V10" s="282">
        <f t="shared" si="10"/>
        <v>0</v>
      </c>
      <c r="W10" s="282"/>
      <c r="X10" s="19">
        <f t="shared" si="11"/>
        <v>0</v>
      </c>
      <c r="Y10" s="89">
        <f t="shared" si="0"/>
        <v>0</v>
      </c>
    </row>
    <row r="11" spans="1:25" ht="37.5" customHeight="1" x14ac:dyDescent="0.25">
      <c r="A11" s="12"/>
      <c r="B11" s="281"/>
      <c r="C11" s="282"/>
      <c r="D11" s="22">
        <f t="shared" si="1"/>
        <v>0</v>
      </c>
      <c r="E11" s="282"/>
      <c r="F11" s="282">
        <f t="shared" si="2"/>
        <v>0</v>
      </c>
      <c r="G11" s="282"/>
      <c r="H11" s="282">
        <f t="shared" si="3"/>
        <v>0</v>
      </c>
      <c r="I11" s="282"/>
      <c r="J11" s="282">
        <f t="shared" si="4"/>
        <v>0</v>
      </c>
      <c r="K11" s="282"/>
      <c r="L11" s="282">
        <f t="shared" si="5"/>
        <v>0</v>
      </c>
      <c r="M11" s="282"/>
      <c r="N11" s="283">
        <f t="shared" si="6"/>
        <v>0</v>
      </c>
      <c r="O11" s="282"/>
      <c r="P11" s="283">
        <f t="shared" si="7"/>
        <v>0</v>
      </c>
      <c r="Q11" s="283"/>
      <c r="R11" s="283">
        <f t="shared" si="8"/>
        <v>0</v>
      </c>
      <c r="S11" s="282"/>
      <c r="T11" s="282">
        <f t="shared" si="9"/>
        <v>0</v>
      </c>
      <c r="U11" s="282"/>
      <c r="V11" s="282">
        <f t="shared" si="10"/>
        <v>0</v>
      </c>
      <c r="W11" s="282"/>
      <c r="X11" s="19">
        <f t="shared" si="11"/>
        <v>0</v>
      </c>
      <c r="Y11" s="20">
        <f t="shared" si="0"/>
        <v>0</v>
      </c>
    </row>
    <row r="12" spans="1:25" ht="29.25" customHeight="1" x14ac:dyDescent="0.25">
      <c r="A12" s="2235" t="s">
        <v>31</v>
      </c>
      <c r="B12" s="2235"/>
      <c r="C12" s="18">
        <f t="shared" ref="C12:Y12" si="12">SUM(C6:C11)</f>
        <v>139491</v>
      </c>
      <c r="D12" s="18">
        <f t="shared" si="12"/>
        <v>135654.9975</v>
      </c>
      <c r="E12" s="18">
        <f t="shared" si="12"/>
        <v>0</v>
      </c>
      <c r="F12" s="18">
        <f t="shared" si="12"/>
        <v>0</v>
      </c>
      <c r="G12" s="18">
        <f t="shared" si="12"/>
        <v>10</v>
      </c>
      <c r="H12" s="18">
        <f t="shared" si="12"/>
        <v>282</v>
      </c>
      <c r="I12" s="18">
        <f t="shared" si="12"/>
        <v>740</v>
      </c>
      <c r="J12" s="18">
        <f t="shared" si="12"/>
        <v>13690</v>
      </c>
      <c r="K12" s="18">
        <f t="shared" si="12"/>
        <v>0</v>
      </c>
      <c r="L12" s="18">
        <f t="shared" si="12"/>
        <v>0</v>
      </c>
      <c r="M12" s="18">
        <f t="shared" si="12"/>
        <v>0</v>
      </c>
      <c r="N12" s="23">
        <f t="shared" si="12"/>
        <v>0</v>
      </c>
      <c r="O12" s="18">
        <f t="shared" si="12"/>
        <v>0</v>
      </c>
      <c r="P12" s="23">
        <f t="shared" si="12"/>
        <v>0</v>
      </c>
      <c r="Q12" s="23">
        <f t="shared" si="12"/>
        <v>0</v>
      </c>
      <c r="R12" s="23">
        <f>SUM(R6:R11)</f>
        <v>0</v>
      </c>
      <c r="S12" s="18">
        <f t="shared" si="12"/>
        <v>1</v>
      </c>
      <c r="T12" s="18">
        <f t="shared" si="12"/>
        <v>241</v>
      </c>
      <c r="U12" s="18">
        <f t="shared" si="12"/>
        <v>0</v>
      </c>
      <c r="V12" s="18">
        <f t="shared" si="12"/>
        <v>0</v>
      </c>
      <c r="W12" s="18">
        <f t="shared" si="12"/>
        <v>0</v>
      </c>
      <c r="X12" s="18">
        <f t="shared" si="12"/>
        <v>0</v>
      </c>
      <c r="Y12" s="18">
        <f t="shared" si="12"/>
        <v>149867.9975</v>
      </c>
    </row>
    <row r="14" spans="1:25" ht="41.25" customHeight="1" x14ac:dyDescent="0.25">
      <c r="A14" s="30" t="s">
        <v>32</v>
      </c>
      <c r="B14" s="2236" t="s">
        <v>27</v>
      </c>
      <c r="C14" s="2236"/>
      <c r="D14" s="30" t="s">
        <v>33</v>
      </c>
      <c r="E14" s="30" t="s">
        <v>65</v>
      </c>
      <c r="F14" s="30" t="s">
        <v>34</v>
      </c>
      <c r="G14" s="30" t="s">
        <v>13</v>
      </c>
      <c r="H14" s="142" t="s">
        <v>173</v>
      </c>
      <c r="I14" s="30" t="s">
        <v>17</v>
      </c>
      <c r="J14" s="287" t="s">
        <v>174</v>
      </c>
      <c r="K14" s="30" t="s">
        <v>36</v>
      </c>
      <c r="L14" s="30" t="s">
        <v>175</v>
      </c>
      <c r="M14" s="30" t="s">
        <v>69</v>
      </c>
      <c r="N14" s="30" t="s">
        <v>70</v>
      </c>
      <c r="O14" s="287" t="s">
        <v>114</v>
      </c>
      <c r="P14" s="287" t="s">
        <v>99</v>
      </c>
      <c r="Q14" s="2272" t="s">
        <v>256</v>
      </c>
      <c r="R14" s="2272"/>
      <c r="S14" s="287"/>
      <c r="T14" s="2235" t="s">
        <v>46</v>
      </c>
      <c r="U14" s="279" t="s">
        <v>176</v>
      </c>
      <c r="V14" s="2260">
        <v>2029</v>
      </c>
      <c r="W14" s="2268"/>
      <c r="X14" s="2261"/>
    </row>
    <row r="15" spans="1:25" ht="22.5" customHeight="1" x14ac:dyDescent="0.25">
      <c r="A15" s="100" t="s">
        <v>38</v>
      </c>
      <c r="B15" s="2260">
        <v>384626</v>
      </c>
      <c r="C15" s="2261"/>
      <c r="D15" s="284">
        <v>0</v>
      </c>
      <c r="E15" s="284">
        <v>1110</v>
      </c>
      <c r="F15" s="284">
        <v>4080</v>
      </c>
      <c r="G15" s="284">
        <v>0</v>
      </c>
      <c r="H15" s="284">
        <v>116</v>
      </c>
      <c r="I15" s="284">
        <v>0</v>
      </c>
      <c r="J15" s="284">
        <v>95</v>
      </c>
      <c r="K15" s="284">
        <v>69</v>
      </c>
      <c r="L15" s="284">
        <v>1149</v>
      </c>
      <c r="M15" s="284">
        <v>0</v>
      </c>
      <c r="N15" s="284">
        <v>100</v>
      </c>
      <c r="O15" s="284">
        <v>0</v>
      </c>
      <c r="P15" s="284">
        <v>404</v>
      </c>
      <c r="Q15" s="2262">
        <v>47</v>
      </c>
      <c r="R15" s="2262"/>
      <c r="S15" s="279">
        <v>0</v>
      </c>
      <c r="T15" s="2235"/>
      <c r="U15" s="279" t="s">
        <v>64</v>
      </c>
      <c r="V15" s="2262">
        <v>312526</v>
      </c>
      <c r="W15" s="2262"/>
      <c r="X15" s="2262"/>
    </row>
    <row r="16" spans="1:25" ht="24.75" customHeight="1" x14ac:dyDescent="0.25">
      <c r="A16" s="100" t="s">
        <v>39</v>
      </c>
      <c r="B16" s="2260"/>
      <c r="C16" s="2261"/>
      <c r="D16" s="284"/>
      <c r="E16" s="284"/>
      <c r="F16" s="284"/>
      <c r="G16" s="284"/>
      <c r="H16" s="284"/>
      <c r="I16" s="284"/>
      <c r="J16" s="284"/>
      <c r="K16" s="284"/>
      <c r="L16" s="284"/>
      <c r="M16" s="284"/>
      <c r="N16" s="284"/>
      <c r="O16" s="284"/>
      <c r="P16" s="284"/>
      <c r="Q16" s="2225"/>
      <c r="R16" s="2225"/>
      <c r="S16" s="284"/>
      <c r="T16" s="2254" t="s">
        <v>55</v>
      </c>
      <c r="U16" s="2254"/>
      <c r="V16" s="2267">
        <f>Y12</f>
        <v>149867.9975</v>
      </c>
      <c r="W16" s="2267"/>
      <c r="X16" s="2262"/>
    </row>
    <row r="17" spans="1:25" ht="28.5" customHeight="1" x14ac:dyDescent="0.25">
      <c r="A17" s="101" t="s">
        <v>44</v>
      </c>
      <c r="B17" s="2260">
        <v>50972</v>
      </c>
      <c r="C17" s="2261"/>
      <c r="D17" s="284"/>
      <c r="E17" s="284"/>
      <c r="F17" s="284"/>
      <c r="G17" s="284"/>
      <c r="H17" s="284"/>
      <c r="I17" s="284"/>
      <c r="J17" s="284"/>
      <c r="K17" s="284"/>
      <c r="L17" s="284"/>
      <c r="M17" s="284"/>
      <c r="N17" s="284"/>
      <c r="O17" s="284"/>
      <c r="P17" s="284"/>
      <c r="Q17" s="2225"/>
      <c r="R17" s="2225"/>
      <c r="S17" s="281"/>
      <c r="T17" s="2294"/>
      <c r="U17" s="2295"/>
      <c r="V17" s="2296"/>
      <c r="W17" s="2296"/>
      <c r="X17" s="2296"/>
    </row>
    <row r="18" spans="1:25" ht="27" customHeight="1" x14ac:dyDescent="0.25">
      <c r="A18" s="100" t="s">
        <v>40</v>
      </c>
      <c r="B18" s="2264">
        <f>C12</f>
        <v>139491</v>
      </c>
      <c r="C18" s="2261"/>
      <c r="D18" s="285">
        <f>E12</f>
        <v>0</v>
      </c>
      <c r="E18" s="285">
        <f>G12</f>
        <v>10</v>
      </c>
      <c r="F18" s="285">
        <f>I12</f>
        <v>740</v>
      </c>
      <c r="G18" s="285">
        <f>K12</f>
        <v>0</v>
      </c>
      <c r="H18" s="284">
        <v>1</v>
      </c>
      <c r="I18" s="285">
        <f>U12</f>
        <v>0</v>
      </c>
      <c r="J18" s="284"/>
      <c r="K18" s="285">
        <f>W12</f>
        <v>0</v>
      </c>
      <c r="L18" s="284"/>
      <c r="M18" s="285">
        <f>M12</f>
        <v>0</v>
      </c>
      <c r="N18" s="285">
        <f>O12</f>
        <v>0</v>
      </c>
      <c r="O18" s="286">
        <f>Q12</f>
        <v>0</v>
      </c>
      <c r="P18" s="284"/>
      <c r="Q18" s="2262"/>
      <c r="R18" s="2262"/>
      <c r="S18" s="279"/>
      <c r="T18" s="2254" t="s">
        <v>57</v>
      </c>
      <c r="U18" s="2254"/>
      <c r="V18" s="2262">
        <v>520</v>
      </c>
      <c r="W18" s="2262"/>
      <c r="X18" s="2262"/>
      <c r="Y18" s="2269" t="s">
        <v>291</v>
      </c>
    </row>
    <row r="19" spans="1:25" ht="25.5" customHeight="1" x14ac:dyDescent="0.25">
      <c r="A19" s="100" t="s">
        <v>41</v>
      </c>
      <c r="B19" s="2260">
        <f>B15+B16+B17-B18</f>
        <v>296107</v>
      </c>
      <c r="C19" s="2261"/>
      <c r="D19" s="284">
        <f>D15+D16+D17-D18</f>
        <v>0</v>
      </c>
      <c r="E19" s="284">
        <f t="shared" ref="E19:N19" si="13">E15+E16+E17-E18</f>
        <v>1100</v>
      </c>
      <c r="F19" s="284">
        <f t="shared" si="13"/>
        <v>3340</v>
      </c>
      <c r="G19" s="284">
        <f t="shared" si="13"/>
        <v>0</v>
      </c>
      <c r="H19" s="284">
        <f t="shared" si="13"/>
        <v>115</v>
      </c>
      <c r="I19" s="284">
        <f t="shared" si="13"/>
        <v>0</v>
      </c>
      <c r="J19" s="284">
        <f t="shared" si="13"/>
        <v>95</v>
      </c>
      <c r="K19" s="284">
        <f t="shared" si="13"/>
        <v>69</v>
      </c>
      <c r="L19" s="284">
        <f t="shared" si="13"/>
        <v>1149</v>
      </c>
      <c r="M19" s="284">
        <f t="shared" si="13"/>
        <v>0</v>
      </c>
      <c r="N19" s="284">
        <f t="shared" si="13"/>
        <v>100</v>
      </c>
      <c r="O19" s="284">
        <f>O15+O16+O17-O18</f>
        <v>0</v>
      </c>
      <c r="P19" s="284">
        <f>P15+P16+P17-P18</f>
        <v>404</v>
      </c>
      <c r="Q19" s="2260">
        <f t="shared" ref="Q19" si="14">Q15+Q16+Q17-Q18</f>
        <v>47</v>
      </c>
      <c r="R19" s="2261"/>
      <c r="S19" s="279">
        <f>S15+S16-S17-S18</f>
        <v>0</v>
      </c>
      <c r="T19" s="2256" t="s">
        <v>48</v>
      </c>
      <c r="U19" s="49" t="s">
        <v>58</v>
      </c>
      <c r="V19" s="2262"/>
      <c r="W19" s="2262"/>
      <c r="X19" s="2262"/>
      <c r="Y19" s="2269"/>
    </row>
    <row r="20" spans="1:25" ht="23.25" customHeight="1" x14ac:dyDescent="0.25">
      <c r="A20" s="289" t="s">
        <v>187</v>
      </c>
      <c r="B20" s="2286">
        <f>B19*0.9625</f>
        <v>285002.98749999999</v>
      </c>
      <c r="C20" s="2287"/>
      <c r="D20" s="290">
        <f>D19*13.56</f>
        <v>0</v>
      </c>
      <c r="E20" s="290">
        <f>28.2*E19</f>
        <v>31020</v>
      </c>
      <c r="F20" s="290">
        <f>18.31*F19</f>
        <v>61155.399999999994</v>
      </c>
      <c r="G20" s="290">
        <f>19.3*G19</f>
        <v>0</v>
      </c>
      <c r="H20" s="290">
        <f>241*H19</f>
        <v>27715</v>
      </c>
      <c r="I20" s="290">
        <f>223*I19</f>
        <v>0</v>
      </c>
      <c r="J20" s="290">
        <f>241*J19</f>
        <v>22895</v>
      </c>
      <c r="K20" s="290">
        <f>K19*100</f>
        <v>6900</v>
      </c>
      <c r="L20" s="290">
        <f>241*L19</f>
        <v>276909</v>
      </c>
      <c r="M20" s="290">
        <f>9.65*M19</f>
        <v>0</v>
      </c>
      <c r="N20" s="290">
        <f>N19*48.2</f>
        <v>4820</v>
      </c>
      <c r="O20" s="290">
        <f>241*O19</f>
        <v>0</v>
      </c>
      <c r="P20" s="290">
        <f>241*P19</f>
        <v>97364</v>
      </c>
      <c r="Q20" s="2286">
        <f>241*Q19</f>
        <v>11327</v>
      </c>
      <c r="R20" s="2287"/>
      <c r="S20" s="290">
        <f>241*S19</f>
        <v>0</v>
      </c>
      <c r="T20" s="2257"/>
      <c r="U20" s="49" t="s">
        <v>59</v>
      </c>
      <c r="V20" s="2262"/>
      <c r="W20" s="2262"/>
      <c r="X20" s="2262"/>
      <c r="Y20" s="2269"/>
    </row>
    <row r="21" spans="1:25" ht="32.25" customHeight="1" x14ac:dyDescent="0.25">
      <c r="A21" s="291" t="s">
        <v>186</v>
      </c>
      <c r="B21" s="2293">
        <f>SUM(B20:S20)</f>
        <v>825108.38749999995</v>
      </c>
      <c r="C21" s="2293"/>
      <c r="O21" s="288"/>
      <c r="P21" s="288"/>
      <c r="Q21" s="288"/>
      <c r="R21" s="288"/>
      <c r="T21" s="2273" t="s">
        <v>167</v>
      </c>
      <c r="U21" s="2274"/>
      <c r="V21" s="2260"/>
      <c r="W21" s="2268"/>
      <c r="X21" s="2261"/>
      <c r="Y21" s="2269"/>
    </row>
    <row r="22" spans="1:25" ht="35.25" customHeight="1" x14ac:dyDescent="0.25">
      <c r="A22" s="15"/>
      <c r="B22" s="2288" t="s">
        <v>49</v>
      </c>
      <c r="C22" s="2291">
        <v>1036002</v>
      </c>
      <c r="D22" s="2291"/>
      <c r="E22" s="2291"/>
      <c r="F22" s="2291">
        <f>C22-D22+E22</f>
        <v>1036002</v>
      </c>
      <c r="G22" s="288"/>
      <c r="Q22" s="288"/>
      <c r="R22" s="288"/>
      <c r="T22" s="2251" t="s">
        <v>83</v>
      </c>
      <c r="U22" s="50" t="s">
        <v>60</v>
      </c>
      <c r="V22" s="2262"/>
      <c r="W22" s="2262"/>
      <c r="X22" s="2262"/>
      <c r="Y22" s="2269"/>
    </row>
    <row r="23" spans="1:25" ht="39.75" customHeight="1" x14ac:dyDescent="0.25">
      <c r="A23" s="288"/>
      <c r="B23" s="2289"/>
      <c r="C23" s="2292"/>
      <c r="D23" s="2292"/>
      <c r="E23" s="2292"/>
      <c r="F23" s="2292"/>
      <c r="G23" s="288"/>
      <c r="Q23" s="288"/>
      <c r="R23" s="288"/>
      <c r="T23" s="2252"/>
      <c r="U23" s="50" t="s">
        <v>61</v>
      </c>
      <c r="V23" s="2262"/>
      <c r="W23" s="2262"/>
      <c r="X23" s="2262"/>
      <c r="Y23" s="2269"/>
    </row>
    <row r="24" spans="1:25" ht="48" customHeight="1" x14ac:dyDescent="0.25">
      <c r="A24" s="288"/>
      <c r="B24" s="2290"/>
      <c r="C24" s="290" t="s">
        <v>46</v>
      </c>
      <c r="D24" s="290" t="s">
        <v>50</v>
      </c>
      <c r="E24" s="290" t="s">
        <v>51</v>
      </c>
      <c r="F24" s="290" t="s">
        <v>52</v>
      </c>
      <c r="G24" s="288"/>
      <c r="Q24" s="288"/>
      <c r="R24" s="288"/>
      <c r="T24" s="2235" t="s">
        <v>47</v>
      </c>
      <c r="U24" s="51" t="s">
        <v>62</v>
      </c>
      <c r="V24" s="2263">
        <f>V14+V16+V17-V18-V19-V20-V22+V23-V21</f>
        <v>151376.9975</v>
      </c>
      <c r="W24" s="2263"/>
      <c r="X24" s="2263"/>
      <c r="Y24" s="2269"/>
    </row>
    <row r="25" spans="1:25" ht="40.5" customHeight="1" x14ac:dyDescent="0.25">
      <c r="T25" s="2235"/>
      <c r="U25" s="51" t="s">
        <v>63</v>
      </c>
      <c r="V25" s="2262">
        <f>V15+V22-V23</f>
        <v>312526</v>
      </c>
      <c r="W25" s="2262"/>
      <c r="X25" s="2262"/>
    </row>
    <row r="26" spans="1:25" ht="36" customHeight="1" x14ac:dyDescent="0.25"/>
    <row r="32" spans="1:25" x14ac:dyDescent="0.25">
      <c r="I32" s="2280"/>
      <c r="J32" s="2280"/>
      <c r="K32" s="2280"/>
      <c r="L32" s="2280"/>
    </row>
    <row r="33" spans="9:12" x14ac:dyDescent="0.25">
      <c r="I33" s="288"/>
      <c r="J33" s="288"/>
      <c r="K33" s="2280"/>
      <c r="L33" s="2280"/>
    </row>
  </sheetData>
  <mergeCells count="62">
    <mergeCell ref="I32:J32"/>
    <mergeCell ref="K32:L32"/>
    <mergeCell ref="K33:L33"/>
    <mergeCell ref="T22:T23"/>
    <mergeCell ref="V22:X22"/>
    <mergeCell ref="V23:X23"/>
    <mergeCell ref="T24:T25"/>
    <mergeCell ref="V24:X24"/>
    <mergeCell ref="V25:X25"/>
    <mergeCell ref="Y18:Y24"/>
    <mergeCell ref="B19:C19"/>
    <mergeCell ref="Q19:R19"/>
    <mergeCell ref="T19:T20"/>
    <mergeCell ref="V19:X19"/>
    <mergeCell ref="B20:C20"/>
    <mergeCell ref="B22:B24"/>
    <mergeCell ref="C22:C23"/>
    <mergeCell ref="D22:D23"/>
    <mergeCell ref="E22:E23"/>
    <mergeCell ref="F22:F23"/>
    <mergeCell ref="Q20:R20"/>
    <mergeCell ref="V20:X20"/>
    <mergeCell ref="B21:C21"/>
    <mergeCell ref="T21:U21"/>
    <mergeCell ref="V21:X21"/>
    <mergeCell ref="B17:C17"/>
    <mergeCell ref="Q17:R17"/>
    <mergeCell ref="T17:U17"/>
    <mergeCell ref="V17:X17"/>
    <mergeCell ref="B18:C18"/>
    <mergeCell ref="Q18:R18"/>
    <mergeCell ref="T18:U18"/>
    <mergeCell ref="V18:X18"/>
    <mergeCell ref="W4:X4"/>
    <mergeCell ref="B16:C16"/>
    <mergeCell ref="Q16:R16"/>
    <mergeCell ref="T16:U16"/>
    <mergeCell ref="V16:X16"/>
    <mergeCell ref="A12:B12"/>
    <mergeCell ref="B14:C14"/>
    <mergeCell ref="Q14:R14"/>
    <mergeCell ref="T14:T15"/>
    <mergeCell ref="V14:X14"/>
    <mergeCell ref="B15:C15"/>
    <mergeCell ref="Q15:R15"/>
    <mergeCell ref="V15:X15"/>
    <mergeCell ref="A1:Y1"/>
    <mergeCell ref="A2:Y2"/>
    <mergeCell ref="T3:Y3"/>
    <mergeCell ref="A4:A5"/>
    <mergeCell ref="B4:B5"/>
    <mergeCell ref="C4:D4"/>
    <mergeCell ref="E4:F4"/>
    <mergeCell ref="G4:H4"/>
    <mergeCell ref="I4:J4"/>
    <mergeCell ref="K4:L4"/>
    <mergeCell ref="Y4:Y5"/>
    <mergeCell ref="M4:N4"/>
    <mergeCell ref="O4:P4"/>
    <mergeCell ref="Q4:R4"/>
    <mergeCell ref="S4:T4"/>
    <mergeCell ref="U4:V4"/>
  </mergeCells>
  <pageMargins left="0.15748031496063" right="0.15748031496063" top="0" bottom="0" header="0" footer="0"/>
  <pageSetup paperSize="9" scale="47" orientation="landscape" r:id="rId1"/>
  <legacyDrawing r:id="rId2"/>
</worksheet>
</file>

<file path=xl/worksheets/sheet10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3F565C4-FED0-4629-BA3F-5D288D6A5DEE}">
  <sheetPr>
    <pageSetUpPr fitToPage="1"/>
  </sheetPr>
  <dimension ref="A1:Y33"/>
  <sheetViews>
    <sheetView topLeftCell="A10" zoomScale="71" zoomScaleNormal="71" zoomScaleSheetLayoutView="100" workbookViewId="0">
      <selection activeCell="V18" sqref="V18:X18"/>
    </sheetView>
  </sheetViews>
  <sheetFormatPr defaultColWidth="9.140625" defaultRowHeight="15" x14ac:dyDescent="0.25"/>
  <cols>
    <col min="1" max="1" width="18.28515625" style="14" customWidth="1"/>
    <col min="2" max="2" width="10.7109375" style="14" customWidth="1"/>
    <col min="3" max="3" width="12.28515625" style="14" customWidth="1"/>
    <col min="4" max="4" width="11" style="14" customWidth="1"/>
    <col min="5" max="5" width="12" style="14" customWidth="1"/>
    <col min="6" max="6" width="12.5703125" style="14" bestFit="1" customWidth="1"/>
    <col min="7" max="7" width="9.28515625" style="14" bestFit="1" customWidth="1"/>
    <col min="8" max="8" width="10.140625" style="14" bestFit="1" customWidth="1"/>
    <col min="9" max="9" width="10.5703125" style="14" bestFit="1" customWidth="1"/>
    <col min="10" max="10" width="10.5703125" style="14" customWidth="1"/>
    <col min="11" max="11" width="10.28515625" style="14" bestFit="1" customWidth="1"/>
    <col min="12" max="12" width="10.42578125" style="14" bestFit="1" customWidth="1"/>
    <col min="13" max="13" width="9.85546875" style="14" bestFit="1" customWidth="1"/>
    <col min="14" max="14" width="10.140625" style="14" bestFit="1" customWidth="1"/>
    <col min="15" max="15" width="9" style="14" customWidth="1"/>
    <col min="16" max="16" width="12.85546875" style="14" bestFit="1" customWidth="1"/>
    <col min="17" max="18" width="9.42578125" style="14" customWidth="1"/>
    <col min="19" max="19" width="13.7109375" style="14" customWidth="1"/>
    <col min="20" max="20" width="12.140625" style="14" customWidth="1"/>
    <col min="21" max="21" width="19.5703125" style="14" bestFit="1" customWidth="1"/>
    <col min="22" max="22" width="9.85546875" style="14" customWidth="1"/>
    <col min="23" max="23" width="10.140625" style="14" bestFit="1" customWidth="1"/>
    <col min="24" max="24" width="10.28515625" style="14" customWidth="1"/>
    <col min="25" max="25" width="28" style="14" customWidth="1"/>
    <col min="26" max="16384" width="9.140625" style="14"/>
  </cols>
  <sheetData>
    <row r="1" spans="1:25" ht="46.15" customHeight="1" x14ac:dyDescent="0.25">
      <c r="A1" s="2240" t="s">
        <v>148</v>
      </c>
      <c r="B1" s="2240"/>
      <c r="C1" s="2240"/>
      <c r="D1" s="2240"/>
      <c r="E1" s="2240"/>
      <c r="F1" s="2240"/>
      <c r="G1" s="2240"/>
      <c r="H1" s="2240"/>
      <c r="I1" s="2240"/>
      <c r="J1" s="2240"/>
      <c r="K1" s="2240"/>
      <c r="L1" s="2240"/>
      <c r="M1" s="2240"/>
      <c r="N1" s="2240"/>
      <c r="O1" s="2240"/>
      <c r="P1" s="2240"/>
      <c r="Q1" s="2240"/>
      <c r="R1" s="2240"/>
      <c r="S1" s="2240"/>
      <c r="T1" s="2240"/>
      <c r="U1" s="2240"/>
      <c r="V1" s="2240"/>
      <c r="W1" s="2240"/>
      <c r="X1" s="2240"/>
      <c r="Y1" s="2240"/>
    </row>
    <row r="2" spans="1:25" ht="21.6" customHeight="1" x14ac:dyDescent="0.25">
      <c r="A2" s="2241" t="s">
        <v>77</v>
      </c>
      <c r="B2" s="2241"/>
      <c r="C2" s="2241"/>
      <c r="D2" s="2241"/>
      <c r="E2" s="2241"/>
      <c r="F2" s="2241"/>
      <c r="G2" s="2241"/>
      <c r="H2" s="2241"/>
      <c r="I2" s="2241"/>
      <c r="J2" s="2241"/>
      <c r="K2" s="2241"/>
      <c r="L2" s="2241"/>
      <c r="M2" s="2241"/>
      <c r="N2" s="2241"/>
      <c r="O2" s="2241"/>
      <c r="P2" s="2241"/>
      <c r="Q2" s="2241"/>
      <c r="R2" s="2241"/>
      <c r="S2" s="2241"/>
      <c r="T2" s="2241"/>
      <c r="U2" s="2241"/>
      <c r="V2" s="2241"/>
      <c r="W2" s="2241"/>
      <c r="X2" s="2241"/>
      <c r="Y2" s="2241"/>
    </row>
    <row r="3" spans="1:25" ht="21" customHeight="1" x14ac:dyDescent="0.25">
      <c r="A3" s="278"/>
      <c r="B3" s="278"/>
      <c r="C3" s="278"/>
      <c r="D3" s="278"/>
      <c r="E3" s="278"/>
      <c r="F3" s="278"/>
      <c r="G3" s="278"/>
      <c r="H3" s="278"/>
      <c r="I3" s="278"/>
      <c r="J3" s="278"/>
      <c r="K3" s="278"/>
      <c r="L3" s="278"/>
      <c r="M3" s="278"/>
      <c r="N3" s="278"/>
      <c r="O3" s="278"/>
      <c r="P3" s="278"/>
      <c r="Q3" s="278"/>
      <c r="R3" s="278"/>
      <c r="S3" s="278"/>
      <c r="T3" s="2242" t="s">
        <v>293</v>
      </c>
      <c r="U3" s="2242"/>
      <c r="V3" s="2242"/>
      <c r="W3" s="2242"/>
      <c r="X3" s="2242"/>
      <c r="Y3" s="2242"/>
    </row>
    <row r="4" spans="1:25" s="278" customFormat="1" ht="18" customHeight="1" x14ac:dyDescent="0.25">
      <c r="A4" s="2243" t="s">
        <v>25</v>
      </c>
      <c r="B4" s="2243" t="s">
        <v>26</v>
      </c>
      <c r="C4" s="2244" t="s">
        <v>27</v>
      </c>
      <c r="D4" s="2244"/>
      <c r="E4" s="2244" t="s">
        <v>28</v>
      </c>
      <c r="F4" s="2244"/>
      <c r="G4" s="2244" t="s">
        <v>65</v>
      </c>
      <c r="H4" s="2244"/>
      <c r="I4" s="2244" t="s">
        <v>29</v>
      </c>
      <c r="J4" s="2244"/>
      <c r="K4" s="2245" t="s">
        <v>13</v>
      </c>
      <c r="L4" s="2246"/>
      <c r="M4" s="2245" t="s">
        <v>67</v>
      </c>
      <c r="N4" s="2246"/>
      <c r="O4" s="2245" t="s">
        <v>68</v>
      </c>
      <c r="P4" s="2246"/>
      <c r="Q4" s="2245" t="s">
        <v>114</v>
      </c>
      <c r="R4" s="2246"/>
      <c r="S4" s="2244" t="s">
        <v>35</v>
      </c>
      <c r="T4" s="2244"/>
      <c r="U4" s="2245" t="s">
        <v>17</v>
      </c>
      <c r="V4" s="2246"/>
      <c r="W4" s="2247" t="s">
        <v>36</v>
      </c>
      <c r="X4" s="2248"/>
      <c r="Y4" s="2238" t="s">
        <v>30</v>
      </c>
    </row>
    <row r="5" spans="1:25" s="278" customFormat="1" ht="25.5" customHeight="1" x14ac:dyDescent="0.25">
      <c r="A5" s="2243"/>
      <c r="B5" s="2243"/>
      <c r="C5" s="280" t="s">
        <v>42</v>
      </c>
      <c r="D5" s="280" t="s">
        <v>43</v>
      </c>
      <c r="E5" s="280" t="s">
        <v>42</v>
      </c>
      <c r="F5" s="280" t="s">
        <v>43</v>
      </c>
      <c r="G5" s="280" t="s">
        <v>42</v>
      </c>
      <c r="H5" s="280" t="s">
        <v>43</v>
      </c>
      <c r="I5" s="280" t="s">
        <v>42</v>
      </c>
      <c r="J5" s="280" t="s">
        <v>43</v>
      </c>
      <c r="K5" s="280" t="s">
        <v>42</v>
      </c>
      <c r="L5" s="280" t="s">
        <v>43</v>
      </c>
      <c r="M5" s="280" t="s">
        <v>42</v>
      </c>
      <c r="N5" s="280" t="s">
        <v>43</v>
      </c>
      <c r="O5" s="280" t="s">
        <v>42</v>
      </c>
      <c r="P5" s="280" t="s">
        <v>43</v>
      </c>
      <c r="Q5" s="280" t="s">
        <v>42</v>
      </c>
      <c r="R5" s="280" t="s">
        <v>43</v>
      </c>
      <c r="S5" s="33" t="s">
        <v>42</v>
      </c>
      <c r="T5" s="33" t="s">
        <v>43</v>
      </c>
      <c r="U5" s="30" t="s">
        <v>42</v>
      </c>
      <c r="V5" s="30" t="s">
        <v>43</v>
      </c>
      <c r="W5" s="30" t="s">
        <v>42</v>
      </c>
      <c r="X5" s="30" t="s">
        <v>43</v>
      </c>
      <c r="Y5" s="2239"/>
    </row>
    <row r="6" spans="1:25" ht="34.5" customHeight="1" x14ac:dyDescent="0.25">
      <c r="A6" s="12">
        <v>1409935200</v>
      </c>
      <c r="B6" s="279" t="s">
        <v>71</v>
      </c>
      <c r="C6" s="282">
        <v>34860</v>
      </c>
      <c r="D6" s="283">
        <f>0.9725*C6</f>
        <v>33901.35</v>
      </c>
      <c r="E6" s="282"/>
      <c r="F6" s="282">
        <f>13.7*E6</f>
        <v>0</v>
      </c>
      <c r="G6" s="282">
        <v>90</v>
      </c>
      <c r="H6" s="282">
        <f>28.2*G6</f>
        <v>2538</v>
      </c>
      <c r="I6" s="282">
        <v>410</v>
      </c>
      <c r="J6" s="282">
        <f>18.5*I6</f>
        <v>7585</v>
      </c>
      <c r="K6" s="282"/>
      <c r="L6" s="282">
        <f>19.5*K6</f>
        <v>0</v>
      </c>
      <c r="M6" s="282"/>
      <c r="N6" s="283">
        <f>M6*9.75</f>
        <v>0</v>
      </c>
      <c r="O6" s="282"/>
      <c r="P6" s="283">
        <f>O6*48.62</f>
        <v>0</v>
      </c>
      <c r="Q6" s="283"/>
      <c r="R6" s="283">
        <f>241*Q6</f>
        <v>0</v>
      </c>
      <c r="S6" s="282"/>
      <c r="T6" s="282">
        <f>241*S6</f>
        <v>0</v>
      </c>
      <c r="U6" s="282"/>
      <c r="V6" s="282">
        <f>232*U6</f>
        <v>0</v>
      </c>
      <c r="W6" s="282"/>
      <c r="X6" s="19">
        <f>W6*100</f>
        <v>0</v>
      </c>
      <c r="Y6" s="89">
        <f t="shared" ref="Y6:Y11" si="0">D6+F6+H6+J6+L6+N6+P6+R6+T6+V6+X6</f>
        <v>44024.35</v>
      </c>
    </row>
    <row r="7" spans="1:25" ht="31.5" customHeight="1" x14ac:dyDescent="0.25">
      <c r="A7" s="12">
        <v>1984225578</v>
      </c>
      <c r="B7" s="279" t="s">
        <v>72</v>
      </c>
      <c r="C7" s="282">
        <v>23943</v>
      </c>
      <c r="D7" s="283">
        <f t="shared" ref="D7:D11" si="1">0.9725*C7</f>
        <v>23284.567500000001</v>
      </c>
      <c r="E7" s="282"/>
      <c r="F7" s="282">
        <f t="shared" ref="F7:F11" si="2">13.7*E7</f>
        <v>0</v>
      </c>
      <c r="G7" s="282">
        <v>500</v>
      </c>
      <c r="H7" s="282">
        <f t="shared" ref="H7:H11" si="3">28.2*G7</f>
        <v>14100</v>
      </c>
      <c r="I7" s="282">
        <v>180</v>
      </c>
      <c r="J7" s="282">
        <f t="shared" ref="J7:J11" si="4">18.5*I7</f>
        <v>3330</v>
      </c>
      <c r="K7" s="282"/>
      <c r="L7" s="282">
        <f t="shared" ref="L7:L11" si="5">19.5*K7</f>
        <v>0</v>
      </c>
      <c r="M7" s="282"/>
      <c r="N7" s="283">
        <f t="shared" ref="N7:N11" si="6">M7*9.75</f>
        <v>0</v>
      </c>
      <c r="O7" s="282"/>
      <c r="P7" s="283">
        <f t="shared" ref="P7:P11" si="7">O7*48.62</f>
        <v>0</v>
      </c>
      <c r="Q7" s="283"/>
      <c r="R7" s="283">
        <f t="shared" ref="R7:R11" si="8">241*Q7</f>
        <v>0</v>
      </c>
      <c r="S7" s="282"/>
      <c r="T7" s="282">
        <f t="shared" ref="T7:T11" si="9">241*S7</f>
        <v>0</v>
      </c>
      <c r="U7" s="282"/>
      <c r="V7" s="282">
        <f t="shared" ref="V7:V11" si="10">232*U7</f>
        <v>0</v>
      </c>
      <c r="W7" s="282"/>
      <c r="X7" s="19">
        <f t="shared" ref="X7:X11" si="11">W7*100</f>
        <v>0</v>
      </c>
      <c r="Y7" s="89">
        <f t="shared" si="0"/>
        <v>40714.567500000005</v>
      </c>
    </row>
    <row r="8" spans="1:25" ht="35.25" customHeight="1" x14ac:dyDescent="0.25">
      <c r="A8" s="12">
        <v>1967020280</v>
      </c>
      <c r="B8" s="279" t="s">
        <v>73</v>
      </c>
      <c r="C8" s="282">
        <v>16051</v>
      </c>
      <c r="D8" s="283">
        <f t="shared" si="1"/>
        <v>15609.5975</v>
      </c>
      <c r="E8" s="282"/>
      <c r="F8" s="282">
        <f t="shared" si="2"/>
        <v>0</v>
      </c>
      <c r="G8" s="282"/>
      <c r="H8" s="282">
        <f t="shared" si="3"/>
        <v>0</v>
      </c>
      <c r="I8" s="282"/>
      <c r="J8" s="282">
        <f t="shared" si="4"/>
        <v>0</v>
      </c>
      <c r="K8" s="282"/>
      <c r="L8" s="282">
        <f t="shared" si="5"/>
        <v>0</v>
      </c>
      <c r="M8" s="282"/>
      <c r="N8" s="283">
        <f t="shared" si="6"/>
        <v>0</v>
      </c>
      <c r="O8" s="282"/>
      <c r="P8" s="283">
        <f t="shared" si="7"/>
        <v>0</v>
      </c>
      <c r="Q8" s="283"/>
      <c r="R8" s="283">
        <f t="shared" si="8"/>
        <v>0</v>
      </c>
      <c r="S8" s="282"/>
      <c r="T8" s="282">
        <f t="shared" si="9"/>
        <v>0</v>
      </c>
      <c r="U8" s="282"/>
      <c r="V8" s="282">
        <f t="shared" si="10"/>
        <v>0</v>
      </c>
      <c r="W8" s="282"/>
      <c r="X8" s="19">
        <f t="shared" si="11"/>
        <v>0</v>
      </c>
      <c r="Y8" s="89">
        <f t="shared" si="0"/>
        <v>15609.5975</v>
      </c>
    </row>
    <row r="9" spans="1:25" ht="38.25" customHeight="1" x14ac:dyDescent="0.25">
      <c r="A9" s="12">
        <v>1409935199</v>
      </c>
      <c r="B9" s="279" t="s">
        <v>75</v>
      </c>
      <c r="C9" s="282">
        <v>18757</v>
      </c>
      <c r="D9" s="283">
        <f t="shared" si="1"/>
        <v>18241.182499999999</v>
      </c>
      <c r="E9" s="282"/>
      <c r="F9" s="282">
        <f t="shared" si="2"/>
        <v>0</v>
      </c>
      <c r="G9" s="282">
        <v>20</v>
      </c>
      <c r="H9" s="282">
        <f t="shared" si="3"/>
        <v>564</v>
      </c>
      <c r="I9" s="282">
        <v>970</v>
      </c>
      <c r="J9" s="282">
        <f t="shared" si="4"/>
        <v>17945</v>
      </c>
      <c r="K9" s="282"/>
      <c r="L9" s="282">
        <f t="shared" si="5"/>
        <v>0</v>
      </c>
      <c r="M9" s="282"/>
      <c r="N9" s="283">
        <f t="shared" si="6"/>
        <v>0</v>
      </c>
      <c r="O9" s="282"/>
      <c r="P9" s="283">
        <f t="shared" si="7"/>
        <v>0</v>
      </c>
      <c r="Q9" s="283"/>
      <c r="R9" s="283">
        <f t="shared" si="8"/>
        <v>0</v>
      </c>
      <c r="S9" s="282"/>
      <c r="T9" s="282">
        <f t="shared" si="9"/>
        <v>0</v>
      </c>
      <c r="U9" s="282"/>
      <c r="V9" s="282">
        <f t="shared" si="10"/>
        <v>0</v>
      </c>
      <c r="W9" s="282"/>
      <c r="X9" s="19">
        <f t="shared" si="11"/>
        <v>0</v>
      </c>
      <c r="Y9" s="89">
        <f t="shared" si="0"/>
        <v>36750.182499999995</v>
      </c>
    </row>
    <row r="10" spans="1:25" ht="35.25" customHeight="1" x14ac:dyDescent="0.25">
      <c r="A10" s="12">
        <v>1984225580</v>
      </c>
      <c r="C10" s="282"/>
      <c r="D10" s="283">
        <f t="shared" si="1"/>
        <v>0</v>
      </c>
      <c r="E10" s="282"/>
      <c r="F10" s="282">
        <f t="shared" si="2"/>
        <v>0</v>
      </c>
      <c r="G10" s="282"/>
      <c r="H10" s="282">
        <f t="shared" si="3"/>
        <v>0</v>
      </c>
      <c r="I10" s="282"/>
      <c r="J10" s="282">
        <f t="shared" si="4"/>
        <v>0</v>
      </c>
      <c r="K10" s="282"/>
      <c r="L10" s="282">
        <f t="shared" si="5"/>
        <v>0</v>
      </c>
      <c r="M10" s="282"/>
      <c r="N10" s="283">
        <f t="shared" si="6"/>
        <v>0</v>
      </c>
      <c r="O10" s="282"/>
      <c r="P10" s="283">
        <f t="shared" si="7"/>
        <v>0</v>
      </c>
      <c r="Q10" s="283"/>
      <c r="R10" s="283">
        <f t="shared" si="8"/>
        <v>0</v>
      </c>
      <c r="S10" s="282">
        <v>226</v>
      </c>
      <c r="T10" s="282">
        <f t="shared" si="9"/>
        <v>54466</v>
      </c>
      <c r="U10" s="282"/>
      <c r="V10" s="282">
        <f t="shared" si="10"/>
        <v>0</v>
      </c>
      <c r="W10" s="282"/>
      <c r="X10" s="19">
        <f t="shared" si="11"/>
        <v>0</v>
      </c>
      <c r="Y10" s="89">
        <f t="shared" si="0"/>
        <v>54466</v>
      </c>
    </row>
    <row r="11" spans="1:25" ht="37.5" customHeight="1" x14ac:dyDescent="0.25">
      <c r="A11" s="12"/>
      <c r="B11" s="281"/>
      <c r="C11" s="282"/>
      <c r="D11" s="22">
        <f t="shared" si="1"/>
        <v>0</v>
      </c>
      <c r="E11" s="282"/>
      <c r="F11" s="282">
        <f t="shared" si="2"/>
        <v>0</v>
      </c>
      <c r="G11" s="282"/>
      <c r="H11" s="282">
        <f t="shared" si="3"/>
        <v>0</v>
      </c>
      <c r="I11" s="282"/>
      <c r="J11" s="282">
        <f t="shared" si="4"/>
        <v>0</v>
      </c>
      <c r="K11" s="282"/>
      <c r="L11" s="282">
        <f t="shared" si="5"/>
        <v>0</v>
      </c>
      <c r="M11" s="282"/>
      <c r="N11" s="283">
        <f t="shared" si="6"/>
        <v>0</v>
      </c>
      <c r="O11" s="282"/>
      <c r="P11" s="283">
        <f t="shared" si="7"/>
        <v>0</v>
      </c>
      <c r="Q11" s="283"/>
      <c r="R11" s="283">
        <f t="shared" si="8"/>
        <v>0</v>
      </c>
      <c r="S11" s="282"/>
      <c r="T11" s="282">
        <f t="shared" si="9"/>
        <v>0</v>
      </c>
      <c r="U11" s="282"/>
      <c r="V11" s="282">
        <f t="shared" si="10"/>
        <v>0</v>
      </c>
      <c r="W11" s="282"/>
      <c r="X11" s="19">
        <f t="shared" si="11"/>
        <v>0</v>
      </c>
      <c r="Y11" s="20">
        <f t="shared" si="0"/>
        <v>0</v>
      </c>
    </row>
    <row r="12" spans="1:25" ht="29.25" customHeight="1" x14ac:dyDescent="0.25">
      <c r="A12" s="2235" t="s">
        <v>31</v>
      </c>
      <c r="B12" s="2235"/>
      <c r="C12" s="18">
        <f t="shared" ref="C12:Y12" si="12">SUM(C6:C11)</f>
        <v>93611</v>
      </c>
      <c r="D12" s="18">
        <f t="shared" si="12"/>
        <v>91036.697499999995</v>
      </c>
      <c r="E12" s="18">
        <f t="shared" si="12"/>
        <v>0</v>
      </c>
      <c r="F12" s="18">
        <f t="shared" si="12"/>
        <v>0</v>
      </c>
      <c r="G12" s="18">
        <f t="shared" si="12"/>
        <v>610</v>
      </c>
      <c r="H12" s="18">
        <f t="shared" si="12"/>
        <v>17202</v>
      </c>
      <c r="I12" s="18">
        <f t="shared" si="12"/>
        <v>1560</v>
      </c>
      <c r="J12" s="18">
        <f t="shared" si="12"/>
        <v>28860</v>
      </c>
      <c r="K12" s="18">
        <f t="shared" si="12"/>
        <v>0</v>
      </c>
      <c r="L12" s="18">
        <f t="shared" si="12"/>
        <v>0</v>
      </c>
      <c r="M12" s="18">
        <f t="shared" si="12"/>
        <v>0</v>
      </c>
      <c r="N12" s="23">
        <f t="shared" si="12"/>
        <v>0</v>
      </c>
      <c r="O12" s="18">
        <f t="shared" si="12"/>
        <v>0</v>
      </c>
      <c r="P12" s="23">
        <f t="shared" si="12"/>
        <v>0</v>
      </c>
      <c r="Q12" s="23">
        <f t="shared" si="12"/>
        <v>0</v>
      </c>
      <c r="R12" s="23">
        <f>SUM(R6:R11)</f>
        <v>0</v>
      </c>
      <c r="S12" s="18">
        <f t="shared" si="12"/>
        <v>226</v>
      </c>
      <c r="T12" s="18">
        <f t="shared" si="12"/>
        <v>54466</v>
      </c>
      <c r="U12" s="18">
        <f t="shared" si="12"/>
        <v>0</v>
      </c>
      <c r="V12" s="18">
        <f t="shared" si="12"/>
        <v>0</v>
      </c>
      <c r="W12" s="18">
        <f t="shared" si="12"/>
        <v>0</v>
      </c>
      <c r="X12" s="18">
        <f t="shared" si="12"/>
        <v>0</v>
      </c>
      <c r="Y12" s="18">
        <f t="shared" si="12"/>
        <v>191564.69750000001</v>
      </c>
    </row>
    <row r="14" spans="1:25" ht="41.25" customHeight="1" x14ac:dyDescent="0.25">
      <c r="A14" s="30" t="s">
        <v>32</v>
      </c>
      <c r="B14" s="2236" t="s">
        <v>27</v>
      </c>
      <c r="C14" s="2236"/>
      <c r="D14" s="30" t="s">
        <v>33</v>
      </c>
      <c r="E14" s="30" t="s">
        <v>65</v>
      </c>
      <c r="F14" s="30" t="s">
        <v>34</v>
      </c>
      <c r="G14" s="30" t="s">
        <v>13</v>
      </c>
      <c r="H14" s="142" t="s">
        <v>173</v>
      </c>
      <c r="I14" s="30" t="s">
        <v>17</v>
      </c>
      <c r="J14" s="287" t="s">
        <v>174</v>
      </c>
      <c r="K14" s="30" t="s">
        <v>36</v>
      </c>
      <c r="L14" s="30" t="s">
        <v>175</v>
      </c>
      <c r="M14" s="30" t="s">
        <v>69</v>
      </c>
      <c r="N14" s="30" t="s">
        <v>70</v>
      </c>
      <c r="O14" s="287" t="s">
        <v>114</v>
      </c>
      <c r="P14" s="287" t="s">
        <v>99</v>
      </c>
      <c r="Q14" s="2272" t="s">
        <v>256</v>
      </c>
      <c r="R14" s="2272"/>
      <c r="S14" s="287"/>
      <c r="T14" s="2235" t="s">
        <v>46</v>
      </c>
      <c r="U14" s="279" t="s">
        <v>176</v>
      </c>
      <c r="V14" s="2260">
        <v>151377</v>
      </c>
      <c r="W14" s="2268"/>
      <c r="X14" s="2261"/>
    </row>
    <row r="15" spans="1:25" ht="22.5" customHeight="1" x14ac:dyDescent="0.25">
      <c r="A15" s="100" t="s">
        <v>38</v>
      </c>
      <c r="B15" s="2260">
        <v>296107</v>
      </c>
      <c r="C15" s="2261"/>
      <c r="D15" s="284">
        <v>0</v>
      </c>
      <c r="E15" s="284">
        <v>1100</v>
      </c>
      <c r="F15" s="284">
        <v>3340</v>
      </c>
      <c r="G15" s="284">
        <v>0</v>
      </c>
      <c r="H15" s="284">
        <v>115</v>
      </c>
      <c r="I15" s="284">
        <v>0</v>
      </c>
      <c r="J15" s="284">
        <v>95</v>
      </c>
      <c r="K15" s="284">
        <v>69</v>
      </c>
      <c r="L15" s="284">
        <v>1149</v>
      </c>
      <c r="M15" s="284">
        <v>0</v>
      </c>
      <c r="N15" s="284">
        <v>100</v>
      </c>
      <c r="O15" s="284">
        <v>0</v>
      </c>
      <c r="P15" s="284">
        <v>404</v>
      </c>
      <c r="Q15" s="2262">
        <v>47</v>
      </c>
      <c r="R15" s="2262"/>
      <c r="S15" s="279">
        <v>0</v>
      </c>
      <c r="T15" s="2235"/>
      <c r="U15" s="279" t="s">
        <v>64</v>
      </c>
      <c r="V15" s="2262">
        <v>312526</v>
      </c>
      <c r="W15" s="2262"/>
      <c r="X15" s="2262"/>
    </row>
    <row r="16" spans="1:25" ht="24.75" customHeight="1" x14ac:dyDescent="0.25">
      <c r="A16" s="100" t="s">
        <v>39</v>
      </c>
      <c r="B16" s="2260"/>
      <c r="C16" s="2261"/>
      <c r="D16" s="284"/>
      <c r="E16" s="284"/>
      <c r="F16" s="284"/>
      <c r="G16" s="284"/>
      <c r="H16" s="284"/>
      <c r="I16" s="284"/>
      <c r="J16" s="284"/>
      <c r="K16" s="284"/>
      <c r="L16" s="284">
        <v>59</v>
      </c>
      <c r="M16" s="284"/>
      <c r="N16" s="284"/>
      <c r="O16" s="284"/>
      <c r="P16" s="284"/>
      <c r="Q16" s="2225"/>
      <c r="R16" s="2225"/>
      <c r="S16" s="284"/>
      <c r="T16" s="2254" t="s">
        <v>55</v>
      </c>
      <c r="U16" s="2254"/>
      <c r="V16" s="2267">
        <f>Y12</f>
        <v>191564.69750000001</v>
      </c>
      <c r="W16" s="2267"/>
      <c r="X16" s="2262"/>
    </row>
    <row r="17" spans="1:25" ht="28.5" customHeight="1" x14ac:dyDescent="0.25">
      <c r="A17" s="101" t="s">
        <v>44</v>
      </c>
      <c r="B17" s="2260"/>
      <c r="C17" s="2261"/>
      <c r="D17" s="284"/>
      <c r="E17" s="284"/>
      <c r="F17" s="284"/>
      <c r="G17" s="284"/>
      <c r="H17" s="284"/>
      <c r="I17" s="284"/>
      <c r="J17" s="284"/>
      <c r="K17" s="284"/>
      <c r="L17" s="284"/>
      <c r="M17" s="284"/>
      <c r="N17" s="284"/>
      <c r="O17" s="284"/>
      <c r="P17" s="284"/>
      <c r="Q17" s="2225"/>
      <c r="R17" s="2225"/>
      <c r="S17" s="281"/>
      <c r="T17" s="2294"/>
      <c r="U17" s="2295"/>
      <c r="V17" s="2296"/>
      <c r="W17" s="2296"/>
      <c r="X17" s="2296"/>
    </row>
    <row r="18" spans="1:25" ht="27" customHeight="1" x14ac:dyDescent="0.25">
      <c r="A18" s="100" t="s">
        <v>40</v>
      </c>
      <c r="B18" s="2264">
        <f>C12</f>
        <v>93611</v>
      </c>
      <c r="C18" s="2261"/>
      <c r="D18" s="285">
        <f>E12</f>
        <v>0</v>
      </c>
      <c r="E18" s="285">
        <f>G12</f>
        <v>610</v>
      </c>
      <c r="F18" s="285">
        <f>I12</f>
        <v>1560</v>
      </c>
      <c r="G18" s="285">
        <f>K12</f>
        <v>0</v>
      </c>
      <c r="H18" s="284">
        <v>59</v>
      </c>
      <c r="I18" s="285">
        <f>U12</f>
        <v>0</v>
      </c>
      <c r="J18" s="284">
        <v>34</v>
      </c>
      <c r="K18" s="285">
        <f>W12</f>
        <v>0</v>
      </c>
      <c r="L18" s="284">
        <v>145</v>
      </c>
      <c r="M18" s="285">
        <f>M12</f>
        <v>0</v>
      </c>
      <c r="N18" s="285">
        <f>O12</f>
        <v>0</v>
      </c>
      <c r="O18" s="286">
        <f>Q12</f>
        <v>0</v>
      </c>
      <c r="P18" s="284"/>
      <c r="Q18" s="2262">
        <v>47</v>
      </c>
      <c r="R18" s="2262"/>
      <c r="S18" s="279"/>
      <c r="T18" s="2254" t="s">
        <v>57</v>
      </c>
      <c r="U18" s="2254"/>
      <c r="V18" s="2262">
        <f>470+150+46417</f>
        <v>47037</v>
      </c>
      <c r="W18" s="2262"/>
      <c r="X18" s="2262"/>
      <c r="Y18" s="2269" t="s">
        <v>294</v>
      </c>
    </row>
    <row r="19" spans="1:25" ht="25.5" customHeight="1" x14ac:dyDescent="0.25">
      <c r="A19" s="100" t="s">
        <v>41</v>
      </c>
      <c r="B19" s="2260">
        <f>B15+B16+B17-B18</f>
        <v>202496</v>
      </c>
      <c r="C19" s="2261"/>
      <c r="D19" s="284">
        <f>D15+D16+D17-D18</f>
        <v>0</v>
      </c>
      <c r="E19" s="284">
        <f t="shared" ref="E19:N19" si="13">E15+E16+E17-E18</f>
        <v>490</v>
      </c>
      <c r="F19" s="284">
        <f t="shared" si="13"/>
        <v>1780</v>
      </c>
      <c r="G19" s="284">
        <f t="shared" si="13"/>
        <v>0</v>
      </c>
      <c r="H19" s="284">
        <f t="shared" si="13"/>
        <v>56</v>
      </c>
      <c r="I19" s="284">
        <f t="shared" si="13"/>
        <v>0</v>
      </c>
      <c r="J19" s="284">
        <f t="shared" si="13"/>
        <v>61</v>
      </c>
      <c r="K19" s="284">
        <f t="shared" si="13"/>
        <v>69</v>
      </c>
      <c r="L19" s="284">
        <f t="shared" si="13"/>
        <v>1063</v>
      </c>
      <c r="M19" s="284">
        <f t="shared" si="13"/>
        <v>0</v>
      </c>
      <c r="N19" s="284">
        <f t="shared" si="13"/>
        <v>100</v>
      </c>
      <c r="O19" s="284">
        <f>O15+O16+O17-O18</f>
        <v>0</v>
      </c>
      <c r="P19" s="284">
        <f>P15+P16+P17-P18</f>
        <v>404</v>
      </c>
      <c r="Q19" s="2260">
        <f t="shared" ref="Q19" si="14">Q15+Q16+Q17-Q18</f>
        <v>0</v>
      </c>
      <c r="R19" s="2261"/>
      <c r="S19" s="279">
        <f>S15+S16-S17-S18</f>
        <v>0</v>
      </c>
      <c r="T19" s="2256" t="s">
        <v>48</v>
      </c>
      <c r="U19" s="49" t="s">
        <v>58</v>
      </c>
      <c r="V19" s="2262">
        <v>438700</v>
      </c>
      <c r="W19" s="2262"/>
      <c r="X19" s="2262"/>
      <c r="Y19" s="2269"/>
    </row>
    <row r="20" spans="1:25" ht="23.25" customHeight="1" x14ac:dyDescent="0.25">
      <c r="A20" s="289" t="s">
        <v>187</v>
      </c>
      <c r="B20" s="2286">
        <f>B19*0.9625</f>
        <v>194902.39999999999</v>
      </c>
      <c r="C20" s="2287"/>
      <c r="D20" s="290">
        <f>D19*13.56</f>
        <v>0</v>
      </c>
      <c r="E20" s="290">
        <f>28.2*E19</f>
        <v>13818</v>
      </c>
      <c r="F20" s="290">
        <f>18.31*F19</f>
        <v>32591.8</v>
      </c>
      <c r="G20" s="290">
        <f>19.3*G19</f>
        <v>0</v>
      </c>
      <c r="H20" s="290">
        <f>241*H19</f>
        <v>13496</v>
      </c>
      <c r="I20" s="290">
        <f>223*I19</f>
        <v>0</v>
      </c>
      <c r="J20" s="290">
        <f>241*J19</f>
        <v>14701</v>
      </c>
      <c r="K20" s="290">
        <f>K19*100</f>
        <v>6900</v>
      </c>
      <c r="L20" s="290">
        <f>241*L19</f>
        <v>256183</v>
      </c>
      <c r="M20" s="290">
        <f>9.65*M19</f>
        <v>0</v>
      </c>
      <c r="N20" s="290">
        <f>N19*48.2</f>
        <v>4820</v>
      </c>
      <c r="O20" s="290">
        <f>241*O19</f>
        <v>0</v>
      </c>
      <c r="P20" s="290">
        <f>241*P19</f>
        <v>97364</v>
      </c>
      <c r="Q20" s="2286">
        <f>241*Q19</f>
        <v>0</v>
      </c>
      <c r="R20" s="2287"/>
      <c r="S20" s="290">
        <f>241*S19</f>
        <v>0</v>
      </c>
      <c r="T20" s="2257"/>
      <c r="U20" s="49" t="s">
        <v>59</v>
      </c>
      <c r="V20" s="2262"/>
      <c r="W20" s="2262"/>
      <c r="X20" s="2262"/>
      <c r="Y20" s="2269"/>
    </row>
    <row r="21" spans="1:25" ht="32.25" customHeight="1" x14ac:dyDescent="0.25">
      <c r="A21" s="291" t="s">
        <v>186</v>
      </c>
      <c r="B21" s="2293">
        <f>SUM(B20:S20)</f>
        <v>634776.19999999995</v>
      </c>
      <c r="C21" s="2293"/>
      <c r="O21" s="288"/>
      <c r="P21" s="288"/>
      <c r="Q21" s="288"/>
      <c r="R21" s="288"/>
      <c r="T21" s="2273" t="s">
        <v>167</v>
      </c>
      <c r="U21" s="2274"/>
      <c r="V21" s="2260"/>
      <c r="W21" s="2268"/>
      <c r="X21" s="2261"/>
      <c r="Y21" s="2269"/>
    </row>
    <row r="22" spans="1:25" ht="35.25" customHeight="1" x14ac:dyDescent="0.25">
      <c r="A22" s="15"/>
      <c r="B22" s="2288" t="s">
        <v>49</v>
      </c>
      <c r="C22" s="2291">
        <v>1036002</v>
      </c>
      <c r="D22" s="2291">
        <v>438700</v>
      </c>
      <c r="E22" s="2291"/>
      <c r="F22" s="2291">
        <f>C22-D22+E22</f>
        <v>597302</v>
      </c>
      <c r="G22" s="288"/>
      <c r="Q22" s="288"/>
      <c r="R22" s="288"/>
      <c r="T22" s="2251" t="s">
        <v>83</v>
      </c>
      <c r="U22" s="50" t="s">
        <v>60</v>
      </c>
      <c r="V22" s="2262">
        <v>266420</v>
      </c>
      <c r="W22" s="2262"/>
      <c r="X22" s="2262"/>
      <c r="Y22" s="2269"/>
    </row>
    <row r="23" spans="1:25" ht="39.75" customHeight="1" x14ac:dyDescent="0.25">
      <c r="A23" s="288"/>
      <c r="B23" s="2289"/>
      <c r="C23" s="2292"/>
      <c r="D23" s="2292"/>
      <c r="E23" s="2292"/>
      <c r="F23" s="2292"/>
      <c r="G23" s="288"/>
      <c r="Q23" s="288"/>
      <c r="R23" s="288"/>
      <c r="T23" s="2252"/>
      <c r="U23" s="50" t="s">
        <v>61</v>
      </c>
      <c r="V23" s="2262">
        <v>438700</v>
      </c>
      <c r="W23" s="2262"/>
      <c r="X23" s="2262"/>
      <c r="Y23" s="2269"/>
    </row>
    <row r="24" spans="1:25" ht="48" customHeight="1" x14ac:dyDescent="0.25">
      <c r="A24" s="288"/>
      <c r="B24" s="2290"/>
      <c r="C24" s="290" t="s">
        <v>46</v>
      </c>
      <c r="D24" s="290" t="s">
        <v>50</v>
      </c>
      <c r="E24" s="290" t="s">
        <v>51</v>
      </c>
      <c r="F24" s="290" t="s">
        <v>52</v>
      </c>
      <c r="G24" s="288"/>
      <c r="Q24" s="288"/>
      <c r="R24" s="288"/>
      <c r="T24" s="2235" t="s">
        <v>47</v>
      </c>
      <c r="U24" s="51" t="s">
        <v>62</v>
      </c>
      <c r="V24" s="2263">
        <f>V14+V16+V17-V18-V19-V20-V22+V23-V21</f>
        <v>29484.697500000009</v>
      </c>
      <c r="W24" s="2263"/>
      <c r="X24" s="2263"/>
      <c r="Y24" s="2269"/>
    </row>
    <row r="25" spans="1:25" ht="40.5" customHeight="1" x14ac:dyDescent="0.25">
      <c r="T25" s="2235"/>
      <c r="U25" s="51" t="s">
        <v>63</v>
      </c>
      <c r="V25" s="2262">
        <f>V15+V22-V23</f>
        <v>140246</v>
      </c>
      <c r="W25" s="2262"/>
      <c r="X25" s="2262"/>
    </row>
    <row r="26" spans="1:25" ht="36" customHeight="1" x14ac:dyDescent="0.25"/>
    <row r="32" spans="1:25" x14ac:dyDescent="0.25">
      <c r="I32" s="2280"/>
      <c r="J32" s="2280"/>
      <c r="K32" s="2280"/>
      <c r="L32" s="2280"/>
    </row>
    <row r="33" spans="9:12" x14ac:dyDescent="0.25">
      <c r="I33" s="288"/>
      <c r="J33" s="288"/>
      <c r="K33" s="2280"/>
      <c r="L33" s="2280"/>
    </row>
  </sheetData>
  <mergeCells count="62">
    <mergeCell ref="I32:J32"/>
    <mergeCell ref="K32:L32"/>
    <mergeCell ref="K33:L33"/>
    <mergeCell ref="T22:T23"/>
    <mergeCell ref="V22:X22"/>
    <mergeCell ref="V23:X23"/>
    <mergeCell ref="T24:T25"/>
    <mergeCell ref="V24:X24"/>
    <mergeCell ref="V25:X25"/>
    <mergeCell ref="Y18:Y24"/>
    <mergeCell ref="B19:C19"/>
    <mergeCell ref="Q19:R19"/>
    <mergeCell ref="T19:T20"/>
    <mergeCell ref="V19:X19"/>
    <mergeCell ref="B20:C20"/>
    <mergeCell ref="B22:B24"/>
    <mergeCell ref="C22:C23"/>
    <mergeCell ref="D22:D23"/>
    <mergeCell ref="E22:E23"/>
    <mergeCell ref="F22:F23"/>
    <mergeCell ref="Q20:R20"/>
    <mergeCell ref="V20:X20"/>
    <mergeCell ref="B21:C21"/>
    <mergeCell ref="T21:U21"/>
    <mergeCell ref="V21:X21"/>
    <mergeCell ref="B17:C17"/>
    <mergeCell ref="Q17:R17"/>
    <mergeCell ref="T17:U17"/>
    <mergeCell ref="V17:X17"/>
    <mergeCell ref="B18:C18"/>
    <mergeCell ref="Q18:R18"/>
    <mergeCell ref="T18:U18"/>
    <mergeCell ref="V18:X18"/>
    <mergeCell ref="W4:X4"/>
    <mergeCell ref="B16:C16"/>
    <mergeCell ref="Q16:R16"/>
    <mergeCell ref="T16:U16"/>
    <mergeCell ref="V16:X16"/>
    <mergeCell ref="A12:B12"/>
    <mergeCell ref="B14:C14"/>
    <mergeCell ref="Q14:R14"/>
    <mergeCell ref="T14:T15"/>
    <mergeCell ref="V14:X14"/>
    <mergeCell ref="B15:C15"/>
    <mergeCell ref="Q15:R15"/>
    <mergeCell ref="V15:X15"/>
    <mergeCell ref="A1:Y1"/>
    <mergeCell ref="A2:Y2"/>
    <mergeCell ref="T3:Y3"/>
    <mergeCell ref="A4:A5"/>
    <mergeCell ref="B4:B5"/>
    <mergeCell ref="C4:D4"/>
    <mergeCell ref="E4:F4"/>
    <mergeCell ref="G4:H4"/>
    <mergeCell ref="I4:J4"/>
    <mergeCell ref="K4:L4"/>
    <mergeCell ref="Y4:Y5"/>
    <mergeCell ref="M4:N4"/>
    <mergeCell ref="O4:P4"/>
    <mergeCell ref="Q4:R4"/>
    <mergeCell ref="S4:T4"/>
    <mergeCell ref="U4:V4"/>
  </mergeCells>
  <pageMargins left="0.15748031496063" right="0.15748031496063" top="0" bottom="0" header="0" footer="0"/>
  <pageSetup paperSize="9" scale="47" orientation="landscape" r:id="rId1"/>
  <legacyDrawing r:id="rId2"/>
</worksheet>
</file>

<file path=xl/worksheets/sheet10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980B4D7-7036-4330-9578-1E0A9CB4E5DA}">
  <sheetPr>
    <pageSetUpPr fitToPage="1"/>
  </sheetPr>
  <dimension ref="A1:Y33"/>
  <sheetViews>
    <sheetView topLeftCell="D3" zoomScale="71" zoomScaleNormal="71" zoomScaleSheetLayoutView="100" workbookViewId="0">
      <selection activeCell="Y25" sqref="Y25"/>
    </sheetView>
  </sheetViews>
  <sheetFormatPr defaultColWidth="9.140625" defaultRowHeight="15" x14ac:dyDescent="0.25"/>
  <cols>
    <col min="1" max="1" width="18.28515625" style="14" customWidth="1"/>
    <col min="2" max="2" width="10.7109375" style="14" customWidth="1"/>
    <col min="3" max="3" width="12.28515625" style="14" customWidth="1"/>
    <col min="4" max="4" width="11" style="14" customWidth="1"/>
    <col min="5" max="5" width="12" style="14" customWidth="1"/>
    <col min="6" max="6" width="12.5703125" style="14" bestFit="1" customWidth="1"/>
    <col min="7" max="7" width="9.28515625" style="14" bestFit="1" customWidth="1"/>
    <col min="8" max="8" width="10.140625" style="14" bestFit="1" customWidth="1"/>
    <col min="9" max="9" width="10.5703125" style="14" bestFit="1" customWidth="1"/>
    <col min="10" max="10" width="10.5703125" style="14" customWidth="1"/>
    <col min="11" max="11" width="10.28515625" style="14" bestFit="1" customWidth="1"/>
    <col min="12" max="12" width="10.42578125" style="14" bestFit="1" customWidth="1"/>
    <col min="13" max="13" width="9.85546875" style="14" bestFit="1" customWidth="1"/>
    <col min="14" max="14" width="10.140625" style="14" bestFit="1" customWidth="1"/>
    <col min="15" max="15" width="9" style="14" customWidth="1"/>
    <col min="16" max="16" width="12.85546875" style="14" bestFit="1" customWidth="1"/>
    <col min="17" max="18" width="9.42578125" style="14" customWidth="1"/>
    <col min="19" max="19" width="13.7109375" style="14" customWidth="1"/>
    <col min="20" max="20" width="12.140625" style="14" customWidth="1"/>
    <col min="21" max="21" width="19.5703125" style="14" bestFit="1" customWidth="1"/>
    <col min="22" max="22" width="9.85546875" style="14" customWidth="1"/>
    <col min="23" max="23" width="10.140625" style="14" bestFit="1" customWidth="1"/>
    <col min="24" max="24" width="10.28515625" style="14" customWidth="1"/>
    <col min="25" max="25" width="28" style="14" customWidth="1"/>
    <col min="26" max="16384" width="9.140625" style="14"/>
  </cols>
  <sheetData>
    <row r="1" spans="1:25" ht="46.15" customHeight="1" x14ac:dyDescent="0.25">
      <c r="A1" s="2240" t="s">
        <v>148</v>
      </c>
      <c r="B1" s="2240"/>
      <c r="C1" s="2240"/>
      <c r="D1" s="2240"/>
      <c r="E1" s="2240"/>
      <c r="F1" s="2240"/>
      <c r="G1" s="2240"/>
      <c r="H1" s="2240"/>
      <c r="I1" s="2240"/>
      <c r="J1" s="2240"/>
      <c r="K1" s="2240"/>
      <c r="L1" s="2240"/>
      <c r="M1" s="2240"/>
      <c r="N1" s="2240"/>
      <c r="O1" s="2240"/>
      <c r="P1" s="2240"/>
      <c r="Q1" s="2240"/>
      <c r="R1" s="2240"/>
      <c r="S1" s="2240"/>
      <c r="T1" s="2240"/>
      <c r="U1" s="2240"/>
      <c r="V1" s="2240"/>
      <c r="W1" s="2240"/>
      <c r="X1" s="2240"/>
      <c r="Y1" s="2240"/>
    </row>
    <row r="2" spans="1:25" ht="21.6" customHeight="1" x14ac:dyDescent="0.25">
      <c r="A2" s="2241" t="s">
        <v>77</v>
      </c>
      <c r="B2" s="2241"/>
      <c r="C2" s="2241"/>
      <c r="D2" s="2241"/>
      <c r="E2" s="2241"/>
      <c r="F2" s="2241"/>
      <c r="G2" s="2241"/>
      <c r="H2" s="2241"/>
      <c r="I2" s="2241"/>
      <c r="J2" s="2241"/>
      <c r="K2" s="2241"/>
      <c r="L2" s="2241"/>
      <c r="M2" s="2241"/>
      <c r="N2" s="2241"/>
      <c r="O2" s="2241"/>
      <c r="P2" s="2241"/>
      <c r="Q2" s="2241"/>
      <c r="R2" s="2241"/>
      <c r="S2" s="2241"/>
      <c r="T2" s="2241"/>
      <c r="U2" s="2241"/>
      <c r="V2" s="2241"/>
      <c r="W2" s="2241"/>
      <c r="X2" s="2241"/>
      <c r="Y2" s="2241"/>
    </row>
    <row r="3" spans="1:25" ht="21" customHeight="1" x14ac:dyDescent="0.25">
      <c r="A3" s="297"/>
      <c r="B3" s="297"/>
      <c r="C3" s="297"/>
      <c r="D3" s="297"/>
      <c r="E3" s="297"/>
      <c r="F3" s="297"/>
      <c r="G3" s="297"/>
      <c r="H3" s="297"/>
      <c r="I3" s="297"/>
      <c r="J3" s="297"/>
      <c r="K3" s="297"/>
      <c r="L3" s="297"/>
      <c r="M3" s="297"/>
      <c r="N3" s="297"/>
      <c r="O3" s="297"/>
      <c r="P3" s="297"/>
      <c r="Q3" s="297"/>
      <c r="R3" s="297"/>
      <c r="S3" s="297"/>
      <c r="T3" s="2242" t="s">
        <v>295</v>
      </c>
      <c r="U3" s="2242"/>
      <c r="V3" s="2242"/>
      <c r="W3" s="2242"/>
      <c r="X3" s="2242"/>
      <c r="Y3" s="2242"/>
    </row>
    <row r="4" spans="1:25" s="297" customFormat="1" ht="18" customHeight="1" x14ac:dyDescent="0.25">
      <c r="A4" s="2243" t="s">
        <v>25</v>
      </c>
      <c r="B4" s="2243" t="s">
        <v>26</v>
      </c>
      <c r="C4" s="2244" t="s">
        <v>27</v>
      </c>
      <c r="D4" s="2244"/>
      <c r="E4" s="2244" t="s">
        <v>28</v>
      </c>
      <c r="F4" s="2244"/>
      <c r="G4" s="2244" t="s">
        <v>65</v>
      </c>
      <c r="H4" s="2244"/>
      <c r="I4" s="2244" t="s">
        <v>29</v>
      </c>
      <c r="J4" s="2244"/>
      <c r="K4" s="2245" t="s">
        <v>13</v>
      </c>
      <c r="L4" s="2246"/>
      <c r="M4" s="2245" t="s">
        <v>67</v>
      </c>
      <c r="N4" s="2246"/>
      <c r="O4" s="2245" t="s">
        <v>68</v>
      </c>
      <c r="P4" s="2246"/>
      <c r="Q4" s="2245" t="s">
        <v>114</v>
      </c>
      <c r="R4" s="2246"/>
      <c r="S4" s="2244" t="s">
        <v>35</v>
      </c>
      <c r="T4" s="2244"/>
      <c r="U4" s="2245" t="s">
        <v>17</v>
      </c>
      <c r="V4" s="2246"/>
      <c r="W4" s="2247" t="s">
        <v>36</v>
      </c>
      <c r="X4" s="2248"/>
      <c r="Y4" s="2238" t="s">
        <v>30</v>
      </c>
    </row>
    <row r="5" spans="1:25" s="297" customFormat="1" ht="25.5" customHeight="1" x14ac:dyDescent="0.25">
      <c r="A5" s="2243"/>
      <c r="B5" s="2243"/>
      <c r="C5" s="296" t="s">
        <v>42</v>
      </c>
      <c r="D5" s="296" t="s">
        <v>43</v>
      </c>
      <c r="E5" s="296" t="s">
        <v>42</v>
      </c>
      <c r="F5" s="296" t="s">
        <v>43</v>
      </c>
      <c r="G5" s="296" t="s">
        <v>42</v>
      </c>
      <c r="H5" s="296" t="s">
        <v>43</v>
      </c>
      <c r="I5" s="296" t="s">
        <v>42</v>
      </c>
      <c r="J5" s="296" t="s">
        <v>43</v>
      </c>
      <c r="K5" s="296" t="s">
        <v>42</v>
      </c>
      <c r="L5" s="296" t="s">
        <v>43</v>
      </c>
      <c r="M5" s="296" t="s">
        <v>42</v>
      </c>
      <c r="N5" s="296" t="s">
        <v>43</v>
      </c>
      <c r="O5" s="296" t="s">
        <v>42</v>
      </c>
      <c r="P5" s="296" t="s">
        <v>43</v>
      </c>
      <c r="Q5" s="296" t="s">
        <v>42</v>
      </c>
      <c r="R5" s="296" t="s">
        <v>43</v>
      </c>
      <c r="S5" s="33" t="s">
        <v>42</v>
      </c>
      <c r="T5" s="33" t="s">
        <v>43</v>
      </c>
      <c r="U5" s="30" t="s">
        <v>42</v>
      </c>
      <c r="V5" s="30" t="s">
        <v>43</v>
      </c>
      <c r="W5" s="30" t="s">
        <v>42</v>
      </c>
      <c r="X5" s="30" t="s">
        <v>43</v>
      </c>
      <c r="Y5" s="2239"/>
    </row>
    <row r="6" spans="1:25" ht="34.5" customHeight="1" x14ac:dyDescent="0.25">
      <c r="A6" s="12">
        <v>1409935200</v>
      </c>
      <c r="B6" s="295" t="s">
        <v>71</v>
      </c>
      <c r="C6" s="293">
        <v>60873</v>
      </c>
      <c r="D6" s="292">
        <f>0.9725*C6</f>
        <v>59198.9925</v>
      </c>
      <c r="E6" s="293"/>
      <c r="F6" s="293">
        <f>13.7*E6</f>
        <v>0</v>
      </c>
      <c r="G6" s="293"/>
      <c r="H6" s="293">
        <f>28.2*G6</f>
        <v>0</v>
      </c>
      <c r="I6" s="293">
        <v>660</v>
      </c>
      <c r="J6" s="293">
        <f>18.5*I6</f>
        <v>12210</v>
      </c>
      <c r="K6" s="293"/>
      <c r="L6" s="293">
        <f>19.5*K6</f>
        <v>0</v>
      </c>
      <c r="M6" s="293"/>
      <c r="N6" s="292">
        <f>M6*9.75</f>
        <v>0</v>
      </c>
      <c r="O6" s="293"/>
      <c r="P6" s="292">
        <f>O6*48.62</f>
        <v>0</v>
      </c>
      <c r="Q6" s="292"/>
      <c r="R6" s="292">
        <f>241*Q6</f>
        <v>0</v>
      </c>
      <c r="S6" s="293">
        <v>1</v>
      </c>
      <c r="T6" s="293">
        <f>241*S6</f>
        <v>241</v>
      </c>
      <c r="U6" s="293"/>
      <c r="V6" s="293">
        <f>232*U6</f>
        <v>0</v>
      </c>
      <c r="W6" s="293"/>
      <c r="X6" s="19">
        <f>W6*100</f>
        <v>0</v>
      </c>
      <c r="Y6" s="89">
        <f t="shared" ref="Y6:Y11" si="0">D6+F6+H6+J6+L6+N6+P6+R6+T6+V6+X6</f>
        <v>71649.992499999993</v>
      </c>
    </row>
    <row r="7" spans="1:25" ht="31.5" customHeight="1" x14ac:dyDescent="0.25">
      <c r="A7" s="12">
        <v>1984225578</v>
      </c>
      <c r="B7" s="295" t="s">
        <v>72</v>
      </c>
      <c r="C7" s="293">
        <v>23652</v>
      </c>
      <c r="D7" s="292">
        <f t="shared" ref="D7:D11" si="1">0.9725*C7</f>
        <v>23001.57</v>
      </c>
      <c r="E7" s="293"/>
      <c r="F7" s="293">
        <f t="shared" ref="F7:F11" si="2">13.7*E7</f>
        <v>0</v>
      </c>
      <c r="G7" s="293"/>
      <c r="H7" s="293">
        <f t="shared" ref="H7:H11" si="3">28.2*G7</f>
        <v>0</v>
      </c>
      <c r="I7" s="293">
        <v>90</v>
      </c>
      <c r="J7" s="293">
        <f t="shared" ref="J7:J11" si="4">18.5*I7</f>
        <v>1665</v>
      </c>
      <c r="K7" s="293"/>
      <c r="L7" s="293">
        <f t="shared" ref="L7:L11" si="5">19.5*K7</f>
        <v>0</v>
      </c>
      <c r="M7" s="293"/>
      <c r="N7" s="292">
        <f t="shared" ref="N7:N11" si="6">M7*9.75</f>
        <v>0</v>
      </c>
      <c r="O7" s="293"/>
      <c r="P7" s="292">
        <f t="shared" ref="P7:P11" si="7">O7*48.62</f>
        <v>0</v>
      </c>
      <c r="Q7" s="292"/>
      <c r="R7" s="292">
        <f t="shared" ref="R7:R11" si="8">241*Q7</f>
        <v>0</v>
      </c>
      <c r="S7" s="293">
        <v>17</v>
      </c>
      <c r="T7" s="293">
        <f t="shared" ref="T7:T11" si="9">241*S7</f>
        <v>4097</v>
      </c>
      <c r="U7" s="293"/>
      <c r="V7" s="293">
        <f t="shared" ref="V7:V11" si="10">232*U7</f>
        <v>0</v>
      </c>
      <c r="W7" s="293"/>
      <c r="X7" s="19">
        <f t="shared" ref="X7:X11" si="11">W7*100</f>
        <v>0</v>
      </c>
      <c r="Y7" s="89">
        <f t="shared" si="0"/>
        <v>28763.57</v>
      </c>
    </row>
    <row r="8" spans="1:25" ht="35.25" customHeight="1" x14ac:dyDescent="0.25">
      <c r="A8" s="12">
        <v>1967020280</v>
      </c>
      <c r="B8" s="295" t="s">
        <v>73</v>
      </c>
      <c r="C8" s="293">
        <v>63463</v>
      </c>
      <c r="D8" s="292">
        <f t="shared" si="1"/>
        <v>61717.767500000002</v>
      </c>
      <c r="E8" s="293"/>
      <c r="F8" s="293">
        <f t="shared" si="2"/>
        <v>0</v>
      </c>
      <c r="G8" s="293"/>
      <c r="H8" s="293">
        <f t="shared" si="3"/>
        <v>0</v>
      </c>
      <c r="I8" s="293">
        <v>750</v>
      </c>
      <c r="J8" s="293">
        <f t="shared" si="4"/>
        <v>13875</v>
      </c>
      <c r="K8" s="293"/>
      <c r="L8" s="293">
        <f t="shared" si="5"/>
        <v>0</v>
      </c>
      <c r="M8" s="293"/>
      <c r="N8" s="292">
        <f t="shared" si="6"/>
        <v>0</v>
      </c>
      <c r="O8" s="293"/>
      <c r="P8" s="292">
        <f t="shared" si="7"/>
        <v>0</v>
      </c>
      <c r="Q8" s="292"/>
      <c r="R8" s="292">
        <f t="shared" si="8"/>
        <v>0</v>
      </c>
      <c r="S8" s="293"/>
      <c r="T8" s="293">
        <f t="shared" si="9"/>
        <v>0</v>
      </c>
      <c r="U8" s="293"/>
      <c r="V8" s="293">
        <f t="shared" si="10"/>
        <v>0</v>
      </c>
      <c r="W8" s="293"/>
      <c r="X8" s="19">
        <f t="shared" si="11"/>
        <v>0</v>
      </c>
      <c r="Y8" s="89">
        <f t="shared" si="0"/>
        <v>75592.767500000002</v>
      </c>
    </row>
    <row r="9" spans="1:25" ht="38.25" customHeight="1" x14ac:dyDescent="0.25">
      <c r="A9" s="12">
        <v>1409935199</v>
      </c>
      <c r="B9" s="295" t="s">
        <v>75</v>
      </c>
      <c r="C9" s="293">
        <v>31558</v>
      </c>
      <c r="D9" s="292">
        <f t="shared" si="1"/>
        <v>30690.155000000002</v>
      </c>
      <c r="E9" s="293"/>
      <c r="F9" s="293">
        <f t="shared" si="2"/>
        <v>0</v>
      </c>
      <c r="G9" s="293">
        <v>20</v>
      </c>
      <c r="H9" s="293">
        <f t="shared" si="3"/>
        <v>564</v>
      </c>
      <c r="I9" s="293">
        <v>30</v>
      </c>
      <c r="J9" s="293">
        <f t="shared" si="4"/>
        <v>555</v>
      </c>
      <c r="K9" s="293"/>
      <c r="L9" s="293">
        <f t="shared" si="5"/>
        <v>0</v>
      </c>
      <c r="M9" s="293"/>
      <c r="N9" s="292">
        <f t="shared" si="6"/>
        <v>0</v>
      </c>
      <c r="O9" s="293"/>
      <c r="P9" s="292">
        <f t="shared" si="7"/>
        <v>0</v>
      </c>
      <c r="Q9" s="292"/>
      <c r="R9" s="292">
        <f t="shared" si="8"/>
        <v>0</v>
      </c>
      <c r="S9" s="293"/>
      <c r="T9" s="293">
        <f t="shared" si="9"/>
        <v>0</v>
      </c>
      <c r="U9" s="293"/>
      <c r="V9" s="293">
        <f t="shared" si="10"/>
        <v>0</v>
      </c>
      <c r="W9" s="293"/>
      <c r="X9" s="19">
        <f t="shared" si="11"/>
        <v>0</v>
      </c>
      <c r="Y9" s="89">
        <f t="shared" si="0"/>
        <v>31809.155000000002</v>
      </c>
    </row>
    <row r="10" spans="1:25" ht="35.25" customHeight="1" x14ac:dyDescent="0.25">
      <c r="A10" s="12">
        <v>1984225580</v>
      </c>
      <c r="C10" s="293"/>
      <c r="D10" s="292">
        <f t="shared" si="1"/>
        <v>0</v>
      </c>
      <c r="E10" s="293"/>
      <c r="F10" s="293">
        <f t="shared" si="2"/>
        <v>0</v>
      </c>
      <c r="G10" s="293"/>
      <c r="H10" s="293">
        <f t="shared" si="3"/>
        <v>0</v>
      </c>
      <c r="I10" s="293"/>
      <c r="J10" s="293">
        <f t="shared" si="4"/>
        <v>0</v>
      </c>
      <c r="K10" s="293"/>
      <c r="L10" s="293">
        <f t="shared" si="5"/>
        <v>0</v>
      </c>
      <c r="M10" s="293"/>
      <c r="N10" s="292">
        <f t="shared" si="6"/>
        <v>0</v>
      </c>
      <c r="O10" s="293"/>
      <c r="P10" s="292">
        <f t="shared" si="7"/>
        <v>0</v>
      </c>
      <c r="Q10" s="292"/>
      <c r="R10" s="292">
        <f t="shared" si="8"/>
        <v>0</v>
      </c>
      <c r="S10" s="293"/>
      <c r="T10" s="293">
        <f t="shared" si="9"/>
        <v>0</v>
      </c>
      <c r="U10" s="293"/>
      <c r="V10" s="293">
        <f t="shared" si="10"/>
        <v>0</v>
      </c>
      <c r="W10" s="293"/>
      <c r="X10" s="19">
        <f t="shared" si="11"/>
        <v>0</v>
      </c>
      <c r="Y10" s="89">
        <f t="shared" si="0"/>
        <v>0</v>
      </c>
    </row>
    <row r="11" spans="1:25" ht="37.5" customHeight="1" x14ac:dyDescent="0.25">
      <c r="A11" s="12"/>
      <c r="B11" s="294"/>
      <c r="C11" s="293"/>
      <c r="D11" s="22">
        <f t="shared" si="1"/>
        <v>0</v>
      </c>
      <c r="E11" s="293"/>
      <c r="F11" s="293">
        <f t="shared" si="2"/>
        <v>0</v>
      </c>
      <c r="G11" s="293"/>
      <c r="H11" s="293">
        <f t="shared" si="3"/>
        <v>0</v>
      </c>
      <c r="I11" s="293"/>
      <c r="J11" s="293">
        <f t="shared" si="4"/>
        <v>0</v>
      </c>
      <c r="K11" s="293"/>
      <c r="L11" s="293">
        <f t="shared" si="5"/>
        <v>0</v>
      </c>
      <c r="M11" s="293"/>
      <c r="N11" s="292">
        <f t="shared" si="6"/>
        <v>0</v>
      </c>
      <c r="O11" s="293"/>
      <c r="P11" s="292">
        <f t="shared" si="7"/>
        <v>0</v>
      </c>
      <c r="Q11" s="292"/>
      <c r="R11" s="292">
        <f t="shared" si="8"/>
        <v>0</v>
      </c>
      <c r="S11" s="293"/>
      <c r="T11" s="293">
        <f t="shared" si="9"/>
        <v>0</v>
      </c>
      <c r="U11" s="293"/>
      <c r="V11" s="293">
        <f t="shared" si="10"/>
        <v>0</v>
      </c>
      <c r="W11" s="293"/>
      <c r="X11" s="19">
        <f t="shared" si="11"/>
        <v>0</v>
      </c>
      <c r="Y11" s="20">
        <f t="shared" si="0"/>
        <v>0</v>
      </c>
    </row>
    <row r="12" spans="1:25" ht="29.25" customHeight="1" x14ac:dyDescent="0.25">
      <c r="A12" s="2235" t="s">
        <v>31</v>
      </c>
      <c r="B12" s="2235"/>
      <c r="C12" s="18">
        <f t="shared" ref="C12:Y12" si="12">SUM(C6:C11)</f>
        <v>179546</v>
      </c>
      <c r="D12" s="18">
        <f t="shared" si="12"/>
        <v>174608.48500000002</v>
      </c>
      <c r="E12" s="18">
        <f t="shared" si="12"/>
        <v>0</v>
      </c>
      <c r="F12" s="18">
        <f t="shared" si="12"/>
        <v>0</v>
      </c>
      <c r="G12" s="18">
        <f t="shared" si="12"/>
        <v>20</v>
      </c>
      <c r="H12" s="18">
        <f t="shared" si="12"/>
        <v>564</v>
      </c>
      <c r="I12" s="18">
        <f t="shared" si="12"/>
        <v>1530</v>
      </c>
      <c r="J12" s="18">
        <f t="shared" si="12"/>
        <v>28305</v>
      </c>
      <c r="K12" s="18">
        <f t="shared" si="12"/>
        <v>0</v>
      </c>
      <c r="L12" s="18">
        <f t="shared" si="12"/>
        <v>0</v>
      </c>
      <c r="M12" s="18">
        <f t="shared" si="12"/>
        <v>0</v>
      </c>
      <c r="N12" s="23">
        <f t="shared" si="12"/>
        <v>0</v>
      </c>
      <c r="O12" s="18">
        <f t="shared" si="12"/>
        <v>0</v>
      </c>
      <c r="P12" s="23">
        <f t="shared" si="12"/>
        <v>0</v>
      </c>
      <c r="Q12" s="23">
        <f t="shared" si="12"/>
        <v>0</v>
      </c>
      <c r="R12" s="23">
        <f>SUM(R6:R11)</f>
        <v>0</v>
      </c>
      <c r="S12" s="18">
        <f t="shared" si="12"/>
        <v>18</v>
      </c>
      <c r="T12" s="18">
        <f t="shared" si="12"/>
        <v>4338</v>
      </c>
      <c r="U12" s="18">
        <f t="shared" si="12"/>
        <v>0</v>
      </c>
      <c r="V12" s="18">
        <f t="shared" si="12"/>
        <v>0</v>
      </c>
      <c r="W12" s="18">
        <f t="shared" si="12"/>
        <v>0</v>
      </c>
      <c r="X12" s="18">
        <f t="shared" si="12"/>
        <v>0</v>
      </c>
      <c r="Y12" s="18">
        <f t="shared" si="12"/>
        <v>207815.48500000002</v>
      </c>
    </row>
    <row r="14" spans="1:25" ht="41.25" customHeight="1" x14ac:dyDescent="0.25">
      <c r="A14" s="30" t="s">
        <v>32</v>
      </c>
      <c r="B14" s="2236" t="s">
        <v>27</v>
      </c>
      <c r="C14" s="2236"/>
      <c r="D14" s="30" t="s">
        <v>33</v>
      </c>
      <c r="E14" s="30" t="s">
        <v>65</v>
      </c>
      <c r="F14" s="30" t="s">
        <v>34</v>
      </c>
      <c r="G14" s="30" t="s">
        <v>13</v>
      </c>
      <c r="H14" s="142" t="s">
        <v>173</v>
      </c>
      <c r="I14" s="30" t="s">
        <v>17</v>
      </c>
      <c r="J14" s="301" t="s">
        <v>174</v>
      </c>
      <c r="K14" s="30" t="s">
        <v>36</v>
      </c>
      <c r="L14" s="30" t="s">
        <v>175</v>
      </c>
      <c r="M14" s="30" t="s">
        <v>69</v>
      </c>
      <c r="N14" s="30" t="s">
        <v>70</v>
      </c>
      <c r="O14" s="301" t="s">
        <v>114</v>
      </c>
      <c r="P14" s="301" t="s">
        <v>99</v>
      </c>
      <c r="Q14" s="2272" t="s">
        <v>256</v>
      </c>
      <c r="R14" s="2272"/>
      <c r="S14" s="301"/>
      <c r="T14" s="2235" t="s">
        <v>46</v>
      </c>
      <c r="U14" s="295" t="s">
        <v>176</v>
      </c>
      <c r="V14" s="2260">
        <v>29485</v>
      </c>
      <c r="W14" s="2268"/>
      <c r="X14" s="2261"/>
    </row>
    <row r="15" spans="1:25" ht="22.5" customHeight="1" x14ac:dyDescent="0.25">
      <c r="A15" s="100" t="s">
        <v>38</v>
      </c>
      <c r="B15" s="2260">
        <v>202496</v>
      </c>
      <c r="C15" s="2261"/>
      <c r="D15" s="298">
        <v>0</v>
      </c>
      <c r="E15" s="298">
        <v>490</v>
      </c>
      <c r="F15" s="298">
        <v>1780</v>
      </c>
      <c r="G15" s="298">
        <v>0</v>
      </c>
      <c r="H15" s="298">
        <v>56</v>
      </c>
      <c r="I15" s="298">
        <v>0</v>
      </c>
      <c r="J15" s="298">
        <v>61</v>
      </c>
      <c r="K15" s="298">
        <v>69</v>
      </c>
      <c r="L15" s="298">
        <v>1063</v>
      </c>
      <c r="M15" s="298">
        <v>0</v>
      </c>
      <c r="N15" s="298">
        <v>100</v>
      </c>
      <c r="O15" s="298">
        <v>0</v>
      </c>
      <c r="P15" s="298">
        <v>404</v>
      </c>
      <c r="Q15" s="2262">
        <v>0</v>
      </c>
      <c r="R15" s="2262"/>
      <c r="S15" s="295">
        <v>0</v>
      </c>
      <c r="T15" s="2235"/>
      <c r="U15" s="295" t="s">
        <v>64</v>
      </c>
      <c r="V15" s="2262">
        <v>140246</v>
      </c>
      <c r="W15" s="2262"/>
      <c r="X15" s="2262"/>
    </row>
    <row r="16" spans="1:25" ht="24.75" customHeight="1" x14ac:dyDescent="0.25">
      <c r="A16" s="100" t="s">
        <v>39</v>
      </c>
      <c r="B16" s="2260">
        <v>166263</v>
      </c>
      <c r="C16" s="2261"/>
      <c r="D16" s="298"/>
      <c r="E16" s="298"/>
      <c r="F16" s="298"/>
      <c r="G16" s="298"/>
      <c r="H16" s="298">
        <v>100</v>
      </c>
      <c r="I16" s="298"/>
      <c r="J16" s="298"/>
      <c r="K16" s="298"/>
      <c r="L16" s="298"/>
      <c r="M16" s="298"/>
      <c r="N16" s="298"/>
      <c r="O16" s="298"/>
      <c r="P16" s="298"/>
      <c r="Q16" s="2225"/>
      <c r="R16" s="2225"/>
      <c r="S16" s="298"/>
      <c r="T16" s="2254" t="s">
        <v>55</v>
      </c>
      <c r="U16" s="2254"/>
      <c r="V16" s="2267">
        <f>Y12</f>
        <v>207815.48500000002</v>
      </c>
      <c r="W16" s="2267"/>
      <c r="X16" s="2262"/>
    </row>
    <row r="17" spans="1:25" ht="28.5" customHeight="1" x14ac:dyDescent="0.25">
      <c r="A17" s="101" t="s">
        <v>44</v>
      </c>
      <c r="B17" s="2260"/>
      <c r="C17" s="2261"/>
      <c r="D17" s="298"/>
      <c r="E17" s="298"/>
      <c r="F17" s="298"/>
      <c r="G17" s="298"/>
      <c r="H17" s="298"/>
      <c r="I17" s="298"/>
      <c r="J17" s="298"/>
      <c r="K17" s="298"/>
      <c r="L17" s="298"/>
      <c r="M17" s="298"/>
      <c r="N17" s="298"/>
      <c r="O17" s="298"/>
      <c r="P17" s="298"/>
      <c r="Q17" s="2225"/>
      <c r="R17" s="2225"/>
      <c r="S17" s="294"/>
      <c r="T17" s="2294" t="s">
        <v>296</v>
      </c>
      <c r="U17" s="2295"/>
      <c r="V17" s="2296">
        <v>250000</v>
      </c>
      <c r="W17" s="2296"/>
      <c r="X17" s="2296"/>
    </row>
    <row r="18" spans="1:25" ht="27" customHeight="1" x14ac:dyDescent="0.25">
      <c r="A18" s="100" t="s">
        <v>40</v>
      </c>
      <c r="B18" s="2264">
        <f>C12</f>
        <v>179546</v>
      </c>
      <c r="C18" s="2261"/>
      <c r="D18" s="300">
        <f>E12</f>
        <v>0</v>
      </c>
      <c r="E18" s="300">
        <f>G12</f>
        <v>20</v>
      </c>
      <c r="F18" s="300">
        <f>I12</f>
        <v>1530</v>
      </c>
      <c r="G18" s="300">
        <f>K12</f>
        <v>0</v>
      </c>
      <c r="H18" s="298">
        <v>18</v>
      </c>
      <c r="I18" s="300">
        <f>U12</f>
        <v>0</v>
      </c>
      <c r="J18" s="298"/>
      <c r="K18" s="300">
        <f>W12</f>
        <v>0</v>
      </c>
      <c r="L18" s="298"/>
      <c r="M18" s="300">
        <f>M12</f>
        <v>0</v>
      </c>
      <c r="N18" s="300">
        <f>O12</f>
        <v>0</v>
      </c>
      <c r="O18" s="299">
        <f>Q12</f>
        <v>0</v>
      </c>
      <c r="P18" s="298"/>
      <c r="Q18" s="2262"/>
      <c r="R18" s="2262"/>
      <c r="S18" s="295"/>
      <c r="T18" s="2254" t="s">
        <v>57</v>
      </c>
      <c r="U18" s="2254"/>
      <c r="V18" s="2262">
        <f>520+260</f>
        <v>780</v>
      </c>
      <c r="W18" s="2262"/>
      <c r="X18" s="2262"/>
      <c r="Y18" s="2269" t="s">
        <v>297</v>
      </c>
    </row>
    <row r="19" spans="1:25" ht="25.5" customHeight="1" x14ac:dyDescent="0.25">
      <c r="A19" s="100" t="s">
        <v>41</v>
      </c>
      <c r="B19" s="2260">
        <f>B15+B16+B17-B18</f>
        <v>189213</v>
      </c>
      <c r="C19" s="2261"/>
      <c r="D19" s="298">
        <f>D15+D16+D17-D18</f>
        <v>0</v>
      </c>
      <c r="E19" s="298">
        <f t="shared" ref="E19:N19" si="13">E15+E16+E17-E18</f>
        <v>470</v>
      </c>
      <c r="F19" s="298">
        <f t="shared" si="13"/>
        <v>250</v>
      </c>
      <c r="G19" s="298">
        <f t="shared" si="13"/>
        <v>0</v>
      </c>
      <c r="H19" s="298">
        <f t="shared" si="13"/>
        <v>138</v>
      </c>
      <c r="I19" s="298">
        <f t="shared" si="13"/>
        <v>0</v>
      </c>
      <c r="J19" s="298">
        <f t="shared" si="13"/>
        <v>61</v>
      </c>
      <c r="K19" s="298">
        <f t="shared" si="13"/>
        <v>69</v>
      </c>
      <c r="L19" s="298">
        <f t="shared" si="13"/>
        <v>1063</v>
      </c>
      <c r="M19" s="298">
        <f t="shared" si="13"/>
        <v>0</v>
      </c>
      <c r="N19" s="298">
        <f t="shared" si="13"/>
        <v>100</v>
      </c>
      <c r="O19" s="298">
        <f>O15+O16+O17-O18</f>
        <v>0</v>
      </c>
      <c r="P19" s="298">
        <f>P15+P16+P17-P18</f>
        <v>404</v>
      </c>
      <c r="Q19" s="2260">
        <f t="shared" ref="Q19" si="14">Q15+Q16+Q17-Q18</f>
        <v>0</v>
      </c>
      <c r="R19" s="2261"/>
      <c r="S19" s="295">
        <f>S15+S16-S17-S18</f>
        <v>0</v>
      </c>
      <c r="T19" s="2256" t="s">
        <v>48</v>
      </c>
      <c r="U19" s="49" t="s">
        <v>58</v>
      </c>
      <c r="V19" s="2262">
        <v>597331</v>
      </c>
      <c r="W19" s="2262"/>
      <c r="X19" s="2262"/>
      <c r="Y19" s="2269"/>
    </row>
    <row r="20" spans="1:25" ht="23.25" customHeight="1" x14ac:dyDescent="0.25">
      <c r="A20" s="289" t="s">
        <v>187</v>
      </c>
      <c r="B20" s="2286">
        <f>B19*0.9625</f>
        <v>182117.51250000001</v>
      </c>
      <c r="C20" s="2287"/>
      <c r="D20" s="290">
        <f>D19*13.56</f>
        <v>0</v>
      </c>
      <c r="E20" s="290">
        <f>28.2*E19</f>
        <v>13254</v>
      </c>
      <c r="F20" s="290">
        <f>18.31*F19</f>
        <v>4577.5</v>
      </c>
      <c r="G20" s="290">
        <f>19.3*G19</f>
        <v>0</v>
      </c>
      <c r="H20" s="290">
        <f>241*H19</f>
        <v>33258</v>
      </c>
      <c r="I20" s="290">
        <f>223*I19</f>
        <v>0</v>
      </c>
      <c r="J20" s="290">
        <f>241*J19</f>
        <v>14701</v>
      </c>
      <c r="K20" s="290">
        <f>K19*100</f>
        <v>6900</v>
      </c>
      <c r="L20" s="290">
        <f>241*L19</f>
        <v>256183</v>
      </c>
      <c r="M20" s="290">
        <f>9.65*M19</f>
        <v>0</v>
      </c>
      <c r="N20" s="290">
        <f>N19*48.2</f>
        <v>4820</v>
      </c>
      <c r="O20" s="290">
        <f>241*O19</f>
        <v>0</v>
      </c>
      <c r="P20" s="290">
        <f>241*P19</f>
        <v>97364</v>
      </c>
      <c r="Q20" s="2286">
        <f>241*Q19</f>
        <v>0</v>
      </c>
      <c r="R20" s="2287"/>
      <c r="S20" s="290">
        <f>241*S19</f>
        <v>0</v>
      </c>
      <c r="T20" s="2257"/>
      <c r="U20" s="49" t="s">
        <v>59</v>
      </c>
      <c r="V20" s="2262"/>
      <c r="W20" s="2262"/>
      <c r="X20" s="2262"/>
      <c r="Y20" s="2269"/>
    </row>
    <row r="21" spans="1:25" ht="32.25" customHeight="1" x14ac:dyDescent="0.25">
      <c r="A21" s="291" t="s">
        <v>186</v>
      </c>
      <c r="B21" s="2293">
        <f>SUM(B20:S20)</f>
        <v>613175.01249999995</v>
      </c>
      <c r="C21" s="2293"/>
      <c r="O21" s="302"/>
      <c r="P21" s="302"/>
      <c r="Q21" s="302"/>
      <c r="R21" s="302"/>
      <c r="T21" s="2294" t="s">
        <v>167</v>
      </c>
      <c r="U21" s="2295"/>
      <c r="V21" s="2297"/>
      <c r="W21" s="2298"/>
      <c r="X21" s="2299"/>
      <c r="Y21" s="2269"/>
    </row>
    <row r="22" spans="1:25" ht="35.25" customHeight="1" x14ac:dyDescent="0.25">
      <c r="A22" s="15"/>
      <c r="B22" s="2288" t="s">
        <v>49</v>
      </c>
      <c r="C22" s="2291">
        <v>597302</v>
      </c>
      <c r="D22" s="2291">
        <v>597331</v>
      </c>
      <c r="E22" s="2291">
        <v>184129</v>
      </c>
      <c r="F22" s="2291">
        <f>C22-D22+E22</f>
        <v>184100</v>
      </c>
      <c r="G22" s="302"/>
      <c r="Q22" s="302"/>
      <c r="R22" s="302"/>
      <c r="T22" s="2251" t="s">
        <v>83</v>
      </c>
      <c r="U22" s="50" t="s">
        <v>60</v>
      </c>
      <c r="V22" s="2262">
        <v>483620</v>
      </c>
      <c r="W22" s="2262"/>
      <c r="X22" s="2262"/>
      <c r="Y22" s="2269"/>
    </row>
    <row r="23" spans="1:25" ht="39.75" customHeight="1" x14ac:dyDescent="0.25">
      <c r="A23" s="302"/>
      <c r="B23" s="2289"/>
      <c r="C23" s="2292"/>
      <c r="D23" s="2292"/>
      <c r="E23" s="2292"/>
      <c r="F23" s="2292"/>
      <c r="G23" s="302"/>
      <c r="Q23" s="302"/>
      <c r="R23" s="302"/>
      <c r="T23" s="2252"/>
      <c r="U23" s="50" t="s">
        <v>61</v>
      </c>
      <c r="V23" s="2262">
        <v>597331</v>
      </c>
      <c r="W23" s="2262"/>
      <c r="X23" s="2262"/>
      <c r="Y23" s="2269"/>
    </row>
    <row r="24" spans="1:25" ht="48" customHeight="1" x14ac:dyDescent="0.25">
      <c r="A24" s="302"/>
      <c r="B24" s="2290"/>
      <c r="C24" s="290" t="s">
        <v>46</v>
      </c>
      <c r="D24" s="290" t="s">
        <v>50</v>
      </c>
      <c r="E24" s="290" t="s">
        <v>51</v>
      </c>
      <c r="F24" s="290" t="s">
        <v>52</v>
      </c>
      <c r="G24" s="302"/>
      <c r="Q24" s="302"/>
      <c r="R24" s="302"/>
      <c r="T24" s="2235" t="s">
        <v>47</v>
      </c>
      <c r="U24" s="51" t="s">
        <v>62</v>
      </c>
      <c r="V24" s="2263">
        <f>V14+V16+V17-V18-V19-V20-V22+V23-V21</f>
        <v>2900.484999999986</v>
      </c>
      <c r="W24" s="2263"/>
      <c r="X24" s="2263"/>
      <c r="Y24" s="2269"/>
    </row>
    <row r="25" spans="1:25" ht="40.5" customHeight="1" x14ac:dyDescent="0.25">
      <c r="T25" s="2235"/>
      <c r="U25" s="51" t="s">
        <v>63</v>
      </c>
      <c r="V25" s="2262">
        <f>V15+V22-V23</f>
        <v>26535</v>
      </c>
      <c r="W25" s="2262"/>
      <c r="X25" s="2262"/>
    </row>
    <row r="26" spans="1:25" ht="36" customHeight="1" x14ac:dyDescent="0.25"/>
    <row r="32" spans="1:25" x14ac:dyDescent="0.25">
      <c r="I32" s="2280"/>
      <c r="J32" s="2280"/>
      <c r="K32" s="2280"/>
      <c r="L32" s="2280"/>
    </row>
    <row r="33" spans="9:12" x14ac:dyDescent="0.25">
      <c r="I33" s="302"/>
      <c r="J33" s="302"/>
      <c r="K33" s="2280"/>
      <c r="L33" s="2280"/>
    </row>
  </sheetData>
  <mergeCells count="62">
    <mergeCell ref="A1:Y1"/>
    <mergeCell ref="A2:Y2"/>
    <mergeCell ref="T3:Y3"/>
    <mergeCell ref="A4:A5"/>
    <mergeCell ref="B4:B5"/>
    <mergeCell ref="C4:D4"/>
    <mergeCell ref="E4:F4"/>
    <mergeCell ref="G4:H4"/>
    <mergeCell ref="I4:J4"/>
    <mergeCell ref="K4:L4"/>
    <mergeCell ref="Y4:Y5"/>
    <mergeCell ref="M4:N4"/>
    <mergeCell ref="O4:P4"/>
    <mergeCell ref="Q4:R4"/>
    <mergeCell ref="S4:T4"/>
    <mergeCell ref="U4:V4"/>
    <mergeCell ref="W4:X4"/>
    <mergeCell ref="B16:C16"/>
    <mergeCell ref="Q16:R16"/>
    <mergeCell ref="T16:U16"/>
    <mergeCell ref="V16:X16"/>
    <mergeCell ref="A12:B12"/>
    <mergeCell ref="B14:C14"/>
    <mergeCell ref="Q14:R14"/>
    <mergeCell ref="T14:T15"/>
    <mergeCell ref="V14:X14"/>
    <mergeCell ref="B15:C15"/>
    <mergeCell ref="Q15:R15"/>
    <mergeCell ref="V15:X15"/>
    <mergeCell ref="B17:C17"/>
    <mergeCell ref="Q17:R17"/>
    <mergeCell ref="T17:U17"/>
    <mergeCell ref="V17:X17"/>
    <mergeCell ref="B18:C18"/>
    <mergeCell ref="Q18:R18"/>
    <mergeCell ref="T18:U18"/>
    <mergeCell ref="V18:X18"/>
    <mergeCell ref="Y18:Y24"/>
    <mergeCell ref="B19:C19"/>
    <mergeCell ref="Q19:R19"/>
    <mergeCell ref="T19:T20"/>
    <mergeCell ref="V19:X19"/>
    <mergeCell ref="B20:C20"/>
    <mergeCell ref="B22:B24"/>
    <mergeCell ref="C22:C23"/>
    <mergeCell ref="D22:D23"/>
    <mergeCell ref="E22:E23"/>
    <mergeCell ref="F22:F23"/>
    <mergeCell ref="Q20:R20"/>
    <mergeCell ref="V20:X20"/>
    <mergeCell ref="B21:C21"/>
    <mergeCell ref="T21:U21"/>
    <mergeCell ref="V21:X21"/>
    <mergeCell ref="I32:J32"/>
    <mergeCell ref="K32:L32"/>
    <mergeCell ref="K33:L33"/>
    <mergeCell ref="T22:T23"/>
    <mergeCell ref="V22:X22"/>
    <mergeCell ref="V23:X23"/>
    <mergeCell ref="T24:T25"/>
    <mergeCell ref="V24:X24"/>
    <mergeCell ref="V25:X25"/>
  </mergeCells>
  <pageMargins left="0.15748031496063" right="0.15748031496063" top="0" bottom="0" header="0" footer="0"/>
  <pageSetup paperSize="9" scale="47" orientation="landscape" r:id="rId1"/>
  <legacyDrawing r:id="rId2"/>
</worksheet>
</file>

<file path=xl/worksheets/sheet10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2AFC965-40EA-448C-82AA-FB606210758A}">
  <sheetPr>
    <pageSetUpPr fitToPage="1"/>
  </sheetPr>
  <dimension ref="A1:Y33"/>
  <sheetViews>
    <sheetView topLeftCell="A14" zoomScale="71" zoomScaleNormal="71" zoomScaleSheetLayoutView="100" workbookViewId="0">
      <selection activeCell="L25" sqref="L25"/>
    </sheetView>
  </sheetViews>
  <sheetFormatPr defaultColWidth="9.140625" defaultRowHeight="15" x14ac:dyDescent="0.25"/>
  <cols>
    <col min="1" max="1" width="18.28515625" style="14" customWidth="1"/>
    <col min="2" max="2" width="10.7109375" style="14" customWidth="1"/>
    <col min="3" max="3" width="12.28515625" style="14" customWidth="1"/>
    <col min="4" max="4" width="11" style="14" customWidth="1"/>
    <col min="5" max="5" width="12" style="14" customWidth="1"/>
    <col min="6" max="6" width="12.5703125" style="14" bestFit="1" customWidth="1"/>
    <col min="7" max="7" width="9.28515625" style="14" bestFit="1" customWidth="1"/>
    <col min="8" max="8" width="10.140625" style="14" bestFit="1" customWidth="1"/>
    <col min="9" max="9" width="10.5703125" style="14" bestFit="1" customWidth="1"/>
    <col min="10" max="10" width="10.5703125" style="14" customWidth="1"/>
    <col min="11" max="11" width="10.28515625" style="14" bestFit="1" customWidth="1"/>
    <col min="12" max="12" width="10.42578125" style="14" bestFit="1" customWidth="1"/>
    <col min="13" max="13" width="9.85546875" style="14" bestFit="1" customWidth="1"/>
    <col min="14" max="14" width="10.140625" style="14" bestFit="1" customWidth="1"/>
    <col min="15" max="15" width="9" style="14" customWidth="1"/>
    <col min="16" max="16" width="12.85546875" style="14" bestFit="1" customWidth="1"/>
    <col min="17" max="18" width="9.42578125" style="14" customWidth="1"/>
    <col min="19" max="19" width="13.7109375" style="14" customWidth="1"/>
    <col min="20" max="20" width="12.140625" style="14" customWidth="1"/>
    <col min="21" max="21" width="19.5703125" style="14" bestFit="1" customWidth="1"/>
    <col min="22" max="22" width="9.85546875" style="14" customWidth="1"/>
    <col min="23" max="23" width="10.140625" style="14" bestFit="1" customWidth="1"/>
    <col min="24" max="24" width="10.28515625" style="14" customWidth="1"/>
    <col min="25" max="25" width="28" style="14" customWidth="1"/>
    <col min="26" max="16384" width="9.140625" style="14"/>
  </cols>
  <sheetData>
    <row r="1" spans="1:25" ht="46.15" customHeight="1" x14ac:dyDescent="0.25">
      <c r="A1" s="2240" t="s">
        <v>148</v>
      </c>
      <c r="B1" s="2240"/>
      <c r="C1" s="2240"/>
      <c r="D1" s="2240"/>
      <c r="E1" s="2240"/>
      <c r="F1" s="2240"/>
      <c r="G1" s="2240"/>
      <c r="H1" s="2240"/>
      <c r="I1" s="2240"/>
      <c r="J1" s="2240"/>
      <c r="K1" s="2240"/>
      <c r="L1" s="2240"/>
      <c r="M1" s="2240"/>
      <c r="N1" s="2240"/>
      <c r="O1" s="2240"/>
      <c r="P1" s="2240"/>
      <c r="Q1" s="2240"/>
      <c r="R1" s="2240"/>
      <c r="S1" s="2240"/>
      <c r="T1" s="2240"/>
      <c r="U1" s="2240"/>
      <c r="V1" s="2240"/>
      <c r="W1" s="2240"/>
      <c r="X1" s="2240"/>
      <c r="Y1" s="2240"/>
    </row>
    <row r="2" spans="1:25" ht="21.6" customHeight="1" x14ac:dyDescent="0.25">
      <c r="A2" s="2241" t="s">
        <v>77</v>
      </c>
      <c r="B2" s="2241"/>
      <c r="C2" s="2241"/>
      <c r="D2" s="2241"/>
      <c r="E2" s="2241"/>
      <c r="F2" s="2241"/>
      <c r="G2" s="2241"/>
      <c r="H2" s="2241"/>
      <c r="I2" s="2241"/>
      <c r="J2" s="2241"/>
      <c r="K2" s="2241"/>
      <c r="L2" s="2241"/>
      <c r="M2" s="2241"/>
      <c r="N2" s="2241"/>
      <c r="O2" s="2241"/>
      <c r="P2" s="2241"/>
      <c r="Q2" s="2241"/>
      <c r="R2" s="2241"/>
      <c r="S2" s="2241"/>
      <c r="T2" s="2241"/>
      <c r="U2" s="2241"/>
      <c r="V2" s="2241"/>
      <c r="W2" s="2241"/>
      <c r="X2" s="2241"/>
      <c r="Y2" s="2241"/>
    </row>
    <row r="3" spans="1:25" ht="21" customHeight="1" x14ac:dyDescent="0.25">
      <c r="A3" s="297"/>
      <c r="B3" s="297"/>
      <c r="C3" s="297"/>
      <c r="D3" s="297"/>
      <c r="E3" s="297"/>
      <c r="F3" s="297"/>
      <c r="G3" s="297"/>
      <c r="H3" s="297"/>
      <c r="I3" s="297"/>
      <c r="J3" s="297"/>
      <c r="K3" s="297"/>
      <c r="L3" s="297"/>
      <c r="M3" s="297"/>
      <c r="N3" s="297"/>
      <c r="O3" s="297"/>
      <c r="P3" s="297"/>
      <c r="Q3" s="297"/>
      <c r="R3" s="297"/>
      <c r="S3" s="297"/>
      <c r="T3" s="2242" t="s">
        <v>298</v>
      </c>
      <c r="U3" s="2242"/>
      <c r="V3" s="2242"/>
      <c r="W3" s="2242"/>
      <c r="X3" s="2242"/>
      <c r="Y3" s="2242"/>
    </row>
    <row r="4" spans="1:25" s="297" customFormat="1" ht="18" customHeight="1" x14ac:dyDescent="0.25">
      <c r="A4" s="2243" t="s">
        <v>25</v>
      </c>
      <c r="B4" s="2243" t="s">
        <v>26</v>
      </c>
      <c r="C4" s="2244" t="s">
        <v>27</v>
      </c>
      <c r="D4" s="2244"/>
      <c r="E4" s="2244" t="s">
        <v>28</v>
      </c>
      <c r="F4" s="2244"/>
      <c r="G4" s="2244" t="s">
        <v>65</v>
      </c>
      <c r="H4" s="2244"/>
      <c r="I4" s="2244" t="s">
        <v>29</v>
      </c>
      <c r="J4" s="2244"/>
      <c r="K4" s="2245" t="s">
        <v>13</v>
      </c>
      <c r="L4" s="2246"/>
      <c r="M4" s="2245" t="s">
        <v>67</v>
      </c>
      <c r="N4" s="2246"/>
      <c r="O4" s="2245" t="s">
        <v>68</v>
      </c>
      <c r="P4" s="2246"/>
      <c r="Q4" s="2245" t="s">
        <v>114</v>
      </c>
      <c r="R4" s="2246"/>
      <c r="S4" s="2244" t="s">
        <v>35</v>
      </c>
      <c r="T4" s="2244"/>
      <c r="U4" s="2245" t="s">
        <v>17</v>
      </c>
      <c r="V4" s="2246"/>
      <c r="W4" s="2247" t="s">
        <v>36</v>
      </c>
      <c r="X4" s="2248"/>
      <c r="Y4" s="2238" t="s">
        <v>30</v>
      </c>
    </row>
    <row r="5" spans="1:25" s="297" customFormat="1" ht="25.5" customHeight="1" x14ac:dyDescent="0.25">
      <c r="A5" s="2243"/>
      <c r="B5" s="2243"/>
      <c r="C5" s="296" t="s">
        <v>42</v>
      </c>
      <c r="D5" s="296" t="s">
        <v>43</v>
      </c>
      <c r="E5" s="296" t="s">
        <v>42</v>
      </c>
      <c r="F5" s="296" t="s">
        <v>43</v>
      </c>
      <c r="G5" s="296" t="s">
        <v>42</v>
      </c>
      <c r="H5" s="296" t="s">
        <v>43</v>
      </c>
      <c r="I5" s="296" t="s">
        <v>42</v>
      </c>
      <c r="J5" s="296" t="s">
        <v>43</v>
      </c>
      <c r="K5" s="296" t="s">
        <v>42</v>
      </c>
      <c r="L5" s="296" t="s">
        <v>43</v>
      </c>
      <c r="M5" s="296" t="s">
        <v>42</v>
      </c>
      <c r="N5" s="296" t="s">
        <v>43</v>
      </c>
      <c r="O5" s="296" t="s">
        <v>42</v>
      </c>
      <c r="P5" s="296" t="s">
        <v>43</v>
      </c>
      <c r="Q5" s="296" t="s">
        <v>42</v>
      </c>
      <c r="R5" s="296" t="s">
        <v>43</v>
      </c>
      <c r="S5" s="33" t="s">
        <v>42</v>
      </c>
      <c r="T5" s="33" t="s">
        <v>43</v>
      </c>
      <c r="U5" s="30" t="s">
        <v>42</v>
      </c>
      <c r="V5" s="30" t="s">
        <v>43</v>
      </c>
      <c r="W5" s="30" t="s">
        <v>42</v>
      </c>
      <c r="X5" s="30" t="s">
        <v>43</v>
      </c>
      <c r="Y5" s="2239"/>
    </row>
    <row r="6" spans="1:25" ht="34.5" customHeight="1" x14ac:dyDescent="0.25">
      <c r="A6" s="12">
        <v>1409935200</v>
      </c>
      <c r="B6" s="295" t="s">
        <v>71</v>
      </c>
      <c r="C6" s="293">
        <v>16029</v>
      </c>
      <c r="D6" s="292">
        <f>0.9725*C6</f>
        <v>15588.202500000001</v>
      </c>
      <c r="E6" s="293"/>
      <c r="F6" s="293">
        <f>13.7*E6</f>
        <v>0</v>
      </c>
      <c r="G6" s="293">
        <v>110</v>
      </c>
      <c r="H6" s="293">
        <f>28.2*G6</f>
        <v>3102</v>
      </c>
      <c r="I6" s="293"/>
      <c r="J6" s="293">
        <f>18.5*I6</f>
        <v>0</v>
      </c>
      <c r="K6" s="293"/>
      <c r="L6" s="293">
        <f>19.5*K6</f>
        <v>0</v>
      </c>
      <c r="M6" s="293"/>
      <c r="N6" s="292">
        <f>M6*9.75</f>
        <v>0</v>
      </c>
      <c r="O6" s="293"/>
      <c r="P6" s="292">
        <f>O6*48.62</f>
        <v>0</v>
      </c>
      <c r="Q6" s="292"/>
      <c r="R6" s="292">
        <f>241*Q6</f>
        <v>0</v>
      </c>
      <c r="S6" s="293"/>
      <c r="T6" s="293">
        <f>241*S6</f>
        <v>0</v>
      </c>
      <c r="U6" s="293"/>
      <c r="V6" s="293">
        <f>232*U6</f>
        <v>0</v>
      </c>
      <c r="W6" s="293"/>
      <c r="X6" s="19">
        <f>W6*100</f>
        <v>0</v>
      </c>
      <c r="Y6" s="89">
        <f t="shared" ref="Y6:Y11" si="0">D6+F6+H6+J6+L6+N6+P6+R6+T6+V6+X6</f>
        <v>18690.202499999999</v>
      </c>
    </row>
    <row r="7" spans="1:25" ht="31.5" customHeight="1" x14ac:dyDescent="0.25">
      <c r="A7" s="12">
        <v>1984225578</v>
      </c>
      <c r="B7" s="295" t="s">
        <v>72</v>
      </c>
      <c r="C7" s="293">
        <v>35958</v>
      </c>
      <c r="D7" s="292">
        <f t="shared" ref="D7:D11" si="1">0.9725*C7</f>
        <v>34969.154999999999</v>
      </c>
      <c r="E7" s="293"/>
      <c r="F7" s="293">
        <f t="shared" ref="F7:F11" si="2">13.7*E7</f>
        <v>0</v>
      </c>
      <c r="G7" s="293"/>
      <c r="H7" s="293">
        <f t="shared" ref="H7:H11" si="3">28.2*G7</f>
        <v>0</v>
      </c>
      <c r="I7" s="293"/>
      <c r="J7" s="293">
        <f t="shared" ref="J7:J11" si="4">18.5*I7</f>
        <v>0</v>
      </c>
      <c r="K7" s="293"/>
      <c r="L7" s="293">
        <f t="shared" ref="L7:L11" si="5">19.5*K7</f>
        <v>0</v>
      </c>
      <c r="M7" s="293"/>
      <c r="N7" s="292">
        <f t="shared" ref="N7:N11" si="6">M7*9.75</f>
        <v>0</v>
      </c>
      <c r="O7" s="293"/>
      <c r="P7" s="292">
        <f t="shared" ref="P7:P11" si="7">O7*48.62</f>
        <v>0</v>
      </c>
      <c r="Q7" s="292"/>
      <c r="R7" s="292">
        <f t="shared" ref="R7:R11" si="8">241*Q7</f>
        <v>0</v>
      </c>
      <c r="S7" s="293"/>
      <c r="T7" s="293">
        <f t="shared" ref="T7:T11" si="9">241*S7</f>
        <v>0</v>
      </c>
      <c r="U7" s="293"/>
      <c r="V7" s="293">
        <f t="shared" ref="V7:V11" si="10">232*U7</f>
        <v>0</v>
      </c>
      <c r="W7" s="293"/>
      <c r="X7" s="19">
        <f t="shared" ref="X7:X11" si="11">W7*100</f>
        <v>0</v>
      </c>
      <c r="Y7" s="89">
        <f t="shared" si="0"/>
        <v>34969.154999999999</v>
      </c>
    </row>
    <row r="8" spans="1:25" ht="35.25" customHeight="1" x14ac:dyDescent="0.25">
      <c r="A8" s="12">
        <v>1967020280</v>
      </c>
      <c r="B8" s="295" t="s">
        <v>73</v>
      </c>
      <c r="C8" s="293">
        <v>57993</v>
      </c>
      <c r="D8" s="292">
        <f t="shared" si="1"/>
        <v>56398.192500000005</v>
      </c>
      <c r="E8" s="293"/>
      <c r="F8" s="293">
        <f t="shared" si="2"/>
        <v>0</v>
      </c>
      <c r="G8" s="293"/>
      <c r="H8" s="293">
        <f t="shared" si="3"/>
        <v>0</v>
      </c>
      <c r="I8" s="293">
        <v>250</v>
      </c>
      <c r="J8" s="293">
        <f t="shared" si="4"/>
        <v>4625</v>
      </c>
      <c r="K8" s="293"/>
      <c r="L8" s="293">
        <f t="shared" si="5"/>
        <v>0</v>
      </c>
      <c r="M8" s="293"/>
      <c r="N8" s="292">
        <f t="shared" si="6"/>
        <v>0</v>
      </c>
      <c r="O8" s="293"/>
      <c r="P8" s="292">
        <f t="shared" si="7"/>
        <v>0</v>
      </c>
      <c r="Q8" s="292"/>
      <c r="R8" s="292">
        <f t="shared" si="8"/>
        <v>0</v>
      </c>
      <c r="S8" s="293">
        <v>3</v>
      </c>
      <c r="T8" s="293">
        <f t="shared" si="9"/>
        <v>723</v>
      </c>
      <c r="U8" s="293"/>
      <c r="V8" s="293">
        <f t="shared" si="10"/>
        <v>0</v>
      </c>
      <c r="W8" s="293"/>
      <c r="X8" s="19">
        <f t="shared" si="11"/>
        <v>0</v>
      </c>
      <c r="Y8" s="89">
        <f t="shared" si="0"/>
        <v>61746.192500000005</v>
      </c>
    </row>
    <row r="9" spans="1:25" ht="38.25" customHeight="1" x14ac:dyDescent="0.25">
      <c r="A9" s="12">
        <v>1409935199</v>
      </c>
      <c r="B9" s="295" t="s">
        <v>75</v>
      </c>
      <c r="C9" s="293">
        <v>86072</v>
      </c>
      <c r="D9" s="292">
        <f t="shared" si="1"/>
        <v>83705.02</v>
      </c>
      <c r="E9" s="293"/>
      <c r="F9" s="293">
        <f t="shared" si="2"/>
        <v>0</v>
      </c>
      <c r="G9" s="293"/>
      <c r="H9" s="293">
        <f t="shared" si="3"/>
        <v>0</v>
      </c>
      <c r="I9" s="293"/>
      <c r="J9" s="293">
        <f t="shared" si="4"/>
        <v>0</v>
      </c>
      <c r="K9" s="293"/>
      <c r="L9" s="293">
        <f t="shared" si="5"/>
        <v>0</v>
      </c>
      <c r="M9" s="293"/>
      <c r="N9" s="292">
        <f t="shared" si="6"/>
        <v>0</v>
      </c>
      <c r="O9" s="293"/>
      <c r="P9" s="292">
        <f t="shared" si="7"/>
        <v>0</v>
      </c>
      <c r="Q9" s="292"/>
      <c r="R9" s="292">
        <f t="shared" si="8"/>
        <v>0</v>
      </c>
      <c r="S9" s="293"/>
      <c r="T9" s="293">
        <f t="shared" si="9"/>
        <v>0</v>
      </c>
      <c r="U9" s="293"/>
      <c r="V9" s="293">
        <f t="shared" si="10"/>
        <v>0</v>
      </c>
      <c r="W9" s="293"/>
      <c r="X9" s="19">
        <f t="shared" si="11"/>
        <v>0</v>
      </c>
      <c r="Y9" s="89">
        <f t="shared" si="0"/>
        <v>83705.02</v>
      </c>
    </row>
    <row r="10" spans="1:25" ht="35.25" customHeight="1" x14ac:dyDescent="0.25">
      <c r="A10" s="12">
        <v>1984225580</v>
      </c>
      <c r="C10" s="293"/>
      <c r="D10" s="292">
        <f t="shared" si="1"/>
        <v>0</v>
      </c>
      <c r="E10" s="293"/>
      <c r="F10" s="293">
        <f t="shared" si="2"/>
        <v>0</v>
      </c>
      <c r="G10" s="293"/>
      <c r="H10" s="293">
        <f t="shared" si="3"/>
        <v>0</v>
      </c>
      <c r="I10" s="293"/>
      <c r="J10" s="293">
        <f t="shared" si="4"/>
        <v>0</v>
      </c>
      <c r="K10" s="293"/>
      <c r="L10" s="293">
        <f t="shared" si="5"/>
        <v>0</v>
      </c>
      <c r="M10" s="293"/>
      <c r="N10" s="292">
        <f t="shared" si="6"/>
        <v>0</v>
      </c>
      <c r="O10" s="293"/>
      <c r="P10" s="292">
        <f t="shared" si="7"/>
        <v>0</v>
      </c>
      <c r="Q10" s="292"/>
      <c r="R10" s="292">
        <f t="shared" si="8"/>
        <v>0</v>
      </c>
      <c r="S10" s="293"/>
      <c r="T10" s="293">
        <f t="shared" si="9"/>
        <v>0</v>
      </c>
      <c r="U10" s="293"/>
      <c r="V10" s="293">
        <f t="shared" si="10"/>
        <v>0</v>
      </c>
      <c r="W10" s="293"/>
      <c r="X10" s="19">
        <f t="shared" si="11"/>
        <v>0</v>
      </c>
      <c r="Y10" s="89">
        <f t="shared" si="0"/>
        <v>0</v>
      </c>
    </row>
    <row r="11" spans="1:25" ht="37.5" customHeight="1" x14ac:dyDescent="0.25">
      <c r="A11" s="12"/>
      <c r="B11" s="294"/>
      <c r="C11" s="293"/>
      <c r="D11" s="22">
        <f t="shared" si="1"/>
        <v>0</v>
      </c>
      <c r="E11" s="293"/>
      <c r="F11" s="293">
        <f t="shared" si="2"/>
        <v>0</v>
      </c>
      <c r="G11" s="293"/>
      <c r="H11" s="293">
        <f t="shared" si="3"/>
        <v>0</v>
      </c>
      <c r="I11" s="293"/>
      <c r="J11" s="293">
        <f t="shared" si="4"/>
        <v>0</v>
      </c>
      <c r="K11" s="293"/>
      <c r="L11" s="293">
        <f t="shared" si="5"/>
        <v>0</v>
      </c>
      <c r="M11" s="293"/>
      <c r="N11" s="292">
        <f t="shared" si="6"/>
        <v>0</v>
      </c>
      <c r="O11" s="293"/>
      <c r="P11" s="292">
        <f t="shared" si="7"/>
        <v>0</v>
      </c>
      <c r="Q11" s="292"/>
      <c r="R11" s="292">
        <f t="shared" si="8"/>
        <v>0</v>
      </c>
      <c r="S11" s="293"/>
      <c r="T11" s="293">
        <f t="shared" si="9"/>
        <v>0</v>
      </c>
      <c r="U11" s="293"/>
      <c r="V11" s="293">
        <f t="shared" si="10"/>
        <v>0</v>
      </c>
      <c r="W11" s="293"/>
      <c r="X11" s="19">
        <f t="shared" si="11"/>
        <v>0</v>
      </c>
      <c r="Y11" s="20">
        <f t="shared" si="0"/>
        <v>0</v>
      </c>
    </row>
    <row r="12" spans="1:25" ht="29.25" customHeight="1" x14ac:dyDescent="0.25">
      <c r="A12" s="2235" t="s">
        <v>31</v>
      </c>
      <c r="B12" s="2235"/>
      <c r="C12" s="18">
        <f t="shared" ref="C12:Y12" si="12">SUM(C6:C11)</f>
        <v>196052</v>
      </c>
      <c r="D12" s="18">
        <f t="shared" si="12"/>
        <v>190660.57</v>
      </c>
      <c r="E12" s="18">
        <f t="shared" si="12"/>
        <v>0</v>
      </c>
      <c r="F12" s="18">
        <f t="shared" si="12"/>
        <v>0</v>
      </c>
      <c r="G12" s="18">
        <f t="shared" si="12"/>
        <v>110</v>
      </c>
      <c r="H12" s="18">
        <f t="shared" si="12"/>
        <v>3102</v>
      </c>
      <c r="I12" s="18">
        <f t="shared" si="12"/>
        <v>250</v>
      </c>
      <c r="J12" s="18">
        <f t="shared" si="12"/>
        <v>4625</v>
      </c>
      <c r="K12" s="18">
        <f t="shared" si="12"/>
        <v>0</v>
      </c>
      <c r="L12" s="18">
        <f t="shared" si="12"/>
        <v>0</v>
      </c>
      <c r="M12" s="18">
        <f t="shared" si="12"/>
        <v>0</v>
      </c>
      <c r="N12" s="23">
        <f t="shared" si="12"/>
        <v>0</v>
      </c>
      <c r="O12" s="18">
        <f t="shared" si="12"/>
        <v>0</v>
      </c>
      <c r="P12" s="23">
        <f t="shared" si="12"/>
        <v>0</v>
      </c>
      <c r="Q12" s="23">
        <f t="shared" si="12"/>
        <v>0</v>
      </c>
      <c r="R12" s="23">
        <f>SUM(R6:R11)</f>
        <v>0</v>
      </c>
      <c r="S12" s="18">
        <f t="shared" si="12"/>
        <v>3</v>
      </c>
      <c r="T12" s="18">
        <f t="shared" si="12"/>
        <v>723</v>
      </c>
      <c r="U12" s="18">
        <f t="shared" si="12"/>
        <v>0</v>
      </c>
      <c r="V12" s="18">
        <f t="shared" si="12"/>
        <v>0</v>
      </c>
      <c r="W12" s="18">
        <f t="shared" si="12"/>
        <v>0</v>
      </c>
      <c r="X12" s="18">
        <f t="shared" si="12"/>
        <v>0</v>
      </c>
      <c r="Y12" s="18">
        <f t="shared" si="12"/>
        <v>199110.57</v>
      </c>
    </row>
    <row r="14" spans="1:25" ht="41.25" customHeight="1" x14ac:dyDescent="0.25">
      <c r="A14" s="30" t="s">
        <v>32</v>
      </c>
      <c r="B14" s="2236" t="s">
        <v>27</v>
      </c>
      <c r="C14" s="2236"/>
      <c r="D14" s="30" t="s">
        <v>33</v>
      </c>
      <c r="E14" s="30" t="s">
        <v>65</v>
      </c>
      <c r="F14" s="30" t="s">
        <v>34</v>
      </c>
      <c r="G14" s="30" t="s">
        <v>13</v>
      </c>
      <c r="H14" s="142" t="s">
        <v>173</v>
      </c>
      <c r="I14" s="30" t="s">
        <v>17</v>
      </c>
      <c r="J14" s="301" t="s">
        <v>174</v>
      </c>
      <c r="K14" s="30" t="s">
        <v>36</v>
      </c>
      <c r="L14" s="30" t="s">
        <v>175</v>
      </c>
      <c r="M14" s="30" t="s">
        <v>69</v>
      </c>
      <c r="N14" s="30" t="s">
        <v>70</v>
      </c>
      <c r="O14" s="301" t="s">
        <v>114</v>
      </c>
      <c r="P14" s="301" t="s">
        <v>99</v>
      </c>
      <c r="Q14" s="2272"/>
      <c r="R14" s="2272"/>
      <c r="S14" s="301"/>
      <c r="T14" s="2235" t="s">
        <v>46</v>
      </c>
      <c r="U14" s="295" t="s">
        <v>176</v>
      </c>
      <c r="V14" s="2260">
        <v>2900</v>
      </c>
      <c r="W14" s="2268"/>
      <c r="X14" s="2261"/>
    </row>
    <row r="15" spans="1:25" ht="22.5" customHeight="1" x14ac:dyDescent="0.25">
      <c r="A15" s="100" t="s">
        <v>38</v>
      </c>
      <c r="B15" s="2260">
        <v>189213</v>
      </c>
      <c r="C15" s="2261"/>
      <c r="D15" s="298">
        <v>0</v>
      </c>
      <c r="E15" s="298">
        <v>470</v>
      </c>
      <c r="F15" s="298">
        <v>250</v>
      </c>
      <c r="G15" s="298">
        <v>0</v>
      </c>
      <c r="H15" s="298">
        <v>138</v>
      </c>
      <c r="I15" s="298">
        <v>0</v>
      </c>
      <c r="J15" s="298">
        <v>61</v>
      </c>
      <c r="K15" s="298">
        <v>69</v>
      </c>
      <c r="L15" s="298">
        <v>1063</v>
      </c>
      <c r="M15" s="298">
        <v>0</v>
      </c>
      <c r="N15" s="298">
        <v>100</v>
      </c>
      <c r="O15" s="298">
        <v>0</v>
      </c>
      <c r="P15" s="298">
        <v>404</v>
      </c>
      <c r="Q15" s="2262">
        <v>0</v>
      </c>
      <c r="R15" s="2262"/>
      <c r="S15" s="295">
        <v>0</v>
      </c>
      <c r="T15" s="2235"/>
      <c r="U15" s="295" t="s">
        <v>64</v>
      </c>
      <c r="V15" s="2262">
        <v>26535</v>
      </c>
      <c r="W15" s="2262"/>
      <c r="X15" s="2262"/>
    </row>
    <row r="16" spans="1:25" ht="24.75" customHeight="1" x14ac:dyDescent="0.25">
      <c r="A16" s="100" t="s">
        <v>39</v>
      </c>
      <c r="B16" s="2260">
        <v>322077</v>
      </c>
      <c r="C16" s="2261"/>
      <c r="D16" s="298"/>
      <c r="E16" s="298"/>
      <c r="F16" s="298"/>
      <c r="G16" s="298"/>
      <c r="H16" s="298"/>
      <c r="I16" s="298"/>
      <c r="J16" s="298"/>
      <c r="K16" s="298"/>
      <c r="L16" s="298">
        <v>15</v>
      </c>
      <c r="M16" s="298"/>
      <c r="N16" s="298"/>
      <c r="O16" s="298"/>
      <c r="P16" s="298"/>
      <c r="Q16" s="2225"/>
      <c r="R16" s="2225"/>
      <c r="S16" s="298"/>
      <c r="T16" s="2254" t="s">
        <v>55</v>
      </c>
      <c r="U16" s="2254"/>
      <c r="V16" s="2267">
        <f>Y12</f>
        <v>199110.57</v>
      </c>
      <c r="W16" s="2267"/>
      <c r="X16" s="2262"/>
    </row>
    <row r="17" spans="1:25" ht="28.5" customHeight="1" x14ac:dyDescent="0.25">
      <c r="A17" s="101" t="s">
        <v>44</v>
      </c>
      <c r="B17" s="2260"/>
      <c r="C17" s="2261"/>
      <c r="D17" s="298"/>
      <c r="E17" s="298"/>
      <c r="F17" s="298"/>
      <c r="G17" s="298"/>
      <c r="H17" s="298"/>
      <c r="I17" s="298"/>
      <c r="J17" s="298"/>
      <c r="K17" s="298"/>
      <c r="L17" s="298"/>
      <c r="M17" s="298"/>
      <c r="N17" s="298"/>
      <c r="O17" s="298"/>
      <c r="P17" s="298"/>
      <c r="Q17" s="2225"/>
      <c r="R17" s="2225"/>
      <c r="S17" s="294"/>
      <c r="T17" s="2294" t="s">
        <v>296</v>
      </c>
      <c r="U17" s="2295"/>
      <c r="V17" s="2296"/>
      <c r="W17" s="2296"/>
      <c r="X17" s="2296"/>
    </row>
    <row r="18" spans="1:25" ht="27" customHeight="1" x14ac:dyDescent="0.25">
      <c r="A18" s="100" t="s">
        <v>40</v>
      </c>
      <c r="B18" s="2264">
        <f>C12</f>
        <v>196052</v>
      </c>
      <c r="C18" s="2261"/>
      <c r="D18" s="300">
        <f>E12</f>
        <v>0</v>
      </c>
      <c r="E18" s="300">
        <f>G12</f>
        <v>110</v>
      </c>
      <c r="F18" s="300">
        <f>I12</f>
        <v>250</v>
      </c>
      <c r="G18" s="300">
        <f>K12</f>
        <v>0</v>
      </c>
      <c r="H18" s="298">
        <v>18</v>
      </c>
      <c r="I18" s="300">
        <f>U12</f>
        <v>0</v>
      </c>
      <c r="J18" s="298"/>
      <c r="K18" s="300">
        <f>W12</f>
        <v>0</v>
      </c>
      <c r="L18" s="298"/>
      <c r="M18" s="300">
        <f>M12</f>
        <v>0</v>
      </c>
      <c r="N18" s="300">
        <f>O12</f>
        <v>0</v>
      </c>
      <c r="O18" s="299">
        <f>Q12</f>
        <v>0</v>
      </c>
      <c r="P18" s="298"/>
      <c r="Q18" s="2262"/>
      <c r="R18" s="2262"/>
      <c r="S18" s="295"/>
      <c r="T18" s="2254" t="s">
        <v>57</v>
      </c>
      <c r="U18" s="2254"/>
      <c r="V18" s="2262">
        <f>470+2700+2033+918</f>
        <v>6121</v>
      </c>
      <c r="W18" s="2262"/>
      <c r="X18" s="2262"/>
      <c r="Y18" s="2269" t="s">
        <v>299</v>
      </c>
    </row>
    <row r="19" spans="1:25" ht="25.5" customHeight="1" x14ac:dyDescent="0.25">
      <c r="A19" s="100" t="s">
        <v>41</v>
      </c>
      <c r="B19" s="2260">
        <f>B15+B16+B17-B18</f>
        <v>315238</v>
      </c>
      <c r="C19" s="2261"/>
      <c r="D19" s="298">
        <f>D15+D16+D17-D18</f>
        <v>0</v>
      </c>
      <c r="E19" s="298">
        <f t="shared" ref="E19:N19" si="13">E15+E16+E17-E18</f>
        <v>360</v>
      </c>
      <c r="F19" s="298">
        <f t="shared" si="13"/>
        <v>0</v>
      </c>
      <c r="G19" s="298">
        <f t="shared" si="13"/>
        <v>0</v>
      </c>
      <c r="H19" s="298">
        <f t="shared" si="13"/>
        <v>120</v>
      </c>
      <c r="I19" s="298">
        <f t="shared" si="13"/>
        <v>0</v>
      </c>
      <c r="J19" s="298">
        <f t="shared" si="13"/>
        <v>61</v>
      </c>
      <c r="K19" s="298">
        <f t="shared" si="13"/>
        <v>69</v>
      </c>
      <c r="L19" s="298">
        <f t="shared" si="13"/>
        <v>1078</v>
      </c>
      <c r="M19" s="298">
        <f t="shared" si="13"/>
        <v>0</v>
      </c>
      <c r="N19" s="298">
        <f t="shared" si="13"/>
        <v>100</v>
      </c>
      <c r="O19" s="298">
        <f>O15+O16+O17-O18</f>
        <v>0</v>
      </c>
      <c r="P19" s="298">
        <f>P15+P16+P17-P18</f>
        <v>404</v>
      </c>
      <c r="Q19" s="2260">
        <f t="shared" ref="Q19" si="14">Q15+Q16+Q17-Q18</f>
        <v>0</v>
      </c>
      <c r="R19" s="2261"/>
      <c r="S19" s="295">
        <f>S15+S16-S17-S18</f>
        <v>0</v>
      </c>
      <c r="T19" s="2256" t="s">
        <v>48</v>
      </c>
      <c r="U19" s="49" t="s">
        <v>58</v>
      </c>
      <c r="V19" s="2262">
        <v>184100</v>
      </c>
      <c r="W19" s="2262"/>
      <c r="X19" s="2262"/>
      <c r="Y19" s="2269"/>
    </row>
    <row r="20" spans="1:25" ht="23.25" customHeight="1" x14ac:dyDescent="0.25">
      <c r="A20" s="289" t="s">
        <v>187</v>
      </c>
      <c r="B20" s="2286">
        <f>B19*0.9625</f>
        <v>303416.57500000001</v>
      </c>
      <c r="C20" s="2287"/>
      <c r="D20" s="290">
        <f>D19*13.56</f>
        <v>0</v>
      </c>
      <c r="E20" s="290">
        <f>28.2*E19</f>
        <v>10152</v>
      </c>
      <c r="F20" s="290">
        <f>18.31*F19</f>
        <v>0</v>
      </c>
      <c r="G20" s="290">
        <f>19.3*G19</f>
        <v>0</v>
      </c>
      <c r="H20" s="290">
        <f>241*H19</f>
        <v>28920</v>
      </c>
      <c r="I20" s="290">
        <f>223*I19</f>
        <v>0</v>
      </c>
      <c r="J20" s="290">
        <f>241*J19</f>
        <v>14701</v>
      </c>
      <c r="K20" s="290">
        <f>K19*100</f>
        <v>6900</v>
      </c>
      <c r="L20" s="290">
        <f>241*L19</f>
        <v>259798</v>
      </c>
      <c r="M20" s="290">
        <f>9.65*M19</f>
        <v>0</v>
      </c>
      <c r="N20" s="290">
        <f>N19*48.2</f>
        <v>4820</v>
      </c>
      <c r="O20" s="290">
        <f>241*O19</f>
        <v>0</v>
      </c>
      <c r="P20" s="290">
        <f>241*P19</f>
        <v>97364</v>
      </c>
      <c r="Q20" s="2286">
        <f>241*Q19</f>
        <v>0</v>
      </c>
      <c r="R20" s="2287"/>
      <c r="S20" s="290">
        <f>241*S19</f>
        <v>0</v>
      </c>
      <c r="T20" s="2257"/>
      <c r="U20" s="49" t="s">
        <v>59</v>
      </c>
      <c r="V20" s="2262"/>
      <c r="W20" s="2262"/>
      <c r="X20" s="2262"/>
      <c r="Y20" s="2269"/>
    </row>
    <row r="21" spans="1:25" ht="32.25" customHeight="1" x14ac:dyDescent="0.25">
      <c r="A21" s="291" t="s">
        <v>186</v>
      </c>
      <c r="B21" s="2293">
        <f>SUM(B20:S20)</f>
        <v>726071.57499999995</v>
      </c>
      <c r="C21" s="2293"/>
      <c r="O21" s="302"/>
      <c r="P21" s="302"/>
      <c r="Q21" s="302"/>
      <c r="R21" s="302"/>
      <c r="T21" s="2294" t="s">
        <v>167</v>
      </c>
      <c r="U21" s="2295"/>
      <c r="V21" s="2297"/>
      <c r="W21" s="2298"/>
      <c r="X21" s="2299"/>
      <c r="Y21" s="2269"/>
    </row>
    <row r="22" spans="1:25" ht="35.25" customHeight="1" x14ac:dyDescent="0.25">
      <c r="A22" s="15"/>
      <c r="B22" s="2288" t="s">
        <v>49</v>
      </c>
      <c r="C22" s="2291">
        <v>184100</v>
      </c>
      <c r="D22" s="2291">
        <v>184100</v>
      </c>
      <c r="E22" s="2291">
        <v>310000</v>
      </c>
      <c r="F22" s="2291">
        <f>C22-D22+E22</f>
        <v>310000</v>
      </c>
      <c r="G22" s="302"/>
      <c r="Q22" s="302"/>
      <c r="R22" s="302"/>
      <c r="T22" s="2251" t="s">
        <v>83</v>
      </c>
      <c r="U22" s="50" t="s">
        <v>60</v>
      </c>
      <c r="V22" s="2262">
        <v>181020</v>
      </c>
      <c r="W22" s="2262"/>
      <c r="X22" s="2262"/>
      <c r="Y22" s="2269"/>
    </row>
    <row r="23" spans="1:25" ht="39.75" customHeight="1" x14ac:dyDescent="0.25">
      <c r="A23" s="302"/>
      <c r="B23" s="2289"/>
      <c r="C23" s="2292"/>
      <c r="D23" s="2292"/>
      <c r="E23" s="2292"/>
      <c r="F23" s="2292"/>
      <c r="G23" s="302"/>
      <c r="Q23" s="302"/>
      <c r="R23" s="302"/>
      <c r="T23" s="2252"/>
      <c r="U23" s="50" t="s">
        <v>61</v>
      </c>
      <c r="V23" s="2262">
        <v>184100</v>
      </c>
      <c r="W23" s="2262"/>
      <c r="X23" s="2262"/>
      <c r="Y23" s="2269"/>
    </row>
    <row r="24" spans="1:25" ht="48" customHeight="1" x14ac:dyDescent="0.25">
      <c r="A24" s="302"/>
      <c r="B24" s="2290"/>
      <c r="C24" s="290" t="s">
        <v>46</v>
      </c>
      <c r="D24" s="290" t="s">
        <v>50</v>
      </c>
      <c r="E24" s="290" t="s">
        <v>51</v>
      </c>
      <c r="F24" s="290" t="s">
        <v>52</v>
      </c>
      <c r="G24" s="302"/>
      <c r="Q24" s="302"/>
      <c r="R24" s="302"/>
      <c r="T24" s="2235" t="s">
        <v>47</v>
      </c>
      <c r="U24" s="51" t="s">
        <v>62</v>
      </c>
      <c r="V24" s="2263">
        <f>V14+V16+V17-V18-V19-V20-V22+V23-V21</f>
        <v>14869.570000000007</v>
      </c>
      <c r="W24" s="2263"/>
      <c r="X24" s="2263"/>
      <c r="Y24" s="2269"/>
    </row>
    <row r="25" spans="1:25" ht="40.5" customHeight="1" x14ac:dyDescent="0.25">
      <c r="T25" s="2235"/>
      <c r="U25" s="51" t="s">
        <v>63</v>
      </c>
      <c r="V25" s="2262">
        <f>V15+V22-V23</f>
        <v>23455</v>
      </c>
      <c r="W25" s="2262"/>
      <c r="X25" s="2262"/>
    </row>
    <row r="26" spans="1:25" ht="36" customHeight="1" x14ac:dyDescent="0.25">
      <c r="K26" s="314"/>
    </row>
    <row r="32" spans="1:25" x14ac:dyDescent="0.25">
      <c r="I32" s="2280"/>
      <c r="J32" s="2280"/>
      <c r="K32" s="2280"/>
      <c r="L32" s="2280"/>
    </row>
    <row r="33" spans="9:12" x14ac:dyDescent="0.25">
      <c r="I33" s="302"/>
      <c r="J33" s="302"/>
      <c r="K33" s="2280"/>
      <c r="L33" s="2280"/>
    </row>
  </sheetData>
  <mergeCells count="62">
    <mergeCell ref="A1:Y1"/>
    <mergeCell ref="A2:Y2"/>
    <mergeCell ref="T3:Y3"/>
    <mergeCell ref="A4:A5"/>
    <mergeCell ref="B4:B5"/>
    <mergeCell ref="C4:D4"/>
    <mergeCell ref="E4:F4"/>
    <mergeCell ref="G4:H4"/>
    <mergeCell ref="I4:J4"/>
    <mergeCell ref="K4:L4"/>
    <mergeCell ref="Y4:Y5"/>
    <mergeCell ref="M4:N4"/>
    <mergeCell ref="O4:P4"/>
    <mergeCell ref="Q4:R4"/>
    <mergeCell ref="S4:T4"/>
    <mergeCell ref="U4:V4"/>
    <mergeCell ref="W4:X4"/>
    <mergeCell ref="B16:C16"/>
    <mergeCell ref="Q16:R16"/>
    <mergeCell ref="T16:U16"/>
    <mergeCell ref="V16:X16"/>
    <mergeCell ref="A12:B12"/>
    <mergeCell ref="B14:C14"/>
    <mergeCell ref="Q14:R14"/>
    <mergeCell ref="T14:T15"/>
    <mergeCell ref="V14:X14"/>
    <mergeCell ref="B15:C15"/>
    <mergeCell ref="Q15:R15"/>
    <mergeCell ref="V15:X15"/>
    <mergeCell ref="B17:C17"/>
    <mergeCell ref="Q17:R17"/>
    <mergeCell ref="T17:U17"/>
    <mergeCell ref="V17:X17"/>
    <mergeCell ref="B18:C18"/>
    <mergeCell ref="Q18:R18"/>
    <mergeCell ref="T18:U18"/>
    <mergeCell ref="V18:X18"/>
    <mergeCell ref="Y18:Y24"/>
    <mergeCell ref="B19:C19"/>
    <mergeCell ref="Q19:R19"/>
    <mergeCell ref="T19:T20"/>
    <mergeCell ref="V19:X19"/>
    <mergeCell ref="B20:C20"/>
    <mergeCell ref="B22:B24"/>
    <mergeCell ref="C22:C23"/>
    <mergeCell ref="D22:D23"/>
    <mergeCell ref="E22:E23"/>
    <mergeCell ref="F22:F23"/>
    <mergeCell ref="Q20:R20"/>
    <mergeCell ref="V20:X20"/>
    <mergeCell ref="B21:C21"/>
    <mergeCell ref="T21:U21"/>
    <mergeCell ref="V21:X21"/>
    <mergeCell ref="I32:J32"/>
    <mergeCell ref="K32:L32"/>
    <mergeCell ref="K33:L33"/>
    <mergeCell ref="T22:T23"/>
    <mergeCell ref="V22:X22"/>
    <mergeCell ref="V23:X23"/>
    <mergeCell ref="T24:T25"/>
    <mergeCell ref="V24:X24"/>
    <mergeCell ref="V25:X25"/>
  </mergeCells>
  <pageMargins left="0.15748031496063" right="0.15748031496063" top="0" bottom="0" header="0" footer="0"/>
  <pageSetup paperSize="9" scale="47" orientation="landscape" r:id="rId1"/>
  <legacyDrawing r:id="rId2"/>
</worksheet>
</file>

<file path=xl/worksheets/sheet10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A8D1304-6C5F-44AF-922F-CE89F44A2BCF}">
  <sheetPr>
    <pageSetUpPr fitToPage="1"/>
  </sheetPr>
  <dimension ref="A1:Y33"/>
  <sheetViews>
    <sheetView topLeftCell="C1" zoomScale="71" zoomScaleNormal="71" zoomScaleSheetLayoutView="100" workbookViewId="0">
      <selection activeCell="J23" sqref="J23"/>
    </sheetView>
  </sheetViews>
  <sheetFormatPr defaultColWidth="9.140625" defaultRowHeight="15" x14ac:dyDescent="0.25"/>
  <cols>
    <col min="1" max="1" width="18.28515625" style="14" customWidth="1"/>
    <col min="2" max="2" width="10.7109375" style="14" customWidth="1"/>
    <col min="3" max="3" width="12.28515625" style="14" customWidth="1"/>
    <col min="4" max="4" width="11" style="14" customWidth="1"/>
    <col min="5" max="5" width="12" style="14" customWidth="1"/>
    <col min="6" max="6" width="12.5703125" style="14" bestFit="1" customWidth="1"/>
    <col min="7" max="7" width="9.28515625" style="14" bestFit="1" customWidth="1"/>
    <col min="8" max="8" width="10.140625" style="14" bestFit="1" customWidth="1"/>
    <col min="9" max="9" width="10.5703125" style="14" bestFit="1" customWidth="1"/>
    <col min="10" max="10" width="10.5703125" style="14" customWidth="1"/>
    <col min="11" max="11" width="10.28515625" style="14" bestFit="1" customWidth="1"/>
    <col min="12" max="12" width="10.42578125" style="14" bestFit="1" customWidth="1"/>
    <col min="13" max="13" width="9.85546875" style="14" bestFit="1" customWidth="1"/>
    <col min="14" max="14" width="10.140625" style="14" bestFit="1" customWidth="1"/>
    <col min="15" max="15" width="9" style="14" customWidth="1"/>
    <col min="16" max="16" width="12.85546875" style="14" bestFit="1" customWidth="1"/>
    <col min="17" max="18" width="9.42578125" style="14" customWidth="1"/>
    <col min="19" max="19" width="13.7109375" style="14" customWidth="1"/>
    <col min="20" max="20" width="12.140625" style="14" customWidth="1"/>
    <col min="21" max="21" width="19.5703125" style="14" bestFit="1" customWidth="1"/>
    <col min="22" max="22" width="9.85546875" style="14" customWidth="1"/>
    <col min="23" max="23" width="10.140625" style="14" bestFit="1" customWidth="1"/>
    <col min="24" max="24" width="10.28515625" style="14" customWidth="1"/>
    <col min="25" max="25" width="28" style="14" customWidth="1"/>
    <col min="26" max="16384" width="9.140625" style="14"/>
  </cols>
  <sheetData>
    <row r="1" spans="1:25" ht="46.15" customHeight="1" x14ac:dyDescent="0.25">
      <c r="A1" s="2240" t="s">
        <v>148</v>
      </c>
      <c r="B1" s="2240"/>
      <c r="C1" s="2240"/>
      <c r="D1" s="2240"/>
      <c r="E1" s="2240"/>
      <c r="F1" s="2240"/>
      <c r="G1" s="2240"/>
      <c r="H1" s="2240"/>
      <c r="I1" s="2240"/>
      <c r="J1" s="2240"/>
      <c r="K1" s="2240"/>
      <c r="L1" s="2240"/>
      <c r="M1" s="2240"/>
      <c r="N1" s="2240"/>
      <c r="O1" s="2240"/>
      <c r="P1" s="2240"/>
      <c r="Q1" s="2240"/>
      <c r="R1" s="2240"/>
      <c r="S1" s="2240"/>
      <c r="T1" s="2240"/>
      <c r="U1" s="2240"/>
      <c r="V1" s="2240"/>
      <c r="W1" s="2240"/>
      <c r="X1" s="2240"/>
      <c r="Y1" s="2240"/>
    </row>
    <row r="2" spans="1:25" ht="21.6" customHeight="1" x14ac:dyDescent="0.25">
      <c r="A2" s="2241" t="s">
        <v>77</v>
      </c>
      <c r="B2" s="2241"/>
      <c r="C2" s="2241"/>
      <c r="D2" s="2241"/>
      <c r="E2" s="2241"/>
      <c r="F2" s="2241"/>
      <c r="G2" s="2241"/>
      <c r="H2" s="2241"/>
      <c r="I2" s="2241"/>
      <c r="J2" s="2241"/>
      <c r="K2" s="2241"/>
      <c r="L2" s="2241"/>
      <c r="M2" s="2241"/>
      <c r="N2" s="2241"/>
      <c r="O2" s="2241"/>
      <c r="P2" s="2241"/>
      <c r="Q2" s="2241"/>
      <c r="R2" s="2241"/>
      <c r="S2" s="2241"/>
      <c r="T2" s="2241"/>
      <c r="U2" s="2241"/>
      <c r="V2" s="2241"/>
      <c r="W2" s="2241"/>
      <c r="X2" s="2241"/>
      <c r="Y2" s="2241"/>
    </row>
    <row r="3" spans="1:25" ht="21" customHeight="1" x14ac:dyDescent="0.25">
      <c r="A3" s="297"/>
      <c r="B3" s="297"/>
      <c r="C3" s="297"/>
      <c r="D3" s="297"/>
      <c r="E3" s="297"/>
      <c r="F3" s="297"/>
      <c r="G3" s="297"/>
      <c r="H3" s="297"/>
      <c r="I3" s="297"/>
      <c r="J3" s="297"/>
      <c r="K3" s="297"/>
      <c r="L3" s="297"/>
      <c r="M3" s="297"/>
      <c r="N3" s="297"/>
      <c r="O3" s="297"/>
      <c r="P3" s="297"/>
      <c r="Q3" s="297"/>
      <c r="R3" s="297"/>
      <c r="S3" s="297"/>
      <c r="T3" s="2242" t="s">
        <v>300</v>
      </c>
      <c r="U3" s="2242"/>
      <c r="V3" s="2242"/>
      <c r="W3" s="2242"/>
      <c r="X3" s="2242"/>
      <c r="Y3" s="2242"/>
    </row>
    <row r="4" spans="1:25" s="297" customFormat="1" ht="18" customHeight="1" x14ac:dyDescent="0.25">
      <c r="A4" s="2243" t="s">
        <v>25</v>
      </c>
      <c r="B4" s="2243" t="s">
        <v>26</v>
      </c>
      <c r="C4" s="2244" t="s">
        <v>27</v>
      </c>
      <c r="D4" s="2244"/>
      <c r="E4" s="2244" t="s">
        <v>28</v>
      </c>
      <c r="F4" s="2244"/>
      <c r="G4" s="2244" t="s">
        <v>65</v>
      </c>
      <c r="H4" s="2244"/>
      <c r="I4" s="2244" t="s">
        <v>29</v>
      </c>
      <c r="J4" s="2244"/>
      <c r="K4" s="2245" t="s">
        <v>13</v>
      </c>
      <c r="L4" s="2246"/>
      <c r="M4" s="2245" t="s">
        <v>67</v>
      </c>
      <c r="N4" s="2246"/>
      <c r="O4" s="2245" t="s">
        <v>68</v>
      </c>
      <c r="P4" s="2246"/>
      <c r="Q4" s="2245" t="s">
        <v>114</v>
      </c>
      <c r="R4" s="2246"/>
      <c r="S4" s="2244" t="s">
        <v>35</v>
      </c>
      <c r="T4" s="2244"/>
      <c r="U4" s="2245" t="s">
        <v>17</v>
      </c>
      <c r="V4" s="2246"/>
      <c r="W4" s="2247" t="s">
        <v>36</v>
      </c>
      <c r="X4" s="2248"/>
      <c r="Y4" s="2238" t="s">
        <v>30</v>
      </c>
    </row>
    <row r="5" spans="1:25" s="297" customFormat="1" ht="25.5" customHeight="1" x14ac:dyDescent="0.25">
      <c r="A5" s="2243"/>
      <c r="B5" s="2243"/>
      <c r="C5" s="296" t="s">
        <v>42</v>
      </c>
      <c r="D5" s="296" t="s">
        <v>43</v>
      </c>
      <c r="E5" s="296" t="s">
        <v>42</v>
      </c>
      <c r="F5" s="296" t="s">
        <v>43</v>
      </c>
      <c r="G5" s="296" t="s">
        <v>42</v>
      </c>
      <c r="H5" s="296" t="s">
        <v>43</v>
      </c>
      <c r="I5" s="296" t="s">
        <v>42</v>
      </c>
      <c r="J5" s="296" t="s">
        <v>43</v>
      </c>
      <c r="K5" s="296" t="s">
        <v>42</v>
      </c>
      <c r="L5" s="296" t="s">
        <v>43</v>
      </c>
      <c r="M5" s="296" t="s">
        <v>42</v>
      </c>
      <c r="N5" s="296" t="s">
        <v>43</v>
      </c>
      <c r="O5" s="296" t="s">
        <v>42</v>
      </c>
      <c r="P5" s="296" t="s">
        <v>43</v>
      </c>
      <c r="Q5" s="296" t="s">
        <v>42</v>
      </c>
      <c r="R5" s="296" t="s">
        <v>43</v>
      </c>
      <c r="S5" s="33" t="s">
        <v>42</v>
      </c>
      <c r="T5" s="33" t="s">
        <v>43</v>
      </c>
      <c r="U5" s="30" t="s">
        <v>42</v>
      </c>
      <c r="V5" s="30" t="s">
        <v>43</v>
      </c>
      <c r="W5" s="30" t="s">
        <v>42</v>
      </c>
      <c r="X5" s="30" t="s">
        <v>43</v>
      </c>
      <c r="Y5" s="2239"/>
    </row>
    <row r="6" spans="1:25" ht="34.5" customHeight="1" x14ac:dyDescent="0.25">
      <c r="A6" s="12">
        <v>1409935200</v>
      </c>
      <c r="B6" s="295" t="s">
        <v>71</v>
      </c>
      <c r="C6" s="293">
        <v>58762</v>
      </c>
      <c r="D6" s="292">
        <f>0.9725*C6</f>
        <v>57146.044999999998</v>
      </c>
      <c r="E6" s="293"/>
      <c r="F6" s="293">
        <f>13.7*E6</f>
        <v>0</v>
      </c>
      <c r="G6" s="293">
        <v>100</v>
      </c>
      <c r="H6" s="293">
        <f>28.2*G6</f>
        <v>2820</v>
      </c>
      <c r="I6" s="293"/>
      <c r="J6" s="293">
        <f>18.5*I6</f>
        <v>0</v>
      </c>
      <c r="K6" s="293"/>
      <c r="L6" s="293">
        <f>19.5*K6</f>
        <v>0</v>
      </c>
      <c r="M6" s="293"/>
      <c r="N6" s="292">
        <f>M6*9.75</f>
        <v>0</v>
      </c>
      <c r="O6" s="293"/>
      <c r="P6" s="292">
        <f>O6*48.62</f>
        <v>0</v>
      </c>
      <c r="Q6" s="292"/>
      <c r="R6" s="292">
        <f>241*Q6</f>
        <v>0</v>
      </c>
      <c r="S6" s="293">
        <v>4</v>
      </c>
      <c r="T6" s="293">
        <f>241*S6</f>
        <v>964</v>
      </c>
      <c r="U6" s="293"/>
      <c r="V6" s="293">
        <f>232*U6</f>
        <v>0</v>
      </c>
      <c r="W6" s="293"/>
      <c r="X6" s="19">
        <f>W6*100</f>
        <v>0</v>
      </c>
      <c r="Y6" s="89">
        <f t="shared" ref="Y6:Y11" si="0">D6+F6+H6+J6+L6+N6+P6+R6+T6+V6+X6</f>
        <v>60930.044999999998</v>
      </c>
    </row>
    <row r="7" spans="1:25" ht="31.5" customHeight="1" x14ac:dyDescent="0.25">
      <c r="A7" s="12">
        <v>1984225578</v>
      </c>
      <c r="B7" s="295" t="s">
        <v>72</v>
      </c>
      <c r="C7" s="293">
        <v>53961</v>
      </c>
      <c r="D7" s="292">
        <f t="shared" ref="D7:D11" si="1">0.9725*C7</f>
        <v>52477.072500000002</v>
      </c>
      <c r="E7" s="293"/>
      <c r="F7" s="293">
        <f t="shared" ref="F7:F11" si="2">13.7*E7</f>
        <v>0</v>
      </c>
      <c r="G7" s="293"/>
      <c r="H7" s="293">
        <f t="shared" ref="H7:H11" si="3">28.2*G7</f>
        <v>0</v>
      </c>
      <c r="I7" s="293"/>
      <c r="J7" s="293">
        <f t="shared" ref="J7:J11" si="4">18.5*I7</f>
        <v>0</v>
      </c>
      <c r="K7" s="293"/>
      <c r="L7" s="293">
        <f t="shared" ref="L7:L11" si="5">19.5*K7</f>
        <v>0</v>
      </c>
      <c r="M7" s="293"/>
      <c r="N7" s="292">
        <f t="shared" ref="N7:N11" si="6">M7*9.75</f>
        <v>0</v>
      </c>
      <c r="O7" s="293"/>
      <c r="P7" s="292">
        <f t="shared" ref="P7:P11" si="7">O7*48.62</f>
        <v>0</v>
      </c>
      <c r="Q7" s="292"/>
      <c r="R7" s="292">
        <f t="shared" ref="R7:R11" si="8">241*Q7</f>
        <v>0</v>
      </c>
      <c r="S7" s="293">
        <v>10</v>
      </c>
      <c r="T7" s="293">
        <f t="shared" ref="T7:T11" si="9">241*S7</f>
        <v>2410</v>
      </c>
      <c r="U7" s="293"/>
      <c r="V7" s="293">
        <f t="shared" ref="V7:V11" si="10">232*U7</f>
        <v>0</v>
      </c>
      <c r="W7" s="293"/>
      <c r="X7" s="19">
        <f t="shared" ref="X7:X11" si="11">W7*100</f>
        <v>0</v>
      </c>
      <c r="Y7" s="89">
        <f t="shared" si="0"/>
        <v>54887.072500000002</v>
      </c>
    </row>
    <row r="8" spans="1:25" ht="35.25" customHeight="1" x14ac:dyDescent="0.25">
      <c r="A8" s="12">
        <v>1967020280</v>
      </c>
      <c r="B8" s="295" t="s">
        <v>73</v>
      </c>
      <c r="C8" s="293">
        <v>5000</v>
      </c>
      <c r="D8" s="292">
        <f t="shared" si="1"/>
        <v>4862.5</v>
      </c>
      <c r="E8" s="293"/>
      <c r="F8" s="293">
        <f t="shared" si="2"/>
        <v>0</v>
      </c>
      <c r="G8" s="293"/>
      <c r="H8" s="293">
        <f t="shared" si="3"/>
        <v>0</v>
      </c>
      <c r="I8" s="293"/>
      <c r="J8" s="293">
        <f t="shared" si="4"/>
        <v>0</v>
      </c>
      <c r="K8" s="293"/>
      <c r="L8" s="293">
        <f t="shared" si="5"/>
        <v>0</v>
      </c>
      <c r="M8" s="293"/>
      <c r="N8" s="292">
        <f t="shared" si="6"/>
        <v>0</v>
      </c>
      <c r="O8" s="293"/>
      <c r="P8" s="292">
        <f t="shared" si="7"/>
        <v>0</v>
      </c>
      <c r="Q8" s="292"/>
      <c r="R8" s="292">
        <f t="shared" si="8"/>
        <v>0</v>
      </c>
      <c r="S8" s="293"/>
      <c r="T8" s="293">
        <f t="shared" si="9"/>
        <v>0</v>
      </c>
      <c r="U8" s="293"/>
      <c r="V8" s="293">
        <f t="shared" si="10"/>
        <v>0</v>
      </c>
      <c r="W8" s="293"/>
      <c r="X8" s="19">
        <f t="shared" si="11"/>
        <v>0</v>
      </c>
      <c r="Y8" s="89">
        <f t="shared" si="0"/>
        <v>4862.5</v>
      </c>
    </row>
    <row r="9" spans="1:25" ht="38.25" customHeight="1" x14ac:dyDescent="0.25">
      <c r="A9" s="12">
        <v>1409935199</v>
      </c>
      <c r="B9" s="295" t="s">
        <v>75</v>
      </c>
      <c r="C9" s="293">
        <v>76823</v>
      </c>
      <c r="D9" s="292">
        <f t="shared" si="1"/>
        <v>74710.367500000008</v>
      </c>
      <c r="E9" s="293"/>
      <c r="F9" s="293">
        <f t="shared" si="2"/>
        <v>0</v>
      </c>
      <c r="G9" s="293"/>
      <c r="H9" s="293">
        <f t="shared" si="3"/>
        <v>0</v>
      </c>
      <c r="I9" s="293"/>
      <c r="J9" s="293">
        <f t="shared" si="4"/>
        <v>0</v>
      </c>
      <c r="K9" s="293"/>
      <c r="L9" s="293">
        <f t="shared" si="5"/>
        <v>0</v>
      </c>
      <c r="M9" s="293"/>
      <c r="N9" s="292">
        <f t="shared" si="6"/>
        <v>0</v>
      </c>
      <c r="O9" s="293"/>
      <c r="P9" s="292">
        <f t="shared" si="7"/>
        <v>0</v>
      </c>
      <c r="Q9" s="292"/>
      <c r="R9" s="292">
        <f t="shared" si="8"/>
        <v>0</v>
      </c>
      <c r="S9" s="293">
        <v>7</v>
      </c>
      <c r="T9" s="293">
        <f t="shared" si="9"/>
        <v>1687</v>
      </c>
      <c r="U9" s="293"/>
      <c r="V9" s="293">
        <f t="shared" si="10"/>
        <v>0</v>
      </c>
      <c r="W9" s="293"/>
      <c r="X9" s="19">
        <f t="shared" si="11"/>
        <v>0</v>
      </c>
      <c r="Y9" s="89">
        <f t="shared" si="0"/>
        <v>76397.367500000008</v>
      </c>
    </row>
    <row r="10" spans="1:25" ht="35.25" customHeight="1" x14ac:dyDescent="0.25">
      <c r="A10" s="12">
        <v>1984225580</v>
      </c>
      <c r="C10" s="293"/>
      <c r="D10" s="292">
        <f t="shared" si="1"/>
        <v>0</v>
      </c>
      <c r="E10" s="293"/>
      <c r="F10" s="293">
        <f t="shared" si="2"/>
        <v>0</v>
      </c>
      <c r="G10" s="293"/>
      <c r="H10" s="293">
        <f t="shared" si="3"/>
        <v>0</v>
      </c>
      <c r="I10" s="293"/>
      <c r="J10" s="293">
        <f t="shared" si="4"/>
        <v>0</v>
      </c>
      <c r="K10" s="293"/>
      <c r="L10" s="293">
        <f t="shared" si="5"/>
        <v>0</v>
      </c>
      <c r="M10" s="293"/>
      <c r="N10" s="292">
        <f t="shared" si="6"/>
        <v>0</v>
      </c>
      <c r="O10" s="293"/>
      <c r="P10" s="292">
        <f t="shared" si="7"/>
        <v>0</v>
      </c>
      <c r="Q10" s="292"/>
      <c r="R10" s="292">
        <f t="shared" si="8"/>
        <v>0</v>
      </c>
      <c r="S10" s="293">
        <v>131</v>
      </c>
      <c r="T10" s="293">
        <f t="shared" si="9"/>
        <v>31571</v>
      </c>
      <c r="U10" s="293"/>
      <c r="V10" s="293">
        <f t="shared" si="10"/>
        <v>0</v>
      </c>
      <c r="W10" s="293"/>
      <c r="X10" s="19">
        <f t="shared" si="11"/>
        <v>0</v>
      </c>
      <c r="Y10" s="89">
        <f t="shared" si="0"/>
        <v>31571</v>
      </c>
    </row>
    <row r="11" spans="1:25" ht="37.5" customHeight="1" x14ac:dyDescent="0.25">
      <c r="A11" s="12"/>
      <c r="B11" s="294"/>
      <c r="C11" s="293"/>
      <c r="D11" s="22">
        <f t="shared" si="1"/>
        <v>0</v>
      </c>
      <c r="E11" s="293"/>
      <c r="F11" s="293">
        <f t="shared" si="2"/>
        <v>0</v>
      </c>
      <c r="G11" s="293"/>
      <c r="H11" s="293">
        <f t="shared" si="3"/>
        <v>0</v>
      </c>
      <c r="I11" s="293"/>
      <c r="J11" s="293">
        <f t="shared" si="4"/>
        <v>0</v>
      </c>
      <c r="K11" s="293"/>
      <c r="L11" s="293">
        <f t="shared" si="5"/>
        <v>0</v>
      </c>
      <c r="M11" s="293"/>
      <c r="N11" s="292">
        <f t="shared" si="6"/>
        <v>0</v>
      </c>
      <c r="O11" s="293"/>
      <c r="P11" s="292">
        <f t="shared" si="7"/>
        <v>0</v>
      </c>
      <c r="Q11" s="292"/>
      <c r="R11" s="292">
        <f t="shared" si="8"/>
        <v>0</v>
      </c>
      <c r="S11" s="293"/>
      <c r="T11" s="293">
        <f t="shared" si="9"/>
        <v>0</v>
      </c>
      <c r="U11" s="293"/>
      <c r="V11" s="293">
        <f t="shared" si="10"/>
        <v>0</v>
      </c>
      <c r="W11" s="293"/>
      <c r="X11" s="19">
        <f t="shared" si="11"/>
        <v>0</v>
      </c>
      <c r="Y11" s="20">
        <f t="shared" si="0"/>
        <v>0</v>
      </c>
    </row>
    <row r="12" spans="1:25" ht="29.25" customHeight="1" x14ac:dyDescent="0.25">
      <c r="A12" s="2235" t="s">
        <v>31</v>
      </c>
      <c r="B12" s="2235"/>
      <c r="C12" s="18">
        <f t="shared" ref="C12:Y12" si="12">SUM(C6:C11)</f>
        <v>194546</v>
      </c>
      <c r="D12" s="18">
        <f t="shared" si="12"/>
        <v>189195.98499999999</v>
      </c>
      <c r="E12" s="18">
        <f t="shared" si="12"/>
        <v>0</v>
      </c>
      <c r="F12" s="18">
        <f t="shared" si="12"/>
        <v>0</v>
      </c>
      <c r="G12" s="18">
        <f t="shared" si="12"/>
        <v>100</v>
      </c>
      <c r="H12" s="18">
        <f t="shared" si="12"/>
        <v>2820</v>
      </c>
      <c r="I12" s="18">
        <f t="shared" si="12"/>
        <v>0</v>
      </c>
      <c r="J12" s="18">
        <f t="shared" si="12"/>
        <v>0</v>
      </c>
      <c r="K12" s="18">
        <f t="shared" si="12"/>
        <v>0</v>
      </c>
      <c r="L12" s="18">
        <f t="shared" si="12"/>
        <v>0</v>
      </c>
      <c r="M12" s="18">
        <f t="shared" si="12"/>
        <v>0</v>
      </c>
      <c r="N12" s="23">
        <f t="shared" si="12"/>
        <v>0</v>
      </c>
      <c r="O12" s="18">
        <f t="shared" si="12"/>
        <v>0</v>
      </c>
      <c r="P12" s="23">
        <f t="shared" si="12"/>
        <v>0</v>
      </c>
      <c r="Q12" s="23">
        <f t="shared" si="12"/>
        <v>0</v>
      </c>
      <c r="R12" s="23">
        <f>SUM(R6:R11)</f>
        <v>0</v>
      </c>
      <c r="S12" s="18">
        <f t="shared" si="12"/>
        <v>152</v>
      </c>
      <c r="T12" s="18">
        <f t="shared" si="12"/>
        <v>36632</v>
      </c>
      <c r="U12" s="18">
        <f t="shared" si="12"/>
        <v>0</v>
      </c>
      <c r="V12" s="18">
        <f t="shared" si="12"/>
        <v>0</v>
      </c>
      <c r="W12" s="18">
        <f t="shared" si="12"/>
        <v>0</v>
      </c>
      <c r="X12" s="18">
        <f t="shared" si="12"/>
        <v>0</v>
      </c>
      <c r="Y12" s="18">
        <f t="shared" si="12"/>
        <v>228647.98499999999</v>
      </c>
    </row>
    <row r="14" spans="1:25" ht="41.25" customHeight="1" x14ac:dyDescent="0.25">
      <c r="A14" s="30" t="s">
        <v>32</v>
      </c>
      <c r="B14" s="2236" t="s">
        <v>27</v>
      </c>
      <c r="C14" s="2236"/>
      <c r="D14" s="30" t="s">
        <v>33</v>
      </c>
      <c r="E14" s="30" t="s">
        <v>65</v>
      </c>
      <c r="F14" s="30" t="s">
        <v>34</v>
      </c>
      <c r="G14" s="30" t="s">
        <v>13</v>
      </c>
      <c r="H14" s="142" t="s">
        <v>173</v>
      </c>
      <c r="I14" s="30" t="s">
        <v>17</v>
      </c>
      <c r="J14" s="301" t="s">
        <v>174</v>
      </c>
      <c r="K14" s="30" t="s">
        <v>36</v>
      </c>
      <c r="L14" s="30" t="s">
        <v>175</v>
      </c>
      <c r="M14" s="30" t="s">
        <v>69</v>
      </c>
      <c r="N14" s="30" t="s">
        <v>70</v>
      </c>
      <c r="O14" s="301" t="s">
        <v>114</v>
      </c>
      <c r="P14" s="301" t="s">
        <v>99</v>
      </c>
      <c r="Q14" s="2272" t="s">
        <v>301</v>
      </c>
      <c r="R14" s="2272"/>
      <c r="S14" s="301"/>
      <c r="T14" s="2235" t="s">
        <v>46</v>
      </c>
      <c r="U14" s="295" t="s">
        <v>176</v>
      </c>
      <c r="V14" s="2260">
        <v>14870</v>
      </c>
      <c r="W14" s="2268"/>
      <c r="X14" s="2261"/>
    </row>
    <row r="15" spans="1:25" ht="22.5" customHeight="1" x14ac:dyDescent="0.25">
      <c r="A15" s="100" t="s">
        <v>38</v>
      </c>
      <c r="B15" s="2260">
        <v>315238</v>
      </c>
      <c r="C15" s="2261"/>
      <c r="D15" s="298">
        <v>0</v>
      </c>
      <c r="E15" s="298">
        <v>360</v>
      </c>
      <c r="F15" s="298">
        <v>0</v>
      </c>
      <c r="G15" s="298">
        <v>0</v>
      </c>
      <c r="H15" s="298">
        <v>120</v>
      </c>
      <c r="I15" s="298">
        <v>0</v>
      </c>
      <c r="J15" s="298">
        <v>61</v>
      </c>
      <c r="K15" s="298">
        <v>69</v>
      </c>
      <c r="L15" s="298">
        <v>0</v>
      </c>
      <c r="M15" s="298">
        <v>0</v>
      </c>
      <c r="N15" s="298">
        <v>100</v>
      </c>
      <c r="O15" s="298">
        <v>0</v>
      </c>
      <c r="P15" s="298">
        <v>404</v>
      </c>
      <c r="Q15" s="2262">
        <v>1078</v>
      </c>
      <c r="R15" s="2262"/>
      <c r="S15" s="295">
        <v>0</v>
      </c>
      <c r="T15" s="2235"/>
      <c r="U15" s="295" t="s">
        <v>64</v>
      </c>
      <c r="V15" s="2262">
        <v>23455</v>
      </c>
      <c r="W15" s="2262"/>
      <c r="X15" s="2262"/>
    </row>
    <row r="16" spans="1:25" ht="24.75" customHeight="1" x14ac:dyDescent="0.25">
      <c r="A16" s="100" t="s">
        <v>39</v>
      </c>
      <c r="B16" s="2260">
        <v>311203</v>
      </c>
      <c r="C16" s="2261"/>
      <c r="D16" s="298"/>
      <c r="E16" s="298">
        <v>4000</v>
      </c>
      <c r="F16" s="298">
        <v>14000</v>
      </c>
      <c r="G16" s="298"/>
      <c r="H16" s="298">
        <v>931</v>
      </c>
      <c r="I16" s="298">
        <v>150</v>
      </c>
      <c r="J16" s="298"/>
      <c r="K16" s="298"/>
      <c r="L16" s="298">
        <v>159</v>
      </c>
      <c r="M16" s="298"/>
      <c r="N16" s="298"/>
      <c r="O16" s="298"/>
      <c r="P16" s="298"/>
      <c r="Q16" s="2225"/>
      <c r="R16" s="2225"/>
      <c r="S16" s="298"/>
      <c r="T16" s="2254" t="s">
        <v>55</v>
      </c>
      <c r="U16" s="2254"/>
      <c r="V16" s="2267">
        <f>Y12</f>
        <v>228647.98499999999</v>
      </c>
      <c r="W16" s="2267"/>
      <c r="X16" s="2262"/>
    </row>
    <row r="17" spans="1:25" ht="28.5" customHeight="1" x14ac:dyDescent="0.25">
      <c r="A17" s="101" t="s">
        <v>44</v>
      </c>
      <c r="B17" s="2260">
        <v>59740</v>
      </c>
      <c r="C17" s="2261"/>
      <c r="D17" s="298"/>
      <c r="E17" s="298"/>
      <c r="F17" s="298"/>
      <c r="G17" s="298"/>
      <c r="H17" s="298"/>
      <c r="I17" s="298"/>
      <c r="J17" s="298"/>
      <c r="K17" s="298"/>
      <c r="L17" s="298"/>
      <c r="M17" s="298"/>
      <c r="N17" s="298"/>
      <c r="O17" s="298"/>
      <c r="P17" s="298"/>
      <c r="Q17" s="2225"/>
      <c r="R17" s="2225"/>
      <c r="S17" s="294"/>
      <c r="T17" s="2294" t="s">
        <v>296</v>
      </c>
      <c r="U17" s="2295"/>
      <c r="V17" s="2296">
        <v>120000</v>
      </c>
      <c r="W17" s="2296"/>
      <c r="X17" s="2296"/>
    </row>
    <row r="18" spans="1:25" ht="27" customHeight="1" x14ac:dyDescent="0.25">
      <c r="A18" s="100" t="s">
        <v>40</v>
      </c>
      <c r="B18" s="2264">
        <f>C12</f>
        <v>194546</v>
      </c>
      <c r="C18" s="2261"/>
      <c r="D18" s="300">
        <f>E12</f>
        <v>0</v>
      </c>
      <c r="E18" s="300">
        <f>G12</f>
        <v>100</v>
      </c>
      <c r="F18" s="300">
        <f>I12</f>
        <v>0</v>
      </c>
      <c r="G18" s="300">
        <f>K12</f>
        <v>0</v>
      </c>
      <c r="H18" s="298">
        <v>180</v>
      </c>
      <c r="I18" s="300">
        <f>U12</f>
        <v>0</v>
      </c>
      <c r="J18" s="298"/>
      <c r="K18" s="300">
        <f>W12</f>
        <v>0</v>
      </c>
      <c r="L18" s="298"/>
      <c r="M18" s="300">
        <f>M12</f>
        <v>0</v>
      </c>
      <c r="N18" s="300">
        <f>O12</f>
        <v>0</v>
      </c>
      <c r="O18" s="299">
        <f>Q12</f>
        <v>0</v>
      </c>
      <c r="P18" s="298"/>
      <c r="Q18" s="2262">
        <v>131</v>
      </c>
      <c r="R18" s="2262"/>
      <c r="S18" s="295"/>
      <c r="T18" s="2254" t="s">
        <v>57</v>
      </c>
      <c r="U18" s="2254"/>
      <c r="V18" s="2262">
        <f>470+210+2700</f>
        <v>3380</v>
      </c>
      <c r="W18" s="2262"/>
      <c r="X18" s="2262"/>
      <c r="Y18" s="2269" t="s">
        <v>231</v>
      </c>
    </row>
    <row r="19" spans="1:25" ht="25.5" customHeight="1" x14ac:dyDescent="0.25">
      <c r="A19" s="100" t="s">
        <v>41</v>
      </c>
      <c r="B19" s="2260">
        <f>B15+B16+B17-B18</f>
        <v>491635</v>
      </c>
      <c r="C19" s="2261"/>
      <c r="D19" s="298">
        <f>D15+D16+D17-D18</f>
        <v>0</v>
      </c>
      <c r="E19" s="298">
        <f t="shared" ref="E19:N19" si="13">E15+E16+E17-E18</f>
        <v>4260</v>
      </c>
      <c r="F19" s="298">
        <f t="shared" si="13"/>
        <v>14000</v>
      </c>
      <c r="G19" s="298">
        <f t="shared" si="13"/>
        <v>0</v>
      </c>
      <c r="H19" s="298">
        <f t="shared" si="13"/>
        <v>871</v>
      </c>
      <c r="I19" s="298">
        <f t="shared" si="13"/>
        <v>150</v>
      </c>
      <c r="J19" s="298">
        <f t="shared" si="13"/>
        <v>61</v>
      </c>
      <c r="K19" s="298">
        <f t="shared" si="13"/>
        <v>69</v>
      </c>
      <c r="L19" s="298">
        <f t="shared" si="13"/>
        <v>159</v>
      </c>
      <c r="M19" s="298">
        <f t="shared" si="13"/>
        <v>0</v>
      </c>
      <c r="N19" s="298">
        <f t="shared" si="13"/>
        <v>100</v>
      </c>
      <c r="O19" s="298">
        <f>O15+O16+O17-O18</f>
        <v>0</v>
      </c>
      <c r="P19" s="298">
        <f>P15+P16+P17-P18</f>
        <v>404</v>
      </c>
      <c r="Q19" s="2260">
        <f t="shared" ref="Q19" si="14">Q15+Q16+Q17-Q18</f>
        <v>947</v>
      </c>
      <c r="R19" s="2261"/>
      <c r="S19" s="295">
        <f>S15+S16-S17-S18</f>
        <v>0</v>
      </c>
      <c r="T19" s="2256" t="s">
        <v>48</v>
      </c>
      <c r="U19" s="49" t="s">
        <v>58</v>
      </c>
      <c r="V19" s="2262">
        <v>310000</v>
      </c>
      <c r="W19" s="2262"/>
      <c r="X19" s="2262"/>
      <c r="Y19" s="2269"/>
    </row>
    <row r="20" spans="1:25" ht="23.25" customHeight="1" x14ac:dyDescent="0.25">
      <c r="A20" s="289" t="s">
        <v>187</v>
      </c>
      <c r="B20" s="2286">
        <f>B19*0.9625</f>
        <v>473198.6875</v>
      </c>
      <c r="C20" s="2287"/>
      <c r="D20" s="290">
        <f>D19*13.56</f>
        <v>0</v>
      </c>
      <c r="E20" s="290">
        <f>28.2*E19</f>
        <v>120132</v>
      </c>
      <c r="F20" s="290">
        <f>18.31*F19</f>
        <v>256339.99999999997</v>
      </c>
      <c r="G20" s="290">
        <f>19.3*G19</f>
        <v>0</v>
      </c>
      <c r="H20" s="290">
        <f>241*H19</f>
        <v>209911</v>
      </c>
      <c r="I20" s="290">
        <f>223*I19</f>
        <v>33450</v>
      </c>
      <c r="J20" s="290">
        <f>241*J19</f>
        <v>14701</v>
      </c>
      <c r="K20" s="290">
        <f>K19*100</f>
        <v>6900</v>
      </c>
      <c r="L20" s="290">
        <f>241*L19</f>
        <v>38319</v>
      </c>
      <c r="M20" s="290">
        <f>9.65*M19</f>
        <v>0</v>
      </c>
      <c r="N20" s="290">
        <f>N19*48.2</f>
        <v>4820</v>
      </c>
      <c r="O20" s="290">
        <f>241*O19</f>
        <v>0</v>
      </c>
      <c r="P20" s="290">
        <f>241*P19</f>
        <v>97364</v>
      </c>
      <c r="Q20" s="2286">
        <f>241*Q19</f>
        <v>228227</v>
      </c>
      <c r="R20" s="2287"/>
      <c r="S20" s="290">
        <f>241*S19</f>
        <v>0</v>
      </c>
      <c r="T20" s="2257"/>
      <c r="U20" s="49" t="s">
        <v>59</v>
      </c>
      <c r="V20" s="2262">
        <v>31571</v>
      </c>
      <c r="W20" s="2262"/>
      <c r="X20" s="2262"/>
      <c r="Y20" s="2269"/>
    </row>
    <row r="21" spans="1:25" ht="32.25" customHeight="1" x14ac:dyDescent="0.25">
      <c r="A21" s="291" t="s">
        <v>186</v>
      </c>
      <c r="B21" s="2293">
        <f>SUM(B20:S20)</f>
        <v>1483362.6875</v>
      </c>
      <c r="C21" s="2293"/>
      <c r="O21" s="302"/>
      <c r="P21" s="302"/>
      <c r="Q21" s="302"/>
      <c r="R21" s="302"/>
      <c r="T21" s="2294" t="s">
        <v>167</v>
      </c>
      <c r="U21" s="2295"/>
      <c r="V21" s="2297"/>
      <c r="W21" s="2298"/>
      <c r="X21" s="2299"/>
      <c r="Y21" s="2269"/>
    </row>
    <row r="22" spans="1:25" ht="35.25" customHeight="1" x14ac:dyDescent="0.25">
      <c r="A22" s="15"/>
      <c r="B22" s="2288" t="s">
        <v>49</v>
      </c>
      <c r="C22" s="2291">
        <v>310000</v>
      </c>
      <c r="D22" s="2291">
        <v>310000</v>
      </c>
      <c r="E22" s="2291">
        <v>893773</v>
      </c>
      <c r="F22" s="2291">
        <f>C22-D22+E22</f>
        <v>893773</v>
      </c>
      <c r="G22" s="302"/>
      <c r="Q22" s="302"/>
      <c r="R22" s="302"/>
      <c r="T22" s="2251" t="s">
        <v>83</v>
      </c>
      <c r="U22" s="50" t="s">
        <v>60</v>
      </c>
      <c r="V22" s="2262">
        <v>309540</v>
      </c>
      <c r="W22" s="2262"/>
      <c r="X22" s="2262"/>
      <c r="Y22" s="2269"/>
    </row>
    <row r="23" spans="1:25" ht="39.75" customHeight="1" x14ac:dyDescent="0.25">
      <c r="A23" s="302"/>
      <c r="B23" s="2289"/>
      <c r="C23" s="2292"/>
      <c r="D23" s="2292"/>
      <c r="E23" s="2292"/>
      <c r="F23" s="2292"/>
      <c r="G23" s="302"/>
      <c r="Q23" s="302"/>
      <c r="R23" s="302"/>
      <c r="T23" s="2252"/>
      <c r="U23" s="50" t="s">
        <v>61</v>
      </c>
      <c r="V23" s="2262">
        <v>310000</v>
      </c>
      <c r="W23" s="2262"/>
      <c r="X23" s="2262"/>
      <c r="Y23" s="2269"/>
    </row>
    <row r="24" spans="1:25" ht="48" customHeight="1" x14ac:dyDescent="0.25">
      <c r="A24" s="302"/>
      <c r="B24" s="2290"/>
      <c r="C24" s="290" t="s">
        <v>46</v>
      </c>
      <c r="D24" s="290" t="s">
        <v>50</v>
      </c>
      <c r="E24" s="290" t="s">
        <v>51</v>
      </c>
      <c r="F24" s="290" t="s">
        <v>52</v>
      </c>
      <c r="G24" s="302"/>
      <c r="Q24" s="302"/>
      <c r="R24" s="302"/>
      <c r="T24" s="2235" t="s">
        <v>47</v>
      </c>
      <c r="U24" s="51" t="s">
        <v>62</v>
      </c>
      <c r="V24" s="2263">
        <f>V14+V16+V17-V18-V19-V20-V22+V23-V21</f>
        <v>19026.984999999986</v>
      </c>
      <c r="W24" s="2263"/>
      <c r="X24" s="2263"/>
      <c r="Y24" s="2269"/>
    </row>
    <row r="25" spans="1:25" ht="40.5" customHeight="1" x14ac:dyDescent="0.25">
      <c r="T25" s="2235"/>
      <c r="U25" s="51" t="s">
        <v>63</v>
      </c>
      <c r="V25" s="2262">
        <f>V15+V22-V23</f>
        <v>22995</v>
      </c>
      <c r="W25" s="2262"/>
      <c r="X25" s="2262"/>
    </row>
    <row r="26" spans="1:25" ht="36" customHeight="1" x14ac:dyDescent="0.25">
      <c r="K26" s="314"/>
    </row>
    <row r="32" spans="1:25" x14ac:dyDescent="0.25">
      <c r="I32" s="2280"/>
      <c r="J32" s="2280"/>
      <c r="K32" s="2280"/>
      <c r="L32" s="2280"/>
    </row>
    <row r="33" spans="9:12" x14ac:dyDescent="0.25">
      <c r="I33" s="302"/>
      <c r="J33" s="302"/>
      <c r="K33" s="2280"/>
      <c r="L33" s="2280"/>
    </row>
  </sheetData>
  <mergeCells count="62">
    <mergeCell ref="A1:Y1"/>
    <mergeCell ref="A2:Y2"/>
    <mergeCell ref="T3:Y3"/>
    <mergeCell ref="A4:A5"/>
    <mergeCell ref="B4:B5"/>
    <mergeCell ref="C4:D4"/>
    <mergeCell ref="E4:F4"/>
    <mergeCell ref="G4:H4"/>
    <mergeCell ref="I4:J4"/>
    <mergeCell ref="K4:L4"/>
    <mergeCell ref="Y4:Y5"/>
    <mergeCell ref="M4:N4"/>
    <mergeCell ref="O4:P4"/>
    <mergeCell ref="Q4:R4"/>
    <mergeCell ref="S4:T4"/>
    <mergeCell ref="U4:V4"/>
    <mergeCell ref="W4:X4"/>
    <mergeCell ref="B16:C16"/>
    <mergeCell ref="Q16:R16"/>
    <mergeCell ref="T16:U16"/>
    <mergeCell ref="V16:X16"/>
    <mergeCell ref="A12:B12"/>
    <mergeCell ref="B14:C14"/>
    <mergeCell ref="Q14:R14"/>
    <mergeCell ref="T14:T15"/>
    <mergeCell ref="V14:X14"/>
    <mergeCell ref="B15:C15"/>
    <mergeCell ref="Q15:R15"/>
    <mergeCell ref="V15:X15"/>
    <mergeCell ref="B17:C17"/>
    <mergeCell ref="Q17:R17"/>
    <mergeCell ref="T17:U17"/>
    <mergeCell ref="V17:X17"/>
    <mergeCell ref="B18:C18"/>
    <mergeCell ref="Q18:R18"/>
    <mergeCell ref="T18:U18"/>
    <mergeCell ref="V18:X18"/>
    <mergeCell ref="Y18:Y24"/>
    <mergeCell ref="B19:C19"/>
    <mergeCell ref="Q19:R19"/>
    <mergeCell ref="T19:T20"/>
    <mergeCell ref="V19:X19"/>
    <mergeCell ref="B20:C20"/>
    <mergeCell ref="B22:B24"/>
    <mergeCell ref="C22:C23"/>
    <mergeCell ref="D22:D23"/>
    <mergeCell ref="E22:E23"/>
    <mergeCell ref="F22:F23"/>
    <mergeCell ref="Q20:R20"/>
    <mergeCell ref="V20:X20"/>
    <mergeCell ref="B21:C21"/>
    <mergeCell ref="T21:U21"/>
    <mergeCell ref="V21:X21"/>
    <mergeCell ref="I32:J32"/>
    <mergeCell ref="K32:L32"/>
    <mergeCell ref="K33:L33"/>
    <mergeCell ref="T22:T23"/>
    <mergeCell ref="V22:X22"/>
    <mergeCell ref="V23:X23"/>
    <mergeCell ref="T24:T25"/>
    <mergeCell ref="V24:X24"/>
    <mergeCell ref="V25:X25"/>
  </mergeCells>
  <pageMargins left="0.15748031496063" right="0.15748031496063" top="0" bottom="0" header="0" footer="0"/>
  <pageSetup paperSize="9" scale="47" orientation="landscape" r:id="rId1"/>
  <legacyDrawing r:id="rId2"/>
</worksheet>
</file>

<file path=xl/worksheets/sheet10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2C76440-0BF3-49A5-AB89-3E86115C08B7}">
  <sheetPr>
    <pageSetUpPr fitToPage="1"/>
  </sheetPr>
  <dimension ref="A1:Y33"/>
  <sheetViews>
    <sheetView topLeftCell="D1" zoomScale="71" zoomScaleNormal="71" zoomScaleSheetLayoutView="100" workbookViewId="0">
      <selection activeCell="H24" sqref="H24"/>
    </sheetView>
  </sheetViews>
  <sheetFormatPr defaultColWidth="9.140625" defaultRowHeight="15" x14ac:dyDescent="0.25"/>
  <cols>
    <col min="1" max="1" width="18.28515625" style="14" customWidth="1"/>
    <col min="2" max="2" width="10.7109375" style="14" customWidth="1"/>
    <col min="3" max="3" width="12.28515625" style="14" customWidth="1"/>
    <col min="4" max="4" width="11" style="14" customWidth="1"/>
    <col min="5" max="5" width="12" style="14" customWidth="1"/>
    <col min="6" max="6" width="12.5703125" style="14" bestFit="1" customWidth="1"/>
    <col min="7" max="7" width="9.28515625" style="14" bestFit="1" customWidth="1"/>
    <col min="8" max="8" width="10.140625" style="14" bestFit="1" customWidth="1"/>
    <col min="9" max="9" width="10.5703125" style="14" bestFit="1" customWidth="1"/>
    <col min="10" max="10" width="10.5703125" style="14" customWidth="1"/>
    <col min="11" max="11" width="10.28515625" style="14" bestFit="1" customWidth="1"/>
    <col min="12" max="12" width="10.42578125" style="14" bestFit="1" customWidth="1"/>
    <col min="13" max="13" width="9.85546875" style="14" bestFit="1" customWidth="1"/>
    <col min="14" max="14" width="10.140625" style="14" bestFit="1" customWidth="1"/>
    <col min="15" max="15" width="9" style="14" customWidth="1"/>
    <col min="16" max="16" width="12.85546875" style="14" bestFit="1" customWidth="1"/>
    <col min="17" max="18" width="9.42578125" style="14" customWidth="1"/>
    <col min="19" max="19" width="13.7109375" style="14" customWidth="1"/>
    <col min="20" max="20" width="12.140625" style="14" customWidth="1"/>
    <col min="21" max="21" width="19.5703125" style="14" bestFit="1" customWidth="1"/>
    <col min="22" max="22" width="9.85546875" style="14" customWidth="1"/>
    <col min="23" max="23" width="10.140625" style="14" bestFit="1" customWidth="1"/>
    <col min="24" max="24" width="10.28515625" style="14" customWidth="1"/>
    <col min="25" max="25" width="28" style="14" customWidth="1"/>
    <col min="26" max="16384" width="9.140625" style="14"/>
  </cols>
  <sheetData>
    <row r="1" spans="1:25" ht="46.15" customHeight="1" x14ac:dyDescent="0.25">
      <c r="A1" s="2240" t="s">
        <v>148</v>
      </c>
      <c r="B1" s="2240"/>
      <c r="C1" s="2240"/>
      <c r="D1" s="2240"/>
      <c r="E1" s="2240"/>
      <c r="F1" s="2240"/>
      <c r="G1" s="2240"/>
      <c r="H1" s="2240"/>
      <c r="I1" s="2240"/>
      <c r="J1" s="2240"/>
      <c r="K1" s="2240"/>
      <c r="L1" s="2240"/>
      <c r="M1" s="2240"/>
      <c r="N1" s="2240"/>
      <c r="O1" s="2240"/>
      <c r="P1" s="2240"/>
      <c r="Q1" s="2240"/>
      <c r="R1" s="2240"/>
      <c r="S1" s="2240"/>
      <c r="T1" s="2240"/>
      <c r="U1" s="2240"/>
      <c r="V1" s="2240"/>
      <c r="W1" s="2240"/>
      <c r="X1" s="2240"/>
      <c r="Y1" s="2240"/>
    </row>
    <row r="2" spans="1:25" ht="21.6" customHeight="1" x14ac:dyDescent="0.25">
      <c r="A2" s="2241" t="s">
        <v>77</v>
      </c>
      <c r="B2" s="2241"/>
      <c r="C2" s="2241"/>
      <c r="D2" s="2241"/>
      <c r="E2" s="2241"/>
      <c r="F2" s="2241"/>
      <c r="G2" s="2241"/>
      <c r="H2" s="2241"/>
      <c r="I2" s="2241"/>
      <c r="J2" s="2241"/>
      <c r="K2" s="2241"/>
      <c r="L2" s="2241"/>
      <c r="M2" s="2241"/>
      <c r="N2" s="2241"/>
      <c r="O2" s="2241"/>
      <c r="P2" s="2241"/>
      <c r="Q2" s="2241"/>
      <c r="R2" s="2241"/>
      <c r="S2" s="2241"/>
      <c r="T2" s="2241"/>
      <c r="U2" s="2241"/>
      <c r="V2" s="2241"/>
      <c r="W2" s="2241"/>
      <c r="X2" s="2241"/>
      <c r="Y2" s="2241"/>
    </row>
    <row r="3" spans="1:25" ht="21" customHeight="1" x14ac:dyDescent="0.25">
      <c r="A3" s="303"/>
      <c r="B3" s="303"/>
      <c r="C3" s="303"/>
      <c r="D3" s="303"/>
      <c r="E3" s="303"/>
      <c r="F3" s="303"/>
      <c r="G3" s="303"/>
      <c r="H3" s="303"/>
      <c r="I3" s="303"/>
      <c r="J3" s="303"/>
      <c r="K3" s="303"/>
      <c r="L3" s="303"/>
      <c r="M3" s="303"/>
      <c r="N3" s="303"/>
      <c r="O3" s="303"/>
      <c r="P3" s="303"/>
      <c r="Q3" s="303"/>
      <c r="R3" s="303"/>
      <c r="S3" s="303"/>
      <c r="T3" s="2242" t="s">
        <v>302</v>
      </c>
      <c r="U3" s="2242"/>
      <c r="V3" s="2242"/>
      <c r="W3" s="2242"/>
      <c r="X3" s="2242"/>
      <c r="Y3" s="2242"/>
    </row>
    <row r="4" spans="1:25" s="303" customFormat="1" ht="18" customHeight="1" x14ac:dyDescent="0.25">
      <c r="A4" s="2243" t="s">
        <v>25</v>
      </c>
      <c r="B4" s="2243" t="s">
        <v>26</v>
      </c>
      <c r="C4" s="2244" t="s">
        <v>27</v>
      </c>
      <c r="D4" s="2244"/>
      <c r="E4" s="2244" t="s">
        <v>28</v>
      </c>
      <c r="F4" s="2244"/>
      <c r="G4" s="2244" t="s">
        <v>65</v>
      </c>
      <c r="H4" s="2244"/>
      <c r="I4" s="2244" t="s">
        <v>29</v>
      </c>
      <c r="J4" s="2244"/>
      <c r="K4" s="2245" t="s">
        <v>13</v>
      </c>
      <c r="L4" s="2246"/>
      <c r="M4" s="2245" t="s">
        <v>67</v>
      </c>
      <c r="N4" s="2246"/>
      <c r="O4" s="2245" t="s">
        <v>68</v>
      </c>
      <c r="P4" s="2246"/>
      <c r="Q4" s="2245" t="s">
        <v>114</v>
      </c>
      <c r="R4" s="2246"/>
      <c r="S4" s="2244" t="s">
        <v>35</v>
      </c>
      <c r="T4" s="2244"/>
      <c r="U4" s="2245" t="s">
        <v>17</v>
      </c>
      <c r="V4" s="2246"/>
      <c r="W4" s="2247" t="s">
        <v>36</v>
      </c>
      <c r="X4" s="2248"/>
      <c r="Y4" s="2238" t="s">
        <v>30</v>
      </c>
    </row>
    <row r="5" spans="1:25" s="303" customFormat="1" ht="25.5" customHeight="1" x14ac:dyDescent="0.25">
      <c r="A5" s="2243"/>
      <c r="B5" s="2243"/>
      <c r="C5" s="305" t="s">
        <v>42</v>
      </c>
      <c r="D5" s="305" t="s">
        <v>43</v>
      </c>
      <c r="E5" s="305" t="s">
        <v>42</v>
      </c>
      <c r="F5" s="305" t="s">
        <v>43</v>
      </c>
      <c r="G5" s="305" t="s">
        <v>42</v>
      </c>
      <c r="H5" s="305" t="s">
        <v>43</v>
      </c>
      <c r="I5" s="305" t="s">
        <v>42</v>
      </c>
      <c r="J5" s="305" t="s">
        <v>43</v>
      </c>
      <c r="K5" s="305" t="s">
        <v>42</v>
      </c>
      <c r="L5" s="305" t="s">
        <v>43</v>
      </c>
      <c r="M5" s="305" t="s">
        <v>42</v>
      </c>
      <c r="N5" s="305" t="s">
        <v>43</v>
      </c>
      <c r="O5" s="305" t="s">
        <v>42</v>
      </c>
      <c r="P5" s="305" t="s">
        <v>43</v>
      </c>
      <c r="Q5" s="305" t="s">
        <v>42</v>
      </c>
      <c r="R5" s="305" t="s">
        <v>43</v>
      </c>
      <c r="S5" s="33" t="s">
        <v>42</v>
      </c>
      <c r="T5" s="33" t="s">
        <v>43</v>
      </c>
      <c r="U5" s="30" t="s">
        <v>42</v>
      </c>
      <c r="V5" s="30" t="s">
        <v>43</v>
      </c>
      <c r="W5" s="30" t="s">
        <v>42</v>
      </c>
      <c r="X5" s="30" t="s">
        <v>43</v>
      </c>
      <c r="Y5" s="2239"/>
    </row>
    <row r="6" spans="1:25" ht="34.5" customHeight="1" x14ac:dyDescent="0.25">
      <c r="A6" s="12">
        <v>1409935200</v>
      </c>
      <c r="B6" s="304" t="s">
        <v>71</v>
      </c>
      <c r="C6" s="307">
        <v>56899</v>
      </c>
      <c r="D6" s="308">
        <f>0.9725*C6</f>
        <v>55334.277500000004</v>
      </c>
      <c r="E6" s="307"/>
      <c r="F6" s="307">
        <f>13.7*E6</f>
        <v>0</v>
      </c>
      <c r="G6" s="307">
        <v>270</v>
      </c>
      <c r="H6" s="307">
        <f>28.2*G6</f>
        <v>7614</v>
      </c>
      <c r="I6" s="307">
        <v>1520</v>
      </c>
      <c r="J6" s="307">
        <f>18.5*I6</f>
        <v>28120</v>
      </c>
      <c r="K6" s="307"/>
      <c r="L6" s="307">
        <f>19.5*K6</f>
        <v>0</v>
      </c>
      <c r="M6" s="307"/>
      <c r="N6" s="308">
        <f>M6*9.75</f>
        <v>0</v>
      </c>
      <c r="O6" s="307"/>
      <c r="P6" s="308">
        <f>O6*48.62</f>
        <v>0</v>
      </c>
      <c r="Q6" s="308"/>
      <c r="R6" s="308">
        <f>241*Q6</f>
        <v>0</v>
      </c>
      <c r="S6" s="307"/>
      <c r="T6" s="307">
        <f>241*S6</f>
        <v>0</v>
      </c>
      <c r="U6" s="307"/>
      <c r="V6" s="307">
        <f>232*U6</f>
        <v>0</v>
      </c>
      <c r="W6" s="307"/>
      <c r="X6" s="19">
        <f>W6*100</f>
        <v>0</v>
      </c>
      <c r="Y6" s="89">
        <f t="shared" ref="Y6:Y11" si="0">D6+F6+H6+J6+L6+N6+P6+R6+T6+V6+X6</f>
        <v>91068.277499999997</v>
      </c>
    </row>
    <row r="7" spans="1:25" ht="31.5" customHeight="1" x14ac:dyDescent="0.25">
      <c r="A7" s="12">
        <v>1984225578</v>
      </c>
      <c r="B7" s="304" t="s">
        <v>72</v>
      </c>
      <c r="C7" s="307">
        <v>41708</v>
      </c>
      <c r="D7" s="308">
        <f t="shared" ref="D7:D11" si="1">0.9725*C7</f>
        <v>40561.03</v>
      </c>
      <c r="E7" s="307"/>
      <c r="F7" s="307">
        <f t="shared" ref="F7:F11" si="2">13.7*E7</f>
        <v>0</v>
      </c>
      <c r="G7" s="307">
        <v>220</v>
      </c>
      <c r="H7" s="307">
        <f t="shared" ref="H7:H11" si="3">28.2*G7</f>
        <v>6204</v>
      </c>
      <c r="I7" s="307">
        <v>3000</v>
      </c>
      <c r="J7" s="307">
        <f t="shared" ref="J7:J11" si="4">18.5*I7</f>
        <v>55500</v>
      </c>
      <c r="K7" s="307"/>
      <c r="L7" s="307">
        <f t="shared" ref="L7:L11" si="5">19.5*K7</f>
        <v>0</v>
      </c>
      <c r="M7" s="307"/>
      <c r="N7" s="308">
        <f t="shared" ref="N7:N11" si="6">M7*9.75</f>
        <v>0</v>
      </c>
      <c r="O7" s="307"/>
      <c r="P7" s="308">
        <f t="shared" ref="P7:P11" si="7">O7*48.62</f>
        <v>0</v>
      </c>
      <c r="Q7" s="308"/>
      <c r="R7" s="308">
        <f t="shared" ref="R7:R11" si="8">241*Q7</f>
        <v>0</v>
      </c>
      <c r="S7" s="307"/>
      <c r="T7" s="307">
        <f t="shared" ref="T7:T11" si="9">241*S7</f>
        <v>0</v>
      </c>
      <c r="U7" s="307">
        <v>43</v>
      </c>
      <c r="V7" s="307">
        <f t="shared" ref="V7:V11" si="10">232*U7</f>
        <v>9976</v>
      </c>
      <c r="W7" s="307"/>
      <c r="X7" s="19">
        <f t="shared" ref="X7:X11" si="11">W7*100</f>
        <v>0</v>
      </c>
      <c r="Y7" s="89">
        <f t="shared" si="0"/>
        <v>112241.03</v>
      </c>
    </row>
    <row r="8" spans="1:25" ht="35.25" customHeight="1" x14ac:dyDescent="0.25">
      <c r="A8" s="12">
        <v>1967020280</v>
      </c>
      <c r="B8" s="304" t="s">
        <v>73</v>
      </c>
      <c r="C8" s="307">
        <v>40001</v>
      </c>
      <c r="D8" s="308">
        <f t="shared" si="1"/>
        <v>38900.972500000003</v>
      </c>
      <c r="E8" s="307"/>
      <c r="F8" s="307">
        <f t="shared" si="2"/>
        <v>0</v>
      </c>
      <c r="G8" s="307"/>
      <c r="H8" s="307">
        <f t="shared" si="3"/>
        <v>0</v>
      </c>
      <c r="I8" s="307"/>
      <c r="J8" s="307">
        <f t="shared" si="4"/>
        <v>0</v>
      </c>
      <c r="K8" s="307"/>
      <c r="L8" s="307">
        <f t="shared" si="5"/>
        <v>0</v>
      </c>
      <c r="M8" s="307"/>
      <c r="N8" s="308">
        <f t="shared" si="6"/>
        <v>0</v>
      </c>
      <c r="O8" s="307"/>
      <c r="P8" s="308">
        <f t="shared" si="7"/>
        <v>0</v>
      </c>
      <c r="Q8" s="308"/>
      <c r="R8" s="308">
        <f t="shared" si="8"/>
        <v>0</v>
      </c>
      <c r="S8" s="307"/>
      <c r="T8" s="307">
        <f t="shared" si="9"/>
        <v>0</v>
      </c>
      <c r="U8" s="307"/>
      <c r="V8" s="307">
        <f t="shared" si="10"/>
        <v>0</v>
      </c>
      <c r="W8" s="307"/>
      <c r="X8" s="19">
        <f t="shared" si="11"/>
        <v>0</v>
      </c>
      <c r="Y8" s="89">
        <f t="shared" si="0"/>
        <v>38900.972500000003</v>
      </c>
    </row>
    <row r="9" spans="1:25" ht="38.25" customHeight="1" x14ac:dyDescent="0.25">
      <c r="A9" s="12">
        <v>1984225580</v>
      </c>
      <c r="B9" s="304" t="s">
        <v>75</v>
      </c>
      <c r="C9" s="307">
        <v>26724</v>
      </c>
      <c r="D9" s="308">
        <f t="shared" si="1"/>
        <v>25989.09</v>
      </c>
      <c r="E9" s="307"/>
      <c r="F9" s="307">
        <f t="shared" si="2"/>
        <v>0</v>
      </c>
      <c r="G9" s="307"/>
      <c r="H9" s="307">
        <f t="shared" si="3"/>
        <v>0</v>
      </c>
      <c r="I9" s="307"/>
      <c r="J9" s="307">
        <f t="shared" si="4"/>
        <v>0</v>
      </c>
      <c r="K9" s="307"/>
      <c r="L9" s="307">
        <f t="shared" si="5"/>
        <v>0</v>
      </c>
      <c r="M9" s="307"/>
      <c r="N9" s="308">
        <f t="shared" si="6"/>
        <v>0</v>
      </c>
      <c r="O9" s="307"/>
      <c r="P9" s="308">
        <f t="shared" si="7"/>
        <v>0</v>
      </c>
      <c r="Q9" s="308"/>
      <c r="R9" s="308">
        <f t="shared" si="8"/>
        <v>0</v>
      </c>
      <c r="S9" s="307"/>
      <c r="T9" s="307">
        <f t="shared" si="9"/>
        <v>0</v>
      </c>
      <c r="U9" s="307"/>
      <c r="V9" s="307">
        <f t="shared" si="10"/>
        <v>0</v>
      </c>
      <c r="W9" s="307"/>
      <c r="X9" s="19">
        <f t="shared" si="11"/>
        <v>0</v>
      </c>
      <c r="Y9" s="89">
        <f t="shared" si="0"/>
        <v>25989.09</v>
      </c>
    </row>
    <row r="10" spans="1:25" ht="35.25" customHeight="1" x14ac:dyDescent="0.25">
      <c r="A10" s="12">
        <v>1409935199</v>
      </c>
      <c r="C10" s="307"/>
      <c r="D10" s="308">
        <f t="shared" si="1"/>
        <v>0</v>
      </c>
      <c r="E10" s="307"/>
      <c r="F10" s="307">
        <f t="shared" si="2"/>
        <v>0</v>
      </c>
      <c r="G10" s="307"/>
      <c r="H10" s="307">
        <f t="shared" si="3"/>
        <v>0</v>
      </c>
      <c r="I10" s="307"/>
      <c r="J10" s="307">
        <f t="shared" si="4"/>
        <v>0</v>
      </c>
      <c r="K10" s="307"/>
      <c r="L10" s="307">
        <f t="shared" si="5"/>
        <v>0</v>
      </c>
      <c r="M10" s="307"/>
      <c r="N10" s="308">
        <f t="shared" si="6"/>
        <v>0</v>
      </c>
      <c r="O10" s="307"/>
      <c r="P10" s="308">
        <f t="shared" si="7"/>
        <v>0</v>
      </c>
      <c r="Q10" s="308"/>
      <c r="R10" s="308">
        <f t="shared" si="8"/>
        <v>0</v>
      </c>
      <c r="S10" s="307">
        <v>238</v>
      </c>
      <c r="T10" s="307">
        <f t="shared" si="9"/>
        <v>57358</v>
      </c>
      <c r="U10" s="307"/>
      <c r="V10" s="307">
        <f t="shared" si="10"/>
        <v>0</v>
      </c>
      <c r="W10" s="307"/>
      <c r="X10" s="19">
        <f t="shared" si="11"/>
        <v>0</v>
      </c>
      <c r="Y10" s="89">
        <f t="shared" si="0"/>
        <v>57358</v>
      </c>
    </row>
    <row r="11" spans="1:25" ht="37.5" customHeight="1" x14ac:dyDescent="0.25">
      <c r="A11" s="12"/>
      <c r="B11" s="306"/>
      <c r="C11" s="307"/>
      <c r="D11" s="22">
        <f t="shared" si="1"/>
        <v>0</v>
      </c>
      <c r="E11" s="307"/>
      <c r="F11" s="307">
        <f t="shared" si="2"/>
        <v>0</v>
      </c>
      <c r="G11" s="307"/>
      <c r="H11" s="307">
        <f t="shared" si="3"/>
        <v>0</v>
      </c>
      <c r="I11" s="307"/>
      <c r="J11" s="307">
        <f t="shared" si="4"/>
        <v>0</v>
      </c>
      <c r="K11" s="307"/>
      <c r="L11" s="307">
        <f t="shared" si="5"/>
        <v>0</v>
      </c>
      <c r="M11" s="307"/>
      <c r="N11" s="308">
        <f t="shared" si="6"/>
        <v>0</v>
      </c>
      <c r="O11" s="307"/>
      <c r="P11" s="308">
        <f t="shared" si="7"/>
        <v>0</v>
      </c>
      <c r="Q11" s="308"/>
      <c r="R11" s="308">
        <f t="shared" si="8"/>
        <v>0</v>
      </c>
      <c r="S11" s="307"/>
      <c r="T11" s="307">
        <f t="shared" si="9"/>
        <v>0</v>
      </c>
      <c r="U11" s="307"/>
      <c r="V11" s="307">
        <f t="shared" si="10"/>
        <v>0</v>
      </c>
      <c r="W11" s="307"/>
      <c r="X11" s="19">
        <f t="shared" si="11"/>
        <v>0</v>
      </c>
      <c r="Y11" s="20">
        <f t="shared" si="0"/>
        <v>0</v>
      </c>
    </row>
    <row r="12" spans="1:25" ht="29.25" customHeight="1" x14ac:dyDescent="0.25">
      <c r="A12" s="2235" t="s">
        <v>31</v>
      </c>
      <c r="B12" s="2235"/>
      <c r="C12" s="18">
        <f t="shared" ref="C12:Y12" si="12">SUM(C6:C11)</f>
        <v>165332</v>
      </c>
      <c r="D12" s="18">
        <f t="shared" si="12"/>
        <v>160785.37</v>
      </c>
      <c r="E12" s="18">
        <f t="shared" si="12"/>
        <v>0</v>
      </c>
      <c r="F12" s="18">
        <f t="shared" si="12"/>
        <v>0</v>
      </c>
      <c r="G12" s="18">
        <f t="shared" si="12"/>
        <v>490</v>
      </c>
      <c r="H12" s="18">
        <f t="shared" si="12"/>
        <v>13818</v>
      </c>
      <c r="I12" s="18">
        <f t="shared" si="12"/>
        <v>4520</v>
      </c>
      <c r="J12" s="18">
        <f t="shared" si="12"/>
        <v>83620</v>
      </c>
      <c r="K12" s="18">
        <f t="shared" si="12"/>
        <v>0</v>
      </c>
      <c r="L12" s="18">
        <f t="shared" si="12"/>
        <v>0</v>
      </c>
      <c r="M12" s="18">
        <f t="shared" si="12"/>
        <v>0</v>
      </c>
      <c r="N12" s="23">
        <f t="shared" si="12"/>
        <v>0</v>
      </c>
      <c r="O12" s="18">
        <f t="shared" si="12"/>
        <v>0</v>
      </c>
      <c r="P12" s="23">
        <f t="shared" si="12"/>
        <v>0</v>
      </c>
      <c r="Q12" s="23">
        <f t="shared" si="12"/>
        <v>0</v>
      </c>
      <c r="R12" s="23">
        <f>SUM(R6:R11)</f>
        <v>0</v>
      </c>
      <c r="S12" s="18">
        <f t="shared" si="12"/>
        <v>238</v>
      </c>
      <c r="T12" s="18">
        <f t="shared" si="12"/>
        <v>57358</v>
      </c>
      <c r="U12" s="18">
        <f t="shared" si="12"/>
        <v>43</v>
      </c>
      <c r="V12" s="18">
        <f t="shared" si="12"/>
        <v>9976</v>
      </c>
      <c r="W12" s="18">
        <f t="shared" si="12"/>
        <v>0</v>
      </c>
      <c r="X12" s="18">
        <f t="shared" si="12"/>
        <v>0</v>
      </c>
      <c r="Y12" s="18">
        <f t="shared" si="12"/>
        <v>325557.37</v>
      </c>
    </row>
    <row r="14" spans="1:25" ht="41.25" customHeight="1" x14ac:dyDescent="0.25">
      <c r="A14" s="30" t="s">
        <v>32</v>
      </c>
      <c r="B14" s="2236" t="s">
        <v>27</v>
      </c>
      <c r="C14" s="2236"/>
      <c r="D14" s="30" t="s">
        <v>33</v>
      </c>
      <c r="E14" s="30" t="s">
        <v>65</v>
      </c>
      <c r="F14" s="30" t="s">
        <v>34</v>
      </c>
      <c r="G14" s="30" t="s">
        <v>13</v>
      </c>
      <c r="H14" s="142" t="s">
        <v>173</v>
      </c>
      <c r="I14" s="30" t="s">
        <v>17</v>
      </c>
      <c r="J14" s="312" t="s">
        <v>174</v>
      </c>
      <c r="K14" s="30" t="s">
        <v>36</v>
      </c>
      <c r="L14" s="30" t="s">
        <v>175</v>
      </c>
      <c r="M14" s="30" t="s">
        <v>69</v>
      </c>
      <c r="N14" s="30" t="s">
        <v>70</v>
      </c>
      <c r="O14" s="312" t="s">
        <v>114</v>
      </c>
      <c r="P14" s="312" t="s">
        <v>99</v>
      </c>
      <c r="Q14" s="2272" t="s">
        <v>301</v>
      </c>
      <c r="R14" s="2272"/>
      <c r="S14" s="312"/>
      <c r="T14" s="2235" t="s">
        <v>46</v>
      </c>
      <c r="U14" s="304" t="s">
        <v>176</v>
      </c>
      <c r="V14" s="2260">
        <v>19027</v>
      </c>
      <c r="W14" s="2268"/>
      <c r="X14" s="2261"/>
    </row>
    <row r="15" spans="1:25" ht="22.5" customHeight="1" x14ac:dyDescent="0.25">
      <c r="A15" s="100" t="s">
        <v>38</v>
      </c>
      <c r="B15" s="2260">
        <v>491635</v>
      </c>
      <c r="C15" s="2261"/>
      <c r="D15" s="309">
        <v>0</v>
      </c>
      <c r="E15" s="309">
        <v>4260</v>
      </c>
      <c r="F15" s="309">
        <v>14000</v>
      </c>
      <c r="G15" s="309">
        <v>0</v>
      </c>
      <c r="H15" s="309">
        <v>871</v>
      </c>
      <c r="I15" s="309">
        <v>150</v>
      </c>
      <c r="J15" s="309">
        <v>61</v>
      </c>
      <c r="K15" s="309">
        <v>69</v>
      </c>
      <c r="L15" s="309">
        <v>159</v>
      </c>
      <c r="M15" s="309">
        <v>0</v>
      </c>
      <c r="N15" s="309">
        <v>100</v>
      </c>
      <c r="O15" s="309">
        <v>0</v>
      </c>
      <c r="P15" s="309">
        <v>404</v>
      </c>
      <c r="Q15" s="2262">
        <v>947</v>
      </c>
      <c r="R15" s="2262"/>
      <c r="S15" s="304">
        <v>0</v>
      </c>
      <c r="T15" s="2235"/>
      <c r="U15" s="304" t="s">
        <v>64</v>
      </c>
      <c r="V15" s="2262">
        <v>22995</v>
      </c>
      <c r="W15" s="2262"/>
      <c r="X15" s="2262"/>
    </row>
    <row r="16" spans="1:25" ht="24.75" customHeight="1" x14ac:dyDescent="0.25">
      <c r="A16" s="100" t="s">
        <v>39</v>
      </c>
      <c r="B16" s="2260"/>
      <c r="C16" s="2261"/>
      <c r="D16" s="309"/>
      <c r="E16" s="309"/>
      <c r="F16" s="309"/>
      <c r="G16" s="309"/>
      <c r="H16" s="309"/>
      <c r="I16" s="309"/>
      <c r="J16" s="309"/>
      <c r="K16" s="309"/>
      <c r="L16" s="309">
        <v>209</v>
      </c>
      <c r="M16" s="309"/>
      <c r="N16" s="309"/>
      <c r="O16" s="309"/>
      <c r="P16" s="309"/>
      <c r="Q16" s="2225"/>
      <c r="R16" s="2225"/>
      <c r="S16" s="309"/>
      <c r="T16" s="2254" t="s">
        <v>55</v>
      </c>
      <c r="U16" s="2254"/>
      <c r="V16" s="2267">
        <f>Y12</f>
        <v>325557.37</v>
      </c>
      <c r="W16" s="2267"/>
      <c r="X16" s="2262"/>
    </row>
    <row r="17" spans="1:25" ht="28.5" customHeight="1" x14ac:dyDescent="0.25">
      <c r="A17" s="101" t="s">
        <v>44</v>
      </c>
      <c r="B17" s="2260"/>
      <c r="C17" s="2261"/>
      <c r="D17" s="309"/>
      <c r="E17" s="309"/>
      <c r="F17" s="309"/>
      <c r="G17" s="309"/>
      <c r="H17" s="309"/>
      <c r="I17" s="309"/>
      <c r="J17" s="309"/>
      <c r="K17" s="309"/>
      <c r="L17" s="309"/>
      <c r="M17" s="309"/>
      <c r="N17" s="309"/>
      <c r="O17" s="309"/>
      <c r="P17" s="309"/>
      <c r="Q17" s="2225"/>
      <c r="R17" s="2225"/>
      <c r="S17" s="306"/>
      <c r="T17" s="2294" t="s">
        <v>296</v>
      </c>
      <c r="U17" s="2295"/>
      <c r="V17" s="2296"/>
      <c r="W17" s="2296"/>
      <c r="X17" s="2296"/>
    </row>
    <row r="18" spans="1:25" ht="27" customHeight="1" x14ac:dyDescent="0.25">
      <c r="A18" s="100" t="s">
        <v>40</v>
      </c>
      <c r="B18" s="2264">
        <f>C12</f>
        <v>165332</v>
      </c>
      <c r="C18" s="2261"/>
      <c r="D18" s="310">
        <f>E12</f>
        <v>0</v>
      </c>
      <c r="E18" s="310">
        <f>G12</f>
        <v>490</v>
      </c>
      <c r="F18" s="310">
        <f>I12</f>
        <v>4520</v>
      </c>
      <c r="G18" s="310">
        <f>K12</f>
        <v>0</v>
      </c>
      <c r="H18" s="309">
        <v>209</v>
      </c>
      <c r="I18" s="310">
        <f>U12</f>
        <v>43</v>
      </c>
      <c r="J18" s="309"/>
      <c r="K18" s="310">
        <f>W12</f>
        <v>0</v>
      </c>
      <c r="L18" s="309"/>
      <c r="M18" s="310">
        <f>M12</f>
        <v>0</v>
      </c>
      <c r="N18" s="310">
        <f>O12</f>
        <v>0</v>
      </c>
      <c r="O18" s="311">
        <f>Q12</f>
        <v>0</v>
      </c>
      <c r="P18" s="309"/>
      <c r="Q18" s="2262">
        <v>238</v>
      </c>
      <c r="R18" s="2262"/>
      <c r="S18" s="304"/>
      <c r="T18" s="2254" t="s">
        <v>57</v>
      </c>
      <c r="U18" s="2254"/>
      <c r="V18" s="2262">
        <f>620+450+7000+31000+57500</f>
        <v>96570</v>
      </c>
      <c r="W18" s="2262"/>
      <c r="X18" s="2262"/>
      <c r="Y18" s="2269" t="s">
        <v>303</v>
      </c>
    </row>
    <row r="19" spans="1:25" ht="25.5" customHeight="1" x14ac:dyDescent="0.25">
      <c r="A19" s="100" t="s">
        <v>41</v>
      </c>
      <c r="B19" s="2260">
        <f>B15+B16+B17-B18</f>
        <v>326303</v>
      </c>
      <c r="C19" s="2261"/>
      <c r="D19" s="309">
        <f>D15+D16+D17-D18</f>
        <v>0</v>
      </c>
      <c r="E19" s="309">
        <f t="shared" ref="E19:N19" si="13">E15+E16+E17-E18</f>
        <v>3770</v>
      </c>
      <c r="F19" s="309">
        <f t="shared" si="13"/>
        <v>9480</v>
      </c>
      <c r="G19" s="309">
        <f t="shared" si="13"/>
        <v>0</v>
      </c>
      <c r="H19" s="309">
        <f t="shared" si="13"/>
        <v>662</v>
      </c>
      <c r="I19" s="309">
        <f t="shared" si="13"/>
        <v>107</v>
      </c>
      <c r="J19" s="309">
        <f t="shared" si="13"/>
        <v>61</v>
      </c>
      <c r="K19" s="309">
        <f t="shared" si="13"/>
        <v>69</v>
      </c>
      <c r="L19" s="309">
        <f t="shared" si="13"/>
        <v>368</v>
      </c>
      <c r="M19" s="309">
        <f t="shared" si="13"/>
        <v>0</v>
      </c>
      <c r="N19" s="309">
        <f t="shared" si="13"/>
        <v>100</v>
      </c>
      <c r="O19" s="309">
        <f>O15+O16+O17-O18</f>
        <v>0</v>
      </c>
      <c r="P19" s="309">
        <f>P15+P16+P17-P18</f>
        <v>404</v>
      </c>
      <c r="Q19" s="2260">
        <f t="shared" ref="Q19" si="14">Q15+Q16+Q17-Q18</f>
        <v>709</v>
      </c>
      <c r="R19" s="2261"/>
      <c r="S19" s="304">
        <f>S15+S16-S17-S18</f>
        <v>0</v>
      </c>
      <c r="T19" s="2256" t="s">
        <v>48</v>
      </c>
      <c r="U19" s="49" t="s">
        <v>58</v>
      </c>
      <c r="V19" s="2262"/>
      <c r="W19" s="2262"/>
      <c r="X19" s="2262"/>
      <c r="Y19" s="2269"/>
    </row>
    <row r="20" spans="1:25" ht="23.25" customHeight="1" x14ac:dyDescent="0.25">
      <c r="A20" s="289" t="s">
        <v>187</v>
      </c>
      <c r="B20" s="2286">
        <f>B19*0.9625</f>
        <v>314066.63750000001</v>
      </c>
      <c r="C20" s="2287"/>
      <c r="D20" s="290">
        <f>D19*13.56</f>
        <v>0</v>
      </c>
      <c r="E20" s="290">
        <f>28.2*E19</f>
        <v>106314</v>
      </c>
      <c r="F20" s="290">
        <f>18.31*F19</f>
        <v>173578.8</v>
      </c>
      <c r="G20" s="290">
        <f>19.3*G19</f>
        <v>0</v>
      </c>
      <c r="H20" s="290">
        <f>241*H19</f>
        <v>159542</v>
      </c>
      <c r="I20" s="290">
        <f>223*I19</f>
        <v>23861</v>
      </c>
      <c r="J20" s="290">
        <f>241*J19</f>
        <v>14701</v>
      </c>
      <c r="K20" s="290">
        <f>K19*100</f>
        <v>6900</v>
      </c>
      <c r="L20" s="290">
        <f>241*L19</f>
        <v>88688</v>
      </c>
      <c r="M20" s="290">
        <f>9.65*M19</f>
        <v>0</v>
      </c>
      <c r="N20" s="290">
        <f>N19*48.2</f>
        <v>4820</v>
      </c>
      <c r="O20" s="290">
        <f>241*O19</f>
        <v>0</v>
      </c>
      <c r="P20" s="290">
        <f>241*P19</f>
        <v>97364</v>
      </c>
      <c r="Q20" s="2286">
        <f>241*Q19</f>
        <v>170869</v>
      </c>
      <c r="R20" s="2287"/>
      <c r="S20" s="290">
        <f>241*S19</f>
        <v>0</v>
      </c>
      <c r="T20" s="2257"/>
      <c r="U20" s="49" t="s">
        <v>59</v>
      </c>
      <c r="V20" s="2262"/>
      <c r="W20" s="2262"/>
      <c r="X20" s="2262"/>
      <c r="Y20" s="2269"/>
    </row>
    <row r="21" spans="1:25" ht="32.25" customHeight="1" x14ac:dyDescent="0.25">
      <c r="A21" s="291" t="s">
        <v>186</v>
      </c>
      <c r="B21" s="2293">
        <f>SUM(B20:S20)</f>
        <v>1160704.4375</v>
      </c>
      <c r="C21" s="2293"/>
      <c r="O21" s="313"/>
      <c r="P21" s="313"/>
      <c r="Q21" s="313"/>
      <c r="R21" s="313"/>
      <c r="T21" s="2294" t="s">
        <v>167</v>
      </c>
      <c r="U21" s="2295"/>
      <c r="V21" s="2297"/>
      <c r="W21" s="2298"/>
      <c r="X21" s="2299"/>
      <c r="Y21" s="2269"/>
    </row>
    <row r="22" spans="1:25" ht="35.25" customHeight="1" x14ac:dyDescent="0.25">
      <c r="A22" s="15"/>
      <c r="B22" s="2288" t="s">
        <v>49</v>
      </c>
      <c r="C22" s="2291">
        <v>893773</v>
      </c>
      <c r="D22" s="2291"/>
      <c r="E22" s="2291"/>
      <c r="F22" s="2291">
        <f>C22-D22+E22</f>
        <v>893773</v>
      </c>
      <c r="G22" s="313"/>
      <c r="Q22" s="313"/>
      <c r="R22" s="313"/>
      <c r="T22" s="2251" t="s">
        <v>83</v>
      </c>
      <c r="U22" s="50" t="s">
        <v>60</v>
      </c>
      <c r="V22" s="2262"/>
      <c r="W22" s="2262"/>
      <c r="X22" s="2262"/>
      <c r="Y22" s="2269"/>
    </row>
    <row r="23" spans="1:25" ht="39.75" customHeight="1" x14ac:dyDescent="0.25">
      <c r="A23" s="313"/>
      <c r="B23" s="2289"/>
      <c r="C23" s="2292"/>
      <c r="D23" s="2292"/>
      <c r="E23" s="2292"/>
      <c r="F23" s="2292"/>
      <c r="G23" s="313"/>
      <c r="Q23" s="313"/>
      <c r="R23" s="313"/>
      <c r="T23" s="2252"/>
      <c r="U23" s="50" t="s">
        <v>61</v>
      </c>
      <c r="V23" s="2262"/>
      <c r="W23" s="2262"/>
      <c r="X23" s="2262"/>
      <c r="Y23" s="2269"/>
    </row>
    <row r="24" spans="1:25" ht="48" customHeight="1" x14ac:dyDescent="0.25">
      <c r="A24" s="313"/>
      <c r="B24" s="2290"/>
      <c r="C24" s="290" t="s">
        <v>46</v>
      </c>
      <c r="D24" s="290" t="s">
        <v>50</v>
      </c>
      <c r="E24" s="290" t="s">
        <v>51</v>
      </c>
      <c r="F24" s="290" t="s">
        <v>52</v>
      </c>
      <c r="G24" s="313"/>
      <c r="Q24" s="313"/>
      <c r="R24" s="313"/>
      <c r="T24" s="2235" t="s">
        <v>47</v>
      </c>
      <c r="U24" s="51" t="s">
        <v>62</v>
      </c>
      <c r="V24" s="2263">
        <f>V14+V16+V17-V18-V19-V20-V22+V23-V21</f>
        <v>248014.37</v>
      </c>
      <c r="W24" s="2263"/>
      <c r="X24" s="2263"/>
      <c r="Y24" s="2269"/>
    </row>
    <row r="25" spans="1:25" ht="40.5" customHeight="1" x14ac:dyDescent="0.25">
      <c r="T25" s="2235"/>
      <c r="U25" s="51" t="s">
        <v>63</v>
      </c>
      <c r="V25" s="2262">
        <f>V15+V22-V23</f>
        <v>22995</v>
      </c>
      <c r="W25" s="2262"/>
      <c r="X25" s="2262"/>
    </row>
    <row r="26" spans="1:25" ht="36" customHeight="1" x14ac:dyDescent="0.25">
      <c r="K26" s="314"/>
    </row>
    <row r="32" spans="1:25" x14ac:dyDescent="0.25">
      <c r="I32" s="2280"/>
      <c r="J32" s="2280"/>
      <c r="K32" s="2280"/>
      <c r="L32" s="2280"/>
    </row>
    <row r="33" spans="9:12" x14ac:dyDescent="0.25">
      <c r="I33" s="313"/>
      <c r="J33" s="313"/>
      <c r="K33" s="2280"/>
      <c r="L33" s="2280"/>
    </row>
  </sheetData>
  <mergeCells count="62">
    <mergeCell ref="I32:J32"/>
    <mergeCell ref="K32:L32"/>
    <mergeCell ref="K33:L33"/>
    <mergeCell ref="T22:T23"/>
    <mergeCell ref="V22:X22"/>
    <mergeCell ref="V23:X23"/>
    <mergeCell ref="T24:T25"/>
    <mergeCell ref="V24:X24"/>
    <mergeCell ref="V25:X25"/>
    <mergeCell ref="Y18:Y24"/>
    <mergeCell ref="B19:C19"/>
    <mergeCell ref="Q19:R19"/>
    <mergeCell ref="T19:T20"/>
    <mergeCell ref="V19:X19"/>
    <mergeCell ref="B20:C20"/>
    <mergeCell ref="B22:B24"/>
    <mergeCell ref="C22:C23"/>
    <mergeCell ref="D22:D23"/>
    <mergeCell ref="E22:E23"/>
    <mergeCell ref="F22:F23"/>
    <mergeCell ref="Q20:R20"/>
    <mergeCell ref="V20:X20"/>
    <mergeCell ref="B21:C21"/>
    <mergeCell ref="T21:U21"/>
    <mergeCell ref="V21:X21"/>
    <mergeCell ref="B17:C17"/>
    <mergeCell ref="Q17:R17"/>
    <mergeCell ref="T17:U17"/>
    <mergeCell ref="V17:X17"/>
    <mergeCell ref="B18:C18"/>
    <mergeCell ref="Q18:R18"/>
    <mergeCell ref="T18:U18"/>
    <mergeCell ref="V18:X18"/>
    <mergeCell ref="W4:X4"/>
    <mergeCell ref="B16:C16"/>
    <mergeCell ref="Q16:R16"/>
    <mergeCell ref="T16:U16"/>
    <mergeCell ref="V16:X16"/>
    <mergeCell ref="A12:B12"/>
    <mergeCell ref="B14:C14"/>
    <mergeCell ref="Q14:R14"/>
    <mergeCell ref="T14:T15"/>
    <mergeCell ref="V14:X14"/>
    <mergeCell ref="B15:C15"/>
    <mergeCell ref="Q15:R15"/>
    <mergeCell ref="V15:X15"/>
    <mergeCell ref="A1:Y1"/>
    <mergeCell ref="A2:Y2"/>
    <mergeCell ref="T3:Y3"/>
    <mergeCell ref="A4:A5"/>
    <mergeCell ref="B4:B5"/>
    <mergeCell ref="C4:D4"/>
    <mergeCell ref="E4:F4"/>
    <mergeCell ref="G4:H4"/>
    <mergeCell ref="I4:J4"/>
    <mergeCell ref="K4:L4"/>
    <mergeCell ref="Y4:Y5"/>
    <mergeCell ref="M4:N4"/>
    <mergeCell ref="O4:P4"/>
    <mergeCell ref="Q4:R4"/>
    <mergeCell ref="S4:T4"/>
    <mergeCell ref="U4:V4"/>
  </mergeCells>
  <pageMargins left="0.15748031496063" right="0.15748031496063" top="0" bottom="0" header="0" footer="0"/>
  <pageSetup paperSize="9" scale="47" orientation="landscape" r:id="rId1"/>
  <legacyDrawing r:id="rId2"/>
</worksheet>
</file>

<file path=xl/worksheets/sheet11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B7DCE68-7BD4-4B22-83F4-5E67F533DF8F}">
  <sheetPr>
    <pageSetUpPr fitToPage="1"/>
  </sheetPr>
  <dimension ref="A1:Y33"/>
  <sheetViews>
    <sheetView topLeftCell="B7" zoomScale="71" zoomScaleNormal="71" zoomScaleSheetLayoutView="100" workbookViewId="0">
      <selection activeCell="L27" sqref="L27"/>
    </sheetView>
  </sheetViews>
  <sheetFormatPr defaultColWidth="9.140625" defaultRowHeight="15" x14ac:dyDescent="0.25"/>
  <cols>
    <col min="1" max="1" width="18.28515625" style="14" customWidth="1"/>
    <col min="2" max="2" width="10.7109375" style="14" customWidth="1"/>
    <col min="3" max="3" width="12.28515625" style="14" customWidth="1"/>
    <col min="4" max="4" width="11" style="14" customWidth="1"/>
    <col min="5" max="5" width="12" style="14" customWidth="1"/>
    <col min="6" max="6" width="12.5703125" style="14" bestFit="1" customWidth="1"/>
    <col min="7" max="7" width="9.28515625" style="14" bestFit="1" customWidth="1"/>
    <col min="8" max="8" width="10.140625" style="14" bestFit="1" customWidth="1"/>
    <col min="9" max="9" width="10.5703125" style="14" bestFit="1" customWidth="1"/>
    <col min="10" max="10" width="10.5703125" style="14" customWidth="1"/>
    <col min="11" max="11" width="10.28515625" style="14" bestFit="1" customWidth="1"/>
    <col min="12" max="12" width="10.42578125" style="14" bestFit="1" customWidth="1"/>
    <col min="13" max="13" width="9.85546875" style="14" bestFit="1" customWidth="1"/>
    <col min="14" max="14" width="10.140625" style="14" bestFit="1" customWidth="1"/>
    <col min="15" max="15" width="9" style="14" customWidth="1"/>
    <col min="16" max="16" width="12.85546875" style="14" bestFit="1" customWidth="1"/>
    <col min="17" max="18" width="9.42578125" style="14" customWidth="1"/>
    <col min="19" max="19" width="13.7109375" style="14" customWidth="1"/>
    <col min="20" max="20" width="12.140625" style="14" customWidth="1"/>
    <col min="21" max="21" width="19.5703125" style="14" bestFit="1" customWidth="1"/>
    <col min="22" max="22" width="9.85546875" style="14" customWidth="1"/>
    <col min="23" max="23" width="10.140625" style="14" bestFit="1" customWidth="1"/>
    <col min="24" max="24" width="10.28515625" style="14" customWidth="1"/>
    <col min="25" max="25" width="28" style="14" customWidth="1"/>
    <col min="26" max="16384" width="9.140625" style="14"/>
  </cols>
  <sheetData>
    <row r="1" spans="1:25" ht="46.15" customHeight="1" x14ac:dyDescent="0.25">
      <c r="A1" s="2240" t="s">
        <v>148</v>
      </c>
      <c r="B1" s="2240"/>
      <c r="C1" s="2240"/>
      <c r="D1" s="2240"/>
      <c r="E1" s="2240"/>
      <c r="F1" s="2240"/>
      <c r="G1" s="2240"/>
      <c r="H1" s="2240"/>
      <c r="I1" s="2240"/>
      <c r="J1" s="2240"/>
      <c r="K1" s="2240"/>
      <c r="L1" s="2240"/>
      <c r="M1" s="2240"/>
      <c r="N1" s="2240"/>
      <c r="O1" s="2240"/>
      <c r="P1" s="2240"/>
      <c r="Q1" s="2240"/>
      <c r="R1" s="2240"/>
      <c r="S1" s="2240"/>
      <c r="T1" s="2240"/>
      <c r="U1" s="2240"/>
      <c r="V1" s="2240"/>
      <c r="W1" s="2240"/>
      <c r="X1" s="2240"/>
      <c r="Y1" s="2240"/>
    </row>
    <row r="2" spans="1:25" ht="21.6" customHeight="1" x14ac:dyDescent="0.25">
      <c r="A2" s="2241" t="s">
        <v>77</v>
      </c>
      <c r="B2" s="2241"/>
      <c r="C2" s="2241"/>
      <c r="D2" s="2241"/>
      <c r="E2" s="2241"/>
      <c r="F2" s="2241"/>
      <c r="G2" s="2241"/>
      <c r="H2" s="2241"/>
      <c r="I2" s="2241"/>
      <c r="J2" s="2241"/>
      <c r="K2" s="2241"/>
      <c r="L2" s="2241"/>
      <c r="M2" s="2241"/>
      <c r="N2" s="2241"/>
      <c r="O2" s="2241"/>
      <c r="P2" s="2241"/>
      <c r="Q2" s="2241"/>
      <c r="R2" s="2241"/>
      <c r="S2" s="2241"/>
      <c r="T2" s="2241"/>
      <c r="U2" s="2241"/>
      <c r="V2" s="2241"/>
      <c r="W2" s="2241"/>
      <c r="X2" s="2241"/>
      <c r="Y2" s="2241"/>
    </row>
    <row r="3" spans="1:25" ht="21" customHeight="1" x14ac:dyDescent="0.25">
      <c r="A3" s="320"/>
      <c r="B3" s="320"/>
      <c r="C3" s="320"/>
      <c r="D3" s="320"/>
      <c r="E3" s="320"/>
      <c r="F3" s="320"/>
      <c r="G3" s="320"/>
      <c r="H3" s="320"/>
      <c r="I3" s="320"/>
      <c r="J3" s="320"/>
      <c r="K3" s="320"/>
      <c r="L3" s="320"/>
      <c r="M3" s="320"/>
      <c r="N3" s="320"/>
      <c r="O3" s="320"/>
      <c r="P3" s="320"/>
      <c r="Q3" s="320"/>
      <c r="R3" s="320"/>
      <c r="S3" s="320"/>
      <c r="T3" s="2242" t="s">
        <v>304</v>
      </c>
      <c r="U3" s="2242"/>
      <c r="V3" s="2242"/>
      <c r="W3" s="2242"/>
      <c r="X3" s="2242"/>
      <c r="Y3" s="2242"/>
    </row>
    <row r="4" spans="1:25" s="320" customFormat="1" ht="18" customHeight="1" x14ac:dyDescent="0.25">
      <c r="A4" s="2243" t="s">
        <v>25</v>
      </c>
      <c r="B4" s="2243" t="s">
        <v>26</v>
      </c>
      <c r="C4" s="2244" t="s">
        <v>27</v>
      </c>
      <c r="D4" s="2244"/>
      <c r="E4" s="2244" t="s">
        <v>28</v>
      </c>
      <c r="F4" s="2244"/>
      <c r="G4" s="2244" t="s">
        <v>65</v>
      </c>
      <c r="H4" s="2244"/>
      <c r="I4" s="2244" t="s">
        <v>29</v>
      </c>
      <c r="J4" s="2244"/>
      <c r="K4" s="2245" t="s">
        <v>13</v>
      </c>
      <c r="L4" s="2246"/>
      <c r="M4" s="2245" t="s">
        <v>67</v>
      </c>
      <c r="N4" s="2246"/>
      <c r="O4" s="2245" t="s">
        <v>68</v>
      </c>
      <c r="P4" s="2246"/>
      <c r="Q4" s="2245" t="s">
        <v>114</v>
      </c>
      <c r="R4" s="2246"/>
      <c r="S4" s="2244" t="s">
        <v>35</v>
      </c>
      <c r="T4" s="2244"/>
      <c r="U4" s="2245" t="s">
        <v>17</v>
      </c>
      <c r="V4" s="2246"/>
      <c r="W4" s="2247" t="s">
        <v>36</v>
      </c>
      <c r="X4" s="2248"/>
      <c r="Y4" s="2238" t="s">
        <v>30</v>
      </c>
    </row>
    <row r="5" spans="1:25" s="320" customFormat="1" ht="25.5" customHeight="1" x14ac:dyDescent="0.25">
      <c r="A5" s="2243"/>
      <c r="B5" s="2243"/>
      <c r="C5" s="319" t="s">
        <v>42</v>
      </c>
      <c r="D5" s="319" t="s">
        <v>43</v>
      </c>
      <c r="E5" s="319" t="s">
        <v>42</v>
      </c>
      <c r="F5" s="319" t="s">
        <v>43</v>
      </c>
      <c r="G5" s="319" t="s">
        <v>42</v>
      </c>
      <c r="H5" s="319" t="s">
        <v>43</v>
      </c>
      <c r="I5" s="319" t="s">
        <v>42</v>
      </c>
      <c r="J5" s="319" t="s">
        <v>43</v>
      </c>
      <c r="K5" s="319" t="s">
        <v>42</v>
      </c>
      <c r="L5" s="319" t="s">
        <v>43</v>
      </c>
      <c r="M5" s="319" t="s">
        <v>42</v>
      </c>
      <c r="N5" s="319" t="s">
        <v>43</v>
      </c>
      <c r="O5" s="319" t="s">
        <v>42</v>
      </c>
      <c r="P5" s="319" t="s">
        <v>43</v>
      </c>
      <c r="Q5" s="319" t="s">
        <v>42</v>
      </c>
      <c r="R5" s="319" t="s">
        <v>43</v>
      </c>
      <c r="S5" s="33" t="s">
        <v>42</v>
      </c>
      <c r="T5" s="33" t="s">
        <v>43</v>
      </c>
      <c r="U5" s="30" t="s">
        <v>42</v>
      </c>
      <c r="V5" s="30" t="s">
        <v>43</v>
      </c>
      <c r="W5" s="30" t="s">
        <v>42</v>
      </c>
      <c r="X5" s="30" t="s">
        <v>43</v>
      </c>
      <c r="Y5" s="2239"/>
    </row>
    <row r="6" spans="1:25" ht="34.5" customHeight="1" x14ac:dyDescent="0.25">
      <c r="A6" s="12">
        <v>1409935200</v>
      </c>
      <c r="B6" s="318" t="s">
        <v>71</v>
      </c>
      <c r="C6" s="316">
        <v>34863</v>
      </c>
      <c r="D6" s="315">
        <f>0.9725*C6</f>
        <v>33904.267500000002</v>
      </c>
      <c r="E6" s="316"/>
      <c r="F6" s="316">
        <f>13.7*E6</f>
        <v>0</v>
      </c>
      <c r="G6" s="316">
        <v>90</v>
      </c>
      <c r="H6" s="316">
        <f>28.2*G6</f>
        <v>2538</v>
      </c>
      <c r="I6" s="316">
        <v>710</v>
      </c>
      <c r="J6" s="316">
        <f>18.5*I6</f>
        <v>13135</v>
      </c>
      <c r="K6" s="316"/>
      <c r="L6" s="316">
        <f>19.5*K6</f>
        <v>0</v>
      </c>
      <c r="M6" s="316"/>
      <c r="N6" s="315">
        <f>M6*9.75</f>
        <v>0</v>
      </c>
      <c r="O6" s="316"/>
      <c r="P6" s="315">
        <f>O6*48.62</f>
        <v>0</v>
      </c>
      <c r="Q6" s="315"/>
      <c r="R6" s="315">
        <f>241*Q6</f>
        <v>0</v>
      </c>
      <c r="S6" s="316"/>
      <c r="T6" s="316">
        <f>241*S6</f>
        <v>0</v>
      </c>
      <c r="U6" s="316"/>
      <c r="V6" s="316">
        <f>232*U6</f>
        <v>0</v>
      </c>
      <c r="W6" s="316"/>
      <c r="X6" s="19">
        <f>W6*100</f>
        <v>0</v>
      </c>
      <c r="Y6" s="89">
        <f t="shared" ref="Y6:Y11" si="0">D6+F6+H6+J6+L6+N6+P6+R6+T6+V6+X6</f>
        <v>49577.267500000002</v>
      </c>
    </row>
    <row r="7" spans="1:25" ht="31.5" customHeight="1" x14ac:dyDescent="0.25">
      <c r="A7" s="12">
        <v>1984225578</v>
      </c>
      <c r="B7" s="318" t="s">
        <v>72</v>
      </c>
      <c r="C7" s="316">
        <v>35607</v>
      </c>
      <c r="D7" s="315">
        <f t="shared" ref="D7:D11" si="1">0.9725*C7</f>
        <v>34627.807500000003</v>
      </c>
      <c r="E7" s="316"/>
      <c r="F7" s="316">
        <f t="shared" ref="F7:F11" si="2">13.7*E7</f>
        <v>0</v>
      </c>
      <c r="G7" s="316"/>
      <c r="H7" s="316">
        <f t="shared" ref="H7:H11" si="3">28.2*G7</f>
        <v>0</v>
      </c>
      <c r="I7" s="316">
        <v>330</v>
      </c>
      <c r="J7" s="316">
        <f t="shared" ref="J7:J11" si="4">18.5*I7</f>
        <v>6105</v>
      </c>
      <c r="K7" s="316"/>
      <c r="L7" s="316">
        <f t="shared" ref="L7:L11" si="5">19.5*K7</f>
        <v>0</v>
      </c>
      <c r="M7" s="316"/>
      <c r="N7" s="315">
        <f t="shared" ref="N7:N11" si="6">M7*9.75</f>
        <v>0</v>
      </c>
      <c r="O7" s="316"/>
      <c r="P7" s="315">
        <f t="shared" ref="P7:P11" si="7">O7*48.62</f>
        <v>0</v>
      </c>
      <c r="Q7" s="315"/>
      <c r="R7" s="315">
        <f t="shared" ref="R7:R11" si="8">241*Q7</f>
        <v>0</v>
      </c>
      <c r="S7" s="316"/>
      <c r="T7" s="316">
        <f t="shared" ref="T7:T11" si="9">241*S7</f>
        <v>0</v>
      </c>
      <c r="U7" s="316">
        <v>2</v>
      </c>
      <c r="V7" s="316">
        <f t="shared" ref="V7:V11" si="10">232*U7</f>
        <v>464</v>
      </c>
      <c r="W7" s="316">
        <v>1</v>
      </c>
      <c r="X7" s="19">
        <f t="shared" ref="X7:X11" si="11">W7*100</f>
        <v>100</v>
      </c>
      <c r="Y7" s="89">
        <f t="shared" si="0"/>
        <v>41296.807500000003</v>
      </c>
    </row>
    <row r="8" spans="1:25" ht="35.25" customHeight="1" x14ac:dyDescent="0.25">
      <c r="A8" s="12">
        <v>1967020280</v>
      </c>
      <c r="B8" s="318" t="s">
        <v>73</v>
      </c>
      <c r="C8" s="316">
        <v>29911</v>
      </c>
      <c r="D8" s="315">
        <f t="shared" si="1"/>
        <v>29088.447500000002</v>
      </c>
      <c r="E8" s="316"/>
      <c r="F8" s="316">
        <f t="shared" si="2"/>
        <v>0</v>
      </c>
      <c r="G8" s="316">
        <v>400</v>
      </c>
      <c r="H8" s="316">
        <f t="shared" si="3"/>
        <v>11280</v>
      </c>
      <c r="I8" s="316">
        <v>1880</v>
      </c>
      <c r="J8" s="316">
        <f t="shared" si="4"/>
        <v>34780</v>
      </c>
      <c r="K8" s="316"/>
      <c r="L8" s="316">
        <f t="shared" si="5"/>
        <v>0</v>
      </c>
      <c r="M8" s="316"/>
      <c r="N8" s="315">
        <f t="shared" si="6"/>
        <v>0</v>
      </c>
      <c r="O8" s="316"/>
      <c r="P8" s="315">
        <f t="shared" si="7"/>
        <v>0</v>
      </c>
      <c r="Q8" s="315"/>
      <c r="R8" s="315">
        <f t="shared" si="8"/>
        <v>0</v>
      </c>
      <c r="S8" s="316">
        <v>16</v>
      </c>
      <c r="T8" s="316">
        <f t="shared" si="9"/>
        <v>3856</v>
      </c>
      <c r="U8" s="316"/>
      <c r="V8" s="316">
        <f t="shared" si="10"/>
        <v>0</v>
      </c>
      <c r="W8" s="316"/>
      <c r="X8" s="19">
        <f t="shared" si="11"/>
        <v>0</v>
      </c>
      <c r="Y8" s="89">
        <f t="shared" si="0"/>
        <v>79004.447500000009</v>
      </c>
    </row>
    <row r="9" spans="1:25" ht="38.25" customHeight="1" x14ac:dyDescent="0.25">
      <c r="A9" s="12">
        <v>1984225580</v>
      </c>
      <c r="B9" s="318" t="s">
        <v>75</v>
      </c>
      <c r="C9" s="316">
        <v>49230</v>
      </c>
      <c r="D9" s="315">
        <f t="shared" si="1"/>
        <v>47876.175000000003</v>
      </c>
      <c r="E9" s="316"/>
      <c r="F9" s="316">
        <f t="shared" si="2"/>
        <v>0</v>
      </c>
      <c r="G9" s="316">
        <v>160</v>
      </c>
      <c r="H9" s="316">
        <f t="shared" si="3"/>
        <v>4512</v>
      </c>
      <c r="I9" s="316">
        <v>3150</v>
      </c>
      <c r="J9" s="316">
        <f t="shared" si="4"/>
        <v>58275</v>
      </c>
      <c r="K9" s="316"/>
      <c r="L9" s="316">
        <f t="shared" si="5"/>
        <v>0</v>
      </c>
      <c r="M9" s="316"/>
      <c r="N9" s="315">
        <f t="shared" si="6"/>
        <v>0</v>
      </c>
      <c r="O9" s="316"/>
      <c r="P9" s="315">
        <f t="shared" si="7"/>
        <v>0</v>
      </c>
      <c r="Q9" s="315"/>
      <c r="R9" s="315">
        <f t="shared" si="8"/>
        <v>0</v>
      </c>
      <c r="S9" s="316"/>
      <c r="T9" s="316">
        <f t="shared" si="9"/>
        <v>0</v>
      </c>
      <c r="U9" s="316">
        <v>20</v>
      </c>
      <c r="V9" s="316">
        <f t="shared" si="10"/>
        <v>4640</v>
      </c>
      <c r="W9" s="316"/>
      <c r="X9" s="19">
        <f t="shared" si="11"/>
        <v>0</v>
      </c>
      <c r="Y9" s="89">
        <f t="shared" si="0"/>
        <v>115303.175</v>
      </c>
    </row>
    <row r="10" spans="1:25" ht="35.25" customHeight="1" x14ac:dyDescent="0.25">
      <c r="A10" s="12">
        <v>1409935199</v>
      </c>
      <c r="C10" s="316"/>
      <c r="D10" s="315">
        <f t="shared" si="1"/>
        <v>0</v>
      </c>
      <c r="E10" s="316"/>
      <c r="F10" s="316">
        <f t="shared" si="2"/>
        <v>0</v>
      </c>
      <c r="G10" s="316"/>
      <c r="H10" s="316">
        <f t="shared" si="3"/>
        <v>0</v>
      </c>
      <c r="I10" s="316"/>
      <c r="J10" s="316">
        <f t="shared" si="4"/>
        <v>0</v>
      </c>
      <c r="K10" s="316"/>
      <c r="L10" s="316">
        <f t="shared" si="5"/>
        <v>0</v>
      </c>
      <c r="M10" s="316"/>
      <c r="N10" s="315">
        <f t="shared" si="6"/>
        <v>0</v>
      </c>
      <c r="O10" s="316"/>
      <c r="P10" s="315">
        <f t="shared" si="7"/>
        <v>0</v>
      </c>
      <c r="Q10" s="315"/>
      <c r="R10" s="315">
        <f t="shared" si="8"/>
        <v>0</v>
      </c>
      <c r="S10" s="316"/>
      <c r="T10" s="316">
        <f t="shared" si="9"/>
        <v>0</v>
      </c>
      <c r="U10" s="316"/>
      <c r="V10" s="316">
        <f t="shared" si="10"/>
        <v>0</v>
      </c>
      <c r="W10" s="316"/>
      <c r="X10" s="19">
        <f t="shared" si="11"/>
        <v>0</v>
      </c>
      <c r="Y10" s="89">
        <f t="shared" si="0"/>
        <v>0</v>
      </c>
    </row>
    <row r="11" spans="1:25" ht="37.5" customHeight="1" x14ac:dyDescent="0.25">
      <c r="A11" s="12"/>
      <c r="B11" s="317"/>
      <c r="C11" s="316"/>
      <c r="D11" s="22">
        <f t="shared" si="1"/>
        <v>0</v>
      </c>
      <c r="E11" s="316"/>
      <c r="F11" s="316">
        <f t="shared" si="2"/>
        <v>0</v>
      </c>
      <c r="G11" s="316">
        <v>1000</v>
      </c>
      <c r="H11" s="316">
        <f t="shared" si="3"/>
        <v>28200</v>
      </c>
      <c r="I11" s="316">
        <v>1000</v>
      </c>
      <c r="J11" s="316">
        <f t="shared" si="4"/>
        <v>18500</v>
      </c>
      <c r="K11" s="316"/>
      <c r="L11" s="316">
        <f t="shared" si="5"/>
        <v>0</v>
      </c>
      <c r="M11" s="316"/>
      <c r="N11" s="315">
        <f t="shared" si="6"/>
        <v>0</v>
      </c>
      <c r="O11" s="316"/>
      <c r="P11" s="315">
        <f t="shared" si="7"/>
        <v>0</v>
      </c>
      <c r="Q11" s="315"/>
      <c r="R11" s="315">
        <f t="shared" si="8"/>
        <v>0</v>
      </c>
      <c r="S11" s="316"/>
      <c r="T11" s="316">
        <f t="shared" si="9"/>
        <v>0</v>
      </c>
      <c r="U11" s="316"/>
      <c r="V11" s="316">
        <f t="shared" si="10"/>
        <v>0</v>
      </c>
      <c r="W11" s="316"/>
      <c r="X11" s="19">
        <f t="shared" si="11"/>
        <v>0</v>
      </c>
      <c r="Y11" s="20">
        <f t="shared" si="0"/>
        <v>46700</v>
      </c>
    </row>
    <row r="12" spans="1:25" ht="29.25" customHeight="1" x14ac:dyDescent="0.25">
      <c r="A12" s="2235" t="s">
        <v>31</v>
      </c>
      <c r="B12" s="2235"/>
      <c r="C12" s="18">
        <f t="shared" ref="C12:Y12" si="12">SUM(C6:C11)</f>
        <v>149611</v>
      </c>
      <c r="D12" s="18">
        <f t="shared" si="12"/>
        <v>145496.69750000001</v>
      </c>
      <c r="E12" s="18">
        <f t="shared" si="12"/>
        <v>0</v>
      </c>
      <c r="F12" s="18">
        <f t="shared" si="12"/>
        <v>0</v>
      </c>
      <c r="G12" s="18">
        <f t="shared" si="12"/>
        <v>1650</v>
      </c>
      <c r="H12" s="18">
        <f t="shared" si="12"/>
        <v>46530</v>
      </c>
      <c r="I12" s="18">
        <f t="shared" si="12"/>
        <v>7070</v>
      </c>
      <c r="J12" s="18">
        <f t="shared" si="12"/>
        <v>130795</v>
      </c>
      <c r="K12" s="18">
        <f t="shared" si="12"/>
        <v>0</v>
      </c>
      <c r="L12" s="18">
        <f t="shared" si="12"/>
        <v>0</v>
      </c>
      <c r="M12" s="18">
        <f t="shared" si="12"/>
        <v>0</v>
      </c>
      <c r="N12" s="23">
        <f t="shared" si="12"/>
        <v>0</v>
      </c>
      <c r="O12" s="18">
        <f t="shared" si="12"/>
        <v>0</v>
      </c>
      <c r="P12" s="23">
        <f t="shared" si="12"/>
        <v>0</v>
      </c>
      <c r="Q12" s="23">
        <f t="shared" si="12"/>
        <v>0</v>
      </c>
      <c r="R12" s="23">
        <f>SUM(R6:R11)</f>
        <v>0</v>
      </c>
      <c r="S12" s="18">
        <f t="shared" si="12"/>
        <v>16</v>
      </c>
      <c r="T12" s="18">
        <f t="shared" si="12"/>
        <v>3856</v>
      </c>
      <c r="U12" s="18">
        <f t="shared" si="12"/>
        <v>22</v>
      </c>
      <c r="V12" s="18">
        <f t="shared" si="12"/>
        <v>5104</v>
      </c>
      <c r="W12" s="18">
        <f t="shared" si="12"/>
        <v>1</v>
      </c>
      <c r="X12" s="18">
        <f t="shared" si="12"/>
        <v>100</v>
      </c>
      <c r="Y12" s="18">
        <f t="shared" si="12"/>
        <v>331881.69750000001</v>
      </c>
    </row>
    <row r="14" spans="1:25" ht="41.25" customHeight="1" x14ac:dyDescent="0.25">
      <c r="A14" s="30" t="s">
        <v>32</v>
      </c>
      <c r="B14" s="2236" t="s">
        <v>27</v>
      </c>
      <c r="C14" s="2236"/>
      <c r="D14" s="30" t="s">
        <v>33</v>
      </c>
      <c r="E14" s="30" t="s">
        <v>65</v>
      </c>
      <c r="F14" s="30" t="s">
        <v>34</v>
      </c>
      <c r="G14" s="30" t="s">
        <v>13</v>
      </c>
      <c r="H14" s="142" t="s">
        <v>173</v>
      </c>
      <c r="I14" s="30" t="s">
        <v>17</v>
      </c>
      <c r="J14" s="324" t="s">
        <v>174</v>
      </c>
      <c r="K14" s="30" t="s">
        <v>36</v>
      </c>
      <c r="L14" s="30" t="s">
        <v>175</v>
      </c>
      <c r="M14" s="30" t="s">
        <v>69</v>
      </c>
      <c r="N14" s="30" t="s">
        <v>70</v>
      </c>
      <c r="O14" s="324" t="s">
        <v>114</v>
      </c>
      <c r="P14" s="324" t="s">
        <v>99</v>
      </c>
      <c r="Q14" s="2272" t="s">
        <v>301</v>
      </c>
      <c r="R14" s="2272"/>
      <c r="S14" s="324"/>
      <c r="T14" s="2235" t="s">
        <v>46</v>
      </c>
      <c r="U14" s="318" t="s">
        <v>176</v>
      </c>
      <c r="V14" s="2260">
        <v>248014</v>
      </c>
      <c r="W14" s="2268"/>
      <c r="X14" s="2261"/>
    </row>
    <row r="15" spans="1:25" ht="22.5" customHeight="1" x14ac:dyDescent="0.25">
      <c r="A15" s="100" t="s">
        <v>38</v>
      </c>
      <c r="B15" s="2260">
        <v>326303</v>
      </c>
      <c r="C15" s="2261"/>
      <c r="D15" s="321">
        <v>0</v>
      </c>
      <c r="E15" s="321">
        <v>3770</v>
      </c>
      <c r="F15" s="321">
        <v>9480</v>
      </c>
      <c r="G15" s="321">
        <v>0</v>
      </c>
      <c r="H15" s="321">
        <v>662</v>
      </c>
      <c r="I15" s="321">
        <v>107</v>
      </c>
      <c r="J15" s="321">
        <v>61</v>
      </c>
      <c r="K15" s="321">
        <v>69</v>
      </c>
      <c r="L15" s="321">
        <v>368</v>
      </c>
      <c r="M15" s="321">
        <v>0</v>
      </c>
      <c r="N15" s="321">
        <v>100</v>
      </c>
      <c r="O15" s="321">
        <v>0</v>
      </c>
      <c r="P15" s="321">
        <v>404</v>
      </c>
      <c r="Q15" s="2262">
        <v>709</v>
      </c>
      <c r="R15" s="2262"/>
      <c r="S15" s="318">
        <v>0</v>
      </c>
      <c r="T15" s="2235"/>
      <c r="U15" s="318" t="s">
        <v>64</v>
      </c>
      <c r="V15" s="2262">
        <v>22995</v>
      </c>
      <c r="W15" s="2262"/>
      <c r="X15" s="2262"/>
    </row>
    <row r="16" spans="1:25" ht="24.75" customHeight="1" x14ac:dyDescent="0.25">
      <c r="A16" s="100" t="s">
        <v>39</v>
      </c>
      <c r="B16" s="2260">
        <v>103896</v>
      </c>
      <c r="C16" s="2261"/>
      <c r="D16" s="321"/>
      <c r="E16" s="321"/>
      <c r="F16" s="321"/>
      <c r="G16" s="321"/>
      <c r="H16" s="321"/>
      <c r="I16" s="321"/>
      <c r="J16" s="321"/>
      <c r="K16" s="321"/>
      <c r="L16" s="321"/>
      <c r="M16" s="321"/>
      <c r="N16" s="321"/>
      <c r="O16" s="321"/>
      <c r="P16" s="321"/>
      <c r="Q16" s="2225"/>
      <c r="R16" s="2225"/>
      <c r="S16" s="321"/>
      <c r="T16" s="2254" t="s">
        <v>55</v>
      </c>
      <c r="U16" s="2254"/>
      <c r="V16" s="2267">
        <f>Y12</f>
        <v>331881.69750000001</v>
      </c>
      <c r="W16" s="2267"/>
      <c r="X16" s="2262"/>
    </row>
    <row r="17" spans="1:25" ht="28.5" customHeight="1" x14ac:dyDescent="0.25">
      <c r="A17" s="101" t="s">
        <v>44</v>
      </c>
      <c r="B17" s="2260"/>
      <c r="C17" s="2261"/>
      <c r="D17" s="321"/>
      <c r="E17" s="321"/>
      <c r="F17" s="321"/>
      <c r="G17" s="321"/>
      <c r="H17" s="321"/>
      <c r="I17" s="321"/>
      <c r="J17" s="321"/>
      <c r="K17" s="321"/>
      <c r="L17" s="321"/>
      <c r="M17" s="321"/>
      <c r="N17" s="321"/>
      <c r="O17" s="321"/>
      <c r="P17" s="321"/>
      <c r="Q17" s="2225"/>
      <c r="R17" s="2225"/>
      <c r="S17" s="317"/>
      <c r="T17" s="2294" t="s">
        <v>296</v>
      </c>
      <c r="U17" s="2295"/>
      <c r="V17" s="2296"/>
      <c r="W17" s="2296"/>
      <c r="X17" s="2296"/>
    </row>
    <row r="18" spans="1:25" ht="27" customHeight="1" x14ac:dyDescent="0.25">
      <c r="A18" s="100" t="s">
        <v>40</v>
      </c>
      <c r="B18" s="2264">
        <f>C12</f>
        <v>149611</v>
      </c>
      <c r="C18" s="2261"/>
      <c r="D18" s="323">
        <f>E12</f>
        <v>0</v>
      </c>
      <c r="E18" s="323">
        <f>G12</f>
        <v>1650</v>
      </c>
      <c r="F18" s="323">
        <f>I12</f>
        <v>7070</v>
      </c>
      <c r="G18" s="323">
        <f>K12</f>
        <v>0</v>
      </c>
      <c r="H18" s="321">
        <v>16</v>
      </c>
      <c r="I18" s="323">
        <f>U12</f>
        <v>22</v>
      </c>
      <c r="J18" s="321"/>
      <c r="K18" s="323">
        <f>W12</f>
        <v>1</v>
      </c>
      <c r="L18" s="321"/>
      <c r="M18" s="323">
        <f>M12</f>
        <v>0</v>
      </c>
      <c r="N18" s="323">
        <f>O12</f>
        <v>0</v>
      </c>
      <c r="O18" s="322">
        <f>Q12</f>
        <v>0</v>
      </c>
      <c r="P18" s="321"/>
      <c r="Q18" s="2262"/>
      <c r="R18" s="2262"/>
      <c r="S18" s="318"/>
      <c r="T18" s="2254" t="s">
        <v>57</v>
      </c>
      <c r="U18" s="2254"/>
      <c r="V18" s="2262">
        <f>520+630+2600+500</f>
        <v>4250</v>
      </c>
      <c r="W18" s="2262"/>
      <c r="X18" s="2262"/>
      <c r="Y18" s="2269" t="s">
        <v>305</v>
      </c>
    </row>
    <row r="19" spans="1:25" ht="25.5" customHeight="1" x14ac:dyDescent="0.25">
      <c r="A19" s="100" t="s">
        <v>41</v>
      </c>
      <c r="B19" s="2260">
        <f>B15+B16+B17-B18</f>
        <v>280588</v>
      </c>
      <c r="C19" s="2261"/>
      <c r="D19" s="321">
        <f>D15+D16+D17-D18</f>
        <v>0</v>
      </c>
      <c r="E19" s="321">
        <f t="shared" ref="E19:N19" si="13">E15+E16+E17-E18</f>
        <v>2120</v>
      </c>
      <c r="F19" s="321">
        <f t="shared" si="13"/>
        <v>2410</v>
      </c>
      <c r="G19" s="321">
        <f t="shared" si="13"/>
        <v>0</v>
      </c>
      <c r="H19" s="321">
        <f t="shared" si="13"/>
        <v>646</v>
      </c>
      <c r="I19" s="321">
        <f t="shared" si="13"/>
        <v>85</v>
      </c>
      <c r="J19" s="321">
        <f t="shared" si="13"/>
        <v>61</v>
      </c>
      <c r="K19" s="321">
        <f t="shared" si="13"/>
        <v>68</v>
      </c>
      <c r="L19" s="321">
        <f t="shared" si="13"/>
        <v>368</v>
      </c>
      <c r="M19" s="321">
        <f t="shared" si="13"/>
        <v>0</v>
      </c>
      <c r="N19" s="321">
        <f t="shared" si="13"/>
        <v>100</v>
      </c>
      <c r="O19" s="321">
        <f>O15+O16+O17-O18</f>
        <v>0</v>
      </c>
      <c r="P19" s="321">
        <f>P15+P16+P17-P18</f>
        <v>404</v>
      </c>
      <c r="Q19" s="2260">
        <f t="shared" ref="Q19" si="14">Q15+Q16+Q17-Q18</f>
        <v>709</v>
      </c>
      <c r="R19" s="2261"/>
      <c r="S19" s="318">
        <f>S15+S16-S17-S18</f>
        <v>0</v>
      </c>
      <c r="T19" s="2256" t="s">
        <v>48</v>
      </c>
      <c r="U19" s="49" t="s">
        <v>58</v>
      </c>
      <c r="V19" s="2262">
        <v>400000</v>
      </c>
      <c r="W19" s="2262"/>
      <c r="X19" s="2262"/>
      <c r="Y19" s="2269"/>
    </row>
    <row r="20" spans="1:25" ht="23.25" customHeight="1" x14ac:dyDescent="0.25">
      <c r="A20" s="289" t="s">
        <v>187</v>
      </c>
      <c r="B20" s="2286">
        <f>B19*0.9625</f>
        <v>270065.95</v>
      </c>
      <c r="C20" s="2287"/>
      <c r="D20" s="290">
        <f>D19*13.56</f>
        <v>0</v>
      </c>
      <c r="E20" s="290">
        <f>28.2*E19</f>
        <v>59784</v>
      </c>
      <c r="F20" s="290">
        <f>18.31*F19</f>
        <v>44127.1</v>
      </c>
      <c r="G20" s="290">
        <f>19.3*G19</f>
        <v>0</v>
      </c>
      <c r="H20" s="290">
        <f>241*H19</f>
        <v>155686</v>
      </c>
      <c r="I20" s="290">
        <f>223*I19</f>
        <v>18955</v>
      </c>
      <c r="J20" s="290">
        <f>241*J19</f>
        <v>14701</v>
      </c>
      <c r="K20" s="290">
        <f>K19*100</f>
        <v>6800</v>
      </c>
      <c r="L20" s="290">
        <f>241*L19</f>
        <v>88688</v>
      </c>
      <c r="M20" s="290">
        <f>9.65*M19</f>
        <v>0</v>
      </c>
      <c r="N20" s="290">
        <f>N19*48.2</f>
        <v>4820</v>
      </c>
      <c r="O20" s="290">
        <f>241*O19</f>
        <v>0</v>
      </c>
      <c r="P20" s="290">
        <f>241*P19</f>
        <v>97364</v>
      </c>
      <c r="Q20" s="2286">
        <f>241*Q19</f>
        <v>170869</v>
      </c>
      <c r="R20" s="2287"/>
      <c r="S20" s="290">
        <f>241*S19</f>
        <v>0</v>
      </c>
      <c r="T20" s="2257"/>
      <c r="U20" s="49" t="s">
        <v>59</v>
      </c>
      <c r="V20" s="2262"/>
      <c r="W20" s="2262"/>
      <c r="X20" s="2262"/>
      <c r="Y20" s="2269"/>
    </row>
    <row r="21" spans="1:25" ht="32.25" customHeight="1" x14ac:dyDescent="0.25">
      <c r="A21" s="291" t="s">
        <v>186</v>
      </c>
      <c r="B21" s="2293">
        <f>SUM(B20:S20)</f>
        <v>931860.05</v>
      </c>
      <c r="C21" s="2293"/>
      <c r="O21" s="325"/>
      <c r="P21" s="325"/>
      <c r="Q21" s="325"/>
      <c r="R21" s="325"/>
      <c r="T21" s="2294" t="s">
        <v>167</v>
      </c>
      <c r="U21" s="2295"/>
      <c r="V21" s="2297">
        <v>170000</v>
      </c>
      <c r="W21" s="2298"/>
      <c r="X21" s="2299"/>
      <c r="Y21" s="2269"/>
    </row>
    <row r="22" spans="1:25" ht="35.25" customHeight="1" x14ac:dyDescent="0.25">
      <c r="A22" s="15"/>
      <c r="B22" s="2288" t="s">
        <v>49</v>
      </c>
      <c r="C22" s="2291">
        <v>893773</v>
      </c>
      <c r="D22" s="2291">
        <v>400000</v>
      </c>
      <c r="E22" s="2291">
        <v>100000</v>
      </c>
      <c r="F22" s="2291">
        <f>C22-D22+E22</f>
        <v>593773</v>
      </c>
      <c r="G22" s="325"/>
      <c r="Q22" s="325"/>
      <c r="R22" s="325"/>
      <c r="T22" s="2251" t="s">
        <v>83</v>
      </c>
      <c r="U22" s="50" t="s">
        <v>60</v>
      </c>
      <c r="V22" s="2262">
        <v>575760</v>
      </c>
      <c r="W22" s="2262"/>
      <c r="X22" s="2262"/>
      <c r="Y22" s="2269"/>
    </row>
    <row r="23" spans="1:25" ht="39.75" customHeight="1" x14ac:dyDescent="0.25">
      <c r="A23" s="325"/>
      <c r="B23" s="2289"/>
      <c r="C23" s="2292"/>
      <c r="D23" s="2292"/>
      <c r="E23" s="2292"/>
      <c r="F23" s="2292"/>
      <c r="G23" s="325"/>
      <c r="Q23" s="325"/>
      <c r="R23" s="325"/>
      <c r="T23" s="2252"/>
      <c r="U23" s="50" t="s">
        <v>61</v>
      </c>
      <c r="V23" s="2262">
        <v>575400</v>
      </c>
      <c r="W23" s="2262"/>
      <c r="X23" s="2262"/>
      <c r="Y23" s="2269"/>
    </row>
    <row r="24" spans="1:25" ht="48" customHeight="1" x14ac:dyDescent="0.25">
      <c r="A24" s="325"/>
      <c r="B24" s="2290"/>
      <c r="C24" s="290" t="s">
        <v>46</v>
      </c>
      <c r="D24" s="290" t="s">
        <v>50</v>
      </c>
      <c r="E24" s="290" t="s">
        <v>51</v>
      </c>
      <c r="F24" s="290" t="s">
        <v>52</v>
      </c>
      <c r="G24" s="325"/>
      <c r="Q24" s="325"/>
      <c r="R24" s="325"/>
      <c r="T24" s="2235" t="s">
        <v>47</v>
      </c>
      <c r="U24" s="51" t="s">
        <v>62</v>
      </c>
      <c r="V24" s="2263">
        <f>V14+V16+V17-V18-V19-V20-V22+V23-V21</f>
        <v>5285.6975000000093</v>
      </c>
      <c r="W24" s="2263"/>
      <c r="X24" s="2263"/>
      <c r="Y24" s="2269"/>
    </row>
    <row r="25" spans="1:25" ht="40.5" customHeight="1" x14ac:dyDescent="0.25">
      <c r="T25" s="2235"/>
      <c r="U25" s="51" t="s">
        <v>63</v>
      </c>
      <c r="V25" s="2262">
        <f>V15+V22-V23</f>
        <v>23355</v>
      </c>
      <c r="W25" s="2262"/>
      <c r="X25" s="2262"/>
    </row>
    <row r="26" spans="1:25" ht="36" customHeight="1" x14ac:dyDescent="0.25">
      <c r="K26" s="314"/>
    </row>
    <row r="32" spans="1:25" x14ac:dyDescent="0.25">
      <c r="I32" s="2280"/>
      <c r="J32" s="2280"/>
      <c r="K32" s="2280"/>
      <c r="L32" s="2280"/>
    </row>
    <row r="33" spans="9:12" x14ac:dyDescent="0.25">
      <c r="I33" s="325"/>
      <c r="J33" s="325"/>
      <c r="K33" s="2280"/>
      <c r="L33" s="2280"/>
    </row>
  </sheetData>
  <mergeCells count="62">
    <mergeCell ref="A1:Y1"/>
    <mergeCell ref="A2:Y2"/>
    <mergeCell ref="T3:Y3"/>
    <mergeCell ref="A4:A5"/>
    <mergeCell ref="B4:B5"/>
    <mergeCell ref="C4:D4"/>
    <mergeCell ref="E4:F4"/>
    <mergeCell ref="G4:H4"/>
    <mergeCell ref="I4:J4"/>
    <mergeCell ref="K4:L4"/>
    <mergeCell ref="Y4:Y5"/>
    <mergeCell ref="M4:N4"/>
    <mergeCell ref="O4:P4"/>
    <mergeCell ref="Q4:R4"/>
    <mergeCell ref="S4:T4"/>
    <mergeCell ref="U4:V4"/>
    <mergeCell ref="W4:X4"/>
    <mergeCell ref="B16:C16"/>
    <mergeCell ref="Q16:R16"/>
    <mergeCell ref="T16:U16"/>
    <mergeCell ref="V16:X16"/>
    <mergeCell ref="A12:B12"/>
    <mergeCell ref="B14:C14"/>
    <mergeCell ref="Q14:R14"/>
    <mergeCell ref="T14:T15"/>
    <mergeCell ref="V14:X14"/>
    <mergeCell ref="B15:C15"/>
    <mergeCell ref="Q15:R15"/>
    <mergeCell ref="V15:X15"/>
    <mergeCell ref="B17:C17"/>
    <mergeCell ref="Q17:R17"/>
    <mergeCell ref="T17:U17"/>
    <mergeCell ref="V17:X17"/>
    <mergeCell ref="B18:C18"/>
    <mergeCell ref="Q18:R18"/>
    <mergeCell ref="T18:U18"/>
    <mergeCell ref="V18:X18"/>
    <mergeCell ref="Y18:Y24"/>
    <mergeCell ref="B19:C19"/>
    <mergeCell ref="Q19:R19"/>
    <mergeCell ref="T19:T20"/>
    <mergeCell ref="V19:X19"/>
    <mergeCell ref="B20:C20"/>
    <mergeCell ref="B22:B24"/>
    <mergeCell ref="C22:C23"/>
    <mergeCell ref="D22:D23"/>
    <mergeCell ref="E22:E23"/>
    <mergeCell ref="F22:F23"/>
    <mergeCell ref="Q20:R20"/>
    <mergeCell ref="V20:X20"/>
    <mergeCell ref="B21:C21"/>
    <mergeCell ref="T21:U21"/>
    <mergeCell ref="V21:X21"/>
    <mergeCell ref="I32:J32"/>
    <mergeCell ref="K32:L32"/>
    <mergeCell ref="K33:L33"/>
    <mergeCell ref="T22:T23"/>
    <mergeCell ref="V22:X22"/>
    <mergeCell ref="V23:X23"/>
    <mergeCell ref="T24:T25"/>
    <mergeCell ref="V24:X24"/>
    <mergeCell ref="V25:X25"/>
  </mergeCells>
  <pageMargins left="0.15748031496063" right="0.15748031496063" top="0" bottom="0" header="0" footer="0"/>
  <pageSetup paperSize="9" scale="47" orientation="landscape" r:id="rId1"/>
  <legacyDrawing r:id="rId2"/>
</worksheet>
</file>

<file path=xl/worksheets/sheet1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4572F04-0B6F-4116-BD4E-7B09A64A2B59}">
  <sheetPr>
    <pageSetUpPr fitToPage="1"/>
  </sheetPr>
  <dimension ref="A1:Y33"/>
  <sheetViews>
    <sheetView topLeftCell="D4" zoomScale="71" zoomScaleNormal="71" zoomScaleSheetLayoutView="100" workbookViewId="0">
      <selection activeCell="K23" sqref="K23"/>
    </sheetView>
  </sheetViews>
  <sheetFormatPr defaultColWidth="9.140625" defaultRowHeight="15" x14ac:dyDescent="0.25"/>
  <cols>
    <col min="1" max="1" width="18.28515625" style="14" customWidth="1"/>
    <col min="2" max="2" width="10.7109375" style="14" customWidth="1"/>
    <col min="3" max="3" width="12.28515625" style="14" customWidth="1"/>
    <col min="4" max="4" width="11" style="14" customWidth="1"/>
    <col min="5" max="5" width="12" style="14" customWidth="1"/>
    <col min="6" max="6" width="12.5703125" style="14" bestFit="1" customWidth="1"/>
    <col min="7" max="7" width="9.28515625" style="14" bestFit="1" customWidth="1"/>
    <col min="8" max="8" width="10.140625" style="14" bestFit="1" customWidth="1"/>
    <col min="9" max="9" width="10.5703125" style="14" bestFit="1" customWidth="1"/>
    <col min="10" max="10" width="10.5703125" style="14" customWidth="1"/>
    <col min="11" max="11" width="10.28515625" style="14" bestFit="1" customWidth="1"/>
    <col min="12" max="12" width="10.42578125" style="14" bestFit="1" customWidth="1"/>
    <col min="13" max="13" width="9.85546875" style="14" bestFit="1" customWidth="1"/>
    <col min="14" max="14" width="10.140625" style="14" bestFit="1" customWidth="1"/>
    <col min="15" max="15" width="9" style="14" customWidth="1"/>
    <col min="16" max="16" width="12.85546875" style="14" bestFit="1" customWidth="1"/>
    <col min="17" max="18" width="9.42578125" style="14" customWidth="1"/>
    <col min="19" max="19" width="13.7109375" style="14" customWidth="1"/>
    <col min="20" max="20" width="12.140625" style="14" customWidth="1"/>
    <col min="21" max="21" width="19.5703125" style="14" bestFit="1" customWidth="1"/>
    <col min="22" max="22" width="9.85546875" style="14" customWidth="1"/>
    <col min="23" max="23" width="10.140625" style="14" bestFit="1" customWidth="1"/>
    <col min="24" max="24" width="10.28515625" style="14" customWidth="1"/>
    <col min="25" max="25" width="28" style="14" customWidth="1"/>
    <col min="26" max="16384" width="9.140625" style="14"/>
  </cols>
  <sheetData>
    <row r="1" spans="1:25" ht="46.15" customHeight="1" x14ac:dyDescent="0.25">
      <c r="A1" s="2240" t="s">
        <v>148</v>
      </c>
      <c r="B1" s="2240"/>
      <c r="C1" s="2240"/>
      <c r="D1" s="2240"/>
      <c r="E1" s="2240"/>
      <c r="F1" s="2240"/>
      <c r="G1" s="2240"/>
      <c r="H1" s="2240"/>
      <c r="I1" s="2240"/>
      <c r="J1" s="2240"/>
      <c r="K1" s="2240"/>
      <c r="L1" s="2240"/>
      <c r="M1" s="2240"/>
      <c r="N1" s="2240"/>
      <c r="O1" s="2240"/>
      <c r="P1" s="2240"/>
      <c r="Q1" s="2240"/>
      <c r="R1" s="2240"/>
      <c r="S1" s="2240"/>
      <c r="T1" s="2240"/>
      <c r="U1" s="2240"/>
      <c r="V1" s="2240"/>
      <c r="W1" s="2240"/>
      <c r="X1" s="2240"/>
      <c r="Y1" s="2240"/>
    </row>
    <row r="2" spans="1:25" ht="21.6" customHeight="1" x14ac:dyDescent="0.25">
      <c r="A2" s="2241" t="s">
        <v>77</v>
      </c>
      <c r="B2" s="2241"/>
      <c r="C2" s="2241"/>
      <c r="D2" s="2241"/>
      <c r="E2" s="2241"/>
      <c r="F2" s="2241"/>
      <c r="G2" s="2241"/>
      <c r="H2" s="2241"/>
      <c r="I2" s="2241"/>
      <c r="J2" s="2241"/>
      <c r="K2" s="2241"/>
      <c r="L2" s="2241"/>
      <c r="M2" s="2241"/>
      <c r="N2" s="2241"/>
      <c r="O2" s="2241"/>
      <c r="P2" s="2241"/>
      <c r="Q2" s="2241"/>
      <c r="R2" s="2241"/>
      <c r="S2" s="2241"/>
      <c r="T2" s="2241"/>
      <c r="U2" s="2241"/>
      <c r="V2" s="2241"/>
      <c r="W2" s="2241"/>
      <c r="X2" s="2241"/>
      <c r="Y2" s="2241"/>
    </row>
    <row r="3" spans="1:25" ht="21" customHeight="1" x14ac:dyDescent="0.25">
      <c r="A3" s="320"/>
      <c r="B3" s="320"/>
      <c r="C3" s="320"/>
      <c r="D3" s="320"/>
      <c r="E3" s="320"/>
      <c r="F3" s="320"/>
      <c r="G3" s="320"/>
      <c r="H3" s="320"/>
      <c r="I3" s="320"/>
      <c r="J3" s="320"/>
      <c r="K3" s="320"/>
      <c r="L3" s="320"/>
      <c r="M3" s="320"/>
      <c r="N3" s="320"/>
      <c r="O3" s="320"/>
      <c r="P3" s="320"/>
      <c r="Q3" s="320"/>
      <c r="R3" s="320"/>
      <c r="S3" s="320"/>
      <c r="T3" s="2242" t="s">
        <v>306</v>
      </c>
      <c r="U3" s="2242"/>
      <c r="V3" s="2242"/>
      <c r="W3" s="2242"/>
      <c r="X3" s="2242"/>
      <c r="Y3" s="2242"/>
    </row>
    <row r="4" spans="1:25" s="320" customFormat="1" ht="18" customHeight="1" x14ac:dyDescent="0.25">
      <c r="A4" s="2243" t="s">
        <v>25</v>
      </c>
      <c r="B4" s="2243" t="s">
        <v>26</v>
      </c>
      <c r="C4" s="2244" t="s">
        <v>27</v>
      </c>
      <c r="D4" s="2244"/>
      <c r="E4" s="2244" t="s">
        <v>28</v>
      </c>
      <c r="F4" s="2244"/>
      <c r="G4" s="2244" t="s">
        <v>65</v>
      </c>
      <c r="H4" s="2244"/>
      <c r="I4" s="2244" t="s">
        <v>29</v>
      </c>
      <c r="J4" s="2244"/>
      <c r="K4" s="2245" t="s">
        <v>13</v>
      </c>
      <c r="L4" s="2246"/>
      <c r="M4" s="2245" t="s">
        <v>67</v>
      </c>
      <c r="N4" s="2246"/>
      <c r="O4" s="2245" t="s">
        <v>68</v>
      </c>
      <c r="P4" s="2246"/>
      <c r="Q4" s="2245" t="s">
        <v>114</v>
      </c>
      <c r="R4" s="2246"/>
      <c r="S4" s="2244" t="s">
        <v>35</v>
      </c>
      <c r="T4" s="2244"/>
      <c r="U4" s="2245" t="s">
        <v>17</v>
      </c>
      <c r="V4" s="2246"/>
      <c r="W4" s="2247" t="s">
        <v>36</v>
      </c>
      <c r="X4" s="2248"/>
      <c r="Y4" s="2238" t="s">
        <v>30</v>
      </c>
    </row>
    <row r="5" spans="1:25" s="320" customFormat="1" ht="25.5" customHeight="1" x14ac:dyDescent="0.25">
      <c r="A5" s="2243"/>
      <c r="B5" s="2243"/>
      <c r="C5" s="319" t="s">
        <v>42</v>
      </c>
      <c r="D5" s="319" t="s">
        <v>43</v>
      </c>
      <c r="E5" s="319" t="s">
        <v>42</v>
      </c>
      <c r="F5" s="319" t="s">
        <v>43</v>
      </c>
      <c r="G5" s="319" t="s">
        <v>42</v>
      </c>
      <c r="H5" s="319" t="s">
        <v>43</v>
      </c>
      <c r="I5" s="319" t="s">
        <v>42</v>
      </c>
      <c r="J5" s="319" t="s">
        <v>43</v>
      </c>
      <c r="K5" s="319" t="s">
        <v>42</v>
      </c>
      <c r="L5" s="319" t="s">
        <v>43</v>
      </c>
      <c r="M5" s="319" t="s">
        <v>42</v>
      </c>
      <c r="N5" s="319" t="s">
        <v>43</v>
      </c>
      <c r="O5" s="319" t="s">
        <v>42</v>
      </c>
      <c r="P5" s="319" t="s">
        <v>43</v>
      </c>
      <c r="Q5" s="319" t="s">
        <v>42</v>
      </c>
      <c r="R5" s="319" t="s">
        <v>43</v>
      </c>
      <c r="S5" s="33" t="s">
        <v>42</v>
      </c>
      <c r="T5" s="33" t="s">
        <v>43</v>
      </c>
      <c r="U5" s="30" t="s">
        <v>42</v>
      </c>
      <c r="V5" s="30" t="s">
        <v>43</v>
      </c>
      <c r="W5" s="30" t="s">
        <v>42</v>
      </c>
      <c r="X5" s="30" t="s">
        <v>43</v>
      </c>
      <c r="Y5" s="2239"/>
    </row>
    <row r="6" spans="1:25" ht="34.5" customHeight="1" x14ac:dyDescent="0.25">
      <c r="A6" s="12">
        <v>1409935200</v>
      </c>
      <c r="B6" s="318" t="s">
        <v>71</v>
      </c>
      <c r="C6" s="316">
        <v>99376</v>
      </c>
      <c r="D6" s="315">
        <f>0.9725*C6</f>
        <v>96643.16</v>
      </c>
      <c r="E6" s="316"/>
      <c r="F6" s="316">
        <f>13.7*E6</f>
        <v>0</v>
      </c>
      <c r="G6" s="316"/>
      <c r="H6" s="316">
        <f>28.2*G6</f>
        <v>0</v>
      </c>
      <c r="I6" s="316">
        <v>50</v>
      </c>
      <c r="J6" s="316">
        <f>18.5*I6</f>
        <v>925</v>
      </c>
      <c r="K6" s="316"/>
      <c r="L6" s="316">
        <f>19.5*K6</f>
        <v>0</v>
      </c>
      <c r="M6" s="316"/>
      <c r="N6" s="315">
        <f>M6*9.75</f>
        <v>0</v>
      </c>
      <c r="O6" s="316"/>
      <c r="P6" s="315">
        <f>O6*48.62</f>
        <v>0</v>
      </c>
      <c r="Q6" s="315"/>
      <c r="R6" s="315">
        <f>241*Q6</f>
        <v>0</v>
      </c>
      <c r="S6" s="316">
        <v>2</v>
      </c>
      <c r="T6" s="316">
        <f>241*S6</f>
        <v>482</v>
      </c>
      <c r="U6" s="316"/>
      <c r="V6" s="316">
        <f>232*U6</f>
        <v>0</v>
      </c>
      <c r="W6" s="316"/>
      <c r="X6" s="19">
        <f>W6*100</f>
        <v>0</v>
      </c>
      <c r="Y6" s="89">
        <f t="shared" ref="Y6:Y11" si="0">D6+F6+H6+J6+L6+N6+P6+R6+T6+V6+X6</f>
        <v>98050.16</v>
      </c>
    </row>
    <row r="7" spans="1:25" ht="31.5" customHeight="1" x14ac:dyDescent="0.25">
      <c r="A7" s="12">
        <v>1984225578</v>
      </c>
      <c r="B7" s="318" t="s">
        <v>72</v>
      </c>
      <c r="C7" s="316">
        <v>75364</v>
      </c>
      <c r="D7" s="315">
        <f t="shared" ref="D7:D11" si="1">0.9725*C7</f>
        <v>73291.490000000005</v>
      </c>
      <c r="E7" s="316"/>
      <c r="F7" s="316">
        <f t="shared" ref="F7:F11" si="2">13.7*E7</f>
        <v>0</v>
      </c>
      <c r="G7" s="316">
        <v>180</v>
      </c>
      <c r="H7" s="316">
        <f t="shared" ref="H7:H11" si="3">28.2*G7</f>
        <v>5076</v>
      </c>
      <c r="I7" s="316">
        <v>390</v>
      </c>
      <c r="J7" s="316">
        <f t="shared" ref="J7:J11" si="4">18.5*I7</f>
        <v>7215</v>
      </c>
      <c r="K7" s="316"/>
      <c r="L7" s="316">
        <f t="shared" ref="L7:L11" si="5">19.5*K7</f>
        <v>0</v>
      </c>
      <c r="M7" s="316"/>
      <c r="N7" s="315">
        <f t="shared" ref="N7:N11" si="6">M7*9.75</f>
        <v>0</v>
      </c>
      <c r="O7" s="316"/>
      <c r="P7" s="315">
        <f t="shared" ref="P7:P11" si="7">O7*48.62</f>
        <v>0</v>
      </c>
      <c r="Q7" s="315"/>
      <c r="R7" s="315">
        <f t="shared" ref="R7:R11" si="8">241*Q7</f>
        <v>0</v>
      </c>
      <c r="S7" s="316">
        <v>10</v>
      </c>
      <c r="T7" s="316">
        <f t="shared" ref="T7:T11" si="9">241*S7</f>
        <v>2410</v>
      </c>
      <c r="U7" s="316">
        <v>20</v>
      </c>
      <c r="V7" s="316">
        <f t="shared" ref="V7:V11" si="10">232*U7</f>
        <v>4640</v>
      </c>
      <c r="W7" s="316"/>
      <c r="X7" s="19">
        <f t="shared" ref="X7:X11" si="11">W7*100</f>
        <v>0</v>
      </c>
      <c r="Y7" s="89">
        <f t="shared" si="0"/>
        <v>92632.49</v>
      </c>
    </row>
    <row r="8" spans="1:25" ht="35.25" customHeight="1" x14ac:dyDescent="0.25">
      <c r="A8" s="12">
        <v>1967020280</v>
      </c>
      <c r="B8" s="318" t="s">
        <v>73</v>
      </c>
      <c r="C8" s="316">
        <v>71212</v>
      </c>
      <c r="D8" s="315">
        <f t="shared" si="1"/>
        <v>69253.67</v>
      </c>
      <c r="E8" s="316"/>
      <c r="F8" s="316">
        <f t="shared" si="2"/>
        <v>0</v>
      </c>
      <c r="G8" s="316"/>
      <c r="H8" s="316">
        <f t="shared" si="3"/>
        <v>0</v>
      </c>
      <c r="I8" s="316">
        <v>920</v>
      </c>
      <c r="J8" s="316">
        <f t="shared" si="4"/>
        <v>17020</v>
      </c>
      <c r="K8" s="316"/>
      <c r="L8" s="316">
        <f t="shared" si="5"/>
        <v>0</v>
      </c>
      <c r="M8" s="316"/>
      <c r="N8" s="315">
        <f t="shared" si="6"/>
        <v>0</v>
      </c>
      <c r="O8" s="316"/>
      <c r="P8" s="315">
        <f t="shared" si="7"/>
        <v>0</v>
      </c>
      <c r="Q8" s="315"/>
      <c r="R8" s="315">
        <f t="shared" si="8"/>
        <v>0</v>
      </c>
      <c r="S8" s="316"/>
      <c r="T8" s="316">
        <f t="shared" si="9"/>
        <v>0</v>
      </c>
      <c r="U8" s="316"/>
      <c r="V8" s="316">
        <f t="shared" si="10"/>
        <v>0</v>
      </c>
      <c r="W8" s="316"/>
      <c r="X8" s="19">
        <f t="shared" si="11"/>
        <v>0</v>
      </c>
      <c r="Y8" s="89">
        <f t="shared" si="0"/>
        <v>86273.67</v>
      </c>
    </row>
    <row r="9" spans="1:25" ht="38.25" customHeight="1" x14ac:dyDescent="0.25">
      <c r="A9" s="12">
        <v>1984225580</v>
      </c>
      <c r="B9" s="318" t="s">
        <v>75</v>
      </c>
      <c r="C9" s="316">
        <v>78305</v>
      </c>
      <c r="D9" s="315">
        <f t="shared" si="1"/>
        <v>76151.612500000003</v>
      </c>
      <c r="E9" s="316"/>
      <c r="F9" s="316">
        <f t="shared" si="2"/>
        <v>0</v>
      </c>
      <c r="G9" s="316"/>
      <c r="H9" s="316">
        <f t="shared" si="3"/>
        <v>0</v>
      </c>
      <c r="I9" s="316"/>
      <c r="J9" s="316">
        <f t="shared" si="4"/>
        <v>0</v>
      </c>
      <c r="K9" s="316"/>
      <c r="L9" s="316">
        <f t="shared" si="5"/>
        <v>0</v>
      </c>
      <c r="M9" s="316"/>
      <c r="N9" s="315">
        <f t="shared" si="6"/>
        <v>0</v>
      </c>
      <c r="O9" s="316"/>
      <c r="P9" s="315">
        <f t="shared" si="7"/>
        <v>0</v>
      </c>
      <c r="Q9" s="315"/>
      <c r="R9" s="315">
        <f t="shared" si="8"/>
        <v>0</v>
      </c>
      <c r="S9" s="316"/>
      <c r="T9" s="316">
        <f t="shared" si="9"/>
        <v>0</v>
      </c>
      <c r="U9" s="316"/>
      <c r="V9" s="316">
        <f t="shared" si="10"/>
        <v>0</v>
      </c>
      <c r="W9" s="316"/>
      <c r="X9" s="19">
        <f t="shared" si="11"/>
        <v>0</v>
      </c>
      <c r="Y9" s="89">
        <f t="shared" si="0"/>
        <v>76151.612500000003</v>
      </c>
    </row>
    <row r="10" spans="1:25" ht="35.25" customHeight="1" x14ac:dyDescent="0.25">
      <c r="A10" s="12">
        <v>1409935199</v>
      </c>
      <c r="C10" s="316"/>
      <c r="D10" s="315">
        <f t="shared" si="1"/>
        <v>0</v>
      </c>
      <c r="E10" s="316"/>
      <c r="F10" s="316">
        <f t="shared" si="2"/>
        <v>0</v>
      </c>
      <c r="G10" s="316"/>
      <c r="H10" s="316">
        <f t="shared" si="3"/>
        <v>0</v>
      </c>
      <c r="I10" s="316"/>
      <c r="J10" s="316">
        <f t="shared" si="4"/>
        <v>0</v>
      </c>
      <c r="K10" s="316"/>
      <c r="L10" s="316">
        <f t="shared" si="5"/>
        <v>0</v>
      </c>
      <c r="M10" s="316"/>
      <c r="N10" s="315">
        <f t="shared" si="6"/>
        <v>0</v>
      </c>
      <c r="O10" s="316"/>
      <c r="P10" s="315">
        <f t="shared" si="7"/>
        <v>0</v>
      </c>
      <c r="Q10" s="315"/>
      <c r="R10" s="315">
        <f t="shared" si="8"/>
        <v>0</v>
      </c>
      <c r="S10" s="316"/>
      <c r="T10" s="316">
        <f t="shared" si="9"/>
        <v>0</v>
      </c>
      <c r="U10" s="316"/>
      <c r="V10" s="316">
        <f t="shared" si="10"/>
        <v>0</v>
      </c>
      <c r="W10" s="316"/>
      <c r="X10" s="19">
        <f t="shared" si="11"/>
        <v>0</v>
      </c>
      <c r="Y10" s="89">
        <f t="shared" si="0"/>
        <v>0</v>
      </c>
    </row>
    <row r="11" spans="1:25" ht="37.5" customHeight="1" x14ac:dyDescent="0.25">
      <c r="A11" s="12"/>
      <c r="B11" s="317"/>
      <c r="C11" s="316"/>
      <c r="D11" s="22">
        <f t="shared" si="1"/>
        <v>0</v>
      </c>
      <c r="E11" s="316"/>
      <c r="F11" s="316">
        <f t="shared" si="2"/>
        <v>0</v>
      </c>
      <c r="G11" s="316"/>
      <c r="H11" s="316">
        <f t="shared" si="3"/>
        <v>0</v>
      </c>
      <c r="I11" s="316"/>
      <c r="J11" s="316">
        <f t="shared" si="4"/>
        <v>0</v>
      </c>
      <c r="K11" s="316"/>
      <c r="L11" s="316">
        <f t="shared" si="5"/>
        <v>0</v>
      </c>
      <c r="M11" s="316"/>
      <c r="N11" s="315">
        <f t="shared" si="6"/>
        <v>0</v>
      </c>
      <c r="O11" s="316"/>
      <c r="P11" s="315">
        <f t="shared" si="7"/>
        <v>0</v>
      </c>
      <c r="Q11" s="315"/>
      <c r="R11" s="315">
        <f t="shared" si="8"/>
        <v>0</v>
      </c>
      <c r="S11" s="316"/>
      <c r="T11" s="316">
        <f t="shared" si="9"/>
        <v>0</v>
      </c>
      <c r="U11" s="316"/>
      <c r="V11" s="316">
        <f t="shared" si="10"/>
        <v>0</v>
      </c>
      <c r="W11" s="316"/>
      <c r="X11" s="19">
        <f t="shared" si="11"/>
        <v>0</v>
      </c>
      <c r="Y11" s="20">
        <f t="shared" si="0"/>
        <v>0</v>
      </c>
    </row>
    <row r="12" spans="1:25" ht="29.25" customHeight="1" x14ac:dyDescent="0.25">
      <c r="A12" s="2235" t="s">
        <v>31</v>
      </c>
      <c r="B12" s="2235"/>
      <c r="C12" s="18">
        <f t="shared" ref="C12:Y12" si="12">SUM(C6:C11)</f>
        <v>324257</v>
      </c>
      <c r="D12" s="18">
        <f t="shared" si="12"/>
        <v>315339.9325</v>
      </c>
      <c r="E12" s="18">
        <f t="shared" si="12"/>
        <v>0</v>
      </c>
      <c r="F12" s="18">
        <f t="shared" si="12"/>
        <v>0</v>
      </c>
      <c r="G12" s="18">
        <f t="shared" si="12"/>
        <v>180</v>
      </c>
      <c r="H12" s="18">
        <f t="shared" si="12"/>
        <v>5076</v>
      </c>
      <c r="I12" s="18">
        <f t="shared" si="12"/>
        <v>1360</v>
      </c>
      <c r="J12" s="18">
        <f t="shared" si="12"/>
        <v>25160</v>
      </c>
      <c r="K12" s="18">
        <f t="shared" si="12"/>
        <v>0</v>
      </c>
      <c r="L12" s="18">
        <f t="shared" si="12"/>
        <v>0</v>
      </c>
      <c r="M12" s="18">
        <f t="shared" si="12"/>
        <v>0</v>
      </c>
      <c r="N12" s="23">
        <f t="shared" si="12"/>
        <v>0</v>
      </c>
      <c r="O12" s="18">
        <f t="shared" si="12"/>
        <v>0</v>
      </c>
      <c r="P12" s="23">
        <f t="shared" si="12"/>
        <v>0</v>
      </c>
      <c r="Q12" s="23">
        <f t="shared" si="12"/>
        <v>0</v>
      </c>
      <c r="R12" s="23">
        <f>SUM(R6:R11)</f>
        <v>0</v>
      </c>
      <c r="S12" s="18">
        <f t="shared" si="12"/>
        <v>12</v>
      </c>
      <c r="T12" s="18">
        <f t="shared" si="12"/>
        <v>2892</v>
      </c>
      <c r="U12" s="18">
        <f t="shared" si="12"/>
        <v>20</v>
      </c>
      <c r="V12" s="18">
        <f t="shared" si="12"/>
        <v>4640</v>
      </c>
      <c r="W12" s="18">
        <f t="shared" si="12"/>
        <v>0</v>
      </c>
      <c r="X12" s="18">
        <f t="shared" si="12"/>
        <v>0</v>
      </c>
      <c r="Y12" s="18">
        <f t="shared" si="12"/>
        <v>353107.9325</v>
      </c>
    </row>
    <row r="14" spans="1:25" ht="41.25" customHeight="1" x14ac:dyDescent="0.25">
      <c r="A14" s="30" t="s">
        <v>32</v>
      </c>
      <c r="B14" s="2236" t="s">
        <v>27</v>
      </c>
      <c r="C14" s="2236"/>
      <c r="D14" s="30" t="s">
        <v>33</v>
      </c>
      <c r="E14" s="30" t="s">
        <v>65</v>
      </c>
      <c r="F14" s="30" t="s">
        <v>34</v>
      </c>
      <c r="G14" s="30" t="s">
        <v>13</v>
      </c>
      <c r="H14" s="142" t="s">
        <v>173</v>
      </c>
      <c r="I14" s="30" t="s">
        <v>17</v>
      </c>
      <c r="J14" s="324" t="s">
        <v>174</v>
      </c>
      <c r="K14" s="30" t="s">
        <v>36</v>
      </c>
      <c r="L14" s="30" t="s">
        <v>175</v>
      </c>
      <c r="M14" s="30" t="s">
        <v>69</v>
      </c>
      <c r="N14" s="30" t="s">
        <v>70</v>
      </c>
      <c r="O14" s="324" t="s">
        <v>114</v>
      </c>
      <c r="P14" s="324" t="s">
        <v>99</v>
      </c>
      <c r="Q14" s="2272" t="s">
        <v>301</v>
      </c>
      <c r="R14" s="2272"/>
      <c r="S14" s="324"/>
      <c r="T14" s="2235" t="s">
        <v>46</v>
      </c>
      <c r="U14" s="318" t="s">
        <v>176</v>
      </c>
      <c r="V14" s="2260">
        <v>5286</v>
      </c>
      <c r="W14" s="2268"/>
      <c r="X14" s="2261"/>
    </row>
    <row r="15" spans="1:25" ht="22.5" customHeight="1" x14ac:dyDescent="0.25">
      <c r="A15" s="100" t="s">
        <v>38</v>
      </c>
      <c r="B15" s="2260">
        <v>280588</v>
      </c>
      <c r="C15" s="2261"/>
      <c r="D15" s="321">
        <v>0</v>
      </c>
      <c r="E15" s="321">
        <v>2120</v>
      </c>
      <c r="F15" s="321">
        <v>2410</v>
      </c>
      <c r="G15" s="321">
        <v>0</v>
      </c>
      <c r="H15" s="321">
        <v>646</v>
      </c>
      <c r="I15" s="321">
        <v>85</v>
      </c>
      <c r="J15" s="321">
        <v>61</v>
      </c>
      <c r="K15" s="321">
        <v>68</v>
      </c>
      <c r="L15" s="321">
        <v>368</v>
      </c>
      <c r="M15" s="321">
        <v>0</v>
      </c>
      <c r="N15" s="321">
        <v>100</v>
      </c>
      <c r="O15" s="321">
        <v>0</v>
      </c>
      <c r="P15" s="321">
        <v>404</v>
      </c>
      <c r="Q15" s="2262">
        <v>709</v>
      </c>
      <c r="R15" s="2262"/>
      <c r="S15" s="318">
        <v>0</v>
      </c>
      <c r="T15" s="2235"/>
      <c r="U15" s="318" t="s">
        <v>64</v>
      </c>
      <c r="V15" s="2262">
        <v>23355</v>
      </c>
      <c r="W15" s="2262"/>
      <c r="X15" s="2262"/>
    </row>
    <row r="16" spans="1:25" ht="24.75" customHeight="1" x14ac:dyDescent="0.25">
      <c r="A16" s="100" t="s">
        <v>39</v>
      </c>
      <c r="B16" s="2260">
        <v>301292</v>
      </c>
      <c r="C16" s="2261"/>
      <c r="D16" s="321"/>
      <c r="E16" s="321"/>
      <c r="F16" s="321"/>
      <c r="G16" s="321"/>
      <c r="H16" s="321"/>
      <c r="I16" s="321"/>
      <c r="J16" s="321"/>
      <c r="K16" s="321"/>
      <c r="L16" s="321">
        <v>40</v>
      </c>
      <c r="M16" s="321"/>
      <c r="N16" s="321"/>
      <c r="O16" s="321"/>
      <c r="P16" s="321"/>
      <c r="Q16" s="2225"/>
      <c r="R16" s="2225"/>
      <c r="S16" s="321"/>
      <c r="T16" s="2254" t="s">
        <v>55</v>
      </c>
      <c r="U16" s="2254"/>
      <c r="V16" s="2267">
        <f>Y12</f>
        <v>353107.9325</v>
      </c>
      <c r="W16" s="2267"/>
      <c r="X16" s="2262"/>
    </row>
    <row r="17" spans="1:25" ht="28.5" customHeight="1" x14ac:dyDescent="0.25">
      <c r="A17" s="101" t="s">
        <v>44</v>
      </c>
      <c r="B17" s="2260"/>
      <c r="C17" s="2261"/>
      <c r="D17" s="321"/>
      <c r="E17" s="321"/>
      <c r="F17" s="321"/>
      <c r="G17" s="321"/>
      <c r="H17" s="321"/>
      <c r="I17" s="321"/>
      <c r="J17" s="321"/>
      <c r="K17" s="321"/>
      <c r="L17" s="321"/>
      <c r="M17" s="321"/>
      <c r="N17" s="321"/>
      <c r="O17" s="321"/>
      <c r="P17" s="321"/>
      <c r="Q17" s="2225"/>
      <c r="R17" s="2225"/>
      <c r="S17" s="317"/>
      <c r="T17" s="2294" t="s">
        <v>296</v>
      </c>
      <c r="U17" s="2295"/>
      <c r="V17" s="2296"/>
      <c r="W17" s="2296"/>
      <c r="X17" s="2296"/>
    </row>
    <row r="18" spans="1:25" ht="27" customHeight="1" x14ac:dyDescent="0.25">
      <c r="A18" s="100" t="s">
        <v>40</v>
      </c>
      <c r="B18" s="2264">
        <f>C12</f>
        <v>324257</v>
      </c>
      <c r="C18" s="2261"/>
      <c r="D18" s="323">
        <f>E12</f>
        <v>0</v>
      </c>
      <c r="E18" s="323">
        <f>G12</f>
        <v>180</v>
      </c>
      <c r="F18" s="323">
        <f>I12</f>
        <v>1360</v>
      </c>
      <c r="G18" s="323">
        <f>K12</f>
        <v>0</v>
      </c>
      <c r="H18" s="321">
        <v>52</v>
      </c>
      <c r="I18" s="323">
        <f>U12</f>
        <v>20</v>
      </c>
      <c r="J18" s="321"/>
      <c r="K18" s="323">
        <f>W12</f>
        <v>0</v>
      </c>
      <c r="L18" s="321"/>
      <c r="M18" s="323">
        <f>M12</f>
        <v>0</v>
      </c>
      <c r="N18" s="323">
        <f>O12</f>
        <v>0</v>
      </c>
      <c r="O18" s="322">
        <f>Q12</f>
        <v>0</v>
      </c>
      <c r="P18" s="321"/>
      <c r="Q18" s="2262"/>
      <c r="R18" s="2262"/>
      <c r="S18" s="318"/>
      <c r="T18" s="2254" t="s">
        <v>57</v>
      </c>
      <c r="U18" s="2254"/>
      <c r="V18" s="2262">
        <f>520+60+60+300</f>
        <v>940</v>
      </c>
      <c r="W18" s="2262"/>
      <c r="X18" s="2262"/>
      <c r="Y18" s="2269" t="s">
        <v>291</v>
      </c>
    </row>
    <row r="19" spans="1:25" ht="25.5" customHeight="1" x14ac:dyDescent="0.25">
      <c r="A19" s="100" t="s">
        <v>41</v>
      </c>
      <c r="B19" s="2260">
        <f>B15+B16+B17-B18</f>
        <v>257623</v>
      </c>
      <c r="C19" s="2261"/>
      <c r="D19" s="321">
        <f>D15+D16+D17-D18</f>
        <v>0</v>
      </c>
      <c r="E19" s="321">
        <f t="shared" ref="E19:N19" si="13">E15+E16+E17-E18</f>
        <v>1940</v>
      </c>
      <c r="F19" s="321">
        <f t="shared" si="13"/>
        <v>1050</v>
      </c>
      <c r="G19" s="321">
        <f t="shared" si="13"/>
        <v>0</v>
      </c>
      <c r="H19" s="321">
        <f t="shared" si="13"/>
        <v>594</v>
      </c>
      <c r="I19" s="321">
        <f t="shared" si="13"/>
        <v>65</v>
      </c>
      <c r="J19" s="321">
        <f t="shared" si="13"/>
        <v>61</v>
      </c>
      <c r="K19" s="321">
        <f t="shared" si="13"/>
        <v>68</v>
      </c>
      <c r="L19" s="321">
        <f t="shared" si="13"/>
        <v>408</v>
      </c>
      <c r="M19" s="321">
        <f t="shared" si="13"/>
        <v>0</v>
      </c>
      <c r="N19" s="321">
        <f t="shared" si="13"/>
        <v>100</v>
      </c>
      <c r="O19" s="321">
        <f>O15+O16+O17-O18</f>
        <v>0</v>
      </c>
      <c r="P19" s="321">
        <f>P15+P16+P17-P18</f>
        <v>404</v>
      </c>
      <c r="Q19" s="2260">
        <f t="shared" ref="Q19" si="14">Q15+Q16+Q17-Q18</f>
        <v>709</v>
      </c>
      <c r="R19" s="2261"/>
      <c r="S19" s="318">
        <f>S15+S16-S17-S18</f>
        <v>0</v>
      </c>
      <c r="T19" s="2256" t="s">
        <v>48</v>
      </c>
      <c r="U19" s="49" t="s">
        <v>58</v>
      </c>
      <c r="V19" s="2262">
        <v>366830</v>
      </c>
      <c r="W19" s="2262"/>
      <c r="X19" s="2262"/>
      <c r="Y19" s="2269"/>
    </row>
    <row r="20" spans="1:25" ht="23.25" customHeight="1" x14ac:dyDescent="0.25">
      <c r="A20" s="289" t="s">
        <v>187</v>
      </c>
      <c r="B20" s="2286">
        <f>B19*0.9625</f>
        <v>247962.13750000001</v>
      </c>
      <c r="C20" s="2287"/>
      <c r="D20" s="290">
        <f>D19*13.56</f>
        <v>0</v>
      </c>
      <c r="E20" s="290">
        <f>28.2*E19</f>
        <v>54708</v>
      </c>
      <c r="F20" s="290">
        <f>18.31*F19</f>
        <v>19225.5</v>
      </c>
      <c r="G20" s="290">
        <f>19.3*G19</f>
        <v>0</v>
      </c>
      <c r="H20" s="290">
        <f>241*H19</f>
        <v>143154</v>
      </c>
      <c r="I20" s="290">
        <f>223*I19</f>
        <v>14495</v>
      </c>
      <c r="J20" s="290">
        <f>241*J19</f>
        <v>14701</v>
      </c>
      <c r="K20" s="290">
        <f>K19*100</f>
        <v>6800</v>
      </c>
      <c r="L20" s="290">
        <f>241*L19</f>
        <v>98328</v>
      </c>
      <c r="M20" s="290">
        <f>9.65*M19</f>
        <v>0</v>
      </c>
      <c r="N20" s="290">
        <f>N19*48.2</f>
        <v>4820</v>
      </c>
      <c r="O20" s="290">
        <f>241*O19</f>
        <v>0</v>
      </c>
      <c r="P20" s="290">
        <f>241*P19</f>
        <v>97364</v>
      </c>
      <c r="Q20" s="2286">
        <f>241*Q19</f>
        <v>170869</v>
      </c>
      <c r="R20" s="2287"/>
      <c r="S20" s="290">
        <f>241*S19</f>
        <v>0</v>
      </c>
      <c r="T20" s="2257"/>
      <c r="U20" s="49" t="s">
        <v>59</v>
      </c>
      <c r="V20" s="2262"/>
      <c r="W20" s="2262"/>
      <c r="X20" s="2262"/>
      <c r="Y20" s="2269"/>
    </row>
    <row r="21" spans="1:25" ht="32.25" customHeight="1" x14ac:dyDescent="0.25">
      <c r="A21" s="291" t="s">
        <v>186</v>
      </c>
      <c r="B21" s="2293">
        <f>SUM(B20:S20)</f>
        <v>872426.63749999995</v>
      </c>
      <c r="C21" s="2293"/>
      <c r="O21" s="325"/>
      <c r="P21" s="325"/>
      <c r="Q21" s="325"/>
      <c r="R21" s="325"/>
      <c r="T21" s="2294" t="s">
        <v>167</v>
      </c>
      <c r="U21" s="2295"/>
      <c r="V21" s="2297"/>
      <c r="W21" s="2298"/>
      <c r="X21" s="2299"/>
      <c r="Y21" s="2269"/>
    </row>
    <row r="22" spans="1:25" ht="35.25" customHeight="1" x14ac:dyDescent="0.25">
      <c r="A22" s="15"/>
      <c r="B22" s="2288" t="s">
        <v>49</v>
      </c>
      <c r="C22" s="2291">
        <v>593773</v>
      </c>
      <c r="D22" s="2291">
        <v>366830</v>
      </c>
      <c r="E22" s="2291">
        <v>290000</v>
      </c>
      <c r="F22" s="2291">
        <f>C22-D22+E22</f>
        <v>516943</v>
      </c>
      <c r="G22" s="325"/>
      <c r="Q22" s="325"/>
      <c r="R22" s="325"/>
      <c r="T22" s="2251" t="s">
        <v>83</v>
      </c>
      <c r="U22" s="50" t="s">
        <v>60</v>
      </c>
      <c r="V22" s="2262">
        <v>356500</v>
      </c>
      <c r="W22" s="2262"/>
      <c r="X22" s="2262"/>
      <c r="Y22" s="2269"/>
    </row>
    <row r="23" spans="1:25" ht="39.75" customHeight="1" x14ac:dyDescent="0.25">
      <c r="A23" s="325"/>
      <c r="B23" s="2289"/>
      <c r="C23" s="2292"/>
      <c r="D23" s="2292"/>
      <c r="E23" s="2292"/>
      <c r="F23" s="2292"/>
      <c r="G23" s="325"/>
      <c r="Q23" s="325"/>
      <c r="R23" s="325"/>
      <c r="T23" s="2252"/>
      <c r="U23" s="50" t="s">
        <v>61</v>
      </c>
      <c r="V23" s="2262">
        <v>366830</v>
      </c>
      <c r="W23" s="2262"/>
      <c r="X23" s="2262"/>
      <c r="Y23" s="2269"/>
    </row>
    <row r="24" spans="1:25" ht="48" customHeight="1" x14ac:dyDescent="0.25">
      <c r="A24" s="325"/>
      <c r="B24" s="2290"/>
      <c r="C24" s="290" t="s">
        <v>46</v>
      </c>
      <c r="D24" s="290" t="s">
        <v>50</v>
      </c>
      <c r="E24" s="290" t="s">
        <v>51</v>
      </c>
      <c r="F24" s="290" t="s">
        <v>52</v>
      </c>
      <c r="G24" s="325"/>
      <c r="Q24" s="325"/>
      <c r="R24" s="325"/>
      <c r="T24" s="2235" t="s">
        <v>47</v>
      </c>
      <c r="U24" s="51" t="s">
        <v>62</v>
      </c>
      <c r="V24" s="2263">
        <f>V14+V16+V17-V18-V19-V20-V22+V23-V21</f>
        <v>953.93249999999534</v>
      </c>
      <c r="W24" s="2263"/>
      <c r="X24" s="2263"/>
      <c r="Y24" s="2269"/>
    </row>
    <row r="25" spans="1:25" ht="40.5" customHeight="1" x14ac:dyDescent="0.25">
      <c r="T25" s="2235"/>
      <c r="U25" s="51" t="s">
        <v>63</v>
      </c>
      <c r="V25" s="2262">
        <f>V15+V22-V23</f>
        <v>13025</v>
      </c>
      <c r="W25" s="2262"/>
      <c r="X25" s="2262"/>
    </row>
    <row r="26" spans="1:25" ht="36" customHeight="1" x14ac:dyDescent="0.25">
      <c r="K26" s="314"/>
    </row>
    <row r="32" spans="1:25" x14ac:dyDescent="0.25">
      <c r="I32" s="2280"/>
      <c r="J32" s="2280"/>
      <c r="K32" s="2280"/>
      <c r="L32" s="2280"/>
    </row>
    <row r="33" spans="9:12" x14ac:dyDescent="0.25">
      <c r="I33" s="325"/>
      <c r="J33" s="325"/>
      <c r="K33" s="2280"/>
      <c r="L33" s="2280"/>
    </row>
  </sheetData>
  <mergeCells count="62">
    <mergeCell ref="A1:Y1"/>
    <mergeCell ref="A2:Y2"/>
    <mergeCell ref="T3:Y3"/>
    <mergeCell ref="A4:A5"/>
    <mergeCell ref="B4:B5"/>
    <mergeCell ref="C4:D4"/>
    <mergeCell ref="E4:F4"/>
    <mergeCell ref="G4:H4"/>
    <mergeCell ref="I4:J4"/>
    <mergeCell ref="K4:L4"/>
    <mergeCell ref="Y4:Y5"/>
    <mergeCell ref="M4:N4"/>
    <mergeCell ref="O4:P4"/>
    <mergeCell ref="Q4:R4"/>
    <mergeCell ref="S4:T4"/>
    <mergeCell ref="U4:V4"/>
    <mergeCell ref="W4:X4"/>
    <mergeCell ref="B16:C16"/>
    <mergeCell ref="Q16:R16"/>
    <mergeCell ref="T16:U16"/>
    <mergeCell ref="V16:X16"/>
    <mergeCell ref="A12:B12"/>
    <mergeCell ref="B14:C14"/>
    <mergeCell ref="Q14:R14"/>
    <mergeCell ref="T14:T15"/>
    <mergeCell ref="V14:X14"/>
    <mergeCell ref="B15:C15"/>
    <mergeCell ref="Q15:R15"/>
    <mergeCell ref="V15:X15"/>
    <mergeCell ref="B17:C17"/>
    <mergeCell ref="Q17:R17"/>
    <mergeCell ref="T17:U17"/>
    <mergeCell ref="V17:X17"/>
    <mergeCell ref="B18:C18"/>
    <mergeCell ref="Q18:R18"/>
    <mergeCell ref="T18:U18"/>
    <mergeCell ref="V18:X18"/>
    <mergeCell ref="Y18:Y24"/>
    <mergeCell ref="B19:C19"/>
    <mergeCell ref="Q19:R19"/>
    <mergeCell ref="T19:T20"/>
    <mergeCell ref="V19:X19"/>
    <mergeCell ref="B20:C20"/>
    <mergeCell ref="B22:B24"/>
    <mergeCell ref="C22:C23"/>
    <mergeCell ref="D22:D23"/>
    <mergeCell ref="E22:E23"/>
    <mergeCell ref="F22:F23"/>
    <mergeCell ref="Q20:R20"/>
    <mergeCell ref="V20:X20"/>
    <mergeCell ref="B21:C21"/>
    <mergeCell ref="T21:U21"/>
    <mergeCell ref="V21:X21"/>
    <mergeCell ref="I32:J32"/>
    <mergeCell ref="K32:L32"/>
    <mergeCell ref="K33:L33"/>
    <mergeCell ref="T22:T23"/>
    <mergeCell ref="V22:X22"/>
    <mergeCell ref="V23:X23"/>
    <mergeCell ref="T24:T25"/>
    <mergeCell ref="V24:X24"/>
    <mergeCell ref="V25:X25"/>
  </mergeCells>
  <pageMargins left="0.15748031496063" right="0.15748031496063" top="0" bottom="0" header="0" footer="0"/>
  <pageSetup paperSize="9" scale="47" orientation="landscape" r:id="rId1"/>
</worksheet>
</file>

<file path=xl/worksheets/sheet1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D2A1385-C2A2-4464-BCF3-03770ED96950}">
  <sheetPr>
    <pageSetUpPr fitToPage="1"/>
  </sheetPr>
  <dimension ref="A1:Y33"/>
  <sheetViews>
    <sheetView topLeftCell="C1" zoomScale="71" zoomScaleNormal="71" zoomScaleSheetLayoutView="100" workbookViewId="0">
      <selection activeCell="N24" sqref="N24"/>
    </sheetView>
  </sheetViews>
  <sheetFormatPr defaultColWidth="9.140625" defaultRowHeight="15" x14ac:dyDescent="0.25"/>
  <cols>
    <col min="1" max="1" width="18.28515625" style="14" customWidth="1"/>
    <col min="2" max="2" width="10.7109375" style="14" customWidth="1"/>
    <col min="3" max="3" width="12.28515625" style="14" customWidth="1"/>
    <col min="4" max="4" width="11" style="14" customWidth="1"/>
    <col min="5" max="5" width="12" style="14" customWidth="1"/>
    <col min="6" max="6" width="12.5703125" style="14" bestFit="1" customWidth="1"/>
    <col min="7" max="7" width="9.28515625" style="14" bestFit="1" customWidth="1"/>
    <col min="8" max="8" width="10.140625" style="14" bestFit="1" customWidth="1"/>
    <col min="9" max="9" width="10.5703125" style="14" bestFit="1" customWidth="1"/>
    <col min="10" max="10" width="10.5703125" style="14" customWidth="1"/>
    <col min="11" max="11" width="10.28515625" style="14" bestFit="1" customWidth="1"/>
    <col min="12" max="12" width="10.42578125" style="14" bestFit="1" customWidth="1"/>
    <col min="13" max="13" width="9.85546875" style="14" bestFit="1" customWidth="1"/>
    <col min="14" max="14" width="10.140625" style="14" bestFit="1" customWidth="1"/>
    <col min="15" max="15" width="9" style="14" customWidth="1"/>
    <col min="16" max="16" width="12.85546875" style="14" bestFit="1" customWidth="1"/>
    <col min="17" max="18" width="9.42578125" style="14" customWidth="1"/>
    <col min="19" max="19" width="13.7109375" style="14" customWidth="1"/>
    <col min="20" max="20" width="12.140625" style="14" customWidth="1"/>
    <col min="21" max="21" width="19.5703125" style="14" bestFit="1" customWidth="1"/>
    <col min="22" max="22" width="9.85546875" style="14" customWidth="1"/>
    <col min="23" max="23" width="10.140625" style="14" bestFit="1" customWidth="1"/>
    <col min="24" max="24" width="10.28515625" style="14" customWidth="1"/>
    <col min="25" max="25" width="28" style="14" customWidth="1"/>
    <col min="26" max="16384" width="9.140625" style="14"/>
  </cols>
  <sheetData>
    <row r="1" spans="1:25" ht="46.15" customHeight="1" x14ac:dyDescent="0.25">
      <c r="A1" s="2240" t="s">
        <v>148</v>
      </c>
      <c r="B1" s="2240"/>
      <c r="C1" s="2240"/>
      <c r="D1" s="2240"/>
      <c r="E1" s="2240"/>
      <c r="F1" s="2240"/>
      <c r="G1" s="2240"/>
      <c r="H1" s="2240"/>
      <c r="I1" s="2240"/>
      <c r="J1" s="2240"/>
      <c r="K1" s="2240"/>
      <c r="L1" s="2240"/>
      <c r="M1" s="2240"/>
      <c r="N1" s="2240"/>
      <c r="O1" s="2240"/>
      <c r="P1" s="2240"/>
      <c r="Q1" s="2240"/>
      <c r="R1" s="2240"/>
      <c r="S1" s="2240"/>
      <c r="T1" s="2240"/>
      <c r="U1" s="2240"/>
      <c r="V1" s="2240"/>
      <c r="W1" s="2240"/>
      <c r="X1" s="2240"/>
      <c r="Y1" s="2240"/>
    </row>
    <row r="2" spans="1:25" ht="21.6" customHeight="1" x14ac:dyDescent="0.25">
      <c r="A2" s="2241" t="s">
        <v>77</v>
      </c>
      <c r="B2" s="2241"/>
      <c r="C2" s="2241"/>
      <c r="D2" s="2241"/>
      <c r="E2" s="2241"/>
      <c r="F2" s="2241"/>
      <c r="G2" s="2241"/>
      <c r="H2" s="2241"/>
      <c r="I2" s="2241"/>
      <c r="J2" s="2241"/>
      <c r="K2" s="2241"/>
      <c r="L2" s="2241"/>
      <c r="M2" s="2241"/>
      <c r="N2" s="2241"/>
      <c r="O2" s="2241"/>
      <c r="P2" s="2241"/>
      <c r="Q2" s="2241"/>
      <c r="R2" s="2241"/>
      <c r="S2" s="2241"/>
      <c r="T2" s="2241"/>
      <c r="U2" s="2241"/>
      <c r="V2" s="2241"/>
      <c r="W2" s="2241"/>
      <c r="X2" s="2241"/>
      <c r="Y2" s="2241"/>
    </row>
    <row r="3" spans="1:25" ht="21" customHeight="1" x14ac:dyDescent="0.25">
      <c r="A3" s="326"/>
      <c r="B3" s="326"/>
      <c r="C3" s="326"/>
      <c r="D3" s="326"/>
      <c r="E3" s="326"/>
      <c r="F3" s="326"/>
      <c r="G3" s="326"/>
      <c r="H3" s="326"/>
      <c r="I3" s="326"/>
      <c r="J3" s="326"/>
      <c r="K3" s="326"/>
      <c r="L3" s="326"/>
      <c r="M3" s="326"/>
      <c r="N3" s="326"/>
      <c r="O3" s="326"/>
      <c r="P3" s="326"/>
      <c r="Q3" s="326"/>
      <c r="R3" s="326"/>
      <c r="S3" s="326"/>
      <c r="T3" s="2242" t="s">
        <v>307</v>
      </c>
      <c r="U3" s="2242"/>
      <c r="V3" s="2242"/>
      <c r="W3" s="2242"/>
      <c r="X3" s="2242"/>
      <c r="Y3" s="2242"/>
    </row>
    <row r="4" spans="1:25" s="326" customFormat="1" ht="18" customHeight="1" x14ac:dyDescent="0.25">
      <c r="A4" s="2243" t="s">
        <v>25</v>
      </c>
      <c r="B4" s="2243" t="s">
        <v>26</v>
      </c>
      <c r="C4" s="2244" t="s">
        <v>27</v>
      </c>
      <c r="D4" s="2244"/>
      <c r="E4" s="2244" t="s">
        <v>28</v>
      </c>
      <c r="F4" s="2244"/>
      <c r="G4" s="2244" t="s">
        <v>65</v>
      </c>
      <c r="H4" s="2244"/>
      <c r="I4" s="2244" t="s">
        <v>29</v>
      </c>
      <c r="J4" s="2244"/>
      <c r="K4" s="2245" t="s">
        <v>13</v>
      </c>
      <c r="L4" s="2246"/>
      <c r="M4" s="2245" t="s">
        <v>67</v>
      </c>
      <c r="N4" s="2246"/>
      <c r="O4" s="2245" t="s">
        <v>68</v>
      </c>
      <c r="P4" s="2246"/>
      <c r="Q4" s="2245" t="s">
        <v>114</v>
      </c>
      <c r="R4" s="2246"/>
      <c r="S4" s="2244" t="s">
        <v>35</v>
      </c>
      <c r="T4" s="2244"/>
      <c r="U4" s="2245" t="s">
        <v>17</v>
      </c>
      <c r="V4" s="2246"/>
      <c r="W4" s="2247" t="s">
        <v>36</v>
      </c>
      <c r="X4" s="2248"/>
      <c r="Y4" s="2238" t="s">
        <v>30</v>
      </c>
    </row>
    <row r="5" spans="1:25" s="326" customFormat="1" ht="25.5" customHeight="1" x14ac:dyDescent="0.25">
      <c r="A5" s="2243"/>
      <c r="B5" s="2243"/>
      <c r="C5" s="328" t="s">
        <v>42</v>
      </c>
      <c r="D5" s="328" t="s">
        <v>43</v>
      </c>
      <c r="E5" s="328" t="s">
        <v>42</v>
      </c>
      <c r="F5" s="328" t="s">
        <v>43</v>
      </c>
      <c r="G5" s="328" t="s">
        <v>42</v>
      </c>
      <c r="H5" s="328" t="s">
        <v>43</v>
      </c>
      <c r="I5" s="328" t="s">
        <v>42</v>
      </c>
      <c r="J5" s="328" t="s">
        <v>43</v>
      </c>
      <c r="K5" s="328" t="s">
        <v>42</v>
      </c>
      <c r="L5" s="328" t="s">
        <v>43</v>
      </c>
      <c r="M5" s="328" t="s">
        <v>42</v>
      </c>
      <c r="N5" s="328" t="s">
        <v>43</v>
      </c>
      <c r="O5" s="328" t="s">
        <v>42</v>
      </c>
      <c r="P5" s="328" t="s">
        <v>43</v>
      </c>
      <c r="Q5" s="328" t="s">
        <v>42</v>
      </c>
      <c r="R5" s="328" t="s">
        <v>43</v>
      </c>
      <c r="S5" s="33" t="s">
        <v>42</v>
      </c>
      <c r="T5" s="33" t="s">
        <v>43</v>
      </c>
      <c r="U5" s="30" t="s">
        <v>42</v>
      </c>
      <c r="V5" s="30" t="s">
        <v>43</v>
      </c>
      <c r="W5" s="30" t="s">
        <v>42</v>
      </c>
      <c r="X5" s="30" t="s">
        <v>43</v>
      </c>
      <c r="Y5" s="2239"/>
    </row>
    <row r="6" spans="1:25" ht="34.5" customHeight="1" x14ac:dyDescent="0.25">
      <c r="A6" s="12">
        <v>1409935200</v>
      </c>
      <c r="B6" s="327" t="s">
        <v>71</v>
      </c>
      <c r="C6" s="330">
        <v>61781</v>
      </c>
      <c r="D6" s="331">
        <f>0.9725*C6</f>
        <v>60082.022499999999</v>
      </c>
      <c r="E6" s="330"/>
      <c r="F6" s="330">
        <f>13.7*E6</f>
        <v>0</v>
      </c>
      <c r="G6" s="330">
        <v>20</v>
      </c>
      <c r="H6" s="330">
        <f>28.2*G6</f>
        <v>564</v>
      </c>
      <c r="I6" s="330">
        <v>100</v>
      </c>
      <c r="J6" s="330">
        <f>18.5*I6</f>
        <v>1850</v>
      </c>
      <c r="K6" s="330"/>
      <c r="L6" s="330">
        <f>19.5*K6</f>
        <v>0</v>
      </c>
      <c r="M6" s="330"/>
      <c r="N6" s="331">
        <f>M6*9.75</f>
        <v>0</v>
      </c>
      <c r="O6" s="330"/>
      <c r="P6" s="331">
        <f>O6*48.62</f>
        <v>0</v>
      </c>
      <c r="Q6" s="331"/>
      <c r="R6" s="331">
        <f>241*Q6</f>
        <v>0</v>
      </c>
      <c r="S6" s="330"/>
      <c r="T6" s="330">
        <f>241*S6</f>
        <v>0</v>
      </c>
      <c r="U6" s="330"/>
      <c r="V6" s="330">
        <f>232*U6</f>
        <v>0</v>
      </c>
      <c r="W6" s="330"/>
      <c r="X6" s="19">
        <f>W6*100</f>
        <v>0</v>
      </c>
      <c r="Y6" s="89">
        <f t="shared" ref="Y6:Y11" si="0">D6+F6+H6+J6+L6+N6+P6+R6+T6+V6+X6</f>
        <v>62496.022499999999</v>
      </c>
    </row>
    <row r="7" spans="1:25" ht="31.5" customHeight="1" x14ac:dyDescent="0.25">
      <c r="A7" s="12">
        <v>1984225578</v>
      </c>
      <c r="B7" s="327" t="s">
        <v>72</v>
      </c>
      <c r="C7" s="330">
        <v>53837</v>
      </c>
      <c r="D7" s="331">
        <f t="shared" ref="D7:D11" si="1">0.9725*C7</f>
        <v>52356.482499999998</v>
      </c>
      <c r="E7" s="330"/>
      <c r="F7" s="330">
        <f t="shared" ref="F7:F11" si="2">13.7*E7</f>
        <v>0</v>
      </c>
      <c r="G7" s="330"/>
      <c r="H7" s="330">
        <f t="shared" ref="H7:H11" si="3">28.2*G7</f>
        <v>0</v>
      </c>
      <c r="I7" s="330">
        <v>180</v>
      </c>
      <c r="J7" s="330">
        <f t="shared" ref="J7:J11" si="4">18.5*I7</f>
        <v>3330</v>
      </c>
      <c r="K7" s="330"/>
      <c r="L7" s="330">
        <f t="shared" ref="L7:L11" si="5">19.5*K7</f>
        <v>0</v>
      </c>
      <c r="M7" s="330"/>
      <c r="N7" s="331">
        <f t="shared" ref="N7:N11" si="6">M7*9.75</f>
        <v>0</v>
      </c>
      <c r="O7" s="330"/>
      <c r="P7" s="331">
        <f t="shared" ref="P7:P11" si="7">O7*48.62</f>
        <v>0</v>
      </c>
      <c r="Q7" s="331"/>
      <c r="R7" s="331">
        <f t="shared" ref="R7:R11" si="8">241*Q7</f>
        <v>0</v>
      </c>
      <c r="S7" s="330">
        <v>10</v>
      </c>
      <c r="T7" s="330">
        <f t="shared" ref="T7:T11" si="9">241*S7</f>
        <v>2410</v>
      </c>
      <c r="U7" s="330"/>
      <c r="V7" s="330">
        <f t="shared" ref="V7:V11" si="10">232*U7</f>
        <v>0</v>
      </c>
      <c r="W7" s="330"/>
      <c r="X7" s="19">
        <f t="shared" ref="X7:X11" si="11">W7*100</f>
        <v>0</v>
      </c>
      <c r="Y7" s="89">
        <f t="shared" si="0"/>
        <v>58096.482499999998</v>
      </c>
    </row>
    <row r="8" spans="1:25" ht="35.25" customHeight="1" x14ac:dyDescent="0.25">
      <c r="A8" s="12">
        <v>1967020280</v>
      </c>
      <c r="B8" s="327" t="s">
        <v>73</v>
      </c>
      <c r="C8" s="330">
        <v>47681</v>
      </c>
      <c r="D8" s="331">
        <f t="shared" si="1"/>
        <v>46369.772499999999</v>
      </c>
      <c r="E8" s="330"/>
      <c r="F8" s="330">
        <f t="shared" si="2"/>
        <v>0</v>
      </c>
      <c r="G8" s="330">
        <v>70</v>
      </c>
      <c r="H8" s="330">
        <f t="shared" si="3"/>
        <v>1974</v>
      </c>
      <c r="I8" s="330">
        <v>200</v>
      </c>
      <c r="J8" s="330">
        <f t="shared" si="4"/>
        <v>3700</v>
      </c>
      <c r="K8" s="330"/>
      <c r="L8" s="330">
        <f t="shared" si="5"/>
        <v>0</v>
      </c>
      <c r="M8" s="330"/>
      <c r="N8" s="331">
        <f t="shared" si="6"/>
        <v>0</v>
      </c>
      <c r="O8" s="330"/>
      <c r="P8" s="331">
        <f t="shared" si="7"/>
        <v>0</v>
      </c>
      <c r="Q8" s="331"/>
      <c r="R8" s="331">
        <f t="shared" si="8"/>
        <v>0</v>
      </c>
      <c r="S8" s="330"/>
      <c r="T8" s="330">
        <f t="shared" si="9"/>
        <v>0</v>
      </c>
      <c r="U8" s="330"/>
      <c r="V8" s="330">
        <f t="shared" si="10"/>
        <v>0</v>
      </c>
      <c r="W8" s="330"/>
      <c r="X8" s="19">
        <f t="shared" si="11"/>
        <v>0</v>
      </c>
      <c r="Y8" s="89">
        <f t="shared" si="0"/>
        <v>52043.772499999999</v>
      </c>
    </row>
    <row r="9" spans="1:25" ht="38.25" customHeight="1" x14ac:dyDescent="0.25">
      <c r="A9" s="12">
        <v>1984225580</v>
      </c>
      <c r="B9" s="327" t="s">
        <v>75</v>
      </c>
      <c r="C9" s="330">
        <v>74333</v>
      </c>
      <c r="D9" s="331">
        <f t="shared" si="1"/>
        <v>72288.842499999999</v>
      </c>
      <c r="E9" s="330"/>
      <c r="F9" s="330">
        <f t="shared" si="2"/>
        <v>0</v>
      </c>
      <c r="G9" s="330">
        <v>20</v>
      </c>
      <c r="H9" s="330">
        <f t="shared" si="3"/>
        <v>564</v>
      </c>
      <c r="I9" s="330">
        <v>350</v>
      </c>
      <c r="J9" s="330">
        <f t="shared" si="4"/>
        <v>6475</v>
      </c>
      <c r="K9" s="330"/>
      <c r="L9" s="330">
        <f t="shared" si="5"/>
        <v>0</v>
      </c>
      <c r="M9" s="330"/>
      <c r="N9" s="331">
        <f t="shared" si="6"/>
        <v>0</v>
      </c>
      <c r="O9" s="330"/>
      <c r="P9" s="331">
        <f t="shared" si="7"/>
        <v>0</v>
      </c>
      <c r="Q9" s="331"/>
      <c r="R9" s="331">
        <f t="shared" si="8"/>
        <v>0</v>
      </c>
      <c r="S9" s="330"/>
      <c r="T9" s="330">
        <f t="shared" si="9"/>
        <v>0</v>
      </c>
      <c r="U9" s="330"/>
      <c r="V9" s="330">
        <f t="shared" si="10"/>
        <v>0</v>
      </c>
      <c r="W9" s="330"/>
      <c r="X9" s="19">
        <f t="shared" si="11"/>
        <v>0</v>
      </c>
      <c r="Y9" s="89">
        <f t="shared" si="0"/>
        <v>79327.842499999999</v>
      </c>
    </row>
    <row r="10" spans="1:25" ht="35.25" customHeight="1" x14ac:dyDescent="0.25">
      <c r="A10" s="12">
        <v>1409935199</v>
      </c>
      <c r="C10" s="330"/>
      <c r="D10" s="331">
        <f t="shared" si="1"/>
        <v>0</v>
      </c>
      <c r="E10" s="330"/>
      <c r="F10" s="330">
        <f t="shared" si="2"/>
        <v>0</v>
      </c>
      <c r="G10" s="330"/>
      <c r="H10" s="330">
        <f t="shared" si="3"/>
        <v>0</v>
      </c>
      <c r="I10" s="330"/>
      <c r="J10" s="330">
        <f t="shared" si="4"/>
        <v>0</v>
      </c>
      <c r="K10" s="330"/>
      <c r="L10" s="330">
        <f t="shared" si="5"/>
        <v>0</v>
      </c>
      <c r="M10" s="330"/>
      <c r="N10" s="331">
        <f t="shared" si="6"/>
        <v>0</v>
      </c>
      <c r="O10" s="330"/>
      <c r="P10" s="331">
        <f t="shared" si="7"/>
        <v>0</v>
      </c>
      <c r="Q10" s="331"/>
      <c r="R10" s="331">
        <f t="shared" si="8"/>
        <v>0</v>
      </c>
      <c r="S10" s="330"/>
      <c r="T10" s="330">
        <f t="shared" si="9"/>
        <v>0</v>
      </c>
      <c r="U10" s="330"/>
      <c r="V10" s="330">
        <f t="shared" si="10"/>
        <v>0</v>
      </c>
      <c r="W10" s="330"/>
      <c r="X10" s="19">
        <f t="shared" si="11"/>
        <v>0</v>
      </c>
      <c r="Y10" s="89">
        <f t="shared" si="0"/>
        <v>0</v>
      </c>
    </row>
    <row r="11" spans="1:25" ht="37.5" customHeight="1" x14ac:dyDescent="0.25">
      <c r="A11" s="12"/>
      <c r="B11" s="329"/>
      <c r="C11" s="330"/>
      <c r="D11" s="22">
        <f t="shared" si="1"/>
        <v>0</v>
      </c>
      <c r="E11" s="330"/>
      <c r="F11" s="330">
        <f t="shared" si="2"/>
        <v>0</v>
      </c>
      <c r="G11" s="330"/>
      <c r="H11" s="330">
        <f t="shared" si="3"/>
        <v>0</v>
      </c>
      <c r="I11" s="330"/>
      <c r="J11" s="330">
        <f t="shared" si="4"/>
        <v>0</v>
      </c>
      <c r="K11" s="330"/>
      <c r="L11" s="330">
        <f t="shared" si="5"/>
        <v>0</v>
      </c>
      <c r="M11" s="330"/>
      <c r="N11" s="331">
        <f t="shared" si="6"/>
        <v>0</v>
      </c>
      <c r="O11" s="330"/>
      <c r="P11" s="331">
        <f t="shared" si="7"/>
        <v>0</v>
      </c>
      <c r="Q11" s="331"/>
      <c r="R11" s="331">
        <f t="shared" si="8"/>
        <v>0</v>
      </c>
      <c r="S11" s="330"/>
      <c r="T11" s="330">
        <f t="shared" si="9"/>
        <v>0</v>
      </c>
      <c r="U11" s="330"/>
      <c r="V11" s="330">
        <f t="shared" si="10"/>
        <v>0</v>
      </c>
      <c r="W11" s="330"/>
      <c r="X11" s="19">
        <f t="shared" si="11"/>
        <v>0</v>
      </c>
      <c r="Y11" s="20">
        <f t="shared" si="0"/>
        <v>0</v>
      </c>
    </row>
    <row r="12" spans="1:25" ht="29.25" customHeight="1" x14ac:dyDescent="0.25">
      <c r="A12" s="2235" t="s">
        <v>31</v>
      </c>
      <c r="B12" s="2235"/>
      <c r="C12" s="18">
        <f t="shared" ref="C12:Y12" si="12">SUM(C6:C11)</f>
        <v>237632</v>
      </c>
      <c r="D12" s="18">
        <f t="shared" si="12"/>
        <v>231097.12</v>
      </c>
      <c r="E12" s="18">
        <f t="shared" si="12"/>
        <v>0</v>
      </c>
      <c r="F12" s="18">
        <f t="shared" si="12"/>
        <v>0</v>
      </c>
      <c r="G12" s="18">
        <f t="shared" si="12"/>
        <v>110</v>
      </c>
      <c r="H12" s="18">
        <f t="shared" si="12"/>
        <v>3102</v>
      </c>
      <c r="I12" s="18">
        <f t="shared" si="12"/>
        <v>830</v>
      </c>
      <c r="J12" s="18">
        <f t="shared" si="12"/>
        <v>15355</v>
      </c>
      <c r="K12" s="18">
        <f t="shared" si="12"/>
        <v>0</v>
      </c>
      <c r="L12" s="18">
        <f t="shared" si="12"/>
        <v>0</v>
      </c>
      <c r="M12" s="18">
        <f t="shared" si="12"/>
        <v>0</v>
      </c>
      <c r="N12" s="23">
        <f t="shared" si="12"/>
        <v>0</v>
      </c>
      <c r="O12" s="18">
        <f t="shared" si="12"/>
        <v>0</v>
      </c>
      <c r="P12" s="23">
        <f t="shared" si="12"/>
        <v>0</v>
      </c>
      <c r="Q12" s="23">
        <f t="shared" si="12"/>
        <v>0</v>
      </c>
      <c r="R12" s="23">
        <f>SUM(R6:R11)</f>
        <v>0</v>
      </c>
      <c r="S12" s="18">
        <f t="shared" si="12"/>
        <v>10</v>
      </c>
      <c r="T12" s="18">
        <f t="shared" si="12"/>
        <v>2410</v>
      </c>
      <c r="U12" s="18">
        <f t="shared" si="12"/>
        <v>0</v>
      </c>
      <c r="V12" s="18">
        <f t="shared" si="12"/>
        <v>0</v>
      </c>
      <c r="W12" s="18">
        <f t="shared" si="12"/>
        <v>0</v>
      </c>
      <c r="X12" s="18">
        <f t="shared" si="12"/>
        <v>0</v>
      </c>
      <c r="Y12" s="18">
        <f t="shared" si="12"/>
        <v>251964.12</v>
      </c>
    </row>
    <row r="14" spans="1:25" ht="41.25" customHeight="1" x14ac:dyDescent="0.25">
      <c r="A14" s="30" t="s">
        <v>32</v>
      </c>
      <c r="B14" s="2236" t="s">
        <v>27</v>
      </c>
      <c r="C14" s="2236"/>
      <c r="D14" s="30" t="s">
        <v>33</v>
      </c>
      <c r="E14" s="30" t="s">
        <v>65</v>
      </c>
      <c r="F14" s="30" t="s">
        <v>34</v>
      </c>
      <c r="G14" s="30" t="s">
        <v>13</v>
      </c>
      <c r="H14" s="142" t="s">
        <v>173</v>
      </c>
      <c r="I14" s="30" t="s">
        <v>17</v>
      </c>
      <c r="J14" s="335" t="s">
        <v>174</v>
      </c>
      <c r="K14" s="30" t="s">
        <v>36</v>
      </c>
      <c r="L14" s="30" t="s">
        <v>175</v>
      </c>
      <c r="M14" s="30" t="s">
        <v>69</v>
      </c>
      <c r="N14" s="30" t="s">
        <v>70</v>
      </c>
      <c r="O14" s="335" t="s">
        <v>114</v>
      </c>
      <c r="P14" s="335" t="s">
        <v>99</v>
      </c>
      <c r="Q14" s="2272" t="s">
        <v>301</v>
      </c>
      <c r="R14" s="2272"/>
      <c r="S14" s="335"/>
      <c r="T14" s="2235" t="s">
        <v>46</v>
      </c>
      <c r="U14" s="327" t="s">
        <v>176</v>
      </c>
      <c r="V14" s="2260">
        <v>954</v>
      </c>
      <c r="W14" s="2268"/>
      <c r="X14" s="2261"/>
    </row>
    <row r="15" spans="1:25" ht="22.5" customHeight="1" x14ac:dyDescent="0.25">
      <c r="A15" s="100" t="s">
        <v>38</v>
      </c>
      <c r="B15" s="2260">
        <v>257623</v>
      </c>
      <c r="C15" s="2261"/>
      <c r="D15" s="332">
        <v>0</v>
      </c>
      <c r="E15" s="332">
        <v>1940</v>
      </c>
      <c r="F15" s="332">
        <v>1050</v>
      </c>
      <c r="G15" s="332">
        <v>0</v>
      </c>
      <c r="H15" s="332">
        <v>594</v>
      </c>
      <c r="I15" s="332">
        <v>65</v>
      </c>
      <c r="J15" s="332">
        <v>61</v>
      </c>
      <c r="K15" s="332">
        <v>68</v>
      </c>
      <c r="L15" s="332">
        <v>408</v>
      </c>
      <c r="M15" s="332">
        <v>0</v>
      </c>
      <c r="N15" s="332">
        <v>100</v>
      </c>
      <c r="O15" s="332">
        <v>0</v>
      </c>
      <c r="P15" s="332">
        <v>404</v>
      </c>
      <c r="Q15" s="2262">
        <v>709</v>
      </c>
      <c r="R15" s="2262"/>
      <c r="S15" s="327">
        <v>0</v>
      </c>
      <c r="T15" s="2235"/>
      <c r="U15" s="327" t="s">
        <v>64</v>
      </c>
      <c r="V15" s="2262">
        <v>13025</v>
      </c>
      <c r="W15" s="2262"/>
      <c r="X15" s="2262"/>
    </row>
    <row r="16" spans="1:25" ht="24.75" customHeight="1" x14ac:dyDescent="0.25">
      <c r="A16" s="100" t="s">
        <v>39</v>
      </c>
      <c r="B16" s="2260">
        <v>259740</v>
      </c>
      <c r="C16" s="2261"/>
      <c r="D16" s="332"/>
      <c r="E16" s="332"/>
      <c r="F16" s="332"/>
      <c r="G16" s="332"/>
      <c r="H16" s="332"/>
      <c r="I16" s="332"/>
      <c r="J16" s="332"/>
      <c r="K16" s="332"/>
      <c r="L16" s="332">
        <v>240</v>
      </c>
      <c r="M16" s="332"/>
      <c r="N16" s="332"/>
      <c r="O16" s="332"/>
      <c r="P16" s="332"/>
      <c r="Q16" s="2225"/>
      <c r="R16" s="2225"/>
      <c r="S16" s="332"/>
      <c r="T16" s="2254" t="s">
        <v>55</v>
      </c>
      <c r="U16" s="2254"/>
      <c r="V16" s="2267">
        <f>Y12</f>
        <v>251964.12</v>
      </c>
      <c r="W16" s="2267"/>
      <c r="X16" s="2262"/>
    </row>
    <row r="17" spans="1:25" ht="28.5" customHeight="1" x14ac:dyDescent="0.25">
      <c r="A17" s="101" t="s">
        <v>44</v>
      </c>
      <c r="B17" s="2260">
        <v>56034</v>
      </c>
      <c r="C17" s="2261"/>
      <c r="D17" s="332"/>
      <c r="E17" s="332"/>
      <c r="F17" s="332"/>
      <c r="G17" s="332"/>
      <c r="H17" s="332"/>
      <c r="I17" s="332"/>
      <c r="J17" s="332"/>
      <c r="K17" s="332"/>
      <c r="L17" s="332"/>
      <c r="M17" s="332"/>
      <c r="N17" s="332"/>
      <c r="O17" s="332"/>
      <c r="P17" s="332"/>
      <c r="Q17" s="2225"/>
      <c r="R17" s="2225"/>
      <c r="S17" s="329"/>
      <c r="T17" s="2294" t="s">
        <v>296</v>
      </c>
      <c r="U17" s="2295"/>
      <c r="V17" s="2296"/>
      <c r="W17" s="2296"/>
      <c r="X17" s="2296"/>
    </row>
    <row r="18" spans="1:25" ht="27" customHeight="1" x14ac:dyDescent="0.25">
      <c r="A18" s="100" t="s">
        <v>40</v>
      </c>
      <c r="B18" s="2264">
        <f>C12</f>
        <v>237632</v>
      </c>
      <c r="C18" s="2261"/>
      <c r="D18" s="333">
        <f>E12</f>
        <v>0</v>
      </c>
      <c r="E18" s="333">
        <f>G12</f>
        <v>110</v>
      </c>
      <c r="F18" s="333">
        <f>I12</f>
        <v>830</v>
      </c>
      <c r="G18" s="333">
        <f>K12</f>
        <v>0</v>
      </c>
      <c r="H18" s="332">
        <v>250</v>
      </c>
      <c r="I18" s="333">
        <f>U12</f>
        <v>0</v>
      </c>
      <c r="J18" s="332"/>
      <c r="K18" s="333">
        <f>W12</f>
        <v>0</v>
      </c>
      <c r="L18" s="332"/>
      <c r="M18" s="333">
        <f>M12</f>
        <v>0</v>
      </c>
      <c r="N18" s="333">
        <f>O12</f>
        <v>0</v>
      </c>
      <c r="O18" s="334">
        <f>Q12</f>
        <v>0</v>
      </c>
      <c r="P18" s="332"/>
      <c r="Q18" s="2262"/>
      <c r="R18" s="2262"/>
      <c r="S18" s="327"/>
      <c r="T18" s="2254" t="s">
        <v>57</v>
      </c>
      <c r="U18" s="2254"/>
      <c r="V18" s="2262">
        <f>620+1200</f>
        <v>1820</v>
      </c>
      <c r="W18" s="2262"/>
      <c r="X18" s="2262"/>
      <c r="Y18" s="2269" t="s">
        <v>291</v>
      </c>
    </row>
    <row r="19" spans="1:25" ht="25.5" customHeight="1" x14ac:dyDescent="0.25">
      <c r="A19" s="100" t="s">
        <v>41</v>
      </c>
      <c r="B19" s="2260">
        <f>B15+B16+B17-B18</f>
        <v>335765</v>
      </c>
      <c r="C19" s="2261"/>
      <c r="D19" s="332">
        <f>D15+D16+D17-D18</f>
        <v>0</v>
      </c>
      <c r="E19" s="332">
        <f t="shared" ref="E19:N19" si="13">E15+E16+E17-E18</f>
        <v>1830</v>
      </c>
      <c r="F19" s="332">
        <f t="shared" si="13"/>
        <v>220</v>
      </c>
      <c r="G19" s="332">
        <f t="shared" si="13"/>
        <v>0</v>
      </c>
      <c r="H19" s="332">
        <f t="shared" si="13"/>
        <v>344</v>
      </c>
      <c r="I19" s="332">
        <f t="shared" si="13"/>
        <v>65</v>
      </c>
      <c r="J19" s="332">
        <f t="shared" si="13"/>
        <v>61</v>
      </c>
      <c r="K19" s="332">
        <f t="shared" si="13"/>
        <v>68</v>
      </c>
      <c r="L19" s="332">
        <f t="shared" si="13"/>
        <v>648</v>
      </c>
      <c r="M19" s="332">
        <f t="shared" si="13"/>
        <v>0</v>
      </c>
      <c r="N19" s="332">
        <f t="shared" si="13"/>
        <v>100</v>
      </c>
      <c r="O19" s="332">
        <f>O15+O16+O17-O18</f>
        <v>0</v>
      </c>
      <c r="P19" s="332">
        <f>P15+P16+P17-P18</f>
        <v>404</v>
      </c>
      <c r="Q19" s="2260">
        <f t="shared" ref="Q19" si="14">Q15+Q16+Q17-Q18</f>
        <v>709</v>
      </c>
      <c r="R19" s="2261"/>
      <c r="S19" s="327">
        <f>S15+S16-S17-S18</f>
        <v>0</v>
      </c>
      <c r="T19" s="2256" t="s">
        <v>48</v>
      </c>
      <c r="U19" s="49" t="s">
        <v>58</v>
      </c>
      <c r="V19" s="2262">
        <v>60500</v>
      </c>
      <c r="W19" s="2262"/>
      <c r="X19" s="2262"/>
      <c r="Y19" s="2269"/>
    </row>
    <row r="20" spans="1:25" ht="23.25" customHeight="1" x14ac:dyDescent="0.25">
      <c r="A20" s="289" t="s">
        <v>187</v>
      </c>
      <c r="B20" s="2286">
        <f>B19*0.9625</f>
        <v>323173.8125</v>
      </c>
      <c r="C20" s="2287"/>
      <c r="D20" s="290">
        <f>D19*13.56</f>
        <v>0</v>
      </c>
      <c r="E20" s="290">
        <f>28.2*E19</f>
        <v>51606</v>
      </c>
      <c r="F20" s="290">
        <f>18.31*F19</f>
        <v>4028.2</v>
      </c>
      <c r="G20" s="290">
        <f>19.3*G19</f>
        <v>0</v>
      </c>
      <c r="H20" s="290">
        <f>241*H19</f>
        <v>82904</v>
      </c>
      <c r="I20" s="290">
        <f>223*I19</f>
        <v>14495</v>
      </c>
      <c r="J20" s="290">
        <f>241*J19</f>
        <v>14701</v>
      </c>
      <c r="K20" s="290">
        <f>K19*100</f>
        <v>6800</v>
      </c>
      <c r="L20" s="290">
        <f>241*L19</f>
        <v>156168</v>
      </c>
      <c r="M20" s="290">
        <f>9.65*M19</f>
        <v>0</v>
      </c>
      <c r="N20" s="290">
        <f>N19*48.2</f>
        <v>4820</v>
      </c>
      <c r="O20" s="290">
        <f>241*O19</f>
        <v>0</v>
      </c>
      <c r="P20" s="290">
        <f>241*P19</f>
        <v>97364</v>
      </c>
      <c r="Q20" s="2286">
        <f>241*Q19</f>
        <v>170869</v>
      </c>
      <c r="R20" s="2287"/>
      <c r="S20" s="290">
        <f>241*S19</f>
        <v>0</v>
      </c>
      <c r="T20" s="2257"/>
      <c r="U20" s="49" t="s">
        <v>59</v>
      </c>
      <c r="V20" s="2262"/>
      <c r="W20" s="2262"/>
      <c r="X20" s="2262"/>
      <c r="Y20" s="2269"/>
    </row>
    <row r="21" spans="1:25" ht="32.25" customHeight="1" x14ac:dyDescent="0.25">
      <c r="A21" s="291" t="s">
        <v>186</v>
      </c>
      <c r="B21" s="2293">
        <f>SUM(B20:S20)</f>
        <v>926929.01249999995</v>
      </c>
      <c r="C21" s="2293"/>
      <c r="O21" s="336"/>
      <c r="P21" s="336"/>
      <c r="Q21" s="336"/>
      <c r="R21" s="336"/>
      <c r="T21" s="2294" t="s">
        <v>167</v>
      </c>
      <c r="U21" s="2295"/>
      <c r="V21" s="2297"/>
      <c r="W21" s="2298"/>
      <c r="X21" s="2299"/>
      <c r="Y21" s="2269"/>
    </row>
    <row r="22" spans="1:25" ht="35.25" customHeight="1" x14ac:dyDescent="0.25">
      <c r="A22" s="15"/>
      <c r="B22" s="2288" t="s">
        <v>49</v>
      </c>
      <c r="C22" s="2291">
        <v>516943</v>
      </c>
      <c r="D22" s="2291">
        <v>60500</v>
      </c>
      <c r="E22" s="2291">
        <v>250000</v>
      </c>
      <c r="F22" s="2291">
        <f>C22-D22+E22</f>
        <v>706443</v>
      </c>
      <c r="G22" s="336"/>
      <c r="Q22" s="336"/>
      <c r="R22" s="336"/>
      <c r="T22" s="2251" t="s">
        <v>83</v>
      </c>
      <c r="U22" s="50" t="s">
        <v>60</v>
      </c>
      <c r="V22" s="2262">
        <v>250620</v>
      </c>
      <c r="W22" s="2262"/>
      <c r="X22" s="2262"/>
      <c r="Y22" s="2269"/>
    </row>
    <row r="23" spans="1:25" ht="39.75" customHeight="1" x14ac:dyDescent="0.25">
      <c r="A23" s="336"/>
      <c r="B23" s="2289"/>
      <c r="C23" s="2292"/>
      <c r="D23" s="2292"/>
      <c r="E23" s="2292"/>
      <c r="F23" s="2292"/>
      <c r="G23" s="336"/>
      <c r="Q23" s="336"/>
      <c r="R23" s="336"/>
      <c r="T23" s="2252"/>
      <c r="U23" s="50" t="s">
        <v>61</v>
      </c>
      <c r="V23" s="2262">
        <v>60500</v>
      </c>
      <c r="W23" s="2262"/>
      <c r="X23" s="2262"/>
      <c r="Y23" s="2269"/>
    </row>
    <row r="24" spans="1:25" ht="48" customHeight="1" x14ac:dyDescent="0.25">
      <c r="A24" s="336"/>
      <c r="B24" s="2290"/>
      <c r="C24" s="290" t="s">
        <v>46</v>
      </c>
      <c r="D24" s="290" t="s">
        <v>50</v>
      </c>
      <c r="E24" s="290" t="s">
        <v>51</v>
      </c>
      <c r="F24" s="290" t="s">
        <v>52</v>
      </c>
      <c r="G24" s="336"/>
      <c r="Q24" s="336"/>
      <c r="R24" s="336"/>
      <c r="T24" s="2235" t="s">
        <v>47</v>
      </c>
      <c r="U24" s="51" t="s">
        <v>62</v>
      </c>
      <c r="V24" s="2263">
        <f>V14+V16+V17-V18-V19-V20-V22+V23-V21</f>
        <v>478.11999999999534</v>
      </c>
      <c r="W24" s="2263"/>
      <c r="X24" s="2263"/>
      <c r="Y24" s="2269"/>
    </row>
    <row r="25" spans="1:25" ht="40.5" customHeight="1" x14ac:dyDescent="0.25">
      <c r="T25" s="2235"/>
      <c r="U25" s="51" t="s">
        <v>63</v>
      </c>
      <c r="V25" s="2262">
        <f>V15+V22-V23</f>
        <v>203145</v>
      </c>
      <c r="W25" s="2262"/>
      <c r="X25" s="2262"/>
    </row>
    <row r="26" spans="1:25" ht="36" customHeight="1" x14ac:dyDescent="0.25">
      <c r="K26" s="314"/>
    </row>
    <row r="32" spans="1:25" x14ac:dyDescent="0.25">
      <c r="I32" s="2280"/>
      <c r="J32" s="2280"/>
      <c r="K32" s="2280"/>
      <c r="L32" s="2280"/>
    </row>
    <row r="33" spans="9:12" x14ac:dyDescent="0.25">
      <c r="I33" s="336"/>
      <c r="J33" s="336"/>
      <c r="K33" s="2280"/>
      <c r="L33" s="2280"/>
    </row>
  </sheetData>
  <mergeCells count="62">
    <mergeCell ref="I32:J32"/>
    <mergeCell ref="K32:L32"/>
    <mergeCell ref="K33:L33"/>
    <mergeCell ref="T22:T23"/>
    <mergeCell ref="V22:X22"/>
    <mergeCell ref="V23:X23"/>
    <mergeCell ref="T24:T25"/>
    <mergeCell ref="V24:X24"/>
    <mergeCell ref="V25:X25"/>
    <mergeCell ref="Y18:Y24"/>
    <mergeCell ref="B19:C19"/>
    <mergeCell ref="Q19:R19"/>
    <mergeCell ref="T19:T20"/>
    <mergeCell ref="V19:X19"/>
    <mergeCell ref="B20:C20"/>
    <mergeCell ref="B22:B24"/>
    <mergeCell ref="C22:C23"/>
    <mergeCell ref="D22:D23"/>
    <mergeCell ref="E22:E23"/>
    <mergeCell ref="F22:F23"/>
    <mergeCell ref="Q20:R20"/>
    <mergeCell ref="V20:X20"/>
    <mergeCell ref="B21:C21"/>
    <mergeCell ref="T21:U21"/>
    <mergeCell ref="V21:X21"/>
    <mergeCell ref="B17:C17"/>
    <mergeCell ref="Q17:R17"/>
    <mergeCell ref="T17:U17"/>
    <mergeCell ref="V17:X17"/>
    <mergeCell ref="B18:C18"/>
    <mergeCell ref="Q18:R18"/>
    <mergeCell ref="T18:U18"/>
    <mergeCell ref="V18:X18"/>
    <mergeCell ref="W4:X4"/>
    <mergeCell ref="B16:C16"/>
    <mergeCell ref="Q16:R16"/>
    <mergeCell ref="T16:U16"/>
    <mergeCell ref="V16:X16"/>
    <mergeCell ref="A12:B12"/>
    <mergeCell ref="B14:C14"/>
    <mergeCell ref="Q14:R14"/>
    <mergeCell ref="T14:T15"/>
    <mergeCell ref="V14:X14"/>
    <mergeCell ref="B15:C15"/>
    <mergeCell ref="Q15:R15"/>
    <mergeCell ref="V15:X15"/>
    <mergeCell ref="A1:Y1"/>
    <mergeCell ref="A2:Y2"/>
    <mergeCell ref="T3:Y3"/>
    <mergeCell ref="A4:A5"/>
    <mergeCell ref="B4:B5"/>
    <mergeCell ref="C4:D4"/>
    <mergeCell ref="E4:F4"/>
    <mergeCell ref="G4:H4"/>
    <mergeCell ref="I4:J4"/>
    <mergeCell ref="K4:L4"/>
    <mergeCell ref="Y4:Y5"/>
    <mergeCell ref="M4:N4"/>
    <mergeCell ref="O4:P4"/>
    <mergeCell ref="Q4:R4"/>
    <mergeCell ref="S4:T4"/>
    <mergeCell ref="U4:V4"/>
  </mergeCells>
  <pageMargins left="0.15748031496063" right="0.15748031496063" top="0" bottom="0" header="0" footer="0"/>
  <pageSetup paperSize="9" scale="47" orientation="landscape" r:id="rId1"/>
</worksheet>
</file>

<file path=xl/worksheets/sheet1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2176143-1468-4025-87F7-57B0D72FDE52}">
  <sheetPr>
    <pageSetUpPr fitToPage="1"/>
  </sheetPr>
  <dimension ref="A1:Y33"/>
  <sheetViews>
    <sheetView topLeftCell="C2" zoomScale="71" zoomScaleNormal="71" zoomScaleSheetLayoutView="100" workbookViewId="0">
      <selection activeCell="V18" sqref="V18:X18"/>
    </sheetView>
  </sheetViews>
  <sheetFormatPr defaultColWidth="9.140625" defaultRowHeight="15" x14ac:dyDescent="0.25"/>
  <cols>
    <col min="1" max="1" width="18.28515625" style="14" customWidth="1"/>
    <col min="2" max="2" width="10.7109375" style="14" customWidth="1"/>
    <col min="3" max="3" width="12.28515625" style="14" customWidth="1"/>
    <col min="4" max="4" width="11" style="14" customWidth="1"/>
    <col min="5" max="5" width="12" style="14" customWidth="1"/>
    <col min="6" max="6" width="12.5703125" style="14" bestFit="1" customWidth="1"/>
    <col min="7" max="7" width="9.28515625" style="14" bestFit="1" customWidth="1"/>
    <col min="8" max="8" width="10.140625" style="14" bestFit="1" customWidth="1"/>
    <col min="9" max="9" width="10.5703125" style="14" bestFit="1" customWidth="1"/>
    <col min="10" max="10" width="10.5703125" style="14" customWidth="1"/>
    <col min="11" max="11" width="10.28515625" style="14" bestFit="1" customWidth="1"/>
    <col min="12" max="12" width="10.42578125" style="14" bestFit="1" customWidth="1"/>
    <col min="13" max="13" width="9.85546875" style="14" bestFit="1" customWidth="1"/>
    <col min="14" max="14" width="10.140625" style="14" bestFit="1" customWidth="1"/>
    <col min="15" max="15" width="9" style="14" customWidth="1"/>
    <col min="16" max="16" width="12.85546875" style="14" bestFit="1" customWidth="1"/>
    <col min="17" max="18" width="9.42578125" style="14" customWidth="1"/>
    <col min="19" max="19" width="13.7109375" style="14" customWidth="1"/>
    <col min="20" max="20" width="12.140625" style="14" customWidth="1"/>
    <col min="21" max="21" width="19.5703125" style="14" bestFit="1" customWidth="1"/>
    <col min="22" max="22" width="9.85546875" style="14" customWidth="1"/>
    <col min="23" max="23" width="10.140625" style="14" bestFit="1" customWidth="1"/>
    <col min="24" max="24" width="10.28515625" style="14" customWidth="1"/>
    <col min="25" max="25" width="28" style="14" customWidth="1"/>
    <col min="26" max="16384" width="9.140625" style="14"/>
  </cols>
  <sheetData>
    <row r="1" spans="1:25" ht="46.15" customHeight="1" x14ac:dyDescent="0.25">
      <c r="A1" s="2240" t="s">
        <v>148</v>
      </c>
      <c r="B1" s="2240"/>
      <c r="C1" s="2240"/>
      <c r="D1" s="2240"/>
      <c r="E1" s="2240"/>
      <c r="F1" s="2240"/>
      <c r="G1" s="2240"/>
      <c r="H1" s="2240"/>
      <c r="I1" s="2240"/>
      <c r="J1" s="2240"/>
      <c r="K1" s="2240"/>
      <c r="L1" s="2240"/>
      <c r="M1" s="2240"/>
      <c r="N1" s="2240"/>
      <c r="O1" s="2240"/>
      <c r="P1" s="2240"/>
      <c r="Q1" s="2240"/>
      <c r="R1" s="2240"/>
      <c r="S1" s="2240"/>
      <c r="T1" s="2240"/>
      <c r="U1" s="2240"/>
      <c r="V1" s="2240"/>
      <c r="W1" s="2240"/>
      <c r="X1" s="2240"/>
      <c r="Y1" s="2240"/>
    </row>
    <row r="2" spans="1:25" ht="21.6" customHeight="1" x14ac:dyDescent="0.25">
      <c r="A2" s="2241" t="s">
        <v>77</v>
      </c>
      <c r="B2" s="2241"/>
      <c r="C2" s="2241"/>
      <c r="D2" s="2241"/>
      <c r="E2" s="2241"/>
      <c r="F2" s="2241"/>
      <c r="G2" s="2241"/>
      <c r="H2" s="2241"/>
      <c r="I2" s="2241"/>
      <c r="J2" s="2241"/>
      <c r="K2" s="2241"/>
      <c r="L2" s="2241"/>
      <c r="M2" s="2241"/>
      <c r="N2" s="2241"/>
      <c r="O2" s="2241"/>
      <c r="P2" s="2241"/>
      <c r="Q2" s="2241"/>
      <c r="R2" s="2241"/>
      <c r="S2" s="2241"/>
      <c r="T2" s="2241"/>
      <c r="U2" s="2241"/>
      <c r="V2" s="2241"/>
      <c r="W2" s="2241"/>
      <c r="X2" s="2241"/>
      <c r="Y2" s="2241"/>
    </row>
    <row r="3" spans="1:25" ht="21" customHeight="1" x14ac:dyDescent="0.25">
      <c r="A3" s="326"/>
      <c r="B3" s="326"/>
      <c r="C3" s="326"/>
      <c r="D3" s="326"/>
      <c r="E3" s="326"/>
      <c r="F3" s="326"/>
      <c r="G3" s="326"/>
      <c r="H3" s="326"/>
      <c r="I3" s="326"/>
      <c r="J3" s="326"/>
      <c r="K3" s="326"/>
      <c r="L3" s="326"/>
      <c r="M3" s="326"/>
      <c r="N3" s="326"/>
      <c r="O3" s="326"/>
      <c r="P3" s="326"/>
      <c r="Q3" s="326"/>
      <c r="R3" s="326"/>
      <c r="S3" s="326"/>
      <c r="T3" s="2242" t="s">
        <v>308</v>
      </c>
      <c r="U3" s="2242"/>
      <c r="V3" s="2242"/>
      <c r="W3" s="2242"/>
      <c r="X3" s="2242"/>
      <c r="Y3" s="2242"/>
    </row>
    <row r="4" spans="1:25" s="326" customFormat="1" ht="18" customHeight="1" x14ac:dyDescent="0.25">
      <c r="A4" s="2243" t="s">
        <v>25</v>
      </c>
      <c r="B4" s="2243" t="s">
        <v>26</v>
      </c>
      <c r="C4" s="2244" t="s">
        <v>27</v>
      </c>
      <c r="D4" s="2244"/>
      <c r="E4" s="2244" t="s">
        <v>28</v>
      </c>
      <c r="F4" s="2244"/>
      <c r="G4" s="2244" t="s">
        <v>65</v>
      </c>
      <c r="H4" s="2244"/>
      <c r="I4" s="2244" t="s">
        <v>29</v>
      </c>
      <c r="J4" s="2244"/>
      <c r="K4" s="2245" t="s">
        <v>13</v>
      </c>
      <c r="L4" s="2246"/>
      <c r="M4" s="2245" t="s">
        <v>67</v>
      </c>
      <c r="N4" s="2246"/>
      <c r="O4" s="2245" t="s">
        <v>68</v>
      </c>
      <c r="P4" s="2246"/>
      <c r="Q4" s="2245" t="s">
        <v>114</v>
      </c>
      <c r="R4" s="2246"/>
      <c r="S4" s="2244" t="s">
        <v>35</v>
      </c>
      <c r="T4" s="2244"/>
      <c r="U4" s="2245" t="s">
        <v>17</v>
      </c>
      <c r="V4" s="2246"/>
      <c r="W4" s="2247" t="s">
        <v>36</v>
      </c>
      <c r="X4" s="2248"/>
      <c r="Y4" s="2238" t="s">
        <v>30</v>
      </c>
    </row>
    <row r="5" spans="1:25" s="326" customFormat="1" ht="25.5" customHeight="1" x14ac:dyDescent="0.25">
      <c r="A5" s="2243"/>
      <c r="B5" s="2243"/>
      <c r="C5" s="328" t="s">
        <v>42</v>
      </c>
      <c r="D5" s="328" t="s">
        <v>43</v>
      </c>
      <c r="E5" s="328" t="s">
        <v>42</v>
      </c>
      <c r="F5" s="328" t="s">
        <v>43</v>
      </c>
      <c r="G5" s="328" t="s">
        <v>42</v>
      </c>
      <c r="H5" s="328" t="s">
        <v>43</v>
      </c>
      <c r="I5" s="328" t="s">
        <v>42</v>
      </c>
      <c r="J5" s="328" t="s">
        <v>43</v>
      </c>
      <c r="K5" s="328" t="s">
        <v>42</v>
      </c>
      <c r="L5" s="328" t="s">
        <v>43</v>
      </c>
      <c r="M5" s="328" t="s">
        <v>42</v>
      </c>
      <c r="N5" s="328" t="s">
        <v>43</v>
      </c>
      <c r="O5" s="328" t="s">
        <v>42</v>
      </c>
      <c r="P5" s="328" t="s">
        <v>43</v>
      </c>
      <c r="Q5" s="328" t="s">
        <v>42</v>
      </c>
      <c r="R5" s="328" t="s">
        <v>43</v>
      </c>
      <c r="S5" s="33" t="s">
        <v>42</v>
      </c>
      <c r="T5" s="33" t="s">
        <v>43</v>
      </c>
      <c r="U5" s="30" t="s">
        <v>42</v>
      </c>
      <c r="V5" s="30" t="s">
        <v>43</v>
      </c>
      <c r="W5" s="30" t="s">
        <v>42</v>
      </c>
      <c r="X5" s="30" t="s">
        <v>43</v>
      </c>
      <c r="Y5" s="2239"/>
    </row>
    <row r="6" spans="1:25" ht="34.5" customHeight="1" x14ac:dyDescent="0.25">
      <c r="A6" s="12">
        <v>1409935200</v>
      </c>
      <c r="B6" s="327" t="s">
        <v>71</v>
      </c>
      <c r="C6" s="330">
        <v>20655</v>
      </c>
      <c r="D6" s="331">
        <f>0.9725*C6</f>
        <v>20086.987499999999</v>
      </c>
      <c r="E6" s="330"/>
      <c r="F6" s="330">
        <f>13.7*E6</f>
        <v>0</v>
      </c>
      <c r="G6" s="330"/>
      <c r="H6" s="330">
        <f>28.2*G6</f>
        <v>0</v>
      </c>
      <c r="I6" s="330"/>
      <c r="J6" s="330">
        <f>18.5*I6</f>
        <v>0</v>
      </c>
      <c r="K6" s="330"/>
      <c r="L6" s="330">
        <f>19.5*K6</f>
        <v>0</v>
      </c>
      <c r="M6" s="330"/>
      <c r="N6" s="331">
        <f>M6*9.75</f>
        <v>0</v>
      </c>
      <c r="O6" s="330"/>
      <c r="P6" s="331">
        <f>O6*48.62</f>
        <v>0</v>
      </c>
      <c r="Q6" s="331"/>
      <c r="R6" s="331">
        <f>241*Q6</f>
        <v>0</v>
      </c>
      <c r="S6" s="330"/>
      <c r="T6" s="330">
        <f>241*S6</f>
        <v>0</v>
      </c>
      <c r="U6" s="330"/>
      <c r="V6" s="330">
        <f>232*U6</f>
        <v>0</v>
      </c>
      <c r="W6" s="330"/>
      <c r="X6" s="19">
        <f>W6*100</f>
        <v>0</v>
      </c>
      <c r="Y6" s="89">
        <f t="shared" ref="Y6:Y11" si="0">D6+F6+H6+J6+L6+N6+P6+R6+T6+V6+X6</f>
        <v>20086.987499999999</v>
      </c>
    </row>
    <row r="7" spans="1:25" ht="31.5" customHeight="1" x14ac:dyDescent="0.25">
      <c r="A7" s="12">
        <v>1984225578</v>
      </c>
      <c r="B7" s="327" t="s">
        <v>72</v>
      </c>
      <c r="C7" s="330">
        <v>65050</v>
      </c>
      <c r="D7" s="331">
        <f t="shared" ref="D7:D11" si="1">0.9725*C7</f>
        <v>63261.125</v>
      </c>
      <c r="E7" s="330"/>
      <c r="F7" s="330">
        <f t="shared" ref="F7:F11" si="2">13.7*E7</f>
        <v>0</v>
      </c>
      <c r="G7" s="330">
        <v>50</v>
      </c>
      <c r="H7" s="330">
        <f t="shared" ref="H7:H11" si="3">28.2*G7</f>
        <v>1410</v>
      </c>
      <c r="I7" s="330">
        <v>100</v>
      </c>
      <c r="J7" s="330">
        <f t="shared" ref="J7:J11" si="4">18.5*I7</f>
        <v>1850</v>
      </c>
      <c r="K7" s="330"/>
      <c r="L7" s="330">
        <f t="shared" ref="L7:L11" si="5">19.5*K7</f>
        <v>0</v>
      </c>
      <c r="M7" s="330"/>
      <c r="N7" s="331">
        <f t="shared" ref="N7:N11" si="6">M7*9.75</f>
        <v>0</v>
      </c>
      <c r="O7" s="330"/>
      <c r="P7" s="331">
        <f t="shared" ref="P7:P11" si="7">O7*48.62</f>
        <v>0</v>
      </c>
      <c r="Q7" s="331"/>
      <c r="R7" s="331">
        <f t="shared" ref="R7:R11" si="8">241*Q7</f>
        <v>0</v>
      </c>
      <c r="S7" s="330"/>
      <c r="T7" s="330">
        <f t="shared" ref="T7:T11" si="9">241*S7</f>
        <v>0</v>
      </c>
      <c r="U7" s="330">
        <v>15</v>
      </c>
      <c r="V7" s="330">
        <f t="shared" ref="V7:V11" si="10">232*U7</f>
        <v>3480</v>
      </c>
      <c r="W7" s="330"/>
      <c r="X7" s="19">
        <f t="shared" ref="X7:X11" si="11">W7*100</f>
        <v>0</v>
      </c>
      <c r="Y7" s="89">
        <f t="shared" si="0"/>
        <v>70001.125</v>
      </c>
    </row>
    <row r="8" spans="1:25" ht="35.25" customHeight="1" x14ac:dyDescent="0.25">
      <c r="A8" s="12">
        <v>1967020280</v>
      </c>
      <c r="B8" s="327" t="s">
        <v>73</v>
      </c>
      <c r="C8" s="330">
        <v>27661</v>
      </c>
      <c r="D8" s="331">
        <f t="shared" si="1"/>
        <v>26900.322500000002</v>
      </c>
      <c r="E8" s="330"/>
      <c r="F8" s="330">
        <f t="shared" si="2"/>
        <v>0</v>
      </c>
      <c r="G8" s="330"/>
      <c r="H8" s="330">
        <f t="shared" si="3"/>
        <v>0</v>
      </c>
      <c r="I8" s="330"/>
      <c r="J8" s="330">
        <f t="shared" si="4"/>
        <v>0</v>
      </c>
      <c r="K8" s="330"/>
      <c r="L8" s="330">
        <f t="shared" si="5"/>
        <v>0</v>
      </c>
      <c r="M8" s="330"/>
      <c r="N8" s="331">
        <f t="shared" si="6"/>
        <v>0</v>
      </c>
      <c r="O8" s="330"/>
      <c r="P8" s="331">
        <f t="shared" si="7"/>
        <v>0</v>
      </c>
      <c r="Q8" s="331"/>
      <c r="R8" s="331">
        <f t="shared" si="8"/>
        <v>0</v>
      </c>
      <c r="S8" s="330"/>
      <c r="T8" s="330">
        <f t="shared" si="9"/>
        <v>0</v>
      </c>
      <c r="U8" s="330"/>
      <c r="V8" s="330">
        <f t="shared" si="10"/>
        <v>0</v>
      </c>
      <c r="W8" s="330"/>
      <c r="X8" s="19">
        <f t="shared" si="11"/>
        <v>0</v>
      </c>
      <c r="Y8" s="89">
        <f t="shared" si="0"/>
        <v>26900.322500000002</v>
      </c>
    </row>
    <row r="9" spans="1:25" ht="38.25" customHeight="1" x14ac:dyDescent="0.25">
      <c r="A9" s="12">
        <v>1984225580</v>
      </c>
      <c r="B9" s="327" t="s">
        <v>75</v>
      </c>
      <c r="C9" s="330">
        <v>93323</v>
      </c>
      <c r="D9" s="331">
        <f t="shared" si="1"/>
        <v>90756.617500000008</v>
      </c>
      <c r="E9" s="330"/>
      <c r="F9" s="330">
        <f t="shared" si="2"/>
        <v>0</v>
      </c>
      <c r="G9" s="330">
        <v>80</v>
      </c>
      <c r="H9" s="330">
        <f t="shared" si="3"/>
        <v>2256</v>
      </c>
      <c r="I9" s="330"/>
      <c r="J9" s="330">
        <f t="shared" si="4"/>
        <v>0</v>
      </c>
      <c r="K9" s="330"/>
      <c r="L9" s="330">
        <f t="shared" si="5"/>
        <v>0</v>
      </c>
      <c r="M9" s="330"/>
      <c r="N9" s="331">
        <f t="shared" si="6"/>
        <v>0</v>
      </c>
      <c r="O9" s="330"/>
      <c r="P9" s="331">
        <f t="shared" si="7"/>
        <v>0</v>
      </c>
      <c r="Q9" s="331"/>
      <c r="R9" s="331">
        <f t="shared" si="8"/>
        <v>0</v>
      </c>
      <c r="S9" s="330">
        <v>6</v>
      </c>
      <c r="T9" s="330">
        <f t="shared" si="9"/>
        <v>1446</v>
      </c>
      <c r="U9" s="330">
        <v>10</v>
      </c>
      <c r="V9" s="330">
        <f t="shared" si="10"/>
        <v>2320</v>
      </c>
      <c r="W9" s="330"/>
      <c r="X9" s="19">
        <f t="shared" si="11"/>
        <v>0</v>
      </c>
      <c r="Y9" s="89">
        <f t="shared" si="0"/>
        <v>96778.617500000008</v>
      </c>
    </row>
    <row r="10" spans="1:25" ht="35.25" customHeight="1" x14ac:dyDescent="0.25">
      <c r="A10" s="12">
        <v>1409935199</v>
      </c>
      <c r="C10" s="330"/>
      <c r="D10" s="331">
        <f t="shared" si="1"/>
        <v>0</v>
      </c>
      <c r="E10" s="330"/>
      <c r="F10" s="330">
        <f t="shared" si="2"/>
        <v>0</v>
      </c>
      <c r="G10" s="330"/>
      <c r="H10" s="330">
        <f t="shared" si="3"/>
        <v>0</v>
      </c>
      <c r="I10" s="330"/>
      <c r="J10" s="330">
        <f t="shared" si="4"/>
        <v>0</v>
      </c>
      <c r="K10" s="330"/>
      <c r="L10" s="330">
        <f t="shared" si="5"/>
        <v>0</v>
      </c>
      <c r="M10" s="330"/>
      <c r="N10" s="331">
        <f t="shared" si="6"/>
        <v>0</v>
      </c>
      <c r="O10" s="330"/>
      <c r="P10" s="331">
        <f t="shared" si="7"/>
        <v>0</v>
      </c>
      <c r="Q10" s="331"/>
      <c r="R10" s="331">
        <f t="shared" si="8"/>
        <v>0</v>
      </c>
      <c r="S10" s="330"/>
      <c r="T10" s="330">
        <f t="shared" si="9"/>
        <v>0</v>
      </c>
      <c r="U10" s="330"/>
      <c r="V10" s="330">
        <f t="shared" si="10"/>
        <v>0</v>
      </c>
      <c r="W10" s="330"/>
      <c r="X10" s="19">
        <f t="shared" si="11"/>
        <v>0</v>
      </c>
      <c r="Y10" s="89">
        <f t="shared" si="0"/>
        <v>0</v>
      </c>
    </row>
    <row r="11" spans="1:25" ht="37.5" customHeight="1" x14ac:dyDescent="0.25">
      <c r="A11" s="12"/>
      <c r="B11" s="329"/>
      <c r="C11" s="330"/>
      <c r="D11" s="22">
        <f t="shared" si="1"/>
        <v>0</v>
      </c>
      <c r="E11" s="330"/>
      <c r="F11" s="330">
        <f t="shared" si="2"/>
        <v>0</v>
      </c>
      <c r="G11" s="330"/>
      <c r="H11" s="330">
        <f t="shared" si="3"/>
        <v>0</v>
      </c>
      <c r="I11" s="330"/>
      <c r="J11" s="330">
        <f t="shared" si="4"/>
        <v>0</v>
      </c>
      <c r="K11" s="330"/>
      <c r="L11" s="330">
        <f t="shared" si="5"/>
        <v>0</v>
      </c>
      <c r="M11" s="330"/>
      <c r="N11" s="331">
        <f t="shared" si="6"/>
        <v>0</v>
      </c>
      <c r="O11" s="330"/>
      <c r="P11" s="331">
        <f t="shared" si="7"/>
        <v>0</v>
      </c>
      <c r="Q11" s="331"/>
      <c r="R11" s="331">
        <f t="shared" si="8"/>
        <v>0</v>
      </c>
      <c r="S11" s="330">
        <v>200</v>
      </c>
      <c r="T11" s="330">
        <f t="shared" si="9"/>
        <v>48200</v>
      </c>
      <c r="U11" s="330"/>
      <c r="V11" s="330">
        <f t="shared" si="10"/>
        <v>0</v>
      </c>
      <c r="W11" s="330"/>
      <c r="X11" s="19">
        <f t="shared" si="11"/>
        <v>0</v>
      </c>
      <c r="Y11" s="20">
        <f t="shared" si="0"/>
        <v>48200</v>
      </c>
    </row>
    <row r="12" spans="1:25" ht="29.25" customHeight="1" x14ac:dyDescent="0.25">
      <c r="A12" s="2235" t="s">
        <v>31</v>
      </c>
      <c r="B12" s="2235"/>
      <c r="C12" s="18">
        <f t="shared" ref="C12:Y12" si="12">SUM(C6:C11)</f>
        <v>206689</v>
      </c>
      <c r="D12" s="18">
        <f t="shared" si="12"/>
        <v>201005.05249999999</v>
      </c>
      <c r="E12" s="18">
        <f t="shared" si="12"/>
        <v>0</v>
      </c>
      <c r="F12" s="18">
        <f t="shared" si="12"/>
        <v>0</v>
      </c>
      <c r="G12" s="18">
        <f t="shared" si="12"/>
        <v>130</v>
      </c>
      <c r="H12" s="18">
        <f t="shared" si="12"/>
        <v>3666</v>
      </c>
      <c r="I12" s="18">
        <f t="shared" si="12"/>
        <v>100</v>
      </c>
      <c r="J12" s="18">
        <f t="shared" si="12"/>
        <v>1850</v>
      </c>
      <c r="K12" s="18">
        <f t="shared" si="12"/>
        <v>0</v>
      </c>
      <c r="L12" s="18">
        <f t="shared" si="12"/>
        <v>0</v>
      </c>
      <c r="M12" s="18">
        <f t="shared" si="12"/>
        <v>0</v>
      </c>
      <c r="N12" s="23">
        <f t="shared" si="12"/>
        <v>0</v>
      </c>
      <c r="O12" s="18">
        <f t="shared" si="12"/>
        <v>0</v>
      </c>
      <c r="P12" s="23">
        <f t="shared" si="12"/>
        <v>0</v>
      </c>
      <c r="Q12" s="23">
        <f t="shared" si="12"/>
        <v>0</v>
      </c>
      <c r="R12" s="23">
        <f>SUM(R6:R11)</f>
        <v>0</v>
      </c>
      <c r="S12" s="18">
        <f t="shared" si="12"/>
        <v>206</v>
      </c>
      <c r="T12" s="18">
        <f t="shared" si="12"/>
        <v>49646</v>
      </c>
      <c r="U12" s="18">
        <f t="shared" si="12"/>
        <v>25</v>
      </c>
      <c r="V12" s="18">
        <f t="shared" si="12"/>
        <v>5800</v>
      </c>
      <c r="W12" s="18">
        <f t="shared" si="12"/>
        <v>0</v>
      </c>
      <c r="X12" s="18">
        <f t="shared" si="12"/>
        <v>0</v>
      </c>
      <c r="Y12" s="18">
        <f t="shared" si="12"/>
        <v>261967.05249999999</v>
      </c>
    </row>
    <row r="14" spans="1:25" ht="41.25" customHeight="1" x14ac:dyDescent="0.25">
      <c r="A14" s="30" t="s">
        <v>32</v>
      </c>
      <c r="B14" s="2236" t="s">
        <v>27</v>
      </c>
      <c r="C14" s="2236"/>
      <c r="D14" s="30" t="s">
        <v>33</v>
      </c>
      <c r="E14" s="30" t="s">
        <v>65</v>
      </c>
      <c r="F14" s="30" t="s">
        <v>34</v>
      </c>
      <c r="G14" s="30" t="s">
        <v>13</v>
      </c>
      <c r="H14" s="142" t="s">
        <v>173</v>
      </c>
      <c r="I14" s="30" t="s">
        <v>17</v>
      </c>
      <c r="J14" s="335" t="s">
        <v>174</v>
      </c>
      <c r="K14" s="30" t="s">
        <v>36</v>
      </c>
      <c r="L14" s="30" t="s">
        <v>175</v>
      </c>
      <c r="M14" s="30" t="s">
        <v>69</v>
      </c>
      <c r="N14" s="30" t="s">
        <v>70</v>
      </c>
      <c r="O14" s="335" t="s">
        <v>114</v>
      </c>
      <c r="P14" s="335" t="s">
        <v>99</v>
      </c>
      <c r="Q14" s="2272" t="s">
        <v>301</v>
      </c>
      <c r="R14" s="2272"/>
      <c r="S14" s="335"/>
      <c r="T14" s="2235" t="s">
        <v>46</v>
      </c>
      <c r="U14" s="327" t="s">
        <v>176</v>
      </c>
      <c r="V14" s="2260">
        <v>478</v>
      </c>
      <c r="W14" s="2268"/>
      <c r="X14" s="2261"/>
    </row>
    <row r="15" spans="1:25" ht="22.5" customHeight="1" x14ac:dyDescent="0.25">
      <c r="A15" s="100" t="s">
        <v>38</v>
      </c>
      <c r="B15" s="2260">
        <v>335765</v>
      </c>
      <c r="C15" s="2261"/>
      <c r="D15" s="332">
        <v>0</v>
      </c>
      <c r="E15" s="332">
        <v>1830</v>
      </c>
      <c r="F15" s="332">
        <v>220</v>
      </c>
      <c r="G15" s="332">
        <v>0</v>
      </c>
      <c r="H15" s="332">
        <v>344</v>
      </c>
      <c r="I15" s="332">
        <v>65</v>
      </c>
      <c r="J15" s="332">
        <v>61</v>
      </c>
      <c r="K15" s="332">
        <v>68</v>
      </c>
      <c r="L15" s="332">
        <v>648</v>
      </c>
      <c r="M15" s="332">
        <v>0</v>
      </c>
      <c r="N15" s="332">
        <v>100</v>
      </c>
      <c r="O15" s="332">
        <v>0</v>
      </c>
      <c r="P15" s="332">
        <v>404</v>
      </c>
      <c r="Q15" s="2262">
        <v>709</v>
      </c>
      <c r="R15" s="2262"/>
      <c r="S15" s="327">
        <v>0</v>
      </c>
      <c r="T15" s="2235"/>
      <c r="U15" s="327" t="s">
        <v>64</v>
      </c>
      <c r="V15" s="2262">
        <v>203145</v>
      </c>
      <c r="W15" s="2262"/>
      <c r="X15" s="2262"/>
    </row>
    <row r="16" spans="1:25" ht="24.75" customHeight="1" x14ac:dyDescent="0.25">
      <c r="A16" s="100" t="s">
        <v>39</v>
      </c>
      <c r="B16" s="2260">
        <v>332467</v>
      </c>
      <c r="C16" s="2261"/>
      <c r="D16" s="332"/>
      <c r="E16" s="332"/>
      <c r="F16" s="332"/>
      <c r="G16" s="332"/>
      <c r="H16" s="332"/>
      <c r="I16" s="332"/>
      <c r="J16" s="332"/>
      <c r="K16" s="332"/>
      <c r="L16" s="332">
        <v>217</v>
      </c>
      <c r="M16" s="332"/>
      <c r="N16" s="332"/>
      <c r="O16" s="332"/>
      <c r="P16" s="332"/>
      <c r="Q16" s="2225"/>
      <c r="R16" s="2225"/>
      <c r="S16" s="332"/>
      <c r="T16" s="2254" t="s">
        <v>55</v>
      </c>
      <c r="U16" s="2254"/>
      <c r="V16" s="2267">
        <f>Y12</f>
        <v>261967.05249999999</v>
      </c>
      <c r="W16" s="2267"/>
      <c r="X16" s="2262"/>
    </row>
    <row r="17" spans="1:25" ht="28.5" customHeight="1" x14ac:dyDescent="0.25">
      <c r="A17" s="101" t="s">
        <v>44</v>
      </c>
      <c r="B17" s="2260"/>
      <c r="C17" s="2261"/>
      <c r="D17" s="332"/>
      <c r="E17" s="332"/>
      <c r="F17" s="332"/>
      <c r="G17" s="332"/>
      <c r="H17" s="332"/>
      <c r="I17" s="332"/>
      <c r="J17" s="332"/>
      <c r="K17" s="332"/>
      <c r="L17" s="332"/>
      <c r="M17" s="332"/>
      <c r="N17" s="332"/>
      <c r="O17" s="332"/>
      <c r="P17" s="332"/>
      <c r="Q17" s="2225"/>
      <c r="R17" s="2225"/>
      <c r="S17" s="329"/>
      <c r="T17" s="2294" t="s">
        <v>296</v>
      </c>
      <c r="U17" s="2295"/>
      <c r="V17" s="2296">
        <v>200000</v>
      </c>
      <c r="W17" s="2296"/>
      <c r="X17" s="2296"/>
    </row>
    <row r="18" spans="1:25" ht="27" customHeight="1" x14ac:dyDescent="0.25">
      <c r="A18" s="100" t="s">
        <v>40</v>
      </c>
      <c r="B18" s="2264">
        <f>C12</f>
        <v>206689</v>
      </c>
      <c r="C18" s="2261"/>
      <c r="D18" s="333">
        <f>E12</f>
        <v>0</v>
      </c>
      <c r="E18" s="333">
        <f>G12</f>
        <v>130</v>
      </c>
      <c r="F18" s="333">
        <f>I12</f>
        <v>100</v>
      </c>
      <c r="G18" s="333">
        <f>K12</f>
        <v>0</v>
      </c>
      <c r="H18" s="332">
        <v>223</v>
      </c>
      <c r="I18" s="333">
        <f>U12</f>
        <v>25</v>
      </c>
      <c r="J18" s="332"/>
      <c r="K18" s="333">
        <f>W12</f>
        <v>0</v>
      </c>
      <c r="L18" s="332">
        <v>55</v>
      </c>
      <c r="M18" s="333">
        <f>M12</f>
        <v>0</v>
      </c>
      <c r="N18" s="333">
        <f>O12</f>
        <v>0</v>
      </c>
      <c r="O18" s="334">
        <f>Q12</f>
        <v>0</v>
      </c>
      <c r="P18" s="332"/>
      <c r="Q18" s="2262">
        <v>145</v>
      </c>
      <c r="R18" s="2262"/>
      <c r="S18" s="327"/>
      <c r="T18" s="2254" t="s">
        <v>57</v>
      </c>
      <c r="U18" s="2254"/>
      <c r="V18" s="2262">
        <f>520+700+53933</f>
        <v>55153</v>
      </c>
      <c r="W18" s="2262"/>
      <c r="X18" s="2262"/>
      <c r="Y18" s="2269" t="s">
        <v>291</v>
      </c>
    </row>
    <row r="19" spans="1:25" ht="25.5" customHeight="1" x14ac:dyDescent="0.25">
      <c r="A19" s="100" t="s">
        <v>41</v>
      </c>
      <c r="B19" s="2260">
        <f>B15+B16+B17-B18</f>
        <v>461543</v>
      </c>
      <c r="C19" s="2261"/>
      <c r="D19" s="332">
        <f>D15+D16+D17-D18</f>
        <v>0</v>
      </c>
      <c r="E19" s="332">
        <f t="shared" ref="E19:N19" si="13">E15+E16+E17-E18</f>
        <v>1700</v>
      </c>
      <c r="F19" s="332">
        <f t="shared" si="13"/>
        <v>120</v>
      </c>
      <c r="G19" s="332">
        <f t="shared" si="13"/>
        <v>0</v>
      </c>
      <c r="H19" s="332">
        <f t="shared" si="13"/>
        <v>121</v>
      </c>
      <c r="I19" s="332">
        <f t="shared" si="13"/>
        <v>40</v>
      </c>
      <c r="J19" s="332">
        <f t="shared" si="13"/>
        <v>61</v>
      </c>
      <c r="K19" s="332">
        <f t="shared" si="13"/>
        <v>68</v>
      </c>
      <c r="L19" s="332">
        <f t="shared" si="13"/>
        <v>810</v>
      </c>
      <c r="M19" s="332">
        <f t="shared" si="13"/>
        <v>0</v>
      </c>
      <c r="N19" s="332">
        <f t="shared" si="13"/>
        <v>100</v>
      </c>
      <c r="O19" s="332">
        <f>O15+O16+O17-O18</f>
        <v>0</v>
      </c>
      <c r="P19" s="332">
        <f>P15+P16+P17-P18</f>
        <v>404</v>
      </c>
      <c r="Q19" s="2260">
        <f t="shared" ref="Q19" si="14">Q15+Q16+Q17-Q18</f>
        <v>564</v>
      </c>
      <c r="R19" s="2261"/>
      <c r="S19" s="327">
        <f>S15+S16-S17-S18</f>
        <v>0</v>
      </c>
      <c r="T19" s="2256" t="s">
        <v>48</v>
      </c>
      <c r="U19" s="49" t="s">
        <v>58</v>
      </c>
      <c r="V19" s="2262">
        <v>550973</v>
      </c>
      <c r="W19" s="2262"/>
      <c r="X19" s="2262"/>
      <c r="Y19" s="2269"/>
    </row>
    <row r="20" spans="1:25" ht="23.25" customHeight="1" x14ac:dyDescent="0.25">
      <c r="A20" s="289" t="s">
        <v>187</v>
      </c>
      <c r="B20" s="2286">
        <f>B19*0.9625</f>
        <v>444235.13750000001</v>
      </c>
      <c r="C20" s="2287"/>
      <c r="D20" s="290">
        <f>D19*13.56</f>
        <v>0</v>
      </c>
      <c r="E20" s="290">
        <f>28.2*E19</f>
        <v>47940</v>
      </c>
      <c r="F20" s="290">
        <f>18.31*F19</f>
        <v>2197.1999999999998</v>
      </c>
      <c r="G20" s="290">
        <f>19.3*G19</f>
        <v>0</v>
      </c>
      <c r="H20" s="290">
        <f>241*H19</f>
        <v>29161</v>
      </c>
      <c r="I20" s="290">
        <f>223*I19</f>
        <v>8920</v>
      </c>
      <c r="J20" s="290">
        <f>241*J19</f>
        <v>14701</v>
      </c>
      <c r="K20" s="290">
        <f>K19*100</f>
        <v>6800</v>
      </c>
      <c r="L20" s="290">
        <f>241*L19</f>
        <v>195210</v>
      </c>
      <c r="M20" s="290">
        <f>9.65*M19</f>
        <v>0</v>
      </c>
      <c r="N20" s="290">
        <f>N19*48.2</f>
        <v>4820</v>
      </c>
      <c r="O20" s="290">
        <f>241*O19</f>
        <v>0</v>
      </c>
      <c r="P20" s="290">
        <f>241*P19</f>
        <v>97364</v>
      </c>
      <c r="Q20" s="2286">
        <f>241*Q19</f>
        <v>135924</v>
      </c>
      <c r="R20" s="2287"/>
      <c r="S20" s="290">
        <f>241*S19</f>
        <v>0</v>
      </c>
      <c r="T20" s="2257"/>
      <c r="U20" s="49" t="s">
        <v>59</v>
      </c>
      <c r="V20" s="2262"/>
      <c r="W20" s="2262"/>
      <c r="X20" s="2262"/>
      <c r="Y20" s="2269"/>
    </row>
    <row r="21" spans="1:25" ht="32.25" customHeight="1" x14ac:dyDescent="0.25">
      <c r="A21" s="291" t="s">
        <v>186</v>
      </c>
      <c r="B21" s="2293">
        <f>SUM(B20:S20)</f>
        <v>987272.33750000002</v>
      </c>
      <c r="C21" s="2293"/>
      <c r="O21" s="336"/>
      <c r="P21" s="336"/>
      <c r="Q21" s="336"/>
      <c r="R21" s="336"/>
      <c r="T21" s="2294" t="s">
        <v>167</v>
      </c>
      <c r="U21" s="2295"/>
      <c r="V21" s="2297"/>
      <c r="W21" s="2298"/>
      <c r="X21" s="2299"/>
      <c r="Y21" s="2269"/>
    </row>
    <row r="22" spans="1:25" ht="35.25" customHeight="1" x14ac:dyDescent="0.25">
      <c r="A22" s="15"/>
      <c r="B22" s="2288" t="s">
        <v>49</v>
      </c>
      <c r="C22" s="2291">
        <v>706443</v>
      </c>
      <c r="D22" s="2291">
        <v>550973</v>
      </c>
      <c r="E22" s="2291">
        <v>320000</v>
      </c>
      <c r="F22" s="2291">
        <f>C22-D22+E22</f>
        <v>475470</v>
      </c>
      <c r="G22" s="336"/>
      <c r="Q22" s="336"/>
      <c r="R22" s="336"/>
      <c r="T22" s="2251" t="s">
        <v>83</v>
      </c>
      <c r="U22" s="50" t="s">
        <v>60</v>
      </c>
      <c r="V22" s="2262">
        <v>396550</v>
      </c>
      <c r="W22" s="2262"/>
      <c r="X22" s="2262"/>
      <c r="Y22" s="2269"/>
    </row>
    <row r="23" spans="1:25" ht="39.75" customHeight="1" x14ac:dyDescent="0.25">
      <c r="A23" s="336"/>
      <c r="B23" s="2289"/>
      <c r="C23" s="2292"/>
      <c r="D23" s="2292"/>
      <c r="E23" s="2292"/>
      <c r="F23" s="2292"/>
      <c r="G23" s="336"/>
      <c r="Q23" s="336"/>
      <c r="R23" s="336"/>
      <c r="T23" s="2252"/>
      <c r="U23" s="50" t="s">
        <v>61</v>
      </c>
      <c r="V23" s="2262">
        <v>550973</v>
      </c>
      <c r="W23" s="2262"/>
      <c r="X23" s="2262"/>
      <c r="Y23" s="2269"/>
    </row>
    <row r="24" spans="1:25" ht="48" customHeight="1" x14ac:dyDescent="0.25">
      <c r="A24" s="336"/>
      <c r="B24" s="2290"/>
      <c r="C24" s="290" t="s">
        <v>46</v>
      </c>
      <c r="D24" s="290" t="s">
        <v>50</v>
      </c>
      <c r="E24" s="290" t="s">
        <v>51</v>
      </c>
      <c r="F24" s="290" t="s">
        <v>52</v>
      </c>
      <c r="G24" s="336"/>
      <c r="Q24" s="336"/>
      <c r="R24" s="336"/>
      <c r="T24" s="2235" t="s">
        <v>47</v>
      </c>
      <c r="U24" s="51" t="s">
        <v>62</v>
      </c>
      <c r="V24" s="2263">
        <f>V14+V16+V17-V18-V19-V20-V22+V23-V21</f>
        <v>10742.052499999991</v>
      </c>
      <c r="W24" s="2263"/>
      <c r="X24" s="2263"/>
      <c r="Y24" s="2269"/>
    </row>
    <row r="25" spans="1:25" ht="40.5" customHeight="1" x14ac:dyDescent="0.25">
      <c r="T25" s="2235"/>
      <c r="U25" s="51" t="s">
        <v>63</v>
      </c>
      <c r="V25" s="2262">
        <f>V15+V22-V23</f>
        <v>48722</v>
      </c>
      <c r="W25" s="2262"/>
      <c r="X25" s="2262"/>
    </row>
    <row r="26" spans="1:25" ht="36" customHeight="1" x14ac:dyDescent="0.25">
      <c r="K26" s="314"/>
    </row>
    <row r="32" spans="1:25" x14ac:dyDescent="0.25">
      <c r="I32" s="2280"/>
      <c r="J32" s="2280"/>
      <c r="K32" s="2280"/>
      <c r="L32" s="2280"/>
    </row>
    <row r="33" spans="9:12" x14ac:dyDescent="0.25">
      <c r="I33" s="336"/>
      <c r="J33" s="336"/>
      <c r="K33" s="2280"/>
      <c r="L33" s="2280"/>
    </row>
  </sheetData>
  <mergeCells count="62">
    <mergeCell ref="I32:J32"/>
    <mergeCell ref="K32:L32"/>
    <mergeCell ref="K33:L33"/>
    <mergeCell ref="T22:T23"/>
    <mergeCell ref="V22:X22"/>
    <mergeCell ref="V23:X23"/>
    <mergeCell ref="T24:T25"/>
    <mergeCell ref="V24:X24"/>
    <mergeCell ref="V25:X25"/>
    <mergeCell ref="Y18:Y24"/>
    <mergeCell ref="B19:C19"/>
    <mergeCell ref="Q19:R19"/>
    <mergeCell ref="T19:T20"/>
    <mergeCell ref="V19:X19"/>
    <mergeCell ref="B20:C20"/>
    <mergeCell ref="B22:B24"/>
    <mergeCell ref="C22:C23"/>
    <mergeCell ref="D22:D23"/>
    <mergeCell ref="E22:E23"/>
    <mergeCell ref="F22:F23"/>
    <mergeCell ref="Q20:R20"/>
    <mergeCell ref="V20:X20"/>
    <mergeCell ref="B21:C21"/>
    <mergeCell ref="T21:U21"/>
    <mergeCell ref="V21:X21"/>
    <mergeCell ref="B17:C17"/>
    <mergeCell ref="Q17:R17"/>
    <mergeCell ref="T17:U17"/>
    <mergeCell ref="V17:X17"/>
    <mergeCell ref="B18:C18"/>
    <mergeCell ref="Q18:R18"/>
    <mergeCell ref="T18:U18"/>
    <mergeCell ref="V18:X18"/>
    <mergeCell ref="W4:X4"/>
    <mergeCell ref="B16:C16"/>
    <mergeCell ref="Q16:R16"/>
    <mergeCell ref="T16:U16"/>
    <mergeCell ref="V16:X16"/>
    <mergeCell ref="A12:B12"/>
    <mergeCell ref="B14:C14"/>
    <mergeCell ref="Q14:R14"/>
    <mergeCell ref="T14:T15"/>
    <mergeCell ref="V14:X14"/>
    <mergeCell ref="B15:C15"/>
    <mergeCell ref="Q15:R15"/>
    <mergeCell ref="V15:X15"/>
    <mergeCell ref="A1:Y1"/>
    <mergeCell ref="A2:Y2"/>
    <mergeCell ref="T3:Y3"/>
    <mergeCell ref="A4:A5"/>
    <mergeCell ref="B4:B5"/>
    <mergeCell ref="C4:D4"/>
    <mergeCell ref="E4:F4"/>
    <mergeCell ref="G4:H4"/>
    <mergeCell ref="I4:J4"/>
    <mergeCell ref="K4:L4"/>
    <mergeCell ref="Y4:Y5"/>
    <mergeCell ref="M4:N4"/>
    <mergeCell ref="O4:P4"/>
    <mergeCell ref="Q4:R4"/>
    <mergeCell ref="S4:T4"/>
    <mergeCell ref="U4:V4"/>
  </mergeCells>
  <pageMargins left="0.15748031496063" right="0.15748031496063" top="0" bottom="0" header="0" footer="0"/>
  <pageSetup paperSize="9" scale="47" orientation="landscape" r:id="rId1"/>
</worksheet>
</file>

<file path=xl/worksheets/sheet1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C7F990B-5A64-4BC6-A61C-3F17E5DD8F77}">
  <sheetPr>
    <pageSetUpPr fitToPage="1"/>
  </sheetPr>
  <dimension ref="A1:Y33"/>
  <sheetViews>
    <sheetView topLeftCell="D1" zoomScale="71" zoomScaleNormal="71" zoomScaleSheetLayoutView="100" workbookViewId="0">
      <selection activeCell="J28" sqref="J27:J28"/>
    </sheetView>
  </sheetViews>
  <sheetFormatPr defaultColWidth="9.140625" defaultRowHeight="15" x14ac:dyDescent="0.25"/>
  <cols>
    <col min="1" max="1" width="18.28515625" style="14" customWidth="1"/>
    <col min="2" max="2" width="10.7109375" style="14" customWidth="1"/>
    <col min="3" max="3" width="12.28515625" style="14" customWidth="1"/>
    <col min="4" max="4" width="11" style="14" customWidth="1"/>
    <col min="5" max="5" width="12" style="14" customWidth="1"/>
    <col min="6" max="6" width="12.5703125" style="14" bestFit="1" customWidth="1"/>
    <col min="7" max="7" width="9.28515625" style="14" bestFit="1" customWidth="1"/>
    <col min="8" max="8" width="10.140625" style="14" bestFit="1" customWidth="1"/>
    <col min="9" max="9" width="10.5703125" style="14" bestFit="1" customWidth="1"/>
    <col min="10" max="10" width="10.5703125" style="14" customWidth="1"/>
    <col min="11" max="11" width="10.28515625" style="14" bestFit="1" customWidth="1"/>
    <col min="12" max="12" width="10.42578125" style="14" bestFit="1" customWidth="1"/>
    <col min="13" max="13" width="9.85546875" style="14" bestFit="1" customWidth="1"/>
    <col min="14" max="14" width="10.140625" style="14" bestFit="1" customWidth="1"/>
    <col min="15" max="15" width="9" style="14" customWidth="1"/>
    <col min="16" max="16" width="12.85546875" style="14" bestFit="1" customWidth="1"/>
    <col min="17" max="18" width="9.42578125" style="14" customWidth="1"/>
    <col min="19" max="19" width="13.7109375" style="14" customWidth="1"/>
    <col min="20" max="20" width="12.140625" style="14" customWidth="1"/>
    <col min="21" max="21" width="19.5703125" style="14" bestFit="1" customWidth="1"/>
    <col min="22" max="22" width="9.85546875" style="14" customWidth="1"/>
    <col min="23" max="23" width="10.140625" style="14" bestFit="1" customWidth="1"/>
    <col min="24" max="24" width="10.28515625" style="14" customWidth="1"/>
    <col min="25" max="25" width="28" style="14" customWidth="1"/>
    <col min="26" max="16384" width="9.140625" style="14"/>
  </cols>
  <sheetData>
    <row r="1" spans="1:25" ht="46.15" customHeight="1" x14ac:dyDescent="0.25">
      <c r="A1" s="2240" t="s">
        <v>148</v>
      </c>
      <c r="B1" s="2240"/>
      <c r="C1" s="2240"/>
      <c r="D1" s="2240"/>
      <c r="E1" s="2240"/>
      <c r="F1" s="2240"/>
      <c r="G1" s="2240"/>
      <c r="H1" s="2240"/>
      <c r="I1" s="2240"/>
      <c r="J1" s="2240"/>
      <c r="K1" s="2240"/>
      <c r="L1" s="2240"/>
      <c r="M1" s="2240"/>
      <c r="N1" s="2240"/>
      <c r="O1" s="2240"/>
      <c r="P1" s="2240"/>
      <c r="Q1" s="2240"/>
      <c r="R1" s="2240"/>
      <c r="S1" s="2240"/>
      <c r="T1" s="2240"/>
      <c r="U1" s="2240"/>
      <c r="V1" s="2240"/>
      <c r="W1" s="2240"/>
      <c r="X1" s="2240"/>
      <c r="Y1" s="2240"/>
    </row>
    <row r="2" spans="1:25" ht="21.6" customHeight="1" x14ac:dyDescent="0.25">
      <c r="A2" s="2241" t="s">
        <v>77</v>
      </c>
      <c r="B2" s="2241"/>
      <c r="C2" s="2241"/>
      <c r="D2" s="2241"/>
      <c r="E2" s="2241"/>
      <c r="F2" s="2241"/>
      <c r="G2" s="2241"/>
      <c r="H2" s="2241"/>
      <c r="I2" s="2241"/>
      <c r="J2" s="2241"/>
      <c r="K2" s="2241"/>
      <c r="L2" s="2241"/>
      <c r="M2" s="2241"/>
      <c r="N2" s="2241"/>
      <c r="O2" s="2241"/>
      <c r="P2" s="2241"/>
      <c r="Q2" s="2241"/>
      <c r="R2" s="2241"/>
      <c r="S2" s="2241"/>
      <c r="T2" s="2241"/>
      <c r="U2" s="2241"/>
      <c r="V2" s="2241"/>
      <c r="W2" s="2241"/>
      <c r="X2" s="2241"/>
      <c r="Y2" s="2241"/>
    </row>
    <row r="3" spans="1:25" ht="21" customHeight="1" x14ac:dyDescent="0.25">
      <c r="A3" s="337"/>
      <c r="B3" s="337"/>
      <c r="C3" s="337"/>
      <c r="D3" s="337"/>
      <c r="E3" s="337"/>
      <c r="F3" s="337"/>
      <c r="G3" s="337"/>
      <c r="H3" s="337"/>
      <c r="I3" s="337"/>
      <c r="J3" s="337"/>
      <c r="K3" s="337"/>
      <c r="L3" s="337"/>
      <c r="M3" s="337"/>
      <c r="N3" s="337"/>
      <c r="O3" s="337"/>
      <c r="P3" s="337"/>
      <c r="Q3" s="337"/>
      <c r="R3" s="337"/>
      <c r="S3" s="337"/>
      <c r="T3" s="2242" t="s">
        <v>309</v>
      </c>
      <c r="U3" s="2242"/>
      <c r="V3" s="2242"/>
      <c r="W3" s="2242"/>
      <c r="X3" s="2242"/>
      <c r="Y3" s="2242"/>
    </row>
    <row r="4" spans="1:25" s="337" customFormat="1" ht="18" customHeight="1" x14ac:dyDescent="0.25">
      <c r="A4" s="2243" t="s">
        <v>25</v>
      </c>
      <c r="B4" s="2243" t="s">
        <v>26</v>
      </c>
      <c r="C4" s="2244" t="s">
        <v>27</v>
      </c>
      <c r="D4" s="2244"/>
      <c r="E4" s="2244" t="s">
        <v>28</v>
      </c>
      <c r="F4" s="2244"/>
      <c r="G4" s="2244" t="s">
        <v>65</v>
      </c>
      <c r="H4" s="2244"/>
      <c r="I4" s="2244" t="s">
        <v>29</v>
      </c>
      <c r="J4" s="2244"/>
      <c r="K4" s="2245" t="s">
        <v>13</v>
      </c>
      <c r="L4" s="2246"/>
      <c r="M4" s="2245" t="s">
        <v>67</v>
      </c>
      <c r="N4" s="2246"/>
      <c r="O4" s="2245" t="s">
        <v>68</v>
      </c>
      <c r="P4" s="2246"/>
      <c r="Q4" s="2245" t="s">
        <v>114</v>
      </c>
      <c r="R4" s="2246"/>
      <c r="S4" s="2244" t="s">
        <v>35</v>
      </c>
      <c r="T4" s="2244"/>
      <c r="U4" s="2245" t="s">
        <v>17</v>
      </c>
      <c r="V4" s="2246"/>
      <c r="W4" s="2247" t="s">
        <v>36</v>
      </c>
      <c r="X4" s="2248"/>
      <c r="Y4" s="2238" t="s">
        <v>30</v>
      </c>
    </row>
    <row r="5" spans="1:25" s="337" customFormat="1" ht="25.5" customHeight="1" x14ac:dyDescent="0.25">
      <c r="A5" s="2243"/>
      <c r="B5" s="2243"/>
      <c r="C5" s="339" t="s">
        <v>42</v>
      </c>
      <c r="D5" s="339" t="s">
        <v>43</v>
      </c>
      <c r="E5" s="339" t="s">
        <v>42</v>
      </c>
      <c r="F5" s="339" t="s">
        <v>43</v>
      </c>
      <c r="G5" s="339" t="s">
        <v>42</v>
      </c>
      <c r="H5" s="339" t="s">
        <v>43</v>
      </c>
      <c r="I5" s="339" t="s">
        <v>42</v>
      </c>
      <c r="J5" s="339" t="s">
        <v>43</v>
      </c>
      <c r="K5" s="339" t="s">
        <v>42</v>
      </c>
      <c r="L5" s="339" t="s">
        <v>43</v>
      </c>
      <c r="M5" s="339" t="s">
        <v>42</v>
      </c>
      <c r="N5" s="339" t="s">
        <v>43</v>
      </c>
      <c r="O5" s="339" t="s">
        <v>42</v>
      </c>
      <c r="P5" s="339" t="s">
        <v>43</v>
      </c>
      <c r="Q5" s="339" t="s">
        <v>42</v>
      </c>
      <c r="R5" s="339" t="s">
        <v>43</v>
      </c>
      <c r="S5" s="33" t="s">
        <v>42</v>
      </c>
      <c r="T5" s="33" t="s">
        <v>43</v>
      </c>
      <c r="U5" s="30" t="s">
        <v>42</v>
      </c>
      <c r="V5" s="30" t="s">
        <v>43</v>
      </c>
      <c r="W5" s="30" t="s">
        <v>42</v>
      </c>
      <c r="X5" s="30" t="s">
        <v>43</v>
      </c>
      <c r="Y5" s="2239"/>
    </row>
    <row r="6" spans="1:25" ht="34.5" customHeight="1" x14ac:dyDescent="0.25">
      <c r="A6" s="12">
        <v>1409935200</v>
      </c>
      <c r="B6" s="338" t="s">
        <v>71</v>
      </c>
      <c r="C6" s="341">
        <v>50794</v>
      </c>
      <c r="D6" s="342">
        <f>0.9725*C6</f>
        <v>49397.165000000001</v>
      </c>
      <c r="E6" s="341"/>
      <c r="F6" s="341">
        <f>13.7*E6</f>
        <v>0</v>
      </c>
      <c r="G6" s="341">
        <v>240</v>
      </c>
      <c r="H6" s="341">
        <f>28.2*G6</f>
        <v>6768</v>
      </c>
      <c r="I6" s="341">
        <v>1120</v>
      </c>
      <c r="J6" s="341">
        <f>18.5*I6</f>
        <v>20720</v>
      </c>
      <c r="K6" s="341"/>
      <c r="L6" s="341">
        <f>19.5*K6</f>
        <v>0</v>
      </c>
      <c r="M6" s="341"/>
      <c r="N6" s="342">
        <f>M6*9.75</f>
        <v>0</v>
      </c>
      <c r="O6" s="341"/>
      <c r="P6" s="342">
        <f>O6*48.62</f>
        <v>0</v>
      </c>
      <c r="Q6" s="342"/>
      <c r="R6" s="342">
        <f>241*Q6</f>
        <v>0</v>
      </c>
      <c r="S6" s="341"/>
      <c r="T6" s="341">
        <f>241*S6</f>
        <v>0</v>
      </c>
      <c r="U6" s="341"/>
      <c r="V6" s="341">
        <f>232*U6</f>
        <v>0</v>
      </c>
      <c r="W6" s="341"/>
      <c r="X6" s="19">
        <f>W6*100</f>
        <v>0</v>
      </c>
      <c r="Y6" s="89">
        <f t="shared" ref="Y6:Y11" si="0">D6+F6+H6+J6+L6+N6+P6+R6+T6+V6+X6</f>
        <v>76885.165000000008</v>
      </c>
    </row>
    <row r="7" spans="1:25" ht="31.5" customHeight="1" x14ac:dyDescent="0.25">
      <c r="A7" s="12">
        <v>1984225578</v>
      </c>
      <c r="B7" s="338" t="s">
        <v>72</v>
      </c>
      <c r="C7" s="341">
        <v>28043</v>
      </c>
      <c r="D7" s="342">
        <f t="shared" ref="D7:D11" si="1">0.9725*C7</f>
        <v>27271.817500000001</v>
      </c>
      <c r="E7" s="341"/>
      <c r="F7" s="341">
        <f t="shared" ref="F7:F11" si="2">13.7*E7</f>
        <v>0</v>
      </c>
      <c r="G7" s="341">
        <v>50</v>
      </c>
      <c r="H7" s="341">
        <f t="shared" ref="H7:H11" si="3">28.2*G7</f>
        <v>1410</v>
      </c>
      <c r="I7" s="341">
        <v>1300</v>
      </c>
      <c r="J7" s="341">
        <f t="shared" ref="J7:J11" si="4">18.5*I7</f>
        <v>24050</v>
      </c>
      <c r="K7" s="341"/>
      <c r="L7" s="341">
        <f t="shared" ref="L7:L11" si="5">19.5*K7</f>
        <v>0</v>
      </c>
      <c r="M7" s="341"/>
      <c r="N7" s="342">
        <f t="shared" ref="N7:N11" si="6">M7*9.75</f>
        <v>0</v>
      </c>
      <c r="O7" s="341"/>
      <c r="P7" s="342">
        <f t="shared" ref="P7:P11" si="7">O7*48.62</f>
        <v>0</v>
      </c>
      <c r="Q7" s="342"/>
      <c r="R7" s="342">
        <f t="shared" ref="R7:R11" si="8">241*Q7</f>
        <v>0</v>
      </c>
      <c r="S7" s="341"/>
      <c r="T7" s="341">
        <f t="shared" ref="T7:T11" si="9">241*S7</f>
        <v>0</v>
      </c>
      <c r="U7" s="341">
        <v>10</v>
      </c>
      <c r="V7" s="341">
        <f t="shared" ref="V7:V11" si="10">232*U7</f>
        <v>2320</v>
      </c>
      <c r="W7" s="341"/>
      <c r="X7" s="19">
        <f t="shared" ref="X7:X11" si="11">W7*100</f>
        <v>0</v>
      </c>
      <c r="Y7" s="89">
        <f t="shared" si="0"/>
        <v>55051.817500000005</v>
      </c>
    </row>
    <row r="8" spans="1:25" ht="35.25" customHeight="1" x14ac:dyDescent="0.25">
      <c r="A8" s="12">
        <v>1967020280</v>
      </c>
      <c r="B8" s="338" t="s">
        <v>73</v>
      </c>
      <c r="C8" s="341">
        <v>30292</v>
      </c>
      <c r="D8" s="342">
        <f t="shared" si="1"/>
        <v>29458.97</v>
      </c>
      <c r="E8" s="341"/>
      <c r="F8" s="341">
        <f t="shared" si="2"/>
        <v>0</v>
      </c>
      <c r="G8" s="341">
        <v>90</v>
      </c>
      <c r="H8" s="341">
        <f t="shared" si="3"/>
        <v>2538</v>
      </c>
      <c r="I8" s="341">
        <v>2210</v>
      </c>
      <c r="J8" s="341">
        <f t="shared" si="4"/>
        <v>40885</v>
      </c>
      <c r="K8" s="341"/>
      <c r="L8" s="341">
        <f t="shared" si="5"/>
        <v>0</v>
      </c>
      <c r="M8" s="341"/>
      <c r="N8" s="342">
        <f t="shared" si="6"/>
        <v>0</v>
      </c>
      <c r="O8" s="341"/>
      <c r="P8" s="342">
        <f t="shared" si="7"/>
        <v>0</v>
      </c>
      <c r="Q8" s="342"/>
      <c r="R8" s="342">
        <f t="shared" si="8"/>
        <v>0</v>
      </c>
      <c r="S8" s="341"/>
      <c r="T8" s="341">
        <f t="shared" si="9"/>
        <v>0</v>
      </c>
      <c r="U8" s="341"/>
      <c r="V8" s="341">
        <f t="shared" si="10"/>
        <v>0</v>
      </c>
      <c r="W8" s="341"/>
      <c r="X8" s="19">
        <f t="shared" si="11"/>
        <v>0</v>
      </c>
      <c r="Y8" s="89">
        <f t="shared" si="0"/>
        <v>72881.97</v>
      </c>
    </row>
    <row r="9" spans="1:25" ht="38.25" customHeight="1" x14ac:dyDescent="0.25">
      <c r="A9" s="12">
        <v>1984225580</v>
      </c>
      <c r="B9" s="338" t="s">
        <v>75</v>
      </c>
      <c r="C9" s="341">
        <v>29735</v>
      </c>
      <c r="D9" s="342">
        <f t="shared" si="1"/>
        <v>28917.287500000002</v>
      </c>
      <c r="E9" s="341"/>
      <c r="F9" s="341">
        <f t="shared" si="2"/>
        <v>0</v>
      </c>
      <c r="G9" s="341">
        <v>20</v>
      </c>
      <c r="H9" s="341">
        <f t="shared" si="3"/>
        <v>564</v>
      </c>
      <c r="I9" s="341">
        <v>1990</v>
      </c>
      <c r="J9" s="341">
        <f t="shared" si="4"/>
        <v>36815</v>
      </c>
      <c r="K9" s="341"/>
      <c r="L9" s="341">
        <f t="shared" si="5"/>
        <v>0</v>
      </c>
      <c r="M9" s="341"/>
      <c r="N9" s="342">
        <f t="shared" si="6"/>
        <v>0</v>
      </c>
      <c r="O9" s="341"/>
      <c r="P9" s="342">
        <f t="shared" si="7"/>
        <v>0</v>
      </c>
      <c r="Q9" s="342"/>
      <c r="R9" s="342">
        <f t="shared" si="8"/>
        <v>0</v>
      </c>
      <c r="S9" s="341"/>
      <c r="T9" s="341">
        <f t="shared" si="9"/>
        <v>0</v>
      </c>
      <c r="U9" s="341"/>
      <c r="V9" s="341">
        <f t="shared" si="10"/>
        <v>0</v>
      </c>
      <c r="W9" s="341"/>
      <c r="X9" s="19">
        <f t="shared" si="11"/>
        <v>0</v>
      </c>
      <c r="Y9" s="89">
        <f t="shared" si="0"/>
        <v>66296.287500000006</v>
      </c>
    </row>
    <row r="10" spans="1:25" ht="35.25" customHeight="1" x14ac:dyDescent="0.25">
      <c r="A10" s="12">
        <v>1409935199</v>
      </c>
      <c r="C10" s="341"/>
      <c r="D10" s="342">
        <f t="shared" si="1"/>
        <v>0</v>
      </c>
      <c r="E10" s="341"/>
      <c r="F10" s="341">
        <f t="shared" si="2"/>
        <v>0</v>
      </c>
      <c r="G10" s="341"/>
      <c r="H10" s="341">
        <f t="shared" si="3"/>
        <v>0</v>
      </c>
      <c r="I10" s="341"/>
      <c r="J10" s="341">
        <f t="shared" si="4"/>
        <v>0</v>
      </c>
      <c r="K10" s="341"/>
      <c r="L10" s="341">
        <f t="shared" si="5"/>
        <v>0</v>
      </c>
      <c r="M10" s="341"/>
      <c r="N10" s="342">
        <f t="shared" si="6"/>
        <v>0</v>
      </c>
      <c r="O10" s="341"/>
      <c r="P10" s="342">
        <f t="shared" si="7"/>
        <v>0</v>
      </c>
      <c r="Q10" s="342"/>
      <c r="R10" s="342">
        <f t="shared" si="8"/>
        <v>0</v>
      </c>
      <c r="S10" s="341"/>
      <c r="T10" s="341">
        <f t="shared" si="9"/>
        <v>0</v>
      </c>
      <c r="U10" s="341"/>
      <c r="V10" s="341">
        <f t="shared" si="10"/>
        <v>0</v>
      </c>
      <c r="W10" s="341"/>
      <c r="X10" s="19">
        <f t="shared" si="11"/>
        <v>0</v>
      </c>
      <c r="Y10" s="89">
        <f t="shared" si="0"/>
        <v>0</v>
      </c>
    </row>
    <row r="11" spans="1:25" ht="37.5" customHeight="1" x14ac:dyDescent="0.25">
      <c r="A11" s="12"/>
      <c r="B11" s="340"/>
      <c r="C11" s="341"/>
      <c r="D11" s="22">
        <f t="shared" si="1"/>
        <v>0</v>
      </c>
      <c r="E11" s="341"/>
      <c r="F11" s="341">
        <f t="shared" si="2"/>
        <v>0</v>
      </c>
      <c r="G11" s="341"/>
      <c r="H11" s="341">
        <f t="shared" si="3"/>
        <v>0</v>
      </c>
      <c r="I11" s="341"/>
      <c r="J11" s="341">
        <f t="shared" si="4"/>
        <v>0</v>
      </c>
      <c r="K11" s="341"/>
      <c r="L11" s="341">
        <f t="shared" si="5"/>
        <v>0</v>
      </c>
      <c r="M11" s="341"/>
      <c r="N11" s="342">
        <f t="shared" si="6"/>
        <v>0</v>
      </c>
      <c r="O11" s="341"/>
      <c r="P11" s="342">
        <f t="shared" si="7"/>
        <v>0</v>
      </c>
      <c r="Q11" s="342"/>
      <c r="R11" s="342">
        <f t="shared" si="8"/>
        <v>0</v>
      </c>
      <c r="S11" s="341"/>
      <c r="T11" s="341">
        <f t="shared" si="9"/>
        <v>0</v>
      </c>
      <c r="U11" s="341"/>
      <c r="V11" s="341">
        <f t="shared" si="10"/>
        <v>0</v>
      </c>
      <c r="W11" s="341"/>
      <c r="X11" s="19">
        <f t="shared" si="11"/>
        <v>0</v>
      </c>
      <c r="Y11" s="20">
        <f t="shared" si="0"/>
        <v>0</v>
      </c>
    </row>
    <row r="12" spans="1:25" ht="29.25" customHeight="1" x14ac:dyDescent="0.25">
      <c r="A12" s="2235" t="s">
        <v>31</v>
      </c>
      <c r="B12" s="2235"/>
      <c r="C12" s="18">
        <f t="shared" ref="C12:Y12" si="12">SUM(C6:C11)</f>
        <v>138864</v>
      </c>
      <c r="D12" s="18">
        <f t="shared" si="12"/>
        <v>135045.24</v>
      </c>
      <c r="E12" s="18">
        <f t="shared" si="12"/>
        <v>0</v>
      </c>
      <c r="F12" s="18">
        <f t="shared" si="12"/>
        <v>0</v>
      </c>
      <c r="G12" s="18">
        <f t="shared" si="12"/>
        <v>400</v>
      </c>
      <c r="H12" s="18">
        <f t="shared" si="12"/>
        <v>11280</v>
      </c>
      <c r="I12" s="18">
        <f t="shared" si="12"/>
        <v>6620</v>
      </c>
      <c r="J12" s="18">
        <f t="shared" si="12"/>
        <v>122470</v>
      </c>
      <c r="K12" s="18">
        <f t="shared" si="12"/>
        <v>0</v>
      </c>
      <c r="L12" s="18">
        <f t="shared" si="12"/>
        <v>0</v>
      </c>
      <c r="M12" s="18">
        <f t="shared" si="12"/>
        <v>0</v>
      </c>
      <c r="N12" s="23">
        <f t="shared" si="12"/>
        <v>0</v>
      </c>
      <c r="O12" s="18">
        <f t="shared" si="12"/>
        <v>0</v>
      </c>
      <c r="P12" s="23">
        <f t="shared" si="12"/>
        <v>0</v>
      </c>
      <c r="Q12" s="23">
        <f t="shared" si="12"/>
        <v>0</v>
      </c>
      <c r="R12" s="23">
        <f>SUM(R6:R11)</f>
        <v>0</v>
      </c>
      <c r="S12" s="18">
        <f t="shared" si="12"/>
        <v>0</v>
      </c>
      <c r="T12" s="18">
        <f t="shared" si="12"/>
        <v>0</v>
      </c>
      <c r="U12" s="18">
        <f t="shared" si="12"/>
        <v>10</v>
      </c>
      <c r="V12" s="18">
        <f t="shared" si="12"/>
        <v>2320</v>
      </c>
      <c r="W12" s="18">
        <f t="shared" si="12"/>
        <v>0</v>
      </c>
      <c r="X12" s="18">
        <f t="shared" si="12"/>
        <v>0</v>
      </c>
      <c r="Y12" s="18">
        <f t="shared" si="12"/>
        <v>271115.24</v>
      </c>
    </row>
    <row r="14" spans="1:25" ht="41.25" customHeight="1" x14ac:dyDescent="0.25">
      <c r="A14" s="30" t="s">
        <v>32</v>
      </c>
      <c r="B14" s="2236" t="s">
        <v>27</v>
      </c>
      <c r="C14" s="2236"/>
      <c r="D14" s="30" t="s">
        <v>33</v>
      </c>
      <c r="E14" s="30" t="s">
        <v>65</v>
      </c>
      <c r="F14" s="30" t="s">
        <v>34</v>
      </c>
      <c r="G14" s="30" t="s">
        <v>13</v>
      </c>
      <c r="H14" s="142" t="s">
        <v>173</v>
      </c>
      <c r="I14" s="30" t="s">
        <v>17</v>
      </c>
      <c r="J14" s="346" t="s">
        <v>174</v>
      </c>
      <c r="K14" s="30" t="s">
        <v>36</v>
      </c>
      <c r="L14" s="30" t="s">
        <v>175</v>
      </c>
      <c r="M14" s="30" t="s">
        <v>69</v>
      </c>
      <c r="N14" s="30" t="s">
        <v>70</v>
      </c>
      <c r="O14" s="346" t="s">
        <v>114</v>
      </c>
      <c r="P14" s="346" t="s">
        <v>99</v>
      </c>
      <c r="Q14" s="2272" t="s">
        <v>301</v>
      </c>
      <c r="R14" s="2272"/>
      <c r="S14" s="346"/>
      <c r="T14" s="2235" t="s">
        <v>46</v>
      </c>
      <c r="U14" s="338" t="s">
        <v>176</v>
      </c>
      <c r="V14" s="2260">
        <v>10742</v>
      </c>
      <c r="W14" s="2268"/>
      <c r="X14" s="2261"/>
    </row>
    <row r="15" spans="1:25" ht="22.5" customHeight="1" x14ac:dyDescent="0.25">
      <c r="A15" s="100" t="s">
        <v>38</v>
      </c>
      <c r="B15" s="2260">
        <v>461543</v>
      </c>
      <c r="C15" s="2261"/>
      <c r="D15" s="343">
        <v>0</v>
      </c>
      <c r="E15" s="343">
        <v>1700</v>
      </c>
      <c r="F15" s="343">
        <v>120</v>
      </c>
      <c r="G15" s="343">
        <v>0</v>
      </c>
      <c r="H15" s="343">
        <v>121</v>
      </c>
      <c r="I15" s="343">
        <v>40</v>
      </c>
      <c r="J15" s="343">
        <v>61</v>
      </c>
      <c r="K15" s="343">
        <v>68</v>
      </c>
      <c r="L15" s="343">
        <v>810</v>
      </c>
      <c r="M15" s="343">
        <v>0</v>
      </c>
      <c r="N15" s="343">
        <v>100</v>
      </c>
      <c r="O15" s="343">
        <v>0</v>
      </c>
      <c r="P15" s="343">
        <v>404</v>
      </c>
      <c r="Q15" s="2262">
        <v>564</v>
      </c>
      <c r="R15" s="2262"/>
      <c r="S15" s="338">
        <v>0</v>
      </c>
      <c r="T15" s="2235"/>
      <c r="U15" s="338" t="s">
        <v>64</v>
      </c>
      <c r="V15" s="2262">
        <v>48722</v>
      </c>
      <c r="W15" s="2262"/>
      <c r="X15" s="2262"/>
    </row>
    <row r="16" spans="1:25" ht="24.75" customHeight="1" x14ac:dyDescent="0.25">
      <c r="A16" s="100" t="s">
        <v>39</v>
      </c>
      <c r="B16" s="2260"/>
      <c r="C16" s="2261"/>
      <c r="D16" s="343"/>
      <c r="E16" s="343">
        <v>2350</v>
      </c>
      <c r="F16" s="343">
        <v>19500</v>
      </c>
      <c r="G16" s="343"/>
      <c r="H16" s="343"/>
      <c r="I16" s="343"/>
      <c r="J16" s="343">
        <v>50</v>
      </c>
      <c r="K16" s="343"/>
      <c r="L16" s="343"/>
      <c r="M16" s="343"/>
      <c r="N16" s="343"/>
      <c r="O16" s="343"/>
      <c r="P16" s="343"/>
      <c r="Q16" s="2225"/>
      <c r="R16" s="2225"/>
      <c r="S16" s="343"/>
      <c r="T16" s="2254" t="s">
        <v>55</v>
      </c>
      <c r="U16" s="2254"/>
      <c r="V16" s="2267">
        <f>Y12</f>
        <v>271115.24</v>
      </c>
      <c r="W16" s="2267"/>
      <c r="X16" s="2262"/>
    </row>
    <row r="17" spans="1:25" ht="28.5" customHeight="1" x14ac:dyDescent="0.25">
      <c r="A17" s="101" t="s">
        <v>44</v>
      </c>
      <c r="B17" s="2260"/>
      <c r="C17" s="2261"/>
      <c r="D17" s="343"/>
      <c r="E17" s="343"/>
      <c r="F17" s="343"/>
      <c r="G17" s="343"/>
      <c r="H17" s="343"/>
      <c r="I17" s="343"/>
      <c r="J17" s="343"/>
      <c r="K17" s="343"/>
      <c r="L17" s="343"/>
      <c r="M17" s="343"/>
      <c r="N17" s="343"/>
      <c r="O17" s="343"/>
      <c r="P17" s="343"/>
      <c r="Q17" s="2225"/>
      <c r="R17" s="2225"/>
      <c r="S17" s="340"/>
      <c r="T17" s="2294" t="s">
        <v>296</v>
      </c>
      <c r="U17" s="2295"/>
      <c r="V17" s="2296"/>
      <c r="W17" s="2296"/>
      <c r="X17" s="2296"/>
    </row>
    <row r="18" spans="1:25" ht="27" customHeight="1" x14ac:dyDescent="0.25">
      <c r="A18" s="100" t="s">
        <v>40</v>
      </c>
      <c r="B18" s="2264">
        <f>C12</f>
        <v>138864</v>
      </c>
      <c r="C18" s="2261"/>
      <c r="D18" s="344">
        <f>E12</f>
        <v>0</v>
      </c>
      <c r="E18" s="344">
        <f>G12</f>
        <v>400</v>
      </c>
      <c r="F18" s="344">
        <f>I12</f>
        <v>6620</v>
      </c>
      <c r="G18" s="344">
        <f>K12</f>
        <v>0</v>
      </c>
      <c r="H18" s="343">
        <v>50</v>
      </c>
      <c r="I18" s="344">
        <f>U12</f>
        <v>10</v>
      </c>
      <c r="J18" s="343"/>
      <c r="K18" s="344">
        <f>W12</f>
        <v>0</v>
      </c>
      <c r="L18" s="343"/>
      <c r="M18" s="344">
        <f>M12</f>
        <v>0</v>
      </c>
      <c r="N18" s="344">
        <f>O12</f>
        <v>0</v>
      </c>
      <c r="O18" s="345">
        <f>Q12</f>
        <v>0</v>
      </c>
      <c r="P18" s="343"/>
      <c r="Q18" s="2262"/>
      <c r="R18" s="2262"/>
      <c r="S18" s="338"/>
      <c r="T18" s="2254" t="s">
        <v>57</v>
      </c>
      <c r="U18" s="2254"/>
      <c r="V18" s="2262">
        <v>670</v>
      </c>
      <c r="W18" s="2262"/>
      <c r="X18" s="2262"/>
      <c r="Y18" s="2269" t="s">
        <v>291</v>
      </c>
    </row>
    <row r="19" spans="1:25" ht="25.5" customHeight="1" x14ac:dyDescent="0.25">
      <c r="A19" s="100" t="s">
        <v>41</v>
      </c>
      <c r="B19" s="2260">
        <f>B15+B16+B17-B18</f>
        <v>322679</v>
      </c>
      <c r="C19" s="2261"/>
      <c r="D19" s="343">
        <f>D15+D16+D17-D18</f>
        <v>0</v>
      </c>
      <c r="E19" s="343">
        <f t="shared" ref="E19:N19" si="13">E15+E16+E17-E18</f>
        <v>3650</v>
      </c>
      <c r="F19" s="343">
        <f t="shared" si="13"/>
        <v>13000</v>
      </c>
      <c r="G19" s="343">
        <f t="shared" si="13"/>
        <v>0</v>
      </c>
      <c r="H19" s="343">
        <f t="shared" si="13"/>
        <v>71</v>
      </c>
      <c r="I19" s="343">
        <f t="shared" si="13"/>
        <v>30</v>
      </c>
      <c r="J19" s="343">
        <f t="shared" si="13"/>
        <v>111</v>
      </c>
      <c r="K19" s="343">
        <f t="shared" si="13"/>
        <v>68</v>
      </c>
      <c r="L19" s="343">
        <f t="shared" si="13"/>
        <v>810</v>
      </c>
      <c r="M19" s="343">
        <f t="shared" si="13"/>
        <v>0</v>
      </c>
      <c r="N19" s="343">
        <f t="shared" si="13"/>
        <v>100</v>
      </c>
      <c r="O19" s="343">
        <f>O15+O16+O17-O18</f>
        <v>0</v>
      </c>
      <c r="P19" s="343">
        <f>P15+P16+P17-P18</f>
        <v>404</v>
      </c>
      <c r="Q19" s="2260">
        <f t="shared" ref="Q19" si="14">Q15+Q16+Q17-Q18</f>
        <v>564</v>
      </c>
      <c r="R19" s="2261"/>
      <c r="S19" s="338">
        <f>S15+S16-S17-S18</f>
        <v>0</v>
      </c>
      <c r="T19" s="2256" t="s">
        <v>48</v>
      </c>
      <c r="U19" s="49" t="s">
        <v>58</v>
      </c>
      <c r="V19" s="2262"/>
      <c r="W19" s="2262"/>
      <c r="X19" s="2262"/>
      <c r="Y19" s="2269"/>
    </row>
    <row r="20" spans="1:25" ht="23.25" customHeight="1" x14ac:dyDescent="0.25">
      <c r="A20" s="289" t="s">
        <v>187</v>
      </c>
      <c r="B20" s="2286">
        <f>B19*0.9625</f>
        <v>310578.53750000003</v>
      </c>
      <c r="C20" s="2287"/>
      <c r="D20" s="290">
        <f>D19*13.56</f>
        <v>0</v>
      </c>
      <c r="E20" s="290">
        <f>28.2*E19</f>
        <v>102930</v>
      </c>
      <c r="F20" s="290">
        <f>18.31*F19</f>
        <v>238029.99999999997</v>
      </c>
      <c r="G20" s="290">
        <f>19.3*G19</f>
        <v>0</v>
      </c>
      <c r="H20" s="290">
        <f>241*H19</f>
        <v>17111</v>
      </c>
      <c r="I20" s="290">
        <f>223*I19</f>
        <v>6690</v>
      </c>
      <c r="J20" s="290">
        <f>241*J19</f>
        <v>26751</v>
      </c>
      <c r="K20" s="290">
        <f>K19*100</f>
        <v>6800</v>
      </c>
      <c r="L20" s="290">
        <f>241*L19</f>
        <v>195210</v>
      </c>
      <c r="M20" s="290">
        <f>9.65*M19</f>
        <v>0</v>
      </c>
      <c r="N20" s="290">
        <f>N19*48.2</f>
        <v>4820</v>
      </c>
      <c r="O20" s="290">
        <f>241*O19</f>
        <v>0</v>
      </c>
      <c r="P20" s="290">
        <f>241*P19</f>
        <v>97364</v>
      </c>
      <c r="Q20" s="2286">
        <f>241*Q19</f>
        <v>135924</v>
      </c>
      <c r="R20" s="2287"/>
      <c r="S20" s="290">
        <f>241*S19</f>
        <v>0</v>
      </c>
      <c r="T20" s="2257"/>
      <c r="U20" s="49" t="s">
        <v>59</v>
      </c>
      <c r="V20" s="2262"/>
      <c r="W20" s="2262"/>
      <c r="X20" s="2262"/>
      <c r="Y20" s="2269"/>
    </row>
    <row r="21" spans="1:25" ht="32.25" customHeight="1" x14ac:dyDescent="0.25">
      <c r="A21" s="291" t="s">
        <v>186</v>
      </c>
      <c r="B21" s="2293">
        <f>SUM(B20:S20)</f>
        <v>1142208.5375000001</v>
      </c>
      <c r="C21" s="2293"/>
      <c r="O21" s="347"/>
      <c r="P21" s="347"/>
      <c r="Q21" s="347"/>
      <c r="R21" s="347"/>
      <c r="T21" s="2294" t="s">
        <v>167</v>
      </c>
      <c r="U21" s="2295"/>
      <c r="V21" s="2297"/>
      <c r="W21" s="2298"/>
      <c r="X21" s="2299"/>
      <c r="Y21" s="2269"/>
    </row>
    <row r="22" spans="1:25" ht="35.25" customHeight="1" x14ac:dyDescent="0.25">
      <c r="A22" s="15"/>
      <c r="B22" s="2288" t="s">
        <v>49</v>
      </c>
      <c r="C22" s="2291">
        <v>475470</v>
      </c>
      <c r="D22" s="2291"/>
      <c r="E22" s="2291">
        <v>422639</v>
      </c>
      <c r="F22" s="2291">
        <f>C22-D22+E22</f>
        <v>898109</v>
      </c>
      <c r="G22" s="347"/>
      <c r="Q22" s="347"/>
      <c r="R22" s="347"/>
      <c r="T22" s="2251" t="s">
        <v>83</v>
      </c>
      <c r="U22" s="50" t="s">
        <v>60</v>
      </c>
      <c r="V22" s="2262"/>
      <c r="W22" s="2262"/>
      <c r="X22" s="2262"/>
      <c r="Y22" s="2269"/>
    </row>
    <row r="23" spans="1:25" ht="39.75" customHeight="1" x14ac:dyDescent="0.25">
      <c r="A23" s="347"/>
      <c r="B23" s="2289"/>
      <c r="C23" s="2292"/>
      <c r="D23" s="2292"/>
      <c r="E23" s="2292"/>
      <c r="F23" s="2292"/>
      <c r="G23" s="347"/>
      <c r="Q23" s="347"/>
      <c r="R23" s="347"/>
      <c r="T23" s="2252"/>
      <c r="U23" s="50" t="s">
        <v>61</v>
      </c>
      <c r="V23" s="2262"/>
      <c r="W23" s="2262"/>
      <c r="X23" s="2262"/>
      <c r="Y23" s="2269"/>
    </row>
    <row r="24" spans="1:25" ht="48" customHeight="1" x14ac:dyDescent="0.25">
      <c r="A24" s="347"/>
      <c r="B24" s="2290"/>
      <c r="C24" s="290" t="s">
        <v>46</v>
      </c>
      <c r="D24" s="290" t="s">
        <v>50</v>
      </c>
      <c r="E24" s="290" t="s">
        <v>51</v>
      </c>
      <c r="F24" s="290" t="s">
        <v>52</v>
      </c>
      <c r="G24" s="347"/>
      <c r="Q24" s="347"/>
      <c r="R24" s="347"/>
      <c r="T24" s="2235" t="s">
        <v>47</v>
      </c>
      <c r="U24" s="51" t="s">
        <v>62</v>
      </c>
      <c r="V24" s="2263">
        <f>V14+V16+V17-V18-V19-V20-V22+V23-V21</f>
        <v>281187.24</v>
      </c>
      <c r="W24" s="2263"/>
      <c r="X24" s="2263"/>
      <c r="Y24" s="2269"/>
    </row>
    <row r="25" spans="1:25" ht="40.5" customHeight="1" x14ac:dyDescent="0.25">
      <c r="T25" s="2235"/>
      <c r="U25" s="51" t="s">
        <v>63</v>
      </c>
      <c r="V25" s="2262">
        <f>V15+V22-V23</f>
        <v>48722</v>
      </c>
      <c r="W25" s="2262"/>
      <c r="X25" s="2262"/>
    </row>
    <row r="26" spans="1:25" ht="36" customHeight="1" x14ac:dyDescent="0.25">
      <c r="K26" s="314"/>
    </row>
    <row r="32" spans="1:25" x14ac:dyDescent="0.25">
      <c r="I32" s="2280"/>
      <c r="J32" s="2280"/>
      <c r="K32" s="2280"/>
      <c r="L32" s="2280"/>
    </row>
    <row r="33" spans="9:12" x14ac:dyDescent="0.25">
      <c r="I33" s="347"/>
      <c r="J33" s="347"/>
      <c r="K33" s="2280"/>
      <c r="L33" s="2280"/>
    </row>
  </sheetData>
  <mergeCells count="62">
    <mergeCell ref="I32:J32"/>
    <mergeCell ref="K32:L32"/>
    <mergeCell ref="K33:L33"/>
    <mergeCell ref="T22:T23"/>
    <mergeCell ref="V22:X22"/>
    <mergeCell ref="V23:X23"/>
    <mergeCell ref="T24:T25"/>
    <mergeCell ref="V24:X24"/>
    <mergeCell ref="V25:X25"/>
    <mergeCell ref="Y18:Y24"/>
    <mergeCell ref="B19:C19"/>
    <mergeCell ref="Q19:R19"/>
    <mergeCell ref="T19:T20"/>
    <mergeCell ref="V19:X19"/>
    <mergeCell ref="B20:C20"/>
    <mergeCell ref="B22:B24"/>
    <mergeCell ref="C22:C23"/>
    <mergeCell ref="D22:D23"/>
    <mergeCell ref="E22:E23"/>
    <mergeCell ref="F22:F23"/>
    <mergeCell ref="Q20:R20"/>
    <mergeCell ref="V20:X20"/>
    <mergeCell ref="B21:C21"/>
    <mergeCell ref="T21:U21"/>
    <mergeCell ref="V21:X21"/>
    <mergeCell ref="B17:C17"/>
    <mergeCell ref="Q17:R17"/>
    <mergeCell ref="T17:U17"/>
    <mergeCell ref="V17:X17"/>
    <mergeCell ref="B18:C18"/>
    <mergeCell ref="Q18:R18"/>
    <mergeCell ref="T18:U18"/>
    <mergeCell ref="V18:X18"/>
    <mergeCell ref="W4:X4"/>
    <mergeCell ref="B16:C16"/>
    <mergeCell ref="Q16:R16"/>
    <mergeCell ref="T16:U16"/>
    <mergeCell ref="V16:X16"/>
    <mergeCell ref="A12:B12"/>
    <mergeCell ref="B14:C14"/>
    <mergeCell ref="Q14:R14"/>
    <mergeCell ref="T14:T15"/>
    <mergeCell ref="V14:X14"/>
    <mergeCell ref="B15:C15"/>
    <mergeCell ref="Q15:R15"/>
    <mergeCell ref="V15:X15"/>
    <mergeCell ref="A1:Y1"/>
    <mergeCell ref="A2:Y2"/>
    <mergeCell ref="T3:Y3"/>
    <mergeCell ref="A4:A5"/>
    <mergeCell ref="B4:B5"/>
    <mergeCell ref="C4:D4"/>
    <mergeCell ref="E4:F4"/>
    <mergeCell ref="G4:H4"/>
    <mergeCell ref="I4:J4"/>
    <mergeCell ref="K4:L4"/>
    <mergeCell ref="Y4:Y5"/>
    <mergeCell ref="M4:N4"/>
    <mergeCell ref="O4:P4"/>
    <mergeCell ref="Q4:R4"/>
    <mergeCell ref="S4:T4"/>
    <mergeCell ref="U4:V4"/>
  </mergeCells>
  <pageMargins left="0.15748031496063" right="0.15748031496063" top="0" bottom="0" header="0" footer="0"/>
  <pageSetup paperSize="9" scale="47" orientation="landscape" r:id="rId1"/>
</worksheet>
</file>

<file path=xl/worksheets/sheet1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4E1C0B8-60F1-401C-8F81-0B51590464FE}">
  <sheetPr>
    <pageSetUpPr fitToPage="1"/>
  </sheetPr>
  <dimension ref="A1:Y33"/>
  <sheetViews>
    <sheetView topLeftCell="D1" zoomScale="71" zoomScaleNormal="71" zoomScaleSheetLayoutView="100" workbookViewId="0">
      <selection activeCell="O24" sqref="O24"/>
    </sheetView>
  </sheetViews>
  <sheetFormatPr defaultColWidth="9.140625" defaultRowHeight="15" x14ac:dyDescent="0.25"/>
  <cols>
    <col min="1" max="1" width="18.28515625" style="14" customWidth="1"/>
    <col min="2" max="2" width="10.7109375" style="14" customWidth="1"/>
    <col min="3" max="3" width="12.28515625" style="14" customWidth="1"/>
    <col min="4" max="4" width="11" style="14" customWidth="1"/>
    <col min="5" max="5" width="12" style="14" customWidth="1"/>
    <col min="6" max="6" width="12.5703125" style="14" bestFit="1" customWidth="1"/>
    <col min="7" max="7" width="9.28515625" style="14" bestFit="1" customWidth="1"/>
    <col min="8" max="8" width="10.140625" style="14" bestFit="1" customWidth="1"/>
    <col min="9" max="9" width="10.5703125" style="14" bestFit="1" customWidth="1"/>
    <col min="10" max="10" width="10.5703125" style="14" customWidth="1"/>
    <col min="11" max="11" width="10.28515625" style="14" bestFit="1" customWidth="1"/>
    <col min="12" max="12" width="10.42578125" style="14" bestFit="1" customWidth="1"/>
    <col min="13" max="13" width="9.85546875" style="14" bestFit="1" customWidth="1"/>
    <col min="14" max="14" width="10.140625" style="14" bestFit="1" customWidth="1"/>
    <col min="15" max="15" width="9" style="14" customWidth="1"/>
    <col min="16" max="16" width="12.85546875" style="14" bestFit="1" customWidth="1"/>
    <col min="17" max="18" width="9.42578125" style="14" customWidth="1"/>
    <col min="19" max="19" width="13.7109375" style="14" customWidth="1"/>
    <col min="20" max="20" width="12.140625" style="14" customWidth="1"/>
    <col min="21" max="21" width="19.5703125" style="14" bestFit="1" customWidth="1"/>
    <col min="22" max="22" width="9.85546875" style="14" customWidth="1"/>
    <col min="23" max="23" width="10.140625" style="14" bestFit="1" customWidth="1"/>
    <col min="24" max="24" width="10.28515625" style="14" customWidth="1"/>
    <col min="25" max="25" width="28" style="14" customWidth="1"/>
    <col min="26" max="16384" width="9.140625" style="14"/>
  </cols>
  <sheetData>
    <row r="1" spans="1:25" ht="46.15" customHeight="1" x14ac:dyDescent="0.25">
      <c r="A1" s="2240" t="s">
        <v>148</v>
      </c>
      <c r="B1" s="2240"/>
      <c r="C1" s="2240"/>
      <c r="D1" s="2240"/>
      <c r="E1" s="2240"/>
      <c r="F1" s="2240"/>
      <c r="G1" s="2240"/>
      <c r="H1" s="2240"/>
      <c r="I1" s="2240"/>
      <c r="J1" s="2240"/>
      <c r="K1" s="2240"/>
      <c r="L1" s="2240"/>
      <c r="M1" s="2240"/>
      <c r="N1" s="2240"/>
      <c r="O1" s="2240"/>
      <c r="P1" s="2240"/>
      <c r="Q1" s="2240"/>
      <c r="R1" s="2240"/>
      <c r="S1" s="2240"/>
      <c r="T1" s="2240"/>
      <c r="U1" s="2240"/>
      <c r="V1" s="2240"/>
      <c r="W1" s="2240"/>
      <c r="X1" s="2240"/>
      <c r="Y1" s="2240"/>
    </row>
    <row r="2" spans="1:25" ht="21.6" customHeight="1" x14ac:dyDescent="0.25">
      <c r="A2" s="2241" t="s">
        <v>77</v>
      </c>
      <c r="B2" s="2241"/>
      <c r="C2" s="2241"/>
      <c r="D2" s="2241"/>
      <c r="E2" s="2241"/>
      <c r="F2" s="2241"/>
      <c r="G2" s="2241"/>
      <c r="H2" s="2241"/>
      <c r="I2" s="2241"/>
      <c r="J2" s="2241"/>
      <c r="K2" s="2241"/>
      <c r="L2" s="2241"/>
      <c r="M2" s="2241"/>
      <c r="N2" s="2241"/>
      <c r="O2" s="2241"/>
      <c r="P2" s="2241"/>
      <c r="Q2" s="2241"/>
      <c r="R2" s="2241"/>
      <c r="S2" s="2241"/>
      <c r="T2" s="2241"/>
      <c r="U2" s="2241"/>
      <c r="V2" s="2241"/>
      <c r="W2" s="2241"/>
      <c r="X2" s="2241"/>
      <c r="Y2" s="2241"/>
    </row>
    <row r="3" spans="1:25" ht="21" customHeight="1" x14ac:dyDescent="0.25">
      <c r="A3" s="337"/>
      <c r="B3" s="337"/>
      <c r="C3" s="337"/>
      <c r="D3" s="337"/>
      <c r="E3" s="337"/>
      <c r="F3" s="337"/>
      <c r="G3" s="337"/>
      <c r="H3" s="337"/>
      <c r="I3" s="337"/>
      <c r="J3" s="337"/>
      <c r="K3" s="337"/>
      <c r="L3" s="337"/>
      <c r="M3" s="337"/>
      <c r="N3" s="337"/>
      <c r="O3" s="337"/>
      <c r="P3" s="337"/>
      <c r="Q3" s="337"/>
      <c r="R3" s="337"/>
      <c r="S3" s="337"/>
      <c r="T3" s="2242" t="s">
        <v>310</v>
      </c>
      <c r="U3" s="2242"/>
      <c r="V3" s="2242"/>
      <c r="W3" s="2242"/>
      <c r="X3" s="2242"/>
      <c r="Y3" s="2242"/>
    </row>
    <row r="4" spans="1:25" s="337" customFormat="1" ht="18" customHeight="1" x14ac:dyDescent="0.25">
      <c r="A4" s="2243" t="s">
        <v>25</v>
      </c>
      <c r="B4" s="2243" t="s">
        <v>26</v>
      </c>
      <c r="C4" s="2244" t="s">
        <v>27</v>
      </c>
      <c r="D4" s="2244"/>
      <c r="E4" s="2244" t="s">
        <v>28</v>
      </c>
      <c r="F4" s="2244"/>
      <c r="G4" s="2244" t="s">
        <v>65</v>
      </c>
      <c r="H4" s="2244"/>
      <c r="I4" s="2244" t="s">
        <v>29</v>
      </c>
      <c r="J4" s="2244"/>
      <c r="K4" s="2245" t="s">
        <v>13</v>
      </c>
      <c r="L4" s="2246"/>
      <c r="M4" s="2245" t="s">
        <v>67</v>
      </c>
      <c r="N4" s="2246"/>
      <c r="O4" s="2245" t="s">
        <v>68</v>
      </c>
      <c r="P4" s="2246"/>
      <c r="Q4" s="2245" t="s">
        <v>114</v>
      </c>
      <c r="R4" s="2246"/>
      <c r="S4" s="2244" t="s">
        <v>35</v>
      </c>
      <c r="T4" s="2244"/>
      <c r="U4" s="2245" t="s">
        <v>17</v>
      </c>
      <c r="V4" s="2246"/>
      <c r="W4" s="2247" t="s">
        <v>36</v>
      </c>
      <c r="X4" s="2248"/>
      <c r="Y4" s="2238" t="s">
        <v>30</v>
      </c>
    </row>
    <row r="5" spans="1:25" s="337" customFormat="1" ht="25.5" customHeight="1" x14ac:dyDescent="0.25">
      <c r="A5" s="2243"/>
      <c r="B5" s="2243"/>
      <c r="C5" s="339" t="s">
        <v>42</v>
      </c>
      <c r="D5" s="339" t="s">
        <v>43</v>
      </c>
      <c r="E5" s="339" t="s">
        <v>42</v>
      </c>
      <c r="F5" s="339" t="s">
        <v>43</v>
      </c>
      <c r="G5" s="339" t="s">
        <v>42</v>
      </c>
      <c r="H5" s="339" t="s">
        <v>43</v>
      </c>
      <c r="I5" s="339" t="s">
        <v>42</v>
      </c>
      <c r="J5" s="339" t="s">
        <v>43</v>
      </c>
      <c r="K5" s="339" t="s">
        <v>42</v>
      </c>
      <c r="L5" s="339" t="s">
        <v>43</v>
      </c>
      <c r="M5" s="339" t="s">
        <v>42</v>
      </c>
      <c r="N5" s="339" t="s">
        <v>43</v>
      </c>
      <c r="O5" s="339" t="s">
        <v>42</v>
      </c>
      <c r="P5" s="339" t="s">
        <v>43</v>
      </c>
      <c r="Q5" s="339" t="s">
        <v>42</v>
      </c>
      <c r="R5" s="339" t="s">
        <v>43</v>
      </c>
      <c r="S5" s="33" t="s">
        <v>42</v>
      </c>
      <c r="T5" s="33" t="s">
        <v>43</v>
      </c>
      <c r="U5" s="30" t="s">
        <v>42</v>
      </c>
      <c r="V5" s="30" t="s">
        <v>43</v>
      </c>
      <c r="W5" s="30" t="s">
        <v>42</v>
      </c>
      <c r="X5" s="30" t="s">
        <v>43</v>
      </c>
      <c r="Y5" s="2239"/>
    </row>
    <row r="6" spans="1:25" ht="34.5" customHeight="1" x14ac:dyDescent="0.25">
      <c r="A6" s="12">
        <v>1409935200</v>
      </c>
      <c r="B6" s="338" t="s">
        <v>71</v>
      </c>
      <c r="C6" s="341">
        <v>35685</v>
      </c>
      <c r="D6" s="342">
        <f>0.9725*C6</f>
        <v>34703.662499999999</v>
      </c>
      <c r="E6" s="341"/>
      <c r="F6" s="341">
        <f>13.7*E6</f>
        <v>0</v>
      </c>
      <c r="G6" s="341">
        <v>40</v>
      </c>
      <c r="H6" s="341">
        <f>28.2*G6</f>
        <v>1128</v>
      </c>
      <c r="I6" s="341">
        <v>1000</v>
      </c>
      <c r="J6" s="341">
        <f>18.5*I6</f>
        <v>18500</v>
      </c>
      <c r="K6" s="341"/>
      <c r="L6" s="341">
        <f>19.5*K6</f>
        <v>0</v>
      </c>
      <c r="M6" s="341"/>
      <c r="N6" s="342">
        <f>M6*9.75</f>
        <v>0</v>
      </c>
      <c r="O6" s="341"/>
      <c r="P6" s="342">
        <f>O6*48.62</f>
        <v>0</v>
      </c>
      <c r="Q6" s="342"/>
      <c r="R6" s="342">
        <f>241*Q6</f>
        <v>0</v>
      </c>
      <c r="S6" s="341">
        <v>15</v>
      </c>
      <c r="T6" s="341">
        <f>241*S6</f>
        <v>3615</v>
      </c>
      <c r="U6" s="341"/>
      <c r="V6" s="341">
        <f>232*U6</f>
        <v>0</v>
      </c>
      <c r="W6" s="341"/>
      <c r="X6" s="19">
        <f>W6*100</f>
        <v>0</v>
      </c>
      <c r="Y6" s="89">
        <f t="shared" ref="Y6:Y11" si="0">D6+F6+H6+J6+L6+N6+P6+R6+T6+V6+X6</f>
        <v>57946.662499999999</v>
      </c>
    </row>
    <row r="7" spans="1:25" ht="31.5" customHeight="1" x14ac:dyDescent="0.25">
      <c r="A7" s="12">
        <v>1984225578</v>
      </c>
      <c r="B7" s="338" t="s">
        <v>72</v>
      </c>
      <c r="C7" s="341">
        <v>29597</v>
      </c>
      <c r="D7" s="342">
        <f t="shared" ref="D7:D11" si="1">0.9725*C7</f>
        <v>28783.0825</v>
      </c>
      <c r="E7" s="341"/>
      <c r="F7" s="341">
        <f t="shared" ref="F7:F11" si="2">13.7*E7</f>
        <v>0</v>
      </c>
      <c r="G7" s="341"/>
      <c r="H7" s="341">
        <f t="shared" ref="H7:H11" si="3">28.2*G7</f>
        <v>0</v>
      </c>
      <c r="I7" s="341">
        <v>580</v>
      </c>
      <c r="J7" s="341">
        <f t="shared" ref="J7:J11" si="4">18.5*I7</f>
        <v>10730</v>
      </c>
      <c r="K7" s="341"/>
      <c r="L7" s="341">
        <f t="shared" ref="L7:L11" si="5">19.5*K7</f>
        <v>0</v>
      </c>
      <c r="M7" s="341"/>
      <c r="N7" s="342">
        <f t="shared" ref="N7:N11" si="6">M7*9.75</f>
        <v>0</v>
      </c>
      <c r="O7" s="341"/>
      <c r="P7" s="342">
        <f t="shared" ref="P7:P11" si="7">O7*48.62</f>
        <v>0</v>
      </c>
      <c r="Q7" s="342"/>
      <c r="R7" s="342">
        <f t="shared" ref="R7:R11" si="8">241*Q7</f>
        <v>0</v>
      </c>
      <c r="S7" s="341"/>
      <c r="T7" s="341">
        <f t="shared" ref="T7:T11" si="9">241*S7</f>
        <v>0</v>
      </c>
      <c r="U7" s="341"/>
      <c r="V7" s="341">
        <f t="shared" ref="V7:V11" si="10">232*U7</f>
        <v>0</v>
      </c>
      <c r="W7" s="341"/>
      <c r="X7" s="19">
        <f t="shared" ref="X7:X11" si="11">W7*100</f>
        <v>0</v>
      </c>
      <c r="Y7" s="89">
        <f t="shared" si="0"/>
        <v>39513.082500000004</v>
      </c>
    </row>
    <row r="8" spans="1:25" ht="35.25" customHeight="1" x14ac:dyDescent="0.25">
      <c r="A8" s="12">
        <v>1967020280</v>
      </c>
      <c r="B8" s="338" t="s">
        <v>73</v>
      </c>
      <c r="C8" s="341">
        <v>24456</v>
      </c>
      <c r="D8" s="342">
        <f t="shared" si="1"/>
        <v>23783.46</v>
      </c>
      <c r="E8" s="341"/>
      <c r="F8" s="341">
        <f t="shared" si="2"/>
        <v>0</v>
      </c>
      <c r="G8" s="341"/>
      <c r="H8" s="341">
        <f t="shared" si="3"/>
        <v>0</v>
      </c>
      <c r="I8" s="341">
        <v>150</v>
      </c>
      <c r="J8" s="341">
        <f t="shared" si="4"/>
        <v>2775</v>
      </c>
      <c r="K8" s="341"/>
      <c r="L8" s="341">
        <f t="shared" si="5"/>
        <v>0</v>
      </c>
      <c r="M8" s="341"/>
      <c r="N8" s="342">
        <f t="shared" si="6"/>
        <v>0</v>
      </c>
      <c r="O8" s="341"/>
      <c r="P8" s="342">
        <f t="shared" si="7"/>
        <v>0</v>
      </c>
      <c r="Q8" s="342"/>
      <c r="R8" s="342">
        <f t="shared" si="8"/>
        <v>0</v>
      </c>
      <c r="S8" s="341"/>
      <c r="T8" s="341">
        <f t="shared" si="9"/>
        <v>0</v>
      </c>
      <c r="U8" s="341"/>
      <c r="V8" s="341">
        <f t="shared" si="10"/>
        <v>0</v>
      </c>
      <c r="W8" s="341"/>
      <c r="X8" s="19">
        <f t="shared" si="11"/>
        <v>0</v>
      </c>
      <c r="Y8" s="89">
        <f t="shared" si="0"/>
        <v>26558.46</v>
      </c>
    </row>
    <row r="9" spans="1:25" ht="38.25" customHeight="1" x14ac:dyDescent="0.25">
      <c r="A9" s="12">
        <v>1984225580</v>
      </c>
      <c r="B9" s="338" t="s">
        <v>75</v>
      </c>
      <c r="C9" s="341">
        <v>62583</v>
      </c>
      <c r="D9" s="342">
        <f t="shared" si="1"/>
        <v>60861.967499999999</v>
      </c>
      <c r="E9" s="341"/>
      <c r="F9" s="341">
        <f t="shared" si="2"/>
        <v>0</v>
      </c>
      <c r="G9" s="341">
        <v>60</v>
      </c>
      <c r="H9" s="341">
        <f t="shared" si="3"/>
        <v>1692</v>
      </c>
      <c r="I9" s="341">
        <v>1420</v>
      </c>
      <c r="J9" s="341">
        <f t="shared" si="4"/>
        <v>26270</v>
      </c>
      <c r="K9" s="341"/>
      <c r="L9" s="341">
        <f t="shared" si="5"/>
        <v>0</v>
      </c>
      <c r="M9" s="341"/>
      <c r="N9" s="342">
        <f t="shared" si="6"/>
        <v>0</v>
      </c>
      <c r="O9" s="341"/>
      <c r="P9" s="342">
        <f t="shared" si="7"/>
        <v>0</v>
      </c>
      <c r="Q9" s="342"/>
      <c r="R9" s="342">
        <f t="shared" si="8"/>
        <v>0</v>
      </c>
      <c r="S9" s="341"/>
      <c r="T9" s="341">
        <f t="shared" si="9"/>
        <v>0</v>
      </c>
      <c r="U9" s="341"/>
      <c r="V9" s="341">
        <f t="shared" si="10"/>
        <v>0</v>
      </c>
      <c r="W9" s="341"/>
      <c r="X9" s="19">
        <f t="shared" si="11"/>
        <v>0</v>
      </c>
      <c r="Y9" s="89">
        <f t="shared" si="0"/>
        <v>88823.967499999999</v>
      </c>
    </row>
    <row r="10" spans="1:25" ht="35.25" customHeight="1" x14ac:dyDescent="0.25">
      <c r="A10" s="12">
        <v>1409935199</v>
      </c>
      <c r="C10" s="341"/>
      <c r="D10" s="342">
        <f t="shared" si="1"/>
        <v>0</v>
      </c>
      <c r="E10" s="341"/>
      <c r="F10" s="341">
        <f t="shared" si="2"/>
        <v>0</v>
      </c>
      <c r="G10" s="341"/>
      <c r="H10" s="341">
        <f t="shared" si="3"/>
        <v>0</v>
      </c>
      <c r="I10" s="341"/>
      <c r="J10" s="341">
        <f t="shared" si="4"/>
        <v>0</v>
      </c>
      <c r="K10" s="341"/>
      <c r="L10" s="341">
        <f t="shared" si="5"/>
        <v>0</v>
      </c>
      <c r="M10" s="341"/>
      <c r="N10" s="342">
        <f t="shared" si="6"/>
        <v>0</v>
      </c>
      <c r="O10" s="341"/>
      <c r="P10" s="342">
        <f t="shared" si="7"/>
        <v>0</v>
      </c>
      <c r="Q10" s="342"/>
      <c r="R10" s="342">
        <f t="shared" si="8"/>
        <v>0</v>
      </c>
      <c r="S10" s="341"/>
      <c r="T10" s="341">
        <f t="shared" si="9"/>
        <v>0</v>
      </c>
      <c r="U10" s="341"/>
      <c r="V10" s="341">
        <f t="shared" si="10"/>
        <v>0</v>
      </c>
      <c r="W10" s="341"/>
      <c r="X10" s="19">
        <f t="shared" si="11"/>
        <v>0</v>
      </c>
      <c r="Y10" s="89">
        <f t="shared" si="0"/>
        <v>0</v>
      </c>
    </row>
    <row r="11" spans="1:25" ht="37.5" customHeight="1" x14ac:dyDescent="0.25">
      <c r="A11" s="12"/>
      <c r="B11" s="340"/>
      <c r="C11" s="341"/>
      <c r="D11" s="22">
        <f t="shared" si="1"/>
        <v>0</v>
      </c>
      <c r="E11" s="341"/>
      <c r="F11" s="341">
        <f t="shared" si="2"/>
        <v>0</v>
      </c>
      <c r="G11" s="341"/>
      <c r="H11" s="341">
        <f t="shared" si="3"/>
        <v>0</v>
      </c>
      <c r="I11" s="341"/>
      <c r="J11" s="341">
        <f t="shared" si="4"/>
        <v>0</v>
      </c>
      <c r="K11" s="341"/>
      <c r="L11" s="341">
        <f t="shared" si="5"/>
        <v>0</v>
      </c>
      <c r="M11" s="341"/>
      <c r="N11" s="342">
        <f t="shared" si="6"/>
        <v>0</v>
      </c>
      <c r="O11" s="341"/>
      <c r="P11" s="342">
        <f t="shared" si="7"/>
        <v>0</v>
      </c>
      <c r="Q11" s="342"/>
      <c r="R11" s="342">
        <f t="shared" si="8"/>
        <v>0</v>
      </c>
      <c r="S11" s="341"/>
      <c r="T11" s="341">
        <f t="shared" si="9"/>
        <v>0</v>
      </c>
      <c r="U11" s="341"/>
      <c r="V11" s="341">
        <f t="shared" si="10"/>
        <v>0</v>
      </c>
      <c r="W11" s="341"/>
      <c r="X11" s="19">
        <f t="shared" si="11"/>
        <v>0</v>
      </c>
      <c r="Y11" s="20">
        <f t="shared" si="0"/>
        <v>0</v>
      </c>
    </row>
    <row r="12" spans="1:25" ht="29.25" customHeight="1" x14ac:dyDescent="0.25">
      <c r="A12" s="2235" t="s">
        <v>31</v>
      </c>
      <c r="B12" s="2235"/>
      <c r="C12" s="18">
        <f t="shared" ref="C12:Y12" si="12">SUM(C6:C11)</f>
        <v>152321</v>
      </c>
      <c r="D12" s="18">
        <f t="shared" si="12"/>
        <v>148132.17249999999</v>
      </c>
      <c r="E12" s="18">
        <f t="shared" si="12"/>
        <v>0</v>
      </c>
      <c r="F12" s="18">
        <f t="shared" si="12"/>
        <v>0</v>
      </c>
      <c r="G12" s="18">
        <f t="shared" si="12"/>
        <v>100</v>
      </c>
      <c r="H12" s="18">
        <f t="shared" si="12"/>
        <v>2820</v>
      </c>
      <c r="I12" s="18">
        <f t="shared" si="12"/>
        <v>3150</v>
      </c>
      <c r="J12" s="18">
        <f t="shared" si="12"/>
        <v>58275</v>
      </c>
      <c r="K12" s="18">
        <f t="shared" si="12"/>
        <v>0</v>
      </c>
      <c r="L12" s="18">
        <f t="shared" si="12"/>
        <v>0</v>
      </c>
      <c r="M12" s="18">
        <f t="shared" si="12"/>
        <v>0</v>
      </c>
      <c r="N12" s="23">
        <f t="shared" si="12"/>
        <v>0</v>
      </c>
      <c r="O12" s="18">
        <f t="shared" si="12"/>
        <v>0</v>
      </c>
      <c r="P12" s="23">
        <f t="shared" si="12"/>
        <v>0</v>
      </c>
      <c r="Q12" s="23">
        <f t="shared" si="12"/>
        <v>0</v>
      </c>
      <c r="R12" s="23">
        <f>SUM(R6:R11)</f>
        <v>0</v>
      </c>
      <c r="S12" s="18">
        <f t="shared" si="12"/>
        <v>15</v>
      </c>
      <c r="T12" s="18">
        <f t="shared" si="12"/>
        <v>3615</v>
      </c>
      <c r="U12" s="18">
        <f t="shared" si="12"/>
        <v>0</v>
      </c>
      <c r="V12" s="18">
        <f t="shared" si="12"/>
        <v>0</v>
      </c>
      <c r="W12" s="18">
        <f t="shared" si="12"/>
        <v>0</v>
      </c>
      <c r="X12" s="18">
        <f t="shared" si="12"/>
        <v>0</v>
      </c>
      <c r="Y12" s="18">
        <f t="shared" si="12"/>
        <v>212842.17249999999</v>
      </c>
    </row>
    <row r="14" spans="1:25" ht="41.25" customHeight="1" x14ac:dyDescent="0.25">
      <c r="A14" s="30" t="s">
        <v>32</v>
      </c>
      <c r="B14" s="2236" t="s">
        <v>27</v>
      </c>
      <c r="C14" s="2236"/>
      <c r="D14" s="30" t="s">
        <v>33</v>
      </c>
      <c r="E14" s="30" t="s">
        <v>65</v>
      </c>
      <c r="F14" s="30" t="s">
        <v>34</v>
      </c>
      <c r="G14" s="30" t="s">
        <v>13</v>
      </c>
      <c r="H14" s="142" t="s">
        <v>173</v>
      </c>
      <c r="I14" s="30" t="s">
        <v>17</v>
      </c>
      <c r="J14" s="346" t="s">
        <v>174</v>
      </c>
      <c r="K14" s="30" t="s">
        <v>36</v>
      </c>
      <c r="L14" s="30" t="s">
        <v>175</v>
      </c>
      <c r="M14" s="30" t="s">
        <v>69</v>
      </c>
      <c r="N14" s="30" t="s">
        <v>70</v>
      </c>
      <c r="O14" s="346" t="s">
        <v>114</v>
      </c>
      <c r="P14" s="346" t="s">
        <v>99</v>
      </c>
      <c r="Q14" s="2272" t="s">
        <v>301</v>
      </c>
      <c r="R14" s="2272"/>
      <c r="S14" s="346"/>
      <c r="T14" s="2235" t="s">
        <v>46</v>
      </c>
      <c r="U14" s="338" t="s">
        <v>176</v>
      </c>
      <c r="V14" s="2260">
        <v>281187</v>
      </c>
      <c r="W14" s="2268"/>
      <c r="X14" s="2261"/>
    </row>
    <row r="15" spans="1:25" ht="22.5" customHeight="1" x14ac:dyDescent="0.25">
      <c r="A15" s="100" t="s">
        <v>38</v>
      </c>
      <c r="B15" s="2260">
        <v>322679</v>
      </c>
      <c r="C15" s="2261"/>
      <c r="D15" s="343">
        <v>0</v>
      </c>
      <c r="E15" s="343">
        <v>3650</v>
      </c>
      <c r="F15" s="343">
        <v>13000</v>
      </c>
      <c r="G15" s="343">
        <v>0</v>
      </c>
      <c r="H15" s="343">
        <v>71</v>
      </c>
      <c r="I15" s="343">
        <v>30</v>
      </c>
      <c r="J15" s="343">
        <v>111</v>
      </c>
      <c r="K15" s="343">
        <v>68</v>
      </c>
      <c r="L15" s="343">
        <v>810</v>
      </c>
      <c r="M15" s="343">
        <v>0</v>
      </c>
      <c r="N15" s="343">
        <v>100</v>
      </c>
      <c r="O15" s="343">
        <v>0</v>
      </c>
      <c r="P15" s="343">
        <v>404</v>
      </c>
      <c r="Q15" s="2262">
        <v>564</v>
      </c>
      <c r="R15" s="2262"/>
      <c r="S15" s="338">
        <v>0</v>
      </c>
      <c r="T15" s="2235"/>
      <c r="U15" s="338" t="s">
        <v>64</v>
      </c>
      <c r="V15" s="2262">
        <v>48722</v>
      </c>
      <c r="W15" s="2262"/>
      <c r="X15" s="2262"/>
    </row>
    <row r="16" spans="1:25" ht="24.75" customHeight="1" x14ac:dyDescent="0.25">
      <c r="A16" s="100" t="s">
        <v>39</v>
      </c>
      <c r="B16" s="2260">
        <v>124675</v>
      </c>
      <c r="C16" s="2261"/>
      <c r="D16" s="343"/>
      <c r="E16" s="343"/>
      <c r="F16" s="343"/>
      <c r="G16" s="343"/>
      <c r="H16" s="343"/>
      <c r="I16" s="343"/>
      <c r="J16" s="343"/>
      <c r="K16" s="343"/>
      <c r="L16" s="343"/>
      <c r="M16" s="343"/>
      <c r="N16" s="343"/>
      <c r="O16" s="343"/>
      <c r="P16" s="343"/>
      <c r="Q16" s="2225"/>
      <c r="R16" s="2225"/>
      <c r="S16" s="343"/>
      <c r="T16" s="2254" t="s">
        <v>55</v>
      </c>
      <c r="U16" s="2254"/>
      <c r="V16" s="2267">
        <f>Y12</f>
        <v>212842.17249999999</v>
      </c>
      <c r="W16" s="2267"/>
      <c r="X16" s="2262"/>
    </row>
    <row r="17" spans="1:25" ht="28.5" customHeight="1" x14ac:dyDescent="0.25">
      <c r="A17" s="101" t="s">
        <v>44</v>
      </c>
      <c r="B17" s="2260"/>
      <c r="C17" s="2261"/>
      <c r="D17" s="343"/>
      <c r="E17" s="343"/>
      <c r="F17" s="343"/>
      <c r="G17" s="343"/>
      <c r="H17" s="343"/>
      <c r="I17" s="343"/>
      <c r="J17" s="343"/>
      <c r="K17" s="343"/>
      <c r="L17" s="343"/>
      <c r="M17" s="343"/>
      <c r="N17" s="343"/>
      <c r="O17" s="343"/>
      <c r="P17" s="343"/>
      <c r="Q17" s="2225"/>
      <c r="R17" s="2225"/>
      <c r="S17" s="340"/>
      <c r="T17" s="2294" t="s">
        <v>296</v>
      </c>
      <c r="U17" s="2295"/>
      <c r="V17" s="2296"/>
      <c r="W17" s="2296"/>
      <c r="X17" s="2296"/>
    </row>
    <row r="18" spans="1:25" ht="27" customHeight="1" x14ac:dyDescent="0.25">
      <c r="A18" s="100" t="s">
        <v>40</v>
      </c>
      <c r="B18" s="2264">
        <f>C12</f>
        <v>152321</v>
      </c>
      <c r="C18" s="2261"/>
      <c r="D18" s="344">
        <f>E12</f>
        <v>0</v>
      </c>
      <c r="E18" s="344">
        <f>G12</f>
        <v>100</v>
      </c>
      <c r="F18" s="344">
        <f>I12</f>
        <v>3150</v>
      </c>
      <c r="G18" s="344">
        <f>K12</f>
        <v>0</v>
      </c>
      <c r="H18" s="343">
        <v>15</v>
      </c>
      <c r="I18" s="344">
        <f>U12</f>
        <v>0</v>
      </c>
      <c r="J18" s="343"/>
      <c r="K18" s="344">
        <f>W12</f>
        <v>0</v>
      </c>
      <c r="L18" s="343"/>
      <c r="M18" s="344">
        <f>M12</f>
        <v>0</v>
      </c>
      <c r="N18" s="344">
        <f>O12</f>
        <v>0</v>
      </c>
      <c r="O18" s="345">
        <f>Q12</f>
        <v>0</v>
      </c>
      <c r="P18" s="343"/>
      <c r="Q18" s="2262"/>
      <c r="R18" s="2262"/>
      <c r="S18" s="338"/>
      <c r="T18" s="2254" t="s">
        <v>57</v>
      </c>
      <c r="U18" s="2254"/>
      <c r="V18" s="2262">
        <v>470</v>
      </c>
      <c r="W18" s="2262"/>
      <c r="X18" s="2262"/>
      <c r="Y18" s="2269" t="s">
        <v>291</v>
      </c>
    </row>
    <row r="19" spans="1:25" ht="25.5" customHeight="1" x14ac:dyDescent="0.25">
      <c r="A19" s="100" t="s">
        <v>41</v>
      </c>
      <c r="B19" s="2260">
        <f>B15+B16+B17-B18</f>
        <v>295033</v>
      </c>
      <c r="C19" s="2261"/>
      <c r="D19" s="343">
        <f>D15+D16+D17-D18</f>
        <v>0</v>
      </c>
      <c r="E19" s="343">
        <f t="shared" ref="E19:N19" si="13">E15+E16+E17-E18</f>
        <v>3550</v>
      </c>
      <c r="F19" s="343">
        <f t="shared" si="13"/>
        <v>9850</v>
      </c>
      <c r="G19" s="343">
        <f t="shared" si="13"/>
        <v>0</v>
      </c>
      <c r="H19" s="343">
        <f t="shared" si="13"/>
        <v>56</v>
      </c>
      <c r="I19" s="343">
        <f t="shared" si="13"/>
        <v>30</v>
      </c>
      <c r="J19" s="343">
        <f t="shared" si="13"/>
        <v>111</v>
      </c>
      <c r="K19" s="343">
        <f t="shared" si="13"/>
        <v>68</v>
      </c>
      <c r="L19" s="343">
        <f t="shared" si="13"/>
        <v>810</v>
      </c>
      <c r="M19" s="343">
        <f t="shared" si="13"/>
        <v>0</v>
      </c>
      <c r="N19" s="343">
        <f t="shared" si="13"/>
        <v>100</v>
      </c>
      <c r="O19" s="343">
        <f>O15+O16+O17-O18</f>
        <v>0</v>
      </c>
      <c r="P19" s="343">
        <f>P15+P16+P17-P18</f>
        <v>404</v>
      </c>
      <c r="Q19" s="2260">
        <f t="shared" ref="Q19" si="14">Q15+Q16+Q17-Q18</f>
        <v>564</v>
      </c>
      <c r="R19" s="2261"/>
      <c r="S19" s="338">
        <f>S15+S16-S17-S18</f>
        <v>0</v>
      </c>
      <c r="T19" s="2256" t="s">
        <v>48</v>
      </c>
      <c r="U19" s="49" t="s">
        <v>58</v>
      </c>
      <c r="V19" s="2262">
        <v>320000</v>
      </c>
      <c r="W19" s="2262"/>
      <c r="X19" s="2262"/>
      <c r="Y19" s="2269"/>
    </row>
    <row r="20" spans="1:25" ht="23.25" customHeight="1" x14ac:dyDescent="0.25">
      <c r="A20" s="289" t="s">
        <v>187</v>
      </c>
      <c r="B20" s="2286">
        <f>B19*0.9625</f>
        <v>283969.26250000001</v>
      </c>
      <c r="C20" s="2287"/>
      <c r="D20" s="290">
        <f>D19*13.56</f>
        <v>0</v>
      </c>
      <c r="E20" s="290">
        <f>28.2*E19</f>
        <v>100110</v>
      </c>
      <c r="F20" s="290">
        <f>18.31*F19</f>
        <v>180353.5</v>
      </c>
      <c r="G20" s="290">
        <f>19.3*G19</f>
        <v>0</v>
      </c>
      <c r="H20" s="290">
        <f>241*H19</f>
        <v>13496</v>
      </c>
      <c r="I20" s="290">
        <f>223*I19</f>
        <v>6690</v>
      </c>
      <c r="J20" s="290">
        <f>241*J19</f>
        <v>26751</v>
      </c>
      <c r="K20" s="290">
        <f>K19*100</f>
        <v>6800</v>
      </c>
      <c r="L20" s="290">
        <f>241*L19</f>
        <v>195210</v>
      </c>
      <c r="M20" s="290">
        <f>9.65*M19</f>
        <v>0</v>
      </c>
      <c r="N20" s="290">
        <f>N19*48.2</f>
        <v>4820</v>
      </c>
      <c r="O20" s="290">
        <f>241*O19</f>
        <v>0</v>
      </c>
      <c r="P20" s="290">
        <f>241*P19</f>
        <v>97364</v>
      </c>
      <c r="Q20" s="2286">
        <f>241*Q19</f>
        <v>135924</v>
      </c>
      <c r="R20" s="2287"/>
      <c r="S20" s="290">
        <f>241*S19</f>
        <v>0</v>
      </c>
      <c r="T20" s="2257"/>
      <c r="U20" s="49" t="s">
        <v>59</v>
      </c>
      <c r="V20" s="2262"/>
      <c r="W20" s="2262"/>
      <c r="X20" s="2262"/>
      <c r="Y20" s="2269"/>
    </row>
    <row r="21" spans="1:25" ht="32.25" customHeight="1" x14ac:dyDescent="0.25">
      <c r="A21" s="291" t="s">
        <v>186</v>
      </c>
      <c r="B21" s="2293">
        <f>SUM(B20:S20)</f>
        <v>1051487.7625</v>
      </c>
      <c r="C21" s="2293"/>
      <c r="O21" s="347"/>
      <c r="P21" s="347"/>
      <c r="Q21" s="347"/>
      <c r="R21" s="347"/>
      <c r="T21" s="2294" t="s">
        <v>167</v>
      </c>
      <c r="U21" s="2295"/>
      <c r="V21" s="2297">
        <v>150000</v>
      </c>
      <c r="W21" s="2298"/>
      <c r="X21" s="2299"/>
      <c r="Y21" s="2269"/>
    </row>
    <row r="22" spans="1:25" ht="35.25" customHeight="1" x14ac:dyDescent="0.25">
      <c r="A22" s="15"/>
      <c r="B22" s="2288" t="s">
        <v>49</v>
      </c>
      <c r="C22" s="2291">
        <v>898109</v>
      </c>
      <c r="D22" s="2291">
        <v>320000</v>
      </c>
      <c r="E22" s="2291">
        <v>120000</v>
      </c>
      <c r="F22" s="2291">
        <f>C22-D22+E22</f>
        <v>698109</v>
      </c>
      <c r="G22" s="347"/>
      <c r="Q22" s="347"/>
      <c r="R22" s="347"/>
      <c r="T22" s="2251" t="s">
        <v>83</v>
      </c>
      <c r="U22" s="50" t="s">
        <v>60</v>
      </c>
      <c r="V22" s="2262">
        <v>483570</v>
      </c>
      <c r="W22" s="2262"/>
      <c r="X22" s="2262"/>
      <c r="Y22" s="2269"/>
    </row>
    <row r="23" spans="1:25" ht="39.75" customHeight="1" x14ac:dyDescent="0.25">
      <c r="A23" s="347"/>
      <c r="B23" s="2289"/>
      <c r="C23" s="2292"/>
      <c r="D23" s="2292"/>
      <c r="E23" s="2292"/>
      <c r="F23" s="2292"/>
      <c r="G23" s="347"/>
      <c r="Q23" s="347"/>
      <c r="R23" s="347"/>
      <c r="T23" s="2252"/>
      <c r="U23" s="50" t="s">
        <v>61</v>
      </c>
      <c r="V23" s="2262">
        <v>470000</v>
      </c>
      <c r="W23" s="2262"/>
      <c r="X23" s="2262"/>
      <c r="Y23" s="2269"/>
    </row>
    <row r="24" spans="1:25" ht="48" customHeight="1" x14ac:dyDescent="0.25">
      <c r="A24" s="347"/>
      <c r="B24" s="2290"/>
      <c r="C24" s="290" t="s">
        <v>46</v>
      </c>
      <c r="D24" s="290" t="s">
        <v>50</v>
      </c>
      <c r="E24" s="290" t="s">
        <v>51</v>
      </c>
      <c r="F24" s="290" t="s">
        <v>52</v>
      </c>
      <c r="G24" s="347"/>
      <c r="Q24" s="347"/>
      <c r="R24" s="347"/>
      <c r="T24" s="2235" t="s">
        <v>47</v>
      </c>
      <c r="U24" s="51" t="s">
        <v>62</v>
      </c>
      <c r="V24" s="2263">
        <f>V14+V16+V17-V18-V19-V20-V22+V23-V21</f>
        <v>9989.172499999986</v>
      </c>
      <c r="W24" s="2263"/>
      <c r="X24" s="2263"/>
      <c r="Y24" s="2269"/>
    </row>
    <row r="25" spans="1:25" ht="40.5" customHeight="1" x14ac:dyDescent="0.25">
      <c r="T25" s="2235"/>
      <c r="U25" s="51" t="s">
        <v>63</v>
      </c>
      <c r="V25" s="2262">
        <f>V15+V22-V23</f>
        <v>62292</v>
      </c>
      <c r="W25" s="2262"/>
      <c r="X25" s="2262"/>
    </row>
    <row r="26" spans="1:25" ht="36" customHeight="1" x14ac:dyDescent="0.25">
      <c r="K26" s="314"/>
    </row>
    <row r="32" spans="1:25" x14ac:dyDescent="0.25">
      <c r="I32" s="2280"/>
      <c r="J32" s="2280"/>
      <c r="K32" s="2280"/>
      <c r="L32" s="2280"/>
    </row>
    <row r="33" spans="9:12" x14ac:dyDescent="0.25">
      <c r="I33" s="347"/>
      <c r="J33" s="347"/>
      <c r="K33" s="2280"/>
      <c r="L33" s="2280"/>
    </row>
  </sheetData>
  <mergeCells count="62">
    <mergeCell ref="I32:J32"/>
    <mergeCell ref="K32:L32"/>
    <mergeCell ref="K33:L33"/>
    <mergeCell ref="T22:T23"/>
    <mergeCell ref="V22:X22"/>
    <mergeCell ref="V23:X23"/>
    <mergeCell ref="T24:T25"/>
    <mergeCell ref="V24:X24"/>
    <mergeCell ref="V25:X25"/>
    <mergeCell ref="Y18:Y24"/>
    <mergeCell ref="B19:C19"/>
    <mergeCell ref="Q19:R19"/>
    <mergeCell ref="T19:T20"/>
    <mergeCell ref="V19:X19"/>
    <mergeCell ref="B20:C20"/>
    <mergeCell ref="B22:B24"/>
    <mergeCell ref="C22:C23"/>
    <mergeCell ref="D22:D23"/>
    <mergeCell ref="E22:E23"/>
    <mergeCell ref="F22:F23"/>
    <mergeCell ref="Q20:R20"/>
    <mergeCell ref="V20:X20"/>
    <mergeCell ref="B21:C21"/>
    <mergeCell ref="T21:U21"/>
    <mergeCell ref="V21:X21"/>
    <mergeCell ref="B17:C17"/>
    <mergeCell ref="Q17:R17"/>
    <mergeCell ref="T17:U17"/>
    <mergeCell ref="V17:X17"/>
    <mergeCell ref="B18:C18"/>
    <mergeCell ref="Q18:R18"/>
    <mergeCell ref="T18:U18"/>
    <mergeCell ref="V18:X18"/>
    <mergeCell ref="W4:X4"/>
    <mergeCell ref="B16:C16"/>
    <mergeCell ref="Q16:R16"/>
    <mergeCell ref="T16:U16"/>
    <mergeCell ref="V16:X16"/>
    <mergeCell ref="A12:B12"/>
    <mergeCell ref="B14:C14"/>
    <mergeCell ref="Q14:R14"/>
    <mergeCell ref="T14:T15"/>
    <mergeCell ref="V14:X14"/>
    <mergeCell ref="B15:C15"/>
    <mergeCell ref="Q15:R15"/>
    <mergeCell ref="V15:X15"/>
    <mergeCell ref="A1:Y1"/>
    <mergeCell ref="A2:Y2"/>
    <mergeCell ref="T3:Y3"/>
    <mergeCell ref="A4:A5"/>
    <mergeCell ref="B4:B5"/>
    <mergeCell ref="C4:D4"/>
    <mergeCell ref="E4:F4"/>
    <mergeCell ref="G4:H4"/>
    <mergeCell ref="I4:J4"/>
    <mergeCell ref="K4:L4"/>
    <mergeCell ref="Y4:Y5"/>
    <mergeCell ref="M4:N4"/>
    <mergeCell ref="O4:P4"/>
    <mergeCell ref="Q4:R4"/>
    <mergeCell ref="S4:T4"/>
    <mergeCell ref="U4:V4"/>
  </mergeCells>
  <pageMargins left="0.15748031496063" right="0.15748031496063" top="0" bottom="0" header="0" footer="0"/>
  <pageSetup paperSize="9" scale="47" orientation="landscape" r:id="rId1"/>
</worksheet>
</file>

<file path=xl/worksheets/sheet1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B58DA2E-550D-450A-8E33-8F348471B4D5}">
  <sheetPr>
    <pageSetUpPr fitToPage="1"/>
  </sheetPr>
  <dimension ref="A1:Y33"/>
  <sheetViews>
    <sheetView topLeftCell="C1" zoomScale="71" zoomScaleNormal="71" zoomScaleSheetLayoutView="100" workbookViewId="0">
      <selection activeCell="O27" sqref="O27"/>
    </sheetView>
  </sheetViews>
  <sheetFormatPr defaultColWidth="9.140625" defaultRowHeight="15" x14ac:dyDescent="0.25"/>
  <cols>
    <col min="1" max="1" width="18.28515625" style="14" customWidth="1"/>
    <col min="2" max="2" width="10.7109375" style="14" customWidth="1"/>
    <col min="3" max="3" width="12.28515625" style="14" customWidth="1"/>
    <col min="4" max="4" width="11" style="14" customWidth="1"/>
    <col min="5" max="5" width="12" style="14" customWidth="1"/>
    <col min="6" max="6" width="12.5703125" style="14" bestFit="1" customWidth="1"/>
    <col min="7" max="7" width="9.28515625" style="14" bestFit="1" customWidth="1"/>
    <col min="8" max="8" width="10.140625" style="14" bestFit="1" customWidth="1"/>
    <col min="9" max="9" width="10.5703125" style="14" bestFit="1" customWidth="1"/>
    <col min="10" max="10" width="10.5703125" style="14" customWidth="1"/>
    <col min="11" max="11" width="10.28515625" style="14" bestFit="1" customWidth="1"/>
    <col min="12" max="12" width="10.42578125" style="14" bestFit="1" customWidth="1"/>
    <col min="13" max="13" width="9.85546875" style="14" bestFit="1" customWidth="1"/>
    <col min="14" max="14" width="10.140625" style="14" bestFit="1" customWidth="1"/>
    <col min="15" max="15" width="9" style="14" customWidth="1"/>
    <col min="16" max="16" width="12.85546875" style="14" bestFit="1" customWidth="1"/>
    <col min="17" max="18" width="9.42578125" style="14" customWidth="1"/>
    <col min="19" max="19" width="13.7109375" style="14" customWidth="1"/>
    <col min="20" max="20" width="12.140625" style="14" customWidth="1"/>
    <col min="21" max="21" width="19.5703125" style="14" bestFit="1" customWidth="1"/>
    <col min="22" max="22" width="9.85546875" style="14" customWidth="1"/>
    <col min="23" max="23" width="10.140625" style="14" bestFit="1" customWidth="1"/>
    <col min="24" max="24" width="10.28515625" style="14" customWidth="1"/>
    <col min="25" max="25" width="28" style="14" customWidth="1"/>
    <col min="26" max="16384" width="9.140625" style="14"/>
  </cols>
  <sheetData>
    <row r="1" spans="1:25" ht="46.15" customHeight="1" x14ac:dyDescent="0.25">
      <c r="A1" s="2240" t="s">
        <v>148</v>
      </c>
      <c r="B1" s="2240"/>
      <c r="C1" s="2240"/>
      <c r="D1" s="2240"/>
      <c r="E1" s="2240"/>
      <c r="F1" s="2240"/>
      <c r="G1" s="2240"/>
      <c r="H1" s="2240"/>
      <c r="I1" s="2240"/>
      <c r="J1" s="2240"/>
      <c r="K1" s="2240"/>
      <c r="L1" s="2240"/>
      <c r="M1" s="2240"/>
      <c r="N1" s="2240"/>
      <c r="O1" s="2240"/>
      <c r="P1" s="2240"/>
      <c r="Q1" s="2240"/>
      <c r="R1" s="2240"/>
      <c r="S1" s="2240"/>
      <c r="T1" s="2240"/>
      <c r="U1" s="2240"/>
      <c r="V1" s="2240"/>
      <c r="W1" s="2240"/>
      <c r="X1" s="2240"/>
      <c r="Y1" s="2240"/>
    </row>
    <row r="2" spans="1:25" ht="21.6" customHeight="1" x14ac:dyDescent="0.25">
      <c r="A2" s="2241" t="s">
        <v>77</v>
      </c>
      <c r="B2" s="2241"/>
      <c r="C2" s="2241"/>
      <c r="D2" s="2241"/>
      <c r="E2" s="2241"/>
      <c r="F2" s="2241"/>
      <c r="G2" s="2241"/>
      <c r="H2" s="2241"/>
      <c r="I2" s="2241"/>
      <c r="J2" s="2241"/>
      <c r="K2" s="2241"/>
      <c r="L2" s="2241"/>
      <c r="M2" s="2241"/>
      <c r="N2" s="2241"/>
      <c r="O2" s="2241"/>
      <c r="P2" s="2241"/>
      <c r="Q2" s="2241"/>
      <c r="R2" s="2241"/>
      <c r="S2" s="2241"/>
      <c r="T2" s="2241"/>
      <c r="U2" s="2241"/>
      <c r="V2" s="2241"/>
      <c r="W2" s="2241"/>
      <c r="X2" s="2241"/>
      <c r="Y2" s="2241"/>
    </row>
    <row r="3" spans="1:25" ht="21" customHeight="1" x14ac:dyDescent="0.25">
      <c r="A3" s="353"/>
      <c r="B3" s="353"/>
      <c r="C3" s="353"/>
      <c r="D3" s="353"/>
      <c r="E3" s="353"/>
      <c r="F3" s="353"/>
      <c r="G3" s="353"/>
      <c r="H3" s="353"/>
      <c r="I3" s="353"/>
      <c r="J3" s="353"/>
      <c r="K3" s="353"/>
      <c r="L3" s="353"/>
      <c r="M3" s="353"/>
      <c r="N3" s="353"/>
      <c r="O3" s="353"/>
      <c r="P3" s="353"/>
      <c r="Q3" s="353"/>
      <c r="R3" s="353"/>
      <c r="S3" s="353"/>
      <c r="T3" s="2242" t="s">
        <v>311</v>
      </c>
      <c r="U3" s="2242"/>
      <c r="V3" s="2242"/>
      <c r="W3" s="2242"/>
      <c r="X3" s="2242"/>
      <c r="Y3" s="2242"/>
    </row>
    <row r="4" spans="1:25" s="353" customFormat="1" ht="18" customHeight="1" x14ac:dyDescent="0.25">
      <c r="A4" s="2243" t="s">
        <v>25</v>
      </c>
      <c r="B4" s="2243" t="s">
        <v>26</v>
      </c>
      <c r="C4" s="2244" t="s">
        <v>27</v>
      </c>
      <c r="D4" s="2244"/>
      <c r="E4" s="2244" t="s">
        <v>28</v>
      </c>
      <c r="F4" s="2244"/>
      <c r="G4" s="2244" t="s">
        <v>65</v>
      </c>
      <c r="H4" s="2244"/>
      <c r="I4" s="2244" t="s">
        <v>29</v>
      </c>
      <c r="J4" s="2244"/>
      <c r="K4" s="2245" t="s">
        <v>13</v>
      </c>
      <c r="L4" s="2246"/>
      <c r="M4" s="2245" t="s">
        <v>67</v>
      </c>
      <c r="N4" s="2246"/>
      <c r="O4" s="2245" t="s">
        <v>68</v>
      </c>
      <c r="P4" s="2246"/>
      <c r="Q4" s="2245" t="s">
        <v>114</v>
      </c>
      <c r="R4" s="2246"/>
      <c r="S4" s="2244" t="s">
        <v>35</v>
      </c>
      <c r="T4" s="2244"/>
      <c r="U4" s="2245" t="s">
        <v>17</v>
      </c>
      <c r="V4" s="2246"/>
      <c r="W4" s="2247" t="s">
        <v>36</v>
      </c>
      <c r="X4" s="2248"/>
      <c r="Y4" s="2238" t="s">
        <v>30</v>
      </c>
    </row>
    <row r="5" spans="1:25" s="353" customFormat="1" ht="25.5" customHeight="1" x14ac:dyDescent="0.25">
      <c r="A5" s="2243"/>
      <c r="B5" s="2243"/>
      <c r="C5" s="352" t="s">
        <v>42</v>
      </c>
      <c r="D5" s="352" t="s">
        <v>43</v>
      </c>
      <c r="E5" s="352" t="s">
        <v>42</v>
      </c>
      <c r="F5" s="352" t="s">
        <v>43</v>
      </c>
      <c r="G5" s="352" t="s">
        <v>42</v>
      </c>
      <c r="H5" s="352" t="s">
        <v>43</v>
      </c>
      <c r="I5" s="352" t="s">
        <v>42</v>
      </c>
      <c r="J5" s="352" t="s">
        <v>43</v>
      </c>
      <c r="K5" s="352" t="s">
        <v>42</v>
      </c>
      <c r="L5" s="352" t="s">
        <v>43</v>
      </c>
      <c r="M5" s="352" t="s">
        <v>42</v>
      </c>
      <c r="N5" s="352" t="s">
        <v>43</v>
      </c>
      <c r="O5" s="352" t="s">
        <v>42</v>
      </c>
      <c r="P5" s="352" t="s">
        <v>43</v>
      </c>
      <c r="Q5" s="352" t="s">
        <v>42</v>
      </c>
      <c r="R5" s="352" t="s">
        <v>43</v>
      </c>
      <c r="S5" s="33" t="s">
        <v>42</v>
      </c>
      <c r="T5" s="33" t="s">
        <v>43</v>
      </c>
      <c r="U5" s="30" t="s">
        <v>42</v>
      </c>
      <c r="V5" s="30" t="s">
        <v>43</v>
      </c>
      <c r="W5" s="30" t="s">
        <v>42</v>
      </c>
      <c r="X5" s="30" t="s">
        <v>43</v>
      </c>
      <c r="Y5" s="2239"/>
    </row>
    <row r="6" spans="1:25" ht="34.5" customHeight="1" x14ac:dyDescent="0.25">
      <c r="A6" s="12">
        <v>1409935200</v>
      </c>
      <c r="B6" s="351" t="s">
        <v>71</v>
      </c>
      <c r="C6" s="349">
        <v>45136</v>
      </c>
      <c r="D6" s="348">
        <f>0.9725*C6</f>
        <v>43894.76</v>
      </c>
      <c r="E6" s="349"/>
      <c r="F6" s="349">
        <f>13.7*E6</f>
        <v>0</v>
      </c>
      <c r="G6" s="349">
        <v>40</v>
      </c>
      <c r="H6" s="349">
        <f>28.2*G6</f>
        <v>1128</v>
      </c>
      <c r="I6" s="349">
        <v>1070</v>
      </c>
      <c r="J6" s="349">
        <f>18.5*I6</f>
        <v>19795</v>
      </c>
      <c r="K6" s="349"/>
      <c r="L6" s="349">
        <f>19.5*K6</f>
        <v>0</v>
      </c>
      <c r="M6" s="349"/>
      <c r="N6" s="348">
        <f>M6*9.75</f>
        <v>0</v>
      </c>
      <c r="O6" s="349"/>
      <c r="P6" s="348">
        <f>O6*48.62</f>
        <v>0</v>
      </c>
      <c r="Q6" s="348"/>
      <c r="R6" s="348">
        <f>241*Q6</f>
        <v>0</v>
      </c>
      <c r="S6" s="349">
        <v>5</v>
      </c>
      <c r="T6" s="349">
        <f>241*S6</f>
        <v>1205</v>
      </c>
      <c r="U6" s="349"/>
      <c r="V6" s="349">
        <f>232*U6</f>
        <v>0</v>
      </c>
      <c r="W6" s="349"/>
      <c r="X6" s="19">
        <f>W6*100</f>
        <v>0</v>
      </c>
      <c r="Y6" s="89">
        <f t="shared" ref="Y6:Y11" si="0">D6+F6+H6+J6+L6+N6+P6+R6+T6+V6+X6</f>
        <v>66022.760000000009</v>
      </c>
    </row>
    <row r="7" spans="1:25" ht="31.5" customHeight="1" x14ac:dyDescent="0.25">
      <c r="A7" s="12">
        <v>1984225578</v>
      </c>
      <c r="B7" s="351" t="s">
        <v>72</v>
      </c>
      <c r="C7" s="349">
        <v>25368</v>
      </c>
      <c r="D7" s="348">
        <f t="shared" ref="D7:D11" si="1">0.9725*C7</f>
        <v>24670.38</v>
      </c>
      <c r="E7" s="349"/>
      <c r="F7" s="349">
        <f t="shared" ref="F7:F11" si="2">13.7*E7</f>
        <v>0</v>
      </c>
      <c r="G7" s="349"/>
      <c r="H7" s="349">
        <f t="shared" ref="H7:H11" si="3">28.2*G7</f>
        <v>0</v>
      </c>
      <c r="I7" s="349">
        <v>240</v>
      </c>
      <c r="J7" s="349">
        <f t="shared" ref="J7:J11" si="4">18.5*I7</f>
        <v>4440</v>
      </c>
      <c r="K7" s="349"/>
      <c r="L7" s="349">
        <f t="shared" ref="L7:L11" si="5">19.5*K7</f>
        <v>0</v>
      </c>
      <c r="M7" s="349"/>
      <c r="N7" s="348">
        <f t="shared" ref="N7:N11" si="6">M7*9.75</f>
        <v>0</v>
      </c>
      <c r="O7" s="349"/>
      <c r="P7" s="348">
        <f t="shared" ref="P7:P11" si="7">O7*48.62</f>
        <v>0</v>
      </c>
      <c r="Q7" s="348"/>
      <c r="R7" s="348">
        <f t="shared" ref="R7:R11" si="8">241*Q7</f>
        <v>0</v>
      </c>
      <c r="S7" s="349"/>
      <c r="T7" s="349">
        <f t="shared" ref="T7:T11" si="9">241*S7</f>
        <v>0</v>
      </c>
      <c r="U7" s="349"/>
      <c r="V7" s="349">
        <f t="shared" ref="V7:V11" si="10">232*U7</f>
        <v>0</v>
      </c>
      <c r="W7" s="349"/>
      <c r="X7" s="19">
        <f t="shared" ref="X7:X11" si="11">W7*100</f>
        <v>0</v>
      </c>
      <c r="Y7" s="89">
        <f t="shared" si="0"/>
        <v>29110.38</v>
      </c>
    </row>
    <row r="8" spans="1:25" ht="35.25" customHeight="1" x14ac:dyDescent="0.25">
      <c r="A8" s="12">
        <v>1967020280</v>
      </c>
      <c r="B8" s="351" t="s">
        <v>73</v>
      </c>
      <c r="C8" s="349">
        <v>36930</v>
      </c>
      <c r="D8" s="348">
        <f t="shared" si="1"/>
        <v>35914.425000000003</v>
      </c>
      <c r="E8" s="349"/>
      <c r="F8" s="349">
        <f t="shared" si="2"/>
        <v>0</v>
      </c>
      <c r="G8" s="349">
        <v>430</v>
      </c>
      <c r="H8" s="349">
        <f t="shared" si="3"/>
        <v>12126</v>
      </c>
      <c r="I8" s="349">
        <v>2230</v>
      </c>
      <c r="J8" s="349">
        <f t="shared" si="4"/>
        <v>41255</v>
      </c>
      <c r="K8" s="349"/>
      <c r="L8" s="349">
        <f t="shared" si="5"/>
        <v>0</v>
      </c>
      <c r="M8" s="349"/>
      <c r="N8" s="348">
        <f t="shared" si="6"/>
        <v>0</v>
      </c>
      <c r="O8" s="349"/>
      <c r="P8" s="348">
        <f t="shared" si="7"/>
        <v>0</v>
      </c>
      <c r="Q8" s="348"/>
      <c r="R8" s="348">
        <f t="shared" si="8"/>
        <v>0</v>
      </c>
      <c r="S8" s="349">
        <v>10</v>
      </c>
      <c r="T8" s="349">
        <f t="shared" si="9"/>
        <v>2410</v>
      </c>
      <c r="U8" s="349"/>
      <c r="V8" s="349">
        <f t="shared" si="10"/>
        <v>0</v>
      </c>
      <c r="W8" s="349"/>
      <c r="X8" s="19">
        <f t="shared" si="11"/>
        <v>0</v>
      </c>
      <c r="Y8" s="89">
        <f t="shared" si="0"/>
        <v>91705.425000000003</v>
      </c>
    </row>
    <row r="9" spans="1:25" ht="38.25" customHeight="1" x14ac:dyDescent="0.25">
      <c r="A9" s="12">
        <v>1984225580</v>
      </c>
      <c r="B9" s="351" t="s">
        <v>75</v>
      </c>
      <c r="C9" s="349">
        <v>33938</v>
      </c>
      <c r="D9" s="348">
        <f t="shared" si="1"/>
        <v>33004.705000000002</v>
      </c>
      <c r="E9" s="349"/>
      <c r="F9" s="349">
        <f t="shared" si="2"/>
        <v>0</v>
      </c>
      <c r="G9" s="349"/>
      <c r="H9" s="349">
        <f t="shared" si="3"/>
        <v>0</v>
      </c>
      <c r="I9" s="349">
        <v>1020</v>
      </c>
      <c r="J9" s="349">
        <f t="shared" si="4"/>
        <v>18870</v>
      </c>
      <c r="K9" s="349"/>
      <c r="L9" s="349">
        <f t="shared" si="5"/>
        <v>0</v>
      </c>
      <c r="M9" s="349"/>
      <c r="N9" s="348">
        <f t="shared" si="6"/>
        <v>0</v>
      </c>
      <c r="O9" s="349"/>
      <c r="P9" s="348">
        <f t="shared" si="7"/>
        <v>0</v>
      </c>
      <c r="Q9" s="348"/>
      <c r="R9" s="348">
        <f t="shared" si="8"/>
        <v>0</v>
      </c>
      <c r="S9" s="349">
        <v>20</v>
      </c>
      <c r="T9" s="349">
        <f t="shared" si="9"/>
        <v>4820</v>
      </c>
      <c r="U9" s="349"/>
      <c r="V9" s="349">
        <f t="shared" si="10"/>
        <v>0</v>
      </c>
      <c r="W9" s="349"/>
      <c r="X9" s="19">
        <f t="shared" si="11"/>
        <v>0</v>
      </c>
      <c r="Y9" s="89">
        <f t="shared" si="0"/>
        <v>56694.705000000002</v>
      </c>
    </row>
    <row r="10" spans="1:25" ht="35.25" customHeight="1" x14ac:dyDescent="0.25">
      <c r="A10" s="12">
        <v>1409935199</v>
      </c>
      <c r="C10" s="349"/>
      <c r="D10" s="348">
        <f t="shared" si="1"/>
        <v>0</v>
      </c>
      <c r="E10" s="349"/>
      <c r="F10" s="349">
        <f t="shared" si="2"/>
        <v>0</v>
      </c>
      <c r="G10" s="349"/>
      <c r="H10" s="349">
        <f t="shared" si="3"/>
        <v>0</v>
      </c>
      <c r="I10" s="349"/>
      <c r="J10" s="349">
        <f t="shared" si="4"/>
        <v>0</v>
      </c>
      <c r="K10" s="349"/>
      <c r="L10" s="349">
        <f t="shared" si="5"/>
        <v>0</v>
      </c>
      <c r="M10" s="349"/>
      <c r="N10" s="348">
        <f t="shared" si="6"/>
        <v>0</v>
      </c>
      <c r="O10" s="349"/>
      <c r="P10" s="348">
        <f t="shared" si="7"/>
        <v>0</v>
      </c>
      <c r="Q10" s="348"/>
      <c r="R10" s="348">
        <f t="shared" si="8"/>
        <v>0</v>
      </c>
      <c r="S10" s="349"/>
      <c r="T10" s="349">
        <f t="shared" si="9"/>
        <v>0</v>
      </c>
      <c r="U10" s="349"/>
      <c r="V10" s="349">
        <f t="shared" si="10"/>
        <v>0</v>
      </c>
      <c r="W10" s="349"/>
      <c r="X10" s="19">
        <f t="shared" si="11"/>
        <v>0</v>
      </c>
      <c r="Y10" s="89">
        <f t="shared" si="0"/>
        <v>0</v>
      </c>
    </row>
    <row r="11" spans="1:25" ht="37.5" customHeight="1" x14ac:dyDescent="0.25">
      <c r="A11" s="12"/>
      <c r="B11" s="350"/>
      <c r="C11" s="349"/>
      <c r="D11" s="22">
        <f t="shared" si="1"/>
        <v>0</v>
      </c>
      <c r="E11" s="349"/>
      <c r="F11" s="349">
        <f t="shared" si="2"/>
        <v>0</v>
      </c>
      <c r="G11" s="349"/>
      <c r="H11" s="349">
        <f t="shared" si="3"/>
        <v>0</v>
      </c>
      <c r="I11" s="349"/>
      <c r="J11" s="349">
        <f t="shared" si="4"/>
        <v>0</v>
      </c>
      <c r="K11" s="349"/>
      <c r="L11" s="349">
        <f t="shared" si="5"/>
        <v>0</v>
      </c>
      <c r="M11" s="349"/>
      <c r="N11" s="348">
        <f t="shared" si="6"/>
        <v>0</v>
      </c>
      <c r="O11" s="349"/>
      <c r="P11" s="348">
        <f t="shared" si="7"/>
        <v>0</v>
      </c>
      <c r="Q11" s="348"/>
      <c r="R11" s="348">
        <f t="shared" si="8"/>
        <v>0</v>
      </c>
      <c r="S11" s="349"/>
      <c r="T11" s="349">
        <f t="shared" si="9"/>
        <v>0</v>
      </c>
      <c r="U11" s="349"/>
      <c r="V11" s="349">
        <f t="shared" si="10"/>
        <v>0</v>
      </c>
      <c r="W11" s="349"/>
      <c r="X11" s="19">
        <f t="shared" si="11"/>
        <v>0</v>
      </c>
      <c r="Y11" s="20">
        <f t="shared" si="0"/>
        <v>0</v>
      </c>
    </row>
    <row r="12" spans="1:25" ht="29.25" customHeight="1" x14ac:dyDescent="0.25">
      <c r="A12" s="2235" t="s">
        <v>31</v>
      </c>
      <c r="B12" s="2235"/>
      <c r="C12" s="18">
        <f t="shared" ref="C12:Y12" si="12">SUM(C6:C11)</f>
        <v>141372</v>
      </c>
      <c r="D12" s="18">
        <f t="shared" si="12"/>
        <v>137484.27000000002</v>
      </c>
      <c r="E12" s="18">
        <f t="shared" si="12"/>
        <v>0</v>
      </c>
      <c r="F12" s="18">
        <f t="shared" si="12"/>
        <v>0</v>
      </c>
      <c r="G12" s="18">
        <f t="shared" si="12"/>
        <v>470</v>
      </c>
      <c r="H12" s="18">
        <f t="shared" si="12"/>
        <v>13254</v>
      </c>
      <c r="I12" s="18">
        <f t="shared" si="12"/>
        <v>4560</v>
      </c>
      <c r="J12" s="18">
        <f t="shared" si="12"/>
        <v>84360</v>
      </c>
      <c r="K12" s="18">
        <f t="shared" si="12"/>
        <v>0</v>
      </c>
      <c r="L12" s="18">
        <f t="shared" si="12"/>
        <v>0</v>
      </c>
      <c r="M12" s="18">
        <f t="shared" si="12"/>
        <v>0</v>
      </c>
      <c r="N12" s="23">
        <f t="shared" si="12"/>
        <v>0</v>
      </c>
      <c r="O12" s="18">
        <f t="shared" si="12"/>
        <v>0</v>
      </c>
      <c r="P12" s="23">
        <f t="shared" si="12"/>
        <v>0</v>
      </c>
      <c r="Q12" s="23">
        <f t="shared" si="12"/>
        <v>0</v>
      </c>
      <c r="R12" s="23">
        <f>SUM(R6:R11)</f>
        <v>0</v>
      </c>
      <c r="S12" s="18">
        <f t="shared" si="12"/>
        <v>35</v>
      </c>
      <c r="T12" s="18">
        <f t="shared" si="12"/>
        <v>8435</v>
      </c>
      <c r="U12" s="18">
        <f t="shared" si="12"/>
        <v>0</v>
      </c>
      <c r="V12" s="18">
        <f t="shared" si="12"/>
        <v>0</v>
      </c>
      <c r="W12" s="18">
        <f t="shared" si="12"/>
        <v>0</v>
      </c>
      <c r="X12" s="18">
        <f t="shared" si="12"/>
        <v>0</v>
      </c>
      <c r="Y12" s="18">
        <f t="shared" si="12"/>
        <v>243533.27000000002</v>
      </c>
    </row>
    <row r="14" spans="1:25" ht="41.25" customHeight="1" x14ac:dyDescent="0.25">
      <c r="A14" s="30" t="s">
        <v>32</v>
      </c>
      <c r="B14" s="2236" t="s">
        <v>27</v>
      </c>
      <c r="C14" s="2236"/>
      <c r="D14" s="30" t="s">
        <v>33</v>
      </c>
      <c r="E14" s="30" t="s">
        <v>65</v>
      </c>
      <c r="F14" s="30" t="s">
        <v>34</v>
      </c>
      <c r="G14" s="30" t="s">
        <v>13</v>
      </c>
      <c r="H14" s="142" t="s">
        <v>173</v>
      </c>
      <c r="I14" s="30" t="s">
        <v>17</v>
      </c>
      <c r="J14" s="357" t="s">
        <v>174</v>
      </c>
      <c r="K14" s="30" t="s">
        <v>36</v>
      </c>
      <c r="L14" s="30" t="s">
        <v>175</v>
      </c>
      <c r="M14" s="30" t="s">
        <v>69</v>
      </c>
      <c r="N14" s="30" t="s">
        <v>70</v>
      </c>
      <c r="O14" s="357" t="s">
        <v>114</v>
      </c>
      <c r="P14" s="357" t="s">
        <v>99</v>
      </c>
      <c r="Q14" s="2272" t="s">
        <v>301</v>
      </c>
      <c r="R14" s="2272"/>
      <c r="S14" s="357"/>
      <c r="T14" s="2235" t="s">
        <v>46</v>
      </c>
      <c r="U14" s="351" t="s">
        <v>176</v>
      </c>
      <c r="V14" s="2260">
        <v>9989</v>
      </c>
      <c r="W14" s="2268"/>
      <c r="X14" s="2261"/>
    </row>
    <row r="15" spans="1:25" ht="22.5" customHeight="1" x14ac:dyDescent="0.25">
      <c r="A15" s="100" t="s">
        <v>38</v>
      </c>
      <c r="B15" s="2260">
        <v>295033</v>
      </c>
      <c r="C15" s="2261"/>
      <c r="D15" s="354">
        <v>0</v>
      </c>
      <c r="E15" s="354">
        <v>3550</v>
      </c>
      <c r="F15" s="354">
        <v>9850</v>
      </c>
      <c r="G15" s="354">
        <v>0</v>
      </c>
      <c r="H15" s="354">
        <v>56</v>
      </c>
      <c r="I15" s="354">
        <v>30</v>
      </c>
      <c r="J15" s="354">
        <v>111</v>
      </c>
      <c r="K15" s="354">
        <v>68</v>
      </c>
      <c r="L15" s="354">
        <v>810</v>
      </c>
      <c r="M15" s="354">
        <v>0</v>
      </c>
      <c r="N15" s="354">
        <v>100</v>
      </c>
      <c r="O15" s="354">
        <v>0</v>
      </c>
      <c r="P15" s="354">
        <v>404</v>
      </c>
      <c r="Q15" s="2262">
        <v>564</v>
      </c>
      <c r="R15" s="2262"/>
      <c r="S15" s="351">
        <v>0</v>
      </c>
      <c r="T15" s="2235"/>
      <c r="U15" s="351" t="s">
        <v>64</v>
      </c>
      <c r="V15" s="2262">
        <v>62292</v>
      </c>
      <c r="W15" s="2262"/>
      <c r="X15" s="2262"/>
    </row>
    <row r="16" spans="1:25" ht="24.75" customHeight="1" x14ac:dyDescent="0.25">
      <c r="A16" s="100" t="s">
        <v>39</v>
      </c>
      <c r="B16" s="2260">
        <v>155771</v>
      </c>
      <c r="C16" s="2261"/>
      <c r="D16" s="354"/>
      <c r="E16" s="354">
        <v>1340</v>
      </c>
      <c r="F16" s="354"/>
      <c r="G16" s="354"/>
      <c r="H16" s="354">
        <v>400</v>
      </c>
      <c r="I16" s="354"/>
      <c r="J16" s="354"/>
      <c r="K16" s="354"/>
      <c r="L16" s="354"/>
      <c r="M16" s="354"/>
      <c r="N16" s="354"/>
      <c r="O16" s="354"/>
      <c r="P16" s="354"/>
      <c r="Q16" s="2225"/>
      <c r="R16" s="2225"/>
      <c r="S16" s="354"/>
      <c r="T16" s="2254" t="s">
        <v>55</v>
      </c>
      <c r="U16" s="2254"/>
      <c r="V16" s="2267">
        <f>Y12</f>
        <v>243533.27000000002</v>
      </c>
      <c r="W16" s="2267"/>
      <c r="X16" s="2262"/>
    </row>
    <row r="17" spans="1:25" ht="28.5" customHeight="1" x14ac:dyDescent="0.25">
      <c r="A17" s="101" t="s">
        <v>44</v>
      </c>
      <c r="B17" s="2260"/>
      <c r="C17" s="2261"/>
      <c r="D17" s="354"/>
      <c r="E17" s="354"/>
      <c r="F17" s="354"/>
      <c r="G17" s="354"/>
      <c r="H17" s="354"/>
      <c r="I17" s="354"/>
      <c r="J17" s="354"/>
      <c r="K17" s="354"/>
      <c r="L17" s="354"/>
      <c r="M17" s="354"/>
      <c r="N17" s="354"/>
      <c r="O17" s="354"/>
      <c r="P17" s="354"/>
      <c r="Q17" s="2225"/>
      <c r="R17" s="2225"/>
      <c r="S17" s="350"/>
      <c r="T17" s="2294" t="s">
        <v>296</v>
      </c>
      <c r="U17" s="2295"/>
      <c r="V17" s="2296"/>
      <c r="W17" s="2296"/>
      <c r="X17" s="2296"/>
    </row>
    <row r="18" spans="1:25" ht="27" customHeight="1" x14ac:dyDescent="0.25">
      <c r="A18" s="100" t="s">
        <v>40</v>
      </c>
      <c r="B18" s="2264">
        <f>C12</f>
        <v>141372</v>
      </c>
      <c r="C18" s="2261"/>
      <c r="D18" s="356">
        <f>E12</f>
        <v>0</v>
      </c>
      <c r="E18" s="356">
        <f>G12</f>
        <v>470</v>
      </c>
      <c r="F18" s="356">
        <f>I12</f>
        <v>4560</v>
      </c>
      <c r="G18" s="356">
        <f>K12</f>
        <v>0</v>
      </c>
      <c r="H18" s="354">
        <v>35</v>
      </c>
      <c r="I18" s="356">
        <f>U12</f>
        <v>0</v>
      </c>
      <c r="J18" s="354"/>
      <c r="K18" s="356">
        <f>W12</f>
        <v>0</v>
      </c>
      <c r="L18" s="354"/>
      <c r="M18" s="356">
        <f>M12</f>
        <v>0</v>
      </c>
      <c r="N18" s="356">
        <f>O12</f>
        <v>0</v>
      </c>
      <c r="O18" s="355">
        <f>Q12</f>
        <v>0</v>
      </c>
      <c r="P18" s="354"/>
      <c r="Q18" s="2262"/>
      <c r="R18" s="2262"/>
      <c r="S18" s="351"/>
      <c r="T18" s="2254" t="s">
        <v>57</v>
      </c>
      <c r="U18" s="2254"/>
      <c r="V18" s="2262">
        <v>620</v>
      </c>
      <c r="W18" s="2262"/>
      <c r="X18" s="2262"/>
      <c r="Y18" s="2269" t="s">
        <v>291</v>
      </c>
    </row>
    <row r="19" spans="1:25" ht="25.5" customHeight="1" x14ac:dyDescent="0.25">
      <c r="A19" s="100" t="s">
        <v>41</v>
      </c>
      <c r="B19" s="2260">
        <f>B15+B16+B17-B18</f>
        <v>309432</v>
      </c>
      <c r="C19" s="2261"/>
      <c r="D19" s="354">
        <f>D15+D16+D17-D18</f>
        <v>0</v>
      </c>
      <c r="E19" s="354">
        <f t="shared" ref="E19:N19" si="13">E15+E16+E17-E18</f>
        <v>4420</v>
      </c>
      <c r="F19" s="354">
        <f t="shared" si="13"/>
        <v>5290</v>
      </c>
      <c r="G19" s="354">
        <f t="shared" si="13"/>
        <v>0</v>
      </c>
      <c r="H19" s="354">
        <f t="shared" si="13"/>
        <v>421</v>
      </c>
      <c r="I19" s="354">
        <f t="shared" si="13"/>
        <v>30</v>
      </c>
      <c r="J19" s="354">
        <f t="shared" si="13"/>
        <v>111</v>
      </c>
      <c r="K19" s="354">
        <f t="shared" si="13"/>
        <v>68</v>
      </c>
      <c r="L19" s="354">
        <f t="shared" si="13"/>
        <v>810</v>
      </c>
      <c r="M19" s="354">
        <f t="shared" si="13"/>
        <v>0</v>
      </c>
      <c r="N19" s="354">
        <f t="shared" si="13"/>
        <v>100</v>
      </c>
      <c r="O19" s="354">
        <f>O15+O16+O17-O18</f>
        <v>0</v>
      </c>
      <c r="P19" s="354">
        <f>P15+P16+P17-P18</f>
        <v>404</v>
      </c>
      <c r="Q19" s="2260">
        <f t="shared" ref="Q19" si="14">Q15+Q16+Q17-Q18</f>
        <v>564</v>
      </c>
      <c r="R19" s="2261"/>
      <c r="S19" s="351">
        <f>S15+S16-S17-S18</f>
        <v>0</v>
      </c>
      <c r="T19" s="2256" t="s">
        <v>48</v>
      </c>
      <c r="U19" s="49" t="s">
        <v>58</v>
      </c>
      <c r="V19" s="2262">
        <v>120000</v>
      </c>
      <c r="W19" s="2262"/>
      <c r="X19" s="2262"/>
      <c r="Y19" s="2269"/>
    </row>
    <row r="20" spans="1:25" ht="23.25" customHeight="1" x14ac:dyDescent="0.25">
      <c r="A20" s="289" t="s">
        <v>187</v>
      </c>
      <c r="B20" s="2286">
        <f>B19*0.9625</f>
        <v>297828.3</v>
      </c>
      <c r="C20" s="2287"/>
      <c r="D20" s="290">
        <f>D19*13.56</f>
        <v>0</v>
      </c>
      <c r="E20" s="290">
        <f>28.2*E19</f>
        <v>124644</v>
      </c>
      <c r="F20" s="290">
        <f>18.31*F19</f>
        <v>96859.9</v>
      </c>
      <c r="G20" s="290">
        <f>19.3*G19</f>
        <v>0</v>
      </c>
      <c r="H20" s="290">
        <f>241*H19</f>
        <v>101461</v>
      </c>
      <c r="I20" s="290">
        <f>223*I19</f>
        <v>6690</v>
      </c>
      <c r="J20" s="290">
        <f>241*J19</f>
        <v>26751</v>
      </c>
      <c r="K20" s="290">
        <f>K19*100</f>
        <v>6800</v>
      </c>
      <c r="L20" s="290">
        <f>241*L19</f>
        <v>195210</v>
      </c>
      <c r="M20" s="290">
        <f>9.65*M19</f>
        <v>0</v>
      </c>
      <c r="N20" s="290">
        <f>N19*48.2</f>
        <v>4820</v>
      </c>
      <c r="O20" s="290">
        <f>241*O19</f>
        <v>0</v>
      </c>
      <c r="P20" s="290">
        <f>241*P19</f>
        <v>97364</v>
      </c>
      <c r="Q20" s="2286">
        <f>241*Q19</f>
        <v>135924</v>
      </c>
      <c r="R20" s="2287"/>
      <c r="S20" s="290">
        <f>241*S19</f>
        <v>0</v>
      </c>
      <c r="T20" s="2257"/>
      <c r="U20" s="49" t="s">
        <v>59</v>
      </c>
      <c r="V20" s="2262"/>
      <c r="W20" s="2262"/>
      <c r="X20" s="2262"/>
      <c r="Y20" s="2269"/>
    </row>
    <row r="21" spans="1:25" ht="32.25" customHeight="1" x14ac:dyDescent="0.25">
      <c r="A21" s="291" t="s">
        <v>186</v>
      </c>
      <c r="B21" s="2293">
        <f>SUM(B20:S20)</f>
        <v>1094352.2</v>
      </c>
      <c r="C21" s="2293"/>
      <c r="O21" s="358"/>
      <c r="P21" s="358"/>
      <c r="Q21" s="358"/>
      <c r="R21" s="358"/>
      <c r="T21" s="2294" t="s">
        <v>167</v>
      </c>
      <c r="U21" s="2295"/>
      <c r="V21" s="2297">
        <v>50000</v>
      </c>
      <c r="W21" s="2298"/>
      <c r="X21" s="2299"/>
      <c r="Y21" s="2269"/>
    </row>
    <row r="22" spans="1:25" ht="35.25" customHeight="1" x14ac:dyDescent="0.25">
      <c r="A22" s="15"/>
      <c r="B22" s="2288" t="s">
        <v>49</v>
      </c>
      <c r="C22" s="2291">
        <v>698109</v>
      </c>
      <c r="D22" s="2291">
        <v>120000</v>
      </c>
      <c r="E22" s="2291">
        <v>283800</v>
      </c>
      <c r="F22" s="2291">
        <f>C22-D22+E22</f>
        <v>861909</v>
      </c>
      <c r="G22" s="358"/>
      <c r="Q22" s="358"/>
      <c r="R22" s="358"/>
      <c r="T22" s="2251" t="s">
        <v>83</v>
      </c>
      <c r="U22" s="50" t="s">
        <v>60</v>
      </c>
      <c r="V22" s="2262">
        <v>238280</v>
      </c>
      <c r="W22" s="2262"/>
      <c r="X22" s="2262"/>
      <c r="Y22" s="2269"/>
    </row>
    <row r="23" spans="1:25" ht="39.75" customHeight="1" x14ac:dyDescent="0.25">
      <c r="A23" s="358"/>
      <c r="B23" s="2289"/>
      <c r="C23" s="2292"/>
      <c r="D23" s="2292"/>
      <c r="E23" s="2292"/>
      <c r="F23" s="2292"/>
      <c r="G23" s="358"/>
      <c r="Q23" s="358"/>
      <c r="R23" s="358"/>
      <c r="T23" s="2252"/>
      <c r="U23" s="50" t="s">
        <v>61</v>
      </c>
      <c r="V23" s="2262">
        <v>170000</v>
      </c>
      <c r="W23" s="2262"/>
      <c r="X23" s="2262"/>
      <c r="Y23" s="2269"/>
    </row>
    <row r="24" spans="1:25" ht="48" customHeight="1" x14ac:dyDescent="0.25">
      <c r="A24" s="358"/>
      <c r="B24" s="2290"/>
      <c r="C24" s="290" t="s">
        <v>46</v>
      </c>
      <c r="D24" s="290" t="s">
        <v>50</v>
      </c>
      <c r="E24" s="290" t="s">
        <v>51</v>
      </c>
      <c r="F24" s="290" t="s">
        <v>52</v>
      </c>
      <c r="G24" s="358"/>
      <c r="Q24" s="358"/>
      <c r="R24" s="358"/>
      <c r="T24" s="2235" t="s">
        <v>47</v>
      </c>
      <c r="U24" s="51" t="s">
        <v>62</v>
      </c>
      <c r="V24" s="2263">
        <f>V14+V16+V17-V18-V19-V20-V22+V23-V21</f>
        <v>14622.270000000019</v>
      </c>
      <c r="W24" s="2263"/>
      <c r="X24" s="2263"/>
      <c r="Y24" s="2269"/>
    </row>
    <row r="25" spans="1:25" ht="40.5" customHeight="1" x14ac:dyDescent="0.25">
      <c r="T25" s="2235"/>
      <c r="U25" s="51" t="s">
        <v>63</v>
      </c>
      <c r="V25" s="2262">
        <f>V15+V22-V23</f>
        <v>130572</v>
      </c>
      <c r="W25" s="2262"/>
      <c r="X25" s="2262"/>
    </row>
    <row r="26" spans="1:25" ht="36" customHeight="1" x14ac:dyDescent="0.25">
      <c r="K26" s="314"/>
    </row>
    <row r="32" spans="1:25" x14ac:dyDescent="0.25">
      <c r="I32" s="2280"/>
      <c r="J32" s="2280"/>
      <c r="K32" s="2280"/>
      <c r="L32" s="2280"/>
    </row>
    <row r="33" spans="9:12" x14ac:dyDescent="0.25">
      <c r="I33" s="358"/>
      <c r="J33" s="358"/>
      <c r="K33" s="2280"/>
      <c r="L33" s="2280"/>
    </row>
  </sheetData>
  <mergeCells count="62">
    <mergeCell ref="A1:Y1"/>
    <mergeCell ref="A2:Y2"/>
    <mergeCell ref="T3:Y3"/>
    <mergeCell ref="A4:A5"/>
    <mergeCell ref="B4:B5"/>
    <mergeCell ref="C4:D4"/>
    <mergeCell ref="E4:F4"/>
    <mergeCell ref="G4:H4"/>
    <mergeCell ref="I4:J4"/>
    <mergeCell ref="K4:L4"/>
    <mergeCell ref="Y4:Y5"/>
    <mergeCell ref="M4:N4"/>
    <mergeCell ref="O4:P4"/>
    <mergeCell ref="Q4:R4"/>
    <mergeCell ref="S4:T4"/>
    <mergeCell ref="U4:V4"/>
    <mergeCell ref="W4:X4"/>
    <mergeCell ref="B16:C16"/>
    <mergeCell ref="Q16:R16"/>
    <mergeCell ref="T16:U16"/>
    <mergeCell ref="V16:X16"/>
    <mergeCell ref="A12:B12"/>
    <mergeCell ref="B14:C14"/>
    <mergeCell ref="Q14:R14"/>
    <mergeCell ref="T14:T15"/>
    <mergeCell ref="V14:X14"/>
    <mergeCell ref="B15:C15"/>
    <mergeCell ref="Q15:R15"/>
    <mergeCell ref="V15:X15"/>
    <mergeCell ref="B17:C17"/>
    <mergeCell ref="Q17:R17"/>
    <mergeCell ref="T17:U17"/>
    <mergeCell ref="V17:X17"/>
    <mergeCell ref="B18:C18"/>
    <mergeCell ref="Q18:R18"/>
    <mergeCell ref="T18:U18"/>
    <mergeCell ref="V18:X18"/>
    <mergeCell ref="Y18:Y24"/>
    <mergeCell ref="B19:C19"/>
    <mergeCell ref="Q19:R19"/>
    <mergeCell ref="T19:T20"/>
    <mergeCell ref="V19:X19"/>
    <mergeCell ref="B20:C20"/>
    <mergeCell ref="B22:B24"/>
    <mergeCell ref="C22:C23"/>
    <mergeCell ref="D22:D23"/>
    <mergeCell ref="E22:E23"/>
    <mergeCell ref="F22:F23"/>
    <mergeCell ref="Q20:R20"/>
    <mergeCell ref="V20:X20"/>
    <mergeCell ref="B21:C21"/>
    <mergeCell ref="T21:U21"/>
    <mergeCell ref="V21:X21"/>
    <mergeCell ref="I32:J32"/>
    <mergeCell ref="K32:L32"/>
    <mergeCell ref="K33:L33"/>
    <mergeCell ref="T22:T23"/>
    <mergeCell ref="V22:X22"/>
    <mergeCell ref="V23:X23"/>
    <mergeCell ref="T24:T25"/>
    <mergeCell ref="V24:X24"/>
    <mergeCell ref="V25:X25"/>
  </mergeCells>
  <pageMargins left="0.15748031496063" right="0.15748031496063" top="0" bottom="0" header="0" footer="0"/>
  <pageSetup paperSize="9" scale="47" orientation="landscape" r:id="rId1"/>
</worksheet>
</file>

<file path=xl/worksheets/sheet1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DEAECFE-0348-44A1-8A06-9DB19BA2C0DE}">
  <sheetPr>
    <pageSetUpPr fitToPage="1"/>
  </sheetPr>
  <dimension ref="A1:Y33"/>
  <sheetViews>
    <sheetView topLeftCell="D13" zoomScale="71" zoomScaleNormal="71" zoomScaleSheetLayoutView="100" workbookViewId="0">
      <selection activeCell="H25" sqref="H25"/>
    </sheetView>
  </sheetViews>
  <sheetFormatPr defaultColWidth="9.140625" defaultRowHeight="15" x14ac:dyDescent="0.25"/>
  <cols>
    <col min="1" max="1" width="18.28515625" style="14" customWidth="1"/>
    <col min="2" max="2" width="10.7109375" style="14" customWidth="1"/>
    <col min="3" max="3" width="12.28515625" style="14" customWidth="1"/>
    <col min="4" max="4" width="11" style="14" customWidth="1"/>
    <col min="5" max="5" width="12" style="14" customWidth="1"/>
    <col min="6" max="6" width="12.5703125" style="14" bestFit="1" customWidth="1"/>
    <col min="7" max="7" width="9.28515625" style="14" bestFit="1" customWidth="1"/>
    <col min="8" max="8" width="10.140625" style="14" bestFit="1" customWidth="1"/>
    <col min="9" max="9" width="10.5703125" style="14" bestFit="1" customWidth="1"/>
    <col min="10" max="10" width="10.5703125" style="14" customWidth="1"/>
    <col min="11" max="11" width="10.28515625" style="14" bestFit="1" customWidth="1"/>
    <col min="12" max="12" width="10.42578125" style="14" bestFit="1" customWidth="1"/>
    <col min="13" max="13" width="9.85546875" style="14" bestFit="1" customWidth="1"/>
    <col min="14" max="14" width="10.140625" style="14" bestFit="1" customWidth="1"/>
    <col min="15" max="15" width="9" style="14" customWidth="1"/>
    <col min="16" max="16" width="12.85546875" style="14" bestFit="1" customWidth="1"/>
    <col min="17" max="18" width="9.42578125" style="14" customWidth="1"/>
    <col min="19" max="19" width="13.7109375" style="14" customWidth="1"/>
    <col min="20" max="20" width="12.140625" style="14" customWidth="1"/>
    <col min="21" max="21" width="19.5703125" style="14" bestFit="1" customWidth="1"/>
    <col min="22" max="22" width="9.85546875" style="14" customWidth="1"/>
    <col min="23" max="23" width="10.140625" style="14" bestFit="1" customWidth="1"/>
    <col min="24" max="24" width="10.28515625" style="14" customWidth="1"/>
    <col min="25" max="25" width="28" style="14" customWidth="1"/>
    <col min="26" max="16384" width="9.140625" style="14"/>
  </cols>
  <sheetData>
    <row r="1" spans="1:25" ht="46.15" customHeight="1" x14ac:dyDescent="0.25">
      <c r="A1" s="2240" t="s">
        <v>148</v>
      </c>
      <c r="B1" s="2240"/>
      <c r="C1" s="2240"/>
      <c r="D1" s="2240"/>
      <c r="E1" s="2240"/>
      <c r="F1" s="2240"/>
      <c r="G1" s="2240"/>
      <c r="H1" s="2240"/>
      <c r="I1" s="2240"/>
      <c r="J1" s="2240"/>
      <c r="K1" s="2240"/>
      <c r="L1" s="2240"/>
      <c r="M1" s="2240"/>
      <c r="N1" s="2240"/>
      <c r="O1" s="2240"/>
      <c r="P1" s="2240"/>
      <c r="Q1" s="2240"/>
      <c r="R1" s="2240"/>
      <c r="S1" s="2240"/>
      <c r="T1" s="2240"/>
      <c r="U1" s="2240"/>
      <c r="V1" s="2240"/>
      <c r="W1" s="2240"/>
      <c r="X1" s="2240"/>
      <c r="Y1" s="2240"/>
    </row>
    <row r="2" spans="1:25" ht="21.6" customHeight="1" x14ac:dyDescent="0.25">
      <c r="A2" s="2241" t="s">
        <v>77</v>
      </c>
      <c r="B2" s="2241"/>
      <c r="C2" s="2241"/>
      <c r="D2" s="2241"/>
      <c r="E2" s="2241"/>
      <c r="F2" s="2241"/>
      <c r="G2" s="2241"/>
      <c r="H2" s="2241"/>
      <c r="I2" s="2241"/>
      <c r="J2" s="2241"/>
      <c r="K2" s="2241"/>
      <c r="L2" s="2241"/>
      <c r="M2" s="2241"/>
      <c r="N2" s="2241"/>
      <c r="O2" s="2241"/>
      <c r="P2" s="2241"/>
      <c r="Q2" s="2241"/>
      <c r="R2" s="2241"/>
      <c r="S2" s="2241"/>
      <c r="T2" s="2241"/>
      <c r="U2" s="2241"/>
      <c r="V2" s="2241"/>
      <c r="W2" s="2241"/>
      <c r="X2" s="2241"/>
      <c r="Y2" s="2241"/>
    </row>
    <row r="3" spans="1:25" ht="21" customHeight="1" x14ac:dyDescent="0.25">
      <c r="A3" s="359"/>
      <c r="B3" s="359"/>
      <c r="C3" s="359"/>
      <c r="D3" s="359"/>
      <c r="E3" s="359"/>
      <c r="F3" s="359"/>
      <c r="G3" s="359"/>
      <c r="H3" s="359"/>
      <c r="I3" s="359"/>
      <c r="J3" s="359"/>
      <c r="K3" s="359"/>
      <c r="L3" s="359"/>
      <c r="M3" s="359"/>
      <c r="N3" s="359"/>
      <c r="O3" s="359"/>
      <c r="P3" s="359"/>
      <c r="Q3" s="359"/>
      <c r="R3" s="359"/>
      <c r="S3" s="359"/>
      <c r="T3" s="2242" t="s">
        <v>312</v>
      </c>
      <c r="U3" s="2242"/>
      <c r="V3" s="2242"/>
      <c r="W3" s="2242"/>
      <c r="X3" s="2242"/>
      <c r="Y3" s="2242"/>
    </row>
    <row r="4" spans="1:25" s="359" customFormat="1" ht="18" customHeight="1" x14ac:dyDescent="0.25">
      <c r="A4" s="2243" t="s">
        <v>25</v>
      </c>
      <c r="B4" s="2243" t="s">
        <v>26</v>
      </c>
      <c r="C4" s="2244" t="s">
        <v>27</v>
      </c>
      <c r="D4" s="2244"/>
      <c r="E4" s="2244" t="s">
        <v>28</v>
      </c>
      <c r="F4" s="2244"/>
      <c r="G4" s="2244" t="s">
        <v>65</v>
      </c>
      <c r="H4" s="2244"/>
      <c r="I4" s="2244" t="s">
        <v>29</v>
      </c>
      <c r="J4" s="2244"/>
      <c r="K4" s="2245" t="s">
        <v>13</v>
      </c>
      <c r="L4" s="2246"/>
      <c r="M4" s="2245" t="s">
        <v>67</v>
      </c>
      <c r="N4" s="2246"/>
      <c r="O4" s="2245" t="s">
        <v>68</v>
      </c>
      <c r="P4" s="2246"/>
      <c r="Q4" s="2245" t="s">
        <v>114</v>
      </c>
      <c r="R4" s="2246"/>
      <c r="S4" s="2244" t="s">
        <v>35</v>
      </c>
      <c r="T4" s="2244"/>
      <c r="U4" s="2245" t="s">
        <v>17</v>
      </c>
      <c r="V4" s="2246"/>
      <c r="W4" s="2247" t="s">
        <v>36</v>
      </c>
      <c r="X4" s="2248"/>
      <c r="Y4" s="2238" t="s">
        <v>30</v>
      </c>
    </row>
    <row r="5" spans="1:25" s="359" customFormat="1" ht="25.5" customHeight="1" x14ac:dyDescent="0.25">
      <c r="A5" s="2243"/>
      <c r="B5" s="2243"/>
      <c r="C5" s="361" t="s">
        <v>42</v>
      </c>
      <c r="D5" s="361" t="s">
        <v>43</v>
      </c>
      <c r="E5" s="361" t="s">
        <v>42</v>
      </c>
      <c r="F5" s="361" t="s">
        <v>43</v>
      </c>
      <c r="G5" s="361" t="s">
        <v>42</v>
      </c>
      <c r="H5" s="361" t="s">
        <v>43</v>
      </c>
      <c r="I5" s="361" t="s">
        <v>42</v>
      </c>
      <c r="J5" s="361" t="s">
        <v>43</v>
      </c>
      <c r="K5" s="361" t="s">
        <v>42</v>
      </c>
      <c r="L5" s="361" t="s">
        <v>43</v>
      </c>
      <c r="M5" s="361" t="s">
        <v>42</v>
      </c>
      <c r="N5" s="361" t="s">
        <v>43</v>
      </c>
      <c r="O5" s="361" t="s">
        <v>42</v>
      </c>
      <c r="P5" s="361" t="s">
        <v>43</v>
      </c>
      <c r="Q5" s="361" t="s">
        <v>42</v>
      </c>
      <c r="R5" s="361" t="s">
        <v>43</v>
      </c>
      <c r="S5" s="33" t="s">
        <v>42</v>
      </c>
      <c r="T5" s="33" t="s">
        <v>43</v>
      </c>
      <c r="U5" s="30" t="s">
        <v>42</v>
      </c>
      <c r="V5" s="30" t="s">
        <v>43</v>
      </c>
      <c r="W5" s="30" t="s">
        <v>42</v>
      </c>
      <c r="X5" s="30" t="s">
        <v>43</v>
      </c>
      <c r="Y5" s="2239"/>
    </row>
    <row r="6" spans="1:25" ht="34.5" customHeight="1" x14ac:dyDescent="0.25">
      <c r="A6" s="12">
        <v>1409935200</v>
      </c>
      <c r="B6" s="360" t="s">
        <v>71</v>
      </c>
      <c r="C6" s="363">
        <v>38445</v>
      </c>
      <c r="D6" s="364">
        <f>0.9725*C6</f>
        <v>37387.762500000004</v>
      </c>
      <c r="E6" s="363"/>
      <c r="F6" s="363">
        <f>13.7*E6</f>
        <v>0</v>
      </c>
      <c r="G6" s="363">
        <v>10</v>
      </c>
      <c r="H6" s="363">
        <f>28.2*G6</f>
        <v>282</v>
      </c>
      <c r="I6" s="363">
        <v>110</v>
      </c>
      <c r="J6" s="363">
        <f>18.5*I6</f>
        <v>2035</v>
      </c>
      <c r="K6" s="363"/>
      <c r="L6" s="363">
        <f>19.5*K6</f>
        <v>0</v>
      </c>
      <c r="M6" s="363"/>
      <c r="N6" s="364">
        <f>M6*9.75</f>
        <v>0</v>
      </c>
      <c r="O6" s="363"/>
      <c r="P6" s="364">
        <f>O6*48.62</f>
        <v>0</v>
      </c>
      <c r="Q6" s="364"/>
      <c r="R6" s="364">
        <f>241*Q6</f>
        <v>0</v>
      </c>
      <c r="S6" s="363"/>
      <c r="T6" s="363">
        <f>241*S6</f>
        <v>0</v>
      </c>
      <c r="U6" s="363"/>
      <c r="V6" s="363">
        <f>232*U6</f>
        <v>0</v>
      </c>
      <c r="W6" s="363"/>
      <c r="X6" s="19">
        <f>W6*100</f>
        <v>0</v>
      </c>
      <c r="Y6" s="89">
        <f t="shared" ref="Y6:Y11" si="0">D6+F6+H6+J6+L6+N6+P6+R6+T6+V6+X6</f>
        <v>39704.762500000004</v>
      </c>
    </row>
    <row r="7" spans="1:25" ht="31.5" customHeight="1" x14ac:dyDescent="0.25">
      <c r="A7" s="12">
        <v>1984225578</v>
      </c>
      <c r="B7" s="360" t="s">
        <v>72</v>
      </c>
      <c r="C7" s="363">
        <v>26262</v>
      </c>
      <c r="D7" s="364">
        <f t="shared" ref="D7:D11" si="1">0.9725*C7</f>
        <v>25539.795000000002</v>
      </c>
      <c r="E7" s="363"/>
      <c r="F7" s="363">
        <f t="shared" ref="F7:F11" si="2">13.7*E7</f>
        <v>0</v>
      </c>
      <c r="G7" s="363"/>
      <c r="H7" s="363">
        <f t="shared" ref="H7:H11" si="3">28.2*G7</f>
        <v>0</v>
      </c>
      <c r="I7" s="363">
        <v>880</v>
      </c>
      <c r="J7" s="363">
        <f t="shared" ref="J7:J11" si="4">18.5*I7</f>
        <v>16280</v>
      </c>
      <c r="K7" s="363"/>
      <c r="L7" s="363">
        <f t="shared" ref="L7:L11" si="5">19.5*K7</f>
        <v>0</v>
      </c>
      <c r="M7" s="363"/>
      <c r="N7" s="364">
        <f t="shared" ref="N7:N11" si="6">M7*9.75</f>
        <v>0</v>
      </c>
      <c r="O7" s="363"/>
      <c r="P7" s="364">
        <f t="shared" ref="P7:P11" si="7">O7*48.62</f>
        <v>0</v>
      </c>
      <c r="Q7" s="364"/>
      <c r="R7" s="364">
        <f t="shared" ref="R7:R11" si="8">241*Q7</f>
        <v>0</v>
      </c>
      <c r="S7" s="363">
        <v>10</v>
      </c>
      <c r="T7" s="363">
        <f t="shared" ref="T7:T11" si="9">241*S7</f>
        <v>2410</v>
      </c>
      <c r="U7" s="363"/>
      <c r="V7" s="363">
        <f t="shared" ref="V7:V11" si="10">232*U7</f>
        <v>0</v>
      </c>
      <c r="W7" s="363"/>
      <c r="X7" s="19">
        <f t="shared" ref="X7:X11" si="11">W7*100</f>
        <v>0</v>
      </c>
      <c r="Y7" s="89">
        <f t="shared" si="0"/>
        <v>44229.794999999998</v>
      </c>
    </row>
    <row r="8" spans="1:25" ht="35.25" customHeight="1" x14ac:dyDescent="0.25">
      <c r="A8" s="12">
        <v>1967020280</v>
      </c>
      <c r="B8" s="360" t="s">
        <v>73</v>
      </c>
      <c r="C8" s="363">
        <v>27031</v>
      </c>
      <c r="D8" s="364">
        <f t="shared" si="1"/>
        <v>26287.647499999999</v>
      </c>
      <c r="E8" s="363"/>
      <c r="F8" s="363">
        <f t="shared" si="2"/>
        <v>0</v>
      </c>
      <c r="G8" s="363"/>
      <c r="H8" s="363">
        <f t="shared" si="3"/>
        <v>0</v>
      </c>
      <c r="I8" s="363">
        <v>500</v>
      </c>
      <c r="J8" s="363">
        <f t="shared" si="4"/>
        <v>9250</v>
      </c>
      <c r="K8" s="363"/>
      <c r="L8" s="363">
        <f t="shared" si="5"/>
        <v>0</v>
      </c>
      <c r="M8" s="363"/>
      <c r="N8" s="364">
        <f t="shared" si="6"/>
        <v>0</v>
      </c>
      <c r="O8" s="363"/>
      <c r="P8" s="364">
        <f t="shared" si="7"/>
        <v>0</v>
      </c>
      <c r="Q8" s="364"/>
      <c r="R8" s="364">
        <f t="shared" si="8"/>
        <v>0</v>
      </c>
      <c r="S8" s="363"/>
      <c r="T8" s="363">
        <f t="shared" si="9"/>
        <v>0</v>
      </c>
      <c r="U8" s="363"/>
      <c r="V8" s="363">
        <f t="shared" si="10"/>
        <v>0</v>
      </c>
      <c r="W8" s="363"/>
      <c r="X8" s="19">
        <f t="shared" si="11"/>
        <v>0</v>
      </c>
      <c r="Y8" s="89">
        <f t="shared" si="0"/>
        <v>35537.647499999999</v>
      </c>
    </row>
    <row r="9" spans="1:25" ht="38.25" customHeight="1" x14ac:dyDescent="0.25">
      <c r="A9" s="12">
        <v>1984225580</v>
      </c>
      <c r="B9" s="360" t="s">
        <v>75</v>
      </c>
      <c r="C9" s="363">
        <v>51989</v>
      </c>
      <c r="D9" s="364">
        <f t="shared" si="1"/>
        <v>50559.302500000005</v>
      </c>
      <c r="E9" s="363"/>
      <c r="F9" s="363">
        <f t="shared" si="2"/>
        <v>0</v>
      </c>
      <c r="G9" s="363"/>
      <c r="H9" s="363">
        <f t="shared" si="3"/>
        <v>0</v>
      </c>
      <c r="I9" s="363">
        <v>360</v>
      </c>
      <c r="J9" s="363">
        <f t="shared" si="4"/>
        <v>6660</v>
      </c>
      <c r="K9" s="363"/>
      <c r="L9" s="363">
        <f t="shared" si="5"/>
        <v>0</v>
      </c>
      <c r="M9" s="363"/>
      <c r="N9" s="364">
        <f t="shared" si="6"/>
        <v>0</v>
      </c>
      <c r="O9" s="363"/>
      <c r="P9" s="364">
        <f t="shared" si="7"/>
        <v>0</v>
      </c>
      <c r="Q9" s="364"/>
      <c r="R9" s="364">
        <f t="shared" si="8"/>
        <v>0</v>
      </c>
      <c r="S9" s="363">
        <v>5</v>
      </c>
      <c r="T9" s="363">
        <f t="shared" si="9"/>
        <v>1205</v>
      </c>
      <c r="U9" s="363"/>
      <c r="V9" s="363">
        <f t="shared" si="10"/>
        <v>0</v>
      </c>
      <c r="W9" s="363"/>
      <c r="X9" s="19">
        <f t="shared" si="11"/>
        <v>0</v>
      </c>
      <c r="Y9" s="89">
        <f t="shared" si="0"/>
        <v>58424.302500000005</v>
      </c>
    </row>
    <row r="10" spans="1:25" ht="35.25" customHeight="1" x14ac:dyDescent="0.25">
      <c r="A10" s="12">
        <v>1409935199</v>
      </c>
      <c r="C10" s="363"/>
      <c r="D10" s="364">
        <f t="shared" si="1"/>
        <v>0</v>
      </c>
      <c r="E10" s="363"/>
      <c r="F10" s="363">
        <f t="shared" si="2"/>
        <v>0</v>
      </c>
      <c r="G10" s="363"/>
      <c r="H10" s="363">
        <f t="shared" si="3"/>
        <v>0</v>
      </c>
      <c r="I10" s="363">
        <v>700</v>
      </c>
      <c r="J10" s="363">
        <f t="shared" si="4"/>
        <v>12950</v>
      </c>
      <c r="K10" s="363"/>
      <c r="L10" s="363">
        <f t="shared" si="5"/>
        <v>0</v>
      </c>
      <c r="M10" s="363"/>
      <c r="N10" s="364">
        <f t="shared" si="6"/>
        <v>0</v>
      </c>
      <c r="O10" s="363"/>
      <c r="P10" s="364">
        <f t="shared" si="7"/>
        <v>0</v>
      </c>
      <c r="Q10" s="364"/>
      <c r="R10" s="364">
        <f t="shared" si="8"/>
        <v>0</v>
      </c>
      <c r="S10" s="363"/>
      <c r="T10" s="363">
        <f t="shared" si="9"/>
        <v>0</v>
      </c>
      <c r="U10" s="363"/>
      <c r="V10" s="363">
        <f t="shared" si="10"/>
        <v>0</v>
      </c>
      <c r="W10" s="363"/>
      <c r="X10" s="19">
        <f t="shared" si="11"/>
        <v>0</v>
      </c>
      <c r="Y10" s="89">
        <f t="shared" si="0"/>
        <v>12950</v>
      </c>
    </row>
    <row r="11" spans="1:25" ht="37.5" customHeight="1" x14ac:dyDescent="0.25">
      <c r="A11" s="12"/>
      <c r="B11" s="362"/>
      <c r="C11" s="363"/>
      <c r="D11" s="22">
        <f t="shared" si="1"/>
        <v>0</v>
      </c>
      <c r="E11" s="363"/>
      <c r="F11" s="363">
        <f t="shared" si="2"/>
        <v>0</v>
      </c>
      <c r="G11" s="363"/>
      <c r="H11" s="363">
        <f t="shared" si="3"/>
        <v>0</v>
      </c>
      <c r="I11" s="363"/>
      <c r="J11" s="363">
        <f t="shared" si="4"/>
        <v>0</v>
      </c>
      <c r="K11" s="363"/>
      <c r="L11" s="363">
        <f t="shared" si="5"/>
        <v>0</v>
      </c>
      <c r="M11" s="363"/>
      <c r="N11" s="364">
        <f t="shared" si="6"/>
        <v>0</v>
      </c>
      <c r="O11" s="363"/>
      <c r="P11" s="364">
        <f t="shared" si="7"/>
        <v>0</v>
      </c>
      <c r="Q11" s="364"/>
      <c r="R11" s="364">
        <f t="shared" si="8"/>
        <v>0</v>
      </c>
      <c r="S11" s="363"/>
      <c r="T11" s="363">
        <f t="shared" si="9"/>
        <v>0</v>
      </c>
      <c r="U11" s="363"/>
      <c r="V11" s="363">
        <f t="shared" si="10"/>
        <v>0</v>
      </c>
      <c r="W11" s="363"/>
      <c r="X11" s="19">
        <f t="shared" si="11"/>
        <v>0</v>
      </c>
      <c r="Y11" s="20">
        <f t="shared" si="0"/>
        <v>0</v>
      </c>
    </row>
    <row r="12" spans="1:25" ht="29.25" customHeight="1" x14ac:dyDescent="0.25">
      <c r="A12" s="2235" t="s">
        <v>31</v>
      </c>
      <c r="B12" s="2235"/>
      <c r="C12" s="18">
        <f t="shared" ref="C12:Y12" si="12">SUM(C6:C11)</f>
        <v>143727</v>
      </c>
      <c r="D12" s="18">
        <f t="shared" si="12"/>
        <v>139774.50750000001</v>
      </c>
      <c r="E12" s="18">
        <f t="shared" si="12"/>
        <v>0</v>
      </c>
      <c r="F12" s="18">
        <f t="shared" si="12"/>
        <v>0</v>
      </c>
      <c r="G12" s="18">
        <f t="shared" si="12"/>
        <v>10</v>
      </c>
      <c r="H12" s="18">
        <f t="shared" si="12"/>
        <v>282</v>
      </c>
      <c r="I12" s="18">
        <f t="shared" si="12"/>
        <v>2550</v>
      </c>
      <c r="J12" s="18">
        <f t="shared" si="12"/>
        <v>47175</v>
      </c>
      <c r="K12" s="18">
        <f t="shared" si="12"/>
        <v>0</v>
      </c>
      <c r="L12" s="18">
        <f t="shared" si="12"/>
        <v>0</v>
      </c>
      <c r="M12" s="18">
        <f t="shared" si="12"/>
        <v>0</v>
      </c>
      <c r="N12" s="23">
        <f t="shared" si="12"/>
        <v>0</v>
      </c>
      <c r="O12" s="18">
        <f t="shared" si="12"/>
        <v>0</v>
      </c>
      <c r="P12" s="23">
        <f t="shared" si="12"/>
        <v>0</v>
      </c>
      <c r="Q12" s="23">
        <f t="shared" si="12"/>
        <v>0</v>
      </c>
      <c r="R12" s="23">
        <f>SUM(R6:R11)</f>
        <v>0</v>
      </c>
      <c r="S12" s="18">
        <f t="shared" si="12"/>
        <v>15</v>
      </c>
      <c r="T12" s="18">
        <f t="shared" si="12"/>
        <v>3615</v>
      </c>
      <c r="U12" s="18">
        <f t="shared" si="12"/>
        <v>0</v>
      </c>
      <c r="V12" s="18">
        <f t="shared" si="12"/>
        <v>0</v>
      </c>
      <c r="W12" s="18">
        <f t="shared" si="12"/>
        <v>0</v>
      </c>
      <c r="X12" s="18">
        <f t="shared" si="12"/>
        <v>0</v>
      </c>
      <c r="Y12" s="18">
        <f t="shared" si="12"/>
        <v>190846.50750000001</v>
      </c>
    </row>
    <row r="14" spans="1:25" ht="41.25" customHeight="1" x14ac:dyDescent="0.25">
      <c r="A14" s="30" t="s">
        <v>32</v>
      </c>
      <c r="B14" s="2236" t="s">
        <v>27</v>
      </c>
      <c r="C14" s="2236"/>
      <c r="D14" s="30" t="s">
        <v>33</v>
      </c>
      <c r="E14" s="30" t="s">
        <v>65</v>
      </c>
      <c r="F14" s="30" t="s">
        <v>34</v>
      </c>
      <c r="G14" s="30" t="s">
        <v>13</v>
      </c>
      <c r="H14" s="142" t="s">
        <v>173</v>
      </c>
      <c r="I14" s="30" t="s">
        <v>17</v>
      </c>
      <c r="J14" s="368" t="s">
        <v>174</v>
      </c>
      <c r="K14" s="30" t="s">
        <v>36</v>
      </c>
      <c r="L14" s="30" t="s">
        <v>175</v>
      </c>
      <c r="M14" s="30" t="s">
        <v>69</v>
      </c>
      <c r="N14" s="30" t="s">
        <v>70</v>
      </c>
      <c r="O14" s="368" t="s">
        <v>114</v>
      </c>
      <c r="P14" s="368" t="s">
        <v>99</v>
      </c>
      <c r="Q14" s="2272" t="s">
        <v>301</v>
      </c>
      <c r="R14" s="2272"/>
      <c r="S14" s="368"/>
      <c r="T14" s="2235" t="s">
        <v>46</v>
      </c>
      <c r="U14" s="360" t="s">
        <v>176</v>
      </c>
      <c r="V14" s="2260">
        <v>14622</v>
      </c>
      <c r="W14" s="2268"/>
      <c r="X14" s="2261"/>
    </row>
    <row r="15" spans="1:25" ht="22.5" customHeight="1" x14ac:dyDescent="0.25">
      <c r="A15" s="100" t="s">
        <v>38</v>
      </c>
      <c r="B15" s="2260">
        <v>309432</v>
      </c>
      <c r="C15" s="2261"/>
      <c r="D15" s="365">
        <v>0</v>
      </c>
      <c r="E15" s="365">
        <v>4420</v>
      </c>
      <c r="F15" s="365">
        <v>5290</v>
      </c>
      <c r="G15" s="365">
        <v>0</v>
      </c>
      <c r="H15" s="365">
        <v>421</v>
      </c>
      <c r="I15" s="365">
        <v>30</v>
      </c>
      <c r="J15" s="365">
        <v>111</v>
      </c>
      <c r="K15" s="365">
        <v>68</v>
      </c>
      <c r="L15" s="365">
        <v>810</v>
      </c>
      <c r="M15" s="365">
        <v>0</v>
      </c>
      <c r="N15" s="365">
        <v>100</v>
      </c>
      <c r="O15" s="365">
        <v>0</v>
      </c>
      <c r="P15" s="365">
        <v>404</v>
      </c>
      <c r="Q15" s="2262">
        <v>564</v>
      </c>
      <c r="R15" s="2262"/>
      <c r="S15" s="360">
        <v>0</v>
      </c>
      <c r="T15" s="2235"/>
      <c r="U15" s="360" t="s">
        <v>64</v>
      </c>
      <c r="V15" s="2262">
        <v>130572</v>
      </c>
      <c r="W15" s="2262"/>
      <c r="X15" s="2262"/>
    </row>
    <row r="16" spans="1:25" ht="24.75" customHeight="1" x14ac:dyDescent="0.25">
      <c r="A16" s="100" t="s">
        <v>39</v>
      </c>
      <c r="B16" s="2260">
        <v>124675</v>
      </c>
      <c r="C16" s="2261"/>
      <c r="D16" s="365"/>
      <c r="E16" s="365"/>
      <c r="F16" s="365"/>
      <c r="G16" s="365"/>
      <c r="H16" s="365"/>
      <c r="I16" s="365"/>
      <c r="J16" s="365"/>
      <c r="K16" s="365"/>
      <c r="L16" s="365"/>
      <c r="M16" s="365"/>
      <c r="N16" s="365"/>
      <c r="O16" s="365"/>
      <c r="P16" s="365"/>
      <c r="Q16" s="2225"/>
      <c r="R16" s="2225"/>
      <c r="S16" s="365"/>
      <c r="T16" s="2254" t="s">
        <v>55</v>
      </c>
      <c r="U16" s="2254"/>
      <c r="V16" s="2267">
        <f>Y12</f>
        <v>190846.50750000001</v>
      </c>
      <c r="W16" s="2267"/>
      <c r="X16" s="2262"/>
    </row>
    <row r="17" spans="1:25" ht="28.5" customHeight="1" x14ac:dyDescent="0.25">
      <c r="A17" s="101" t="s">
        <v>44</v>
      </c>
      <c r="B17" s="2260"/>
      <c r="C17" s="2261"/>
      <c r="D17" s="365"/>
      <c r="E17" s="365"/>
      <c r="F17" s="365"/>
      <c r="G17" s="365"/>
      <c r="H17" s="365"/>
      <c r="I17" s="365"/>
      <c r="J17" s="365"/>
      <c r="K17" s="365"/>
      <c r="L17" s="365"/>
      <c r="M17" s="365"/>
      <c r="N17" s="365"/>
      <c r="O17" s="365"/>
      <c r="P17" s="365"/>
      <c r="Q17" s="2225"/>
      <c r="R17" s="2225"/>
      <c r="S17" s="362"/>
      <c r="T17" s="2294" t="s">
        <v>296</v>
      </c>
      <c r="U17" s="2295"/>
      <c r="V17" s="2296"/>
      <c r="W17" s="2296"/>
      <c r="X17" s="2296"/>
    </row>
    <row r="18" spans="1:25" ht="27" customHeight="1" x14ac:dyDescent="0.25">
      <c r="A18" s="100" t="s">
        <v>40</v>
      </c>
      <c r="B18" s="2264">
        <f>C12</f>
        <v>143727</v>
      </c>
      <c r="C18" s="2261"/>
      <c r="D18" s="366">
        <f>E12</f>
        <v>0</v>
      </c>
      <c r="E18" s="366">
        <f>G12</f>
        <v>10</v>
      </c>
      <c r="F18" s="366">
        <f>I12</f>
        <v>2550</v>
      </c>
      <c r="G18" s="366">
        <f>K12</f>
        <v>0</v>
      </c>
      <c r="H18" s="365">
        <v>15</v>
      </c>
      <c r="I18" s="366">
        <f>U12</f>
        <v>0</v>
      </c>
      <c r="J18" s="365"/>
      <c r="K18" s="366">
        <f>W12</f>
        <v>0</v>
      </c>
      <c r="L18" s="365"/>
      <c r="M18" s="366">
        <f>M12</f>
        <v>0</v>
      </c>
      <c r="N18" s="366">
        <f>O12</f>
        <v>0</v>
      </c>
      <c r="O18" s="367">
        <f>Q12</f>
        <v>0</v>
      </c>
      <c r="P18" s="365"/>
      <c r="Q18" s="2262"/>
      <c r="R18" s="2262"/>
      <c r="S18" s="360"/>
      <c r="T18" s="2254" t="s">
        <v>57</v>
      </c>
      <c r="U18" s="2254"/>
      <c r="V18" s="2262">
        <v>620</v>
      </c>
      <c r="W18" s="2262"/>
      <c r="X18" s="2262"/>
      <c r="Y18" s="2269" t="s">
        <v>291</v>
      </c>
    </row>
    <row r="19" spans="1:25" ht="25.5" customHeight="1" x14ac:dyDescent="0.25">
      <c r="A19" s="100" t="s">
        <v>41</v>
      </c>
      <c r="B19" s="2260">
        <f>B15+B16+B17-B18</f>
        <v>290380</v>
      </c>
      <c r="C19" s="2261"/>
      <c r="D19" s="365">
        <f>D15+D16+D17-D18</f>
        <v>0</v>
      </c>
      <c r="E19" s="365">
        <f t="shared" ref="E19:N19" si="13">E15+E16+E17-E18</f>
        <v>4410</v>
      </c>
      <c r="F19" s="365">
        <f t="shared" si="13"/>
        <v>2740</v>
      </c>
      <c r="G19" s="365">
        <f t="shared" si="13"/>
        <v>0</v>
      </c>
      <c r="H19" s="365">
        <f t="shared" si="13"/>
        <v>406</v>
      </c>
      <c r="I19" s="365">
        <f t="shared" si="13"/>
        <v>30</v>
      </c>
      <c r="J19" s="365">
        <f t="shared" si="13"/>
        <v>111</v>
      </c>
      <c r="K19" s="365">
        <f t="shared" si="13"/>
        <v>68</v>
      </c>
      <c r="L19" s="365">
        <f t="shared" si="13"/>
        <v>810</v>
      </c>
      <c r="M19" s="365">
        <f t="shared" si="13"/>
        <v>0</v>
      </c>
      <c r="N19" s="365">
        <f t="shared" si="13"/>
        <v>100</v>
      </c>
      <c r="O19" s="365">
        <f>O15+O16+O17-O18</f>
        <v>0</v>
      </c>
      <c r="P19" s="365">
        <f>P15+P16+P17-P18</f>
        <v>404</v>
      </c>
      <c r="Q19" s="2260">
        <f t="shared" ref="Q19" si="14">Q15+Q16+Q17-Q18</f>
        <v>564</v>
      </c>
      <c r="R19" s="2261"/>
      <c r="S19" s="360">
        <f>S15+S16-S17-S18</f>
        <v>0</v>
      </c>
      <c r="T19" s="2256" t="s">
        <v>48</v>
      </c>
      <c r="U19" s="49" t="s">
        <v>58</v>
      </c>
      <c r="V19" s="2262">
        <v>326400</v>
      </c>
      <c r="W19" s="2262"/>
      <c r="X19" s="2262"/>
      <c r="Y19" s="2269"/>
    </row>
    <row r="20" spans="1:25" ht="23.25" customHeight="1" x14ac:dyDescent="0.25">
      <c r="A20" s="289" t="s">
        <v>187</v>
      </c>
      <c r="B20" s="2286">
        <f>B19*0.9625</f>
        <v>279490.75</v>
      </c>
      <c r="C20" s="2287"/>
      <c r="D20" s="290">
        <f>D19*13.56</f>
        <v>0</v>
      </c>
      <c r="E20" s="290">
        <f>28.2*E19</f>
        <v>124362</v>
      </c>
      <c r="F20" s="290">
        <f>18.31*F19</f>
        <v>50169.399999999994</v>
      </c>
      <c r="G20" s="290">
        <f>19.3*G19</f>
        <v>0</v>
      </c>
      <c r="H20" s="290">
        <f>241*H19</f>
        <v>97846</v>
      </c>
      <c r="I20" s="290">
        <f>223*I19</f>
        <v>6690</v>
      </c>
      <c r="J20" s="290">
        <f>241*J19</f>
        <v>26751</v>
      </c>
      <c r="K20" s="290">
        <f>K19*100</f>
        <v>6800</v>
      </c>
      <c r="L20" s="290">
        <f>241*L19</f>
        <v>195210</v>
      </c>
      <c r="M20" s="290">
        <f>9.65*M19</f>
        <v>0</v>
      </c>
      <c r="N20" s="290">
        <f>N19*48.2</f>
        <v>4820</v>
      </c>
      <c r="O20" s="290">
        <f>241*O19</f>
        <v>0</v>
      </c>
      <c r="P20" s="290">
        <f>241*P19</f>
        <v>97364</v>
      </c>
      <c r="Q20" s="2286">
        <f>241*Q19</f>
        <v>135924</v>
      </c>
      <c r="R20" s="2287"/>
      <c r="S20" s="290">
        <f>241*S19</f>
        <v>0</v>
      </c>
      <c r="T20" s="2257"/>
      <c r="U20" s="49" t="s">
        <v>59</v>
      </c>
      <c r="V20" s="2262"/>
      <c r="W20" s="2262"/>
      <c r="X20" s="2262"/>
      <c r="Y20" s="2269"/>
    </row>
    <row r="21" spans="1:25" ht="32.25" customHeight="1" x14ac:dyDescent="0.25">
      <c r="A21" s="291" t="s">
        <v>186</v>
      </c>
      <c r="B21" s="2293">
        <f>SUM(B20:S20)</f>
        <v>1025427.15</v>
      </c>
      <c r="C21" s="2293"/>
      <c r="O21" s="369"/>
      <c r="P21" s="369"/>
      <c r="Q21" s="369"/>
      <c r="R21" s="369"/>
      <c r="T21" s="2294" t="s">
        <v>167</v>
      </c>
      <c r="U21" s="2295"/>
      <c r="V21" s="2297"/>
      <c r="W21" s="2298"/>
      <c r="X21" s="2299"/>
      <c r="Y21" s="2269"/>
    </row>
    <row r="22" spans="1:25" ht="35.25" customHeight="1" x14ac:dyDescent="0.25">
      <c r="A22" s="15"/>
      <c r="B22" s="2288" t="s">
        <v>49</v>
      </c>
      <c r="C22" s="2291">
        <v>861909</v>
      </c>
      <c r="D22" s="2291">
        <v>326400</v>
      </c>
      <c r="E22" s="2291">
        <v>120000</v>
      </c>
      <c r="F22" s="2291">
        <f>C22-D22+E22</f>
        <v>655509</v>
      </c>
      <c r="G22" s="369"/>
      <c r="Q22" s="369"/>
      <c r="R22" s="369"/>
      <c r="T22" s="2251" t="s">
        <v>83</v>
      </c>
      <c r="U22" s="50" t="s">
        <v>60</v>
      </c>
      <c r="V22" s="2262">
        <v>204640</v>
      </c>
      <c r="W22" s="2262"/>
      <c r="X22" s="2262"/>
      <c r="Y22" s="2269"/>
    </row>
    <row r="23" spans="1:25" ht="39.75" customHeight="1" x14ac:dyDescent="0.25">
      <c r="A23" s="369"/>
      <c r="B23" s="2289"/>
      <c r="C23" s="2292"/>
      <c r="D23" s="2292"/>
      <c r="E23" s="2292"/>
      <c r="F23" s="2292"/>
      <c r="G23" s="369"/>
      <c r="Q23" s="369"/>
      <c r="R23" s="369"/>
      <c r="T23" s="2252"/>
      <c r="U23" s="50" t="s">
        <v>61</v>
      </c>
      <c r="V23" s="2262">
        <v>326400</v>
      </c>
      <c r="W23" s="2262"/>
      <c r="X23" s="2262"/>
      <c r="Y23" s="2269"/>
    </row>
    <row r="24" spans="1:25" ht="48" customHeight="1" x14ac:dyDescent="0.25">
      <c r="A24" s="369"/>
      <c r="B24" s="2290"/>
      <c r="C24" s="290" t="s">
        <v>46</v>
      </c>
      <c r="D24" s="290" t="s">
        <v>50</v>
      </c>
      <c r="E24" s="290" t="s">
        <v>51</v>
      </c>
      <c r="F24" s="290" t="s">
        <v>52</v>
      </c>
      <c r="G24" s="369"/>
      <c r="Q24" s="369"/>
      <c r="R24" s="369"/>
      <c r="T24" s="2235" t="s">
        <v>47</v>
      </c>
      <c r="U24" s="51" t="s">
        <v>62</v>
      </c>
      <c r="V24" s="2263">
        <f>V14+V16+V17-V18-V19-V20-V22+V23-V21</f>
        <v>208.50750000000698</v>
      </c>
      <c r="W24" s="2263"/>
      <c r="X24" s="2263"/>
      <c r="Y24" s="2269"/>
    </row>
    <row r="25" spans="1:25" ht="40.5" customHeight="1" x14ac:dyDescent="0.25">
      <c r="T25" s="2235"/>
      <c r="U25" s="51" t="s">
        <v>63</v>
      </c>
      <c r="V25" s="2262">
        <f>V15+V22-V23</f>
        <v>8812</v>
      </c>
      <c r="W25" s="2262"/>
      <c r="X25" s="2262"/>
    </row>
    <row r="26" spans="1:25" ht="36" customHeight="1" x14ac:dyDescent="0.25">
      <c r="K26" s="314"/>
    </row>
    <row r="32" spans="1:25" x14ac:dyDescent="0.25">
      <c r="I32" s="2280"/>
      <c r="J32" s="2280"/>
      <c r="K32" s="2280"/>
      <c r="L32" s="2280"/>
    </row>
    <row r="33" spans="9:12" x14ac:dyDescent="0.25">
      <c r="I33" s="369"/>
      <c r="J33" s="369"/>
      <c r="K33" s="2280"/>
      <c r="L33" s="2280"/>
    </row>
  </sheetData>
  <mergeCells count="62">
    <mergeCell ref="I32:J32"/>
    <mergeCell ref="K32:L32"/>
    <mergeCell ref="K33:L33"/>
    <mergeCell ref="T22:T23"/>
    <mergeCell ref="V22:X22"/>
    <mergeCell ref="V23:X23"/>
    <mergeCell ref="T24:T25"/>
    <mergeCell ref="V24:X24"/>
    <mergeCell ref="V25:X25"/>
    <mergeCell ref="Y18:Y24"/>
    <mergeCell ref="B19:C19"/>
    <mergeCell ref="Q19:R19"/>
    <mergeCell ref="T19:T20"/>
    <mergeCell ref="V19:X19"/>
    <mergeCell ref="B20:C20"/>
    <mergeCell ref="B22:B24"/>
    <mergeCell ref="C22:C23"/>
    <mergeCell ref="D22:D23"/>
    <mergeCell ref="E22:E23"/>
    <mergeCell ref="F22:F23"/>
    <mergeCell ref="Q20:R20"/>
    <mergeCell ref="V20:X20"/>
    <mergeCell ref="B21:C21"/>
    <mergeCell ref="T21:U21"/>
    <mergeCell ref="V21:X21"/>
    <mergeCell ref="B17:C17"/>
    <mergeCell ref="Q17:R17"/>
    <mergeCell ref="T17:U17"/>
    <mergeCell ref="V17:X17"/>
    <mergeCell ref="B18:C18"/>
    <mergeCell ref="Q18:R18"/>
    <mergeCell ref="T18:U18"/>
    <mergeCell ref="V18:X18"/>
    <mergeCell ref="W4:X4"/>
    <mergeCell ref="B16:C16"/>
    <mergeCell ref="Q16:R16"/>
    <mergeCell ref="T16:U16"/>
    <mergeCell ref="V16:X16"/>
    <mergeCell ref="A12:B12"/>
    <mergeCell ref="B14:C14"/>
    <mergeCell ref="Q14:R14"/>
    <mergeCell ref="T14:T15"/>
    <mergeCell ref="V14:X14"/>
    <mergeCell ref="B15:C15"/>
    <mergeCell ref="Q15:R15"/>
    <mergeCell ref="V15:X15"/>
    <mergeCell ref="A1:Y1"/>
    <mergeCell ref="A2:Y2"/>
    <mergeCell ref="T3:Y3"/>
    <mergeCell ref="A4:A5"/>
    <mergeCell ref="B4:B5"/>
    <mergeCell ref="C4:D4"/>
    <mergeCell ref="E4:F4"/>
    <mergeCell ref="G4:H4"/>
    <mergeCell ref="I4:J4"/>
    <mergeCell ref="K4:L4"/>
    <mergeCell ref="Y4:Y5"/>
    <mergeCell ref="M4:N4"/>
    <mergeCell ref="O4:P4"/>
    <mergeCell ref="Q4:R4"/>
    <mergeCell ref="S4:T4"/>
    <mergeCell ref="U4:V4"/>
  </mergeCells>
  <pageMargins left="0.15748031496063" right="0.15748031496063" top="0" bottom="0" header="0" footer="0"/>
  <pageSetup paperSize="9" scale="47" orientation="landscape" r:id="rId1"/>
</worksheet>
</file>

<file path=xl/worksheets/sheet1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9C29C65-5EEC-4BE4-9832-C40C2667932E}">
  <sheetPr>
    <pageSetUpPr fitToPage="1"/>
  </sheetPr>
  <dimension ref="A1:Y33"/>
  <sheetViews>
    <sheetView topLeftCell="A13" zoomScale="71" zoomScaleNormal="71" zoomScaleSheetLayoutView="100" workbookViewId="0">
      <selection activeCell="I24" sqref="I24"/>
    </sheetView>
  </sheetViews>
  <sheetFormatPr defaultColWidth="9.140625" defaultRowHeight="15" x14ac:dyDescent="0.25"/>
  <cols>
    <col min="1" max="1" width="18.28515625" style="14" customWidth="1"/>
    <col min="2" max="2" width="10.7109375" style="14" customWidth="1"/>
    <col min="3" max="3" width="12.28515625" style="14" customWidth="1"/>
    <col min="4" max="4" width="11" style="14" customWidth="1"/>
    <col min="5" max="5" width="12" style="14" customWidth="1"/>
    <col min="6" max="6" width="12.5703125" style="14" bestFit="1" customWidth="1"/>
    <col min="7" max="7" width="9.28515625" style="14" bestFit="1" customWidth="1"/>
    <col min="8" max="8" width="10.140625" style="14" bestFit="1" customWidth="1"/>
    <col min="9" max="9" width="10.5703125" style="14" bestFit="1" customWidth="1"/>
    <col min="10" max="10" width="10.5703125" style="14" customWidth="1"/>
    <col min="11" max="11" width="10.28515625" style="14" bestFit="1" customWidth="1"/>
    <col min="12" max="12" width="10.42578125" style="14" bestFit="1" customWidth="1"/>
    <col min="13" max="13" width="9.85546875" style="14" bestFit="1" customWidth="1"/>
    <col min="14" max="14" width="10.140625" style="14" bestFit="1" customWidth="1"/>
    <col min="15" max="15" width="9" style="14" customWidth="1"/>
    <col min="16" max="16" width="12.85546875" style="14" bestFit="1" customWidth="1"/>
    <col min="17" max="18" width="9.42578125" style="14" customWidth="1"/>
    <col min="19" max="19" width="13.7109375" style="14" customWidth="1"/>
    <col min="20" max="20" width="12.140625" style="14" customWidth="1"/>
    <col min="21" max="21" width="19.5703125" style="14" bestFit="1" customWidth="1"/>
    <col min="22" max="22" width="9.85546875" style="14" customWidth="1"/>
    <col min="23" max="23" width="10.140625" style="14" bestFit="1" customWidth="1"/>
    <col min="24" max="24" width="10.28515625" style="14" customWidth="1"/>
    <col min="25" max="25" width="28" style="14" customWidth="1"/>
    <col min="26" max="16384" width="9.140625" style="14"/>
  </cols>
  <sheetData>
    <row r="1" spans="1:25" ht="46.15" customHeight="1" x14ac:dyDescent="0.25">
      <c r="A1" s="2240" t="s">
        <v>148</v>
      </c>
      <c r="B1" s="2240"/>
      <c r="C1" s="2240"/>
      <c r="D1" s="2240"/>
      <c r="E1" s="2240"/>
      <c r="F1" s="2240"/>
      <c r="G1" s="2240"/>
      <c r="H1" s="2240"/>
      <c r="I1" s="2240"/>
      <c r="J1" s="2240"/>
      <c r="K1" s="2240"/>
      <c r="L1" s="2240"/>
      <c r="M1" s="2240"/>
      <c r="N1" s="2240"/>
      <c r="O1" s="2240"/>
      <c r="P1" s="2240"/>
      <c r="Q1" s="2240"/>
      <c r="R1" s="2240"/>
      <c r="S1" s="2240"/>
      <c r="T1" s="2240"/>
      <c r="U1" s="2240"/>
      <c r="V1" s="2240"/>
      <c r="W1" s="2240"/>
      <c r="X1" s="2240"/>
      <c r="Y1" s="2240"/>
    </row>
    <row r="2" spans="1:25" ht="21.6" customHeight="1" x14ac:dyDescent="0.25">
      <c r="A2" s="2241" t="s">
        <v>77</v>
      </c>
      <c r="B2" s="2241"/>
      <c r="C2" s="2241"/>
      <c r="D2" s="2241"/>
      <c r="E2" s="2241"/>
      <c r="F2" s="2241"/>
      <c r="G2" s="2241"/>
      <c r="H2" s="2241"/>
      <c r="I2" s="2241"/>
      <c r="J2" s="2241"/>
      <c r="K2" s="2241"/>
      <c r="L2" s="2241"/>
      <c r="M2" s="2241"/>
      <c r="N2" s="2241"/>
      <c r="O2" s="2241"/>
      <c r="P2" s="2241"/>
      <c r="Q2" s="2241"/>
      <c r="R2" s="2241"/>
      <c r="S2" s="2241"/>
      <c r="T2" s="2241"/>
      <c r="U2" s="2241"/>
      <c r="V2" s="2241"/>
      <c r="W2" s="2241"/>
      <c r="X2" s="2241"/>
      <c r="Y2" s="2241"/>
    </row>
    <row r="3" spans="1:25" ht="21" customHeight="1" x14ac:dyDescent="0.25">
      <c r="A3" s="375"/>
      <c r="B3" s="375"/>
      <c r="C3" s="375"/>
      <c r="D3" s="375"/>
      <c r="E3" s="375"/>
      <c r="F3" s="375"/>
      <c r="G3" s="375"/>
      <c r="H3" s="375"/>
      <c r="I3" s="375"/>
      <c r="J3" s="375"/>
      <c r="K3" s="375"/>
      <c r="L3" s="375"/>
      <c r="M3" s="375"/>
      <c r="N3" s="375"/>
      <c r="O3" s="375"/>
      <c r="P3" s="375"/>
      <c r="Q3" s="375"/>
      <c r="R3" s="375"/>
      <c r="S3" s="375"/>
      <c r="T3" s="2242" t="s">
        <v>313</v>
      </c>
      <c r="U3" s="2242"/>
      <c r="V3" s="2242"/>
      <c r="W3" s="2242"/>
      <c r="X3" s="2242"/>
      <c r="Y3" s="2242"/>
    </row>
    <row r="4" spans="1:25" s="375" customFormat="1" ht="18" customHeight="1" x14ac:dyDescent="0.25">
      <c r="A4" s="2243" t="s">
        <v>25</v>
      </c>
      <c r="B4" s="2243" t="s">
        <v>26</v>
      </c>
      <c r="C4" s="2244" t="s">
        <v>27</v>
      </c>
      <c r="D4" s="2244"/>
      <c r="E4" s="2244" t="s">
        <v>28</v>
      </c>
      <c r="F4" s="2244"/>
      <c r="G4" s="2244" t="s">
        <v>65</v>
      </c>
      <c r="H4" s="2244"/>
      <c r="I4" s="2244" t="s">
        <v>29</v>
      </c>
      <c r="J4" s="2244"/>
      <c r="K4" s="2245" t="s">
        <v>13</v>
      </c>
      <c r="L4" s="2246"/>
      <c r="M4" s="2245" t="s">
        <v>67</v>
      </c>
      <c r="N4" s="2246"/>
      <c r="O4" s="2245" t="s">
        <v>68</v>
      </c>
      <c r="P4" s="2246"/>
      <c r="Q4" s="2245" t="s">
        <v>114</v>
      </c>
      <c r="R4" s="2246"/>
      <c r="S4" s="2244" t="s">
        <v>35</v>
      </c>
      <c r="T4" s="2244"/>
      <c r="U4" s="2245" t="s">
        <v>17</v>
      </c>
      <c r="V4" s="2246"/>
      <c r="W4" s="2247" t="s">
        <v>36</v>
      </c>
      <c r="X4" s="2248"/>
      <c r="Y4" s="2238" t="s">
        <v>30</v>
      </c>
    </row>
    <row r="5" spans="1:25" s="375" customFormat="1" ht="25.5" customHeight="1" x14ac:dyDescent="0.25">
      <c r="A5" s="2243"/>
      <c r="B5" s="2243"/>
      <c r="C5" s="374" t="s">
        <v>42</v>
      </c>
      <c r="D5" s="374" t="s">
        <v>43</v>
      </c>
      <c r="E5" s="374" t="s">
        <v>42</v>
      </c>
      <c r="F5" s="374" t="s">
        <v>43</v>
      </c>
      <c r="G5" s="374" t="s">
        <v>42</v>
      </c>
      <c r="H5" s="374" t="s">
        <v>43</v>
      </c>
      <c r="I5" s="374" t="s">
        <v>42</v>
      </c>
      <c r="J5" s="374" t="s">
        <v>43</v>
      </c>
      <c r="K5" s="374" t="s">
        <v>42</v>
      </c>
      <c r="L5" s="374" t="s">
        <v>43</v>
      </c>
      <c r="M5" s="374" t="s">
        <v>42</v>
      </c>
      <c r="N5" s="374" t="s">
        <v>43</v>
      </c>
      <c r="O5" s="374" t="s">
        <v>42</v>
      </c>
      <c r="P5" s="374" t="s">
        <v>43</v>
      </c>
      <c r="Q5" s="374" t="s">
        <v>42</v>
      </c>
      <c r="R5" s="374" t="s">
        <v>43</v>
      </c>
      <c r="S5" s="33" t="s">
        <v>42</v>
      </c>
      <c r="T5" s="33" t="s">
        <v>43</v>
      </c>
      <c r="U5" s="30" t="s">
        <v>42</v>
      </c>
      <c r="V5" s="30" t="s">
        <v>43</v>
      </c>
      <c r="W5" s="30" t="s">
        <v>42</v>
      </c>
      <c r="X5" s="30" t="s">
        <v>43</v>
      </c>
      <c r="Y5" s="2239"/>
    </row>
    <row r="6" spans="1:25" ht="34.5" customHeight="1" x14ac:dyDescent="0.25">
      <c r="A6" s="12">
        <v>1409935200</v>
      </c>
      <c r="B6" s="373" t="s">
        <v>71</v>
      </c>
      <c r="C6" s="371">
        <v>48892</v>
      </c>
      <c r="D6" s="370">
        <f>0.9725*C6</f>
        <v>47547.47</v>
      </c>
      <c r="E6" s="371"/>
      <c r="F6" s="371">
        <f>13.7*E6</f>
        <v>0</v>
      </c>
      <c r="G6" s="371">
        <v>90</v>
      </c>
      <c r="H6" s="371">
        <f>28.2*G6</f>
        <v>2538</v>
      </c>
      <c r="I6" s="371">
        <v>150</v>
      </c>
      <c r="J6" s="371">
        <f>18.5*I6</f>
        <v>2775</v>
      </c>
      <c r="K6" s="371"/>
      <c r="L6" s="371">
        <f>19.5*K6</f>
        <v>0</v>
      </c>
      <c r="M6" s="371"/>
      <c r="N6" s="370">
        <f>M6*9.75</f>
        <v>0</v>
      </c>
      <c r="O6" s="371"/>
      <c r="P6" s="370">
        <f>O6*48.62</f>
        <v>0</v>
      </c>
      <c r="Q6" s="370"/>
      <c r="R6" s="370">
        <f>241*Q6</f>
        <v>0</v>
      </c>
      <c r="S6" s="371">
        <v>4</v>
      </c>
      <c r="T6" s="371">
        <f>241*S6</f>
        <v>964</v>
      </c>
      <c r="U6" s="371"/>
      <c r="V6" s="371">
        <f>232*U6</f>
        <v>0</v>
      </c>
      <c r="W6" s="371"/>
      <c r="X6" s="19">
        <f>W6*100</f>
        <v>0</v>
      </c>
      <c r="Y6" s="89">
        <f t="shared" ref="Y6:Y11" si="0">D6+F6+H6+J6+L6+N6+P6+R6+T6+V6+X6</f>
        <v>53824.47</v>
      </c>
    </row>
    <row r="7" spans="1:25" ht="31.5" customHeight="1" x14ac:dyDescent="0.25">
      <c r="A7" s="12">
        <v>1984225578</v>
      </c>
      <c r="B7" s="373" t="s">
        <v>72</v>
      </c>
      <c r="C7" s="371">
        <v>25232</v>
      </c>
      <c r="D7" s="370">
        <f t="shared" ref="D7:D11" si="1">0.9725*C7</f>
        <v>24538.12</v>
      </c>
      <c r="E7" s="371"/>
      <c r="F7" s="371">
        <f t="shared" ref="F7:F11" si="2">13.7*E7</f>
        <v>0</v>
      </c>
      <c r="G7" s="371"/>
      <c r="H7" s="371">
        <f t="shared" ref="H7:H11" si="3">28.2*G7</f>
        <v>0</v>
      </c>
      <c r="I7" s="371">
        <v>200</v>
      </c>
      <c r="J7" s="371">
        <f t="shared" ref="J7:J11" si="4">18.5*I7</f>
        <v>3700</v>
      </c>
      <c r="K7" s="371"/>
      <c r="L7" s="371">
        <f t="shared" ref="L7:L11" si="5">19.5*K7</f>
        <v>0</v>
      </c>
      <c r="M7" s="371"/>
      <c r="N7" s="370">
        <f t="shared" ref="N7:N11" si="6">M7*9.75</f>
        <v>0</v>
      </c>
      <c r="O7" s="371"/>
      <c r="P7" s="370">
        <f t="shared" ref="P7:P11" si="7">O7*48.62</f>
        <v>0</v>
      </c>
      <c r="Q7" s="370"/>
      <c r="R7" s="370">
        <f t="shared" ref="R7:R11" si="8">241*Q7</f>
        <v>0</v>
      </c>
      <c r="S7" s="371"/>
      <c r="T7" s="371">
        <f t="shared" ref="T7:T11" si="9">241*S7</f>
        <v>0</v>
      </c>
      <c r="U7" s="371"/>
      <c r="V7" s="371">
        <f t="shared" ref="V7:V11" si="10">232*U7</f>
        <v>0</v>
      </c>
      <c r="W7" s="371"/>
      <c r="X7" s="19">
        <f t="shared" ref="X7:X11" si="11">W7*100</f>
        <v>0</v>
      </c>
      <c r="Y7" s="89">
        <f t="shared" si="0"/>
        <v>28238.12</v>
      </c>
    </row>
    <row r="8" spans="1:25" ht="35.25" customHeight="1" x14ac:dyDescent="0.25">
      <c r="A8" s="12">
        <v>1967020280</v>
      </c>
      <c r="B8" s="373" t="s">
        <v>73</v>
      </c>
      <c r="C8" s="371">
        <v>37004</v>
      </c>
      <c r="D8" s="370">
        <f t="shared" si="1"/>
        <v>35986.39</v>
      </c>
      <c r="E8" s="371"/>
      <c r="F8" s="371">
        <f t="shared" si="2"/>
        <v>0</v>
      </c>
      <c r="G8" s="371"/>
      <c r="H8" s="371">
        <f t="shared" si="3"/>
        <v>0</v>
      </c>
      <c r="I8" s="371">
        <v>410</v>
      </c>
      <c r="J8" s="371">
        <f t="shared" si="4"/>
        <v>7585</v>
      </c>
      <c r="K8" s="371"/>
      <c r="L8" s="371">
        <f t="shared" si="5"/>
        <v>0</v>
      </c>
      <c r="M8" s="371"/>
      <c r="N8" s="370">
        <f t="shared" si="6"/>
        <v>0</v>
      </c>
      <c r="O8" s="371"/>
      <c r="P8" s="370">
        <f t="shared" si="7"/>
        <v>0</v>
      </c>
      <c r="Q8" s="370"/>
      <c r="R8" s="370">
        <f t="shared" si="8"/>
        <v>0</v>
      </c>
      <c r="S8" s="371"/>
      <c r="T8" s="371">
        <f t="shared" si="9"/>
        <v>0</v>
      </c>
      <c r="U8" s="371"/>
      <c r="V8" s="371">
        <f t="shared" si="10"/>
        <v>0</v>
      </c>
      <c r="W8" s="371"/>
      <c r="X8" s="19">
        <f t="shared" si="11"/>
        <v>0</v>
      </c>
      <c r="Y8" s="89">
        <f t="shared" si="0"/>
        <v>43571.39</v>
      </c>
    </row>
    <row r="9" spans="1:25" ht="38.25" customHeight="1" x14ac:dyDescent="0.25">
      <c r="A9" s="12">
        <v>1984225580</v>
      </c>
      <c r="B9" s="373" t="s">
        <v>75</v>
      </c>
      <c r="C9" s="371">
        <v>18600</v>
      </c>
      <c r="D9" s="370">
        <f t="shared" si="1"/>
        <v>18088.5</v>
      </c>
      <c r="E9" s="371"/>
      <c r="F9" s="371">
        <f t="shared" si="2"/>
        <v>0</v>
      </c>
      <c r="G9" s="371"/>
      <c r="H9" s="371">
        <f t="shared" si="3"/>
        <v>0</v>
      </c>
      <c r="I9" s="371">
        <v>470</v>
      </c>
      <c r="J9" s="371">
        <f t="shared" si="4"/>
        <v>8695</v>
      </c>
      <c r="K9" s="371"/>
      <c r="L9" s="371">
        <f t="shared" si="5"/>
        <v>0</v>
      </c>
      <c r="M9" s="371"/>
      <c r="N9" s="370">
        <f t="shared" si="6"/>
        <v>0</v>
      </c>
      <c r="O9" s="371"/>
      <c r="P9" s="370">
        <f t="shared" si="7"/>
        <v>0</v>
      </c>
      <c r="Q9" s="370"/>
      <c r="R9" s="370">
        <f t="shared" si="8"/>
        <v>0</v>
      </c>
      <c r="S9" s="371"/>
      <c r="T9" s="371">
        <f t="shared" si="9"/>
        <v>0</v>
      </c>
      <c r="U9" s="371"/>
      <c r="V9" s="371">
        <f t="shared" si="10"/>
        <v>0</v>
      </c>
      <c r="W9" s="371"/>
      <c r="X9" s="19">
        <f t="shared" si="11"/>
        <v>0</v>
      </c>
      <c r="Y9" s="89">
        <f t="shared" si="0"/>
        <v>26783.5</v>
      </c>
    </row>
    <row r="10" spans="1:25" ht="35.25" customHeight="1" x14ac:dyDescent="0.25">
      <c r="A10" s="12">
        <v>1409935199</v>
      </c>
      <c r="C10" s="371"/>
      <c r="D10" s="370">
        <f t="shared" si="1"/>
        <v>0</v>
      </c>
      <c r="E10" s="371"/>
      <c r="F10" s="371">
        <f t="shared" si="2"/>
        <v>0</v>
      </c>
      <c r="G10" s="371"/>
      <c r="H10" s="371">
        <f t="shared" si="3"/>
        <v>0</v>
      </c>
      <c r="I10" s="371">
        <v>70</v>
      </c>
      <c r="J10" s="371">
        <f t="shared" si="4"/>
        <v>1295</v>
      </c>
      <c r="K10" s="371"/>
      <c r="L10" s="371">
        <f t="shared" si="5"/>
        <v>0</v>
      </c>
      <c r="M10" s="371"/>
      <c r="N10" s="370">
        <f t="shared" si="6"/>
        <v>0</v>
      </c>
      <c r="O10" s="371"/>
      <c r="P10" s="370">
        <f t="shared" si="7"/>
        <v>0</v>
      </c>
      <c r="Q10" s="370"/>
      <c r="R10" s="370">
        <f t="shared" si="8"/>
        <v>0</v>
      </c>
      <c r="S10" s="371"/>
      <c r="T10" s="371">
        <f t="shared" si="9"/>
        <v>0</v>
      </c>
      <c r="U10" s="371"/>
      <c r="V10" s="371">
        <f t="shared" si="10"/>
        <v>0</v>
      </c>
      <c r="W10" s="371"/>
      <c r="X10" s="19">
        <f t="shared" si="11"/>
        <v>0</v>
      </c>
      <c r="Y10" s="89">
        <f t="shared" si="0"/>
        <v>1295</v>
      </c>
    </row>
    <row r="11" spans="1:25" ht="37.5" customHeight="1" x14ac:dyDescent="0.25">
      <c r="A11" s="12"/>
      <c r="B11" s="372"/>
      <c r="C11" s="371"/>
      <c r="D11" s="22">
        <f t="shared" si="1"/>
        <v>0</v>
      </c>
      <c r="E11" s="371"/>
      <c r="F11" s="371">
        <f t="shared" si="2"/>
        <v>0</v>
      </c>
      <c r="G11" s="371"/>
      <c r="H11" s="371">
        <f t="shared" si="3"/>
        <v>0</v>
      </c>
      <c r="I11" s="371"/>
      <c r="J11" s="371">
        <f t="shared" si="4"/>
        <v>0</v>
      </c>
      <c r="K11" s="371"/>
      <c r="L11" s="371">
        <f t="shared" si="5"/>
        <v>0</v>
      </c>
      <c r="M11" s="371"/>
      <c r="N11" s="370">
        <f t="shared" si="6"/>
        <v>0</v>
      </c>
      <c r="O11" s="371"/>
      <c r="P11" s="370">
        <f t="shared" si="7"/>
        <v>0</v>
      </c>
      <c r="Q11" s="370"/>
      <c r="R11" s="370">
        <f t="shared" si="8"/>
        <v>0</v>
      </c>
      <c r="S11" s="371"/>
      <c r="T11" s="371">
        <f t="shared" si="9"/>
        <v>0</v>
      </c>
      <c r="U11" s="371"/>
      <c r="V11" s="371">
        <f t="shared" si="10"/>
        <v>0</v>
      </c>
      <c r="W11" s="371"/>
      <c r="X11" s="19">
        <f t="shared" si="11"/>
        <v>0</v>
      </c>
      <c r="Y11" s="20">
        <f t="shared" si="0"/>
        <v>0</v>
      </c>
    </row>
    <row r="12" spans="1:25" ht="29.25" customHeight="1" x14ac:dyDescent="0.25">
      <c r="A12" s="2235" t="s">
        <v>31</v>
      </c>
      <c r="B12" s="2235"/>
      <c r="C12" s="18">
        <f t="shared" ref="C12:Y12" si="12">SUM(C6:C11)</f>
        <v>129728</v>
      </c>
      <c r="D12" s="18">
        <f t="shared" si="12"/>
        <v>126160.48</v>
      </c>
      <c r="E12" s="18">
        <f t="shared" si="12"/>
        <v>0</v>
      </c>
      <c r="F12" s="18">
        <f t="shared" si="12"/>
        <v>0</v>
      </c>
      <c r="G12" s="18">
        <f t="shared" si="12"/>
        <v>90</v>
      </c>
      <c r="H12" s="18">
        <f t="shared" si="12"/>
        <v>2538</v>
      </c>
      <c r="I12" s="18">
        <f t="shared" si="12"/>
        <v>1300</v>
      </c>
      <c r="J12" s="18">
        <f t="shared" si="12"/>
        <v>24050</v>
      </c>
      <c r="K12" s="18">
        <f t="shared" si="12"/>
        <v>0</v>
      </c>
      <c r="L12" s="18">
        <f t="shared" si="12"/>
        <v>0</v>
      </c>
      <c r="M12" s="18">
        <f t="shared" si="12"/>
        <v>0</v>
      </c>
      <c r="N12" s="23">
        <f t="shared" si="12"/>
        <v>0</v>
      </c>
      <c r="O12" s="18">
        <f t="shared" si="12"/>
        <v>0</v>
      </c>
      <c r="P12" s="23">
        <f t="shared" si="12"/>
        <v>0</v>
      </c>
      <c r="Q12" s="23">
        <f t="shared" si="12"/>
        <v>0</v>
      </c>
      <c r="R12" s="23">
        <f>SUM(R6:R11)</f>
        <v>0</v>
      </c>
      <c r="S12" s="18">
        <f t="shared" si="12"/>
        <v>4</v>
      </c>
      <c r="T12" s="18">
        <f t="shared" si="12"/>
        <v>964</v>
      </c>
      <c r="U12" s="18">
        <f t="shared" si="12"/>
        <v>0</v>
      </c>
      <c r="V12" s="18">
        <f t="shared" si="12"/>
        <v>0</v>
      </c>
      <c r="W12" s="18">
        <f t="shared" si="12"/>
        <v>0</v>
      </c>
      <c r="X12" s="18">
        <f t="shared" si="12"/>
        <v>0</v>
      </c>
      <c r="Y12" s="18">
        <f t="shared" si="12"/>
        <v>153712.47999999998</v>
      </c>
    </row>
    <row r="14" spans="1:25" ht="41.25" customHeight="1" x14ac:dyDescent="0.25">
      <c r="A14" s="30" t="s">
        <v>32</v>
      </c>
      <c r="B14" s="2236" t="s">
        <v>27</v>
      </c>
      <c r="C14" s="2236"/>
      <c r="D14" s="30" t="s">
        <v>33</v>
      </c>
      <c r="E14" s="30" t="s">
        <v>65</v>
      </c>
      <c r="F14" s="30" t="s">
        <v>34</v>
      </c>
      <c r="G14" s="30" t="s">
        <v>13</v>
      </c>
      <c r="H14" s="142" t="s">
        <v>173</v>
      </c>
      <c r="I14" s="30" t="s">
        <v>17</v>
      </c>
      <c r="J14" s="379" t="s">
        <v>174</v>
      </c>
      <c r="K14" s="30" t="s">
        <v>36</v>
      </c>
      <c r="L14" s="30" t="s">
        <v>175</v>
      </c>
      <c r="M14" s="30" t="s">
        <v>69</v>
      </c>
      <c r="N14" s="30" t="s">
        <v>70</v>
      </c>
      <c r="O14" s="379" t="s">
        <v>114</v>
      </c>
      <c r="P14" s="379" t="s">
        <v>99</v>
      </c>
      <c r="Q14" s="2272" t="s">
        <v>301</v>
      </c>
      <c r="R14" s="2272"/>
      <c r="S14" s="379"/>
      <c r="T14" s="2235" t="s">
        <v>46</v>
      </c>
      <c r="U14" s="373" t="s">
        <v>176</v>
      </c>
      <c r="V14" s="2260">
        <v>209</v>
      </c>
      <c r="W14" s="2268"/>
      <c r="X14" s="2261"/>
    </row>
    <row r="15" spans="1:25" ht="22.5" customHeight="1" x14ac:dyDescent="0.25">
      <c r="A15" s="100" t="s">
        <v>38</v>
      </c>
      <c r="B15" s="2260">
        <v>290380</v>
      </c>
      <c r="C15" s="2261"/>
      <c r="D15" s="376">
        <v>0</v>
      </c>
      <c r="E15" s="376">
        <v>4410</v>
      </c>
      <c r="F15" s="376">
        <v>2740</v>
      </c>
      <c r="G15" s="376">
        <v>0</v>
      </c>
      <c r="H15" s="376">
        <v>406</v>
      </c>
      <c r="I15" s="376">
        <v>30</v>
      </c>
      <c r="J15" s="376">
        <v>111</v>
      </c>
      <c r="K15" s="376">
        <v>68</v>
      </c>
      <c r="L15" s="376">
        <v>810</v>
      </c>
      <c r="M15" s="376">
        <v>0</v>
      </c>
      <c r="N15" s="376">
        <v>100</v>
      </c>
      <c r="O15" s="376">
        <v>0</v>
      </c>
      <c r="P15" s="376">
        <v>404</v>
      </c>
      <c r="Q15" s="2262">
        <v>564</v>
      </c>
      <c r="R15" s="2262"/>
      <c r="S15" s="373">
        <v>0</v>
      </c>
      <c r="T15" s="2235"/>
      <c r="U15" s="373" t="s">
        <v>64</v>
      </c>
      <c r="V15" s="2262">
        <v>8812</v>
      </c>
      <c r="W15" s="2262"/>
      <c r="X15" s="2262"/>
    </row>
    <row r="16" spans="1:25" ht="24.75" customHeight="1" x14ac:dyDescent="0.25">
      <c r="A16" s="100" t="s">
        <v>39</v>
      </c>
      <c r="B16" s="2260">
        <v>124675</v>
      </c>
      <c r="C16" s="2261"/>
      <c r="D16" s="376"/>
      <c r="E16" s="376"/>
      <c r="F16" s="376"/>
      <c r="G16" s="376"/>
      <c r="H16" s="376"/>
      <c r="I16" s="376"/>
      <c r="J16" s="376"/>
      <c r="K16" s="376"/>
      <c r="L16" s="376"/>
      <c r="M16" s="376"/>
      <c r="N16" s="376"/>
      <c r="O16" s="376"/>
      <c r="P16" s="376"/>
      <c r="Q16" s="2225"/>
      <c r="R16" s="2225"/>
      <c r="S16" s="376"/>
      <c r="T16" s="2254" t="s">
        <v>55</v>
      </c>
      <c r="U16" s="2254"/>
      <c r="V16" s="2267">
        <f>Y12</f>
        <v>153712.47999999998</v>
      </c>
      <c r="W16" s="2267"/>
      <c r="X16" s="2262"/>
    </row>
    <row r="17" spans="1:25" ht="28.5" customHeight="1" x14ac:dyDescent="0.25">
      <c r="A17" s="101" t="s">
        <v>44</v>
      </c>
      <c r="B17" s="2260">
        <v>270346</v>
      </c>
      <c r="C17" s="2261"/>
      <c r="D17" s="376"/>
      <c r="E17" s="376"/>
      <c r="F17" s="376"/>
      <c r="G17" s="376"/>
      <c r="H17" s="376"/>
      <c r="I17" s="376"/>
      <c r="J17" s="376"/>
      <c r="K17" s="376"/>
      <c r="L17" s="376"/>
      <c r="M17" s="376"/>
      <c r="N17" s="376"/>
      <c r="O17" s="376"/>
      <c r="P17" s="376"/>
      <c r="Q17" s="2225"/>
      <c r="R17" s="2225"/>
      <c r="S17" s="372"/>
      <c r="T17" s="2294" t="s">
        <v>296</v>
      </c>
      <c r="U17" s="2295"/>
      <c r="V17" s="2296"/>
      <c r="W17" s="2296"/>
      <c r="X17" s="2296"/>
    </row>
    <row r="18" spans="1:25" ht="27" customHeight="1" x14ac:dyDescent="0.25">
      <c r="A18" s="100" t="s">
        <v>40</v>
      </c>
      <c r="B18" s="2264">
        <f>C12</f>
        <v>129728</v>
      </c>
      <c r="C18" s="2261"/>
      <c r="D18" s="378">
        <f>E12</f>
        <v>0</v>
      </c>
      <c r="E18" s="378">
        <f>G12</f>
        <v>90</v>
      </c>
      <c r="F18" s="378">
        <f>I12</f>
        <v>1300</v>
      </c>
      <c r="G18" s="378">
        <f>K12</f>
        <v>0</v>
      </c>
      <c r="H18" s="376">
        <v>4</v>
      </c>
      <c r="I18" s="378">
        <f>U12</f>
        <v>0</v>
      </c>
      <c r="J18" s="376"/>
      <c r="K18" s="378">
        <f>W12</f>
        <v>0</v>
      </c>
      <c r="L18" s="376"/>
      <c r="M18" s="378">
        <f>M12</f>
        <v>0</v>
      </c>
      <c r="N18" s="378">
        <f>O12</f>
        <v>0</v>
      </c>
      <c r="O18" s="377">
        <f>Q12</f>
        <v>0</v>
      </c>
      <c r="P18" s="376"/>
      <c r="Q18" s="2262"/>
      <c r="R18" s="2262"/>
      <c r="S18" s="373"/>
      <c r="T18" s="2254" t="s">
        <v>57</v>
      </c>
      <c r="U18" s="2254"/>
      <c r="V18" s="2262">
        <v>720</v>
      </c>
      <c r="W18" s="2262"/>
      <c r="X18" s="2262"/>
      <c r="Y18" s="2269" t="s">
        <v>291</v>
      </c>
    </row>
    <row r="19" spans="1:25" ht="25.5" customHeight="1" x14ac:dyDescent="0.25">
      <c r="A19" s="100" t="s">
        <v>41</v>
      </c>
      <c r="B19" s="2260">
        <f>B15+B16+B17-B18</f>
        <v>555673</v>
      </c>
      <c r="C19" s="2261"/>
      <c r="D19" s="376">
        <f>D15+D16+D17-D18</f>
        <v>0</v>
      </c>
      <c r="E19" s="376">
        <f t="shared" ref="E19:N19" si="13">E15+E16+E17-E18</f>
        <v>4320</v>
      </c>
      <c r="F19" s="376">
        <f t="shared" si="13"/>
        <v>1440</v>
      </c>
      <c r="G19" s="376">
        <f t="shared" si="13"/>
        <v>0</v>
      </c>
      <c r="H19" s="376">
        <f t="shared" si="13"/>
        <v>402</v>
      </c>
      <c r="I19" s="376">
        <f t="shared" si="13"/>
        <v>30</v>
      </c>
      <c r="J19" s="376">
        <f t="shared" si="13"/>
        <v>111</v>
      </c>
      <c r="K19" s="376">
        <f t="shared" si="13"/>
        <v>68</v>
      </c>
      <c r="L19" s="376">
        <f t="shared" si="13"/>
        <v>810</v>
      </c>
      <c r="M19" s="376">
        <f t="shared" si="13"/>
        <v>0</v>
      </c>
      <c r="N19" s="376">
        <f t="shared" si="13"/>
        <v>100</v>
      </c>
      <c r="O19" s="376">
        <f>O15+O16+O17-O18</f>
        <v>0</v>
      </c>
      <c r="P19" s="376">
        <f>P15+P16+P17-P18</f>
        <v>404</v>
      </c>
      <c r="Q19" s="2260">
        <f t="shared" ref="Q19" si="14">Q15+Q16+Q17-Q18</f>
        <v>564</v>
      </c>
      <c r="R19" s="2261"/>
      <c r="S19" s="373">
        <f>S15+S16-S17-S18</f>
        <v>0</v>
      </c>
      <c r="T19" s="2256" t="s">
        <v>48</v>
      </c>
      <c r="U19" s="49" t="s">
        <v>58</v>
      </c>
      <c r="V19" s="2262">
        <v>120000</v>
      </c>
      <c r="W19" s="2262"/>
      <c r="X19" s="2262"/>
      <c r="Y19" s="2269"/>
    </row>
    <row r="20" spans="1:25" ht="23.25" customHeight="1" x14ac:dyDescent="0.25">
      <c r="A20" s="289" t="s">
        <v>187</v>
      </c>
      <c r="B20" s="2286">
        <f>B19*0.9625</f>
        <v>534835.26250000007</v>
      </c>
      <c r="C20" s="2287"/>
      <c r="D20" s="290">
        <f>D19*13.56</f>
        <v>0</v>
      </c>
      <c r="E20" s="290">
        <f>28.2*E19</f>
        <v>121824</v>
      </c>
      <c r="F20" s="290">
        <f>18.31*F19</f>
        <v>26366.399999999998</v>
      </c>
      <c r="G20" s="290">
        <f>19.3*G19</f>
        <v>0</v>
      </c>
      <c r="H20" s="290">
        <f>241*H19</f>
        <v>96882</v>
      </c>
      <c r="I20" s="290">
        <f>223*I19</f>
        <v>6690</v>
      </c>
      <c r="J20" s="290">
        <f>241*J19</f>
        <v>26751</v>
      </c>
      <c r="K20" s="290">
        <f>K19*100</f>
        <v>6800</v>
      </c>
      <c r="L20" s="290">
        <f>241*L19</f>
        <v>195210</v>
      </c>
      <c r="M20" s="290">
        <f>9.65*M19</f>
        <v>0</v>
      </c>
      <c r="N20" s="290">
        <f>N19*48.2</f>
        <v>4820</v>
      </c>
      <c r="O20" s="290">
        <f>241*O19</f>
        <v>0</v>
      </c>
      <c r="P20" s="290">
        <f>241*P19</f>
        <v>97364</v>
      </c>
      <c r="Q20" s="2286">
        <f>241*Q19</f>
        <v>135924</v>
      </c>
      <c r="R20" s="2287"/>
      <c r="S20" s="290">
        <f>241*S19</f>
        <v>0</v>
      </c>
      <c r="T20" s="2257"/>
      <c r="U20" s="49" t="s">
        <v>59</v>
      </c>
      <c r="V20" s="2262"/>
      <c r="W20" s="2262"/>
      <c r="X20" s="2262"/>
      <c r="Y20" s="2269"/>
    </row>
    <row r="21" spans="1:25" ht="32.25" customHeight="1" x14ac:dyDescent="0.25">
      <c r="A21" s="291" t="s">
        <v>186</v>
      </c>
      <c r="B21" s="2293">
        <f>SUM(B20:S20)</f>
        <v>1253466.6625000001</v>
      </c>
      <c r="C21" s="2293"/>
      <c r="O21" s="380"/>
      <c r="P21" s="380"/>
      <c r="Q21" s="380"/>
      <c r="R21" s="380"/>
      <c r="T21" s="2294" t="s">
        <v>167</v>
      </c>
      <c r="U21" s="2295"/>
      <c r="V21" s="2297"/>
      <c r="W21" s="2298"/>
      <c r="X21" s="2299"/>
      <c r="Y21" s="2269"/>
    </row>
    <row r="22" spans="1:25" ht="35.25" customHeight="1" x14ac:dyDescent="0.25">
      <c r="A22" s="15"/>
      <c r="B22" s="2288" t="s">
        <v>49</v>
      </c>
      <c r="C22" s="2291">
        <v>655509</v>
      </c>
      <c r="D22" s="2291">
        <v>120000</v>
      </c>
      <c r="E22" s="2291">
        <v>120000</v>
      </c>
      <c r="F22" s="2291">
        <f>C22-D22+E22</f>
        <v>655509</v>
      </c>
      <c r="G22" s="380"/>
      <c r="Q22" s="380"/>
      <c r="R22" s="380"/>
      <c r="T22" s="2251" t="s">
        <v>83</v>
      </c>
      <c r="U22" s="50" t="s">
        <v>60</v>
      </c>
      <c r="V22" s="2262">
        <v>153120</v>
      </c>
      <c r="W22" s="2262"/>
      <c r="X22" s="2262"/>
      <c r="Y22" s="2269"/>
    </row>
    <row r="23" spans="1:25" ht="39.75" customHeight="1" x14ac:dyDescent="0.25">
      <c r="A23" s="380"/>
      <c r="B23" s="2289"/>
      <c r="C23" s="2292"/>
      <c r="D23" s="2292"/>
      <c r="E23" s="2292"/>
      <c r="F23" s="2292"/>
      <c r="G23" s="380"/>
      <c r="Q23" s="380"/>
      <c r="R23" s="380"/>
      <c r="T23" s="2252"/>
      <c r="U23" s="50" t="s">
        <v>61</v>
      </c>
      <c r="V23" s="2262">
        <v>120000</v>
      </c>
      <c r="W23" s="2262"/>
      <c r="X23" s="2262"/>
      <c r="Y23" s="2269"/>
    </row>
    <row r="24" spans="1:25" ht="48" customHeight="1" x14ac:dyDescent="0.25">
      <c r="A24" s="380"/>
      <c r="B24" s="2290"/>
      <c r="C24" s="290" t="s">
        <v>46</v>
      </c>
      <c r="D24" s="290" t="s">
        <v>50</v>
      </c>
      <c r="E24" s="290" t="s">
        <v>51</v>
      </c>
      <c r="F24" s="290" t="s">
        <v>52</v>
      </c>
      <c r="G24" s="380"/>
      <c r="Q24" s="380"/>
      <c r="R24" s="380"/>
      <c r="T24" s="2235" t="s">
        <v>47</v>
      </c>
      <c r="U24" s="51" t="s">
        <v>62</v>
      </c>
      <c r="V24" s="2263">
        <f>V14+V16+V17-V18-V19-V20-V22+V23-V21</f>
        <v>81.479999999981374</v>
      </c>
      <c r="W24" s="2263"/>
      <c r="X24" s="2263"/>
      <c r="Y24" s="2269"/>
    </row>
    <row r="25" spans="1:25" ht="40.5" customHeight="1" x14ac:dyDescent="0.25">
      <c r="T25" s="2235"/>
      <c r="U25" s="51" t="s">
        <v>63</v>
      </c>
      <c r="V25" s="2262">
        <f>V15+V22-V23</f>
        <v>41932</v>
      </c>
      <c r="W25" s="2262"/>
      <c r="X25" s="2262"/>
    </row>
    <row r="26" spans="1:25" ht="36" customHeight="1" x14ac:dyDescent="0.25">
      <c r="K26" s="314"/>
    </row>
    <row r="32" spans="1:25" x14ac:dyDescent="0.25">
      <c r="I32" s="2280"/>
      <c r="J32" s="2280"/>
      <c r="K32" s="2280"/>
      <c r="L32" s="2280"/>
    </row>
    <row r="33" spans="9:12" x14ac:dyDescent="0.25">
      <c r="I33" s="380"/>
      <c r="J33" s="380"/>
      <c r="K33" s="2280"/>
      <c r="L33" s="2280"/>
    </row>
  </sheetData>
  <mergeCells count="62">
    <mergeCell ref="A1:Y1"/>
    <mergeCell ref="A2:Y2"/>
    <mergeCell ref="T3:Y3"/>
    <mergeCell ref="A4:A5"/>
    <mergeCell ref="B4:B5"/>
    <mergeCell ref="C4:D4"/>
    <mergeCell ref="E4:F4"/>
    <mergeCell ref="G4:H4"/>
    <mergeCell ref="I4:J4"/>
    <mergeCell ref="K4:L4"/>
    <mergeCell ref="Y4:Y5"/>
    <mergeCell ref="M4:N4"/>
    <mergeCell ref="O4:P4"/>
    <mergeCell ref="Q4:R4"/>
    <mergeCell ref="S4:T4"/>
    <mergeCell ref="U4:V4"/>
    <mergeCell ref="W4:X4"/>
    <mergeCell ref="B16:C16"/>
    <mergeCell ref="Q16:R16"/>
    <mergeCell ref="T16:U16"/>
    <mergeCell ref="V16:X16"/>
    <mergeCell ref="A12:B12"/>
    <mergeCell ref="B14:C14"/>
    <mergeCell ref="Q14:R14"/>
    <mergeCell ref="T14:T15"/>
    <mergeCell ref="V14:X14"/>
    <mergeCell ref="B15:C15"/>
    <mergeCell ref="Q15:R15"/>
    <mergeCell ref="V15:X15"/>
    <mergeCell ref="B17:C17"/>
    <mergeCell ref="Q17:R17"/>
    <mergeCell ref="T17:U17"/>
    <mergeCell ref="V17:X17"/>
    <mergeCell ref="B18:C18"/>
    <mergeCell ref="Q18:R18"/>
    <mergeCell ref="T18:U18"/>
    <mergeCell ref="V18:X18"/>
    <mergeCell ref="Y18:Y24"/>
    <mergeCell ref="B19:C19"/>
    <mergeCell ref="Q19:R19"/>
    <mergeCell ref="T19:T20"/>
    <mergeCell ref="V19:X19"/>
    <mergeCell ref="B20:C20"/>
    <mergeCell ref="B22:B24"/>
    <mergeCell ref="C22:C23"/>
    <mergeCell ref="D22:D23"/>
    <mergeCell ref="E22:E23"/>
    <mergeCell ref="F22:F23"/>
    <mergeCell ref="Q20:R20"/>
    <mergeCell ref="V20:X20"/>
    <mergeCell ref="B21:C21"/>
    <mergeCell ref="T21:U21"/>
    <mergeCell ref="V21:X21"/>
    <mergeCell ref="I32:J32"/>
    <mergeCell ref="K32:L32"/>
    <mergeCell ref="K33:L33"/>
    <mergeCell ref="T22:T23"/>
    <mergeCell ref="V22:X22"/>
    <mergeCell ref="V23:X23"/>
    <mergeCell ref="T24:T25"/>
    <mergeCell ref="V24:X24"/>
    <mergeCell ref="V25:X25"/>
  </mergeCells>
  <pageMargins left="0.15748031496063" right="0.15748031496063" top="0" bottom="0" header="0" footer="0"/>
  <pageSetup paperSize="9" scale="47" orientation="landscape" r:id="rId1"/>
</worksheet>
</file>

<file path=xl/worksheets/sheet1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D26E665-03D7-47AB-AF63-B3A38A10870E}">
  <sheetPr>
    <pageSetUpPr fitToPage="1"/>
  </sheetPr>
  <dimension ref="A1:Y33"/>
  <sheetViews>
    <sheetView topLeftCell="D16" zoomScale="71" zoomScaleNormal="71" zoomScaleSheetLayoutView="100" workbookViewId="0">
      <selection activeCell="N24" sqref="N24"/>
    </sheetView>
  </sheetViews>
  <sheetFormatPr defaultColWidth="9.140625" defaultRowHeight="15" x14ac:dyDescent="0.25"/>
  <cols>
    <col min="1" max="1" width="18.28515625" style="14" customWidth="1"/>
    <col min="2" max="2" width="10.7109375" style="14" customWidth="1"/>
    <col min="3" max="3" width="12.28515625" style="14" customWidth="1"/>
    <col min="4" max="4" width="11" style="14" customWidth="1"/>
    <col min="5" max="5" width="12" style="14" customWidth="1"/>
    <col min="6" max="6" width="12.5703125" style="14" bestFit="1" customWidth="1"/>
    <col min="7" max="7" width="9.28515625" style="14" bestFit="1" customWidth="1"/>
    <col min="8" max="8" width="10.140625" style="14" bestFit="1" customWidth="1"/>
    <col min="9" max="9" width="10.5703125" style="14" bestFit="1" customWidth="1"/>
    <col min="10" max="10" width="10.5703125" style="14" customWidth="1"/>
    <col min="11" max="11" width="10.28515625" style="14" bestFit="1" customWidth="1"/>
    <col min="12" max="12" width="10.42578125" style="14" bestFit="1" customWidth="1"/>
    <col min="13" max="13" width="9.85546875" style="14" bestFit="1" customWidth="1"/>
    <col min="14" max="14" width="10.140625" style="14" bestFit="1" customWidth="1"/>
    <col min="15" max="15" width="9" style="14" customWidth="1"/>
    <col min="16" max="16" width="12.85546875" style="14" bestFit="1" customWidth="1"/>
    <col min="17" max="18" width="9.42578125" style="14" customWidth="1"/>
    <col min="19" max="19" width="13.7109375" style="14" customWidth="1"/>
    <col min="20" max="20" width="12.140625" style="14" customWidth="1"/>
    <col min="21" max="21" width="19.5703125" style="14" bestFit="1" customWidth="1"/>
    <col min="22" max="22" width="9.85546875" style="14" customWidth="1"/>
    <col min="23" max="23" width="10.140625" style="14" bestFit="1" customWidth="1"/>
    <col min="24" max="24" width="10.28515625" style="14" customWidth="1"/>
    <col min="25" max="25" width="28" style="14" customWidth="1"/>
    <col min="26" max="16384" width="9.140625" style="14"/>
  </cols>
  <sheetData>
    <row r="1" spans="1:25" ht="46.15" customHeight="1" x14ac:dyDescent="0.25">
      <c r="A1" s="2240" t="s">
        <v>148</v>
      </c>
      <c r="B1" s="2240"/>
      <c r="C1" s="2240"/>
      <c r="D1" s="2240"/>
      <c r="E1" s="2240"/>
      <c r="F1" s="2240"/>
      <c r="G1" s="2240"/>
      <c r="H1" s="2240"/>
      <c r="I1" s="2240"/>
      <c r="J1" s="2240"/>
      <c r="K1" s="2240"/>
      <c r="L1" s="2240"/>
      <c r="M1" s="2240"/>
      <c r="N1" s="2240"/>
      <c r="O1" s="2240"/>
      <c r="P1" s="2240"/>
      <c r="Q1" s="2240"/>
      <c r="R1" s="2240"/>
      <c r="S1" s="2240"/>
      <c r="T1" s="2240"/>
      <c r="U1" s="2240"/>
      <c r="V1" s="2240"/>
      <c r="W1" s="2240"/>
      <c r="X1" s="2240"/>
      <c r="Y1" s="2240"/>
    </row>
    <row r="2" spans="1:25" ht="21.6" customHeight="1" x14ac:dyDescent="0.25">
      <c r="A2" s="2241" t="s">
        <v>77</v>
      </c>
      <c r="B2" s="2241"/>
      <c r="C2" s="2241"/>
      <c r="D2" s="2241"/>
      <c r="E2" s="2241"/>
      <c r="F2" s="2241"/>
      <c r="G2" s="2241"/>
      <c r="H2" s="2241"/>
      <c r="I2" s="2241"/>
      <c r="J2" s="2241"/>
      <c r="K2" s="2241"/>
      <c r="L2" s="2241"/>
      <c r="M2" s="2241"/>
      <c r="N2" s="2241"/>
      <c r="O2" s="2241"/>
      <c r="P2" s="2241"/>
      <c r="Q2" s="2241"/>
      <c r="R2" s="2241"/>
      <c r="S2" s="2241"/>
      <c r="T2" s="2241"/>
      <c r="U2" s="2241"/>
      <c r="V2" s="2241"/>
      <c r="W2" s="2241"/>
      <c r="X2" s="2241"/>
      <c r="Y2" s="2241"/>
    </row>
    <row r="3" spans="1:25" ht="21" customHeight="1" x14ac:dyDescent="0.25">
      <c r="A3" s="375"/>
      <c r="B3" s="375"/>
      <c r="C3" s="375"/>
      <c r="D3" s="375"/>
      <c r="E3" s="375"/>
      <c r="F3" s="375"/>
      <c r="G3" s="375"/>
      <c r="H3" s="375"/>
      <c r="I3" s="375"/>
      <c r="J3" s="375"/>
      <c r="K3" s="375"/>
      <c r="L3" s="375"/>
      <c r="M3" s="375"/>
      <c r="N3" s="375"/>
      <c r="O3" s="375"/>
      <c r="P3" s="375"/>
      <c r="Q3" s="375"/>
      <c r="R3" s="375"/>
      <c r="S3" s="375"/>
      <c r="T3" s="2242" t="s">
        <v>314</v>
      </c>
      <c r="U3" s="2242"/>
      <c r="V3" s="2242"/>
      <c r="W3" s="2242"/>
      <c r="X3" s="2242"/>
      <c r="Y3" s="2242"/>
    </row>
    <row r="4" spans="1:25" s="375" customFormat="1" ht="18" customHeight="1" x14ac:dyDescent="0.25">
      <c r="A4" s="2243" t="s">
        <v>25</v>
      </c>
      <c r="B4" s="2243" t="s">
        <v>26</v>
      </c>
      <c r="C4" s="2244" t="s">
        <v>27</v>
      </c>
      <c r="D4" s="2244"/>
      <c r="E4" s="2244" t="s">
        <v>28</v>
      </c>
      <c r="F4" s="2244"/>
      <c r="G4" s="2244" t="s">
        <v>65</v>
      </c>
      <c r="H4" s="2244"/>
      <c r="I4" s="2244" t="s">
        <v>29</v>
      </c>
      <c r="J4" s="2244"/>
      <c r="K4" s="2245" t="s">
        <v>13</v>
      </c>
      <c r="L4" s="2246"/>
      <c r="M4" s="2245" t="s">
        <v>67</v>
      </c>
      <c r="N4" s="2246"/>
      <c r="O4" s="2245" t="s">
        <v>68</v>
      </c>
      <c r="P4" s="2246"/>
      <c r="Q4" s="2245" t="s">
        <v>114</v>
      </c>
      <c r="R4" s="2246"/>
      <c r="S4" s="2244" t="s">
        <v>35</v>
      </c>
      <c r="T4" s="2244"/>
      <c r="U4" s="2245" t="s">
        <v>17</v>
      </c>
      <c r="V4" s="2246"/>
      <c r="W4" s="2247" t="s">
        <v>36</v>
      </c>
      <c r="X4" s="2248"/>
      <c r="Y4" s="2238" t="s">
        <v>30</v>
      </c>
    </row>
    <row r="5" spans="1:25" s="375" customFormat="1" ht="25.5" customHeight="1" x14ac:dyDescent="0.25">
      <c r="A5" s="2243"/>
      <c r="B5" s="2243"/>
      <c r="C5" s="374" t="s">
        <v>42</v>
      </c>
      <c r="D5" s="374" t="s">
        <v>43</v>
      </c>
      <c r="E5" s="374" t="s">
        <v>42</v>
      </c>
      <c r="F5" s="374" t="s">
        <v>43</v>
      </c>
      <c r="G5" s="374" t="s">
        <v>42</v>
      </c>
      <c r="H5" s="374" t="s">
        <v>43</v>
      </c>
      <c r="I5" s="374" t="s">
        <v>42</v>
      </c>
      <c r="J5" s="374" t="s">
        <v>43</v>
      </c>
      <c r="K5" s="374" t="s">
        <v>42</v>
      </c>
      <c r="L5" s="374" t="s">
        <v>43</v>
      </c>
      <c r="M5" s="374" t="s">
        <v>42</v>
      </c>
      <c r="N5" s="374" t="s">
        <v>43</v>
      </c>
      <c r="O5" s="374" t="s">
        <v>42</v>
      </c>
      <c r="P5" s="374" t="s">
        <v>43</v>
      </c>
      <c r="Q5" s="374" t="s">
        <v>42</v>
      </c>
      <c r="R5" s="374" t="s">
        <v>43</v>
      </c>
      <c r="S5" s="33" t="s">
        <v>42</v>
      </c>
      <c r="T5" s="33" t="s">
        <v>43</v>
      </c>
      <c r="U5" s="30" t="s">
        <v>42</v>
      </c>
      <c r="V5" s="30" t="s">
        <v>43</v>
      </c>
      <c r="W5" s="30" t="s">
        <v>42</v>
      </c>
      <c r="X5" s="30" t="s">
        <v>43</v>
      </c>
      <c r="Y5" s="2239"/>
    </row>
    <row r="6" spans="1:25" ht="34.5" customHeight="1" x14ac:dyDescent="0.25">
      <c r="A6" s="12">
        <v>1409935200</v>
      </c>
      <c r="B6" s="373" t="s">
        <v>71</v>
      </c>
      <c r="C6" s="371">
        <v>41283</v>
      </c>
      <c r="D6" s="370">
        <f>0.9725*C6</f>
        <v>40147.717499999999</v>
      </c>
      <c r="E6" s="371"/>
      <c r="F6" s="371">
        <f>13.7*E6</f>
        <v>0</v>
      </c>
      <c r="G6" s="371">
        <v>10</v>
      </c>
      <c r="H6" s="371">
        <f>28.2*G6</f>
        <v>282</v>
      </c>
      <c r="I6" s="371">
        <v>440</v>
      </c>
      <c r="J6" s="371">
        <f>18.5*I6</f>
        <v>8140</v>
      </c>
      <c r="K6" s="371"/>
      <c r="L6" s="371">
        <f>19.5*K6</f>
        <v>0</v>
      </c>
      <c r="M6" s="371"/>
      <c r="N6" s="370">
        <f>M6*9.75</f>
        <v>0</v>
      </c>
      <c r="O6" s="371"/>
      <c r="P6" s="370">
        <f>O6*48.62</f>
        <v>0</v>
      </c>
      <c r="Q6" s="370"/>
      <c r="R6" s="370">
        <f>241*Q6</f>
        <v>0</v>
      </c>
      <c r="S6" s="371">
        <v>5</v>
      </c>
      <c r="T6" s="371">
        <f>241*S6</f>
        <v>1205</v>
      </c>
      <c r="U6" s="371"/>
      <c r="V6" s="371">
        <f>232*U6</f>
        <v>0</v>
      </c>
      <c r="W6" s="371"/>
      <c r="X6" s="19">
        <f>W6*100</f>
        <v>0</v>
      </c>
      <c r="Y6" s="89">
        <f t="shared" ref="Y6:Y11" si="0">D6+F6+H6+J6+L6+N6+P6+R6+T6+V6+X6</f>
        <v>49774.717499999999</v>
      </c>
    </row>
    <row r="7" spans="1:25" ht="31.5" customHeight="1" x14ac:dyDescent="0.25">
      <c r="A7" s="12">
        <v>1984225578</v>
      </c>
      <c r="B7" s="373" t="s">
        <v>72</v>
      </c>
      <c r="C7" s="371">
        <v>44180</v>
      </c>
      <c r="D7" s="370">
        <f t="shared" ref="D7:D11" si="1">0.9725*C7</f>
        <v>42965.05</v>
      </c>
      <c r="E7" s="371"/>
      <c r="F7" s="371">
        <f t="shared" ref="F7:F11" si="2">13.7*E7</f>
        <v>0</v>
      </c>
      <c r="G7" s="371"/>
      <c r="H7" s="371">
        <f t="shared" ref="H7:H11" si="3">28.2*G7</f>
        <v>0</v>
      </c>
      <c r="I7" s="371"/>
      <c r="J7" s="371">
        <f t="shared" ref="J7:J11" si="4">18.5*I7</f>
        <v>0</v>
      </c>
      <c r="K7" s="371"/>
      <c r="L7" s="371">
        <f t="shared" ref="L7:L11" si="5">19.5*K7</f>
        <v>0</v>
      </c>
      <c r="M7" s="371"/>
      <c r="N7" s="370">
        <f t="shared" ref="N7:N11" si="6">M7*9.75</f>
        <v>0</v>
      </c>
      <c r="O7" s="371"/>
      <c r="P7" s="370">
        <f t="shared" ref="P7:P11" si="7">O7*48.62</f>
        <v>0</v>
      </c>
      <c r="Q7" s="370"/>
      <c r="R7" s="370">
        <f t="shared" ref="R7:R11" si="8">241*Q7</f>
        <v>0</v>
      </c>
      <c r="S7" s="371">
        <v>15</v>
      </c>
      <c r="T7" s="371">
        <f t="shared" ref="T7:T11" si="9">241*S7</f>
        <v>3615</v>
      </c>
      <c r="U7" s="371"/>
      <c r="V7" s="371">
        <f t="shared" ref="V7:V11" si="10">232*U7</f>
        <v>0</v>
      </c>
      <c r="W7" s="371"/>
      <c r="X7" s="19">
        <f t="shared" ref="X7:X11" si="11">W7*100</f>
        <v>0</v>
      </c>
      <c r="Y7" s="89">
        <f t="shared" si="0"/>
        <v>46580.05</v>
      </c>
    </row>
    <row r="8" spans="1:25" ht="35.25" customHeight="1" x14ac:dyDescent="0.25">
      <c r="A8" s="12">
        <v>1967020280</v>
      </c>
      <c r="B8" s="373" t="s">
        <v>73</v>
      </c>
      <c r="C8" s="371">
        <v>24113</v>
      </c>
      <c r="D8" s="370">
        <f t="shared" si="1"/>
        <v>23449.892500000002</v>
      </c>
      <c r="E8" s="371"/>
      <c r="F8" s="371">
        <f t="shared" si="2"/>
        <v>0</v>
      </c>
      <c r="G8" s="371"/>
      <c r="H8" s="371">
        <f t="shared" si="3"/>
        <v>0</v>
      </c>
      <c r="I8" s="371"/>
      <c r="J8" s="371">
        <f t="shared" si="4"/>
        <v>0</v>
      </c>
      <c r="K8" s="371"/>
      <c r="L8" s="371">
        <f t="shared" si="5"/>
        <v>0</v>
      </c>
      <c r="M8" s="371"/>
      <c r="N8" s="370">
        <f t="shared" si="6"/>
        <v>0</v>
      </c>
      <c r="O8" s="371"/>
      <c r="P8" s="370">
        <f t="shared" si="7"/>
        <v>0</v>
      </c>
      <c r="Q8" s="370"/>
      <c r="R8" s="370">
        <f t="shared" si="8"/>
        <v>0</v>
      </c>
      <c r="S8" s="371"/>
      <c r="T8" s="371">
        <f t="shared" si="9"/>
        <v>0</v>
      </c>
      <c r="U8" s="371"/>
      <c r="V8" s="371">
        <f t="shared" si="10"/>
        <v>0</v>
      </c>
      <c r="W8" s="371"/>
      <c r="X8" s="19">
        <f t="shared" si="11"/>
        <v>0</v>
      </c>
      <c r="Y8" s="89">
        <f t="shared" si="0"/>
        <v>23449.892500000002</v>
      </c>
    </row>
    <row r="9" spans="1:25" ht="38.25" customHeight="1" x14ac:dyDescent="0.25">
      <c r="A9" s="12">
        <v>1984225580</v>
      </c>
      <c r="B9" s="373" t="s">
        <v>75</v>
      </c>
      <c r="C9" s="371">
        <v>76584</v>
      </c>
      <c r="D9" s="370">
        <f t="shared" si="1"/>
        <v>74477.94</v>
      </c>
      <c r="E9" s="371"/>
      <c r="F9" s="371">
        <f t="shared" si="2"/>
        <v>0</v>
      </c>
      <c r="G9" s="371">
        <v>120</v>
      </c>
      <c r="H9" s="371">
        <f t="shared" si="3"/>
        <v>3384</v>
      </c>
      <c r="I9" s="371"/>
      <c r="J9" s="371">
        <f t="shared" si="4"/>
        <v>0</v>
      </c>
      <c r="K9" s="371"/>
      <c r="L9" s="371">
        <f t="shared" si="5"/>
        <v>0</v>
      </c>
      <c r="M9" s="371"/>
      <c r="N9" s="370">
        <f t="shared" si="6"/>
        <v>0</v>
      </c>
      <c r="O9" s="371"/>
      <c r="P9" s="370">
        <f t="shared" si="7"/>
        <v>0</v>
      </c>
      <c r="Q9" s="370"/>
      <c r="R9" s="370">
        <f t="shared" si="8"/>
        <v>0</v>
      </c>
      <c r="S9" s="371">
        <v>15</v>
      </c>
      <c r="T9" s="371">
        <f t="shared" si="9"/>
        <v>3615</v>
      </c>
      <c r="U9" s="371">
        <v>5</v>
      </c>
      <c r="V9" s="371">
        <f t="shared" si="10"/>
        <v>1160</v>
      </c>
      <c r="W9" s="371"/>
      <c r="X9" s="19">
        <f t="shared" si="11"/>
        <v>0</v>
      </c>
      <c r="Y9" s="89">
        <f t="shared" si="0"/>
        <v>82636.94</v>
      </c>
    </row>
    <row r="10" spans="1:25" ht="35.25" customHeight="1" x14ac:dyDescent="0.25">
      <c r="A10" s="12">
        <v>1409935199</v>
      </c>
      <c r="C10" s="371">
        <v>3585</v>
      </c>
      <c r="D10" s="370">
        <f t="shared" si="1"/>
        <v>3486.4124999999999</v>
      </c>
      <c r="E10" s="371"/>
      <c r="F10" s="371">
        <f t="shared" si="2"/>
        <v>0</v>
      </c>
      <c r="G10" s="371"/>
      <c r="H10" s="371">
        <f t="shared" si="3"/>
        <v>0</v>
      </c>
      <c r="I10" s="371"/>
      <c r="J10" s="371">
        <f t="shared" si="4"/>
        <v>0</v>
      </c>
      <c r="K10" s="371"/>
      <c r="L10" s="371">
        <f t="shared" si="5"/>
        <v>0</v>
      </c>
      <c r="M10" s="371"/>
      <c r="N10" s="370">
        <f t="shared" si="6"/>
        <v>0</v>
      </c>
      <c r="O10" s="371"/>
      <c r="P10" s="370">
        <f t="shared" si="7"/>
        <v>0</v>
      </c>
      <c r="Q10" s="370"/>
      <c r="R10" s="370">
        <f t="shared" si="8"/>
        <v>0</v>
      </c>
      <c r="S10" s="371"/>
      <c r="T10" s="371">
        <f t="shared" si="9"/>
        <v>0</v>
      </c>
      <c r="U10" s="371"/>
      <c r="V10" s="371">
        <f t="shared" si="10"/>
        <v>0</v>
      </c>
      <c r="W10" s="371"/>
      <c r="X10" s="19">
        <f t="shared" si="11"/>
        <v>0</v>
      </c>
      <c r="Y10" s="89">
        <f t="shared" si="0"/>
        <v>3486.4124999999999</v>
      </c>
    </row>
    <row r="11" spans="1:25" ht="37.5" customHeight="1" x14ac:dyDescent="0.25">
      <c r="A11" s="12"/>
      <c r="B11" s="372"/>
      <c r="C11" s="371"/>
      <c r="D11" s="22">
        <f t="shared" si="1"/>
        <v>0</v>
      </c>
      <c r="E11" s="371"/>
      <c r="F11" s="371">
        <f t="shared" si="2"/>
        <v>0</v>
      </c>
      <c r="G11" s="371"/>
      <c r="H11" s="371">
        <f t="shared" si="3"/>
        <v>0</v>
      </c>
      <c r="I11" s="371"/>
      <c r="J11" s="371">
        <f t="shared" si="4"/>
        <v>0</v>
      </c>
      <c r="K11" s="371"/>
      <c r="L11" s="371">
        <f t="shared" si="5"/>
        <v>0</v>
      </c>
      <c r="M11" s="371"/>
      <c r="N11" s="370">
        <f t="shared" si="6"/>
        <v>0</v>
      </c>
      <c r="O11" s="371"/>
      <c r="P11" s="370">
        <f t="shared" si="7"/>
        <v>0</v>
      </c>
      <c r="Q11" s="370"/>
      <c r="R11" s="370">
        <f t="shared" si="8"/>
        <v>0</v>
      </c>
      <c r="S11" s="371">
        <v>758</v>
      </c>
      <c r="T11" s="371">
        <f t="shared" si="9"/>
        <v>182678</v>
      </c>
      <c r="U11" s="371"/>
      <c r="V11" s="371">
        <f t="shared" si="10"/>
        <v>0</v>
      </c>
      <c r="W11" s="371"/>
      <c r="X11" s="19">
        <f t="shared" si="11"/>
        <v>0</v>
      </c>
      <c r="Y11" s="20">
        <f t="shared" si="0"/>
        <v>182678</v>
      </c>
    </row>
    <row r="12" spans="1:25" ht="29.25" customHeight="1" x14ac:dyDescent="0.25">
      <c r="A12" s="2235" t="s">
        <v>31</v>
      </c>
      <c r="B12" s="2235"/>
      <c r="C12" s="18">
        <f t="shared" ref="C12:Y12" si="12">SUM(C6:C11)</f>
        <v>189745</v>
      </c>
      <c r="D12" s="18">
        <f t="shared" si="12"/>
        <v>184527.01250000001</v>
      </c>
      <c r="E12" s="18">
        <f t="shared" si="12"/>
        <v>0</v>
      </c>
      <c r="F12" s="18">
        <f t="shared" si="12"/>
        <v>0</v>
      </c>
      <c r="G12" s="18">
        <f t="shared" si="12"/>
        <v>130</v>
      </c>
      <c r="H12" s="18">
        <f t="shared" si="12"/>
        <v>3666</v>
      </c>
      <c r="I12" s="18">
        <f t="shared" si="12"/>
        <v>440</v>
      </c>
      <c r="J12" s="18">
        <f t="shared" si="12"/>
        <v>8140</v>
      </c>
      <c r="K12" s="18">
        <f t="shared" si="12"/>
        <v>0</v>
      </c>
      <c r="L12" s="18">
        <f t="shared" si="12"/>
        <v>0</v>
      </c>
      <c r="M12" s="18">
        <f t="shared" si="12"/>
        <v>0</v>
      </c>
      <c r="N12" s="23">
        <f t="shared" si="12"/>
        <v>0</v>
      </c>
      <c r="O12" s="18">
        <f t="shared" si="12"/>
        <v>0</v>
      </c>
      <c r="P12" s="23">
        <f t="shared" si="12"/>
        <v>0</v>
      </c>
      <c r="Q12" s="23">
        <f t="shared" si="12"/>
        <v>0</v>
      </c>
      <c r="R12" s="23">
        <f>SUM(R6:R11)</f>
        <v>0</v>
      </c>
      <c r="S12" s="18">
        <f t="shared" si="12"/>
        <v>793</v>
      </c>
      <c r="T12" s="18">
        <f t="shared" si="12"/>
        <v>191113</v>
      </c>
      <c r="U12" s="18">
        <f t="shared" si="12"/>
        <v>5</v>
      </c>
      <c r="V12" s="18">
        <f t="shared" si="12"/>
        <v>1160</v>
      </c>
      <c r="W12" s="18">
        <f t="shared" si="12"/>
        <v>0</v>
      </c>
      <c r="X12" s="18">
        <f t="shared" si="12"/>
        <v>0</v>
      </c>
      <c r="Y12" s="18">
        <f t="shared" si="12"/>
        <v>388606.01250000001</v>
      </c>
    </row>
    <row r="14" spans="1:25" ht="41.25" customHeight="1" x14ac:dyDescent="0.25">
      <c r="A14" s="30" t="s">
        <v>32</v>
      </c>
      <c r="B14" s="2236" t="s">
        <v>27</v>
      </c>
      <c r="C14" s="2236"/>
      <c r="D14" s="30" t="s">
        <v>33</v>
      </c>
      <c r="E14" s="30" t="s">
        <v>65</v>
      </c>
      <c r="F14" s="30" t="s">
        <v>34</v>
      </c>
      <c r="G14" s="30" t="s">
        <v>13</v>
      </c>
      <c r="H14" s="142" t="s">
        <v>173</v>
      </c>
      <c r="I14" s="30" t="s">
        <v>17</v>
      </c>
      <c r="J14" s="379" t="s">
        <v>174</v>
      </c>
      <c r="K14" s="30" t="s">
        <v>36</v>
      </c>
      <c r="L14" s="30" t="s">
        <v>175</v>
      </c>
      <c r="M14" s="30" t="s">
        <v>69</v>
      </c>
      <c r="N14" s="30" t="s">
        <v>70</v>
      </c>
      <c r="O14" s="379" t="s">
        <v>114</v>
      </c>
      <c r="P14" s="379" t="s">
        <v>301</v>
      </c>
      <c r="Q14" s="2272"/>
      <c r="R14" s="2272"/>
      <c r="S14" s="379"/>
      <c r="T14" s="2235" t="s">
        <v>46</v>
      </c>
      <c r="U14" s="373" t="s">
        <v>176</v>
      </c>
      <c r="V14" s="2260">
        <v>81</v>
      </c>
      <c r="W14" s="2268"/>
      <c r="X14" s="2261"/>
    </row>
    <row r="15" spans="1:25" ht="22.5" customHeight="1" x14ac:dyDescent="0.25">
      <c r="A15" s="100" t="s">
        <v>38</v>
      </c>
      <c r="B15" s="2260">
        <v>555673</v>
      </c>
      <c r="C15" s="2261"/>
      <c r="D15" s="376">
        <v>0</v>
      </c>
      <c r="E15" s="376">
        <v>4320</v>
      </c>
      <c r="F15" s="376">
        <v>1440</v>
      </c>
      <c r="G15" s="376">
        <v>0</v>
      </c>
      <c r="H15" s="376">
        <v>402</v>
      </c>
      <c r="I15" s="376">
        <v>30</v>
      </c>
      <c r="J15" s="376">
        <v>111</v>
      </c>
      <c r="K15" s="376">
        <v>68</v>
      </c>
      <c r="L15" s="376">
        <v>810</v>
      </c>
      <c r="M15" s="376">
        <v>0</v>
      </c>
      <c r="N15" s="376">
        <v>100</v>
      </c>
      <c r="O15" s="376">
        <v>0</v>
      </c>
      <c r="P15" s="376">
        <v>564</v>
      </c>
      <c r="Q15" s="2262"/>
      <c r="R15" s="2262"/>
      <c r="S15" s="373">
        <v>0</v>
      </c>
      <c r="T15" s="2235"/>
      <c r="U15" s="373" t="s">
        <v>64</v>
      </c>
      <c r="V15" s="2262">
        <v>41932</v>
      </c>
      <c r="W15" s="2262"/>
      <c r="X15" s="2262"/>
    </row>
    <row r="16" spans="1:25" ht="24.75" customHeight="1" x14ac:dyDescent="0.25">
      <c r="A16" s="100" t="s">
        <v>39</v>
      </c>
      <c r="B16" s="2260">
        <v>93506</v>
      </c>
      <c r="C16" s="2261"/>
      <c r="D16" s="376"/>
      <c r="E16" s="376"/>
      <c r="F16" s="376"/>
      <c r="G16" s="376"/>
      <c r="H16" s="376"/>
      <c r="I16" s="376"/>
      <c r="J16" s="376">
        <v>50</v>
      </c>
      <c r="K16" s="376"/>
      <c r="L16" s="376">
        <v>95</v>
      </c>
      <c r="M16" s="376"/>
      <c r="N16" s="376"/>
      <c r="O16" s="376"/>
      <c r="P16" s="376"/>
      <c r="Q16" s="2225"/>
      <c r="R16" s="2225"/>
      <c r="S16" s="376"/>
      <c r="T16" s="2254" t="s">
        <v>55</v>
      </c>
      <c r="U16" s="2254"/>
      <c r="V16" s="2267">
        <f>Y12</f>
        <v>388606.01250000001</v>
      </c>
      <c r="W16" s="2267"/>
      <c r="X16" s="2262"/>
    </row>
    <row r="17" spans="1:25" ht="28.5" customHeight="1" x14ac:dyDescent="0.25">
      <c r="A17" s="101" t="s">
        <v>44</v>
      </c>
      <c r="B17" s="2260">
        <v>4935</v>
      </c>
      <c r="C17" s="2261"/>
      <c r="D17" s="376"/>
      <c r="E17" s="376"/>
      <c r="F17" s="376"/>
      <c r="G17" s="376"/>
      <c r="H17" s="376"/>
      <c r="I17" s="376"/>
      <c r="J17" s="376"/>
      <c r="K17" s="376"/>
      <c r="L17" s="376"/>
      <c r="M17" s="376"/>
      <c r="N17" s="376"/>
      <c r="O17" s="376"/>
      <c r="P17" s="376"/>
      <c r="Q17" s="2225"/>
      <c r="R17" s="2225"/>
      <c r="S17" s="372"/>
      <c r="T17" s="2294"/>
      <c r="U17" s="2295"/>
      <c r="V17" s="2296"/>
      <c r="W17" s="2296"/>
      <c r="X17" s="2296"/>
    </row>
    <row r="18" spans="1:25" ht="27" customHeight="1" x14ac:dyDescent="0.25">
      <c r="A18" s="100" t="s">
        <v>40</v>
      </c>
      <c r="B18" s="2264">
        <f>C12</f>
        <v>189745</v>
      </c>
      <c r="C18" s="2261"/>
      <c r="D18" s="378">
        <f>E12</f>
        <v>0</v>
      </c>
      <c r="E18" s="378">
        <f>G12</f>
        <v>130</v>
      </c>
      <c r="F18" s="378">
        <f>I12</f>
        <v>440</v>
      </c>
      <c r="G18" s="378">
        <f>K12</f>
        <v>0</v>
      </c>
      <c r="H18" s="376">
        <v>180</v>
      </c>
      <c r="I18" s="378">
        <f>U12</f>
        <v>5</v>
      </c>
      <c r="J18" s="376">
        <v>55</v>
      </c>
      <c r="K18" s="378">
        <f>W12</f>
        <v>0</v>
      </c>
      <c r="L18" s="376">
        <v>155</v>
      </c>
      <c r="M18" s="378">
        <f>M12</f>
        <v>0</v>
      </c>
      <c r="N18" s="378">
        <f>O12</f>
        <v>0</v>
      </c>
      <c r="O18" s="377">
        <f>Q12</f>
        <v>0</v>
      </c>
      <c r="P18" s="376">
        <v>548</v>
      </c>
      <c r="Q18" s="2262"/>
      <c r="R18" s="2262"/>
      <c r="S18" s="373"/>
      <c r="T18" s="2254" t="s">
        <v>57</v>
      </c>
      <c r="U18" s="2254"/>
      <c r="V18" s="2262">
        <f>68473+137519</f>
        <v>205992</v>
      </c>
      <c r="W18" s="2262"/>
      <c r="X18" s="2262"/>
      <c r="Y18" s="2269" t="s">
        <v>291</v>
      </c>
    </row>
    <row r="19" spans="1:25" ht="25.5" customHeight="1" x14ac:dyDescent="0.25">
      <c r="A19" s="100" t="s">
        <v>41</v>
      </c>
      <c r="B19" s="2260">
        <f>B15+B16+B17-B18</f>
        <v>464369</v>
      </c>
      <c r="C19" s="2261"/>
      <c r="D19" s="376">
        <f>D15+D16+D17-D18</f>
        <v>0</v>
      </c>
      <c r="E19" s="376">
        <f t="shared" ref="E19:N19" si="13">E15+E16+E17-E18</f>
        <v>4190</v>
      </c>
      <c r="F19" s="376">
        <f t="shared" si="13"/>
        <v>1000</v>
      </c>
      <c r="G19" s="376">
        <f t="shared" si="13"/>
        <v>0</v>
      </c>
      <c r="H19" s="376">
        <f t="shared" si="13"/>
        <v>222</v>
      </c>
      <c r="I19" s="376">
        <f t="shared" si="13"/>
        <v>25</v>
      </c>
      <c r="J19" s="376">
        <f t="shared" si="13"/>
        <v>106</v>
      </c>
      <c r="K19" s="376">
        <f t="shared" si="13"/>
        <v>68</v>
      </c>
      <c r="L19" s="376">
        <f t="shared" si="13"/>
        <v>750</v>
      </c>
      <c r="M19" s="376">
        <f t="shared" si="13"/>
        <v>0</v>
      </c>
      <c r="N19" s="376">
        <f t="shared" si="13"/>
        <v>100</v>
      </c>
      <c r="O19" s="376">
        <f>O15+O16+O17-O18</f>
        <v>0</v>
      </c>
      <c r="P19" s="376">
        <f>P15+P16+P17-P18</f>
        <v>16</v>
      </c>
      <c r="Q19" s="2260">
        <f t="shared" ref="Q19" si="14">Q15+Q16+Q17-Q18</f>
        <v>0</v>
      </c>
      <c r="R19" s="2261"/>
      <c r="S19" s="373">
        <f>S15+S16-S17-S18</f>
        <v>0</v>
      </c>
      <c r="T19" s="2256" t="s">
        <v>48</v>
      </c>
      <c r="U19" s="49" t="s">
        <v>58</v>
      </c>
      <c r="V19" s="2262">
        <v>120000</v>
      </c>
      <c r="W19" s="2262"/>
      <c r="X19" s="2262"/>
      <c r="Y19" s="2269"/>
    </row>
    <row r="20" spans="1:25" ht="23.25" customHeight="1" x14ac:dyDescent="0.25">
      <c r="A20" s="289" t="s">
        <v>187</v>
      </c>
      <c r="B20" s="2286">
        <f>B19*0.9625</f>
        <v>446955.16250000003</v>
      </c>
      <c r="C20" s="2287"/>
      <c r="D20" s="290">
        <f>D19*13.56</f>
        <v>0</v>
      </c>
      <c r="E20" s="290">
        <f>28.2*E19</f>
        <v>118158</v>
      </c>
      <c r="F20" s="290">
        <f>18.31*F19</f>
        <v>18310</v>
      </c>
      <c r="G20" s="290">
        <f>19.3*G19</f>
        <v>0</v>
      </c>
      <c r="H20" s="290">
        <f>241*H19</f>
        <v>53502</v>
      </c>
      <c r="I20" s="290">
        <f>223*I19</f>
        <v>5575</v>
      </c>
      <c r="J20" s="290">
        <f>241*J19</f>
        <v>25546</v>
      </c>
      <c r="K20" s="290">
        <f>K19*100</f>
        <v>6800</v>
      </c>
      <c r="L20" s="290">
        <f>241*L19</f>
        <v>180750</v>
      </c>
      <c r="M20" s="290">
        <f>9.65*M19</f>
        <v>0</v>
      </c>
      <c r="N20" s="290">
        <f>N19*48.2</f>
        <v>4820</v>
      </c>
      <c r="O20" s="290">
        <f>241*O19</f>
        <v>0</v>
      </c>
      <c r="P20" s="290">
        <f>241*P19</f>
        <v>3856</v>
      </c>
      <c r="Q20" s="2286">
        <f>241*Q19</f>
        <v>0</v>
      </c>
      <c r="R20" s="2287"/>
      <c r="S20" s="290">
        <f>241*S19</f>
        <v>0</v>
      </c>
      <c r="T20" s="2257"/>
      <c r="U20" s="49" t="s">
        <v>59</v>
      </c>
      <c r="V20" s="2262"/>
      <c r="W20" s="2262"/>
      <c r="X20" s="2262"/>
      <c r="Y20" s="2269"/>
    </row>
    <row r="21" spans="1:25" ht="32.25" customHeight="1" x14ac:dyDescent="0.25">
      <c r="A21" s="291" t="s">
        <v>186</v>
      </c>
      <c r="B21" s="2293">
        <f>SUM(B20:S20)</f>
        <v>864272.16250000009</v>
      </c>
      <c r="C21" s="2293"/>
      <c r="O21" s="380"/>
      <c r="P21" s="380"/>
      <c r="Q21" s="380"/>
      <c r="R21" s="380"/>
      <c r="T21" s="2294" t="s">
        <v>315</v>
      </c>
      <c r="U21" s="2295"/>
      <c r="V21" s="2297">
        <v>36000</v>
      </c>
      <c r="W21" s="2298"/>
      <c r="X21" s="2299"/>
      <c r="Y21" s="2269"/>
    </row>
    <row r="22" spans="1:25" ht="35.25" customHeight="1" x14ac:dyDescent="0.25">
      <c r="A22" s="15"/>
      <c r="B22" s="2288" t="s">
        <v>49</v>
      </c>
      <c r="C22" s="2291">
        <v>655509</v>
      </c>
      <c r="D22" s="2291">
        <v>120000</v>
      </c>
      <c r="E22" s="2291">
        <v>90000</v>
      </c>
      <c r="F22" s="2291">
        <f>C22-D22+E22</f>
        <v>625509</v>
      </c>
      <c r="G22" s="380"/>
      <c r="Q22" s="380"/>
      <c r="R22" s="380"/>
      <c r="T22" s="2251" t="s">
        <v>83</v>
      </c>
      <c r="U22" s="50" t="s">
        <v>60</v>
      </c>
      <c r="V22" s="2262">
        <v>143350</v>
      </c>
      <c r="W22" s="2262"/>
      <c r="X22" s="2262"/>
      <c r="Y22" s="2269"/>
    </row>
    <row r="23" spans="1:25" ht="39.75" customHeight="1" x14ac:dyDescent="0.25">
      <c r="A23" s="380"/>
      <c r="B23" s="2289"/>
      <c r="C23" s="2292"/>
      <c r="D23" s="2292"/>
      <c r="E23" s="2292"/>
      <c r="F23" s="2292"/>
      <c r="G23" s="380"/>
      <c r="Q23" s="380"/>
      <c r="R23" s="380"/>
      <c r="T23" s="2252"/>
      <c r="U23" s="50" t="s">
        <v>61</v>
      </c>
      <c r="V23" s="2262">
        <v>120000</v>
      </c>
      <c r="W23" s="2262"/>
      <c r="X23" s="2262"/>
      <c r="Y23" s="2269"/>
    </row>
    <row r="24" spans="1:25" ht="48" customHeight="1" x14ac:dyDescent="0.25">
      <c r="A24" s="380"/>
      <c r="B24" s="2290"/>
      <c r="C24" s="290" t="s">
        <v>46</v>
      </c>
      <c r="D24" s="290" t="s">
        <v>50</v>
      </c>
      <c r="E24" s="290" t="s">
        <v>51</v>
      </c>
      <c r="F24" s="290" t="s">
        <v>52</v>
      </c>
      <c r="G24" s="380"/>
      <c r="Q24" s="380"/>
      <c r="R24" s="380"/>
      <c r="T24" s="2235" t="s">
        <v>47</v>
      </c>
      <c r="U24" s="51" t="s">
        <v>62</v>
      </c>
      <c r="V24" s="2263">
        <f>V14+V16+V17-V18-V19-V20-V22+V23-V21</f>
        <v>3345.0125000000116</v>
      </c>
      <c r="W24" s="2263"/>
      <c r="X24" s="2263"/>
      <c r="Y24" s="2269"/>
    </row>
    <row r="25" spans="1:25" ht="40.5" customHeight="1" x14ac:dyDescent="0.25">
      <c r="T25" s="2235"/>
      <c r="U25" s="51" t="s">
        <v>63</v>
      </c>
      <c r="V25" s="2262">
        <f>V15+V22-V23</f>
        <v>65282</v>
      </c>
      <c r="W25" s="2262"/>
      <c r="X25" s="2262"/>
    </row>
    <row r="26" spans="1:25" ht="36" customHeight="1" x14ac:dyDescent="0.25">
      <c r="K26" s="314"/>
    </row>
    <row r="32" spans="1:25" x14ac:dyDescent="0.25">
      <c r="I32" s="2280"/>
      <c r="J32" s="2280"/>
      <c r="K32" s="2280"/>
      <c r="L32" s="2280"/>
    </row>
    <row r="33" spans="9:12" x14ac:dyDescent="0.25">
      <c r="I33" s="380"/>
      <c r="J33" s="380"/>
      <c r="K33" s="2280"/>
      <c r="L33" s="2280"/>
    </row>
  </sheetData>
  <mergeCells count="62">
    <mergeCell ref="A1:Y1"/>
    <mergeCell ref="A2:Y2"/>
    <mergeCell ref="T3:Y3"/>
    <mergeCell ref="A4:A5"/>
    <mergeCell ref="B4:B5"/>
    <mergeCell ref="C4:D4"/>
    <mergeCell ref="E4:F4"/>
    <mergeCell ref="G4:H4"/>
    <mergeCell ref="I4:J4"/>
    <mergeCell ref="K4:L4"/>
    <mergeCell ref="Y4:Y5"/>
    <mergeCell ref="M4:N4"/>
    <mergeCell ref="O4:P4"/>
    <mergeCell ref="Q4:R4"/>
    <mergeCell ref="S4:T4"/>
    <mergeCell ref="U4:V4"/>
    <mergeCell ref="W4:X4"/>
    <mergeCell ref="B16:C16"/>
    <mergeCell ref="Q16:R16"/>
    <mergeCell ref="T16:U16"/>
    <mergeCell ref="V16:X16"/>
    <mergeCell ref="A12:B12"/>
    <mergeCell ref="B14:C14"/>
    <mergeCell ref="Q14:R14"/>
    <mergeCell ref="T14:T15"/>
    <mergeCell ref="V14:X14"/>
    <mergeCell ref="B15:C15"/>
    <mergeCell ref="Q15:R15"/>
    <mergeCell ref="V15:X15"/>
    <mergeCell ref="B17:C17"/>
    <mergeCell ref="Q17:R17"/>
    <mergeCell ref="T17:U17"/>
    <mergeCell ref="V17:X17"/>
    <mergeCell ref="B18:C18"/>
    <mergeCell ref="Q18:R18"/>
    <mergeCell ref="T18:U18"/>
    <mergeCell ref="V18:X18"/>
    <mergeCell ref="Y18:Y24"/>
    <mergeCell ref="B19:C19"/>
    <mergeCell ref="Q19:R19"/>
    <mergeCell ref="T19:T20"/>
    <mergeCell ref="V19:X19"/>
    <mergeCell ref="B20:C20"/>
    <mergeCell ref="B22:B24"/>
    <mergeCell ref="C22:C23"/>
    <mergeCell ref="D22:D23"/>
    <mergeCell ref="E22:E23"/>
    <mergeCell ref="F22:F23"/>
    <mergeCell ref="Q20:R20"/>
    <mergeCell ref="V20:X20"/>
    <mergeCell ref="B21:C21"/>
    <mergeCell ref="T21:U21"/>
    <mergeCell ref="V21:X21"/>
    <mergeCell ref="I32:J32"/>
    <mergeCell ref="K32:L32"/>
    <mergeCell ref="K33:L33"/>
    <mergeCell ref="T22:T23"/>
    <mergeCell ref="V22:X22"/>
    <mergeCell ref="V23:X23"/>
    <mergeCell ref="T24:T25"/>
    <mergeCell ref="V24:X24"/>
    <mergeCell ref="V25:X25"/>
  </mergeCells>
  <pageMargins left="0.15748031496063" right="0.15748031496063" top="0" bottom="0" header="0" footer="0"/>
  <pageSetup paperSize="9" scale="47" orientation="landscape" r:id="rId1"/>
</worksheet>
</file>

<file path=xl/worksheets/sheet1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BB05643-F259-4B69-A5E7-05E8906957DE}">
  <sheetPr>
    <pageSetUpPr fitToPage="1"/>
  </sheetPr>
  <dimension ref="A1:Y33"/>
  <sheetViews>
    <sheetView topLeftCell="A10" zoomScale="70" zoomScaleNormal="70" zoomScaleSheetLayoutView="100" workbookViewId="0">
      <selection activeCell="J25" sqref="J25"/>
    </sheetView>
  </sheetViews>
  <sheetFormatPr defaultColWidth="9.140625" defaultRowHeight="15" x14ac:dyDescent="0.25"/>
  <cols>
    <col min="1" max="1" width="18.28515625" style="14" customWidth="1"/>
    <col min="2" max="2" width="10.7109375" style="14" customWidth="1"/>
    <col min="3" max="3" width="12.28515625" style="14" customWidth="1"/>
    <col min="4" max="4" width="11" style="14" customWidth="1"/>
    <col min="5" max="5" width="12" style="14" customWidth="1"/>
    <col min="6" max="6" width="12.5703125" style="14" bestFit="1" customWidth="1"/>
    <col min="7" max="7" width="9.28515625" style="14" bestFit="1" customWidth="1"/>
    <col min="8" max="8" width="10.140625" style="14" bestFit="1" customWidth="1"/>
    <col min="9" max="9" width="10.5703125" style="14" bestFit="1" customWidth="1"/>
    <col min="10" max="10" width="10.5703125" style="14" customWidth="1"/>
    <col min="11" max="11" width="10.28515625" style="14" bestFit="1" customWidth="1"/>
    <col min="12" max="12" width="10.42578125" style="14" bestFit="1" customWidth="1"/>
    <col min="13" max="13" width="9.85546875" style="14" bestFit="1" customWidth="1"/>
    <col min="14" max="14" width="10.140625" style="14" bestFit="1" customWidth="1"/>
    <col min="15" max="15" width="9" style="14" customWidth="1"/>
    <col min="16" max="16" width="12.85546875" style="14" bestFit="1" customWidth="1"/>
    <col min="17" max="18" width="9.42578125" style="14" customWidth="1"/>
    <col min="19" max="19" width="13.7109375" style="14" customWidth="1"/>
    <col min="20" max="20" width="12.140625" style="14" customWidth="1"/>
    <col min="21" max="21" width="19.5703125" style="14" bestFit="1" customWidth="1"/>
    <col min="22" max="22" width="9.85546875" style="14" customWidth="1"/>
    <col min="23" max="23" width="10.140625" style="14" bestFit="1" customWidth="1"/>
    <col min="24" max="24" width="10.28515625" style="14" customWidth="1"/>
    <col min="25" max="25" width="28" style="14" customWidth="1"/>
    <col min="26" max="16384" width="9.140625" style="14"/>
  </cols>
  <sheetData>
    <row r="1" spans="1:25" ht="46.15" customHeight="1" x14ac:dyDescent="0.25">
      <c r="A1" s="2240" t="s">
        <v>148</v>
      </c>
      <c r="B1" s="2240"/>
      <c r="C1" s="2240"/>
      <c r="D1" s="2240"/>
      <c r="E1" s="2240"/>
      <c r="F1" s="2240"/>
      <c r="G1" s="2240"/>
      <c r="H1" s="2240"/>
      <c r="I1" s="2240"/>
      <c r="J1" s="2240"/>
      <c r="K1" s="2240"/>
      <c r="L1" s="2240"/>
      <c r="M1" s="2240"/>
      <c r="N1" s="2240"/>
      <c r="O1" s="2240"/>
      <c r="P1" s="2240"/>
      <c r="Q1" s="2240"/>
      <c r="R1" s="2240"/>
      <c r="S1" s="2240"/>
      <c r="T1" s="2240"/>
      <c r="U1" s="2240"/>
      <c r="V1" s="2240"/>
      <c r="W1" s="2240"/>
      <c r="X1" s="2240"/>
      <c r="Y1" s="2240"/>
    </row>
    <row r="2" spans="1:25" ht="21.6" customHeight="1" x14ac:dyDescent="0.25">
      <c r="A2" s="2241" t="s">
        <v>77</v>
      </c>
      <c r="B2" s="2241"/>
      <c r="C2" s="2241"/>
      <c r="D2" s="2241"/>
      <c r="E2" s="2241"/>
      <c r="F2" s="2241"/>
      <c r="G2" s="2241"/>
      <c r="H2" s="2241"/>
      <c r="I2" s="2241"/>
      <c r="J2" s="2241"/>
      <c r="K2" s="2241"/>
      <c r="L2" s="2241"/>
      <c r="M2" s="2241"/>
      <c r="N2" s="2241"/>
      <c r="O2" s="2241"/>
      <c r="P2" s="2241"/>
      <c r="Q2" s="2241"/>
      <c r="R2" s="2241"/>
      <c r="S2" s="2241"/>
      <c r="T2" s="2241"/>
      <c r="U2" s="2241"/>
      <c r="V2" s="2241"/>
      <c r="W2" s="2241"/>
      <c r="X2" s="2241"/>
      <c r="Y2" s="2241"/>
    </row>
    <row r="3" spans="1:25" ht="21" customHeight="1" x14ac:dyDescent="0.25">
      <c r="A3" s="375"/>
      <c r="B3" s="375"/>
      <c r="C3" s="375"/>
      <c r="D3" s="375"/>
      <c r="E3" s="375"/>
      <c r="F3" s="375"/>
      <c r="G3" s="375"/>
      <c r="H3" s="375"/>
      <c r="I3" s="375"/>
      <c r="J3" s="375"/>
      <c r="K3" s="375"/>
      <c r="L3" s="375"/>
      <c r="M3" s="375"/>
      <c r="N3" s="375"/>
      <c r="O3" s="375"/>
      <c r="P3" s="375"/>
      <c r="Q3" s="375"/>
      <c r="R3" s="375"/>
      <c r="S3" s="375"/>
      <c r="T3" s="2242" t="s">
        <v>316</v>
      </c>
      <c r="U3" s="2242"/>
      <c r="V3" s="2242"/>
      <c r="W3" s="2242"/>
      <c r="X3" s="2242"/>
      <c r="Y3" s="2242"/>
    </row>
    <row r="4" spans="1:25" s="375" customFormat="1" ht="18" customHeight="1" x14ac:dyDescent="0.25">
      <c r="A4" s="2243" t="s">
        <v>25</v>
      </c>
      <c r="B4" s="2243" t="s">
        <v>26</v>
      </c>
      <c r="C4" s="2244" t="s">
        <v>27</v>
      </c>
      <c r="D4" s="2244"/>
      <c r="E4" s="2244" t="s">
        <v>28</v>
      </c>
      <c r="F4" s="2244"/>
      <c r="G4" s="2244" t="s">
        <v>65</v>
      </c>
      <c r="H4" s="2244"/>
      <c r="I4" s="2244" t="s">
        <v>29</v>
      </c>
      <c r="J4" s="2244"/>
      <c r="K4" s="2245" t="s">
        <v>13</v>
      </c>
      <c r="L4" s="2246"/>
      <c r="M4" s="2245" t="s">
        <v>67</v>
      </c>
      <c r="N4" s="2246"/>
      <c r="O4" s="2245" t="s">
        <v>68</v>
      </c>
      <c r="P4" s="2246"/>
      <c r="Q4" s="2245" t="s">
        <v>114</v>
      </c>
      <c r="R4" s="2246"/>
      <c r="S4" s="2244" t="s">
        <v>35</v>
      </c>
      <c r="T4" s="2244"/>
      <c r="U4" s="2245" t="s">
        <v>17</v>
      </c>
      <c r="V4" s="2246"/>
      <c r="W4" s="2247" t="s">
        <v>36</v>
      </c>
      <c r="X4" s="2248"/>
      <c r="Y4" s="2238" t="s">
        <v>30</v>
      </c>
    </row>
    <row r="5" spans="1:25" s="375" customFormat="1" ht="25.5" customHeight="1" x14ac:dyDescent="0.25">
      <c r="A5" s="2243"/>
      <c r="B5" s="2243"/>
      <c r="C5" s="374" t="s">
        <v>42</v>
      </c>
      <c r="D5" s="374" t="s">
        <v>43</v>
      </c>
      <c r="E5" s="374" t="s">
        <v>42</v>
      </c>
      <c r="F5" s="374" t="s">
        <v>43</v>
      </c>
      <c r="G5" s="374" t="s">
        <v>42</v>
      </c>
      <c r="H5" s="374" t="s">
        <v>43</v>
      </c>
      <c r="I5" s="374" t="s">
        <v>42</v>
      </c>
      <c r="J5" s="374" t="s">
        <v>43</v>
      </c>
      <c r="K5" s="374" t="s">
        <v>42</v>
      </c>
      <c r="L5" s="374" t="s">
        <v>43</v>
      </c>
      <c r="M5" s="374" t="s">
        <v>42</v>
      </c>
      <c r="N5" s="374" t="s">
        <v>43</v>
      </c>
      <c r="O5" s="374" t="s">
        <v>42</v>
      </c>
      <c r="P5" s="374" t="s">
        <v>43</v>
      </c>
      <c r="Q5" s="374" t="s">
        <v>42</v>
      </c>
      <c r="R5" s="374" t="s">
        <v>43</v>
      </c>
      <c r="S5" s="33" t="s">
        <v>42</v>
      </c>
      <c r="T5" s="33" t="s">
        <v>43</v>
      </c>
      <c r="U5" s="30" t="s">
        <v>42</v>
      </c>
      <c r="V5" s="30" t="s">
        <v>43</v>
      </c>
      <c r="W5" s="30" t="s">
        <v>42</v>
      </c>
      <c r="X5" s="30" t="s">
        <v>43</v>
      </c>
      <c r="Y5" s="2239"/>
    </row>
    <row r="6" spans="1:25" ht="34.5" customHeight="1" x14ac:dyDescent="0.25">
      <c r="A6" s="12">
        <v>1409935200</v>
      </c>
      <c r="B6" s="373" t="s">
        <v>71</v>
      </c>
      <c r="C6" s="371">
        <v>35271</v>
      </c>
      <c r="D6" s="370">
        <f>0.9725*C6</f>
        <v>34301.047500000001</v>
      </c>
      <c r="E6" s="371"/>
      <c r="F6" s="371">
        <f>13.7*E6</f>
        <v>0</v>
      </c>
      <c r="G6" s="371"/>
      <c r="H6" s="371">
        <f>28.2*G6</f>
        <v>0</v>
      </c>
      <c r="I6" s="371">
        <v>550</v>
      </c>
      <c r="J6" s="371">
        <f>18.5*I6</f>
        <v>10175</v>
      </c>
      <c r="K6" s="371"/>
      <c r="L6" s="371">
        <f>19.5*K6</f>
        <v>0</v>
      </c>
      <c r="M6" s="371"/>
      <c r="N6" s="370">
        <f>M6*9.75</f>
        <v>0</v>
      </c>
      <c r="O6" s="371"/>
      <c r="P6" s="370">
        <f>O6*48.62</f>
        <v>0</v>
      </c>
      <c r="Q6" s="370"/>
      <c r="R6" s="370">
        <f>241*Q6</f>
        <v>0</v>
      </c>
      <c r="S6" s="371"/>
      <c r="T6" s="371">
        <f>241*S6</f>
        <v>0</v>
      </c>
      <c r="U6" s="371"/>
      <c r="V6" s="371">
        <f>232*U6</f>
        <v>0</v>
      </c>
      <c r="W6" s="371"/>
      <c r="X6" s="19">
        <f>W6*100</f>
        <v>0</v>
      </c>
      <c r="Y6" s="89">
        <f t="shared" ref="Y6:Y11" si="0">D6+F6+H6+J6+L6+N6+P6+R6+T6+V6+X6</f>
        <v>44476.047500000001</v>
      </c>
    </row>
    <row r="7" spans="1:25" ht="31.5" customHeight="1" x14ac:dyDescent="0.25">
      <c r="A7" s="12">
        <v>1984225578</v>
      </c>
      <c r="B7" s="373" t="s">
        <v>72</v>
      </c>
      <c r="C7" s="371">
        <v>24420</v>
      </c>
      <c r="D7" s="370">
        <f t="shared" ref="D7:D11" si="1">0.9725*C7</f>
        <v>23748.45</v>
      </c>
      <c r="E7" s="371"/>
      <c r="F7" s="371">
        <f t="shared" ref="F7:F11" si="2">13.7*E7</f>
        <v>0</v>
      </c>
      <c r="G7" s="371"/>
      <c r="H7" s="371">
        <f t="shared" ref="H7:H11" si="3">28.2*G7</f>
        <v>0</v>
      </c>
      <c r="I7" s="371"/>
      <c r="J7" s="371">
        <f t="shared" ref="J7:J11" si="4">18.5*I7</f>
        <v>0</v>
      </c>
      <c r="K7" s="371"/>
      <c r="L7" s="371">
        <f t="shared" ref="L7:L11" si="5">19.5*K7</f>
        <v>0</v>
      </c>
      <c r="M7" s="371"/>
      <c r="N7" s="370">
        <f t="shared" ref="N7:N11" si="6">M7*9.75</f>
        <v>0</v>
      </c>
      <c r="O7" s="371"/>
      <c r="P7" s="370">
        <f t="shared" ref="P7:P11" si="7">O7*48.62</f>
        <v>0</v>
      </c>
      <c r="Q7" s="370"/>
      <c r="R7" s="370">
        <f t="shared" ref="R7:R11" si="8">241*Q7</f>
        <v>0</v>
      </c>
      <c r="S7" s="371"/>
      <c r="T7" s="371">
        <f t="shared" ref="T7:T11" si="9">241*S7</f>
        <v>0</v>
      </c>
      <c r="U7" s="371"/>
      <c r="V7" s="371">
        <f t="shared" ref="V7:V11" si="10">232*U7</f>
        <v>0</v>
      </c>
      <c r="W7" s="371"/>
      <c r="X7" s="19">
        <f t="shared" ref="X7:X11" si="11">W7*100</f>
        <v>0</v>
      </c>
      <c r="Y7" s="89">
        <f t="shared" si="0"/>
        <v>23748.45</v>
      </c>
    </row>
    <row r="8" spans="1:25" ht="35.25" customHeight="1" x14ac:dyDescent="0.25">
      <c r="A8" s="12">
        <v>1967020280</v>
      </c>
      <c r="B8" s="373" t="s">
        <v>73</v>
      </c>
      <c r="C8" s="371">
        <v>50148</v>
      </c>
      <c r="D8" s="370">
        <f t="shared" si="1"/>
        <v>48768.93</v>
      </c>
      <c r="E8" s="371"/>
      <c r="F8" s="371">
        <f t="shared" si="2"/>
        <v>0</v>
      </c>
      <c r="G8" s="371">
        <v>90</v>
      </c>
      <c r="H8" s="371">
        <f t="shared" si="3"/>
        <v>2538</v>
      </c>
      <c r="I8" s="371"/>
      <c r="J8" s="371">
        <f t="shared" si="4"/>
        <v>0</v>
      </c>
      <c r="K8" s="371"/>
      <c r="L8" s="371">
        <f t="shared" si="5"/>
        <v>0</v>
      </c>
      <c r="M8" s="371"/>
      <c r="N8" s="370">
        <f t="shared" si="6"/>
        <v>0</v>
      </c>
      <c r="O8" s="371"/>
      <c r="P8" s="370">
        <f t="shared" si="7"/>
        <v>0</v>
      </c>
      <c r="Q8" s="370"/>
      <c r="R8" s="370">
        <f t="shared" si="8"/>
        <v>0</v>
      </c>
      <c r="S8" s="371"/>
      <c r="T8" s="371">
        <f t="shared" si="9"/>
        <v>0</v>
      </c>
      <c r="U8" s="371"/>
      <c r="V8" s="371">
        <f t="shared" si="10"/>
        <v>0</v>
      </c>
      <c r="W8" s="371"/>
      <c r="X8" s="19">
        <f t="shared" si="11"/>
        <v>0</v>
      </c>
      <c r="Y8" s="89">
        <f t="shared" si="0"/>
        <v>51306.93</v>
      </c>
    </row>
    <row r="9" spans="1:25" ht="38.25" customHeight="1" x14ac:dyDescent="0.25">
      <c r="A9" s="12">
        <v>1984225580</v>
      </c>
      <c r="B9" s="373" t="s">
        <v>75</v>
      </c>
      <c r="C9" s="371">
        <v>21615</v>
      </c>
      <c r="D9" s="370">
        <f t="shared" si="1"/>
        <v>21020.587500000001</v>
      </c>
      <c r="E9" s="371"/>
      <c r="F9" s="371">
        <f t="shared" si="2"/>
        <v>0</v>
      </c>
      <c r="G9" s="371">
        <v>40</v>
      </c>
      <c r="H9" s="371">
        <f t="shared" si="3"/>
        <v>1128</v>
      </c>
      <c r="I9" s="371"/>
      <c r="J9" s="371">
        <f t="shared" si="4"/>
        <v>0</v>
      </c>
      <c r="K9" s="371"/>
      <c r="L9" s="371">
        <f t="shared" si="5"/>
        <v>0</v>
      </c>
      <c r="M9" s="371"/>
      <c r="N9" s="370">
        <f t="shared" si="6"/>
        <v>0</v>
      </c>
      <c r="O9" s="371"/>
      <c r="P9" s="370">
        <f t="shared" si="7"/>
        <v>0</v>
      </c>
      <c r="Q9" s="370"/>
      <c r="R9" s="370">
        <f t="shared" si="8"/>
        <v>0</v>
      </c>
      <c r="S9" s="371">
        <v>5</v>
      </c>
      <c r="T9" s="371">
        <f t="shared" si="9"/>
        <v>1205</v>
      </c>
      <c r="U9" s="371"/>
      <c r="V9" s="371">
        <f t="shared" si="10"/>
        <v>0</v>
      </c>
      <c r="W9" s="371"/>
      <c r="X9" s="19">
        <f t="shared" si="11"/>
        <v>0</v>
      </c>
      <c r="Y9" s="89">
        <f t="shared" si="0"/>
        <v>23353.587500000001</v>
      </c>
    </row>
    <row r="10" spans="1:25" ht="35.25" customHeight="1" x14ac:dyDescent="0.25">
      <c r="A10" s="12">
        <v>1409935199</v>
      </c>
      <c r="C10" s="371"/>
      <c r="D10" s="370">
        <f t="shared" si="1"/>
        <v>0</v>
      </c>
      <c r="E10" s="371"/>
      <c r="F10" s="371">
        <f t="shared" si="2"/>
        <v>0</v>
      </c>
      <c r="G10" s="371"/>
      <c r="H10" s="371">
        <f t="shared" si="3"/>
        <v>0</v>
      </c>
      <c r="I10" s="371"/>
      <c r="J10" s="371">
        <f t="shared" si="4"/>
        <v>0</v>
      </c>
      <c r="K10" s="371"/>
      <c r="L10" s="371">
        <f t="shared" si="5"/>
        <v>0</v>
      </c>
      <c r="M10" s="371"/>
      <c r="N10" s="370">
        <f t="shared" si="6"/>
        <v>0</v>
      </c>
      <c r="O10" s="371"/>
      <c r="P10" s="370">
        <f t="shared" si="7"/>
        <v>0</v>
      </c>
      <c r="Q10" s="370"/>
      <c r="R10" s="370">
        <f t="shared" si="8"/>
        <v>0</v>
      </c>
      <c r="S10" s="371"/>
      <c r="T10" s="371">
        <f t="shared" si="9"/>
        <v>0</v>
      </c>
      <c r="U10" s="371"/>
      <c r="V10" s="371">
        <f t="shared" si="10"/>
        <v>0</v>
      </c>
      <c r="W10" s="371"/>
      <c r="X10" s="19">
        <f t="shared" si="11"/>
        <v>0</v>
      </c>
      <c r="Y10" s="89">
        <f t="shared" si="0"/>
        <v>0</v>
      </c>
    </row>
    <row r="11" spans="1:25" ht="37.5" customHeight="1" x14ac:dyDescent="0.25">
      <c r="A11" s="12"/>
      <c r="B11" s="372"/>
      <c r="C11" s="371"/>
      <c r="D11" s="22">
        <f t="shared" si="1"/>
        <v>0</v>
      </c>
      <c r="E11" s="371"/>
      <c r="F11" s="371">
        <f t="shared" si="2"/>
        <v>0</v>
      </c>
      <c r="G11" s="371"/>
      <c r="H11" s="371">
        <f t="shared" si="3"/>
        <v>0</v>
      </c>
      <c r="I11" s="371"/>
      <c r="J11" s="371">
        <f t="shared" si="4"/>
        <v>0</v>
      </c>
      <c r="K11" s="371"/>
      <c r="L11" s="371">
        <f t="shared" si="5"/>
        <v>0</v>
      </c>
      <c r="M11" s="371"/>
      <c r="N11" s="370">
        <f t="shared" si="6"/>
        <v>0</v>
      </c>
      <c r="O11" s="371"/>
      <c r="P11" s="370">
        <f t="shared" si="7"/>
        <v>0</v>
      </c>
      <c r="Q11" s="370"/>
      <c r="R11" s="370">
        <f t="shared" si="8"/>
        <v>0</v>
      </c>
      <c r="S11" s="371"/>
      <c r="T11" s="371">
        <f t="shared" si="9"/>
        <v>0</v>
      </c>
      <c r="U11" s="371"/>
      <c r="V11" s="371">
        <f t="shared" si="10"/>
        <v>0</v>
      </c>
      <c r="W11" s="371"/>
      <c r="X11" s="19">
        <f t="shared" si="11"/>
        <v>0</v>
      </c>
      <c r="Y11" s="20">
        <f t="shared" si="0"/>
        <v>0</v>
      </c>
    </row>
    <row r="12" spans="1:25" ht="29.25" customHeight="1" x14ac:dyDescent="0.25">
      <c r="A12" s="2235" t="s">
        <v>31</v>
      </c>
      <c r="B12" s="2235"/>
      <c r="C12" s="18">
        <f t="shared" ref="C12:Y12" si="12">SUM(C6:C11)</f>
        <v>131454</v>
      </c>
      <c r="D12" s="18">
        <f t="shared" si="12"/>
        <v>127839.01499999998</v>
      </c>
      <c r="E12" s="18">
        <f t="shared" si="12"/>
        <v>0</v>
      </c>
      <c r="F12" s="18">
        <f t="shared" si="12"/>
        <v>0</v>
      </c>
      <c r="G12" s="18">
        <f t="shared" si="12"/>
        <v>130</v>
      </c>
      <c r="H12" s="18">
        <f t="shared" si="12"/>
        <v>3666</v>
      </c>
      <c r="I12" s="18">
        <f t="shared" si="12"/>
        <v>550</v>
      </c>
      <c r="J12" s="18">
        <f t="shared" si="12"/>
        <v>10175</v>
      </c>
      <c r="K12" s="18">
        <f t="shared" si="12"/>
        <v>0</v>
      </c>
      <c r="L12" s="18">
        <f t="shared" si="12"/>
        <v>0</v>
      </c>
      <c r="M12" s="18">
        <f t="shared" si="12"/>
        <v>0</v>
      </c>
      <c r="N12" s="23">
        <f t="shared" si="12"/>
        <v>0</v>
      </c>
      <c r="O12" s="18">
        <f t="shared" si="12"/>
        <v>0</v>
      </c>
      <c r="P12" s="23">
        <f t="shared" si="12"/>
        <v>0</v>
      </c>
      <c r="Q12" s="23">
        <f t="shared" si="12"/>
        <v>0</v>
      </c>
      <c r="R12" s="23">
        <f>SUM(R6:R11)</f>
        <v>0</v>
      </c>
      <c r="S12" s="18">
        <f t="shared" si="12"/>
        <v>5</v>
      </c>
      <c r="T12" s="18">
        <f t="shared" si="12"/>
        <v>1205</v>
      </c>
      <c r="U12" s="18">
        <f t="shared" si="12"/>
        <v>0</v>
      </c>
      <c r="V12" s="18">
        <f t="shared" si="12"/>
        <v>0</v>
      </c>
      <c r="W12" s="18">
        <f t="shared" si="12"/>
        <v>0</v>
      </c>
      <c r="X12" s="18">
        <f t="shared" si="12"/>
        <v>0</v>
      </c>
      <c r="Y12" s="18">
        <f t="shared" si="12"/>
        <v>142885.01499999998</v>
      </c>
    </row>
    <row r="14" spans="1:25" ht="41.25" customHeight="1" x14ac:dyDescent="0.25">
      <c r="A14" s="30" t="s">
        <v>32</v>
      </c>
      <c r="B14" s="2236" t="s">
        <v>27</v>
      </c>
      <c r="C14" s="2236"/>
      <c r="D14" s="30" t="s">
        <v>33</v>
      </c>
      <c r="E14" s="30" t="s">
        <v>65</v>
      </c>
      <c r="F14" s="30" t="s">
        <v>34</v>
      </c>
      <c r="G14" s="30" t="s">
        <v>13</v>
      </c>
      <c r="H14" s="142" t="s">
        <v>173</v>
      </c>
      <c r="I14" s="30" t="s">
        <v>17</v>
      </c>
      <c r="J14" s="379" t="s">
        <v>174</v>
      </c>
      <c r="K14" s="30" t="s">
        <v>36</v>
      </c>
      <c r="L14" s="30" t="s">
        <v>175</v>
      </c>
      <c r="M14" s="30" t="s">
        <v>69</v>
      </c>
      <c r="N14" s="30" t="s">
        <v>70</v>
      </c>
      <c r="O14" s="379" t="s">
        <v>114</v>
      </c>
      <c r="P14" s="379" t="s">
        <v>301</v>
      </c>
      <c r="Q14" s="2272"/>
      <c r="R14" s="2272"/>
      <c r="S14" s="379"/>
      <c r="T14" s="2235" t="s">
        <v>46</v>
      </c>
      <c r="U14" s="373" t="s">
        <v>176</v>
      </c>
      <c r="V14" s="2260">
        <v>3345</v>
      </c>
      <c r="W14" s="2268"/>
      <c r="X14" s="2261"/>
    </row>
    <row r="15" spans="1:25" ht="22.5" customHeight="1" x14ac:dyDescent="0.25">
      <c r="A15" s="100" t="s">
        <v>38</v>
      </c>
      <c r="B15" s="2260">
        <v>464369</v>
      </c>
      <c r="C15" s="2261"/>
      <c r="D15" s="376">
        <v>0</v>
      </c>
      <c r="E15" s="376">
        <v>4190</v>
      </c>
      <c r="F15" s="376">
        <v>1000</v>
      </c>
      <c r="G15" s="376">
        <v>0</v>
      </c>
      <c r="H15" s="376">
        <v>222</v>
      </c>
      <c r="I15" s="376">
        <v>25</v>
      </c>
      <c r="J15" s="376">
        <v>106</v>
      </c>
      <c r="K15" s="376">
        <v>68</v>
      </c>
      <c r="L15" s="376">
        <v>750</v>
      </c>
      <c r="M15" s="376">
        <v>0</v>
      </c>
      <c r="N15" s="376">
        <v>100</v>
      </c>
      <c r="O15" s="376">
        <v>0</v>
      </c>
      <c r="P15" s="376">
        <v>16</v>
      </c>
      <c r="Q15" s="2262"/>
      <c r="R15" s="2262"/>
      <c r="S15" s="373">
        <v>0</v>
      </c>
      <c r="T15" s="2235"/>
      <c r="U15" s="373" t="s">
        <v>64</v>
      </c>
      <c r="V15" s="2262">
        <v>65282</v>
      </c>
      <c r="W15" s="2262"/>
      <c r="X15" s="2262"/>
    </row>
    <row r="16" spans="1:25" ht="24.75" customHeight="1" x14ac:dyDescent="0.25">
      <c r="A16" s="100" t="s">
        <v>39</v>
      </c>
      <c r="B16" s="2260"/>
      <c r="C16" s="2261"/>
      <c r="D16" s="376"/>
      <c r="E16" s="376"/>
      <c r="F16" s="376"/>
      <c r="G16" s="376"/>
      <c r="H16" s="376"/>
      <c r="I16" s="376"/>
      <c r="J16" s="376"/>
      <c r="K16" s="376"/>
      <c r="L16" s="376">
        <v>200</v>
      </c>
      <c r="M16" s="376"/>
      <c r="N16" s="376"/>
      <c r="O16" s="376"/>
      <c r="P16" s="376"/>
      <c r="Q16" s="2225"/>
      <c r="R16" s="2225"/>
      <c r="S16" s="376"/>
      <c r="T16" s="2254" t="s">
        <v>55</v>
      </c>
      <c r="U16" s="2254"/>
      <c r="V16" s="2267">
        <f>Y12</f>
        <v>142885.01499999998</v>
      </c>
      <c r="W16" s="2267"/>
      <c r="X16" s="2262"/>
    </row>
    <row r="17" spans="1:25" ht="28.5" customHeight="1" x14ac:dyDescent="0.25">
      <c r="A17" s="101" t="s">
        <v>44</v>
      </c>
      <c r="B17" s="2260"/>
      <c r="C17" s="2261"/>
      <c r="D17" s="376"/>
      <c r="E17" s="376"/>
      <c r="F17" s="376"/>
      <c r="G17" s="376"/>
      <c r="H17" s="376"/>
      <c r="I17" s="376"/>
      <c r="J17" s="376"/>
      <c r="K17" s="376"/>
      <c r="L17" s="376"/>
      <c r="M17" s="376"/>
      <c r="N17" s="376"/>
      <c r="O17" s="376"/>
      <c r="P17" s="376"/>
      <c r="Q17" s="2225"/>
      <c r="R17" s="2225"/>
      <c r="S17" s="372"/>
      <c r="T17" s="2294"/>
      <c r="U17" s="2295"/>
      <c r="V17" s="2296"/>
      <c r="W17" s="2296"/>
      <c r="X17" s="2296"/>
    </row>
    <row r="18" spans="1:25" ht="27" customHeight="1" x14ac:dyDescent="0.25">
      <c r="A18" s="100" t="s">
        <v>40</v>
      </c>
      <c r="B18" s="2264">
        <f>C12</f>
        <v>131454</v>
      </c>
      <c r="C18" s="2261"/>
      <c r="D18" s="378">
        <f>E12</f>
        <v>0</v>
      </c>
      <c r="E18" s="378">
        <f>G12</f>
        <v>130</v>
      </c>
      <c r="F18" s="378">
        <f>I12</f>
        <v>550</v>
      </c>
      <c r="G18" s="378">
        <f>K12</f>
        <v>0</v>
      </c>
      <c r="H18" s="376">
        <v>205</v>
      </c>
      <c r="I18" s="378">
        <f>U12</f>
        <v>0</v>
      </c>
      <c r="J18" s="376"/>
      <c r="K18" s="378">
        <f>W12</f>
        <v>0</v>
      </c>
      <c r="L18" s="376"/>
      <c r="M18" s="378">
        <f>M12</f>
        <v>0</v>
      </c>
      <c r="N18" s="378">
        <f>O12</f>
        <v>0</v>
      </c>
      <c r="O18" s="377">
        <f>Q12</f>
        <v>0</v>
      </c>
      <c r="P18" s="376"/>
      <c r="Q18" s="2262"/>
      <c r="R18" s="2262"/>
      <c r="S18" s="373"/>
      <c r="T18" s="2254" t="s">
        <v>57</v>
      </c>
      <c r="U18" s="2254"/>
      <c r="V18" s="2262">
        <v>3000</v>
      </c>
      <c r="W18" s="2262"/>
      <c r="X18" s="2262"/>
      <c r="Y18" s="2269" t="s">
        <v>291</v>
      </c>
    </row>
    <row r="19" spans="1:25" ht="25.5" customHeight="1" x14ac:dyDescent="0.25">
      <c r="A19" s="100" t="s">
        <v>41</v>
      </c>
      <c r="B19" s="2260">
        <f>B15+B16+B17-B18</f>
        <v>332915</v>
      </c>
      <c r="C19" s="2261"/>
      <c r="D19" s="376">
        <f>D15+D16+D17-D18</f>
        <v>0</v>
      </c>
      <c r="E19" s="376">
        <f t="shared" ref="E19:N19" si="13">E15+E16+E17-E18</f>
        <v>4060</v>
      </c>
      <c r="F19" s="376">
        <f t="shared" si="13"/>
        <v>450</v>
      </c>
      <c r="G19" s="376">
        <f t="shared" si="13"/>
        <v>0</v>
      </c>
      <c r="H19" s="376">
        <f t="shared" si="13"/>
        <v>17</v>
      </c>
      <c r="I19" s="376">
        <f t="shared" si="13"/>
        <v>25</v>
      </c>
      <c r="J19" s="376">
        <f t="shared" si="13"/>
        <v>106</v>
      </c>
      <c r="K19" s="376">
        <f t="shared" si="13"/>
        <v>68</v>
      </c>
      <c r="L19" s="376">
        <f t="shared" si="13"/>
        <v>950</v>
      </c>
      <c r="M19" s="376">
        <f t="shared" si="13"/>
        <v>0</v>
      </c>
      <c r="N19" s="376">
        <f t="shared" si="13"/>
        <v>100</v>
      </c>
      <c r="O19" s="376">
        <f>O15+O16+O17-O18</f>
        <v>0</v>
      </c>
      <c r="P19" s="376">
        <f>P15+P16+P17-P18</f>
        <v>16</v>
      </c>
      <c r="Q19" s="2260">
        <f t="shared" ref="Q19" si="14">Q15+Q16+Q17-Q18</f>
        <v>0</v>
      </c>
      <c r="R19" s="2261"/>
      <c r="S19" s="373">
        <f>S15+S16-S17-S18</f>
        <v>0</v>
      </c>
      <c r="T19" s="2256" t="s">
        <v>48</v>
      </c>
      <c r="U19" s="49" t="s">
        <v>58</v>
      </c>
      <c r="V19" s="2262"/>
      <c r="W19" s="2262"/>
      <c r="X19" s="2262"/>
      <c r="Y19" s="2269"/>
    </row>
    <row r="20" spans="1:25" ht="23.25" customHeight="1" x14ac:dyDescent="0.25">
      <c r="A20" s="289" t="s">
        <v>187</v>
      </c>
      <c r="B20" s="2286">
        <f>B19*0.9625</f>
        <v>320430.6875</v>
      </c>
      <c r="C20" s="2287"/>
      <c r="D20" s="290">
        <f>D19*13.56</f>
        <v>0</v>
      </c>
      <c r="E20" s="290">
        <f>28.2*E19</f>
        <v>114492</v>
      </c>
      <c r="F20" s="290">
        <f>18.31*F19</f>
        <v>8239.5</v>
      </c>
      <c r="G20" s="290">
        <f>19.3*G19</f>
        <v>0</v>
      </c>
      <c r="H20" s="290">
        <f>241*H19</f>
        <v>4097</v>
      </c>
      <c r="I20" s="290">
        <f>223*I19</f>
        <v>5575</v>
      </c>
      <c r="J20" s="290">
        <f>241*J19</f>
        <v>25546</v>
      </c>
      <c r="K20" s="290">
        <f>K19*100</f>
        <v>6800</v>
      </c>
      <c r="L20" s="290">
        <f>241*L19</f>
        <v>228950</v>
      </c>
      <c r="M20" s="290">
        <f>9.65*M19</f>
        <v>0</v>
      </c>
      <c r="N20" s="290">
        <f>N19*48.2</f>
        <v>4820</v>
      </c>
      <c r="O20" s="290">
        <f>241*O19</f>
        <v>0</v>
      </c>
      <c r="P20" s="290">
        <f>241*P19</f>
        <v>3856</v>
      </c>
      <c r="Q20" s="2286">
        <f>241*Q19</f>
        <v>0</v>
      </c>
      <c r="R20" s="2287"/>
      <c r="S20" s="290">
        <f>241*S19</f>
        <v>0</v>
      </c>
      <c r="T20" s="2257"/>
      <c r="U20" s="49" t="s">
        <v>59</v>
      </c>
      <c r="V20" s="2262"/>
      <c r="W20" s="2262"/>
      <c r="X20" s="2262"/>
      <c r="Y20" s="2269"/>
    </row>
    <row r="21" spans="1:25" ht="32.25" customHeight="1" x14ac:dyDescent="0.25">
      <c r="A21" s="291" t="s">
        <v>186</v>
      </c>
      <c r="B21" s="2293">
        <f>SUM(B20:S20)</f>
        <v>722806.1875</v>
      </c>
      <c r="C21" s="2293"/>
      <c r="O21" s="380"/>
      <c r="P21" s="380"/>
      <c r="Q21" s="380"/>
      <c r="R21" s="380"/>
      <c r="T21" s="2294" t="s">
        <v>315</v>
      </c>
      <c r="U21" s="2295"/>
      <c r="V21" s="2297"/>
      <c r="W21" s="2298"/>
      <c r="X21" s="2299"/>
      <c r="Y21" s="2269"/>
    </row>
    <row r="22" spans="1:25" ht="35.25" customHeight="1" x14ac:dyDescent="0.25">
      <c r="A22" s="15"/>
      <c r="B22" s="2288" t="s">
        <v>49</v>
      </c>
      <c r="C22" s="2291">
        <v>625509</v>
      </c>
      <c r="D22" s="2291"/>
      <c r="E22" s="2291"/>
      <c r="F22" s="2291">
        <f>C22-D22+E22</f>
        <v>625509</v>
      </c>
      <c r="G22" s="380"/>
      <c r="Q22" s="380"/>
      <c r="R22" s="380"/>
      <c r="T22" s="2251" t="s">
        <v>83</v>
      </c>
      <c r="U22" s="50" t="s">
        <v>60</v>
      </c>
      <c r="V22" s="2262"/>
      <c r="W22" s="2262"/>
      <c r="X22" s="2262"/>
      <c r="Y22" s="2269"/>
    </row>
    <row r="23" spans="1:25" ht="39.75" customHeight="1" x14ac:dyDescent="0.25">
      <c r="A23" s="380"/>
      <c r="B23" s="2289"/>
      <c r="C23" s="2292"/>
      <c r="D23" s="2292"/>
      <c r="E23" s="2292"/>
      <c r="F23" s="2292"/>
      <c r="G23" s="380"/>
      <c r="Q23" s="380"/>
      <c r="R23" s="380"/>
      <c r="T23" s="2252"/>
      <c r="U23" s="50" t="s">
        <v>61</v>
      </c>
      <c r="V23" s="2262"/>
      <c r="W23" s="2262"/>
      <c r="X23" s="2262"/>
      <c r="Y23" s="2269"/>
    </row>
    <row r="24" spans="1:25" ht="48" customHeight="1" x14ac:dyDescent="0.25">
      <c r="A24" s="380"/>
      <c r="B24" s="2290"/>
      <c r="C24" s="290" t="s">
        <v>46</v>
      </c>
      <c r="D24" s="290" t="s">
        <v>50</v>
      </c>
      <c r="E24" s="290" t="s">
        <v>51</v>
      </c>
      <c r="F24" s="290" t="s">
        <v>52</v>
      </c>
      <c r="G24" s="380"/>
      <c r="Q24" s="380"/>
      <c r="R24" s="380"/>
      <c r="T24" s="2235" t="s">
        <v>47</v>
      </c>
      <c r="U24" s="51" t="s">
        <v>62</v>
      </c>
      <c r="V24" s="2263">
        <f>V14+V16+V17-V18-V19-V20-V22+V23-V21</f>
        <v>143230.01499999998</v>
      </c>
      <c r="W24" s="2263"/>
      <c r="X24" s="2263"/>
      <c r="Y24" s="2269"/>
    </row>
    <row r="25" spans="1:25" ht="40.5" customHeight="1" x14ac:dyDescent="0.25">
      <c r="T25" s="2235"/>
      <c r="U25" s="51" t="s">
        <v>63</v>
      </c>
      <c r="V25" s="2262">
        <f>V15+V22-V23</f>
        <v>65282</v>
      </c>
      <c r="W25" s="2262"/>
      <c r="X25" s="2262"/>
    </row>
    <row r="26" spans="1:25" ht="36" customHeight="1" x14ac:dyDescent="0.25">
      <c r="K26" s="314"/>
    </row>
    <row r="32" spans="1:25" x14ac:dyDescent="0.25">
      <c r="I32" s="2280"/>
      <c r="J32" s="2280"/>
      <c r="K32" s="2280"/>
      <c r="L32" s="2280"/>
    </row>
    <row r="33" spans="9:12" x14ac:dyDescent="0.25">
      <c r="I33" s="380"/>
      <c r="J33" s="380"/>
      <c r="K33" s="2280"/>
      <c r="L33" s="2280"/>
    </row>
  </sheetData>
  <mergeCells count="62">
    <mergeCell ref="A1:Y1"/>
    <mergeCell ref="A2:Y2"/>
    <mergeCell ref="T3:Y3"/>
    <mergeCell ref="A4:A5"/>
    <mergeCell ref="B4:B5"/>
    <mergeCell ref="C4:D4"/>
    <mergeCell ref="E4:F4"/>
    <mergeCell ref="G4:H4"/>
    <mergeCell ref="I4:J4"/>
    <mergeCell ref="K4:L4"/>
    <mergeCell ref="Y4:Y5"/>
    <mergeCell ref="M4:N4"/>
    <mergeCell ref="O4:P4"/>
    <mergeCell ref="Q4:R4"/>
    <mergeCell ref="S4:T4"/>
    <mergeCell ref="U4:V4"/>
    <mergeCell ref="W4:X4"/>
    <mergeCell ref="B16:C16"/>
    <mergeCell ref="Q16:R16"/>
    <mergeCell ref="T16:U16"/>
    <mergeCell ref="V16:X16"/>
    <mergeCell ref="A12:B12"/>
    <mergeCell ref="B14:C14"/>
    <mergeCell ref="Q14:R14"/>
    <mergeCell ref="T14:T15"/>
    <mergeCell ref="V14:X14"/>
    <mergeCell ref="B15:C15"/>
    <mergeCell ref="Q15:R15"/>
    <mergeCell ref="V15:X15"/>
    <mergeCell ref="B17:C17"/>
    <mergeCell ref="Q17:R17"/>
    <mergeCell ref="T17:U17"/>
    <mergeCell ref="V17:X17"/>
    <mergeCell ref="B18:C18"/>
    <mergeCell ref="Q18:R18"/>
    <mergeCell ref="T18:U18"/>
    <mergeCell ref="V18:X18"/>
    <mergeCell ref="Y18:Y24"/>
    <mergeCell ref="B19:C19"/>
    <mergeCell ref="Q19:R19"/>
    <mergeCell ref="T19:T20"/>
    <mergeCell ref="V19:X19"/>
    <mergeCell ref="B20:C20"/>
    <mergeCell ref="B22:B24"/>
    <mergeCell ref="C22:C23"/>
    <mergeCell ref="D22:D23"/>
    <mergeCell ref="E22:E23"/>
    <mergeCell ref="F22:F23"/>
    <mergeCell ref="Q20:R20"/>
    <mergeCell ref="V20:X20"/>
    <mergeCell ref="B21:C21"/>
    <mergeCell ref="T21:U21"/>
    <mergeCell ref="V21:X21"/>
    <mergeCell ref="I32:J32"/>
    <mergeCell ref="K32:L32"/>
    <mergeCell ref="K33:L33"/>
    <mergeCell ref="T22:T23"/>
    <mergeCell ref="V22:X22"/>
    <mergeCell ref="V23:X23"/>
    <mergeCell ref="T24:T25"/>
    <mergeCell ref="V24:X24"/>
    <mergeCell ref="V25:X25"/>
  </mergeCells>
  <pageMargins left="0.15748031496063" right="0.15748031496063" top="0" bottom="0" header="0" footer="0"/>
  <pageSetup paperSize="9" scale="47" orientation="landscape" r:id="rId1"/>
</worksheet>
</file>

<file path=xl/worksheets/sheet1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51E1CD4-7986-4D0C-BC41-14127DDB21CC}">
  <sheetPr>
    <pageSetUpPr fitToPage="1"/>
  </sheetPr>
  <dimension ref="A1:Y33"/>
  <sheetViews>
    <sheetView topLeftCell="A8" zoomScale="70" zoomScaleNormal="70" zoomScaleSheetLayoutView="100" workbookViewId="0">
      <selection activeCell="K24" sqref="K24"/>
    </sheetView>
  </sheetViews>
  <sheetFormatPr defaultColWidth="9.140625" defaultRowHeight="15" x14ac:dyDescent="0.25"/>
  <cols>
    <col min="1" max="1" width="18.28515625" style="14" customWidth="1"/>
    <col min="2" max="2" width="10.7109375" style="14" customWidth="1"/>
    <col min="3" max="3" width="12.28515625" style="14" customWidth="1"/>
    <col min="4" max="4" width="11" style="14" customWidth="1"/>
    <col min="5" max="5" width="12" style="14" customWidth="1"/>
    <col min="6" max="6" width="12.5703125" style="14" bestFit="1" customWidth="1"/>
    <col min="7" max="7" width="9.28515625" style="14" bestFit="1" customWidth="1"/>
    <col min="8" max="8" width="10.140625" style="14" bestFit="1" customWidth="1"/>
    <col min="9" max="9" width="10.5703125" style="14" bestFit="1" customWidth="1"/>
    <col min="10" max="10" width="10.5703125" style="14" customWidth="1"/>
    <col min="11" max="11" width="10.28515625" style="14" bestFit="1" customWidth="1"/>
    <col min="12" max="12" width="10.42578125" style="14" bestFit="1" customWidth="1"/>
    <col min="13" max="13" width="9.85546875" style="14" bestFit="1" customWidth="1"/>
    <col min="14" max="14" width="10.140625" style="14" bestFit="1" customWidth="1"/>
    <col min="15" max="15" width="9" style="14" customWidth="1"/>
    <col min="16" max="16" width="12.85546875" style="14" bestFit="1" customWidth="1"/>
    <col min="17" max="18" width="9.42578125" style="14" customWidth="1"/>
    <col min="19" max="19" width="13.7109375" style="14" customWidth="1"/>
    <col min="20" max="20" width="12.140625" style="14" customWidth="1"/>
    <col min="21" max="21" width="19.5703125" style="14" bestFit="1" customWidth="1"/>
    <col min="22" max="22" width="9.85546875" style="14" customWidth="1"/>
    <col min="23" max="23" width="10.140625" style="14" bestFit="1" customWidth="1"/>
    <col min="24" max="24" width="10.28515625" style="14" customWidth="1"/>
    <col min="25" max="25" width="28" style="14" customWidth="1"/>
    <col min="26" max="16384" width="9.140625" style="14"/>
  </cols>
  <sheetData>
    <row r="1" spans="1:25" ht="46.15" customHeight="1" x14ac:dyDescent="0.25">
      <c r="A1" s="2240" t="s">
        <v>148</v>
      </c>
      <c r="B1" s="2240"/>
      <c r="C1" s="2240"/>
      <c r="D1" s="2240"/>
      <c r="E1" s="2240"/>
      <c r="F1" s="2240"/>
      <c r="G1" s="2240"/>
      <c r="H1" s="2240"/>
      <c r="I1" s="2240"/>
      <c r="J1" s="2240"/>
      <c r="K1" s="2240"/>
      <c r="L1" s="2240"/>
      <c r="M1" s="2240"/>
      <c r="N1" s="2240"/>
      <c r="O1" s="2240"/>
      <c r="P1" s="2240"/>
      <c r="Q1" s="2240"/>
      <c r="R1" s="2240"/>
      <c r="S1" s="2240"/>
      <c r="T1" s="2240"/>
      <c r="U1" s="2240"/>
      <c r="V1" s="2240"/>
      <c r="W1" s="2240"/>
      <c r="X1" s="2240"/>
      <c r="Y1" s="2240"/>
    </row>
    <row r="2" spans="1:25" ht="21.6" customHeight="1" x14ac:dyDescent="0.25">
      <c r="A2" s="2241" t="s">
        <v>77</v>
      </c>
      <c r="B2" s="2241"/>
      <c r="C2" s="2241"/>
      <c r="D2" s="2241"/>
      <c r="E2" s="2241"/>
      <c r="F2" s="2241"/>
      <c r="G2" s="2241"/>
      <c r="H2" s="2241"/>
      <c r="I2" s="2241"/>
      <c r="J2" s="2241"/>
      <c r="K2" s="2241"/>
      <c r="L2" s="2241"/>
      <c r="M2" s="2241"/>
      <c r="N2" s="2241"/>
      <c r="O2" s="2241"/>
      <c r="P2" s="2241"/>
      <c r="Q2" s="2241"/>
      <c r="R2" s="2241"/>
      <c r="S2" s="2241"/>
      <c r="T2" s="2241"/>
      <c r="U2" s="2241"/>
      <c r="V2" s="2241"/>
      <c r="W2" s="2241"/>
      <c r="X2" s="2241"/>
      <c r="Y2" s="2241"/>
    </row>
    <row r="3" spans="1:25" ht="21" customHeight="1" x14ac:dyDescent="0.25">
      <c r="A3" s="386"/>
      <c r="B3" s="386"/>
      <c r="C3" s="386"/>
      <c r="D3" s="386"/>
      <c r="E3" s="386"/>
      <c r="F3" s="386"/>
      <c r="G3" s="386"/>
      <c r="H3" s="386"/>
      <c r="I3" s="386"/>
      <c r="J3" s="386"/>
      <c r="K3" s="386"/>
      <c r="L3" s="386"/>
      <c r="M3" s="386"/>
      <c r="N3" s="386"/>
      <c r="O3" s="386"/>
      <c r="P3" s="386"/>
      <c r="Q3" s="386"/>
      <c r="R3" s="386"/>
      <c r="S3" s="386"/>
      <c r="T3" s="2242" t="s">
        <v>317</v>
      </c>
      <c r="U3" s="2242"/>
      <c r="V3" s="2242"/>
      <c r="W3" s="2242"/>
      <c r="X3" s="2242"/>
      <c r="Y3" s="2242"/>
    </row>
    <row r="4" spans="1:25" s="386" customFormat="1" ht="18" customHeight="1" x14ac:dyDescent="0.25">
      <c r="A4" s="2243" t="s">
        <v>25</v>
      </c>
      <c r="B4" s="2243" t="s">
        <v>26</v>
      </c>
      <c r="C4" s="2244" t="s">
        <v>27</v>
      </c>
      <c r="D4" s="2244"/>
      <c r="E4" s="2244" t="s">
        <v>28</v>
      </c>
      <c r="F4" s="2244"/>
      <c r="G4" s="2244" t="s">
        <v>65</v>
      </c>
      <c r="H4" s="2244"/>
      <c r="I4" s="2244" t="s">
        <v>29</v>
      </c>
      <c r="J4" s="2244"/>
      <c r="K4" s="2245" t="s">
        <v>13</v>
      </c>
      <c r="L4" s="2246"/>
      <c r="M4" s="2245" t="s">
        <v>67</v>
      </c>
      <c r="N4" s="2246"/>
      <c r="O4" s="2245" t="s">
        <v>68</v>
      </c>
      <c r="P4" s="2246"/>
      <c r="Q4" s="2245" t="s">
        <v>114</v>
      </c>
      <c r="R4" s="2246"/>
      <c r="S4" s="2244" t="s">
        <v>35</v>
      </c>
      <c r="T4" s="2244"/>
      <c r="U4" s="2245" t="s">
        <v>17</v>
      </c>
      <c r="V4" s="2246"/>
      <c r="W4" s="2247" t="s">
        <v>36</v>
      </c>
      <c r="X4" s="2248"/>
      <c r="Y4" s="2238" t="s">
        <v>30</v>
      </c>
    </row>
    <row r="5" spans="1:25" s="386" customFormat="1" ht="25.5" customHeight="1" x14ac:dyDescent="0.25">
      <c r="A5" s="2243"/>
      <c r="B5" s="2243"/>
      <c r="C5" s="385" t="s">
        <v>42</v>
      </c>
      <c r="D5" s="385" t="s">
        <v>43</v>
      </c>
      <c r="E5" s="385" t="s">
        <v>42</v>
      </c>
      <c r="F5" s="385" t="s">
        <v>43</v>
      </c>
      <c r="G5" s="385" t="s">
        <v>42</v>
      </c>
      <c r="H5" s="385" t="s">
        <v>43</v>
      </c>
      <c r="I5" s="385" t="s">
        <v>42</v>
      </c>
      <c r="J5" s="385" t="s">
        <v>43</v>
      </c>
      <c r="K5" s="385" t="s">
        <v>42</v>
      </c>
      <c r="L5" s="385" t="s">
        <v>43</v>
      </c>
      <c r="M5" s="385" t="s">
        <v>42</v>
      </c>
      <c r="N5" s="385" t="s">
        <v>43</v>
      </c>
      <c r="O5" s="385" t="s">
        <v>42</v>
      </c>
      <c r="P5" s="385" t="s">
        <v>43</v>
      </c>
      <c r="Q5" s="385" t="s">
        <v>42</v>
      </c>
      <c r="R5" s="385" t="s">
        <v>43</v>
      </c>
      <c r="S5" s="33" t="s">
        <v>42</v>
      </c>
      <c r="T5" s="33" t="s">
        <v>43</v>
      </c>
      <c r="U5" s="30" t="s">
        <v>42</v>
      </c>
      <c r="V5" s="30" t="s">
        <v>43</v>
      </c>
      <c r="W5" s="30" t="s">
        <v>42</v>
      </c>
      <c r="X5" s="30" t="s">
        <v>43</v>
      </c>
      <c r="Y5" s="2239"/>
    </row>
    <row r="6" spans="1:25" ht="34.5" customHeight="1" x14ac:dyDescent="0.25">
      <c r="A6" s="12">
        <v>1409935200</v>
      </c>
      <c r="B6" s="384" t="s">
        <v>71</v>
      </c>
      <c r="C6" s="382">
        <v>39053</v>
      </c>
      <c r="D6" s="381">
        <f>0.9725*C6</f>
        <v>37979.042500000003</v>
      </c>
      <c r="E6" s="382"/>
      <c r="F6" s="382">
        <f>13.7*E6</f>
        <v>0</v>
      </c>
      <c r="G6" s="382">
        <v>20</v>
      </c>
      <c r="H6" s="382">
        <f>28.2*G6</f>
        <v>564</v>
      </c>
      <c r="I6" s="382"/>
      <c r="J6" s="382">
        <f>18.5*I6</f>
        <v>0</v>
      </c>
      <c r="K6" s="382"/>
      <c r="L6" s="382">
        <f>19.5*K6</f>
        <v>0</v>
      </c>
      <c r="M6" s="382"/>
      <c r="N6" s="381">
        <f>M6*9.75</f>
        <v>0</v>
      </c>
      <c r="O6" s="382"/>
      <c r="P6" s="381">
        <f>O6*48.62</f>
        <v>0</v>
      </c>
      <c r="Q6" s="381"/>
      <c r="R6" s="381">
        <f>241*Q6</f>
        <v>0</v>
      </c>
      <c r="S6" s="382"/>
      <c r="T6" s="382">
        <f>241*S6</f>
        <v>0</v>
      </c>
      <c r="U6" s="382"/>
      <c r="V6" s="382">
        <f>232*U6</f>
        <v>0</v>
      </c>
      <c r="W6" s="382"/>
      <c r="X6" s="19">
        <f>W6*100</f>
        <v>0</v>
      </c>
      <c r="Y6" s="89">
        <f t="shared" ref="Y6:Y11" si="0">D6+F6+H6+J6+L6+N6+P6+R6+T6+V6+X6</f>
        <v>38543.042500000003</v>
      </c>
    </row>
    <row r="7" spans="1:25" ht="31.5" customHeight="1" x14ac:dyDescent="0.25">
      <c r="A7" s="12">
        <v>1984225578</v>
      </c>
      <c r="B7" s="384" t="s">
        <v>72</v>
      </c>
      <c r="C7" s="382">
        <v>34742</v>
      </c>
      <c r="D7" s="381">
        <f t="shared" ref="D7:D11" si="1">0.9725*C7</f>
        <v>33786.595000000001</v>
      </c>
      <c r="E7" s="382"/>
      <c r="F7" s="382">
        <f t="shared" ref="F7:F11" si="2">13.7*E7</f>
        <v>0</v>
      </c>
      <c r="G7" s="382"/>
      <c r="H7" s="382">
        <f t="shared" ref="H7:H11" si="3">28.2*G7</f>
        <v>0</v>
      </c>
      <c r="I7" s="382">
        <v>30</v>
      </c>
      <c r="J7" s="382">
        <f t="shared" ref="J7:J11" si="4">18.5*I7</f>
        <v>555</v>
      </c>
      <c r="K7" s="382"/>
      <c r="L7" s="382">
        <f t="shared" ref="L7:L11" si="5">19.5*K7</f>
        <v>0</v>
      </c>
      <c r="M7" s="382"/>
      <c r="N7" s="381">
        <f t="shared" ref="N7:N11" si="6">M7*9.75</f>
        <v>0</v>
      </c>
      <c r="O7" s="382"/>
      <c r="P7" s="381">
        <f t="shared" ref="P7:P11" si="7">O7*48.62</f>
        <v>0</v>
      </c>
      <c r="Q7" s="381"/>
      <c r="R7" s="381">
        <f t="shared" ref="R7:R11" si="8">241*Q7</f>
        <v>0</v>
      </c>
      <c r="S7" s="382"/>
      <c r="T7" s="382">
        <f t="shared" ref="T7:T11" si="9">241*S7</f>
        <v>0</v>
      </c>
      <c r="U7" s="382"/>
      <c r="V7" s="382">
        <f t="shared" ref="V7:V11" si="10">232*U7</f>
        <v>0</v>
      </c>
      <c r="W7" s="382"/>
      <c r="X7" s="19">
        <f t="shared" ref="X7:X11" si="11">W7*100</f>
        <v>0</v>
      </c>
      <c r="Y7" s="89">
        <f t="shared" si="0"/>
        <v>34341.595000000001</v>
      </c>
    </row>
    <row r="8" spans="1:25" ht="35.25" customHeight="1" x14ac:dyDescent="0.25">
      <c r="A8" s="12">
        <v>1967020280</v>
      </c>
      <c r="B8" s="384" t="s">
        <v>73</v>
      </c>
      <c r="C8" s="382">
        <v>31006</v>
      </c>
      <c r="D8" s="381">
        <f t="shared" si="1"/>
        <v>30153.335000000003</v>
      </c>
      <c r="E8" s="382"/>
      <c r="F8" s="382">
        <f t="shared" si="2"/>
        <v>0</v>
      </c>
      <c r="G8" s="382"/>
      <c r="H8" s="382">
        <f t="shared" si="3"/>
        <v>0</v>
      </c>
      <c r="I8" s="382"/>
      <c r="J8" s="382">
        <f t="shared" si="4"/>
        <v>0</v>
      </c>
      <c r="K8" s="382"/>
      <c r="L8" s="382">
        <f t="shared" si="5"/>
        <v>0</v>
      </c>
      <c r="M8" s="382"/>
      <c r="N8" s="381">
        <f t="shared" si="6"/>
        <v>0</v>
      </c>
      <c r="O8" s="382"/>
      <c r="P8" s="381">
        <f t="shared" si="7"/>
        <v>0</v>
      </c>
      <c r="Q8" s="381"/>
      <c r="R8" s="381">
        <f t="shared" si="8"/>
        <v>0</v>
      </c>
      <c r="S8" s="382">
        <v>5</v>
      </c>
      <c r="T8" s="382">
        <f t="shared" si="9"/>
        <v>1205</v>
      </c>
      <c r="U8" s="382"/>
      <c r="V8" s="382">
        <f t="shared" si="10"/>
        <v>0</v>
      </c>
      <c r="W8" s="382"/>
      <c r="X8" s="19">
        <f t="shared" si="11"/>
        <v>0</v>
      </c>
      <c r="Y8" s="89">
        <f t="shared" si="0"/>
        <v>31358.335000000003</v>
      </c>
    </row>
    <row r="9" spans="1:25" ht="38.25" customHeight="1" x14ac:dyDescent="0.25">
      <c r="A9" s="12">
        <v>1984225580</v>
      </c>
      <c r="B9" s="384" t="s">
        <v>75</v>
      </c>
      <c r="C9" s="382">
        <v>55701</v>
      </c>
      <c r="D9" s="381">
        <f t="shared" si="1"/>
        <v>54169.222500000003</v>
      </c>
      <c r="E9" s="382"/>
      <c r="F9" s="382">
        <f t="shared" si="2"/>
        <v>0</v>
      </c>
      <c r="G9" s="382"/>
      <c r="H9" s="382">
        <f t="shared" si="3"/>
        <v>0</v>
      </c>
      <c r="I9" s="382"/>
      <c r="J9" s="382">
        <f t="shared" si="4"/>
        <v>0</v>
      </c>
      <c r="K9" s="382"/>
      <c r="L9" s="382">
        <f t="shared" si="5"/>
        <v>0</v>
      </c>
      <c r="M9" s="382"/>
      <c r="N9" s="381">
        <f t="shared" si="6"/>
        <v>0</v>
      </c>
      <c r="O9" s="382"/>
      <c r="P9" s="381">
        <f t="shared" si="7"/>
        <v>0</v>
      </c>
      <c r="Q9" s="381"/>
      <c r="R9" s="381">
        <f t="shared" si="8"/>
        <v>0</v>
      </c>
      <c r="S9" s="382">
        <v>5</v>
      </c>
      <c r="T9" s="382">
        <f t="shared" si="9"/>
        <v>1205</v>
      </c>
      <c r="U9" s="382"/>
      <c r="V9" s="382">
        <f t="shared" si="10"/>
        <v>0</v>
      </c>
      <c r="W9" s="382"/>
      <c r="X9" s="19">
        <f t="shared" si="11"/>
        <v>0</v>
      </c>
      <c r="Y9" s="89">
        <f t="shared" si="0"/>
        <v>55374.222500000003</v>
      </c>
    </row>
    <row r="10" spans="1:25" ht="35.25" customHeight="1" x14ac:dyDescent="0.25">
      <c r="A10" s="12">
        <v>1409935199</v>
      </c>
      <c r="C10" s="382">
        <v>4039</v>
      </c>
      <c r="D10" s="381">
        <f t="shared" si="1"/>
        <v>3927.9275000000002</v>
      </c>
      <c r="E10" s="382"/>
      <c r="F10" s="382">
        <f t="shared" si="2"/>
        <v>0</v>
      </c>
      <c r="G10" s="382"/>
      <c r="H10" s="382">
        <f t="shared" si="3"/>
        <v>0</v>
      </c>
      <c r="I10" s="382"/>
      <c r="J10" s="382">
        <f t="shared" si="4"/>
        <v>0</v>
      </c>
      <c r="K10" s="382"/>
      <c r="L10" s="382">
        <f t="shared" si="5"/>
        <v>0</v>
      </c>
      <c r="M10" s="382"/>
      <c r="N10" s="381">
        <f t="shared" si="6"/>
        <v>0</v>
      </c>
      <c r="O10" s="382"/>
      <c r="P10" s="381">
        <f t="shared" si="7"/>
        <v>0</v>
      </c>
      <c r="Q10" s="381"/>
      <c r="R10" s="381">
        <f t="shared" si="8"/>
        <v>0</v>
      </c>
      <c r="S10" s="382"/>
      <c r="T10" s="382">
        <f t="shared" si="9"/>
        <v>0</v>
      </c>
      <c r="U10" s="382"/>
      <c r="V10" s="382">
        <f t="shared" si="10"/>
        <v>0</v>
      </c>
      <c r="W10" s="382"/>
      <c r="X10" s="19">
        <f t="shared" si="11"/>
        <v>0</v>
      </c>
      <c r="Y10" s="89">
        <f t="shared" si="0"/>
        <v>3927.9275000000002</v>
      </c>
    </row>
    <row r="11" spans="1:25" ht="37.5" customHeight="1" x14ac:dyDescent="0.25">
      <c r="A11" s="12"/>
      <c r="B11" s="383"/>
      <c r="C11" s="382"/>
      <c r="D11" s="22">
        <f t="shared" si="1"/>
        <v>0</v>
      </c>
      <c r="E11" s="382"/>
      <c r="F11" s="382">
        <f t="shared" si="2"/>
        <v>0</v>
      </c>
      <c r="G11" s="382"/>
      <c r="H11" s="382">
        <f t="shared" si="3"/>
        <v>0</v>
      </c>
      <c r="I11" s="382"/>
      <c r="J11" s="382">
        <f t="shared" si="4"/>
        <v>0</v>
      </c>
      <c r="K11" s="382"/>
      <c r="L11" s="382">
        <f t="shared" si="5"/>
        <v>0</v>
      </c>
      <c r="M11" s="382"/>
      <c r="N11" s="381">
        <f t="shared" si="6"/>
        <v>0</v>
      </c>
      <c r="O11" s="382"/>
      <c r="P11" s="381">
        <f t="shared" si="7"/>
        <v>0</v>
      </c>
      <c r="Q11" s="381"/>
      <c r="R11" s="381">
        <f t="shared" si="8"/>
        <v>0</v>
      </c>
      <c r="S11" s="382"/>
      <c r="T11" s="382">
        <f t="shared" si="9"/>
        <v>0</v>
      </c>
      <c r="U11" s="382"/>
      <c r="V11" s="382">
        <f t="shared" si="10"/>
        <v>0</v>
      </c>
      <c r="W11" s="382"/>
      <c r="X11" s="19">
        <f t="shared" si="11"/>
        <v>0</v>
      </c>
      <c r="Y11" s="20">
        <f t="shared" si="0"/>
        <v>0</v>
      </c>
    </row>
    <row r="12" spans="1:25" ht="29.25" customHeight="1" x14ac:dyDescent="0.25">
      <c r="A12" s="2235" t="s">
        <v>31</v>
      </c>
      <c r="B12" s="2235"/>
      <c r="C12" s="18">
        <f t="shared" ref="C12:Y12" si="12">SUM(C6:C11)</f>
        <v>164541</v>
      </c>
      <c r="D12" s="18">
        <f t="shared" si="12"/>
        <v>160016.1225</v>
      </c>
      <c r="E12" s="18">
        <f t="shared" si="12"/>
        <v>0</v>
      </c>
      <c r="F12" s="18">
        <f t="shared" si="12"/>
        <v>0</v>
      </c>
      <c r="G12" s="18">
        <f t="shared" si="12"/>
        <v>20</v>
      </c>
      <c r="H12" s="18">
        <f t="shared" si="12"/>
        <v>564</v>
      </c>
      <c r="I12" s="18">
        <f t="shared" si="12"/>
        <v>30</v>
      </c>
      <c r="J12" s="18">
        <f t="shared" si="12"/>
        <v>555</v>
      </c>
      <c r="K12" s="18">
        <f t="shared" si="12"/>
        <v>0</v>
      </c>
      <c r="L12" s="18">
        <f t="shared" si="12"/>
        <v>0</v>
      </c>
      <c r="M12" s="18">
        <f t="shared" si="12"/>
        <v>0</v>
      </c>
      <c r="N12" s="23">
        <f t="shared" si="12"/>
        <v>0</v>
      </c>
      <c r="O12" s="18">
        <f t="shared" si="12"/>
        <v>0</v>
      </c>
      <c r="P12" s="23">
        <f t="shared" si="12"/>
        <v>0</v>
      </c>
      <c r="Q12" s="23">
        <f t="shared" si="12"/>
        <v>0</v>
      </c>
      <c r="R12" s="23">
        <f>SUM(R6:R11)</f>
        <v>0</v>
      </c>
      <c r="S12" s="18">
        <f t="shared" si="12"/>
        <v>10</v>
      </c>
      <c r="T12" s="18">
        <f t="shared" si="12"/>
        <v>2410</v>
      </c>
      <c r="U12" s="18">
        <f t="shared" si="12"/>
        <v>0</v>
      </c>
      <c r="V12" s="18">
        <f t="shared" si="12"/>
        <v>0</v>
      </c>
      <c r="W12" s="18">
        <f t="shared" si="12"/>
        <v>0</v>
      </c>
      <c r="X12" s="18">
        <f t="shared" si="12"/>
        <v>0</v>
      </c>
      <c r="Y12" s="18">
        <f t="shared" si="12"/>
        <v>163545.1225</v>
      </c>
    </row>
    <row r="14" spans="1:25" ht="41.25" customHeight="1" x14ac:dyDescent="0.25">
      <c r="A14" s="30" t="s">
        <v>32</v>
      </c>
      <c r="B14" s="2236" t="s">
        <v>27</v>
      </c>
      <c r="C14" s="2236"/>
      <c r="D14" s="30" t="s">
        <v>33</v>
      </c>
      <c r="E14" s="30" t="s">
        <v>65</v>
      </c>
      <c r="F14" s="30" t="s">
        <v>34</v>
      </c>
      <c r="G14" s="30" t="s">
        <v>13</v>
      </c>
      <c r="H14" s="142" t="s">
        <v>173</v>
      </c>
      <c r="I14" s="30" t="s">
        <v>17</v>
      </c>
      <c r="J14" s="390" t="s">
        <v>174</v>
      </c>
      <c r="K14" s="30" t="s">
        <v>36</v>
      </c>
      <c r="L14" s="30" t="s">
        <v>175</v>
      </c>
      <c r="M14" s="30" t="s">
        <v>69</v>
      </c>
      <c r="N14" s="30" t="s">
        <v>70</v>
      </c>
      <c r="O14" s="390" t="s">
        <v>114</v>
      </c>
      <c r="P14" s="390" t="s">
        <v>301</v>
      </c>
      <c r="Q14" s="2272"/>
      <c r="R14" s="2272"/>
      <c r="S14" s="390"/>
      <c r="T14" s="2235" t="s">
        <v>46</v>
      </c>
      <c r="U14" s="384" t="s">
        <v>176</v>
      </c>
      <c r="V14" s="2260">
        <v>143230</v>
      </c>
      <c r="W14" s="2268"/>
      <c r="X14" s="2261"/>
    </row>
    <row r="15" spans="1:25" ht="22.5" customHeight="1" x14ac:dyDescent="0.25">
      <c r="A15" s="100" t="s">
        <v>38</v>
      </c>
      <c r="B15" s="2260">
        <v>332915</v>
      </c>
      <c r="C15" s="2261"/>
      <c r="D15" s="387">
        <v>0</v>
      </c>
      <c r="E15" s="387">
        <v>4060</v>
      </c>
      <c r="F15" s="387">
        <v>450</v>
      </c>
      <c r="G15" s="387">
        <v>0</v>
      </c>
      <c r="H15" s="387">
        <v>17</v>
      </c>
      <c r="I15" s="387">
        <v>25</v>
      </c>
      <c r="J15" s="387">
        <v>106</v>
      </c>
      <c r="K15" s="387">
        <v>68</v>
      </c>
      <c r="L15" s="387">
        <v>950</v>
      </c>
      <c r="M15" s="387">
        <v>0</v>
      </c>
      <c r="N15" s="387">
        <v>100</v>
      </c>
      <c r="O15" s="387">
        <v>0</v>
      </c>
      <c r="P15" s="387">
        <v>16</v>
      </c>
      <c r="Q15" s="2262"/>
      <c r="R15" s="2262"/>
      <c r="S15" s="384">
        <v>0</v>
      </c>
      <c r="T15" s="2235"/>
      <c r="U15" s="384" t="s">
        <v>64</v>
      </c>
      <c r="V15" s="2262">
        <v>65282</v>
      </c>
      <c r="W15" s="2262"/>
      <c r="X15" s="2262"/>
    </row>
    <row r="16" spans="1:25" ht="24.75" customHeight="1" x14ac:dyDescent="0.25">
      <c r="A16" s="100" t="s">
        <v>39</v>
      </c>
      <c r="B16" s="2260">
        <v>114285</v>
      </c>
      <c r="C16" s="2261"/>
      <c r="D16" s="387"/>
      <c r="E16" s="387"/>
      <c r="F16" s="387"/>
      <c r="G16" s="387"/>
      <c r="H16" s="387"/>
      <c r="I16" s="387"/>
      <c r="J16" s="387"/>
      <c r="K16" s="387"/>
      <c r="L16" s="387"/>
      <c r="M16" s="387"/>
      <c r="N16" s="387"/>
      <c r="O16" s="387"/>
      <c r="P16" s="387"/>
      <c r="Q16" s="2225"/>
      <c r="R16" s="2225"/>
      <c r="S16" s="387"/>
      <c r="T16" s="2254" t="s">
        <v>55</v>
      </c>
      <c r="U16" s="2254"/>
      <c r="V16" s="2267">
        <f>Y12</f>
        <v>163545.1225</v>
      </c>
      <c r="W16" s="2267"/>
      <c r="X16" s="2262"/>
    </row>
    <row r="17" spans="1:25" ht="28.5" customHeight="1" x14ac:dyDescent="0.25">
      <c r="A17" s="101" t="s">
        <v>44</v>
      </c>
      <c r="B17" s="2260"/>
      <c r="C17" s="2261"/>
      <c r="D17" s="387"/>
      <c r="E17" s="387"/>
      <c r="F17" s="387"/>
      <c r="G17" s="387"/>
      <c r="H17" s="387"/>
      <c r="I17" s="387"/>
      <c r="J17" s="387"/>
      <c r="K17" s="387"/>
      <c r="L17" s="387"/>
      <c r="M17" s="387"/>
      <c r="N17" s="387"/>
      <c r="O17" s="387"/>
      <c r="P17" s="387"/>
      <c r="Q17" s="2225"/>
      <c r="R17" s="2225"/>
      <c r="S17" s="383"/>
      <c r="T17" s="2294"/>
      <c r="U17" s="2295"/>
      <c r="V17" s="2296"/>
      <c r="W17" s="2296"/>
      <c r="X17" s="2296"/>
    </row>
    <row r="18" spans="1:25" ht="27" customHeight="1" x14ac:dyDescent="0.25">
      <c r="A18" s="100" t="s">
        <v>40</v>
      </c>
      <c r="B18" s="2264">
        <f>C12</f>
        <v>164541</v>
      </c>
      <c r="C18" s="2261"/>
      <c r="D18" s="389">
        <f>E12</f>
        <v>0</v>
      </c>
      <c r="E18" s="389">
        <f>G12</f>
        <v>20</v>
      </c>
      <c r="F18" s="389">
        <f>I12</f>
        <v>30</v>
      </c>
      <c r="G18" s="389">
        <f>K12</f>
        <v>0</v>
      </c>
      <c r="H18" s="387">
        <v>10</v>
      </c>
      <c r="I18" s="389">
        <f>U12</f>
        <v>0</v>
      </c>
      <c r="J18" s="387"/>
      <c r="K18" s="389">
        <f>W12</f>
        <v>0</v>
      </c>
      <c r="L18" s="387"/>
      <c r="M18" s="389">
        <f>M12</f>
        <v>0</v>
      </c>
      <c r="N18" s="389">
        <f>O12</f>
        <v>0</v>
      </c>
      <c r="O18" s="388">
        <f>Q12</f>
        <v>0</v>
      </c>
      <c r="P18" s="387"/>
      <c r="Q18" s="2262"/>
      <c r="R18" s="2262"/>
      <c r="S18" s="384"/>
      <c r="T18" s="2254" t="s">
        <v>57</v>
      </c>
      <c r="U18" s="2254"/>
      <c r="V18" s="2262">
        <f>520+385+350</f>
        <v>1255</v>
      </c>
      <c r="W18" s="2262"/>
      <c r="X18" s="2262"/>
      <c r="Y18" s="2269"/>
    </row>
    <row r="19" spans="1:25" ht="25.5" customHeight="1" x14ac:dyDescent="0.25">
      <c r="A19" s="100" t="s">
        <v>41</v>
      </c>
      <c r="B19" s="2260">
        <f>B15+B16+B17-B18</f>
        <v>282659</v>
      </c>
      <c r="C19" s="2261"/>
      <c r="D19" s="387">
        <f>D15+D16+D17-D18</f>
        <v>0</v>
      </c>
      <c r="E19" s="387">
        <f t="shared" ref="E19:N19" si="13">E15+E16+E17-E18</f>
        <v>4040</v>
      </c>
      <c r="F19" s="387">
        <f t="shared" si="13"/>
        <v>420</v>
      </c>
      <c r="G19" s="387">
        <f t="shared" si="13"/>
        <v>0</v>
      </c>
      <c r="H19" s="387">
        <f t="shared" si="13"/>
        <v>7</v>
      </c>
      <c r="I19" s="387">
        <f t="shared" si="13"/>
        <v>25</v>
      </c>
      <c r="J19" s="387">
        <f t="shared" si="13"/>
        <v>106</v>
      </c>
      <c r="K19" s="387">
        <f t="shared" si="13"/>
        <v>68</v>
      </c>
      <c r="L19" s="387">
        <f t="shared" si="13"/>
        <v>950</v>
      </c>
      <c r="M19" s="387">
        <f t="shared" si="13"/>
        <v>0</v>
      </c>
      <c r="N19" s="387">
        <f t="shared" si="13"/>
        <v>100</v>
      </c>
      <c r="O19" s="387">
        <f>O15+O16+O17-O18</f>
        <v>0</v>
      </c>
      <c r="P19" s="387">
        <f>P15+P16+P17-P18</f>
        <v>16</v>
      </c>
      <c r="Q19" s="2260">
        <f t="shared" ref="Q19" si="14">Q15+Q16+Q17-Q18</f>
        <v>0</v>
      </c>
      <c r="R19" s="2261"/>
      <c r="S19" s="384">
        <f>S15+S16-S17-S18</f>
        <v>0</v>
      </c>
      <c r="T19" s="2256" t="s">
        <v>48</v>
      </c>
      <c r="U19" s="49" t="s">
        <v>58</v>
      </c>
      <c r="V19" s="2262">
        <v>90000</v>
      </c>
      <c r="W19" s="2262"/>
      <c r="X19" s="2262"/>
      <c r="Y19" s="2269"/>
    </row>
    <row r="20" spans="1:25" ht="23.25" customHeight="1" x14ac:dyDescent="0.25">
      <c r="A20" s="289" t="s">
        <v>187</v>
      </c>
      <c r="B20" s="2286">
        <f>B19*0.9625</f>
        <v>272059.28750000003</v>
      </c>
      <c r="C20" s="2287"/>
      <c r="D20" s="290">
        <f>D19*13.56</f>
        <v>0</v>
      </c>
      <c r="E20" s="290">
        <f>28.2*E19</f>
        <v>113928</v>
      </c>
      <c r="F20" s="290">
        <f>18.31*F19</f>
        <v>7690.2</v>
      </c>
      <c r="G20" s="290">
        <f>19.3*G19</f>
        <v>0</v>
      </c>
      <c r="H20" s="290">
        <f>241*H19</f>
        <v>1687</v>
      </c>
      <c r="I20" s="290">
        <f>223*I19</f>
        <v>5575</v>
      </c>
      <c r="J20" s="290">
        <f>241*J19</f>
        <v>25546</v>
      </c>
      <c r="K20" s="290">
        <f>K19*100</f>
        <v>6800</v>
      </c>
      <c r="L20" s="290">
        <f>241*L19</f>
        <v>228950</v>
      </c>
      <c r="M20" s="290">
        <f>9.65*M19</f>
        <v>0</v>
      </c>
      <c r="N20" s="290">
        <f>N19*48.2</f>
        <v>4820</v>
      </c>
      <c r="O20" s="290">
        <f>241*O19</f>
        <v>0</v>
      </c>
      <c r="P20" s="290">
        <f>241*P19</f>
        <v>3856</v>
      </c>
      <c r="Q20" s="2286">
        <f>241*Q19</f>
        <v>0</v>
      </c>
      <c r="R20" s="2287"/>
      <c r="S20" s="290">
        <f>241*S19</f>
        <v>0</v>
      </c>
      <c r="T20" s="2257"/>
      <c r="U20" s="49" t="s">
        <v>59</v>
      </c>
      <c r="V20" s="2262"/>
      <c r="W20" s="2262"/>
      <c r="X20" s="2262"/>
      <c r="Y20" s="2269"/>
    </row>
    <row r="21" spans="1:25" ht="32.25" customHeight="1" x14ac:dyDescent="0.25">
      <c r="A21" s="291" t="s">
        <v>186</v>
      </c>
      <c r="B21" s="2293">
        <f>SUM(B20:S20)</f>
        <v>670911.48750000005</v>
      </c>
      <c r="C21" s="2293"/>
      <c r="O21" s="391"/>
      <c r="P21" s="391"/>
      <c r="Q21" s="391"/>
      <c r="R21" s="391"/>
      <c r="T21" s="2294" t="s">
        <v>315</v>
      </c>
      <c r="U21" s="2295"/>
      <c r="V21" s="2297"/>
      <c r="W21" s="2298"/>
      <c r="X21" s="2299"/>
      <c r="Y21" s="2269"/>
    </row>
    <row r="22" spans="1:25" ht="35.25" customHeight="1" x14ac:dyDescent="0.25">
      <c r="A22" s="15"/>
      <c r="B22" s="2288" t="s">
        <v>49</v>
      </c>
      <c r="C22" s="2291">
        <v>625509</v>
      </c>
      <c r="D22" s="2291">
        <v>90000</v>
      </c>
      <c r="E22" s="2291">
        <v>110000</v>
      </c>
      <c r="F22" s="2291">
        <f>C22-D22+E22</f>
        <v>645509</v>
      </c>
      <c r="G22" s="391"/>
      <c r="Q22" s="391"/>
      <c r="R22" s="391"/>
      <c r="T22" s="2251" t="s">
        <v>83</v>
      </c>
      <c r="U22" s="50" t="s">
        <v>60</v>
      </c>
      <c r="V22" s="2262">
        <v>305070</v>
      </c>
      <c r="W22" s="2262"/>
      <c r="X22" s="2262"/>
      <c r="Y22" s="2269"/>
    </row>
    <row r="23" spans="1:25" ht="39.75" customHeight="1" x14ac:dyDescent="0.25">
      <c r="A23" s="391"/>
      <c r="B23" s="2289"/>
      <c r="C23" s="2292"/>
      <c r="D23" s="2292"/>
      <c r="E23" s="2292"/>
      <c r="F23" s="2292"/>
      <c r="G23" s="391"/>
      <c r="Q23" s="391"/>
      <c r="R23" s="391"/>
      <c r="T23" s="2252"/>
      <c r="U23" s="50" t="s">
        <v>61</v>
      </c>
      <c r="V23" s="2262">
        <v>90000</v>
      </c>
      <c r="W23" s="2262"/>
      <c r="X23" s="2262"/>
      <c r="Y23" s="2269"/>
    </row>
    <row r="24" spans="1:25" ht="48" customHeight="1" x14ac:dyDescent="0.25">
      <c r="A24" s="391"/>
      <c r="B24" s="2290"/>
      <c r="C24" s="290" t="s">
        <v>46</v>
      </c>
      <c r="D24" s="290" t="s">
        <v>50</v>
      </c>
      <c r="E24" s="290" t="s">
        <v>51</v>
      </c>
      <c r="F24" s="290" t="s">
        <v>52</v>
      </c>
      <c r="G24" s="391"/>
      <c r="Q24" s="391"/>
      <c r="R24" s="391"/>
      <c r="T24" s="2235" t="s">
        <v>47</v>
      </c>
      <c r="U24" s="51" t="s">
        <v>62</v>
      </c>
      <c r="V24" s="2263">
        <f>V14+V16+V17-V18-V19-V20-V22+V23-V21</f>
        <v>450.12249999999767</v>
      </c>
      <c r="W24" s="2263"/>
      <c r="X24" s="2263"/>
      <c r="Y24" s="2269"/>
    </row>
    <row r="25" spans="1:25" ht="40.5" customHeight="1" x14ac:dyDescent="0.25">
      <c r="T25" s="2235"/>
      <c r="U25" s="51" t="s">
        <v>63</v>
      </c>
      <c r="V25" s="2262">
        <f>V15+V22-V23</f>
        <v>280352</v>
      </c>
      <c r="W25" s="2262"/>
      <c r="X25" s="2262"/>
    </row>
    <row r="26" spans="1:25" ht="36" customHeight="1" x14ac:dyDescent="0.25">
      <c r="K26" s="314"/>
    </row>
    <row r="32" spans="1:25" x14ac:dyDescent="0.25">
      <c r="I32" s="2280"/>
      <c r="J32" s="2280"/>
      <c r="K32" s="2280"/>
      <c r="L32" s="2280"/>
    </row>
    <row r="33" spans="9:12" x14ac:dyDescent="0.25">
      <c r="I33" s="391"/>
      <c r="J33" s="391"/>
      <c r="K33" s="2280"/>
      <c r="L33" s="2280"/>
    </row>
  </sheetData>
  <mergeCells count="62">
    <mergeCell ref="A1:Y1"/>
    <mergeCell ref="A2:Y2"/>
    <mergeCell ref="T3:Y3"/>
    <mergeCell ref="A4:A5"/>
    <mergeCell ref="B4:B5"/>
    <mergeCell ref="C4:D4"/>
    <mergeCell ref="E4:F4"/>
    <mergeCell ref="G4:H4"/>
    <mergeCell ref="I4:J4"/>
    <mergeCell ref="K4:L4"/>
    <mergeCell ref="Y4:Y5"/>
    <mergeCell ref="M4:N4"/>
    <mergeCell ref="O4:P4"/>
    <mergeCell ref="Q4:R4"/>
    <mergeCell ref="S4:T4"/>
    <mergeCell ref="U4:V4"/>
    <mergeCell ref="W4:X4"/>
    <mergeCell ref="B16:C16"/>
    <mergeCell ref="Q16:R16"/>
    <mergeCell ref="T16:U16"/>
    <mergeCell ref="V16:X16"/>
    <mergeCell ref="A12:B12"/>
    <mergeCell ref="B14:C14"/>
    <mergeCell ref="Q14:R14"/>
    <mergeCell ref="T14:T15"/>
    <mergeCell ref="V14:X14"/>
    <mergeCell ref="B15:C15"/>
    <mergeCell ref="Q15:R15"/>
    <mergeCell ref="V15:X15"/>
    <mergeCell ref="B17:C17"/>
    <mergeCell ref="Q17:R17"/>
    <mergeCell ref="T17:U17"/>
    <mergeCell ref="V17:X17"/>
    <mergeCell ref="B18:C18"/>
    <mergeCell ref="Q18:R18"/>
    <mergeCell ref="T18:U18"/>
    <mergeCell ref="V18:X18"/>
    <mergeCell ref="Y18:Y24"/>
    <mergeCell ref="B19:C19"/>
    <mergeCell ref="Q19:R19"/>
    <mergeCell ref="T19:T20"/>
    <mergeCell ref="V19:X19"/>
    <mergeCell ref="B20:C20"/>
    <mergeCell ref="B22:B24"/>
    <mergeCell ref="C22:C23"/>
    <mergeCell ref="D22:D23"/>
    <mergeCell ref="E22:E23"/>
    <mergeCell ref="F22:F23"/>
    <mergeCell ref="Q20:R20"/>
    <mergeCell ref="V20:X20"/>
    <mergeCell ref="B21:C21"/>
    <mergeCell ref="T21:U21"/>
    <mergeCell ref="V21:X21"/>
    <mergeCell ref="I32:J32"/>
    <mergeCell ref="K32:L32"/>
    <mergeCell ref="K33:L33"/>
    <mergeCell ref="T22:T23"/>
    <mergeCell ref="V22:X22"/>
    <mergeCell ref="V23:X23"/>
    <mergeCell ref="T24:T25"/>
    <mergeCell ref="V24:X24"/>
    <mergeCell ref="V25:X25"/>
  </mergeCells>
  <pageMargins left="0.15748031496063" right="0.15748031496063" top="0" bottom="0" header="0" footer="0"/>
  <pageSetup paperSize="9" scale="47" orientation="landscape" r:id="rId1"/>
</worksheet>
</file>

<file path=xl/worksheets/sheet1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9086724-C163-4BBE-93C2-CC0193ED9CD9}">
  <sheetPr>
    <pageSetUpPr fitToPage="1"/>
  </sheetPr>
  <dimension ref="A1:Y33"/>
  <sheetViews>
    <sheetView topLeftCell="A10" zoomScale="70" zoomScaleNormal="70" zoomScaleSheetLayoutView="100" workbookViewId="0">
      <selection activeCell="V18" sqref="V18:X18"/>
    </sheetView>
  </sheetViews>
  <sheetFormatPr defaultColWidth="9.140625" defaultRowHeight="15" x14ac:dyDescent="0.25"/>
  <cols>
    <col min="1" max="1" width="18.28515625" style="14" customWidth="1"/>
    <col min="2" max="2" width="10.7109375" style="14" customWidth="1"/>
    <col min="3" max="3" width="12.28515625" style="14" customWidth="1"/>
    <col min="4" max="4" width="11" style="14" customWidth="1"/>
    <col min="5" max="5" width="12" style="14" customWidth="1"/>
    <col min="6" max="6" width="12.5703125" style="14" bestFit="1" customWidth="1"/>
    <col min="7" max="7" width="9.28515625" style="14" bestFit="1" customWidth="1"/>
    <col min="8" max="8" width="10.140625" style="14" bestFit="1" customWidth="1"/>
    <col min="9" max="9" width="10.5703125" style="14" bestFit="1" customWidth="1"/>
    <col min="10" max="10" width="10.5703125" style="14" customWidth="1"/>
    <col min="11" max="11" width="10.28515625" style="14" bestFit="1" customWidth="1"/>
    <col min="12" max="12" width="10.42578125" style="14" bestFit="1" customWidth="1"/>
    <col min="13" max="13" width="9.85546875" style="14" bestFit="1" customWidth="1"/>
    <col min="14" max="14" width="10.140625" style="14" bestFit="1" customWidth="1"/>
    <col min="15" max="15" width="9" style="14" customWidth="1"/>
    <col min="16" max="16" width="12.85546875" style="14" bestFit="1" customWidth="1"/>
    <col min="17" max="18" width="9.42578125" style="14" customWidth="1"/>
    <col min="19" max="19" width="13.7109375" style="14" customWidth="1"/>
    <col min="20" max="20" width="12.140625" style="14" customWidth="1"/>
    <col min="21" max="21" width="19.5703125" style="14" bestFit="1" customWidth="1"/>
    <col min="22" max="22" width="9.85546875" style="14" customWidth="1"/>
    <col min="23" max="23" width="10.140625" style="14" bestFit="1" customWidth="1"/>
    <col min="24" max="24" width="10.28515625" style="14" customWidth="1"/>
    <col min="25" max="25" width="28" style="14" customWidth="1"/>
    <col min="26" max="16384" width="9.140625" style="14"/>
  </cols>
  <sheetData>
    <row r="1" spans="1:25" ht="46.15" customHeight="1" x14ac:dyDescent="0.25">
      <c r="A1" s="2240" t="s">
        <v>148</v>
      </c>
      <c r="B1" s="2240"/>
      <c r="C1" s="2240"/>
      <c r="D1" s="2240"/>
      <c r="E1" s="2240"/>
      <c r="F1" s="2240"/>
      <c r="G1" s="2240"/>
      <c r="H1" s="2240"/>
      <c r="I1" s="2240"/>
      <c r="J1" s="2240"/>
      <c r="K1" s="2240"/>
      <c r="L1" s="2240"/>
      <c r="M1" s="2240"/>
      <c r="N1" s="2240"/>
      <c r="O1" s="2240"/>
      <c r="P1" s="2240"/>
      <c r="Q1" s="2240"/>
      <c r="R1" s="2240"/>
      <c r="S1" s="2240"/>
      <c r="T1" s="2240"/>
      <c r="U1" s="2240"/>
      <c r="V1" s="2240"/>
      <c r="W1" s="2240"/>
      <c r="X1" s="2240"/>
      <c r="Y1" s="2240"/>
    </row>
    <row r="2" spans="1:25" ht="21.6" customHeight="1" x14ac:dyDescent="0.25">
      <c r="A2" s="2241" t="s">
        <v>77</v>
      </c>
      <c r="B2" s="2241"/>
      <c r="C2" s="2241"/>
      <c r="D2" s="2241"/>
      <c r="E2" s="2241"/>
      <c r="F2" s="2241"/>
      <c r="G2" s="2241"/>
      <c r="H2" s="2241"/>
      <c r="I2" s="2241"/>
      <c r="J2" s="2241"/>
      <c r="K2" s="2241"/>
      <c r="L2" s="2241"/>
      <c r="M2" s="2241"/>
      <c r="N2" s="2241"/>
      <c r="O2" s="2241"/>
      <c r="P2" s="2241"/>
      <c r="Q2" s="2241"/>
      <c r="R2" s="2241"/>
      <c r="S2" s="2241"/>
      <c r="T2" s="2241"/>
      <c r="U2" s="2241"/>
      <c r="V2" s="2241"/>
      <c r="W2" s="2241"/>
      <c r="X2" s="2241"/>
      <c r="Y2" s="2241"/>
    </row>
    <row r="3" spans="1:25" ht="21" customHeight="1" x14ac:dyDescent="0.25">
      <c r="A3" s="386"/>
      <c r="B3" s="386"/>
      <c r="C3" s="386"/>
      <c r="D3" s="386"/>
      <c r="E3" s="386"/>
      <c r="F3" s="386"/>
      <c r="G3" s="386"/>
      <c r="H3" s="386"/>
      <c r="I3" s="386"/>
      <c r="J3" s="386"/>
      <c r="K3" s="386"/>
      <c r="L3" s="386"/>
      <c r="M3" s="386"/>
      <c r="N3" s="386"/>
      <c r="O3" s="386"/>
      <c r="P3" s="386"/>
      <c r="Q3" s="386"/>
      <c r="R3" s="386"/>
      <c r="S3" s="386"/>
      <c r="T3" s="2242" t="s">
        <v>318</v>
      </c>
      <c r="U3" s="2242"/>
      <c r="V3" s="2242"/>
      <c r="W3" s="2242"/>
      <c r="X3" s="2242"/>
      <c r="Y3" s="2242"/>
    </row>
    <row r="4" spans="1:25" s="386" customFormat="1" ht="18" customHeight="1" x14ac:dyDescent="0.25">
      <c r="A4" s="2243" t="s">
        <v>25</v>
      </c>
      <c r="B4" s="2243" t="s">
        <v>26</v>
      </c>
      <c r="C4" s="2244" t="s">
        <v>27</v>
      </c>
      <c r="D4" s="2244"/>
      <c r="E4" s="2244" t="s">
        <v>28</v>
      </c>
      <c r="F4" s="2244"/>
      <c r="G4" s="2244" t="s">
        <v>65</v>
      </c>
      <c r="H4" s="2244"/>
      <c r="I4" s="2244" t="s">
        <v>29</v>
      </c>
      <c r="J4" s="2244"/>
      <c r="K4" s="2245" t="s">
        <v>13</v>
      </c>
      <c r="L4" s="2246"/>
      <c r="M4" s="2245" t="s">
        <v>67</v>
      </c>
      <c r="N4" s="2246"/>
      <c r="O4" s="2245" t="s">
        <v>68</v>
      </c>
      <c r="P4" s="2246"/>
      <c r="Q4" s="2245" t="s">
        <v>114</v>
      </c>
      <c r="R4" s="2246"/>
      <c r="S4" s="2244" t="s">
        <v>35</v>
      </c>
      <c r="T4" s="2244"/>
      <c r="U4" s="2245" t="s">
        <v>17</v>
      </c>
      <c r="V4" s="2246"/>
      <c r="W4" s="2247" t="s">
        <v>36</v>
      </c>
      <c r="X4" s="2248"/>
      <c r="Y4" s="2238" t="s">
        <v>30</v>
      </c>
    </row>
    <row r="5" spans="1:25" s="386" customFormat="1" ht="25.5" customHeight="1" x14ac:dyDescent="0.25">
      <c r="A5" s="2243"/>
      <c r="B5" s="2243"/>
      <c r="C5" s="385" t="s">
        <v>42</v>
      </c>
      <c r="D5" s="385" t="s">
        <v>43</v>
      </c>
      <c r="E5" s="385" t="s">
        <v>42</v>
      </c>
      <c r="F5" s="385" t="s">
        <v>43</v>
      </c>
      <c r="G5" s="385" t="s">
        <v>42</v>
      </c>
      <c r="H5" s="385" t="s">
        <v>43</v>
      </c>
      <c r="I5" s="385" t="s">
        <v>42</v>
      </c>
      <c r="J5" s="385" t="s">
        <v>43</v>
      </c>
      <c r="K5" s="385" t="s">
        <v>42</v>
      </c>
      <c r="L5" s="385" t="s">
        <v>43</v>
      </c>
      <c r="M5" s="385" t="s">
        <v>42</v>
      </c>
      <c r="N5" s="385" t="s">
        <v>43</v>
      </c>
      <c r="O5" s="385" t="s">
        <v>42</v>
      </c>
      <c r="P5" s="385" t="s">
        <v>43</v>
      </c>
      <c r="Q5" s="385" t="s">
        <v>42</v>
      </c>
      <c r="R5" s="385" t="s">
        <v>43</v>
      </c>
      <c r="S5" s="33" t="s">
        <v>42</v>
      </c>
      <c r="T5" s="33" t="s">
        <v>43</v>
      </c>
      <c r="U5" s="30" t="s">
        <v>42</v>
      </c>
      <c r="V5" s="30" t="s">
        <v>43</v>
      </c>
      <c r="W5" s="30" t="s">
        <v>42</v>
      </c>
      <c r="X5" s="30" t="s">
        <v>43</v>
      </c>
      <c r="Y5" s="2239"/>
    </row>
    <row r="6" spans="1:25" ht="34.5" customHeight="1" x14ac:dyDescent="0.25">
      <c r="A6" s="12">
        <v>1409935200</v>
      </c>
      <c r="B6" s="384" t="s">
        <v>71</v>
      </c>
      <c r="C6" s="382">
        <v>41484</v>
      </c>
      <c r="D6" s="381">
        <f>0.9725*C6</f>
        <v>40343.19</v>
      </c>
      <c r="E6" s="382"/>
      <c r="F6" s="382">
        <f>13.7*E6</f>
        <v>0</v>
      </c>
      <c r="G6" s="382">
        <v>20</v>
      </c>
      <c r="H6" s="382">
        <f>28.2*G6</f>
        <v>564</v>
      </c>
      <c r="I6" s="382"/>
      <c r="J6" s="382">
        <f>18.5*I6</f>
        <v>0</v>
      </c>
      <c r="K6" s="382"/>
      <c r="L6" s="382">
        <f>19.5*K6</f>
        <v>0</v>
      </c>
      <c r="M6" s="382"/>
      <c r="N6" s="381">
        <f>M6*9.75</f>
        <v>0</v>
      </c>
      <c r="O6" s="382"/>
      <c r="P6" s="381">
        <f>O6*48.62</f>
        <v>0</v>
      </c>
      <c r="Q6" s="381"/>
      <c r="R6" s="381">
        <f>241*Q6</f>
        <v>0</v>
      </c>
      <c r="S6" s="382"/>
      <c r="T6" s="382">
        <f>241*S6</f>
        <v>0</v>
      </c>
      <c r="U6" s="382"/>
      <c r="V6" s="382">
        <f>232*U6</f>
        <v>0</v>
      </c>
      <c r="W6" s="382"/>
      <c r="X6" s="19">
        <f>W6*100</f>
        <v>0</v>
      </c>
      <c r="Y6" s="89">
        <f t="shared" ref="Y6:Y11" si="0">D6+F6+H6+J6+L6+N6+P6+R6+T6+V6+X6</f>
        <v>40907.19</v>
      </c>
    </row>
    <row r="7" spans="1:25" ht="31.5" customHeight="1" x14ac:dyDescent="0.25">
      <c r="A7" s="12">
        <v>1984225578</v>
      </c>
      <c r="B7" s="384" t="s">
        <v>72</v>
      </c>
      <c r="C7" s="382">
        <v>31841</v>
      </c>
      <c r="D7" s="381">
        <f t="shared" ref="D7:D11" si="1">0.9725*C7</f>
        <v>30965.372500000001</v>
      </c>
      <c r="E7" s="382"/>
      <c r="F7" s="382">
        <f t="shared" ref="F7:F11" si="2">13.7*E7</f>
        <v>0</v>
      </c>
      <c r="G7" s="382"/>
      <c r="H7" s="382">
        <f t="shared" ref="H7:H11" si="3">28.2*G7</f>
        <v>0</v>
      </c>
      <c r="I7" s="382">
        <v>60</v>
      </c>
      <c r="J7" s="382">
        <f t="shared" ref="J7:J11" si="4">18.5*I7</f>
        <v>1110</v>
      </c>
      <c r="K7" s="382"/>
      <c r="L7" s="382">
        <f t="shared" ref="L7:L11" si="5">19.5*K7</f>
        <v>0</v>
      </c>
      <c r="M7" s="382"/>
      <c r="N7" s="381">
        <f t="shared" ref="N7:N11" si="6">M7*9.75</f>
        <v>0</v>
      </c>
      <c r="O7" s="382"/>
      <c r="P7" s="381">
        <f t="shared" ref="P7:P11" si="7">O7*48.62</f>
        <v>0</v>
      </c>
      <c r="Q7" s="381"/>
      <c r="R7" s="381">
        <f t="shared" ref="R7:R11" si="8">241*Q7</f>
        <v>0</v>
      </c>
      <c r="S7" s="382"/>
      <c r="T7" s="382">
        <f t="shared" ref="T7:T11" si="9">241*S7</f>
        <v>0</v>
      </c>
      <c r="U7" s="382"/>
      <c r="V7" s="382">
        <f t="shared" ref="V7:V11" si="10">232*U7</f>
        <v>0</v>
      </c>
      <c r="W7" s="382"/>
      <c r="X7" s="19">
        <f t="shared" ref="X7:X11" si="11">W7*100</f>
        <v>0</v>
      </c>
      <c r="Y7" s="89">
        <f t="shared" si="0"/>
        <v>32075.372500000001</v>
      </c>
    </row>
    <row r="8" spans="1:25" ht="35.25" customHeight="1" x14ac:dyDescent="0.25">
      <c r="A8" s="12">
        <v>1967020280</v>
      </c>
      <c r="B8" s="384" t="s">
        <v>73</v>
      </c>
      <c r="C8" s="382">
        <v>39285</v>
      </c>
      <c r="D8" s="381">
        <f t="shared" si="1"/>
        <v>38204.662499999999</v>
      </c>
      <c r="E8" s="382"/>
      <c r="F8" s="382">
        <f t="shared" si="2"/>
        <v>0</v>
      </c>
      <c r="G8" s="382">
        <v>100</v>
      </c>
      <c r="H8" s="382">
        <f t="shared" si="3"/>
        <v>2820</v>
      </c>
      <c r="I8" s="382"/>
      <c r="J8" s="382">
        <f t="shared" si="4"/>
        <v>0</v>
      </c>
      <c r="K8" s="382"/>
      <c r="L8" s="382">
        <f t="shared" si="5"/>
        <v>0</v>
      </c>
      <c r="M8" s="382"/>
      <c r="N8" s="381">
        <f t="shared" si="6"/>
        <v>0</v>
      </c>
      <c r="O8" s="382"/>
      <c r="P8" s="381">
        <f t="shared" si="7"/>
        <v>0</v>
      </c>
      <c r="Q8" s="381"/>
      <c r="R8" s="381">
        <f t="shared" si="8"/>
        <v>0</v>
      </c>
      <c r="S8" s="382"/>
      <c r="T8" s="382">
        <f t="shared" si="9"/>
        <v>0</v>
      </c>
      <c r="U8" s="382"/>
      <c r="V8" s="382">
        <f t="shared" si="10"/>
        <v>0</v>
      </c>
      <c r="W8" s="382"/>
      <c r="X8" s="19">
        <f t="shared" si="11"/>
        <v>0</v>
      </c>
      <c r="Y8" s="89">
        <f t="shared" si="0"/>
        <v>41024.662499999999</v>
      </c>
    </row>
    <row r="9" spans="1:25" ht="38.25" customHeight="1" x14ac:dyDescent="0.25">
      <c r="A9" s="12">
        <v>1984225580</v>
      </c>
      <c r="B9" s="384" t="s">
        <v>75</v>
      </c>
      <c r="C9" s="382">
        <v>18581</v>
      </c>
      <c r="D9" s="381">
        <f t="shared" si="1"/>
        <v>18070.022499999999</v>
      </c>
      <c r="E9" s="382"/>
      <c r="F9" s="382">
        <f t="shared" si="2"/>
        <v>0</v>
      </c>
      <c r="G9" s="382"/>
      <c r="H9" s="382">
        <f t="shared" si="3"/>
        <v>0</v>
      </c>
      <c r="I9" s="382"/>
      <c r="J9" s="382">
        <f t="shared" si="4"/>
        <v>0</v>
      </c>
      <c r="K9" s="382"/>
      <c r="L9" s="382">
        <f t="shared" si="5"/>
        <v>0</v>
      </c>
      <c r="M9" s="382"/>
      <c r="N9" s="381">
        <f t="shared" si="6"/>
        <v>0</v>
      </c>
      <c r="O9" s="382"/>
      <c r="P9" s="381">
        <f t="shared" si="7"/>
        <v>0</v>
      </c>
      <c r="Q9" s="381"/>
      <c r="R9" s="381">
        <f t="shared" si="8"/>
        <v>0</v>
      </c>
      <c r="S9" s="382"/>
      <c r="T9" s="382">
        <f t="shared" si="9"/>
        <v>0</v>
      </c>
      <c r="U9" s="382"/>
      <c r="V9" s="382">
        <f t="shared" si="10"/>
        <v>0</v>
      </c>
      <c r="W9" s="382"/>
      <c r="X9" s="19">
        <f t="shared" si="11"/>
        <v>0</v>
      </c>
      <c r="Y9" s="89">
        <f t="shared" si="0"/>
        <v>18070.022499999999</v>
      </c>
    </row>
    <row r="10" spans="1:25" ht="35.25" customHeight="1" x14ac:dyDescent="0.25">
      <c r="A10" s="12">
        <v>1409935199</v>
      </c>
      <c r="C10" s="382"/>
      <c r="D10" s="381">
        <f t="shared" si="1"/>
        <v>0</v>
      </c>
      <c r="E10" s="382"/>
      <c r="F10" s="382">
        <f t="shared" si="2"/>
        <v>0</v>
      </c>
      <c r="G10" s="382"/>
      <c r="H10" s="382">
        <f t="shared" si="3"/>
        <v>0</v>
      </c>
      <c r="I10" s="382"/>
      <c r="J10" s="382">
        <f t="shared" si="4"/>
        <v>0</v>
      </c>
      <c r="K10" s="382"/>
      <c r="L10" s="382">
        <f t="shared" si="5"/>
        <v>0</v>
      </c>
      <c r="M10" s="382"/>
      <c r="N10" s="381">
        <f t="shared" si="6"/>
        <v>0</v>
      </c>
      <c r="O10" s="382"/>
      <c r="P10" s="381">
        <f t="shared" si="7"/>
        <v>0</v>
      </c>
      <c r="Q10" s="381"/>
      <c r="R10" s="381">
        <f t="shared" si="8"/>
        <v>0</v>
      </c>
      <c r="S10" s="382"/>
      <c r="T10" s="382">
        <f t="shared" si="9"/>
        <v>0</v>
      </c>
      <c r="U10" s="382"/>
      <c r="V10" s="382">
        <f t="shared" si="10"/>
        <v>0</v>
      </c>
      <c r="W10" s="382"/>
      <c r="X10" s="19">
        <f t="shared" si="11"/>
        <v>0</v>
      </c>
      <c r="Y10" s="89">
        <f t="shared" si="0"/>
        <v>0</v>
      </c>
    </row>
    <row r="11" spans="1:25" ht="37.5" customHeight="1" x14ac:dyDescent="0.25">
      <c r="A11" s="12"/>
      <c r="B11" s="383"/>
      <c r="C11" s="382"/>
      <c r="D11" s="22">
        <f t="shared" si="1"/>
        <v>0</v>
      </c>
      <c r="E11" s="382"/>
      <c r="F11" s="382">
        <f t="shared" si="2"/>
        <v>0</v>
      </c>
      <c r="G11" s="382"/>
      <c r="H11" s="382">
        <f t="shared" si="3"/>
        <v>0</v>
      </c>
      <c r="I11" s="382"/>
      <c r="J11" s="382">
        <f t="shared" si="4"/>
        <v>0</v>
      </c>
      <c r="K11" s="382"/>
      <c r="L11" s="382">
        <f t="shared" si="5"/>
        <v>0</v>
      </c>
      <c r="M11" s="382"/>
      <c r="N11" s="381">
        <f t="shared" si="6"/>
        <v>0</v>
      </c>
      <c r="O11" s="382"/>
      <c r="P11" s="381">
        <f t="shared" si="7"/>
        <v>0</v>
      </c>
      <c r="Q11" s="381"/>
      <c r="R11" s="381">
        <f t="shared" si="8"/>
        <v>0</v>
      </c>
      <c r="S11" s="382">
        <v>16</v>
      </c>
      <c r="T11" s="382">
        <f t="shared" si="9"/>
        <v>3856</v>
      </c>
      <c r="U11" s="382"/>
      <c r="V11" s="382">
        <f t="shared" si="10"/>
        <v>0</v>
      </c>
      <c r="W11" s="382"/>
      <c r="X11" s="19">
        <f t="shared" si="11"/>
        <v>0</v>
      </c>
      <c r="Y11" s="20">
        <f t="shared" si="0"/>
        <v>3856</v>
      </c>
    </row>
    <row r="12" spans="1:25" ht="29.25" customHeight="1" x14ac:dyDescent="0.25">
      <c r="A12" s="2235" t="s">
        <v>31</v>
      </c>
      <c r="B12" s="2235"/>
      <c r="C12" s="18">
        <f t="shared" ref="C12:Y12" si="12">SUM(C6:C11)</f>
        <v>131191</v>
      </c>
      <c r="D12" s="18">
        <f t="shared" si="12"/>
        <v>127583.2475</v>
      </c>
      <c r="E12" s="18">
        <f t="shared" si="12"/>
        <v>0</v>
      </c>
      <c r="F12" s="18">
        <f t="shared" si="12"/>
        <v>0</v>
      </c>
      <c r="G12" s="18">
        <f t="shared" si="12"/>
        <v>120</v>
      </c>
      <c r="H12" s="18">
        <f t="shared" si="12"/>
        <v>3384</v>
      </c>
      <c r="I12" s="18">
        <f t="shared" si="12"/>
        <v>60</v>
      </c>
      <c r="J12" s="18">
        <f t="shared" si="12"/>
        <v>1110</v>
      </c>
      <c r="K12" s="18">
        <f t="shared" si="12"/>
        <v>0</v>
      </c>
      <c r="L12" s="18">
        <f t="shared" si="12"/>
        <v>0</v>
      </c>
      <c r="M12" s="18">
        <f t="shared" si="12"/>
        <v>0</v>
      </c>
      <c r="N12" s="23">
        <f t="shared" si="12"/>
        <v>0</v>
      </c>
      <c r="O12" s="18">
        <f t="shared" si="12"/>
        <v>0</v>
      </c>
      <c r="P12" s="23">
        <f t="shared" si="12"/>
        <v>0</v>
      </c>
      <c r="Q12" s="23">
        <f t="shared" si="12"/>
        <v>0</v>
      </c>
      <c r="R12" s="23">
        <f>SUM(R6:R11)</f>
        <v>0</v>
      </c>
      <c r="S12" s="18">
        <f t="shared" si="12"/>
        <v>16</v>
      </c>
      <c r="T12" s="18">
        <f t="shared" si="12"/>
        <v>3856</v>
      </c>
      <c r="U12" s="18">
        <f t="shared" si="12"/>
        <v>0</v>
      </c>
      <c r="V12" s="18">
        <f t="shared" si="12"/>
        <v>0</v>
      </c>
      <c r="W12" s="18">
        <f t="shared" si="12"/>
        <v>0</v>
      </c>
      <c r="X12" s="18">
        <f t="shared" si="12"/>
        <v>0</v>
      </c>
      <c r="Y12" s="18">
        <f t="shared" si="12"/>
        <v>135933.2475</v>
      </c>
    </row>
    <row r="14" spans="1:25" ht="41.25" customHeight="1" x14ac:dyDescent="0.25">
      <c r="A14" s="30" t="s">
        <v>32</v>
      </c>
      <c r="B14" s="2236" t="s">
        <v>27</v>
      </c>
      <c r="C14" s="2236"/>
      <c r="D14" s="30" t="s">
        <v>33</v>
      </c>
      <c r="E14" s="30" t="s">
        <v>65</v>
      </c>
      <c r="F14" s="30" t="s">
        <v>34</v>
      </c>
      <c r="G14" s="30" t="s">
        <v>13</v>
      </c>
      <c r="H14" s="142" t="s">
        <v>173</v>
      </c>
      <c r="I14" s="30" t="s">
        <v>17</v>
      </c>
      <c r="J14" s="390" t="s">
        <v>174</v>
      </c>
      <c r="K14" s="30" t="s">
        <v>36</v>
      </c>
      <c r="L14" s="30" t="s">
        <v>175</v>
      </c>
      <c r="M14" s="30" t="s">
        <v>69</v>
      </c>
      <c r="N14" s="30" t="s">
        <v>70</v>
      </c>
      <c r="O14" s="390" t="s">
        <v>114</v>
      </c>
      <c r="P14" s="390" t="s">
        <v>301</v>
      </c>
      <c r="Q14" s="2272"/>
      <c r="R14" s="2272"/>
      <c r="S14" s="390"/>
      <c r="T14" s="2235" t="s">
        <v>46</v>
      </c>
      <c r="U14" s="384" t="s">
        <v>176</v>
      </c>
      <c r="V14" s="2260">
        <v>450</v>
      </c>
      <c r="W14" s="2268"/>
      <c r="X14" s="2261"/>
    </row>
    <row r="15" spans="1:25" ht="22.5" customHeight="1" x14ac:dyDescent="0.25">
      <c r="A15" s="100" t="s">
        <v>38</v>
      </c>
      <c r="B15" s="2260">
        <v>282659</v>
      </c>
      <c r="C15" s="2261"/>
      <c r="D15" s="387">
        <v>0</v>
      </c>
      <c r="E15" s="387">
        <v>4040</v>
      </c>
      <c r="F15" s="387">
        <v>420</v>
      </c>
      <c r="G15" s="387">
        <v>0</v>
      </c>
      <c r="H15" s="387">
        <v>7</v>
      </c>
      <c r="I15" s="387">
        <v>25</v>
      </c>
      <c r="J15" s="387">
        <v>106</v>
      </c>
      <c r="K15" s="387">
        <v>68</v>
      </c>
      <c r="L15" s="387">
        <v>950</v>
      </c>
      <c r="M15" s="387">
        <v>0</v>
      </c>
      <c r="N15" s="387">
        <v>100</v>
      </c>
      <c r="O15" s="387">
        <v>0</v>
      </c>
      <c r="P15" s="387">
        <v>16</v>
      </c>
      <c r="Q15" s="2262"/>
      <c r="R15" s="2262"/>
      <c r="S15" s="384">
        <v>0</v>
      </c>
      <c r="T15" s="2235"/>
      <c r="U15" s="384" t="s">
        <v>64</v>
      </c>
      <c r="V15" s="2262">
        <v>280352</v>
      </c>
      <c r="W15" s="2262"/>
      <c r="X15" s="2262"/>
    </row>
    <row r="16" spans="1:25" ht="24.75" customHeight="1" x14ac:dyDescent="0.25">
      <c r="A16" s="100" t="s">
        <v>39</v>
      </c>
      <c r="B16" s="2260">
        <v>124600</v>
      </c>
      <c r="C16" s="2261"/>
      <c r="D16" s="387"/>
      <c r="E16" s="387"/>
      <c r="F16" s="387">
        <v>7500</v>
      </c>
      <c r="G16" s="387"/>
      <c r="H16" s="387">
        <v>150</v>
      </c>
      <c r="I16" s="387"/>
      <c r="J16" s="387"/>
      <c r="K16" s="387"/>
      <c r="L16" s="387"/>
      <c r="M16" s="387"/>
      <c r="N16" s="387"/>
      <c r="O16" s="387"/>
      <c r="P16" s="387"/>
      <c r="Q16" s="2225"/>
      <c r="R16" s="2225"/>
      <c r="S16" s="387"/>
      <c r="T16" s="2254" t="s">
        <v>55</v>
      </c>
      <c r="U16" s="2254"/>
      <c r="V16" s="2267">
        <f>Y12</f>
        <v>135933.2475</v>
      </c>
      <c r="W16" s="2267"/>
      <c r="X16" s="2262"/>
    </row>
    <row r="17" spans="1:25" ht="28.5" customHeight="1" x14ac:dyDescent="0.25">
      <c r="A17" s="101" t="s">
        <v>44</v>
      </c>
      <c r="B17" s="2260"/>
      <c r="C17" s="2261"/>
      <c r="D17" s="387"/>
      <c r="E17" s="387"/>
      <c r="F17" s="387"/>
      <c r="G17" s="387"/>
      <c r="H17" s="387"/>
      <c r="I17" s="387"/>
      <c r="J17" s="387"/>
      <c r="K17" s="387"/>
      <c r="L17" s="387"/>
      <c r="M17" s="387"/>
      <c r="N17" s="387"/>
      <c r="O17" s="387"/>
      <c r="P17" s="387"/>
      <c r="Q17" s="2225"/>
      <c r="R17" s="2225"/>
      <c r="S17" s="383"/>
      <c r="T17" s="2294" t="s">
        <v>319</v>
      </c>
      <c r="U17" s="2295"/>
      <c r="V17" s="2296">
        <v>70000</v>
      </c>
      <c r="W17" s="2296"/>
      <c r="X17" s="2296"/>
    </row>
    <row r="18" spans="1:25" ht="27" customHeight="1" x14ac:dyDescent="0.25">
      <c r="A18" s="100" t="s">
        <v>40</v>
      </c>
      <c r="B18" s="2264">
        <f>C12</f>
        <v>131191</v>
      </c>
      <c r="C18" s="2261"/>
      <c r="D18" s="389">
        <f>E12</f>
        <v>0</v>
      </c>
      <c r="E18" s="389">
        <f>G12</f>
        <v>120</v>
      </c>
      <c r="F18" s="389">
        <f>I12</f>
        <v>60</v>
      </c>
      <c r="G18" s="389">
        <f>K12</f>
        <v>0</v>
      </c>
      <c r="H18" s="387"/>
      <c r="I18" s="389">
        <f>U12</f>
        <v>0</v>
      </c>
      <c r="J18" s="387"/>
      <c r="K18" s="389">
        <f>W12</f>
        <v>0</v>
      </c>
      <c r="L18" s="387"/>
      <c r="M18" s="389">
        <f>M12</f>
        <v>0</v>
      </c>
      <c r="N18" s="389">
        <f>O12</f>
        <v>0</v>
      </c>
      <c r="O18" s="388">
        <f>Q12</f>
        <v>0</v>
      </c>
      <c r="P18" s="387">
        <v>16</v>
      </c>
      <c r="Q18" s="2262"/>
      <c r="R18" s="2262"/>
      <c r="S18" s="384"/>
      <c r="T18" s="2254" t="s">
        <v>57</v>
      </c>
      <c r="U18" s="2254"/>
      <c r="V18" s="2262">
        <f>620+150+300+4750</f>
        <v>5820</v>
      </c>
      <c r="W18" s="2262"/>
      <c r="X18" s="2262"/>
      <c r="Y18" s="2269"/>
    </row>
    <row r="19" spans="1:25" ht="25.5" customHeight="1" x14ac:dyDescent="0.25">
      <c r="A19" s="100" t="s">
        <v>41</v>
      </c>
      <c r="B19" s="2260">
        <f>B15+B16+B17-B18</f>
        <v>276068</v>
      </c>
      <c r="C19" s="2261"/>
      <c r="D19" s="387">
        <f>D15+D16+D17-D18</f>
        <v>0</v>
      </c>
      <c r="E19" s="387">
        <f t="shared" ref="E19:N19" si="13">E15+E16+E17-E18</f>
        <v>3920</v>
      </c>
      <c r="F19" s="387">
        <f t="shared" si="13"/>
        <v>7860</v>
      </c>
      <c r="G19" s="387">
        <f t="shared" si="13"/>
        <v>0</v>
      </c>
      <c r="H19" s="387">
        <f t="shared" si="13"/>
        <v>157</v>
      </c>
      <c r="I19" s="387">
        <f t="shared" si="13"/>
        <v>25</v>
      </c>
      <c r="J19" s="387">
        <f t="shared" si="13"/>
        <v>106</v>
      </c>
      <c r="K19" s="387">
        <f t="shared" si="13"/>
        <v>68</v>
      </c>
      <c r="L19" s="387">
        <f t="shared" si="13"/>
        <v>950</v>
      </c>
      <c r="M19" s="387">
        <f t="shared" si="13"/>
        <v>0</v>
      </c>
      <c r="N19" s="387">
        <f t="shared" si="13"/>
        <v>100</v>
      </c>
      <c r="O19" s="387">
        <f>O15+O16+O17-O18</f>
        <v>0</v>
      </c>
      <c r="P19" s="387">
        <f>P15+P16+P17-P18</f>
        <v>0</v>
      </c>
      <c r="Q19" s="2260">
        <f t="shared" ref="Q19" si="14">Q15+Q16+Q17-Q18</f>
        <v>0</v>
      </c>
      <c r="R19" s="2261"/>
      <c r="S19" s="384">
        <f>S15+S16-S17-S18</f>
        <v>0</v>
      </c>
      <c r="T19" s="2256" t="s">
        <v>48</v>
      </c>
      <c r="U19" s="49" t="s">
        <v>58</v>
      </c>
      <c r="V19" s="2262">
        <v>454564</v>
      </c>
      <c r="W19" s="2262"/>
      <c r="X19" s="2262"/>
      <c r="Y19" s="2269"/>
    </row>
    <row r="20" spans="1:25" ht="23.25" customHeight="1" x14ac:dyDescent="0.25">
      <c r="A20" s="289" t="s">
        <v>187</v>
      </c>
      <c r="B20" s="2286">
        <f>B19*0.9625</f>
        <v>265715.45</v>
      </c>
      <c r="C20" s="2287"/>
      <c r="D20" s="290">
        <f>D19*13.56</f>
        <v>0</v>
      </c>
      <c r="E20" s="290">
        <f>28.2*E19</f>
        <v>110544</v>
      </c>
      <c r="F20" s="290">
        <f>18.31*F19</f>
        <v>143916.59999999998</v>
      </c>
      <c r="G20" s="290">
        <f>19.3*G19</f>
        <v>0</v>
      </c>
      <c r="H20" s="290">
        <f>241*H19</f>
        <v>37837</v>
      </c>
      <c r="I20" s="290">
        <f>223*I19</f>
        <v>5575</v>
      </c>
      <c r="J20" s="290">
        <f>241*J19</f>
        <v>25546</v>
      </c>
      <c r="K20" s="290">
        <f>K19*100</f>
        <v>6800</v>
      </c>
      <c r="L20" s="290">
        <f>241*L19</f>
        <v>228950</v>
      </c>
      <c r="M20" s="290">
        <f>9.65*M19</f>
        <v>0</v>
      </c>
      <c r="N20" s="290">
        <f>N19*48.2</f>
        <v>4820</v>
      </c>
      <c r="O20" s="290">
        <f>241*O19</f>
        <v>0</v>
      </c>
      <c r="P20" s="290">
        <f>241*P19</f>
        <v>0</v>
      </c>
      <c r="Q20" s="2286">
        <f>241*Q19</f>
        <v>0</v>
      </c>
      <c r="R20" s="2287"/>
      <c r="S20" s="290">
        <f>241*S19</f>
        <v>0</v>
      </c>
      <c r="T20" s="2257"/>
      <c r="U20" s="49" t="s">
        <v>59</v>
      </c>
      <c r="V20" s="2262"/>
      <c r="W20" s="2262"/>
      <c r="X20" s="2262"/>
      <c r="Y20" s="2269"/>
    </row>
    <row r="21" spans="1:25" ht="32.25" customHeight="1" x14ac:dyDescent="0.25">
      <c r="A21" s="291" t="s">
        <v>186</v>
      </c>
      <c r="B21" s="2293">
        <f>SUM(B20:S20)</f>
        <v>829704.05</v>
      </c>
      <c r="C21" s="2293"/>
      <c r="O21" s="391"/>
      <c r="P21" s="391"/>
      <c r="Q21" s="391"/>
      <c r="R21" s="391"/>
      <c r="T21" s="2294" t="s">
        <v>315</v>
      </c>
      <c r="U21" s="2295"/>
      <c r="V21" s="2297"/>
      <c r="W21" s="2298"/>
      <c r="X21" s="2299"/>
      <c r="Y21" s="2269"/>
    </row>
    <row r="22" spans="1:25" ht="35.25" customHeight="1" x14ac:dyDescent="0.25">
      <c r="A22" s="15"/>
      <c r="B22" s="2288" t="s">
        <v>49</v>
      </c>
      <c r="C22" s="2291">
        <v>645509</v>
      </c>
      <c r="D22" s="2291">
        <v>454564</v>
      </c>
      <c r="E22" s="2291">
        <v>293403</v>
      </c>
      <c r="F22" s="2291">
        <f>C22-D22+E22</f>
        <v>484348</v>
      </c>
      <c r="G22" s="391"/>
      <c r="Q22" s="391"/>
      <c r="R22" s="391"/>
      <c r="T22" s="2251" t="s">
        <v>83</v>
      </c>
      <c r="U22" s="50" t="s">
        <v>60</v>
      </c>
      <c r="V22" s="2262">
        <v>187610</v>
      </c>
      <c r="W22" s="2262"/>
      <c r="X22" s="2262"/>
      <c r="Y22" s="2269"/>
    </row>
    <row r="23" spans="1:25" ht="39.75" customHeight="1" x14ac:dyDescent="0.25">
      <c r="A23" s="391"/>
      <c r="B23" s="2289"/>
      <c r="C23" s="2292"/>
      <c r="D23" s="2292"/>
      <c r="E23" s="2292"/>
      <c r="F23" s="2292"/>
      <c r="G23" s="391"/>
      <c r="Q23" s="391"/>
      <c r="R23" s="391"/>
      <c r="T23" s="2252"/>
      <c r="U23" s="50" t="s">
        <v>61</v>
      </c>
      <c r="V23" s="2262">
        <v>454564</v>
      </c>
      <c r="W23" s="2262"/>
      <c r="X23" s="2262"/>
      <c r="Y23" s="2269"/>
    </row>
    <row r="24" spans="1:25" ht="48" customHeight="1" x14ac:dyDescent="0.25">
      <c r="A24" s="391"/>
      <c r="B24" s="2290"/>
      <c r="C24" s="290" t="s">
        <v>46</v>
      </c>
      <c r="D24" s="290" t="s">
        <v>50</v>
      </c>
      <c r="E24" s="290" t="s">
        <v>51</v>
      </c>
      <c r="F24" s="290" t="s">
        <v>52</v>
      </c>
      <c r="G24" s="391"/>
      <c r="Q24" s="391"/>
      <c r="R24" s="391"/>
      <c r="T24" s="2235" t="s">
        <v>47</v>
      </c>
      <c r="U24" s="51" t="s">
        <v>62</v>
      </c>
      <c r="V24" s="2263">
        <f>V14+V16+V17-V18-V19-V20-V22+V23-V21</f>
        <v>12953.247499999998</v>
      </c>
      <c r="W24" s="2263"/>
      <c r="X24" s="2263"/>
      <c r="Y24" s="2269"/>
    </row>
    <row r="25" spans="1:25" ht="40.5" customHeight="1" x14ac:dyDescent="0.25">
      <c r="T25" s="2235"/>
      <c r="U25" s="51" t="s">
        <v>63</v>
      </c>
      <c r="V25" s="2262">
        <f>V15+V22-V23</f>
        <v>13398</v>
      </c>
      <c r="W25" s="2262"/>
      <c r="X25" s="2262"/>
    </row>
    <row r="26" spans="1:25" ht="36" customHeight="1" x14ac:dyDescent="0.25">
      <c r="K26" s="314"/>
    </row>
    <row r="32" spans="1:25" x14ac:dyDescent="0.25">
      <c r="I32" s="2280"/>
      <c r="J32" s="2280"/>
      <c r="K32" s="2280"/>
      <c r="L32" s="2280"/>
    </row>
    <row r="33" spans="9:12" x14ac:dyDescent="0.25">
      <c r="I33" s="391"/>
      <c r="J33" s="391"/>
      <c r="K33" s="2280"/>
      <c r="L33" s="2280"/>
    </row>
  </sheetData>
  <mergeCells count="62">
    <mergeCell ref="A1:Y1"/>
    <mergeCell ref="A2:Y2"/>
    <mergeCell ref="T3:Y3"/>
    <mergeCell ref="A4:A5"/>
    <mergeCell ref="B4:B5"/>
    <mergeCell ref="C4:D4"/>
    <mergeCell ref="E4:F4"/>
    <mergeCell ref="G4:H4"/>
    <mergeCell ref="I4:J4"/>
    <mergeCell ref="K4:L4"/>
    <mergeCell ref="Y4:Y5"/>
    <mergeCell ref="M4:N4"/>
    <mergeCell ref="O4:P4"/>
    <mergeCell ref="Q4:R4"/>
    <mergeCell ref="S4:T4"/>
    <mergeCell ref="U4:V4"/>
    <mergeCell ref="W4:X4"/>
    <mergeCell ref="B16:C16"/>
    <mergeCell ref="Q16:R16"/>
    <mergeCell ref="T16:U16"/>
    <mergeCell ref="V16:X16"/>
    <mergeCell ref="A12:B12"/>
    <mergeCell ref="B14:C14"/>
    <mergeCell ref="Q14:R14"/>
    <mergeCell ref="T14:T15"/>
    <mergeCell ref="V14:X14"/>
    <mergeCell ref="B15:C15"/>
    <mergeCell ref="Q15:R15"/>
    <mergeCell ref="V15:X15"/>
    <mergeCell ref="B17:C17"/>
    <mergeCell ref="Q17:R17"/>
    <mergeCell ref="T17:U17"/>
    <mergeCell ref="V17:X17"/>
    <mergeCell ref="B18:C18"/>
    <mergeCell ref="Q18:R18"/>
    <mergeCell ref="T18:U18"/>
    <mergeCell ref="V18:X18"/>
    <mergeCell ref="Y18:Y24"/>
    <mergeCell ref="B19:C19"/>
    <mergeCell ref="Q19:R19"/>
    <mergeCell ref="T19:T20"/>
    <mergeCell ref="V19:X19"/>
    <mergeCell ref="B20:C20"/>
    <mergeCell ref="B22:B24"/>
    <mergeCell ref="C22:C23"/>
    <mergeCell ref="D22:D23"/>
    <mergeCell ref="E22:E23"/>
    <mergeCell ref="F22:F23"/>
    <mergeCell ref="Q20:R20"/>
    <mergeCell ref="V20:X20"/>
    <mergeCell ref="B21:C21"/>
    <mergeCell ref="T21:U21"/>
    <mergeCell ref="V21:X21"/>
    <mergeCell ref="I32:J32"/>
    <mergeCell ref="K32:L32"/>
    <mergeCell ref="K33:L33"/>
    <mergeCell ref="T22:T23"/>
    <mergeCell ref="V22:X22"/>
    <mergeCell ref="V23:X23"/>
    <mergeCell ref="T24:T25"/>
    <mergeCell ref="V24:X24"/>
    <mergeCell ref="V25:X25"/>
  </mergeCells>
  <pageMargins left="0.15748031496063" right="0.15748031496063" top="0" bottom="0" header="0" footer="0"/>
  <pageSetup paperSize="9" scale="47" orientation="landscape" r:id="rId1"/>
</worksheet>
</file>

<file path=xl/worksheets/sheet1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E6845B5-DC76-43F5-A8F6-E734D5E89361}">
  <sheetPr>
    <pageSetUpPr fitToPage="1"/>
  </sheetPr>
  <dimension ref="A1:Y33"/>
  <sheetViews>
    <sheetView topLeftCell="A8" zoomScale="70" zoomScaleNormal="70" zoomScaleSheetLayoutView="100" workbookViewId="0">
      <selection activeCell="K24" sqref="K24"/>
    </sheetView>
  </sheetViews>
  <sheetFormatPr defaultColWidth="9.140625" defaultRowHeight="15" x14ac:dyDescent="0.25"/>
  <cols>
    <col min="1" max="1" width="18.28515625" style="14" customWidth="1"/>
    <col min="2" max="2" width="10.7109375" style="14" customWidth="1"/>
    <col min="3" max="3" width="12.28515625" style="14" customWidth="1"/>
    <col min="4" max="4" width="11" style="14" customWidth="1"/>
    <col min="5" max="5" width="12" style="14" customWidth="1"/>
    <col min="6" max="6" width="12.5703125" style="14" bestFit="1" customWidth="1"/>
    <col min="7" max="7" width="9.28515625" style="14" bestFit="1" customWidth="1"/>
    <col min="8" max="8" width="10.140625" style="14" bestFit="1" customWidth="1"/>
    <col min="9" max="9" width="10.5703125" style="14" bestFit="1" customWidth="1"/>
    <col min="10" max="10" width="10.5703125" style="14" customWidth="1"/>
    <col min="11" max="11" width="10.28515625" style="14" bestFit="1" customWidth="1"/>
    <col min="12" max="12" width="10.42578125" style="14" bestFit="1" customWidth="1"/>
    <col min="13" max="13" width="9.85546875" style="14" bestFit="1" customWidth="1"/>
    <col min="14" max="14" width="10.140625" style="14" bestFit="1" customWidth="1"/>
    <col min="15" max="15" width="9" style="14" customWidth="1"/>
    <col min="16" max="16" width="12.85546875" style="14" bestFit="1" customWidth="1"/>
    <col min="17" max="18" width="9.42578125" style="14" customWidth="1"/>
    <col min="19" max="19" width="13.7109375" style="14" customWidth="1"/>
    <col min="20" max="20" width="12.140625" style="14" customWidth="1"/>
    <col min="21" max="21" width="19.5703125" style="14" bestFit="1" customWidth="1"/>
    <col min="22" max="22" width="9.85546875" style="14" customWidth="1"/>
    <col min="23" max="23" width="10.140625" style="14" bestFit="1" customWidth="1"/>
    <col min="24" max="24" width="10.28515625" style="14" customWidth="1"/>
    <col min="25" max="25" width="28" style="14" customWidth="1"/>
    <col min="26" max="16384" width="9.140625" style="14"/>
  </cols>
  <sheetData>
    <row r="1" spans="1:25" ht="46.15" customHeight="1" x14ac:dyDescent="0.25">
      <c r="A1" s="2240" t="s">
        <v>148</v>
      </c>
      <c r="B1" s="2240"/>
      <c r="C1" s="2240"/>
      <c r="D1" s="2240"/>
      <c r="E1" s="2240"/>
      <c r="F1" s="2240"/>
      <c r="G1" s="2240"/>
      <c r="H1" s="2240"/>
      <c r="I1" s="2240"/>
      <c r="J1" s="2240"/>
      <c r="K1" s="2240"/>
      <c r="L1" s="2240"/>
      <c r="M1" s="2240"/>
      <c r="N1" s="2240"/>
      <c r="O1" s="2240"/>
      <c r="P1" s="2240"/>
      <c r="Q1" s="2240"/>
      <c r="R1" s="2240"/>
      <c r="S1" s="2240"/>
      <c r="T1" s="2240"/>
      <c r="U1" s="2240"/>
      <c r="V1" s="2240"/>
      <c r="W1" s="2240"/>
      <c r="X1" s="2240"/>
      <c r="Y1" s="2240"/>
    </row>
    <row r="2" spans="1:25" ht="21.6" customHeight="1" x14ac:dyDescent="0.25">
      <c r="A2" s="2241" t="s">
        <v>77</v>
      </c>
      <c r="B2" s="2241"/>
      <c r="C2" s="2241"/>
      <c r="D2" s="2241"/>
      <c r="E2" s="2241"/>
      <c r="F2" s="2241"/>
      <c r="G2" s="2241"/>
      <c r="H2" s="2241"/>
      <c r="I2" s="2241"/>
      <c r="J2" s="2241"/>
      <c r="K2" s="2241"/>
      <c r="L2" s="2241"/>
      <c r="M2" s="2241"/>
      <c r="N2" s="2241"/>
      <c r="O2" s="2241"/>
      <c r="P2" s="2241"/>
      <c r="Q2" s="2241"/>
      <c r="R2" s="2241"/>
      <c r="S2" s="2241"/>
      <c r="T2" s="2241"/>
      <c r="U2" s="2241"/>
      <c r="V2" s="2241"/>
      <c r="W2" s="2241"/>
      <c r="X2" s="2241"/>
      <c r="Y2" s="2241"/>
    </row>
    <row r="3" spans="1:25" ht="21" customHeight="1" x14ac:dyDescent="0.25">
      <c r="A3" s="386"/>
      <c r="B3" s="386"/>
      <c r="C3" s="386"/>
      <c r="D3" s="386"/>
      <c r="E3" s="386"/>
      <c r="F3" s="386"/>
      <c r="G3" s="386"/>
      <c r="H3" s="386"/>
      <c r="I3" s="386"/>
      <c r="J3" s="386"/>
      <c r="K3" s="386"/>
      <c r="L3" s="386"/>
      <c r="M3" s="386"/>
      <c r="N3" s="386"/>
      <c r="O3" s="386"/>
      <c r="P3" s="386"/>
      <c r="Q3" s="386"/>
      <c r="R3" s="386"/>
      <c r="S3" s="386"/>
      <c r="T3" s="2242" t="s">
        <v>320</v>
      </c>
      <c r="U3" s="2242"/>
      <c r="V3" s="2242"/>
      <c r="W3" s="2242"/>
      <c r="X3" s="2242"/>
      <c r="Y3" s="2242"/>
    </row>
    <row r="4" spans="1:25" s="386" customFormat="1" ht="18" customHeight="1" x14ac:dyDescent="0.25">
      <c r="A4" s="2243" t="s">
        <v>25</v>
      </c>
      <c r="B4" s="2243" t="s">
        <v>26</v>
      </c>
      <c r="C4" s="2244" t="s">
        <v>27</v>
      </c>
      <c r="D4" s="2244"/>
      <c r="E4" s="2244" t="s">
        <v>28</v>
      </c>
      <c r="F4" s="2244"/>
      <c r="G4" s="2244" t="s">
        <v>65</v>
      </c>
      <c r="H4" s="2244"/>
      <c r="I4" s="2244" t="s">
        <v>29</v>
      </c>
      <c r="J4" s="2244"/>
      <c r="K4" s="2245" t="s">
        <v>13</v>
      </c>
      <c r="L4" s="2246"/>
      <c r="M4" s="2245" t="s">
        <v>67</v>
      </c>
      <c r="N4" s="2246"/>
      <c r="O4" s="2245" t="s">
        <v>68</v>
      </c>
      <c r="P4" s="2246"/>
      <c r="Q4" s="2245" t="s">
        <v>114</v>
      </c>
      <c r="R4" s="2246"/>
      <c r="S4" s="2244" t="s">
        <v>35</v>
      </c>
      <c r="T4" s="2244"/>
      <c r="U4" s="2245" t="s">
        <v>17</v>
      </c>
      <c r="V4" s="2246"/>
      <c r="W4" s="2247" t="s">
        <v>36</v>
      </c>
      <c r="X4" s="2248"/>
      <c r="Y4" s="2238" t="s">
        <v>30</v>
      </c>
    </row>
    <row r="5" spans="1:25" s="386" customFormat="1" ht="25.5" customHeight="1" x14ac:dyDescent="0.25">
      <c r="A5" s="2243"/>
      <c r="B5" s="2243"/>
      <c r="C5" s="385" t="s">
        <v>42</v>
      </c>
      <c r="D5" s="385" t="s">
        <v>43</v>
      </c>
      <c r="E5" s="385" t="s">
        <v>42</v>
      </c>
      <c r="F5" s="385" t="s">
        <v>43</v>
      </c>
      <c r="G5" s="385" t="s">
        <v>42</v>
      </c>
      <c r="H5" s="385" t="s">
        <v>43</v>
      </c>
      <c r="I5" s="385" t="s">
        <v>42</v>
      </c>
      <c r="J5" s="385" t="s">
        <v>43</v>
      </c>
      <c r="K5" s="385" t="s">
        <v>42</v>
      </c>
      <c r="L5" s="385" t="s">
        <v>43</v>
      </c>
      <c r="M5" s="385" t="s">
        <v>42</v>
      </c>
      <c r="N5" s="385" t="s">
        <v>43</v>
      </c>
      <c r="O5" s="385" t="s">
        <v>42</v>
      </c>
      <c r="P5" s="385" t="s">
        <v>43</v>
      </c>
      <c r="Q5" s="385" t="s">
        <v>42</v>
      </c>
      <c r="R5" s="385" t="s">
        <v>43</v>
      </c>
      <c r="S5" s="33" t="s">
        <v>42</v>
      </c>
      <c r="T5" s="33" t="s">
        <v>43</v>
      </c>
      <c r="U5" s="30" t="s">
        <v>42</v>
      </c>
      <c r="V5" s="30" t="s">
        <v>43</v>
      </c>
      <c r="W5" s="30" t="s">
        <v>42</v>
      </c>
      <c r="X5" s="30" t="s">
        <v>43</v>
      </c>
      <c r="Y5" s="2239"/>
    </row>
    <row r="6" spans="1:25" ht="34.5" customHeight="1" x14ac:dyDescent="0.25">
      <c r="A6" s="12">
        <v>1409935200</v>
      </c>
      <c r="B6" s="384" t="s">
        <v>71</v>
      </c>
      <c r="C6" s="382">
        <v>26494</v>
      </c>
      <c r="D6" s="381">
        <f>0.9725*C6</f>
        <v>25765.415000000001</v>
      </c>
      <c r="E6" s="382"/>
      <c r="F6" s="382">
        <f>13.7*E6</f>
        <v>0</v>
      </c>
      <c r="G6" s="382">
        <v>190</v>
      </c>
      <c r="H6" s="382">
        <f>28.2*G6</f>
        <v>5358</v>
      </c>
      <c r="I6" s="382"/>
      <c r="J6" s="382">
        <f>18.5*I6</f>
        <v>0</v>
      </c>
      <c r="K6" s="382"/>
      <c r="L6" s="382">
        <f>19.5*K6</f>
        <v>0</v>
      </c>
      <c r="M6" s="382"/>
      <c r="N6" s="381">
        <f>M6*9.75</f>
        <v>0</v>
      </c>
      <c r="O6" s="382"/>
      <c r="P6" s="381">
        <f>O6*48.62</f>
        <v>0</v>
      </c>
      <c r="Q6" s="381"/>
      <c r="R6" s="381">
        <f>241*Q6</f>
        <v>0</v>
      </c>
      <c r="S6" s="382"/>
      <c r="T6" s="382">
        <f>241*S6</f>
        <v>0</v>
      </c>
      <c r="U6" s="382"/>
      <c r="V6" s="382">
        <f>232*U6</f>
        <v>0</v>
      </c>
      <c r="W6" s="382"/>
      <c r="X6" s="19">
        <f>W6*100</f>
        <v>0</v>
      </c>
      <c r="Y6" s="89">
        <f t="shared" ref="Y6:Y11" si="0">D6+F6+H6+J6+L6+N6+P6+R6+T6+V6+X6</f>
        <v>31123.415000000001</v>
      </c>
    </row>
    <row r="7" spans="1:25" ht="31.5" customHeight="1" x14ac:dyDescent="0.25">
      <c r="A7" s="12">
        <v>1984225578</v>
      </c>
      <c r="B7" s="384" t="s">
        <v>72</v>
      </c>
      <c r="C7" s="382">
        <v>25380</v>
      </c>
      <c r="D7" s="381">
        <f t="shared" ref="D7:D11" si="1">0.9725*C7</f>
        <v>24682.05</v>
      </c>
      <c r="E7" s="382"/>
      <c r="F7" s="382">
        <f t="shared" ref="F7:F11" si="2">13.7*E7</f>
        <v>0</v>
      </c>
      <c r="G7" s="382"/>
      <c r="H7" s="382">
        <f t="shared" ref="H7:H11" si="3">28.2*G7</f>
        <v>0</v>
      </c>
      <c r="I7" s="382">
        <v>110</v>
      </c>
      <c r="J7" s="382">
        <f t="shared" ref="J7:J11" si="4">18.5*I7</f>
        <v>2035</v>
      </c>
      <c r="K7" s="382"/>
      <c r="L7" s="382">
        <f t="shared" ref="L7:L11" si="5">19.5*K7</f>
        <v>0</v>
      </c>
      <c r="M7" s="382"/>
      <c r="N7" s="381">
        <f t="shared" ref="N7:N11" si="6">M7*9.75</f>
        <v>0</v>
      </c>
      <c r="O7" s="382"/>
      <c r="P7" s="381">
        <f t="shared" ref="P7:P11" si="7">O7*48.62</f>
        <v>0</v>
      </c>
      <c r="Q7" s="381"/>
      <c r="R7" s="381">
        <f t="shared" ref="R7:R11" si="8">241*Q7</f>
        <v>0</v>
      </c>
      <c r="S7" s="382"/>
      <c r="T7" s="382">
        <f t="shared" ref="T7:T11" si="9">241*S7</f>
        <v>0</v>
      </c>
      <c r="U7" s="382"/>
      <c r="V7" s="382">
        <f t="shared" ref="V7:V11" si="10">232*U7</f>
        <v>0</v>
      </c>
      <c r="W7" s="382"/>
      <c r="X7" s="19">
        <f t="shared" ref="X7:X11" si="11">W7*100</f>
        <v>0</v>
      </c>
      <c r="Y7" s="89">
        <f t="shared" si="0"/>
        <v>26717.05</v>
      </c>
    </row>
    <row r="8" spans="1:25" ht="35.25" customHeight="1" x14ac:dyDescent="0.25">
      <c r="A8" s="12">
        <v>1967020280</v>
      </c>
      <c r="B8" s="384" t="s">
        <v>73</v>
      </c>
      <c r="C8" s="382">
        <v>40304</v>
      </c>
      <c r="D8" s="381">
        <f t="shared" si="1"/>
        <v>39195.64</v>
      </c>
      <c r="E8" s="382"/>
      <c r="F8" s="382">
        <f t="shared" si="2"/>
        <v>0</v>
      </c>
      <c r="G8" s="382"/>
      <c r="H8" s="382">
        <f t="shared" si="3"/>
        <v>0</v>
      </c>
      <c r="I8" s="382"/>
      <c r="J8" s="382">
        <f t="shared" si="4"/>
        <v>0</v>
      </c>
      <c r="K8" s="382"/>
      <c r="L8" s="382">
        <f t="shared" si="5"/>
        <v>0</v>
      </c>
      <c r="M8" s="382"/>
      <c r="N8" s="381">
        <f t="shared" si="6"/>
        <v>0</v>
      </c>
      <c r="O8" s="382"/>
      <c r="P8" s="381">
        <f t="shared" si="7"/>
        <v>0</v>
      </c>
      <c r="Q8" s="381"/>
      <c r="R8" s="381">
        <f t="shared" si="8"/>
        <v>0</v>
      </c>
      <c r="S8" s="382"/>
      <c r="T8" s="382">
        <f t="shared" si="9"/>
        <v>0</v>
      </c>
      <c r="U8" s="382"/>
      <c r="V8" s="382">
        <f t="shared" si="10"/>
        <v>0</v>
      </c>
      <c r="W8" s="382"/>
      <c r="X8" s="19">
        <f t="shared" si="11"/>
        <v>0</v>
      </c>
      <c r="Y8" s="89">
        <f t="shared" si="0"/>
        <v>39195.64</v>
      </c>
    </row>
    <row r="9" spans="1:25" ht="38.25" customHeight="1" x14ac:dyDescent="0.25">
      <c r="A9" s="12">
        <v>1984225580</v>
      </c>
      <c r="B9" s="384" t="s">
        <v>75</v>
      </c>
      <c r="C9" s="382">
        <v>45637</v>
      </c>
      <c r="D9" s="381">
        <f t="shared" si="1"/>
        <v>44381.982499999998</v>
      </c>
      <c r="E9" s="382"/>
      <c r="F9" s="382">
        <f t="shared" si="2"/>
        <v>0</v>
      </c>
      <c r="G9" s="382"/>
      <c r="H9" s="382">
        <f t="shared" si="3"/>
        <v>0</v>
      </c>
      <c r="I9" s="382">
        <v>250</v>
      </c>
      <c r="J9" s="382">
        <f t="shared" si="4"/>
        <v>4625</v>
      </c>
      <c r="K9" s="382"/>
      <c r="L9" s="382">
        <f t="shared" si="5"/>
        <v>0</v>
      </c>
      <c r="M9" s="382"/>
      <c r="N9" s="381">
        <f t="shared" si="6"/>
        <v>0</v>
      </c>
      <c r="O9" s="382"/>
      <c r="P9" s="381">
        <f t="shared" si="7"/>
        <v>0</v>
      </c>
      <c r="Q9" s="381"/>
      <c r="R9" s="381">
        <f t="shared" si="8"/>
        <v>0</v>
      </c>
      <c r="S9" s="382"/>
      <c r="T9" s="382">
        <f t="shared" si="9"/>
        <v>0</v>
      </c>
      <c r="U9" s="382"/>
      <c r="V9" s="382">
        <f t="shared" si="10"/>
        <v>0</v>
      </c>
      <c r="W9" s="382"/>
      <c r="X9" s="19">
        <f t="shared" si="11"/>
        <v>0</v>
      </c>
      <c r="Y9" s="89">
        <f t="shared" si="0"/>
        <v>49006.982499999998</v>
      </c>
    </row>
    <row r="10" spans="1:25" ht="35.25" customHeight="1" x14ac:dyDescent="0.25">
      <c r="A10" s="12">
        <v>1409935199</v>
      </c>
      <c r="C10" s="382">
        <v>1028</v>
      </c>
      <c r="D10" s="381">
        <f t="shared" si="1"/>
        <v>999.73</v>
      </c>
      <c r="E10" s="382"/>
      <c r="F10" s="382">
        <f t="shared" si="2"/>
        <v>0</v>
      </c>
      <c r="G10" s="382"/>
      <c r="H10" s="382">
        <f t="shared" si="3"/>
        <v>0</v>
      </c>
      <c r="I10" s="382"/>
      <c r="J10" s="382">
        <f t="shared" si="4"/>
        <v>0</v>
      </c>
      <c r="K10" s="382"/>
      <c r="L10" s="382">
        <f t="shared" si="5"/>
        <v>0</v>
      </c>
      <c r="M10" s="382"/>
      <c r="N10" s="381">
        <f t="shared" si="6"/>
        <v>0</v>
      </c>
      <c r="O10" s="382"/>
      <c r="P10" s="381">
        <f t="shared" si="7"/>
        <v>0</v>
      </c>
      <c r="Q10" s="381"/>
      <c r="R10" s="381">
        <f t="shared" si="8"/>
        <v>0</v>
      </c>
      <c r="S10" s="382"/>
      <c r="T10" s="382">
        <f t="shared" si="9"/>
        <v>0</v>
      </c>
      <c r="U10" s="382"/>
      <c r="V10" s="382">
        <f t="shared" si="10"/>
        <v>0</v>
      </c>
      <c r="W10" s="382"/>
      <c r="X10" s="19">
        <f t="shared" si="11"/>
        <v>0</v>
      </c>
      <c r="Y10" s="89">
        <f t="shared" si="0"/>
        <v>999.73</v>
      </c>
    </row>
    <row r="11" spans="1:25" ht="37.5" customHeight="1" x14ac:dyDescent="0.25">
      <c r="A11" s="12"/>
      <c r="B11" s="383"/>
      <c r="C11" s="382"/>
      <c r="D11" s="22">
        <f t="shared" si="1"/>
        <v>0</v>
      </c>
      <c r="E11" s="382"/>
      <c r="F11" s="382">
        <f t="shared" si="2"/>
        <v>0</v>
      </c>
      <c r="G11" s="382"/>
      <c r="H11" s="382">
        <f t="shared" si="3"/>
        <v>0</v>
      </c>
      <c r="I11" s="382"/>
      <c r="J11" s="382">
        <f t="shared" si="4"/>
        <v>0</v>
      </c>
      <c r="K11" s="382"/>
      <c r="L11" s="382">
        <f t="shared" si="5"/>
        <v>0</v>
      </c>
      <c r="M11" s="382"/>
      <c r="N11" s="381">
        <f t="shared" si="6"/>
        <v>0</v>
      </c>
      <c r="O11" s="382"/>
      <c r="P11" s="381">
        <f t="shared" si="7"/>
        <v>0</v>
      </c>
      <c r="Q11" s="381"/>
      <c r="R11" s="381">
        <f t="shared" si="8"/>
        <v>0</v>
      </c>
      <c r="S11" s="382"/>
      <c r="T11" s="382">
        <f t="shared" si="9"/>
        <v>0</v>
      </c>
      <c r="U11" s="382"/>
      <c r="V11" s="382">
        <f t="shared" si="10"/>
        <v>0</v>
      </c>
      <c r="W11" s="382"/>
      <c r="X11" s="19">
        <f t="shared" si="11"/>
        <v>0</v>
      </c>
      <c r="Y11" s="20">
        <f t="shared" si="0"/>
        <v>0</v>
      </c>
    </row>
    <row r="12" spans="1:25" ht="29.25" customHeight="1" x14ac:dyDescent="0.25">
      <c r="A12" s="2235" t="s">
        <v>31</v>
      </c>
      <c r="B12" s="2235"/>
      <c r="C12" s="18">
        <f t="shared" ref="C12:Y12" si="12">SUM(C6:C11)</f>
        <v>138843</v>
      </c>
      <c r="D12" s="18">
        <f t="shared" si="12"/>
        <v>135024.8175</v>
      </c>
      <c r="E12" s="18">
        <f t="shared" si="12"/>
        <v>0</v>
      </c>
      <c r="F12" s="18">
        <f t="shared" si="12"/>
        <v>0</v>
      </c>
      <c r="G12" s="18">
        <f t="shared" si="12"/>
        <v>190</v>
      </c>
      <c r="H12" s="18">
        <f t="shared" si="12"/>
        <v>5358</v>
      </c>
      <c r="I12" s="18">
        <f t="shared" si="12"/>
        <v>360</v>
      </c>
      <c r="J12" s="18">
        <f t="shared" si="12"/>
        <v>6660</v>
      </c>
      <c r="K12" s="18">
        <f t="shared" si="12"/>
        <v>0</v>
      </c>
      <c r="L12" s="18">
        <f t="shared" si="12"/>
        <v>0</v>
      </c>
      <c r="M12" s="18">
        <f t="shared" si="12"/>
        <v>0</v>
      </c>
      <c r="N12" s="23">
        <f t="shared" si="12"/>
        <v>0</v>
      </c>
      <c r="O12" s="18">
        <f t="shared" si="12"/>
        <v>0</v>
      </c>
      <c r="P12" s="23">
        <f t="shared" si="12"/>
        <v>0</v>
      </c>
      <c r="Q12" s="23">
        <f t="shared" si="12"/>
        <v>0</v>
      </c>
      <c r="R12" s="23">
        <f>SUM(R6:R11)</f>
        <v>0</v>
      </c>
      <c r="S12" s="18">
        <f t="shared" si="12"/>
        <v>0</v>
      </c>
      <c r="T12" s="18">
        <f t="shared" si="12"/>
        <v>0</v>
      </c>
      <c r="U12" s="18">
        <f t="shared" si="12"/>
        <v>0</v>
      </c>
      <c r="V12" s="18">
        <f t="shared" si="12"/>
        <v>0</v>
      </c>
      <c r="W12" s="18">
        <f t="shared" si="12"/>
        <v>0</v>
      </c>
      <c r="X12" s="18">
        <f t="shared" si="12"/>
        <v>0</v>
      </c>
      <c r="Y12" s="18">
        <f t="shared" si="12"/>
        <v>147042.8175</v>
      </c>
    </row>
    <row r="14" spans="1:25" ht="41.25" customHeight="1" x14ac:dyDescent="0.25">
      <c r="A14" s="30" t="s">
        <v>32</v>
      </c>
      <c r="B14" s="2236" t="s">
        <v>27</v>
      </c>
      <c r="C14" s="2236"/>
      <c r="D14" s="30" t="s">
        <v>33</v>
      </c>
      <c r="E14" s="30" t="s">
        <v>65</v>
      </c>
      <c r="F14" s="30" t="s">
        <v>34</v>
      </c>
      <c r="G14" s="30" t="s">
        <v>13</v>
      </c>
      <c r="H14" s="142" t="s">
        <v>173</v>
      </c>
      <c r="I14" s="30" t="s">
        <v>17</v>
      </c>
      <c r="J14" s="390" t="s">
        <v>174</v>
      </c>
      <c r="K14" s="30" t="s">
        <v>36</v>
      </c>
      <c r="L14" s="30" t="s">
        <v>175</v>
      </c>
      <c r="M14" s="30" t="s">
        <v>69</v>
      </c>
      <c r="N14" s="30" t="s">
        <v>70</v>
      </c>
      <c r="O14" s="390" t="s">
        <v>114</v>
      </c>
      <c r="P14" s="390"/>
      <c r="Q14" s="2272"/>
      <c r="R14" s="2272"/>
      <c r="S14" s="390"/>
      <c r="T14" s="2235" t="s">
        <v>46</v>
      </c>
      <c r="U14" s="384" t="s">
        <v>176</v>
      </c>
      <c r="V14" s="2260">
        <v>12953</v>
      </c>
      <c r="W14" s="2268"/>
      <c r="X14" s="2261"/>
    </row>
    <row r="15" spans="1:25" ht="22.5" customHeight="1" x14ac:dyDescent="0.25">
      <c r="A15" s="100" t="s">
        <v>38</v>
      </c>
      <c r="B15" s="2260">
        <v>276068</v>
      </c>
      <c r="C15" s="2261"/>
      <c r="D15" s="387">
        <v>0</v>
      </c>
      <c r="E15" s="387">
        <v>3920</v>
      </c>
      <c r="F15" s="387">
        <v>7860</v>
      </c>
      <c r="G15" s="387">
        <v>0</v>
      </c>
      <c r="H15" s="387">
        <v>157</v>
      </c>
      <c r="I15" s="387">
        <v>25</v>
      </c>
      <c r="J15" s="387">
        <v>106</v>
      </c>
      <c r="K15" s="387">
        <v>68</v>
      </c>
      <c r="L15" s="387">
        <v>950</v>
      </c>
      <c r="M15" s="387">
        <v>0</v>
      </c>
      <c r="N15" s="387">
        <v>100</v>
      </c>
      <c r="O15" s="387">
        <v>0</v>
      </c>
      <c r="P15" s="387"/>
      <c r="Q15" s="2262"/>
      <c r="R15" s="2262"/>
      <c r="S15" s="384">
        <v>0</v>
      </c>
      <c r="T15" s="2235"/>
      <c r="U15" s="384" t="s">
        <v>64</v>
      </c>
      <c r="V15" s="2262">
        <v>13398</v>
      </c>
      <c r="W15" s="2262"/>
      <c r="X15" s="2262"/>
    </row>
    <row r="16" spans="1:25" ht="24.75" customHeight="1" x14ac:dyDescent="0.25">
      <c r="A16" s="100" t="s">
        <v>39</v>
      </c>
      <c r="B16" s="2260">
        <v>316883</v>
      </c>
      <c r="C16" s="2261"/>
      <c r="D16" s="387"/>
      <c r="E16" s="387"/>
      <c r="F16" s="387"/>
      <c r="G16" s="387"/>
      <c r="H16" s="387"/>
      <c r="I16" s="387"/>
      <c r="J16" s="387"/>
      <c r="K16" s="387"/>
      <c r="L16" s="387"/>
      <c r="M16" s="387"/>
      <c r="N16" s="387"/>
      <c r="O16" s="387"/>
      <c r="P16" s="387"/>
      <c r="Q16" s="2225"/>
      <c r="R16" s="2225"/>
      <c r="S16" s="387"/>
      <c r="T16" s="2254" t="s">
        <v>55</v>
      </c>
      <c r="U16" s="2254"/>
      <c r="V16" s="2267">
        <f>Y12</f>
        <v>147042.8175</v>
      </c>
      <c r="W16" s="2267"/>
      <c r="X16" s="2262"/>
    </row>
    <row r="17" spans="1:25" ht="28.5" customHeight="1" x14ac:dyDescent="0.25">
      <c r="A17" s="101" t="s">
        <v>44</v>
      </c>
      <c r="B17" s="2260"/>
      <c r="C17" s="2261"/>
      <c r="D17" s="387"/>
      <c r="E17" s="387"/>
      <c r="F17" s="387"/>
      <c r="G17" s="387"/>
      <c r="H17" s="387"/>
      <c r="I17" s="387"/>
      <c r="J17" s="387"/>
      <c r="K17" s="387"/>
      <c r="L17" s="387"/>
      <c r="M17" s="387"/>
      <c r="N17" s="387"/>
      <c r="O17" s="387"/>
      <c r="P17" s="387"/>
      <c r="Q17" s="2225"/>
      <c r="R17" s="2225"/>
      <c r="S17" s="383"/>
      <c r="T17" s="2294" t="s">
        <v>321</v>
      </c>
      <c r="U17" s="2295"/>
      <c r="V17" s="2296">
        <v>150000</v>
      </c>
      <c r="W17" s="2296"/>
      <c r="X17" s="2296"/>
    </row>
    <row r="18" spans="1:25" ht="27" customHeight="1" x14ac:dyDescent="0.25">
      <c r="A18" s="100" t="s">
        <v>40</v>
      </c>
      <c r="B18" s="2264">
        <f>C12</f>
        <v>138843</v>
      </c>
      <c r="C18" s="2261"/>
      <c r="D18" s="389">
        <f>E12</f>
        <v>0</v>
      </c>
      <c r="E18" s="389">
        <f>G12</f>
        <v>190</v>
      </c>
      <c r="F18" s="389">
        <f>I12</f>
        <v>360</v>
      </c>
      <c r="G18" s="389">
        <f>K12</f>
        <v>0</v>
      </c>
      <c r="H18" s="387"/>
      <c r="I18" s="389">
        <f>U12</f>
        <v>0</v>
      </c>
      <c r="J18" s="387"/>
      <c r="K18" s="389">
        <f>W12</f>
        <v>0</v>
      </c>
      <c r="L18" s="387"/>
      <c r="M18" s="389">
        <f>M12</f>
        <v>0</v>
      </c>
      <c r="N18" s="389">
        <f>O12</f>
        <v>0</v>
      </c>
      <c r="O18" s="388">
        <f>Q12</f>
        <v>0</v>
      </c>
      <c r="P18" s="387"/>
      <c r="Q18" s="2262"/>
      <c r="R18" s="2262"/>
      <c r="S18" s="384"/>
      <c r="T18" s="2254" t="s">
        <v>57</v>
      </c>
      <c r="U18" s="2254"/>
      <c r="V18" s="2262">
        <v>520</v>
      </c>
      <c r="W18" s="2262"/>
      <c r="X18" s="2262"/>
      <c r="Y18" s="2269"/>
    </row>
    <row r="19" spans="1:25" ht="25.5" customHeight="1" x14ac:dyDescent="0.25">
      <c r="A19" s="100" t="s">
        <v>41</v>
      </c>
      <c r="B19" s="2260">
        <f>B15+B16+B17-B18</f>
        <v>454108</v>
      </c>
      <c r="C19" s="2261"/>
      <c r="D19" s="387">
        <f>D15+D16+D17-D18</f>
        <v>0</v>
      </c>
      <c r="E19" s="387">
        <f t="shared" ref="E19:N19" si="13">E15+E16+E17-E18</f>
        <v>3730</v>
      </c>
      <c r="F19" s="387">
        <f t="shared" si="13"/>
        <v>7500</v>
      </c>
      <c r="G19" s="387">
        <f t="shared" si="13"/>
        <v>0</v>
      </c>
      <c r="H19" s="387">
        <f t="shared" si="13"/>
        <v>157</v>
      </c>
      <c r="I19" s="387">
        <f t="shared" si="13"/>
        <v>25</v>
      </c>
      <c r="J19" s="387">
        <f t="shared" si="13"/>
        <v>106</v>
      </c>
      <c r="K19" s="387">
        <f t="shared" si="13"/>
        <v>68</v>
      </c>
      <c r="L19" s="387">
        <f t="shared" si="13"/>
        <v>950</v>
      </c>
      <c r="M19" s="387">
        <f t="shared" si="13"/>
        <v>0</v>
      </c>
      <c r="N19" s="387">
        <f t="shared" si="13"/>
        <v>100</v>
      </c>
      <c r="O19" s="387">
        <f>O15+O16+O17-O18</f>
        <v>0</v>
      </c>
      <c r="P19" s="387">
        <f>P15+P16+P17-P18</f>
        <v>0</v>
      </c>
      <c r="Q19" s="2260">
        <f t="shared" ref="Q19" si="14">Q15+Q16+Q17-Q18</f>
        <v>0</v>
      </c>
      <c r="R19" s="2261"/>
      <c r="S19" s="384">
        <f>S15+S16-S17-S18</f>
        <v>0</v>
      </c>
      <c r="T19" s="2256" t="s">
        <v>48</v>
      </c>
      <c r="U19" s="49" t="s">
        <v>58</v>
      </c>
      <c r="V19" s="2262">
        <v>293475</v>
      </c>
      <c r="W19" s="2262"/>
      <c r="X19" s="2262"/>
      <c r="Y19" s="2269"/>
    </row>
    <row r="20" spans="1:25" ht="23.25" customHeight="1" x14ac:dyDescent="0.25">
      <c r="A20" s="289" t="s">
        <v>187</v>
      </c>
      <c r="B20" s="2286">
        <f>B19*0.9625</f>
        <v>437078.95</v>
      </c>
      <c r="C20" s="2287"/>
      <c r="D20" s="290">
        <f>D19*13.56</f>
        <v>0</v>
      </c>
      <c r="E20" s="290">
        <f>28.2*E19</f>
        <v>105186</v>
      </c>
      <c r="F20" s="290">
        <f>18.31*F19</f>
        <v>137325</v>
      </c>
      <c r="G20" s="290">
        <f>19.3*G19</f>
        <v>0</v>
      </c>
      <c r="H20" s="290">
        <f>241*H19</f>
        <v>37837</v>
      </c>
      <c r="I20" s="290">
        <f>223*I19</f>
        <v>5575</v>
      </c>
      <c r="J20" s="290">
        <f>241*J19</f>
        <v>25546</v>
      </c>
      <c r="K20" s="290">
        <f>K19*100</f>
        <v>6800</v>
      </c>
      <c r="L20" s="290">
        <f>241*L19</f>
        <v>228950</v>
      </c>
      <c r="M20" s="290">
        <f>9.65*M19</f>
        <v>0</v>
      </c>
      <c r="N20" s="290">
        <f>N19*48.2</f>
        <v>4820</v>
      </c>
      <c r="O20" s="290">
        <f>241*O19</f>
        <v>0</v>
      </c>
      <c r="P20" s="290">
        <f>241*P19</f>
        <v>0</v>
      </c>
      <c r="Q20" s="2286">
        <f>241*Q19</f>
        <v>0</v>
      </c>
      <c r="R20" s="2287"/>
      <c r="S20" s="290">
        <f>241*S19</f>
        <v>0</v>
      </c>
      <c r="T20" s="2257"/>
      <c r="U20" s="49" t="s">
        <v>59</v>
      </c>
      <c r="V20" s="2262"/>
      <c r="W20" s="2262"/>
      <c r="X20" s="2262"/>
      <c r="Y20" s="2269"/>
    </row>
    <row r="21" spans="1:25" ht="32.25" customHeight="1" x14ac:dyDescent="0.25">
      <c r="A21" s="291" t="s">
        <v>186</v>
      </c>
      <c r="B21" s="2293">
        <f>SUM(B20:S20)</f>
        <v>989117.95</v>
      </c>
      <c r="C21" s="2293"/>
      <c r="O21" s="391"/>
      <c r="P21" s="391"/>
      <c r="Q21" s="391"/>
      <c r="R21" s="391"/>
      <c r="T21" s="2294" t="s">
        <v>322</v>
      </c>
      <c r="U21" s="2295"/>
      <c r="V21" s="2297">
        <v>13900</v>
      </c>
      <c r="W21" s="2298"/>
      <c r="X21" s="2299"/>
      <c r="Y21" s="2269"/>
    </row>
    <row r="22" spans="1:25" ht="35.25" customHeight="1" x14ac:dyDescent="0.25">
      <c r="A22" s="15"/>
      <c r="B22" s="2288" t="s">
        <v>49</v>
      </c>
      <c r="C22" s="2291">
        <v>484348</v>
      </c>
      <c r="D22" s="2291">
        <v>293475</v>
      </c>
      <c r="E22" s="2291">
        <v>305000</v>
      </c>
      <c r="F22" s="2291">
        <f>C22-D22+E22</f>
        <v>495873</v>
      </c>
      <c r="G22" s="391"/>
      <c r="Q22" s="391"/>
      <c r="R22" s="391"/>
      <c r="T22" s="2251" t="s">
        <v>83</v>
      </c>
      <c r="U22" s="50" t="s">
        <v>60</v>
      </c>
      <c r="V22" s="2262">
        <v>295130</v>
      </c>
      <c r="W22" s="2262"/>
      <c r="X22" s="2262"/>
      <c r="Y22" s="2269"/>
    </row>
    <row r="23" spans="1:25" ht="39.75" customHeight="1" x14ac:dyDescent="0.25">
      <c r="A23" s="391"/>
      <c r="B23" s="2289"/>
      <c r="C23" s="2292"/>
      <c r="D23" s="2292"/>
      <c r="E23" s="2292"/>
      <c r="F23" s="2292"/>
      <c r="G23" s="391"/>
      <c r="Q23" s="391"/>
      <c r="R23" s="391"/>
      <c r="T23" s="2252"/>
      <c r="U23" s="50" t="s">
        <v>61</v>
      </c>
      <c r="V23" s="2262">
        <v>293475</v>
      </c>
      <c r="W23" s="2262"/>
      <c r="X23" s="2262"/>
      <c r="Y23" s="2269"/>
    </row>
    <row r="24" spans="1:25" ht="48" customHeight="1" x14ac:dyDescent="0.25">
      <c r="A24" s="391"/>
      <c r="B24" s="2290"/>
      <c r="C24" s="290" t="s">
        <v>46</v>
      </c>
      <c r="D24" s="290" t="s">
        <v>50</v>
      </c>
      <c r="E24" s="290" t="s">
        <v>51</v>
      </c>
      <c r="F24" s="290" t="s">
        <v>52</v>
      </c>
      <c r="G24" s="391"/>
      <c r="Q24" s="391"/>
      <c r="R24" s="391"/>
      <c r="T24" s="2235" t="s">
        <v>47</v>
      </c>
      <c r="U24" s="51" t="s">
        <v>62</v>
      </c>
      <c r="V24" s="2263">
        <f>V14+V16+V17-V18-V19-V20-V22+V23-V21</f>
        <v>445.81750000000466</v>
      </c>
      <c r="W24" s="2263"/>
      <c r="X24" s="2263"/>
      <c r="Y24" s="2269"/>
    </row>
    <row r="25" spans="1:25" ht="40.5" customHeight="1" x14ac:dyDescent="0.25">
      <c r="T25" s="2235"/>
      <c r="U25" s="51" t="s">
        <v>63</v>
      </c>
      <c r="V25" s="2262">
        <f>V15+V22-V23</f>
        <v>15053</v>
      </c>
      <c r="W25" s="2262"/>
      <c r="X25" s="2262"/>
    </row>
    <row r="26" spans="1:25" ht="36" customHeight="1" x14ac:dyDescent="0.25">
      <c r="K26" s="314"/>
    </row>
    <row r="32" spans="1:25" x14ac:dyDescent="0.25">
      <c r="I32" s="2280"/>
      <c r="J32" s="2280"/>
      <c r="K32" s="2280"/>
      <c r="L32" s="2280"/>
    </row>
    <row r="33" spans="9:12" x14ac:dyDescent="0.25">
      <c r="I33" s="391"/>
      <c r="J33" s="391"/>
      <c r="K33" s="2280"/>
      <c r="L33" s="2280"/>
    </row>
  </sheetData>
  <mergeCells count="62">
    <mergeCell ref="A1:Y1"/>
    <mergeCell ref="A2:Y2"/>
    <mergeCell ref="T3:Y3"/>
    <mergeCell ref="A4:A5"/>
    <mergeCell ref="B4:B5"/>
    <mergeCell ref="C4:D4"/>
    <mergeCell ref="E4:F4"/>
    <mergeCell ref="G4:H4"/>
    <mergeCell ref="I4:J4"/>
    <mergeCell ref="K4:L4"/>
    <mergeCell ref="Y4:Y5"/>
    <mergeCell ref="M4:N4"/>
    <mergeCell ref="O4:P4"/>
    <mergeCell ref="Q4:R4"/>
    <mergeCell ref="S4:T4"/>
    <mergeCell ref="U4:V4"/>
    <mergeCell ref="W4:X4"/>
    <mergeCell ref="B16:C16"/>
    <mergeCell ref="Q16:R16"/>
    <mergeCell ref="T16:U16"/>
    <mergeCell ref="V16:X16"/>
    <mergeCell ref="A12:B12"/>
    <mergeCell ref="B14:C14"/>
    <mergeCell ref="Q14:R14"/>
    <mergeCell ref="T14:T15"/>
    <mergeCell ref="V14:X14"/>
    <mergeCell ref="B15:C15"/>
    <mergeCell ref="Q15:R15"/>
    <mergeCell ref="V15:X15"/>
    <mergeCell ref="B17:C17"/>
    <mergeCell ref="Q17:R17"/>
    <mergeCell ref="T17:U17"/>
    <mergeCell ref="V17:X17"/>
    <mergeCell ref="B18:C18"/>
    <mergeCell ref="Q18:R18"/>
    <mergeCell ref="T18:U18"/>
    <mergeCell ref="V18:X18"/>
    <mergeCell ref="Y18:Y24"/>
    <mergeCell ref="B19:C19"/>
    <mergeCell ref="Q19:R19"/>
    <mergeCell ref="T19:T20"/>
    <mergeCell ref="V19:X19"/>
    <mergeCell ref="B20:C20"/>
    <mergeCell ref="B22:B24"/>
    <mergeCell ref="C22:C23"/>
    <mergeCell ref="D22:D23"/>
    <mergeCell ref="E22:E23"/>
    <mergeCell ref="F22:F23"/>
    <mergeCell ref="Q20:R20"/>
    <mergeCell ref="V20:X20"/>
    <mergeCell ref="B21:C21"/>
    <mergeCell ref="T21:U21"/>
    <mergeCell ref="V21:X21"/>
    <mergeCell ref="I32:J32"/>
    <mergeCell ref="K32:L32"/>
    <mergeCell ref="K33:L33"/>
    <mergeCell ref="T22:T23"/>
    <mergeCell ref="V22:X22"/>
    <mergeCell ref="V23:X23"/>
    <mergeCell ref="T24:T25"/>
    <mergeCell ref="V24:X24"/>
    <mergeCell ref="V25:X25"/>
  </mergeCells>
  <pageMargins left="0.15748031496063" right="0.15748031496063" top="0" bottom="0" header="0" footer="0"/>
  <pageSetup paperSize="9" scale="47" orientation="landscape" r:id="rId1"/>
</worksheet>
</file>

<file path=xl/worksheets/sheet1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2863876-DCAE-48DE-85FC-AD26BF6CFB33}">
  <sheetPr>
    <pageSetUpPr fitToPage="1"/>
  </sheetPr>
  <dimension ref="A1:Y33"/>
  <sheetViews>
    <sheetView topLeftCell="A13" zoomScale="70" zoomScaleNormal="70" zoomScaleSheetLayoutView="100" workbookViewId="0">
      <selection activeCell="J24" sqref="J24"/>
    </sheetView>
  </sheetViews>
  <sheetFormatPr defaultColWidth="9.140625" defaultRowHeight="15" x14ac:dyDescent="0.25"/>
  <cols>
    <col min="1" max="1" width="18.28515625" style="14" customWidth="1"/>
    <col min="2" max="2" width="10.7109375" style="14" customWidth="1"/>
    <col min="3" max="3" width="12.28515625" style="14" customWidth="1"/>
    <col min="4" max="4" width="11" style="14" customWidth="1"/>
    <col min="5" max="5" width="12" style="14" customWidth="1"/>
    <col min="6" max="6" width="12.5703125" style="14" bestFit="1" customWidth="1"/>
    <col min="7" max="7" width="9.28515625" style="14" bestFit="1" customWidth="1"/>
    <col min="8" max="8" width="10.140625" style="14" bestFit="1" customWidth="1"/>
    <col min="9" max="9" width="10.5703125" style="14" bestFit="1" customWidth="1"/>
    <col min="10" max="10" width="10.5703125" style="14" customWidth="1"/>
    <col min="11" max="11" width="10.28515625" style="14" bestFit="1" customWidth="1"/>
    <col min="12" max="12" width="10.42578125" style="14" bestFit="1" customWidth="1"/>
    <col min="13" max="13" width="9.85546875" style="14" bestFit="1" customWidth="1"/>
    <col min="14" max="14" width="10.140625" style="14" bestFit="1" customWidth="1"/>
    <col min="15" max="15" width="9" style="14" customWidth="1"/>
    <col min="16" max="16" width="12.85546875" style="14" bestFit="1" customWidth="1"/>
    <col min="17" max="18" width="9.42578125" style="14" customWidth="1"/>
    <col min="19" max="19" width="13.7109375" style="14" customWidth="1"/>
    <col min="20" max="20" width="12.140625" style="14" customWidth="1"/>
    <col min="21" max="21" width="19.5703125" style="14" bestFit="1" customWidth="1"/>
    <col min="22" max="22" width="9.85546875" style="14" customWidth="1"/>
    <col min="23" max="23" width="10.140625" style="14" bestFit="1" customWidth="1"/>
    <col min="24" max="24" width="10.28515625" style="14" customWidth="1"/>
    <col min="25" max="25" width="28" style="14" customWidth="1"/>
    <col min="26" max="16384" width="9.140625" style="14"/>
  </cols>
  <sheetData>
    <row r="1" spans="1:25" ht="46.15" customHeight="1" x14ac:dyDescent="0.25">
      <c r="A1" s="2240" t="s">
        <v>148</v>
      </c>
      <c r="B1" s="2240"/>
      <c r="C1" s="2240"/>
      <c r="D1" s="2240"/>
      <c r="E1" s="2240"/>
      <c r="F1" s="2240"/>
      <c r="G1" s="2240"/>
      <c r="H1" s="2240"/>
      <c r="I1" s="2240"/>
      <c r="J1" s="2240"/>
      <c r="K1" s="2240"/>
      <c r="L1" s="2240"/>
      <c r="M1" s="2240"/>
      <c r="N1" s="2240"/>
      <c r="O1" s="2240"/>
      <c r="P1" s="2240"/>
      <c r="Q1" s="2240"/>
      <c r="R1" s="2240"/>
      <c r="S1" s="2240"/>
      <c r="T1" s="2240"/>
      <c r="U1" s="2240"/>
      <c r="V1" s="2240"/>
      <c r="W1" s="2240"/>
      <c r="X1" s="2240"/>
      <c r="Y1" s="2240"/>
    </row>
    <row r="2" spans="1:25" ht="21.6" customHeight="1" x14ac:dyDescent="0.25">
      <c r="A2" s="2241" t="s">
        <v>77</v>
      </c>
      <c r="B2" s="2241"/>
      <c r="C2" s="2241"/>
      <c r="D2" s="2241"/>
      <c r="E2" s="2241"/>
      <c r="F2" s="2241"/>
      <c r="G2" s="2241"/>
      <c r="H2" s="2241"/>
      <c r="I2" s="2241"/>
      <c r="J2" s="2241"/>
      <c r="K2" s="2241"/>
      <c r="L2" s="2241"/>
      <c r="M2" s="2241"/>
      <c r="N2" s="2241"/>
      <c r="O2" s="2241"/>
      <c r="P2" s="2241"/>
      <c r="Q2" s="2241"/>
      <c r="R2" s="2241"/>
      <c r="S2" s="2241"/>
      <c r="T2" s="2241"/>
      <c r="U2" s="2241"/>
      <c r="V2" s="2241"/>
      <c r="W2" s="2241"/>
      <c r="X2" s="2241"/>
      <c r="Y2" s="2241"/>
    </row>
    <row r="3" spans="1:25" ht="21" customHeight="1" x14ac:dyDescent="0.25">
      <c r="A3" s="386"/>
      <c r="B3" s="386"/>
      <c r="C3" s="386"/>
      <c r="D3" s="386"/>
      <c r="E3" s="386"/>
      <c r="F3" s="386"/>
      <c r="G3" s="386"/>
      <c r="H3" s="386"/>
      <c r="I3" s="386"/>
      <c r="J3" s="386"/>
      <c r="K3" s="386"/>
      <c r="L3" s="386"/>
      <c r="M3" s="386"/>
      <c r="N3" s="386"/>
      <c r="O3" s="386"/>
      <c r="P3" s="386"/>
      <c r="Q3" s="386"/>
      <c r="R3" s="386"/>
      <c r="S3" s="386"/>
      <c r="T3" s="2242" t="s">
        <v>323</v>
      </c>
      <c r="U3" s="2242"/>
      <c r="V3" s="2242"/>
      <c r="W3" s="2242"/>
      <c r="X3" s="2242"/>
      <c r="Y3" s="2242"/>
    </row>
    <row r="4" spans="1:25" s="386" customFormat="1" ht="18" customHeight="1" x14ac:dyDescent="0.25">
      <c r="A4" s="2243" t="s">
        <v>25</v>
      </c>
      <c r="B4" s="2243" t="s">
        <v>26</v>
      </c>
      <c r="C4" s="2244" t="s">
        <v>27</v>
      </c>
      <c r="D4" s="2244"/>
      <c r="E4" s="2244" t="s">
        <v>28</v>
      </c>
      <c r="F4" s="2244"/>
      <c r="G4" s="2244" t="s">
        <v>65</v>
      </c>
      <c r="H4" s="2244"/>
      <c r="I4" s="2244" t="s">
        <v>29</v>
      </c>
      <c r="J4" s="2244"/>
      <c r="K4" s="2245" t="s">
        <v>13</v>
      </c>
      <c r="L4" s="2246"/>
      <c r="M4" s="2245" t="s">
        <v>67</v>
      </c>
      <c r="N4" s="2246"/>
      <c r="O4" s="2245" t="s">
        <v>68</v>
      </c>
      <c r="P4" s="2246"/>
      <c r="Q4" s="2245" t="s">
        <v>114</v>
      </c>
      <c r="R4" s="2246"/>
      <c r="S4" s="2244" t="s">
        <v>35</v>
      </c>
      <c r="T4" s="2244"/>
      <c r="U4" s="2245" t="s">
        <v>17</v>
      </c>
      <c r="V4" s="2246"/>
      <c r="W4" s="2247" t="s">
        <v>36</v>
      </c>
      <c r="X4" s="2248"/>
      <c r="Y4" s="2238" t="s">
        <v>30</v>
      </c>
    </row>
    <row r="5" spans="1:25" s="386" customFormat="1" ht="25.5" customHeight="1" x14ac:dyDescent="0.25">
      <c r="A5" s="2243"/>
      <c r="B5" s="2243"/>
      <c r="C5" s="385" t="s">
        <v>42</v>
      </c>
      <c r="D5" s="385" t="s">
        <v>43</v>
      </c>
      <c r="E5" s="385" t="s">
        <v>42</v>
      </c>
      <c r="F5" s="385" t="s">
        <v>43</v>
      </c>
      <c r="G5" s="385" t="s">
        <v>42</v>
      </c>
      <c r="H5" s="385" t="s">
        <v>43</v>
      </c>
      <c r="I5" s="385" t="s">
        <v>42</v>
      </c>
      <c r="J5" s="385" t="s">
        <v>43</v>
      </c>
      <c r="K5" s="385" t="s">
        <v>42</v>
      </c>
      <c r="L5" s="385" t="s">
        <v>43</v>
      </c>
      <c r="M5" s="385" t="s">
        <v>42</v>
      </c>
      <c r="N5" s="385" t="s">
        <v>43</v>
      </c>
      <c r="O5" s="385" t="s">
        <v>42</v>
      </c>
      <c r="P5" s="385" t="s">
        <v>43</v>
      </c>
      <c r="Q5" s="385" t="s">
        <v>42</v>
      </c>
      <c r="R5" s="385" t="s">
        <v>43</v>
      </c>
      <c r="S5" s="33" t="s">
        <v>42</v>
      </c>
      <c r="T5" s="33" t="s">
        <v>43</v>
      </c>
      <c r="U5" s="30" t="s">
        <v>42</v>
      </c>
      <c r="V5" s="30" t="s">
        <v>43</v>
      </c>
      <c r="W5" s="30" t="s">
        <v>42</v>
      </c>
      <c r="X5" s="30" t="s">
        <v>43</v>
      </c>
      <c r="Y5" s="2239"/>
    </row>
    <row r="6" spans="1:25" ht="34.5" customHeight="1" x14ac:dyDescent="0.25">
      <c r="A6" s="12">
        <v>1409935200</v>
      </c>
      <c r="B6" s="384" t="s">
        <v>71</v>
      </c>
      <c r="C6" s="382">
        <v>68022</v>
      </c>
      <c r="D6" s="381">
        <f>0.9725*C6</f>
        <v>66151.395000000004</v>
      </c>
      <c r="E6" s="382"/>
      <c r="F6" s="382">
        <f>13.7*E6</f>
        <v>0</v>
      </c>
      <c r="G6" s="382">
        <v>170</v>
      </c>
      <c r="H6" s="382">
        <f>28.2*G6</f>
        <v>4794</v>
      </c>
      <c r="I6" s="382">
        <v>1170</v>
      </c>
      <c r="J6" s="382">
        <f>18.5*I6</f>
        <v>21645</v>
      </c>
      <c r="K6" s="382"/>
      <c r="L6" s="382">
        <f>19.5*K6</f>
        <v>0</v>
      </c>
      <c r="M6" s="382"/>
      <c r="N6" s="381">
        <f>M6*9.75</f>
        <v>0</v>
      </c>
      <c r="O6" s="382"/>
      <c r="P6" s="381">
        <f>O6*48.62</f>
        <v>0</v>
      </c>
      <c r="Q6" s="381"/>
      <c r="R6" s="381">
        <f>241*Q6</f>
        <v>0</v>
      </c>
      <c r="S6" s="382"/>
      <c r="T6" s="382">
        <f>241*S6</f>
        <v>0</v>
      </c>
      <c r="U6" s="382"/>
      <c r="V6" s="382">
        <f>232*U6</f>
        <v>0</v>
      </c>
      <c r="W6" s="382"/>
      <c r="X6" s="19">
        <f>W6*100</f>
        <v>0</v>
      </c>
      <c r="Y6" s="89">
        <f t="shared" ref="Y6:Y11" si="0">D6+F6+H6+J6+L6+N6+P6+R6+T6+V6+X6</f>
        <v>92590.395000000004</v>
      </c>
    </row>
    <row r="7" spans="1:25" ht="31.5" customHeight="1" x14ac:dyDescent="0.25">
      <c r="A7" s="12">
        <v>1984225578</v>
      </c>
      <c r="B7" s="384" t="s">
        <v>72</v>
      </c>
      <c r="C7" s="382">
        <v>20463</v>
      </c>
      <c r="D7" s="381">
        <f t="shared" ref="D7:D11" si="1">0.9725*C7</f>
        <v>19900.267500000002</v>
      </c>
      <c r="E7" s="382"/>
      <c r="F7" s="382">
        <f t="shared" ref="F7:F11" si="2">13.7*E7</f>
        <v>0</v>
      </c>
      <c r="G7" s="382"/>
      <c r="H7" s="382">
        <f t="shared" ref="H7:H11" si="3">28.2*G7</f>
        <v>0</v>
      </c>
      <c r="I7" s="382"/>
      <c r="J7" s="382">
        <f t="shared" ref="J7:J11" si="4">18.5*I7</f>
        <v>0</v>
      </c>
      <c r="K7" s="382"/>
      <c r="L7" s="382">
        <f t="shared" ref="L7:L11" si="5">19.5*K7</f>
        <v>0</v>
      </c>
      <c r="M7" s="382"/>
      <c r="N7" s="381">
        <f t="shared" ref="N7:N11" si="6">M7*9.75</f>
        <v>0</v>
      </c>
      <c r="O7" s="382"/>
      <c r="P7" s="381">
        <f t="shared" ref="P7:P11" si="7">O7*48.62</f>
        <v>0</v>
      </c>
      <c r="Q7" s="381"/>
      <c r="R7" s="381">
        <f t="shared" ref="R7:R11" si="8">241*Q7</f>
        <v>0</v>
      </c>
      <c r="S7" s="382"/>
      <c r="T7" s="382">
        <f t="shared" ref="T7:T11" si="9">241*S7</f>
        <v>0</v>
      </c>
      <c r="U7" s="382"/>
      <c r="V7" s="382">
        <f t="shared" ref="V7:V11" si="10">232*U7</f>
        <v>0</v>
      </c>
      <c r="W7" s="382"/>
      <c r="X7" s="19">
        <f t="shared" ref="X7:X11" si="11">W7*100</f>
        <v>0</v>
      </c>
      <c r="Y7" s="89">
        <f t="shared" si="0"/>
        <v>19900.267500000002</v>
      </c>
    </row>
    <row r="8" spans="1:25" ht="35.25" customHeight="1" x14ac:dyDescent="0.25">
      <c r="A8" s="12">
        <v>1967020280</v>
      </c>
      <c r="B8" s="384" t="s">
        <v>73</v>
      </c>
      <c r="C8" s="382">
        <v>62318</v>
      </c>
      <c r="D8" s="381">
        <f t="shared" si="1"/>
        <v>60604.255000000005</v>
      </c>
      <c r="E8" s="382"/>
      <c r="F8" s="382">
        <f t="shared" si="2"/>
        <v>0</v>
      </c>
      <c r="G8" s="382"/>
      <c r="H8" s="382">
        <f t="shared" si="3"/>
        <v>0</v>
      </c>
      <c r="I8" s="382"/>
      <c r="J8" s="382">
        <f t="shared" si="4"/>
        <v>0</v>
      </c>
      <c r="K8" s="382"/>
      <c r="L8" s="382">
        <f t="shared" si="5"/>
        <v>0</v>
      </c>
      <c r="M8" s="382"/>
      <c r="N8" s="381">
        <f t="shared" si="6"/>
        <v>0</v>
      </c>
      <c r="O8" s="382"/>
      <c r="P8" s="381">
        <f t="shared" si="7"/>
        <v>0</v>
      </c>
      <c r="Q8" s="381"/>
      <c r="R8" s="381">
        <f t="shared" si="8"/>
        <v>0</v>
      </c>
      <c r="S8" s="382"/>
      <c r="T8" s="382">
        <f t="shared" si="9"/>
        <v>0</v>
      </c>
      <c r="U8" s="382"/>
      <c r="V8" s="382">
        <f t="shared" si="10"/>
        <v>0</v>
      </c>
      <c r="W8" s="382"/>
      <c r="X8" s="19">
        <f t="shared" si="11"/>
        <v>0</v>
      </c>
      <c r="Y8" s="89">
        <f t="shared" si="0"/>
        <v>60604.255000000005</v>
      </c>
    </row>
    <row r="9" spans="1:25" ht="38.25" customHeight="1" x14ac:dyDescent="0.25">
      <c r="A9" s="12">
        <v>1984225580</v>
      </c>
      <c r="B9" s="384" t="s">
        <v>75</v>
      </c>
      <c r="C9" s="382">
        <v>25500</v>
      </c>
      <c r="D9" s="381">
        <f t="shared" si="1"/>
        <v>24798.75</v>
      </c>
      <c r="E9" s="382"/>
      <c r="F9" s="382">
        <f t="shared" si="2"/>
        <v>0</v>
      </c>
      <c r="G9" s="382">
        <v>20</v>
      </c>
      <c r="H9" s="382">
        <f t="shared" si="3"/>
        <v>564</v>
      </c>
      <c r="I9" s="382">
        <v>780</v>
      </c>
      <c r="J9" s="382">
        <f t="shared" si="4"/>
        <v>14430</v>
      </c>
      <c r="K9" s="382"/>
      <c r="L9" s="382">
        <f t="shared" si="5"/>
        <v>0</v>
      </c>
      <c r="M9" s="382"/>
      <c r="N9" s="381">
        <f t="shared" si="6"/>
        <v>0</v>
      </c>
      <c r="O9" s="382"/>
      <c r="P9" s="381">
        <f t="shared" si="7"/>
        <v>0</v>
      </c>
      <c r="Q9" s="381"/>
      <c r="R9" s="381">
        <f t="shared" si="8"/>
        <v>0</v>
      </c>
      <c r="S9" s="382"/>
      <c r="T9" s="382">
        <f t="shared" si="9"/>
        <v>0</v>
      </c>
      <c r="U9" s="382">
        <v>10</v>
      </c>
      <c r="V9" s="382">
        <f t="shared" si="10"/>
        <v>2320</v>
      </c>
      <c r="W9" s="382"/>
      <c r="X9" s="19">
        <f t="shared" si="11"/>
        <v>0</v>
      </c>
      <c r="Y9" s="89">
        <f t="shared" si="0"/>
        <v>42112.75</v>
      </c>
    </row>
    <row r="10" spans="1:25" ht="35.25" customHeight="1" x14ac:dyDescent="0.25">
      <c r="A10" s="12">
        <v>1409935199</v>
      </c>
      <c r="C10" s="382">
        <v>3084</v>
      </c>
      <c r="D10" s="381">
        <f t="shared" si="1"/>
        <v>2999.19</v>
      </c>
      <c r="E10" s="382"/>
      <c r="F10" s="382">
        <f t="shared" si="2"/>
        <v>0</v>
      </c>
      <c r="G10" s="382">
        <v>50</v>
      </c>
      <c r="H10" s="382">
        <f t="shared" si="3"/>
        <v>1410</v>
      </c>
      <c r="I10" s="382">
        <v>250</v>
      </c>
      <c r="J10" s="382">
        <f t="shared" si="4"/>
        <v>4625</v>
      </c>
      <c r="K10" s="382"/>
      <c r="L10" s="382">
        <f t="shared" si="5"/>
        <v>0</v>
      </c>
      <c r="M10" s="382"/>
      <c r="N10" s="381">
        <f t="shared" si="6"/>
        <v>0</v>
      </c>
      <c r="O10" s="382"/>
      <c r="P10" s="381">
        <f t="shared" si="7"/>
        <v>0</v>
      </c>
      <c r="Q10" s="381"/>
      <c r="R10" s="381">
        <f t="shared" si="8"/>
        <v>0</v>
      </c>
      <c r="S10" s="382">
        <v>10</v>
      </c>
      <c r="T10" s="382">
        <f t="shared" si="9"/>
        <v>2410</v>
      </c>
      <c r="U10" s="382"/>
      <c r="V10" s="382">
        <f t="shared" si="10"/>
        <v>0</v>
      </c>
      <c r="W10" s="382"/>
      <c r="X10" s="19">
        <f t="shared" si="11"/>
        <v>0</v>
      </c>
      <c r="Y10" s="89">
        <f t="shared" si="0"/>
        <v>11444.19</v>
      </c>
    </row>
    <row r="11" spans="1:25" ht="37.5" customHeight="1" x14ac:dyDescent="0.25">
      <c r="A11" s="12"/>
      <c r="B11" s="383"/>
      <c r="C11" s="382"/>
      <c r="D11" s="22">
        <f t="shared" si="1"/>
        <v>0</v>
      </c>
      <c r="E11" s="382"/>
      <c r="F11" s="382">
        <f t="shared" si="2"/>
        <v>0</v>
      </c>
      <c r="G11" s="382"/>
      <c r="H11" s="382">
        <f t="shared" si="3"/>
        <v>0</v>
      </c>
      <c r="I11" s="382"/>
      <c r="J11" s="382">
        <f t="shared" si="4"/>
        <v>0</v>
      </c>
      <c r="K11" s="382"/>
      <c r="L11" s="382">
        <f t="shared" si="5"/>
        <v>0</v>
      </c>
      <c r="M11" s="382"/>
      <c r="N11" s="381">
        <f t="shared" si="6"/>
        <v>0</v>
      </c>
      <c r="O11" s="382"/>
      <c r="P11" s="381">
        <f t="shared" si="7"/>
        <v>0</v>
      </c>
      <c r="Q11" s="381"/>
      <c r="R11" s="381">
        <f t="shared" si="8"/>
        <v>0</v>
      </c>
      <c r="S11" s="382"/>
      <c r="T11" s="382">
        <f t="shared" si="9"/>
        <v>0</v>
      </c>
      <c r="U11" s="382"/>
      <c r="V11" s="382">
        <f t="shared" si="10"/>
        <v>0</v>
      </c>
      <c r="W11" s="382"/>
      <c r="X11" s="19">
        <f t="shared" si="11"/>
        <v>0</v>
      </c>
      <c r="Y11" s="20">
        <f t="shared" si="0"/>
        <v>0</v>
      </c>
    </row>
    <row r="12" spans="1:25" ht="29.25" customHeight="1" x14ac:dyDescent="0.25">
      <c r="A12" s="2235" t="s">
        <v>31</v>
      </c>
      <c r="B12" s="2235"/>
      <c r="C12" s="18">
        <f t="shared" ref="C12:Y12" si="12">SUM(C6:C11)</f>
        <v>179387</v>
      </c>
      <c r="D12" s="18">
        <f t="shared" si="12"/>
        <v>174453.85750000001</v>
      </c>
      <c r="E12" s="18">
        <f t="shared" si="12"/>
        <v>0</v>
      </c>
      <c r="F12" s="18">
        <f t="shared" si="12"/>
        <v>0</v>
      </c>
      <c r="G12" s="18">
        <f t="shared" si="12"/>
        <v>240</v>
      </c>
      <c r="H12" s="18">
        <f t="shared" si="12"/>
        <v>6768</v>
      </c>
      <c r="I12" s="18">
        <f t="shared" si="12"/>
        <v>2200</v>
      </c>
      <c r="J12" s="18">
        <f t="shared" si="12"/>
        <v>40700</v>
      </c>
      <c r="K12" s="18">
        <f t="shared" si="12"/>
        <v>0</v>
      </c>
      <c r="L12" s="18">
        <f t="shared" si="12"/>
        <v>0</v>
      </c>
      <c r="M12" s="18">
        <f t="shared" si="12"/>
        <v>0</v>
      </c>
      <c r="N12" s="23">
        <f t="shared" si="12"/>
        <v>0</v>
      </c>
      <c r="O12" s="18">
        <f t="shared" si="12"/>
        <v>0</v>
      </c>
      <c r="P12" s="23">
        <f t="shared" si="12"/>
        <v>0</v>
      </c>
      <c r="Q12" s="23">
        <f t="shared" si="12"/>
        <v>0</v>
      </c>
      <c r="R12" s="23">
        <f>SUM(R6:R11)</f>
        <v>0</v>
      </c>
      <c r="S12" s="18">
        <f t="shared" si="12"/>
        <v>10</v>
      </c>
      <c r="T12" s="18">
        <f t="shared" si="12"/>
        <v>2410</v>
      </c>
      <c r="U12" s="18">
        <f t="shared" si="12"/>
        <v>10</v>
      </c>
      <c r="V12" s="18">
        <f t="shared" si="12"/>
        <v>2320</v>
      </c>
      <c r="W12" s="18">
        <f t="shared" si="12"/>
        <v>0</v>
      </c>
      <c r="X12" s="18">
        <f t="shared" si="12"/>
        <v>0</v>
      </c>
      <c r="Y12" s="18">
        <f t="shared" si="12"/>
        <v>226651.85750000001</v>
      </c>
    </row>
    <row r="14" spans="1:25" ht="41.25" customHeight="1" x14ac:dyDescent="0.25">
      <c r="A14" s="30" t="s">
        <v>32</v>
      </c>
      <c r="B14" s="2236" t="s">
        <v>27</v>
      </c>
      <c r="C14" s="2236"/>
      <c r="D14" s="30" t="s">
        <v>33</v>
      </c>
      <c r="E14" s="30" t="s">
        <v>65</v>
      </c>
      <c r="F14" s="30" t="s">
        <v>34</v>
      </c>
      <c r="G14" s="30" t="s">
        <v>13</v>
      </c>
      <c r="H14" s="142" t="s">
        <v>173</v>
      </c>
      <c r="I14" s="30" t="s">
        <v>17</v>
      </c>
      <c r="J14" s="390" t="s">
        <v>174</v>
      </c>
      <c r="K14" s="30" t="s">
        <v>36</v>
      </c>
      <c r="L14" s="30" t="s">
        <v>175</v>
      </c>
      <c r="M14" s="30" t="s">
        <v>69</v>
      </c>
      <c r="N14" s="30" t="s">
        <v>70</v>
      </c>
      <c r="O14" s="390" t="s">
        <v>114</v>
      </c>
      <c r="P14" s="390"/>
      <c r="Q14" s="2272"/>
      <c r="R14" s="2272"/>
      <c r="S14" s="390"/>
      <c r="T14" s="2235" t="s">
        <v>46</v>
      </c>
      <c r="U14" s="384" t="s">
        <v>176</v>
      </c>
      <c r="V14" s="2260">
        <v>446</v>
      </c>
      <c r="W14" s="2268"/>
      <c r="X14" s="2261"/>
    </row>
    <row r="15" spans="1:25" ht="22.5" customHeight="1" x14ac:dyDescent="0.25">
      <c r="A15" s="100" t="s">
        <v>38</v>
      </c>
      <c r="B15" s="2260">
        <v>454108</v>
      </c>
      <c r="C15" s="2261"/>
      <c r="D15" s="387">
        <v>0</v>
      </c>
      <c r="E15" s="387">
        <v>3730</v>
      </c>
      <c r="F15" s="387">
        <v>7500</v>
      </c>
      <c r="G15" s="387">
        <v>0</v>
      </c>
      <c r="H15" s="387">
        <v>157</v>
      </c>
      <c r="I15" s="387">
        <v>25</v>
      </c>
      <c r="J15" s="387">
        <v>106</v>
      </c>
      <c r="K15" s="387">
        <v>68</v>
      </c>
      <c r="L15" s="387">
        <v>950</v>
      </c>
      <c r="M15" s="387">
        <v>0</v>
      </c>
      <c r="N15" s="387">
        <v>100</v>
      </c>
      <c r="O15" s="387">
        <v>0</v>
      </c>
      <c r="P15" s="387"/>
      <c r="Q15" s="2262"/>
      <c r="R15" s="2262"/>
      <c r="S15" s="384">
        <v>0</v>
      </c>
      <c r="T15" s="2235"/>
      <c r="U15" s="384" t="s">
        <v>64</v>
      </c>
      <c r="V15" s="2262">
        <v>15053</v>
      </c>
      <c r="W15" s="2262"/>
      <c r="X15" s="2262"/>
    </row>
    <row r="16" spans="1:25" ht="24.75" customHeight="1" x14ac:dyDescent="0.25">
      <c r="A16" s="100" t="s">
        <v>39</v>
      </c>
      <c r="B16" s="2260"/>
      <c r="C16" s="2261"/>
      <c r="D16" s="387"/>
      <c r="E16" s="387"/>
      <c r="F16" s="387"/>
      <c r="G16" s="387"/>
      <c r="H16" s="387"/>
      <c r="I16" s="387"/>
      <c r="J16" s="387"/>
      <c r="K16" s="387"/>
      <c r="L16" s="387">
        <v>60</v>
      </c>
      <c r="M16" s="387"/>
      <c r="N16" s="387"/>
      <c r="O16" s="387"/>
      <c r="P16" s="387"/>
      <c r="Q16" s="2225"/>
      <c r="R16" s="2225"/>
      <c r="S16" s="387"/>
      <c r="T16" s="2254" t="s">
        <v>55</v>
      </c>
      <c r="U16" s="2254"/>
      <c r="V16" s="2267">
        <f>Y12</f>
        <v>226651.85750000001</v>
      </c>
      <c r="W16" s="2267"/>
      <c r="X16" s="2262"/>
    </row>
    <row r="17" spans="1:25" ht="28.5" customHeight="1" x14ac:dyDescent="0.25">
      <c r="A17" s="101" t="s">
        <v>44</v>
      </c>
      <c r="B17" s="2260"/>
      <c r="C17" s="2261"/>
      <c r="D17" s="387"/>
      <c r="E17" s="387"/>
      <c r="F17" s="387"/>
      <c r="G17" s="387"/>
      <c r="H17" s="387"/>
      <c r="I17" s="387"/>
      <c r="J17" s="387"/>
      <c r="K17" s="387"/>
      <c r="L17" s="387"/>
      <c r="M17" s="387"/>
      <c r="N17" s="387"/>
      <c r="O17" s="387"/>
      <c r="P17" s="387"/>
      <c r="Q17" s="2225"/>
      <c r="R17" s="2225"/>
      <c r="S17" s="383"/>
      <c r="T17" s="2294" t="s">
        <v>324</v>
      </c>
      <c r="U17" s="2295"/>
      <c r="V17" s="2296">
        <v>5460</v>
      </c>
      <c r="W17" s="2296"/>
      <c r="X17" s="2296"/>
    </row>
    <row r="18" spans="1:25" ht="27" customHeight="1" x14ac:dyDescent="0.25">
      <c r="A18" s="100" t="s">
        <v>40</v>
      </c>
      <c r="B18" s="2264">
        <f>C12</f>
        <v>179387</v>
      </c>
      <c r="C18" s="2261"/>
      <c r="D18" s="389">
        <f>E12</f>
        <v>0</v>
      </c>
      <c r="E18" s="389">
        <f>G12</f>
        <v>240</v>
      </c>
      <c r="F18" s="389">
        <f>I12</f>
        <v>2200</v>
      </c>
      <c r="G18" s="389">
        <f>K12</f>
        <v>0</v>
      </c>
      <c r="H18" s="387">
        <v>70</v>
      </c>
      <c r="I18" s="389">
        <f>U12</f>
        <v>10</v>
      </c>
      <c r="J18" s="387"/>
      <c r="K18" s="389">
        <f>W12</f>
        <v>0</v>
      </c>
      <c r="L18" s="387"/>
      <c r="M18" s="389">
        <f>M12</f>
        <v>0</v>
      </c>
      <c r="N18" s="389">
        <f>O12</f>
        <v>0</v>
      </c>
      <c r="O18" s="388">
        <f>Q12</f>
        <v>0</v>
      </c>
      <c r="P18" s="387"/>
      <c r="Q18" s="2262"/>
      <c r="R18" s="2262"/>
      <c r="S18" s="384"/>
      <c r="T18" s="2254" t="s">
        <v>57</v>
      </c>
      <c r="U18" s="2254"/>
      <c r="V18" s="2262">
        <f>620+270+3530</f>
        <v>4420</v>
      </c>
      <c r="W18" s="2262"/>
      <c r="X18" s="2262"/>
      <c r="Y18" s="2269"/>
    </row>
    <row r="19" spans="1:25" ht="25.5" customHeight="1" x14ac:dyDescent="0.25">
      <c r="A19" s="100" t="s">
        <v>41</v>
      </c>
      <c r="B19" s="2260">
        <f>B15+B16+B17-B18</f>
        <v>274721</v>
      </c>
      <c r="C19" s="2261"/>
      <c r="D19" s="387">
        <f>D15+D16+D17-D18</f>
        <v>0</v>
      </c>
      <c r="E19" s="387">
        <f t="shared" ref="E19:N19" si="13">E15+E16+E17-E18</f>
        <v>3490</v>
      </c>
      <c r="F19" s="387">
        <f t="shared" si="13"/>
        <v>5300</v>
      </c>
      <c r="G19" s="387">
        <f t="shared" si="13"/>
        <v>0</v>
      </c>
      <c r="H19" s="387">
        <f t="shared" si="13"/>
        <v>87</v>
      </c>
      <c r="I19" s="387">
        <f t="shared" si="13"/>
        <v>15</v>
      </c>
      <c r="J19" s="387">
        <f t="shared" si="13"/>
        <v>106</v>
      </c>
      <c r="K19" s="387">
        <f t="shared" si="13"/>
        <v>68</v>
      </c>
      <c r="L19" s="387">
        <f t="shared" si="13"/>
        <v>1010</v>
      </c>
      <c r="M19" s="387">
        <f t="shared" si="13"/>
        <v>0</v>
      </c>
      <c r="N19" s="387">
        <f t="shared" si="13"/>
        <v>100</v>
      </c>
      <c r="O19" s="387">
        <f>O15+O16+O17-O18</f>
        <v>0</v>
      </c>
      <c r="P19" s="387">
        <f>P15+P16+P17-P18</f>
        <v>0</v>
      </c>
      <c r="Q19" s="2260">
        <f t="shared" ref="Q19" si="14">Q15+Q16+Q17-Q18</f>
        <v>0</v>
      </c>
      <c r="R19" s="2261"/>
      <c r="S19" s="384">
        <f>S15+S16-S17-S18</f>
        <v>0</v>
      </c>
      <c r="T19" s="2256" t="s">
        <v>48</v>
      </c>
      <c r="U19" s="49" t="s">
        <v>58</v>
      </c>
      <c r="V19" s="2262"/>
      <c r="W19" s="2262"/>
      <c r="X19" s="2262"/>
      <c r="Y19" s="2269"/>
    </row>
    <row r="20" spans="1:25" ht="23.25" customHeight="1" x14ac:dyDescent="0.25">
      <c r="A20" s="289" t="s">
        <v>187</v>
      </c>
      <c r="B20" s="2286">
        <f>B19*0.9625</f>
        <v>264418.96250000002</v>
      </c>
      <c r="C20" s="2287"/>
      <c r="D20" s="290">
        <f>D19*13.56</f>
        <v>0</v>
      </c>
      <c r="E20" s="290">
        <f>28.2*E19</f>
        <v>98418</v>
      </c>
      <c r="F20" s="290">
        <f>18.31*F19</f>
        <v>97043</v>
      </c>
      <c r="G20" s="290">
        <f>19.3*G19</f>
        <v>0</v>
      </c>
      <c r="H20" s="290">
        <f>241*H19</f>
        <v>20967</v>
      </c>
      <c r="I20" s="290">
        <f>223*I19</f>
        <v>3345</v>
      </c>
      <c r="J20" s="290">
        <f>241*J19</f>
        <v>25546</v>
      </c>
      <c r="K20" s="290">
        <f>K19*100</f>
        <v>6800</v>
      </c>
      <c r="L20" s="290">
        <f>241*L19</f>
        <v>243410</v>
      </c>
      <c r="M20" s="290">
        <f>9.65*M19</f>
        <v>0</v>
      </c>
      <c r="N20" s="290">
        <f>N19*48.2</f>
        <v>4820</v>
      </c>
      <c r="O20" s="290">
        <f>241*O19</f>
        <v>0</v>
      </c>
      <c r="P20" s="290">
        <f>241*P19</f>
        <v>0</v>
      </c>
      <c r="Q20" s="2286">
        <f>241*Q19</f>
        <v>0</v>
      </c>
      <c r="R20" s="2287"/>
      <c r="S20" s="290">
        <f>241*S19</f>
        <v>0</v>
      </c>
      <c r="T20" s="2257"/>
      <c r="U20" s="49" t="s">
        <v>59</v>
      </c>
      <c r="V20" s="2262"/>
      <c r="W20" s="2262"/>
      <c r="X20" s="2262"/>
      <c r="Y20" s="2269"/>
    </row>
    <row r="21" spans="1:25" ht="32.25" customHeight="1" x14ac:dyDescent="0.25">
      <c r="A21" s="291" t="s">
        <v>186</v>
      </c>
      <c r="B21" s="2293">
        <f>SUM(B20:S20)</f>
        <v>764767.96250000002</v>
      </c>
      <c r="C21" s="2293"/>
      <c r="O21" s="391"/>
      <c r="P21" s="391"/>
      <c r="Q21" s="391"/>
      <c r="R21" s="391"/>
      <c r="T21" s="2294" t="s">
        <v>325</v>
      </c>
      <c r="U21" s="2295"/>
      <c r="V21" s="2297">
        <v>5460</v>
      </c>
      <c r="W21" s="2298"/>
      <c r="X21" s="2299"/>
      <c r="Y21" s="2269"/>
    </row>
    <row r="22" spans="1:25" ht="35.25" customHeight="1" x14ac:dyDescent="0.25">
      <c r="A22" s="15"/>
      <c r="B22" s="2288" t="s">
        <v>49</v>
      </c>
      <c r="C22" s="2291">
        <v>495873</v>
      </c>
      <c r="D22" s="2291"/>
      <c r="E22" s="2291"/>
      <c r="F22" s="2291">
        <f>C22-D22+E22</f>
        <v>495873</v>
      </c>
      <c r="G22" s="391"/>
      <c r="Q22" s="391"/>
      <c r="R22" s="391"/>
      <c r="T22" s="2251" t="s">
        <v>83</v>
      </c>
      <c r="U22" s="50" t="s">
        <v>60</v>
      </c>
      <c r="V22" s="2262"/>
      <c r="W22" s="2262"/>
      <c r="X22" s="2262"/>
      <c r="Y22" s="2269"/>
    </row>
    <row r="23" spans="1:25" ht="39.75" customHeight="1" x14ac:dyDescent="0.25">
      <c r="A23" s="391"/>
      <c r="B23" s="2289"/>
      <c r="C23" s="2292"/>
      <c r="D23" s="2292"/>
      <c r="E23" s="2292"/>
      <c r="F23" s="2292"/>
      <c r="G23" s="391"/>
      <c r="Q23" s="391"/>
      <c r="R23" s="391"/>
      <c r="T23" s="2252"/>
      <c r="U23" s="50" t="s">
        <v>61</v>
      </c>
      <c r="V23" s="2262"/>
      <c r="W23" s="2262"/>
      <c r="X23" s="2262"/>
      <c r="Y23" s="2269"/>
    </row>
    <row r="24" spans="1:25" ht="48" customHeight="1" x14ac:dyDescent="0.25">
      <c r="A24" s="391"/>
      <c r="B24" s="2290"/>
      <c r="C24" s="290" t="s">
        <v>46</v>
      </c>
      <c r="D24" s="290" t="s">
        <v>50</v>
      </c>
      <c r="E24" s="290" t="s">
        <v>51</v>
      </c>
      <c r="F24" s="290" t="s">
        <v>52</v>
      </c>
      <c r="G24" s="391"/>
      <c r="Q24" s="391"/>
      <c r="R24" s="391"/>
      <c r="T24" s="2235" t="s">
        <v>47</v>
      </c>
      <c r="U24" s="51" t="s">
        <v>62</v>
      </c>
      <c r="V24" s="2263">
        <f>V14+V16+V17-V18-V19-V20-V22+V23-V21</f>
        <v>222677.85750000001</v>
      </c>
      <c r="W24" s="2263"/>
      <c r="X24" s="2263"/>
      <c r="Y24" s="2269"/>
    </row>
    <row r="25" spans="1:25" ht="40.5" customHeight="1" x14ac:dyDescent="0.25">
      <c r="T25" s="2235"/>
      <c r="U25" s="51" t="s">
        <v>63</v>
      </c>
      <c r="V25" s="2262">
        <f>V15+V22-V23</f>
        <v>15053</v>
      </c>
      <c r="W25" s="2262"/>
      <c r="X25" s="2262"/>
    </row>
    <row r="26" spans="1:25" ht="36" customHeight="1" x14ac:dyDescent="0.25">
      <c r="K26" s="314"/>
    </row>
    <row r="32" spans="1:25" x14ac:dyDescent="0.25">
      <c r="I32" s="2280"/>
      <c r="J32" s="2280"/>
      <c r="K32" s="2280"/>
      <c r="L32" s="2280"/>
    </row>
    <row r="33" spans="9:12" x14ac:dyDescent="0.25">
      <c r="I33" s="391"/>
      <c r="J33" s="391"/>
      <c r="K33" s="2280"/>
      <c r="L33" s="2280"/>
    </row>
  </sheetData>
  <mergeCells count="62">
    <mergeCell ref="A1:Y1"/>
    <mergeCell ref="A2:Y2"/>
    <mergeCell ref="T3:Y3"/>
    <mergeCell ref="A4:A5"/>
    <mergeCell ref="B4:B5"/>
    <mergeCell ref="C4:D4"/>
    <mergeCell ref="E4:F4"/>
    <mergeCell ref="G4:H4"/>
    <mergeCell ref="I4:J4"/>
    <mergeCell ref="K4:L4"/>
    <mergeCell ref="Y4:Y5"/>
    <mergeCell ref="M4:N4"/>
    <mergeCell ref="O4:P4"/>
    <mergeCell ref="Q4:R4"/>
    <mergeCell ref="S4:T4"/>
    <mergeCell ref="U4:V4"/>
    <mergeCell ref="W4:X4"/>
    <mergeCell ref="B16:C16"/>
    <mergeCell ref="Q16:R16"/>
    <mergeCell ref="T16:U16"/>
    <mergeCell ref="V16:X16"/>
    <mergeCell ref="A12:B12"/>
    <mergeCell ref="B14:C14"/>
    <mergeCell ref="Q14:R14"/>
    <mergeCell ref="T14:T15"/>
    <mergeCell ref="V14:X14"/>
    <mergeCell ref="B15:C15"/>
    <mergeCell ref="Q15:R15"/>
    <mergeCell ref="V15:X15"/>
    <mergeCell ref="B17:C17"/>
    <mergeCell ref="Q17:R17"/>
    <mergeCell ref="T17:U17"/>
    <mergeCell ref="V17:X17"/>
    <mergeCell ref="B18:C18"/>
    <mergeCell ref="Q18:R18"/>
    <mergeCell ref="T18:U18"/>
    <mergeCell ref="V18:X18"/>
    <mergeCell ref="Y18:Y24"/>
    <mergeCell ref="B19:C19"/>
    <mergeCell ref="Q19:R19"/>
    <mergeCell ref="T19:T20"/>
    <mergeCell ref="V19:X19"/>
    <mergeCell ref="B20:C20"/>
    <mergeCell ref="B22:B24"/>
    <mergeCell ref="C22:C23"/>
    <mergeCell ref="D22:D23"/>
    <mergeCell ref="E22:E23"/>
    <mergeCell ref="F22:F23"/>
    <mergeCell ref="Q20:R20"/>
    <mergeCell ref="V20:X20"/>
    <mergeCell ref="B21:C21"/>
    <mergeCell ref="T21:U21"/>
    <mergeCell ref="V21:X21"/>
    <mergeCell ref="I32:J32"/>
    <mergeCell ref="K32:L32"/>
    <mergeCell ref="K33:L33"/>
    <mergeCell ref="T22:T23"/>
    <mergeCell ref="V22:X22"/>
    <mergeCell ref="V23:X23"/>
    <mergeCell ref="T24:T25"/>
    <mergeCell ref="V24:X24"/>
    <mergeCell ref="V25:X25"/>
  </mergeCells>
  <pageMargins left="0.15748031496063" right="0.15748031496063" top="0" bottom="0" header="0" footer="0"/>
  <pageSetup paperSize="9" scale="47" orientation="landscape" r:id="rId1"/>
</worksheet>
</file>

<file path=xl/worksheets/sheet12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A10F310-75D2-45C8-90FC-6A57524D80AD}">
  <sheetPr>
    <pageSetUpPr fitToPage="1"/>
  </sheetPr>
  <dimension ref="A1:Y33"/>
  <sheetViews>
    <sheetView topLeftCell="A10" zoomScale="70" zoomScaleNormal="70" zoomScaleSheetLayoutView="100" workbookViewId="0">
      <selection activeCell="I25" sqref="I25"/>
    </sheetView>
  </sheetViews>
  <sheetFormatPr defaultColWidth="9.140625" defaultRowHeight="15" x14ac:dyDescent="0.25"/>
  <cols>
    <col min="1" max="1" width="18.28515625" style="14" customWidth="1"/>
    <col min="2" max="2" width="10.7109375" style="14" customWidth="1"/>
    <col min="3" max="3" width="12.28515625" style="14" customWidth="1"/>
    <col min="4" max="4" width="11" style="14" customWidth="1"/>
    <col min="5" max="5" width="12" style="14" customWidth="1"/>
    <col min="6" max="6" width="12.5703125" style="14" bestFit="1" customWidth="1"/>
    <col min="7" max="7" width="9.28515625" style="14" bestFit="1" customWidth="1"/>
    <col min="8" max="8" width="10.140625" style="14" bestFit="1" customWidth="1"/>
    <col min="9" max="9" width="10.5703125" style="14" bestFit="1" customWidth="1"/>
    <col min="10" max="10" width="10.5703125" style="14" customWidth="1"/>
    <col min="11" max="11" width="10.28515625" style="14" bestFit="1" customWidth="1"/>
    <col min="12" max="12" width="10.42578125" style="14" bestFit="1" customWidth="1"/>
    <col min="13" max="13" width="9.85546875" style="14" bestFit="1" customWidth="1"/>
    <col min="14" max="14" width="10.140625" style="14" bestFit="1" customWidth="1"/>
    <col min="15" max="15" width="9" style="14" customWidth="1"/>
    <col min="16" max="16" width="12.85546875" style="14" bestFit="1" customWidth="1"/>
    <col min="17" max="18" width="9.42578125" style="14" customWidth="1"/>
    <col min="19" max="19" width="13.7109375" style="14" customWidth="1"/>
    <col min="20" max="20" width="12.140625" style="14" customWidth="1"/>
    <col min="21" max="21" width="19.5703125" style="14" bestFit="1" customWidth="1"/>
    <col min="22" max="22" width="9.85546875" style="14" customWidth="1"/>
    <col min="23" max="23" width="10.140625" style="14" bestFit="1" customWidth="1"/>
    <col min="24" max="24" width="10.28515625" style="14" customWidth="1"/>
    <col min="25" max="25" width="28" style="14" customWidth="1"/>
    <col min="26" max="16384" width="9.140625" style="14"/>
  </cols>
  <sheetData>
    <row r="1" spans="1:25" ht="46.15" customHeight="1" x14ac:dyDescent="0.25">
      <c r="A1" s="2240" t="s">
        <v>148</v>
      </c>
      <c r="B1" s="2240"/>
      <c r="C1" s="2240"/>
      <c r="D1" s="2240"/>
      <c r="E1" s="2240"/>
      <c r="F1" s="2240"/>
      <c r="G1" s="2240"/>
      <c r="H1" s="2240"/>
      <c r="I1" s="2240"/>
      <c r="J1" s="2240"/>
      <c r="K1" s="2240"/>
      <c r="L1" s="2240"/>
      <c r="M1" s="2240"/>
      <c r="N1" s="2240"/>
      <c r="O1" s="2240"/>
      <c r="P1" s="2240"/>
      <c r="Q1" s="2240"/>
      <c r="R1" s="2240"/>
      <c r="S1" s="2240"/>
      <c r="T1" s="2240"/>
      <c r="U1" s="2240"/>
      <c r="V1" s="2240"/>
      <c r="W1" s="2240"/>
      <c r="X1" s="2240"/>
      <c r="Y1" s="2240"/>
    </row>
    <row r="2" spans="1:25" ht="21.6" customHeight="1" x14ac:dyDescent="0.25">
      <c r="A2" s="2241" t="s">
        <v>77</v>
      </c>
      <c r="B2" s="2241"/>
      <c r="C2" s="2241"/>
      <c r="D2" s="2241"/>
      <c r="E2" s="2241"/>
      <c r="F2" s="2241"/>
      <c r="G2" s="2241"/>
      <c r="H2" s="2241"/>
      <c r="I2" s="2241"/>
      <c r="J2" s="2241"/>
      <c r="K2" s="2241"/>
      <c r="L2" s="2241"/>
      <c r="M2" s="2241"/>
      <c r="N2" s="2241"/>
      <c r="O2" s="2241"/>
      <c r="P2" s="2241"/>
      <c r="Q2" s="2241"/>
      <c r="R2" s="2241"/>
      <c r="S2" s="2241"/>
      <c r="T2" s="2241"/>
      <c r="U2" s="2241"/>
      <c r="V2" s="2241"/>
      <c r="W2" s="2241"/>
      <c r="X2" s="2241"/>
      <c r="Y2" s="2241"/>
    </row>
    <row r="3" spans="1:25" ht="21" customHeight="1" x14ac:dyDescent="0.25">
      <c r="A3" s="386"/>
      <c r="B3" s="386"/>
      <c r="C3" s="386"/>
      <c r="D3" s="386"/>
      <c r="E3" s="386"/>
      <c r="F3" s="386"/>
      <c r="G3" s="386"/>
      <c r="H3" s="386"/>
      <c r="I3" s="386"/>
      <c r="J3" s="386"/>
      <c r="K3" s="386"/>
      <c r="L3" s="386"/>
      <c r="M3" s="386"/>
      <c r="N3" s="386"/>
      <c r="O3" s="386"/>
      <c r="P3" s="386"/>
      <c r="Q3" s="386"/>
      <c r="R3" s="386"/>
      <c r="S3" s="386"/>
      <c r="T3" s="2242" t="s">
        <v>326</v>
      </c>
      <c r="U3" s="2242"/>
      <c r="V3" s="2242"/>
      <c r="W3" s="2242"/>
      <c r="X3" s="2242"/>
      <c r="Y3" s="2242"/>
    </row>
    <row r="4" spans="1:25" s="386" customFormat="1" ht="18" customHeight="1" x14ac:dyDescent="0.25">
      <c r="A4" s="2243" t="s">
        <v>25</v>
      </c>
      <c r="B4" s="2243" t="s">
        <v>26</v>
      </c>
      <c r="C4" s="2244" t="s">
        <v>27</v>
      </c>
      <c r="D4" s="2244"/>
      <c r="E4" s="2244" t="s">
        <v>28</v>
      </c>
      <c r="F4" s="2244"/>
      <c r="G4" s="2244" t="s">
        <v>65</v>
      </c>
      <c r="H4" s="2244"/>
      <c r="I4" s="2244" t="s">
        <v>29</v>
      </c>
      <c r="J4" s="2244"/>
      <c r="K4" s="2245" t="s">
        <v>13</v>
      </c>
      <c r="L4" s="2246"/>
      <c r="M4" s="2245" t="s">
        <v>67</v>
      </c>
      <c r="N4" s="2246"/>
      <c r="O4" s="2245" t="s">
        <v>68</v>
      </c>
      <c r="P4" s="2246"/>
      <c r="Q4" s="2245" t="s">
        <v>114</v>
      </c>
      <c r="R4" s="2246"/>
      <c r="S4" s="2244" t="s">
        <v>35</v>
      </c>
      <c r="T4" s="2244"/>
      <c r="U4" s="2245" t="s">
        <v>17</v>
      </c>
      <c r="V4" s="2246"/>
      <c r="W4" s="2247" t="s">
        <v>36</v>
      </c>
      <c r="X4" s="2248"/>
      <c r="Y4" s="2238" t="s">
        <v>30</v>
      </c>
    </row>
    <row r="5" spans="1:25" s="386" customFormat="1" ht="25.5" customHeight="1" x14ac:dyDescent="0.25">
      <c r="A5" s="2243"/>
      <c r="B5" s="2243"/>
      <c r="C5" s="385" t="s">
        <v>42</v>
      </c>
      <c r="D5" s="385" t="s">
        <v>43</v>
      </c>
      <c r="E5" s="385" t="s">
        <v>42</v>
      </c>
      <c r="F5" s="385" t="s">
        <v>43</v>
      </c>
      <c r="G5" s="385" t="s">
        <v>42</v>
      </c>
      <c r="H5" s="385" t="s">
        <v>43</v>
      </c>
      <c r="I5" s="385" t="s">
        <v>42</v>
      </c>
      <c r="J5" s="385" t="s">
        <v>43</v>
      </c>
      <c r="K5" s="385" t="s">
        <v>42</v>
      </c>
      <c r="L5" s="385" t="s">
        <v>43</v>
      </c>
      <c r="M5" s="385" t="s">
        <v>42</v>
      </c>
      <c r="N5" s="385" t="s">
        <v>43</v>
      </c>
      <c r="O5" s="385" t="s">
        <v>42</v>
      </c>
      <c r="P5" s="385" t="s">
        <v>43</v>
      </c>
      <c r="Q5" s="385" t="s">
        <v>42</v>
      </c>
      <c r="R5" s="385" t="s">
        <v>43</v>
      </c>
      <c r="S5" s="33" t="s">
        <v>42</v>
      </c>
      <c r="T5" s="33" t="s">
        <v>43</v>
      </c>
      <c r="U5" s="30" t="s">
        <v>42</v>
      </c>
      <c r="V5" s="30" t="s">
        <v>43</v>
      </c>
      <c r="W5" s="30" t="s">
        <v>42</v>
      </c>
      <c r="X5" s="30" t="s">
        <v>43</v>
      </c>
      <c r="Y5" s="2239"/>
    </row>
    <row r="6" spans="1:25" ht="34.5" customHeight="1" x14ac:dyDescent="0.25">
      <c r="A6" s="12">
        <v>1409935200</v>
      </c>
      <c r="B6" s="384" t="s">
        <v>71</v>
      </c>
      <c r="C6" s="382">
        <v>43052</v>
      </c>
      <c r="D6" s="381">
        <f>0.9725*C6</f>
        <v>41868.07</v>
      </c>
      <c r="E6" s="382"/>
      <c r="F6" s="382">
        <f>13.7*E6</f>
        <v>0</v>
      </c>
      <c r="G6" s="382">
        <v>100</v>
      </c>
      <c r="H6" s="382">
        <f>28.2*G6</f>
        <v>2820</v>
      </c>
      <c r="I6" s="382">
        <v>330</v>
      </c>
      <c r="J6" s="382">
        <f>18.5*I6</f>
        <v>6105</v>
      </c>
      <c r="K6" s="382"/>
      <c r="L6" s="382">
        <f>19.5*K6</f>
        <v>0</v>
      </c>
      <c r="M6" s="382"/>
      <c r="N6" s="381">
        <f>M6*9.75</f>
        <v>0</v>
      </c>
      <c r="O6" s="382"/>
      <c r="P6" s="381">
        <f>O6*48.62</f>
        <v>0</v>
      </c>
      <c r="Q6" s="381"/>
      <c r="R6" s="381">
        <f>241*Q6</f>
        <v>0</v>
      </c>
      <c r="S6" s="382"/>
      <c r="T6" s="382">
        <f>241*S6</f>
        <v>0</v>
      </c>
      <c r="U6" s="382"/>
      <c r="V6" s="382">
        <f>232*U6</f>
        <v>0</v>
      </c>
      <c r="W6" s="382"/>
      <c r="X6" s="19">
        <f>W6*100</f>
        <v>0</v>
      </c>
      <c r="Y6" s="89">
        <f t="shared" ref="Y6:Y11" si="0">D6+F6+H6+J6+L6+N6+P6+R6+T6+V6+X6</f>
        <v>50793.07</v>
      </c>
    </row>
    <row r="7" spans="1:25" ht="31.5" customHeight="1" x14ac:dyDescent="0.25">
      <c r="A7" s="12">
        <v>1984225578</v>
      </c>
      <c r="B7" s="384" t="s">
        <v>72</v>
      </c>
      <c r="C7" s="382">
        <v>54679</v>
      </c>
      <c r="D7" s="381">
        <f t="shared" ref="D7:D11" si="1">0.9725*C7</f>
        <v>53175.327499999999</v>
      </c>
      <c r="E7" s="382"/>
      <c r="F7" s="382">
        <f t="shared" ref="F7:F11" si="2">13.7*E7</f>
        <v>0</v>
      </c>
      <c r="G7" s="382">
        <v>20</v>
      </c>
      <c r="H7" s="382">
        <f t="shared" ref="H7:H11" si="3">28.2*G7</f>
        <v>564</v>
      </c>
      <c r="I7" s="382">
        <v>750</v>
      </c>
      <c r="J7" s="382">
        <f t="shared" ref="J7:J11" si="4">18.5*I7</f>
        <v>13875</v>
      </c>
      <c r="K7" s="382"/>
      <c r="L7" s="382">
        <f t="shared" ref="L7:L11" si="5">19.5*K7</f>
        <v>0</v>
      </c>
      <c r="M7" s="382"/>
      <c r="N7" s="381">
        <f t="shared" ref="N7:N11" si="6">M7*9.75</f>
        <v>0</v>
      </c>
      <c r="O7" s="382"/>
      <c r="P7" s="381">
        <f t="shared" ref="P7:P11" si="7">O7*48.62</f>
        <v>0</v>
      </c>
      <c r="Q7" s="381"/>
      <c r="R7" s="381">
        <f t="shared" ref="R7:R11" si="8">241*Q7</f>
        <v>0</v>
      </c>
      <c r="S7" s="382">
        <v>24</v>
      </c>
      <c r="T7" s="382">
        <f t="shared" ref="T7:T11" si="9">241*S7</f>
        <v>5784</v>
      </c>
      <c r="U7" s="382"/>
      <c r="V7" s="382">
        <f t="shared" ref="V7:V11" si="10">232*U7</f>
        <v>0</v>
      </c>
      <c r="W7" s="382"/>
      <c r="X7" s="19">
        <f t="shared" ref="X7:X11" si="11">W7*100</f>
        <v>0</v>
      </c>
      <c r="Y7" s="89">
        <f t="shared" si="0"/>
        <v>73398.327499999999</v>
      </c>
    </row>
    <row r="8" spans="1:25" ht="35.25" customHeight="1" x14ac:dyDescent="0.25">
      <c r="A8" s="12">
        <v>1967020280</v>
      </c>
      <c r="B8" s="384" t="s">
        <v>73</v>
      </c>
      <c r="C8" s="382">
        <v>29603</v>
      </c>
      <c r="D8" s="381">
        <f t="shared" si="1"/>
        <v>28788.9175</v>
      </c>
      <c r="E8" s="382"/>
      <c r="F8" s="382">
        <f t="shared" si="2"/>
        <v>0</v>
      </c>
      <c r="G8" s="382">
        <v>430</v>
      </c>
      <c r="H8" s="382">
        <f t="shared" si="3"/>
        <v>12126</v>
      </c>
      <c r="I8" s="382">
        <v>2000</v>
      </c>
      <c r="J8" s="382">
        <f t="shared" si="4"/>
        <v>37000</v>
      </c>
      <c r="K8" s="382"/>
      <c r="L8" s="382">
        <f t="shared" si="5"/>
        <v>0</v>
      </c>
      <c r="M8" s="382"/>
      <c r="N8" s="381">
        <f t="shared" si="6"/>
        <v>0</v>
      </c>
      <c r="O8" s="382"/>
      <c r="P8" s="381">
        <f t="shared" si="7"/>
        <v>0</v>
      </c>
      <c r="Q8" s="381"/>
      <c r="R8" s="381">
        <f t="shared" si="8"/>
        <v>0</v>
      </c>
      <c r="S8" s="382"/>
      <c r="T8" s="382">
        <f t="shared" si="9"/>
        <v>0</v>
      </c>
      <c r="U8" s="382"/>
      <c r="V8" s="382">
        <f t="shared" si="10"/>
        <v>0</v>
      </c>
      <c r="W8" s="382"/>
      <c r="X8" s="19">
        <f t="shared" si="11"/>
        <v>0</v>
      </c>
      <c r="Y8" s="89">
        <f t="shared" si="0"/>
        <v>77914.917499999996</v>
      </c>
    </row>
    <row r="9" spans="1:25" ht="38.25" customHeight="1" x14ac:dyDescent="0.25">
      <c r="A9" s="12">
        <v>1984225580</v>
      </c>
      <c r="B9" s="384" t="s">
        <v>75</v>
      </c>
      <c r="C9" s="382">
        <v>78232</v>
      </c>
      <c r="D9" s="381">
        <f t="shared" si="1"/>
        <v>76080.62</v>
      </c>
      <c r="E9" s="382"/>
      <c r="F9" s="382">
        <f t="shared" si="2"/>
        <v>0</v>
      </c>
      <c r="G9" s="382"/>
      <c r="H9" s="382">
        <f t="shared" si="3"/>
        <v>0</v>
      </c>
      <c r="I9" s="382">
        <v>1220</v>
      </c>
      <c r="J9" s="382">
        <f t="shared" si="4"/>
        <v>22570</v>
      </c>
      <c r="K9" s="382"/>
      <c r="L9" s="382">
        <f t="shared" si="5"/>
        <v>0</v>
      </c>
      <c r="M9" s="382"/>
      <c r="N9" s="381">
        <f t="shared" si="6"/>
        <v>0</v>
      </c>
      <c r="O9" s="382"/>
      <c r="P9" s="381">
        <f t="shared" si="7"/>
        <v>0</v>
      </c>
      <c r="Q9" s="381"/>
      <c r="R9" s="381">
        <f t="shared" si="8"/>
        <v>0</v>
      </c>
      <c r="S9" s="382"/>
      <c r="T9" s="382">
        <f t="shared" si="9"/>
        <v>0</v>
      </c>
      <c r="U9" s="382">
        <v>10</v>
      </c>
      <c r="V9" s="382">
        <f t="shared" si="10"/>
        <v>2320</v>
      </c>
      <c r="W9" s="382"/>
      <c r="X9" s="19">
        <f t="shared" si="11"/>
        <v>0</v>
      </c>
      <c r="Y9" s="89">
        <f t="shared" si="0"/>
        <v>100970.62</v>
      </c>
    </row>
    <row r="10" spans="1:25" ht="35.25" customHeight="1" x14ac:dyDescent="0.25">
      <c r="A10" s="12">
        <v>1409935199</v>
      </c>
      <c r="C10" s="382"/>
      <c r="D10" s="381">
        <f t="shared" si="1"/>
        <v>0</v>
      </c>
      <c r="E10" s="382"/>
      <c r="F10" s="382">
        <f t="shared" si="2"/>
        <v>0</v>
      </c>
      <c r="G10" s="382"/>
      <c r="H10" s="382">
        <f t="shared" si="3"/>
        <v>0</v>
      </c>
      <c r="I10" s="382">
        <v>1000</v>
      </c>
      <c r="J10" s="382">
        <f t="shared" si="4"/>
        <v>18500</v>
      </c>
      <c r="K10" s="382"/>
      <c r="L10" s="382">
        <f t="shared" si="5"/>
        <v>0</v>
      </c>
      <c r="M10" s="382"/>
      <c r="N10" s="381">
        <f t="shared" si="6"/>
        <v>0</v>
      </c>
      <c r="O10" s="382"/>
      <c r="P10" s="381">
        <f t="shared" si="7"/>
        <v>0</v>
      </c>
      <c r="Q10" s="381"/>
      <c r="R10" s="381">
        <f t="shared" si="8"/>
        <v>0</v>
      </c>
      <c r="S10" s="382"/>
      <c r="T10" s="382">
        <f t="shared" si="9"/>
        <v>0</v>
      </c>
      <c r="U10" s="382"/>
      <c r="V10" s="382">
        <f t="shared" si="10"/>
        <v>0</v>
      </c>
      <c r="W10" s="382"/>
      <c r="X10" s="19">
        <f t="shared" si="11"/>
        <v>0</v>
      </c>
      <c r="Y10" s="89">
        <f t="shared" si="0"/>
        <v>18500</v>
      </c>
    </row>
    <row r="11" spans="1:25" ht="37.5" customHeight="1" x14ac:dyDescent="0.25">
      <c r="A11" s="12"/>
      <c r="B11" s="383"/>
      <c r="C11" s="382"/>
      <c r="D11" s="22">
        <f t="shared" si="1"/>
        <v>0</v>
      </c>
      <c r="E11" s="382"/>
      <c r="F11" s="382">
        <f t="shared" si="2"/>
        <v>0</v>
      </c>
      <c r="G11" s="382"/>
      <c r="H11" s="382">
        <f t="shared" si="3"/>
        <v>0</v>
      </c>
      <c r="I11" s="382"/>
      <c r="J11" s="382">
        <f t="shared" si="4"/>
        <v>0</v>
      </c>
      <c r="K11" s="382"/>
      <c r="L11" s="382">
        <f t="shared" si="5"/>
        <v>0</v>
      </c>
      <c r="M11" s="382"/>
      <c r="N11" s="381">
        <f t="shared" si="6"/>
        <v>0</v>
      </c>
      <c r="O11" s="382"/>
      <c r="P11" s="381">
        <f t="shared" si="7"/>
        <v>0</v>
      </c>
      <c r="Q11" s="381"/>
      <c r="R11" s="381">
        <f t="shared" si="8"/>
        <v>0</v>
      </c>
      <c r="S11" s="382"/>
      <c r="T11" s="382">
        <f t="shared" si="9"/>
        <v>0</v>
      </c>
      <c r="U11" s="382"/>
      <c r="V11" s="382">
        <f t="shared" si="10"/>
        <v>0</v>
      </c>
      <c r="W11" s="382"/>
      <c r="X11" s="19">
        <f t="shared" si="11"/>
        <v>0</v>
      </c>
      <c r="Y11" s="20">
        <f t="shared" si="0"/>
        <v>0</v>
      </c>
    </row>
    <row r="12" spans="1:25" ht="29.25" customHeight="1" x14ac:dyDescent="0.25">
      <c r="A12" s="2235" t="s">
        <v>31</v>
      </c>
      <c r="B12" s="2235"/>
      <c r="C12" s="18">
        <f t="shared" ref="C12:Y12" si="12">SUM(C6:C11)</f>
        <v>205566</v>
      </c>
      <c r="D12" s="18">
        <f t="shared" si="12"/>
        <v>199912.935</v>
      </c>
      <c r="E12" s="18">
        <f t="shared" si="12"/>
        <v>0</v>
      </c>
      <c r="F12" s="18">
        <f t="shared" si="12"/>
        <v>0</v>
      </c>
      <c r="G12" s="18">
        <f t="shared" si="12"/>
        <v>550</v>
      </c>
      <c r="H12" s="18">
        <f t="shared" si="12"/>
        <v>15510</v>
      </c>
      <c r="I12" s="18">
        <f t="shared" si="12"/>
        <v>5300</v>
      </c>
      <c r="J12" s="18">
        <f t="shared" si="12"/>
        <v>98050</v>
      </c>
      <c r="K12" s="18">
        <f t="shared" si="12"/>
        <v>0</v>
      </c>
      <c r="L12" s="18">
        <f t="shared" si="12"/>
        <v>0</v>
      </c>
      <c r="M12" s="18">
        <f t="shared" si="12"/>
        <v>0</v>
      </c>
      <c r="N12" s="23">
        <f t="shared" si="12"/>
        <v>0</v>
      </c>
      <c r="O12" s="18">
        <f t="shared" si="12"/>
        <v>0</v>
      </c>
      <c r="P12" s="23">
        <f t="shared" si="12"/>
        <v>0</v>
      </c>
      <c r="Q12" s="23">
        <f t="shared" si="12"/>
        <v>0</v>
      </c>
      <c r="R12" s="23">
        <f>SUM(R6:R11)</f>
        <v>0</v>
      </c>
      <c r="S12" s="18">
        <f t="shared" si="12"/>
        <v>24</v>
      </c>
      <c r="T12" s="18">
        <f t="shared" si="12"/>
        <v>5784</v>
      </c>
      <c r="U12" s="18">
        <f t="shared" si="12"/>
        <v>10</v>
      </c>
      <c r="V12" s="18">
        <f t="shared" si="12"/>
        <v>2320</v>
      </c>
      <c r="W12" s="18">
        <f t="shared" si="12"/>
        <v>0</v>
      </c>
      <c r="X12" s="18">
        <f t="shared" si="12"/>
        <v>0</v>
      </c>
      <c r="Y12" s="18">
        <f t="shared" si="12"/>
        <v>321576.935</v>
      </c>
    </row>
    <row r="14" spans="1:25" ht="41.25" customHeight="1" x14ac:dyDescent="0.25">
      <c r="A14" s="30" t="s">
        <v>32</v>
      </c>
      <c r="B14" s="2236" t="s">
        <v>27</v>
      </c>
      <c r="C14" s="2236"/>
      <c r="D14" s="30" t="s">
        <v>33</v>
      </c>
      <c r="E14" s="30" t="s">
        <v>65</v>
      </c>
      <c r="F14" s="30" t="s">
        <v>34</v>
      </c>
      <c r="G14" s="30" t="s">
        <v>13</v>
      </c>
      <c r="H14" s="142" t="s">
        <v>173</v>
      </c>
      <c r="I14" s="30" t="s">
        <v>17</v>
      </c>
      <c r="J14" s="390" t="s">
        <v>174</v>
      </c>
      <c r="K14" s="30" t="s">
        <v>36</v>
      </c>
      <c r="L14" s="30" t="s">
        <v>175</v>
      </c>
      <c r="M14" s="30" t="s">
        <v>69</v>
      </c>
      <c r="N14" s="30" t="s">
        <v>70</v>
      </c>
      <c r="O14" s="390" t="s">
        <v>114</v>
      </c>
      <c r="P14" s="390"/>
      <c r="Q14" s="2272"/>
      <c r="R14" s="2272"/>
      <c r="S14" s="390"/>
      <c r="T14" s="2235" t="s">
        <v>46</v>
      </c>
      <c r="U14" s="384" t="s">
        <v>176</v>
      </c>
      <c r="V14" s="2260">
        <v>222678</v>
      </c>
      <c r="W14" s="2268"/>
      <c r="X14" s="2261"/>
    </row>
    <row r="15" spans="1:25" ht="22.5" customHeight="1" x14ac:dyDescent="0.25">
      <c r="A15" s="100" t="s">
        <v>38</v>
      </c>
      <c r="B15" s="2260">
        <v>274721</v>
      </c>
      <c r="C15" s="2261"/>
      <c r="D15" s="387">
        <v>0</v>
      </c>
      <c r="E15" s="387">
        <v>3490</v>
      </c>
      <c r="F15" s="387">
        <v>5300</v>
      </c>
      <c r="G15" s="387">
        <v>0</v>
      </c>
      <c r="H15" s="387">
        <v>87</v>
      </c>
      <c r="I15" s="387">
        <v>15</v>
      </c>
      <c r="J15" s="387">
        <v>106</v>
      </c>
      <c r="K15" s="387">
        <v>68</v>
      </c>
      <c r="L15" s="387">
        <v>1010</v>
      </c>
      <c r="M15" s="387">
        <v>0</v>
      </c>
      <c r="N15" s="387">
        <v>100</v>
      </c>
      <c r="O15" s="387">
        <v>0</v>
      </c>
      <c r="P15" s="387"/>
      <c r="Q15" s="2262"/>
      <c r="R15" s="2262"/>
      <c r="S15" s="384">
        <v>0</v>
      </c>
      <c r="T15" s="2235"/>
      <c r="U15" s="384" t="s">
        <v>64</v>
      </c>
      <c r="V15" s="2262">
        <v>15053</v>
      </c>
      <c r="W15" s="2262"/>
      <c r="X15" s="2262"/>
    </row>
    <row r="16" spans="1:25" ht="24.75" customHeight="1" x14ac:dyDescent="0.25">
      <c r="A16" s="100" t="s">
        <v>39</v>
      </c>
      <c r="B16" s="2260">
        <v>328883</v>
      </c>
      <c r="C16" s="2261"/>
      <c r="D16" s="387"/>
      <c r="E16" s="387">
        <v>850</v>
      </c>
      <c r="F16" s="387">
        <v>7000</v>
      </c>
      <c r="G16" s="387"/>
      <c r="H16" s="387">
        <v>300</v>
      </c>
      <c r="I16" s="387">
        <v>50</v>
      </c>
      <c r="J16" s="387"/>
      <c r="K16" s="387"/>
      <c r="L16" s="387">
        <v>50</v>
      </c>
      <c r="M16" s="387"/>
      <c r="N16" s="387"/>
      <c r="O16" s="387"/>
      <c r="P16" s="387"/>
      <c r="Q16" s="2225"/>
      <c r="R16" s="2225"/>
      <c r="S16" s="387"/>
      <c r="T16" s="2254" t="s">
        <v>55</v>
      </c>
      <c r="U16" s="2254"/>
      <c r="V16" s="2267">
        <f>Y12</f>
        <v>321576.935</v>
      </c>
      <c r="W16" s="2267"/>
      <c r="X16" s="2262"/>
    </row>
    <row r="17" spans="1:25" ht="28.5" customHeight="1" x14ac:dyDescent="0.25">
      <c r="A17" s="101" t="s">
        <v>44</v>
      </c>
      <c r="B17" s="2260"/>
      <c r="C17" s="2261"/>
      <c r="D17" s="387"/>
      <c r="E17" s="387"/>
      <c r="F17" s="387"/>
      <c r="G17" s="387"/>
      <c r="H17" s="387"/>
      <c r="I17" s="387"/>
      <c r="J17" s="387"/>
      <c r="K17" s="387"/>
      <c r="L17" s="387"/>
      <c r="M17" s="387"/>
      <c r="N17" s="387"/>
      <c r="O17" s="387"/>
      <c r="P17" s="387"/>
      <c r="Q17" s="2225"/>
      <c r="R17" s="2225"/>
      <c r="S17" s="383"/>
      <c r="T17" s="2294"/>
      <c r="U17" s="2295"/>
      <c r="V17" s="2296"/>
      <c r="W17" s="2296"/>
      <c r="X17" s="2296"/>
    </row>
    <row r="18" spans="1:25" ht="27" customHeight="1" x14ac:dyDescent="0.25">
      <c r="A18" s="100" t="s">
        <v>40</v>
      </c>
      <c r="B18" s="2264">
        <f>C12</f>
        <v>205566</v>
      </c>
      <c r="C18" s="2261"/>
      <c r="D18" s="389">
        <f>E12</f>
        <v>0</v>
      </c>
      <c r="E18" s="389">
        <f>G12</f>
        <v>550</v>
      </c>
      <c r="F18" s="389">
        <f>I12</f>
        <v>5300</v>
      </c>
      <c r="G18" s="389">
        <f>K12</f>
        <v>0</v>
      </c>
      <c r="H18" s="387">
        <v>74</v>
      </c>
      <c r="I18" s="389">
        <f>U12</f>
        <v>10</v>
      </c>
      <c r="J18" s="387"/>
      <c r="K18" s="389">
        <f>W12</f>
        <v>0</v>
      </c>
      <c r="L18" s="387"/>
      <c r="M18" s="389">
        <f>M12</f>
        <v>0</v>
      </c>
      <c r="N18" s="389">
        <f>O12</f>
        <v>0</v>
      </c>
      <c r="O18" s="388">
        <f>Q12</f>
        <v>0</v>
      </c>
      <c r="P18" s="387"/>
      <c r="Q18" s="2262"/>
      <c r="R18" s="2262"/>
      <c r="S18" s="384"/>
      <c r="T18" s="2254" t="s">
        <v>57</v>
      </c>
      <c r="U18" s="2254"/>
      <c r="V18" s="2262">
        <f>520+400</f>
        <v>920</v>
      </c>
      <c r="W18" s="2262"/>
      <c r="X18" s="2262"/>
      <c r="Y18" s="2269"/>
    </row>
    <row r="19" spans="1:25" ht="25.5" customHeight="1" x14ac:dyDescent="0.25">
      <c r="A19" s="100" t="s">
        <v>41</v>
      </c>
      <c r="B19" s="2260">
        <f>B15+B16+B17-B18</f>
        <v>398038</v>
      </c>
      <c r="C19" s="2261"/>
      <c r="D19" s="387">
        <f>D15+D16+D17-D18</f>
        <v>0</v>
      </c>
      <c r="E19" s="387">
        <f t="shared" ref="E19:N19" si="13">E15+E16+E17-E18</f>
        <v>3790</v>
      </c>
      <c r="F19" s="387">
        <f t="shared" si="13"/>
        <v>7000</v>
      </c>
      <c r="G19" s="387">
        <f t="shared" si="13"/>
        <v>0</v>
      </c>
      <c r="H19" s="387">
        <f t="shared" si="13"/>
        <v>313</v>
      </c>
      <c r="I19" s="387">
        <f t="shared" si="13"/>
        <v>55</v>
      </c>
      <c r="J19" s="387">
        <f t="shared" si="13"/>
        <v>106</v>
      </c>
      <c r="K19" s="387">
        <f t="shared" si="13"/>
        <v>68</v>
      </c>
      <c r="L19" s="387">
        <f t="shared" si="13"/>
        <v>1060</v>
      </c>
      <c r="M19" s="387">
        <f t="shared" si="13"/>
        <v>0</v>
      </c>
      <c r="N19" s="387">
        <f t="shared" si="13"/>
        <v>100</v>
      </c>
      <c r="O19" s="387">
        <f>O15+O16+O17-O18</f>
        <v>0</v>
      </c>
      <c r="P19" s="387">
        <f>P15+P16+P17-P18</f>
        <v>0</v>
      </c>
      <c r="Q19" s="2260">
        <f t="shared" ref="Q19" si="14">Q15+Q16+Q17-Q18</f>
        <v>0</v>
      </c>
      <c r="R19" s="2261"/>
      <c r="S19" s="384">
        <f>S15+S16-S17-S18</f>
        <v>0</v>
      </c>
      <c r="T19" s="2256" t="s">
        <v>48</v>
      </c>
      <c r="U19" s="49" t="s">
        <v>58</v>
      </c>
      <c r="V19" s="2262">
        <v>305000</v>
      </c>
      <c r="W19" s="2262"/>
      <c r="X19" s="2262"/>
      <c r="Y19" s="2269"/>
    </row>
    <row r="20" spans="1:25" ht="23.25" customHeight="1" x14ac:dyDescent="0.25">
      <c r="A20" s="289" t="s">
        <v>187</v>
      </c>
      <c r="B20" s="2286">
        <f>B19*0.9625</f>
        <v>383111.57500000001</v>
      </c>
      <c r="C20" s="2287"/>
      <c r="D20" s="290">
        <f>D19*13.56</f>
        <v>0</v>
      </c>
      <c r="E20" s="290">
        <f>28.2*E19</f>
        <v>106878</v>
      </c>
      <c r="F20" s="290">
        <f>18.31*F19</f>
        <v>128169.99999999999</v>
      </c>
      <c r="G20" s="290">
        <f>19.3*G19</f>
        <v>0</v>
      </c>
      <c r="H20" s="290">
        <f>241*H19</f>
        <v>75433</v>
      </c>
      <c r="I20" s="290">
        <f>223*I19</f>
        <v>12265</v>
      </c>
      <c r="J20" s="290">
        <f>241*J19</f>
        <v>25546</v>
      </c>
      <c r="K20" s="290">
        <f>K19*100</f>
        <v>6800</v>
      </c>
      <c r="L20" s="290">
        <f>241*L19</f>
        <v>255460</v>
      </c>
      <c r="M20" s="290">
        <f>9.65*M19</f>
        <v>0</v>
      </c>
      <c r="N20" s="290">
        <f>N19*48.2</f>
        <v>4820</v>
      </c>
      <c r="O20" s="290">
        <f>241*O19</f>
        <v>0</v>
      </c>
      <c r="P20" s="290">
        <f>241*P19</f>
        <v>0</v>
      </c>
      <c r="Q20" s="2286">
        <f>241*Q19</f>
        <v>0</v>
      </c>
      <c r="R20" s="2287"/>
      <c r="S20" s="290">
        <f>241*S19</f>
        <v>0</v>
      </c>
      <c r="T20" s="2257"/>
      <c r="U20" s="49" t="s">
        <v>59</v>
      </c>
      <c r="V20" s="2262"/>
      <c r="W20" s="2262"/>
      <c r="X20" s="2262"/>
      <c r="Y20" s="2269"/>
    </row>
    <row r="21" spans="1:25" ht="32.25" customHeight="1" x14ac:dyDescent="0.25">
      <c r="A21" s="291" t="s">
        <v>186</v>
      </c>
      <c r="B21" s="2293">
        <f>SUM(B20:S20)</f>
        <v>998483.57499999995</v>
      </c>
      <c r="C21" s="2293"/>
      <c r="O21" s="391"/>
      <c r="P21" s="391"/>
      <c r="Q21" s="391"/>
      <c r="R21" s="391"/>
      <c r="T21" s="2294" t="s">
        <v>327</v>
      </c>
      <c r="U21" s="2295"/>
      <c r="V21" s="2297">
        <v>206100</v>
      </c>
      <c r="W21" s="2298"/>
      <c r="X21" s="2299"/>
      <c r="Y21" s="2269"/>
    </row>
    <row r="22" spans="1:25" ht="35.25" customHeight="1" x14ac:dyDescent="0.25">
      <c r="A22" s="15"/>
      <c r="B22" s="2288" t="s">
        <v>49</v>
      </c>
      <c r="C22" s="2291">
        <v>495873</v>
      </c>
      <c r="D22" s="2291">
        <v>305000</v>
      </c>
      <c r="E22" s="2291">
        <v>551896</v>
      </c>
      <c r="F22" s="2291">
        <f>C22-D22+E22</f>
        <v>742769</v>
      </c>
      <c r="G22" s="391"/>
      <c r="Q22" s="391"/>
      <c r="R22" s="391"/>
      <c r="T22" s="2251" t="s">
        <v>83</v>
      </c>
      <c r="U22" s="50" t="s">
        <v>60</v>
      </c>
      <c r="V22" s="2262">
        <v>301570</v>
      </c>
      <c r="W22" s="2262"/>
      <c r="X22" s="2262"/>
      <c r="Y22" s="2269"/>
    </row>
    <row r="23" spans="1:25" ht="39.75" customHeight="1" x14ac:dyDescent="0.25">
      <c r="A23" s="391"/>
      <c r="B23" s="2289"/>
      <c r="C23" s="2292"/>
      <c r="D23" s="2292"/>
      <c r="E23" s="2292"/>
      <c r="F23" s="2292"/>
      <c r="G23" s="391"/>
      <c r="Q23" s="391"/>
      <c r="R23" s="391"/>
      <c r="T23" s="2252"/>
      <c r="U23" s="50" t="s">
        <v>61</v>
      </c>
      <c r="V23" s="2262">
        <v>305000</v>
      </c>
      <c r="W23" s="2262"/>
      <c r="X23" s="2262"/>
      <c r="Y23" s="2269"/>
    </row>
    <row r="24" spans="1:25" ht="48" customHeight="1" x14ac:dyDescent="0.25">
      <c r="A24" s="391"/>
      <c r="B24" s="2290"/>
      <c r="C24" s="290" t="s">
        <v>46</v>
      </c>
      <c r="D24" s="290" t="s">
        <v>50</v>
      </c>
      <c r="E24" s="290" t="s">
        <v>51</v>
      </c>
      <c r="F24" s="290" t="s">
        <v>52</v>
      </c>
      <c r="G24" s="391"/>
      <c r="Q24" s="391"/>
      <c r="R24" s="391"/>
      <c r="T24" s="2235" t="s">
        <v>47</v>
      </c>
      <c r="U24" s="51" t="s">
        <v>62</v>
      </c>
      <c r="V24" s="2263">
        <f>V14+V16+V17-V18-V19-V20-V22+V23-V21</f>
        <v>35664.935000000056</v>
      </c>
      <c r="W24" s="2263"/>
      <c r="X24" s="2263"/>
      <c r="Y24" s="2269"/>
    </row>
    <row r="25" spans="1:25" ht="40.5" customHeight="1" x14ac:dyDescent="0.25">
      <c r="T25" s="2235"/>
      <c r="U25" s="51" t="s">
        <v>63</v>
      </c>
      <c r="V25" s="2262">
        <f>V15+V22-V23</f>
        <v>11623</v>
      </c>
      <c r="W25" s="2262"/>
      <c r="X25" s="2262"/>
    </row>
    <row r="26" spans="1:25" ht="36" customHeight="1" x14ac:dyDescent="0.25">
      <c r="K26" s="314"/>
    </row>
    <row r="32" spans="1:25" x14ac:dyDescent="0.25">
      <c r="I32" s="2280"/>
      <c r="J32" s="2280"/>
      <c r="K32" s="2280"/>
      <c r="L32" s="2280"/>
    </row>
    <row r="33" spans="9:12" x14ac:dyDescent="0.25">
      <c r="I33" s="391"/>
      <c r="J33" s="391"/>
      <c r="K33" s="2280"/>
      <c r="L33" s="2280"/>
    </row>
  </sheetData>
  <mergeCells count="62">
    <mergeCell ref="A1:Y1"/>
    <mergeCell ref="A2:Y2"/>
    <mergeCell ref="T3:Y3"/>
    <mergeCell ref="A4:A5"/>
    <mergeCell ref="B4:B5"/>
    <mergeCell ref="C4:D4"/>
    <mergeCell ref="E4:F4"/>
    <mergeCell ref="G4:H4"/>
    <mergeCell ref="I4:J4"/>
    <mergeCell ref="K4:L4"/>
    <mergeCell ref="Y4:Y5"/>
    <mergeCell ref="M4:N4"/>
    <mergeCell ref="O4:P4"/>
    <mergeCell ref="Q4:R4"/>
    <mergeCell ref="S4:T4"/>
    <mergeCell ref="U4:V4"/>
    <mergeCell ref="W4:X4"/>
    <mergeCell ref="B16:C16"/>
    <mergeCell ref="Q16:R16"/>
    <mergeCell ref="T16:U16"/>
    <mergeCell ref="V16:X16"/>
    <mergeCell ref="A12:B12"/>
    <mergeCell ref="B14:C14"/>
    <mergeCell ref="Q14:R14"/>
    <mergeCell ref="T14:T15"/>
    <mergeCell ref="V14:X14"/>
    <mergeCell ref="B15:C15"/>
    <mergeCell ref="Q15:R15"/>
    <mergeCell ref="V15:X15"/>
    <mergeCell ref="B17:C17"/>
    <mergeCell ref="Q17:R17"/>
    <mergeCell ref="T17:U17"/>
    <mergeCell ref="V17:X17"/>
    <mergeCell ref="B18:C18"/>
    <mergeCell ref="Q18:R18"/>
    <mergeCell ref="T18:U18"/>
    <mergeCell ref="V18:X18"/>
    <mergeCell ref="Y18:Y24"/>
    <mergeCell ref="B19:C19"/>
    <mergeCell ref="Q19:R19"/>
    <mergeCell ref="T19:T20"/>
    <mergeCell ref="V19:X19"/>
    <mergeCell ref="B20:C20"/>
    <mergeCell ref="B22:B24"/>
    <mergeCell ref="C22:C23"/>
    <mergeCell ref="D22:D23"/>
    <mergeCell ref="E22:E23"/>
    <mergeCell ref="F22:F23"/>
    <mergeCell ref="Q20:R20"/>
    <mergeCell ref="V20:X20"/>
    <mergeCell ref="B21:C21"/>
    <mergeCell ref="T21:U21"/>
    <mergeCell ref="V21:X21"/>
    <mergeCell ref="I32:J32"/>
    <mergeCell ref="K32:L32"/>
    <mergeCell ref="K33:L33"/>
    <mergeCell ref="T22:T23"/>
    <mergeCell ref="V22:X22"/>
    <mergeCell ref="V23:X23"/>
    <mergeCell ref="T24:T25"/>
    <mergeCell ref="V24:X24"/>
    <mergeCell ref="V25:X25"/>
  </mergeCells>
  <pageMargins left="0.15748031496063" right="0.15748031496063" top="0" bottom="0" header="0" footer="0"/>
  <pageSetup paperSize="9" scale="47" orientation="landscape" r:id="rId1"/>
  <legacyDrawing r:id="rId2"/>
</worksheet>
</file>

<file path=xl/worksheets/sheet12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AF82E4F-DDE9-497C-8E68-09D65B58122A}">
  <sheetPr>
    <pageSetUpPr fitToPage="1"/>
  </sheetPr>
  <dimension ref="A1:Y33"/>
  <sheetViews>
    <sheetView topLeftCell="A12" zoomScale="70" zoomScaleNormal="70" zoomScaleSheetLayoutView="100" workbookViewId="0">
      <selection activeCell="K27" sqref="K27"/>
    </sheetView>
  </sheetViews>
  <sheetFormatPr defaultColWidth="9.140625" defaultRowHeight="15" x14ac:dyDescent="0.25"/>
  <cols>
    <col min="1" max="1" width="18.28515625" style="14" customWidth="1"/>
    <col min="2" max="2" width="10.7109375" style="14" customWidth="1"/>
    <col min="3" max="3" width="12.28515625" style="14" customWidth="1"/>
    <col min="4" max="4" width="11" style="14" customWidth="1"/>
    <col min="5" max="5" width="12" style="14" customWidth="1"/>
    <col min="6" max="6" width="12.5703125" style="14" bestFit="1" customWidth="1"/>
    <col min="7" max="7" width="9.28515625" style="14" bestFit="1" customWidth="1"/>
    <col min="8" max="8" width="10.140625" style="14" bestFit="1" customWidth="1"/>
    <col min="9" max="9" width="10.5703125" style="14" bestFit="1" customWidth="1"/>
    <col min="10" max="10" width="10.5703125" style="14" customWidth="1"/>
    <col min="11" max="11" width="10.28515625" style="14" bestFit="1" customWidth="1"/>
    <col min="12" max="12" width="10.42578125" style="14" bestFit="1" customWidth="1"/>
    <col min="13" max="13" width="9.85546875" style="14" bestFit="1" customWidth="1"/>
    <col min="14" max="14" width="10.140625" style="14" bestFit="1" customWidth="1"/>
    <col min="15" max="15" width="9" style="14" customWidth="1"/>
    <col min="16" max="16" width="12.85546875" style="14" bestFit="1" customWidth="1"/>
    <col min="17" max="18" width="9.42578125" style="14" customWidth="1"/>
    <col min="19" max="19" width="13.7109375" style="14" customWidth="1"/>
    <col min="20" max="20" width="12.140625" style="14" customWidth="1"/>
    <col min="21" max="21" width="19.5703125" style="14" bestFit="1" customWidth="1"/>
    <col min="22" max="22" width="9.85546875" style="14" customWidth="1"/>
    <col min="23" max="23" width="10.140625" style="14" bestFit="1" customWidth="1"/>
    <col min="24" max="24" width="10.28515625" style="14" customWidth="1"/>
    <col min="25" max="25" width="28" style="14" customWidth="1"/>
    <col min="26" max="16384" width="9.140625" style="14"/>
  </cols>
  <sheetData>
    <row r="1" spans="1:25" ht="46.15" customHeight="1" x14ac:dyDescent="0.25">
      <c r="A1" s="2240" t="s">
        <v>148</v>
      </c>
      <c r="B1" s="2240"/>
      <c r="C1" s="2240"/>
      <c r="D1" s="2240"/>
      <c r="E1" s="2240"/>
      <c r="F1" s="2240"/>
      <c r="G1" s="2240"/>
      <c r="H1" s="2240"/>
      <c r="I1" s="2240"/>
      <c r="J1" s="2240"/>
      <c r="K1" s="2240"/>
      <c r="L1" s="2240"/>
      <c r="M1" s="2240"/>
      <c r="N1" s="2240"/>
      <c r="O1" s="2240"/>
      <c r="P1" s="2240"/>
      <c r="Q1" s="2240"/>
      <c r="R1" s="2240"/>
      <c r="S1" s="2240"/>
      <c r="T1" s="2240"/>
      <c r="U1" s="2240"/>
      <c r="V1" s="2240"/>
      <c r="W1" s="2240"/>
      <c r="X1" s="2240"/>
      <c r="Y1" s="2240"/>
    </row>
    <row r="2" spans="1:25" ht="21.6" customHeight="1" x14ac:dyDescent="0.25">
      <c r="A2" s="2241" t="s">
        <v>77</v>
      </c>
      <c r="B2" s="2241"/>
      <c r="C2" s="2241"/>
      <c r="D2" s="2241"/>
      <c r="E2" s="2241"/>
      <c r="F2" s="2241"/>
      <c r="G2" s="2241"/>
      <c r="H2" s="2241"/>
      <c r="I2" s="2241"/>
      <c r="J2" s="2241"/>
      <c r="K2" s="2241"/>
      <c r="L2" s="2241"/>
      <c r="M2" s="2241"/>
      <c r="N2" s="2241"/>
      <c r="O2" s="2241"/>
      <c r="P2" s="2241"/>
      <c r="Q2" s="2241"/>
      <c r="R2" s="2241"/>
      <c r="S2" s="2241"/>
      <c r="T2" s="2241"/>
      <c r="U2" s="2241"/>
      <c r="V2" s="2241"/>
      <c r="W2" s="2241"/>
      <c r="X2" s="2241"/>
      <c r="Y2" s="2241"/>
    </row>
    <row r="3" spans="1:25" ht="21" customHeight="1" x14ac:dyDescent="0.25">
      <c r="A3" s="392"/>
      <c r="B3" s="392"/>
      <c r="C3" s="392"/>
      <c r="D3" s="392"/>
      <c r="E3" s="392"/>
      <c r="F3" s="392"/>
      <c r="G3" s="392"/>
      <c r="H3" s="392"/>
      <c r="I3" s="392"/>
      <c r="J3" s="392"/>
      <c r="K3" s="392"/>
      <c r="L3" s="392"/>
      <c r="M3" s="392"/>
      <c r="N3" s="392"/>
      <c r="O3" s="392"/>
      <c r="P3" s="392"/>
      <c r="Q3" s="392"/>
      <c r="R3" s="392"/>
      <c r="S3" s="392"/>
      <c r="T3" s="2242" t="s">
        <v>328</v>
      </c>
      <c r="U3" s="2242"/>
      <c r="V3" s="2242"/>
      <c r="W3" s="2242"/>
      <c r="X3" s="2242"/>
      <c r="Y3" s="2242"/>
    </row>
    <row r="4" spans="1:25" s="392" customFormat="1" ht="18" customHeight="1" x14ac:dyDescent="0.25">
      <c r="A4" s="2243" t="s">
        <v>25</v>
      </c>
      <c r="B4" s="2243" t="s">
        <v>26</v>
      </c>
      <c r="C4" s="2244" t="s">
        <v>27</v>
      </c>
      <c r="D4" s="2244"/>
      <c r="E4" s="2244" t="s">
        <v>28</v>
      </c>
      <c r="F4" s="2244"/>
      <c r="G4" s="2244" t="s">
        <v>65</v>
      </c>
      <c r="H4" s="2244"/>
      <c r="I4" s="2244" t="s">
        <v>29</v>
      </c>
      <c r="J4" s="2244"/>
      <c r="K4" s="2245" t="s">
        <v>13</v>
      </c>
      <c r="L4" s="2246"/>
      <c r="M4" s="2245" t="s">
        <v>67</v>
      </c>
      <c r="N4" s="2246"/>
      <c r="O4" s="2245" t="s">
        <v>68</v>
      </c>
      <c r="P4" s="2246"/>
      <c r="Q4" s="2245" t="s">
        <v>114</v>
      </c>
      <c r="R4" s="2246"/>
      <c r="S4" s="2244" t="s">
        <v>35</v>
      </c>
      <c r="T4" s="2244"/>
      <c r="U4" s="2245" t="s">
        <v>17</v>
      </c>
      <c r="V4" s="2246"/>
      <c r="W4" s="2247" t="s">
        <v>36</v>
      </c>
      <c r="X4" s="2248"/>
      <c r="Y4" s="2238" t="s">
        <v>30</v>
      </c>
    </row>
    <row r="5" spans="1:25" s="392" customFormat="1" ht="25.5" customHeight="1" x14ac:dyDescent="0.25">
      <c r="A5" s="2243"/>
      <c r="B5" s="2243"/>
      <c r="C5" s="394" t="s">
        <v>42</v>
      </c>
      <c r="D5" s="394" t="s">
        <v>43</v>
      </c>
      <c r="E5" s="394" t="s">
        <v>42</v>
      </c>
      <c r="F5" s="394" t="s">
        <v>43</v>
      </c>
      <c r="G5" s="394" t="s">
        <v>42</v>
      </c>
      <c r="H5" s="394" t="s">
        <v>43</v>
      </c>
      <c r="I5" s="394" t="s">
        <v>42</v>
      </c>
      <c r="J5" s="394" t="s">
        <v>43</v>
      </c>
      <c r="K5" s="394" t="s">
        <v>42</v>
      </c>
      <c r="L5" s="394" t="s">
        <v>43</v>
      </c>
      <c r="M5" s="394" t="s">
        <v>42</v>
      </c>
      <c r="N5" s="394" t="s">
        <v>43</v>
      </c>
      <c r="O5" s="394" t="s">
        <v>42</v>
      </c>
      <c r="P5" s="394" t="s">
        <v>43</v>
      </c>
      <c r="Q5" s="394" t="s">
        <v>42</v>
      </c>
      <c r="R5" s="394" t="s">
        <v>43</v>
      </c>
      <c r="S5" s="33" t="s">
        <v>42</v>
      </c>
      <c r="T5" s="33" t="s">
        <v>43</v>
      </c>
      <c r="U5" s="30" t="s">
        <v>42</v>
      </c>
      <c r="V5" s="30" t="s">
        <v>43</v>
      </c>
      <c r="W5" s="30" t="s">
        <v>42</v>
      </c>
      <c r="X5" s="30" t="s">
        <v>43</v>
      </c>
      <c r="Y5" s="2239"/>
    </row>
    <row r="6" spans="1:25" ht="34.5" customHeight="1" x14ac:dyDescent="0.25">
      <c r="A6" s="12">
        <v>1409935200</v>
      </c>
      <c r="B6" s="393" t="s">
        <v>71</v>
      </c>
      <c r="C6" s="396">
        <v>29419</v>
      </c>
      <c r="D6" s="397">
        <f>0.9725*C6</f>
        <v>28609.977500000001</v>
      </c>
      <c r="E6" s="396"/>
      <c r="F6" s="396">
        <f>13.7*E6</f>
        <v>0</v>
      </c>
      <c r="G6" s="396">
        <v>10</v>
      </c>
      <c r="H6" s="396">
        <f>28.2*G6</f>
        <v>282</v>
      </c>
      <c r="I6" s="396">
        <v>410</v>
      </c>
      <c r="J6" s="396">
        <f>18.5*I6</f>
        <v>7585</v>
      </c>
      <c r="K6" s="396"/>
      <c r="L6" s="396">
        <f>19.5*K6</f>
        <v>0</v>
      </c>
      <c r="M6" s="396"/>
      <c r="N6" s="397">
        <f>M6*9.75</f>
        <v>0</v>
      </c>
      <c r="O6" s="396"/>
      <c r="P6" s="397">
        <f>O6*48.62</f>
        <v>0</v>
      </c>
      <c r="Q6" s="397"/>
      <c r="R6" s="397">
        <f>241*Q6</f>
        <v>0</v>
      </c>
      <c r="S6" s="396"/>
      <c r="T6" s="396">
        <f>241*S6</f>
        <v>0</v>
      </c>
      <c r="U6" s="396"/>
      <c r="V6" s="396">
        <f>232*U6</f>
        <v>0</v>
      </c>
      <c r="W6" s="396"/>
      <c r="X6" s="19">
        <f>W6*100</f>
        <v>0</v>
      </c>
      <c r="Y6" s="89">
        <f t="shared" ref="Y6:Y11" si="0">D6+F6+H6+J6+L6+N6+P6+R6+T6+V6+X6</f>
        <v>36476.977500000001</v>
      </c>
    </row>
    <row r="7" spans="1:25" ht="31.5" customHeight="1" x14ac:dyDescent="0.25">
      <c r="A7" s="12">
        <v>1984225578</v>
      </c>
      <c r="B7" s="393" t="s">
        <v>72</v>
      </c>
      <c r="C7" s="396">
        <v>25474</v>
      </c>
      <c r="D7" s="397">
        <f t="shared" ref="D7:D11" si="1">0.9725*C7</f>
        <v>24773.465</v>
      </c>
      <c r="E7" s="396"/>
      <c r="F7" s="396">
        <f t="shared" ref="F7:F11" si="2">13.7*E7</f>
        <v>0</v>
      </c>
      <c r="G7" s="396"/>
      <c r="H7" s="396">
        <f t="shared" ref="H7:H11" si="3">28.2*G7</f>
        <v>0</v>
      </c>
      <c r="I7" s="396">
        <v>2000</v>
      </c>
      <c r="J7" s="396">
        <f t="shared" ref="J7:J11" si="4">18.5*I7</f>
        <v>37000</v>
      </c>
      <c r="K7" s="396"/>
      <c r="L7" s="396">
        <f t="shared" ref="L7:L11" si="5">19.5*K7</f>
        <v>0</v>
      </c>
      <c r="M7" s="396"/>
      <c r="N7" s="397">
        <f t="shared" ref="N7:N11" si="6">M7*9.75</f>
        <v>0</v>
      </c>
      <c r="O7" s="396"/>
      <c r="P7" s="397">
        <f t="shared" ref="P7:P11" si="7">O7*48.62</f>
        <v>0</v>
      </c>
      <c r="Q7" s="397"/>
      <c r="R7" s="397">
        <f t="shared" ref="R7:R11" si="8">241*Q7</f>
        <v>0</v>
      </c>
      <c r="S7" s="396">
        <v>18</v>
      </c>
      <c r="T7" s="396">
        <f t="shared" ref="T7:T11" si="9">241*S7</f>
        <v>4338</v>
      </c>
      <c r="U7" s="396">
        <v>20</v>
      </c>
      <c r="V7" s="396">
        <f t="shared" ref="V7:V11" si="10">232*U7</f>
        <v>4640</v>
      </c>
      <c r="W7" s="396"/>
      <c r="X7" s="19">
        <f t="shared" ref="X7:X11" si="11">W7*100</f>
        <v>0</v>
      </c>
      <c r="Y7" s="89">
        <f t="shared" si="0"/>
        <v>70751.464999999997</v>
      </c>
    </row>
    <row r="8" spans="1:25" ht="35.25" customHeight="1" x14ac:dyDescent="0.25">
      <c r="A8" s="12">
        <v>1967020280</v>
      </c>
      <c r="B8" s="393" t="s">
        <v>73</v>
      </c>
      <c r="C8" s="396">
        <v>19117</v>
      </c>
      <c r="D8" s="397">
        <f t="shared" si="1"/>
        <v>18591.282500000001</v>
      </c>
      <c r="E8" s="396"/>
      <c r="F8" s="396">
        <f t="shared" si="2"/>
        <v>0</v>
      </c>
      <c r="G8" s="396"/>
      <c r="H8" s="396">
        <f t="shared" si="3"/>
        <v>0</v>
      </c>
      <c r="I8" s="396"/>
      <c r="J8" s="396">
        <f t="shared" si="4"/>
        <v>0</v>
      </c>
      <c r="K8" s="396"/>
      <c r="L8" s="396">
        <f t="shared" si="5"/>
        <v>0</v>
      </c>
      <c r="M8" s="396"/>
      <c r="N8" s="397">
        <f t="shared" si="6"/>
        <v>0</v>
      </c>
      <c r="O8" s="396"/>
      <c r="P8" s="397">
        <f t="shared" si="7"/>
        <v>0</v>
      </c>
      <c r="Q8" s="397"/>
      <c r="R8" s="397">
        <f t="shared" si="8"/>
        <v>0</v>
      </c>
      <c r="S8" s="396"/>
      <c r="T8" s="396">
        <f t="shared" si="9"/>
        <v>0</v>
      </c>
      <c r="U8" s="396"/>
      <c r="V8" s="396">
        <f t="shared" si="10"/>
        <v>0</v>
      </c>
      <c r="W8" s="396"/>
      <c r="X8" s="19">
        <f t="shared" si="11"/>
        <v>0</v>
      </c>
      <c r="Y8" s="89">
        <f t="shared" si="0"/>
        <v>18591.282500000001</v>
      </c>
    </row>
    <row r="9" spans="1:25" ht="38.25" customHeight="1" x14ac:dyDescent="0.25">
      <c r="A9" s="12">
        <v>1984225580</v>
      </c>
      <c r="B9" s="393" t="s">
        <v>75</v>
      </c>
      <c r="C9" s="396">
        <v>14959</v>
      </c>
      <c r="D9" s="397">
        <f t="shared" si="1"/>
        <v>14547.627500000001</v>
      </c>
      <c r="E9" s="396"/>
      <c r="F9" s="396">
        <f t="shared" si="2"/>
        <v>0</v>
      </c>
      <c r="G9" s="396"/>
      <c r="H9" s="396">
        <f t="shared" si="3"/>
        <v>0</v>
      </c>
      <c r="I9" s="396">
        <v>1500</v>
      </c>
      <c r="J9" s="396">
        <f t="shared" si="4"/>
        <v>27750</v>
      </c>
      <c r="K9" s="396"/>
      <c r="L9" s="396">
        <f t="shared" si="5"/>
        <v>0</v>
      </c>
      <c r="M9" s="396"/>
      <c r="N9" s="397">
        <f t="shared" si="6"/>
        <v>0</v>
      </c>
      <c r="O9" s="396"/>
      <c r="P9" s="397">
        <f t="shared" si="7"/>
        <v>0</v>
      </c>
      <c r="Q9" s="397"/>
      <c r="R9" s="397">
        <f t="shared" si="8"/>
        <v>0</v>
      </c>
      <c r="S9" s="396"/>
      <c r="T9" s="396">
        <f t="shared" si="9"/>
        <v>0</v>
      </c>
      <c r="U9" s="396"/>
      <c r="V9" s="396">
        <f t="shared" si="10"/>
        <v>0</v>
      </c>
      <c r="W9" s="396"/>
      <c r="X9" s="19">
        <f t="shared" si="11"/>
        <v>0</v>
      </c>
      <c r="Y9" s="89">
        <f t="shared" si="0"/>
        <v>42297.627500000002</v>
      </c>
    </row>
    <row r="10" spans="1:25" ht="35.25" customHeight="1" x14ac:dyDescent="0.25">
      <c r="A10" s="12">
        <v>1409935199</v>
      </c>
      <c r="C10" s="396"/>
      <c r="D10" s="397">
        <f t="shared" si="1"/>
        <v>0</v>
      </c>
      <c r="E10" s="396"/>
      <c r="F10" s="396">
        <f t="shared" si="2"/>
        <v>0</v>
      </c>
      <c r="G10" s="396"/>
      <c r="H10" s="396">
        <f t="shared" si="3"/>
        <v>0</v>
      </c>
      <c r="I10" s="396"/>
      <c r="J10" s="396">
        <f t="shared" si="4"/>
        <v>0</v>
      </c>
      <c r="K10" s="396"/>
      <c r="L10" s="396">
        <f t="shared" si="5"/>
        <v>0</v>
      </c>
      <c r="M10" s="396"/>
      <c r="N10" s="397">
        <f t="shared" si="6"/>
        <v>0</v>
      </c>
      <c r="O10" s="396"/>
      <c r="P10" s="397">
        <f t="shared" si="7"/>
        <v>0</v>
      </c>
      <c r="Q10" s="397"/>
      <c r="R10" s="397">
        <f t="shared" si="8"/>
        <v>0</v>
      </c>
      <c r="S10" s="396"/>
      <c r="T10" s="396">
        <f t="shared" si="9"/>
        <v>0</v>
      </c>
      <c r="U10" s="396"/>
      <c r="V10" s="396">
        <f t="shared" si="10"/>
        <v>0</v>
      </c>
      <c r="W10" s="396"/>
      <c r="X10" s="19">
        <f t="shared" si="11"/>
        <v>0</v>
      </c>
      <c r="Y10" s="89">
        <f t="shared" si="0"/>
        <v>0</v>
      </c>
    </row>
    <row r="11" spans="1:25" ht="37.5" customHeight="1" x14ac:dyDescent="0.25">
      <c r="A11" s="12"/>
      <c r="B11" s="395"/>
      <c r="C11" s="396"/>
      <c r="D11" s="22">
        <f t="shared" si="1"/>
        <v>0</v>
      </c>
      <c r="E11" s="396"/>
      <c r="F11" s="396">
        <f t="shared" si="2"/>
        <v>0</v>
      </c>
      <c r="G11" s="396"/>
      <c r="H11" s="396">
        <f t="shared" si="3"/>
        <v>0</v>
      </c>
      <c r="I11" s="396"/>
      <c r="J11" s="396">
        <f t="shared" si="4"/>
        <v>0</v>
      </c>
      <c r="K11" s="396"/>
      <c r="L11" s="396">
        <f t="shared" si="5"/>
        <v>0</v>
      </c>
      <c r="M11" s="396"/>
      <c r="N11" s="397">
        <f t="shared" si="6"/>
        <v>0</v>
      </c>
      <c r="O11" s="396"/>
      <c r="P11" s="397">
        <f t="shared" si="7"/>
        <v>0</v>
      </c>
      <c r="Q11" s="397"/>
      <c r="R11" s="397">
        <f t="shared" si="8"/>
        <v>0</v>
      </c>
      <c r="S11" s="396"/>
      <c r="T11" s="396">
        <f t="shared" si="9"/>
        <v>0</v>
      </c>
      <c r="U11" s="396"/>
      <c r="V11" s="396">
        <f t="shared" si="10"/>
        <v>0</v>
      </c>
      <c r="W11" s="396"/>
      <c r="X11" s="19">
        <f t="shared" si="11"/>
        <v>0</v>
      </c>
      <c r="Y11" s="20">
        <f t="shared" si="0"/>
        <v>0</v>
      </c>
    </row>
    <row r="12" spans="1:25" ht="29.25" customHeight="1" x14ac:dyDescent="0.25">
      <c r="A12" s="2235" t="s">
        <v>31</v>
      </c>
      <c r="B12" s="2235"/>
      <c r="C12" s="18">
        <f t="shared" ref="C12:Y12" si="12">SUM(C6:C11)</f>
        <v>88969</v>
      </c>
      <c r="D12" s="18">
        <f t="shared" si="12"/>
        <v>86522.352500000008</v>
      </c>
      <c r="E12" s="18">
        <f t="shared" si="12"/>
        <v>0</v>
      </c>
      <c r="F12" s="18">
        <f t="shared" si="12"/>
        <v>0</v>
      </c>
      <c r="G12" s="18">
        <f t="shared" si="12"/>
        <v>10</v>
      </c>
      <c r="H12" s="18">
        <f t="shared" si="12"/>
        <v>282</v>
      </c>
      <c r="I12" s="18">
        <f t="shared" si="12"/>
        <v>3910</v>
      </c>
      <c r="J12" s="18">
        <f t="shared" si="12"/>
        <v>72335</v>
      </c>
      <c r="K12" s="18">
        <f t="shared" si="12"/>
        <v>0</v>
      </c>
      <c r="L12" s="18">
        <f t="shared" si="12"/>
        <v>0</v>
      </c>
      <c r="M12" s="18">
        <f t="shared" si="12"/>
        <v>0</v>
      </c>
      <c r="N12" s="23">
        <f t="shared" si="12"/>
        <v>0</v>
      </c>
      <c r="O12" s="18">
        <f t="shared" si="12"/>
        <v>0</v>
      </c>
      <c r="P12" s="23">
        <f t="shared" si="12"/>
        <v>0</v>
      </c>
      <c r="Q12" s="23">
        <f t="shared" si="12"/>
        <v>0</v>
      </c>
      <c r="R12" s="23">
        <f>SUM(R6:R11)</f>
        <v>0</v>
      </c>
      <c r="S12" s="18">
        <f t="shared" si="12"/>
        <v>18</v>
      </c>
      <c r="T12" s="18">
        <f t="shared" si="12"/>
        <v>4338</v>
      </c>
      <c r="U12" s="18">
        <f t="shared" si="12"/>
        <v>20</v>
      </c>
      <c r="V12" s="18">
        <f t="shared" si="12"/>
        <v>4640</v>
      </c>
      <c r="W12" s="18">
        <f t="shared" si="12"/>
        <v>0</v>
      </c>
      <c r="X12" s="18">
        <f t="shared" si="12"/>
        <v>0</v>
      </c>
      <c r="Y12" s="18">
        <f t="shared" si="12"/>
        <v>168117.35250000001</v>
      </c>
    </row>
    <row r="14" spans="1:25" ht="41.25" customHeight="1" x14ac:dyDescent="0.25">
      <c r="A14" s="30" t="s">
        <v>32</v>
      </c>
      <c r="B14" s="2236" t="s">
        <v>27</v>
      </c>
      <c r="C14" s="2236"/>
      <c r="D14" s="30" t="s">
        <v>33</v>
      </c>
      <c r="E14" s="30" t="s">
        <v>65</v>
      </c>
      <c r="F14" s="30" t="s">
        <v>34</v>
      </c>
      <c r="G14" s="30" t="s">
        <v>13</v>
      </c>
      <c r="H14" s="142" t="s">
        <v>173</v>
      </c>
      <c r="I14" s="30" t="s">
        <v>17</v>
      </c>
      <c r="J14" s="401" t="s">
        <v>174</v>
      </c>
      <c r="K14" s="30" t="s">
        <v>36</v>
      </c>
      <c r="L14" s="30" t="s">
        <v>175</v>
      </c>
      <c r="M14" s="30" t="s">
        <v>69</v>
      </c>
      <c r="N14" s="30" t="s">
        <v>70</v>
      </c>
      <c r="O14" s="401" t="s">
        <v>114</v>
      </c>
      <c r="P14" s="401"/>
      <c r="Q14" s="2272"/>
      <c r="R14" s="2272"/>
      <c r="S14" s="401"/>
      <c r="T14" s="2235" t="s">
        <v>46</v>
      </c>
      <c r="U14" s="393" t="s">
        <v>176</v>
      </c>
      <c r="V14" s="2260">
        <v>35665</v>
      </c>
      <c r="W14" s="2268"/>
      <c r="X14" s="2261"/>
    </row>
    <row r="15" spans="1:25" ht="22.5" customHeight="1" x14ac:dyDescent="0.25">
      <c r="A15" s="100" t="s">
        <v>38</v>
      </c>
      <c r="B15" s="2260">
        <v>398038</v>
      </c>
      <c r="C15" s="2261"/>
      <c r="D15" s="398">
        <v>0</v>
      </c>
      <c r="E15" s="398">
        <v>3790</v>
      </c>
      <c r="F15" s="398">
        <v>7000</v>
      </c>
      <c r="G15" s="398">
        <v>0</v>
      </c>
      <c r="H15" s="398">
        <v>313</v>
      </c>
      <c r="I15" s="398">
        <v>55</v>
      </c>
      <c r="J15" s="398">
        <v>106</v>
      </c>
      <c r="K15" s="398">
        <v>68</v>
      </c>
      <c r="L15" s="398">
        <v>1060</v>
      </c>
      <c r="M15" s="398">
        <v>0</v>
      </c>
      <c r="N15" s="398">
        <v>100</v>
      </c>
      <c r="O15" s="398">
        <v>0</v>
      </c>
      <c r="P15" s="398"/>
      <c r="Q15" s="2262"/>
      <c r="R15" s="2262"/>
      <c r="S15" s="393">
        <v>0</v>
      </c>
      <c r="T15" s="2235"/>
      <c r="U15" s="393" t="s">
        <v>64</v>
      </c>
      <c r="V15" s="2262">
        <v>11623</v>
      </c>
      <c r="W15" s="2262"/>
      <c r="X15" s="2262"/>
    </row>
    <row r="16" spans="1:25" ht="24.75" customHeight="1" x14ac:dyDescent="0.25">
      <c r="A16" s="100" t="s">
        <v>39</v>
      </c>
      <c r="B16" s="2260"/>
      <c r="C16" s="2261"/>
      <c r="D16" s="398"/>
      <c r="E16" s="398"/>
      <c r="F16" s="398"/>
      <c r="G16" s="398"/>
      <c r="H16" s="398"/>
      <c r="I16" s="398"/>
      <c r="J16" s="398"/>
      <c r="K16" s="398"/>
      <c r="L16" s="398"/>
      <c r="M16" s="398"/>
      <c r="N16" s="398"/>
      <c r="O16" s="398"/>
      <c r="P16" s="398"/>
      <c r="Q16" s="2225"/>
      <c r="R16" s="2225"/>
      <c r="S16" s="398"/>
      <c r="T16" s="2254" t="s">
        <v>55</v>
      </c>
      <c r="U16" s="2254"/>
      <c r="V16" s="2267">
        <f>Y12</f>
        <v>168117.35250000001</v>
      </c>
      <c r="W16" s="2267"/>
      <c r="X16" s="2262"/>
    </row>
    <row r="17" spans="1:25" ht="28.5" customHeight="1" x14ac:dyDescent="0.25">
      <c r="A17" s="101" t="s">
        <v>44</v>
      </c>
      <c r="B17" s="2260">
        <v>74301</v>
      </c>
      <c r="C17" s="2261"/>
      <c r="D17" s="398"/>
      <c r="E17" s="398"/>
      <c r="F17" s="398"/>
      <c r="G17" s="398"/>
      <c r="H17" s="398"/>
      <c r="I17" s="398"/>
      <c r="J17" s="398"/>
      <c r="K17" s="398"/>
      <c r="L17" s="398"/>
      <c r="M17" s="398"/>
      <c r="N17" s="398"/>
      <c r="O17" s="398"/>
      <c r="P17" s="398"/>
      <c r="Q17" s="2225"/>
      <c r="R17" s="2225"/>
      <c r="S17" s="395"/>
      <c r="T17" s="2294"/>
      <c r="U17" s="2295"/>
      <c r="V17" s="2296"/>
      <c r="W17" s="2296"/>
      <c r="X17" s="2296"/>
    </row>
    <row r="18" spans="1:25" ht="27" customHeight="1" x14ac:dyDescent="0.25">
      <c r="A18" s="100" t="s">
        <v>40</v>
      </c>
      <c r="B18" s="2264">
        <f>C12</f>
        <v>88969</v>
      </c>
      <c r="C18" s="2261"/>
      <c r="D18" s="399">
        <f>E12</f>
        <v>0</v>
      </c>
      <c r="E18" s="399">
        <f>G12</f>
        <v>10</v>
      </c>
      <c r="F18" s="399">
        <f>I12</f>
        <v>3910</v>
      </c>
      <c r="G18" s="399">
        <f>K12</f>
        <v>0</v>
      </c>
      <c r="H18" s="398">
        <v>18</v>
      </c>
      <c r="I18" s="399">
        <f>U12</f>
        <v>20</v>
      </c>
      <c r="J18" s="398"/>
      <c r="K18" s="399">
        <f>W12</f>
        <v>0</v>
      </c>
      <c r="L18" s="398"/>
      <c r="M18" s="399">
        <f>M12</f>
        <v>0</v>
      </c>
      <c r="N18" s="399">
        <f>O12</f>
        <v>0</v>
      </c>
      <c r="O18" s="400">
        <f>Q12</f>
        <v>0</v>
      </c>
      <c r="P18" s="398"/>
      <c r="Q18" s="2262"/>
      <c r="R18" s="2262"/>
      <c r="S18" s="393"/>
      <c r="T18" s="2254" t="s">
        <v>57</v>
      </c>
      <c r="U18" s="2254"/>
      <c r="V18" s="2262">
        <v>720</v>
      </c>
      <c r="W18" s="2262"/>
      <c r="X18" s="2262"/>
      <c r="Y18" s="2269"/>
    </row>
    <row r="19" spans="1:25" ht="25.5" customHeight="1" x14ac:dyDescent="0.25">
      <c r="A19" s="100" t="s">
        <v>41</v>
      </c>
      <c r="B19" s="2260">
        <f>B15+B16+B17-B18</f>
        <v>383370</v>
      </c>
      <c r="C19" s="2261"/>
      <c r="D19" s="398">
        <f>D15+D16+D17-D18</f>
        <v>0</v>
      </c>
      <c r="E19" s="398">
        <f t="shared" ref="E19:N19" si="13">E15+E16+E17-E18</f>
        <v>3780</v>
      </c>
      <c r="F19" s="398">
        <f t="shared" si="13"/>
        <v>3090</v>
      </c>
      <c r="G19" s="398">
        <f t="shared" si="13"/>
        <v>0</v>
      </c>
      <c r="H19" s="398">
        <f t="shared" si="13"/>
        <v>295</v>
      </c>
      <c r="I19" s="398">
        <f t="shared" si="13"/>
        <v>35</v>
      </c>
      <c r="J19" s="398">
        <f t="shared" si="13"/>
        <v>106</v>
      </c>
      <c r="K19" s="398">
        <f t="shared" si="13"/>
        <v>68</v>
      </c>
      <c r="L19" s="398">
        <f t="shared" si="13"/>
        <v>1060</v>
      </c>
      <c r="M19" s="398">
        <f t="shared" si="13"/>
        <v>0</v>
      </c>
      <c r="N19" s="398">
        <f t="shared" si="13"/>
        <v>100</v>
      </c>
      <c r="O19" s="398">
        <f>O15+O16+O17-O18</f>
        <v>0</v>
      </c>
      <c r="P19" s="398">
        <f>P15+P16+P17-P18</f>
        <v>0</v>
      </c>
      <c r="Q19" s="2260">
        <f t="shared" ref="Q19" si="14">Q15+Q16+Q17-Q18</f>
        <v>0</v>
      </c>
      <c r="R19" s="2261"/>
      <c r="S19" s="393">
        <f>S15+S16-S17-S18</f>
        <v>0</v>
      </c>
      <c r="T19" s="2256" t="s">
        <v>48</v>
      </c>
      <c r="U19" s="49" t="s">
        <v>58</v>
      </c>
      <c r="V19" s="2262"/>
      <c r="W19" s="2262"/>
      <c r="X19" s="2262"/>
      <c r="Y19" s="2269"/>
    </row>
    <row r="20" spans="1:25" ht="23.25" customHeight="1" x14ac:dyDescent="0.25">
      <c r="A20" s="289" t="s">
        <v>187</v>
      </c>
      <c r="B20" s="2286">
        <f>B19*0.9625</f>
        <v>368993.625</v>
      </c>
      <c r="C20" s="2287"/>
      <c r="D20" s="290">
        <f>D19*13.56</f>
        <v>0</v>
      </c>
      <c r="E20" s="290">
        <f>28.2*E19</f>
        <v>106596</v>
      </c>
      <c r="F20" s="290">
        <f>18.31*F19</f>
        <v>56577.899999999994</v>
      </c>
      <c r="G20" s="290">
        <f>19.3*G19</f>
        <v>0</v>
      </c>
      <c r="H20" s="290">
        <f>241*H19</f>
        <v>71095</v>
      </c>
      <c r="I20" s="290">
        <f>223*I19</f>
        <v>7805</v>
      </c>
      <c r="J20" s="290">
        <f>241*J19</f>
        <v>25546</v>
      </c>
      <c r="K20" s="290">
        <f>K19*100</f>
        <v>6800</v>
      </c>
      <c r="L20" s="290">
        <f>241*L19</f>
        <v>255460</v>
      </c>
      <c r="M20" s="290">
        <f>9.65*M19</f>
        <v>0</v>
      </c>
      <c r="N20" s="290">
        <f>N19*48.2</f>
        <v>4820</v>
      </c>
      <c r="O20" s="290">
        <f>241*O19</f>
        <v>0</v>
      </c>
      <c r="P20" s="290">
        <f>241*P19</f>
        <v>0</v>
      </c>
      <c r="Q20" s="2286">
        <f>241*Q19</f>
        <v>0</v>
      </c>
      <c r="R20" s="2287"/>
      <c r="S20" s="290">
        <f>241*S19</f>
        <v>0</v>
      </c>
      <c r="T20" s="2257"/>
      <c r="U20" s="49" t="s">
        <v>59</v>
      </c>
      <c r="V20" s="2262"/>
      <c r="W20" s="2262"/>
      <c r="X20" s="2262"/>
      <c r="Y20" s="2269"/>
    </row>
    <row r="21" spans="1:25" ht="32.25" customHeight="1" x14ac:dyDescent="0.25">
      <c r="A21" s="291" t="s">
        <v>186</v>
      </c>
      <c r="B21" s="2293">
        <f>SUM(B20:S20)</f>
        <v>903693.52500000002</v>
      </c>
      <c r="C21" s="2293"/>
      <c r="O21" s="402"/>
      <c r="P21" s="402"/>
      <c r="Q21" s="402"/>
      <c r="R21" s="402"/>
      <c r="T21" s="2294"/>
      <c r="U21" s="2295"/>
      <c r="V21" s="2297"/>
      <c r="W21" s="2298"/>
      <c r="X21" s="2299"/>
      <c r="Y21" s="2269"/>
    </row>
    <row r="22" spans="1:25" ht="35.25" customHeight="1" x14ac:dyDescent="0.25">
      <c r="A22" s="15"/>
      <c r="B22" s="2288" t="s">
        <v>49</v>
      </c>
      <c r="C22" s="2291">
        <v>742769</v>
      </c>
      <c r="D22" s="2291"/>
      <c r="E22" s="2291"/>
      <c r="F22" s="2291">
        <f>C22-D22+E22</f>
        <v>742769</v>
      </c>
      <c r="G22" s="402"/>
      <c r="Q22" s="402"/>
      <c r="R22" s="402"/>
      <c r="T22" s="2251" t="s">
        <v>83</v>
      </c>
      <c r="U22" s="50" t="s">
        <v>60</v>
      </c>
      <c r="V22" s="2262"/>
      <c r="W22" s="2262"/>
      <c r="X22" s="2262"/>
      <c r="Y22" s="2269"/>
    </row>
    <row r="23" spans="1:25" ht="39.75" customHeight="1" x14ac:dyDescent="0.25">
      <c r="A23" s="402"/>
      <c r="B23" s="2289"/>
      <c r="C23" s="2292"/>
      <c r="D23" s="2292"/>
      <c r="E23" s="2292"/>
      <c r="F23" s="2292"/>
      <c r="G23" s="402"/>
      <c r="Q23" s="402"/>
      <c r="R23" s="402"/>
      <c r="T23" s="2252"/>
      <c r="U23" s="50" t="s">
        <v>61</v>
      </c>
      <c r="V23" s="2262"/>
      <c r="W23" s="2262"/>
      <c r="X23" s="2262"/>
      <c r="Y23" s="2269"/>
    </row>
    <row r="24" spans="1:25" ht="48" customHeight="1" x14ac:dyDescent="0.25">
      <c r="A24" s="402"/>
      <c r="B24" s="2290"/>
      <c r="C24" s="290" t="s">
        <v>46</v>
      </c>
      <c r="D24" s="290" t="s">
        <v>50</v>
      </c>
      <c r="E24" s="290" t="s">
        <v>51</v>
      </c>
      <c r="F24" s="290" t="s">
        <v>52</v>
      </c>
      <c r="G24" s="402"/>
      <c r="Q24" s="402"/>
      <c r="R24" s="402"/>
      <c r="T24" s="2235" t="s">
        <v>47</v>
      </c>
      <c r="U24" s="51" t="s">
        <v>62</v>
      </c>
      <c r="V24" s="2263">
        <f>V14+V16+V17-V18-V19-V20-V22+V23-V21</f>
        <v>203062.35250000001</v>
      </c>
      <c r="W24" s="2263"/>
      <c r="X24" s="2263"/>
      <c r="Y24" s="2269"/>
    </row>
    <row r="25" spans="1:25" ht="40.5" customHeight="1" x14ac:dyDescent="0.25">
      <c r="T25" s="2235"/>
      <c r="U25" s="51" t="s">
        <v>63</v>
      </c>
      <c r="V25" s="2262">
        <f>V15+V22-V23</f>
        <v>11623</v>
      </c>
      <c r="W25" s="2262"/>
      <c r="X25" s="2262"/>
    </row>
    <row r="26" spans="1:25" ht="36" customHeight="1" x14ac:dyDescent="0.25">
      <c r="K26" s="314"/>
    </row>
    <row r="32" spans="1:25" x14ac:dyDescent="0.25">
      <c r="I32" s="2280"/>
      <c r="J32" s="2280"/>
      <c r="K32" s="2280"/>
      <c r="L32" s="2280"/>
    </row>
    <row r="33" spans="9:12" x14ac:dyDescent="0.25">
      <c r="I33" s="402"/>
      <c r="J33" s="402"/>
      <c r="K33" s="2280"/>
      <c r="L33" s="2280"/>
    </row>
  </sheetData>
  <mergeCells count="62">
    <mergeCell ref="I32:J32"/>
    <mergeCell ref="K32:L32"/>
    <mergeCell ref="K33:L33"/>
    <mergeCell ref="T22:T23"/>
    <mergeCell ref="V22:X22"/>
    <mergeCell ref="V23:X23"/>
    <mergeCell ref="T24:T25"/>
    <mergeCell ref="V24:X24"/>
    <mergeCell ref="V25:X25"/>
    <mergeCell ref="Y18:Y24"/>
    <mergeCell ref="B19:C19"/>
    <mergeCell ref="Q19:R19"/>
    <mergeCell ref="T19:T20"/>
    <mergeCell ref="V19:X19"/>
    <mergeCell ref="B20:C20"/>
    <mergeCell ref="B22:B24"/>
    <mergeCell ref="C22:C23"/>
    <mergeCell ref="D22:D23"/>
    <mergeCell ref="E22:E23"/>
    <mergeCell ref="F22:F23"/>
    <mergeCell ref="Q20:R20"/>
    <mergeCell ref="V20:X20"/>
    <mergeCell ref="B21:C21"/>
    <mergeCell ref="T21:U21"/>
    <mergeCell ref="V21:X21"/>
    <mergeCell ref="B17:C17"/>
    <mergeCell ref="Q17:R17"/>
    <mergeCell ref="T17:U17"/>
    <mergeCell ref="V17:X17"/>
    <mergeCell ref="B18:C18"/>
    <mergeCell ref="Q18:R18"/>
    <mergeCell ref="T18:U18"/>
    <mergeCell ref="V18:X18"/>
    <mergeCell ref="W4:X4"/>
    <mergeCell ref="B16:C16"/>
    <mergeCell ref="Q16:R16"/>
    <mergeCell ref="T16:U16"/>
    <mergeCell ref="V16:X16"/>
    <mergeCell ref="A12:B12"/>
    <mergeCell ref="B14:C14"/>
    <mergeCell ref="Q14:R14"/>
    <mergeCell ref="T14:T15"/>
    <mergeCell ref="V14:X14"/>
    <mergeCell ref="B15:C15"/>
    <mergeCell ref="Q15:R15"/>
    <mergeCell ref="V15:X15"/>
    <mergeCell ref="A1:Y1"/>
    <mergeCell ref="A2:Y2"/>
    <mergeCell ref="T3:Y3"/>
    <mergeCell ref="A4:A5"/>
    <mergeCell ref="B4:B5"/>
    <mergeCell ref="C4:D4"/>
    <mergeCell ref="E4:F4"/>
    <mergeCell ref="G4:H4"/>
    <mergeCell ref="I4:J4"/>
    <mergeCell ref="K4:L4"/>
    <mergeCell ref="Y4:Y5"/>
    <mergeCell ref="M4:N4"/>
    <mergeCell ref="O4:P4"/>
    <mergeCell ref="Q4:R4"/>
    <mergeCell ref="S4:T4"/>
    <mergeCell ref="U4:V4"/>
  </mergeCells>
  <pageMargins left="0.15748031496063" right="0.15748031496063" top="0" bottom="0" header="0" footer="0"/>
  <pageSetup paperSize="9" scale="47" orientation="landscape" r:id="rId1"/>
  <legacyDrawing r:id="rId2"/>
</worksheet>
</file>

<file path=xl/worksheets/sheet12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A38D6E0-AACF-4ADE-9930-77D5FD5F336B}">
  <sheetPr>
    <pageSetUpPr fitToPage="1"/>
  </sheetPr>
  <dimension ref="A1:Y33"/>
  <sheetViews>
    <sheetView topLeftCell="A6" zoomScale="70" zoomScaleNormal="70" zoomScaleSheetLayoutView="100" workbookViewId="0">
      <selection activeCell="J28" sqref="J28"/>
    </sheetView>
  </sheetViews>
  <sheetFormatPr defaultColWidth="9.140625" defaultRowHeight="15" x14ac:dyDescent="0.25"/>
  <cols>
    <col min="1" max="1" width="18.28515625" style="14" customWidth="1"/>
    <col min="2" max="2" width="10.7109375" style="14" customWidth="1"/>
    <col min="3" max="3" width="12.28515625" style="14" customWidth="1"/>
    <col min="4" max="4" width="11" style="14" customWidth="1"/>
    <col min="5" max="5" width="12" style="14" customWidth="1"/>
    <col min="6" max="6" width="12.5703125" style="14" bestFit="1" customWidth="1"/>
    <col min="7" max="7" width="9.28515625" style="14" bestFit="1" customWidth="1"/>
    <col min="8" max="8" width="10.140625" style="14" bestFit="1" customWidth="1"/>
    <col min="9" max="9" width="10.5703125" style="14" bestFit="1" customWidth="1"/>
    <col min="10" max="10" width="10.5703125" style="14" customWidth="1"/>
    <col min="11" max="11" width="10.28515625" style="14" bestFit="1" customWidth="1"/>
    <col min="12" max="12" width="10.42578125" style="14" bestFit="1" customWidth="1"/>
    <col min="13" max="13" width="9.85546875" style="14" bestFit="1" customWidth="1"/>
    <col min="14" max="14" width="10.140625" style="14" bestFit="1" customWidth="1"/>
    <col min="15" max="15" width="9" style="14" customWidth="1"/>
    <col min="16" max="16" width="12.85546875" style="14" bestFit="1" customWidth="1"/>
    <col min="17" max="18" width="9.42578125" style="14" customWidth="1"/>
    <col min="19" max="19" width="13.7109375" style="14" customWidth="1"/>
    <col min="20" max="20" width="12.140625" style="14" customWidth="1"/>
    <col min="21" max="21" width="19.5703125" style="14" bestFit="1" customWidth="1"/>
    <col min="22" max="22" width="9.85546875" style="14" customWidth="1"/>
    <col min="23" max="23" width="10.140625" style="14" bestFit="1" customWidth="1"/>
    <col min="24" max="24" width="10.28515625" style="14" customWidth="1"/>
    <col min="25" max="25" width="28" style="14" customWidth="1"/>
    <col min="26" max="16384" width="9.140625" style="14"/>
  </cols>
  <sheetData>
    <row r="1" spans="1:25" ht="46.15" customHeight="1" x14ac:dyDescent="0.25">
      <c r="A1" s="2240" t="s">
        <v>148</v>
      </c>
      <c r="B1" s="2240"/>
      <c r="C1" s="2240"/>
      <c r="D1" s="2240"/>
      <c r="E1" s="2240"/>
      <c r="F1" s="2240"/>
      <c r="G1" s="2240"/>
      <c r="H1" s="2240"/>
      <c r="I1" s="2240"/>
      <c r="J1" s="2240"/>
      <c r="K1" s="2240"/>
      <c r="L1" s="2240"/>
      <c r="M1" s="2240"/>
      <c r="N1" s="2240"/>
      <c r="O1" s="2240"/>
      <c r="P1" s="2240"/>
      <c r="Q1" s="2240"/>
      <c r="R1" s="2240"/>
      <c r="S1" s="2240"/>
      <c r="T1" s="2240"/>
      <c r="U1" s="2240"/>
      <c r="V1" s="2240"/>
      <c r="W1" s="2240"/>
      <c r="X1" s="2240"/>
      <c r="Y1" s="2240"/>
    </row>
    <row r="2" spans="1:25" ht="21.6" customHeight="1" x14ac:dyDescent="0.25">
      <c r="A2" s="2241" t="s">
        <v>77</v>
      </c>
      <c r="B2" s="2241"/>
      <c r="C2" s="2241"/>
      <c r="D2" s="2241"/>
      <c r="E2" s="2241"/>
      <c r="F2" s="2241"/>
      <c r="G2" s="2241"/>
      <c r="H2" s="2241"/>
      <c r="I2" s="2241"/>
      <c r="J2" s="2241"/>
      <c r="K2" s="2241"/>
      <c r="L2" s="2241"/>
      <c r="M2" s="2241"/>
      <c r="N2" s="2241"/>
      <c r="O2" s="2241"/>
      <c r="P2" s="2241"/>
      <c r="Q2" s="2241"/>
      <c r="R2" s="2241"/>
      <c r="S2" s="2241"/>
      <c r="T2" s="2241"/>
      <c r="U2" s="2241"/>
      <c r="V2" s="2241"/>
      <c r="W2" s="2241"/>
      <c r="X2" s="2241"/>
      <c r="Y2" s="2241"/>
    </row>
    <row r="3" spans="1:25" ht="21" customHeight="1" x14ac:dyDescent="0.25">
      <c r="A3" s="408"/>
      <c r="B3" s="408"/>
      <c r="C3" s="408"/>
      <c r="D3" s="408"/>
      <c r="E3" s="408"/>
      <c r="F3" s="408"/>
      <c r="G3" s="408"/>
      <c r="H3" s="408"/>
      <c r="I3" s="408"/>
      <c r="J3" s="408"/>
      <c r="K3" s="408"/>
      <c r="L3" s="408"/>
      <c r="M3" s="408"/>
      <c r="N3" s="408"/>
      <c r="O3" s="408"/>
      <c r="P3" s="408"/>
      <c r="Q3" s="408"/>
      <c r="R3" s="408"/>
      <c r="S3" s="408"/>
      <c r="T3" s="2242" t="s">
        <v>329</v>
      </c>
      <c r="U3" s="2242"/>
      <c r="V3" s="2242"/>
      <c r="W3" s="2242"/>
      <c r="X3" s="2242"/>
      <c r="Y3" s="2242"/>
    </row>
    <row r="4" spans="1:25" s="408" customFormat="1" ht="18" customHeight="1" x14ac:dyDescent="0.25">
      <c r="A4" s="2243" t="s">
        <v>25</v>
      </c>
      <c r="B4" s="2243" t="s">
        <v>26</v>
      </c>
      <c r="C4" s="2244" t="s">
        <v>27</v>
      </c>
      <c r="D4" s="2244"/>
      <c r="E4" s="2244" t="s">
        <v>28</v>
      </c>
      <c r="F4" s="2244"/>
      <c r="G4" s="2244" t="s">
        <v>65</v>
      </c>
      <c r="H4" s="2244"/>
      <c r="I4" s="2244" t="s">
        <v>29</v>
      </c>
      <c r="J4" s="2244"/>
      <c r="K4" s="2245" t="s">
        <v>13</v>
      </c>
      <c r="L4" s="2246"/>
      <c r="M4" s="2245" t="s">
        <v>67</v>
      </c>
      <c r="N4" s="2246"/>
      <c r="O4" s="2245" t="s">
        <v>68</v>
      </c>
      <c r="P4" s="2246"/>
      <c r="Q4" s="2245" t="s">
        <v>114</v>
      </c>
      <c r="R4" s="2246"/>
      <c r="S4" s="2244" t="s">
        <v>35</v>
      </c>
      <c r="T4" s="2244"/>
      <c r="U4" s="2245" t="s">
        <v>17</v>
      </c>
      <c r="V4" s="2246"/>
      <c r="W4" s="2247" t="s">
        <v>36</v>
      </c>
      <c r="X4" s="2248"/>
      <c r="Y4" s="2238" t="s">
        <v>30</v>
      </c>
    </row>
    <row r="5" spans="1:25" s="408" customFormat="1" ht="25.5" customHeight="1" x14ac:dyDescent="0.25">
      <c r="A5" s="2243"/>
      <c r="B5" s="2243"/>
      <c r="C5" s="407" t="s">
        <v>42</v>
      </c>
      <c r="D5" s="407" t="s">
        <v>43</v>
      </c>
      <c r="E5" s="407" t="s">
        <v>42</v>
      </c>
      <c r="F5" s="407" t="s">
        <v>43</v>
      </c>
      <c r="G5" s="407" t="s">
        <v>42</v>
      </c>
      <c r="H5" s="407" t="s">
        <v>43</v>
      </c>
      <c r="I5" s="407" t="s">
        <v>42</v>
      </c>
      <c r="J5" s="407" t="s">
        <v>43</v>
      </c>
      <c r="K5" s="407" t="s">
        <v>42</v>
      </c>
      <c r="L5" s="407" t="s">
        <v>43</v>
      </c>
      <c r="M5" s="407" t="s">
        <v>42</v>
      </c>
      <c r="N5" s="407" t="s">
        <v>43</v>
      </c>
      <c r="O5" s="407" t="s">
        <v>42</v>
      </c>
      <c r="P5" s="407" t="s">
        <v>43</v>
      </c>
      <c r="Q5" s="407" t="s">
        <v>42</v>
      </c>
      <c r="R5" s="407" t="s">
        <v>43</v>
      </c>
      <c r="S5" s="33" t="s">
        <v>42</v>
      </c>
      <c r="T5" s="33" t="s">
        <v>43</v>
      </c>
      <c r="U5" s="30" t="s">
        <v>42</v>
      </c>
      <c r="V5" s="30" t="s">
        <v>43</v>
      </c>
      <c r="W5" s="30" t="s">
        <v>42</v>
      </c>
      <c r="X5" s="30" t="s">
        <v>43</v>
      </c>
      <c r="Y5" s="2239"/>
    </row>
    <row r="6" spans="1:25" ht="34.5" customHeight="1" x14ac:dyDescent="0.25">
      <c r="A6" s="12">
        <v>1409935200</v>
      </c>
      <c r="B6" s="406" t="s">
        <v>71</v>
      </c>
      <c r="C6" s="404">
        <v>33214</v>
      </c>
      <c r="D6" s="403">
        <f>0.9725*C6</f>
        <v>32300.615000000002</v>
      </c>
      <c r="E6" s="404"/>
      <c r="F6" s="404">
        <f>13.7*E6</f>
        <v>0</v>
      </c>
      <c r="G6" s="404">
        <v>90</v>
      </c>
      <c r="H6" s="404">
        <f>28.2*G6</f>
        <v>2538</v>
      </c>
      <c r="I6" s="404">
        <v>740</v>
      </c>
      <c r="J6" s="404">
        <f>18.5*I6</f>
        <v>13690</v>
      </c>
      <c r="K6" s="404"/>
      <c r="L6" s="404">
        <f>19.5*K6</f>
        <v>0</v>
      </c>
      <c r="M6" s="404"/>
      <c r="N6" s="403">
        <f>M6*9.75</f>
        <v>0</v>
      </c>
      <c r="O6" s="404"/>
      <c r="P6" s="403">
        <f>O6*48.62</f>
        <v>0</v>
      </c>
      <c r="Q6" s="403"/>
      <c r="R6" s="403">
        <f>241*Q6</f>
        <v>0</v>
      </c>
      <c r="S6" s="404">
        <v>5</v>
      </c>
      <c r="T6" s="404">
        <f>241*S6</f>
        <v>1205</v>
      </c>
      <c r="U6" s="404">
        <v>25</v>
      </c>
      <c r="V6" s="404">
        <f>232*U6</f>
        <v>5800</v>
      </c>
      <c r="W6" s="404"/>
      <c r="X6" s="19">
        <f>W6*100</f>
        <v>0</v>
      </c>
      <c r="Y6" s="89">
        <f t="shared" ref="Y6:Y11" si="0">D6+F6+H6+J6+L6+N6+P6+R6+T6+V6+X6</f>
        <v>55533.615000000005</v>
      </c>
    </row>
    <row r="7" spans="1:25" ht="31.5" customHeight="1" x14ac:dyDescent="0.25">
      <c r="A7" s="12">
        <v>1984225578</v>
      </c>
      <c r="B7" s="406" t="s">
        <v>72</v>
      </c>
      <c r="C7" s="404">
        <v>31631</v>
      </c>
      <c r="D7" s="403">
        <f t="shared" ref="D7:D11" si="1">0.9725*C7</f>
        <v>30761.147500000003</v>
      </c>
      <c r="E7" s="404"/>
      <c r="F7" s="404">
        <f t="shared" ref="F7:F11" si="2">13.7*E7</f>
        <v>0</v>
      </c>
      <c r="G7" s="404"/>
      <c r="H7" s="404">
        <f t="shared" ref="H7:H11" si="3">28.2*G7</f>
        <v>0</v>
      </c>
      <c r="I7" s="404"/>
      <c r="J7" s="404">
        <f t="shared" ref="J7:J11" si="4">18.5*I7</f>
        <v>0</v>
      </c>
      <c r="K7" s="404"/>
      <c r="L7" s="404">
        <f t="shared" ref="L7:L11" si="5">19.5*K7</f>
        <v>0</v>
      </c>
      <c r="M7" s="404"/>
      <c r="N7" s="403">
        <f t="shared" ref="N7:N11" si="6">M7*9.75</f>
        <v>0</v>
      </c>
      <c r="O7" s="404"/>
      <c r="P7" s="403">
        <f t="shared" ref="P7:P11" si="7">O7*48.62</f>
        <v>0</v>
      </c>
      <c r="Q7" s="403"/>
      <c r="R7" s="403">
        <f t="shared" ref="R7:R11" si="8">241*Q7</f>
        <v>0</v>
      </c>
      <c r="S7" s="404"/>
      <c r="T7" s="404">
        <f t="shared" ref="T7:T11" si="9">241*S7</f>
        <v>0</v>
      </c>
      <c r="U7" s="404"/>
      <c r="V7" s="404">
        <f t="shared" ref="V7:V11" si="10">232*U7</f>
        <v>0</v>
      </c>
      <c r="W7" s="404"/>
      <c r="X7" s="19">
        <f t="shared" ref="X7:X11" si="11">W7*100</f>
        <v>0</v>
      </c>
      <c r="Y7" s="89">
        <f t="shared" si="0"/>
        <v>30761.147500000003</v>
      </c>
    </row>
    <row r="8" spans="1:25" ht="35.25" customHeight="1" x14ac:dyDescent="0.25">
      <c r="A8" s="12">
        <v>1967020280</v>
      </c>
      <c r="B8" s="406" t="s">
        <v>73</v>
      </c>
      <c r="C8" s="404">
        <v>36199</v>
      </c>
      <c r="D8" s="403">
        <f t="shared" si="1"/>
        <v>35203.527500000004</v>
      </c>
      <c r="E8" s="404"/>
      <c r="F8" s="404">
        <f t="shared" si="2"/>
        <v>0</v>
      </c>
      <c r="G8" s="404"/>
      <c r="H8" s="404">
        <f t="shared" si="3"/>
        <v>0</v>
      </c>
      <c r="I8" s="404">
        <v>1370</v>
      </c>
      <c r="J8" s="404">
        <f t="shared" si="4"/>
        <v>25345</v>
      </c>
      <c r="K8" s="404"/>
      <c r="L8" s="404">
        <f t="shared" si="5"/>
        <v>0</v>
      </c>
      <c r="M8" s="404"/>
      <c r="N8" s="403">
        <f t="shared" si="6"/>
        <v>0</v>
      </c>
      <c r="O8" s="404"/>
      <c r="P8" s="403">
        <f t="shared" si="7"/>
        <v>0</v>
      </c>
      <c r="Q8" s="403"/>
      <c r="R8" s="403">
        <f t="shared" si="8"/>
        <v>0</v>
      </c>
      <c r="S8" s="404"/>
      <c r="T8" s="404">
        <f t="shared" si="9"/>
        <v>0</v>
      </c>
      <c r="U8" s="404"/>
      <c r="V8" s="404">
        <f t="shared" si="10"/>
        <v>0</v>
      </c>
      <c r="W8" s="404"/>
      <c r="X8" s="19">
        <f t="shared" si="11"/>
        <v>0</v>
      </c>
      <c r="Y8" s="89">
        <f t="shared" si="0"/>
        <v>60548.527500000004</v>
      </c>
    </row>
    <row r="9" spans="1:25" ht="38.25" customHeight="1" x14ac:dyDescent="0.25">
      <c r="A9" s="12">
        <v>1984225580</v>
      </c>
      <c r="B9" s="406" t="s">
        <v>75</v>
      </c>
      <c r="C9" s="404">
        <v>54687</v>
      </c>
      <c r="D9" s="403">
        <f t="shared" si="1"/>
        <v>53183.107499999998</v>
      </c>
      <c r="E9" s="404"/>
      <c r="F9" s="404">
        <f t="shared" si="2"/>
        <v>0</v>
      </c>
      <c r="G9" s="404">
        <v>30</v>
      </c>
      <c r="H9" s="404">
        <f t="shared" si="3"/>
        <v>846</v>
      </c>
      <c r="I9" s="404">
        <v>500</v>
      </c>
      <c r="J9" s="404">
        <f t="shared" si="4"/>
        <v>9250</v>
      </c>
      <c r="K9" s="404"/>
      <c r="L9" s="404">
        <f t="shared" si="5"/>
        <v>0</v>
      </c>
      <c r="M9" s="404"/>
      <c r="N9" s="403">
        <f t="shared" si="6"/>
        <v>0</v>
      </c>
      <c r="O9" s="404"/>
      <c r="P9" s="403">
        <f t="shared" si="7"/>
        <v>0</v>
      </c>
      <c r="Q9" s="403"/>
      <c r="R9" s="403">
        <f t="shared" si="8"/>
        <v>0</v>
      </c>
      <c r="S9" s="404">
        <v>5</v>
      </c>
      <c r="T9" s="404">
        <f t="shared" si="9"/>
        <v>1205</v>
      </c>
      <c r="U9" s="404"/>
      <c r="V9" s="404">
        <f t="shared" si="10"/>
        <v>0</v>
      </c>
      <c r="W9" s="404"/>
      <c r="X9" s="19">
        <f t="shared" si="11"/>
        <v>0</v>
      </c>
      <c r="Y9" s="89">
        <f t="shared" si="0"/>
        <v>64484.107499999998</v>
      </c>
    </row>
    <row r="10" spans="1:25" ht="35.25" customHeight="1" x14ac:dyDescent="0.25">
      <c r="A10" s="12">
        <v>1409935199</v>
      </c>
      <c r="C10" s="404"/>
      <c r="D10" s="403">
        <f t="shared" si="1"/>
        <v>0</v>
      </c>
      <c r="E10" s="404"/>
      <c r="F10" s="404">
        <f t="shared" si="2"/>
        <v>0</v>
      </c>
      <c r="G10" s="404"/>
      <c r="H10" s="404">
        <f t="shared" si="3"/>
        <v>0</v>
      </c>
      <c r="I10" s="404"/>
      <c r="J10" s="404">
        <f t="shared" si="4"/>
        <v>0</v>
      </c>
      <c r="K10" s="404"/>
      <c r="L10" s="404">
        <f t="shared" si="5"/>
        <v>0</v>
      </c>
      <c r="M10" s="404"/>
      <c r="N10" s="403">
        <f t="shared" si="6"/>
        <v>0</v>
      </c>
      <c r="O10" s="404"/>
      <c r="P10" s="403">
        <f t="shared" si="7"/>
        <v>0</v>
      </c>
      <c r="Q10" s="403"/>
      <c r="R10" s="403">
        <f t="shared" si="8"/>
        <v>0</v>
      </c>
      <c r="S10" s="404"/>
      <c r="T10" s="404">
        <f t="shared" si="9"/>
        <v>0</v>
      </c>
      <c r="U10" s="404"/>
      <c r="V10" s="404">
        <f t="shared" si="10"/>
        <v>0</v>
      </c>
      <c r="W10" s="404"/>
      <c r="X10" s="19">
        <f t="shared" si="11"/>
        <v>0</v>
      </c>
      <c r="Y10" s="89">
        <f t="shared" si="0"/>
        <v>0</v>
      </c>
    </row>
    <row r="11" spans="1:25" ht="37.5" customHeight="1" x14ac:dyDescent="0.25">
      <c r="A11" s="12"/>
      <c r="B11" s="405"/>
      <c r="C11" s="404"/>
      <c r="D11" s="22">
        <f t="shared" si="1"/>
        <v>0</v>
      </c>
      <c r="E11" s="404"/>
      <c r="F11" s="404">
        <f t="shared" si="2"/>
        <v>0</v>
      </c>
      <c r="G11" s="404"/>
      <c r="H11" s="404">
        <f t="shared" si="3"/>
        <v>0</v>
      </c>
      <c r="I11" s="404"/>
      <c r="J11" s="404">
        <f t="shared" si="4"/>
        <v>0</v>
      </c>
      <c r="K11" s="404"/>
      <c r="L11" s="404">
        <f t="shared" si="5"/>
        <v>0</v>
      </c>
      <c r="M11" s="404"/>
      <c r="N11" s="403">
        <f t="shared" si="6"/>
        <v>0</v>
      </c>
      <c r="O11" s="404"/>
      <c r="P11" s="403">
        <f t="shared" si="7"/>
        <v>0</v>
      </c>
      <c r="Q11" s="403"/>
      <c r="R11" s="403">
        <f t="shared" si="8"/>
        <v>0</v>
      </c>
      <c r="S11" s="404"/>
      <c r="T11" s="404">
        <f t="shared" si="9"/>
        <v>0</v>
      </c>
      <c r="U11" s="404"/>
      <c r="V11" s="404">
        <f t="shared" si="10"/>
        <v>0</v>
      </c>
      <c r="W11" s="404"/>
      <c r="X11" s="19">
        <f t="shared" si="11"/>
        <v>0</v>
      </c>
      <c r="Y11" s="20">
        <f t="shared" si="0"/>
        <v>0</v>
      </c>
    </row>
    <row r="12" spans="1:25" ht="29.25" customHeight="1" x14ac:dyDescent="0.25">
      <c r="A12" s="2235" t="s">
        <v>31</v>
      </c>
      <c r="B12" s="2235"/>
      <c r="C12" s="18">
        <f t="shared" ref="C12:Y12" si="12">SUM(C6:C11)</f>
        <v>155731</v>
      </c>
      <c r="D12" s="18">
        <f t="shared" si="12"/>
        <v>151448.39750000002</v>
      </c>
      <c r="E12" s="18">
        <f t="shared" si="12"/>
        <v>0</v>
      </c>
      <c r="F12" s="18">
        <f t="shared" si="12"/>
        <v>0</v>
      </c>
      <c r="G12" s="18">
        <f t="shared" si="12"/>
        <v>120</v>
      </c>
      <c r="H12" s="18">
        <f t="shared" si="12"/>
        <v>3384</v>
      </c>
      <c r="I12" s="18">
        <f t="shared" si="12"/>
        <v>2610</v>
      </c>
      <c r="J12" s="18">
        <f t="shared" si="12"/>
        <v>48285</v>
      </c>
      <c r="K12" s="18">
        <f t="shared" si="12"/>
        <v>0</v>
      </c>
      <c r="L12" s="18">
        <f t="shared" si="12"/>
        <v>0</v>
      </c>
      <c r="M12" s="18">
        <f t="shared" si="12"/>
        <v>0</v>
      </c>
      <c r="N12" s="23">
        <f t="shared" si="12"/>
        <v>0</v>
      </c>
      <c r="O12" s="18">
        <f t="shared" si="12"/>
        <v>0</v>
      </c>
      <c r="P12" s="23">
        <f t="shared" si="12"/>
        <v>0</v>
      </c>
      <c r="Q12" s="23">
        <f t="shared" si="12"/>
        <v>0</v>
      </c>
      <c r="R12" s="23">
        <f>SUM(R6:R11)</f>
        <v>0</v>
      </c>
      <c r="S12" s="18">
        <f t="shared" si="12"/>
        <v>10</v>
      </c>
      <c r="T12" s="18">
        <f t="shared" si="12"/>
        <v>2410</v>
      </c>
      <c r="U12" s="18">
        <f t="shared" si="12"/>
        <v>25</v>
      </c>
      <c r="V12" s="18">
        <f t="shared" si="12"/>
        <v>5800</v>
      </c>
      <c r="W12" s="18">
        <f t="shared" si="12"/>
        <v>0</v>
      </c>
      <c r="X12" s="18">
        <f t="shared" si="12"/>
        <v>0</v>
      </c>
      <c r="Y12" s="18">
        <f t="shared" si="12"/>
        <v>211327.39750000002</v>
      </c>
    </row>
    <row r="14" spans="1:25" ht="41.25" customHeight="1" x14ac:dyDescent="0.25">
      <c r="A14" s="30" t="s">
        <v>32</v>
      </c>
      <c r="B14" s="2236" t="s">
        <v>27</v>
      </c>
      <c r="C14" s="2236"/>
      <c r="D14" s="30" t="s">
        <v>33</v>
      </c>
      <c r="E14" s="30" t="s">
        <v>65</v>
      </c>
      <c r="F14" s="30" t="s">
        <v>34</v>
      </c>
      <c r="G14" s="30" t="s">
        <v>13</v>
      </c>
      <c r="H14" s="142" t="s">
        <v>173</v>
      </c>
      <c r="I14" s="30" t="s">
        <v>17</v>
      </c>
      <c r="J14" s="412" t="s">
        <v>174</v>
      </c>
      <c r="K14" s="30" t="s">
        <v>36</v>
      </c>
      <c r="L14" s="30" t="s">
        <v>175</v>
      </c>
      <c r="M14" s="30" t="s">
        <v>69</v>
      </c>
      <c r="N14" s="30" t="s">
        <v>70</v>
      </c>
      <c r="O14" s="412" t="s">
        <v>114</v>
      </c>
      <c r="P14" s="412"/>
      <c r="Q14" s="2272"/>
      <c r="R14" s="2272"/>
      <c r="S14" s="412"/>
      <c r="T14" s="2235" t="s">
        <v>46</v>
      </c>
      <c r="U14" s="406" t="s">
        <v>176</v>
      </c>
      <c r="V14" s="2260">
        <v>203062</v>
      </c>
      <c r="W14" s="2268"/>
      <c r="X14" s="2261"/>
    </row>
    <row r="15" spans="1:25" ht="22.5" customHeight="1" x14ac:dyDescent="0.25">
      <c r="A15" s="100" t="s">
        <v>38</v>
      </c>
      <c r="B15" s="2260">
        <v>383370</v>
      </c>
      <c r="C15" s="2261"/>
      <c r="D15" s="409">
        <v>0</v>
      </c>
      <c r="E15" s="409">
        <v>3780</v>
      </c>
      <c r="F15" s="409">
        <v>3090</v>
      </c>
      <c r="G15" s="409">
        <v>0</v>
      </c>
      <c r="H15" s="409">
        <v>295</v>
      </c>
      <c r="I15" s="409">
        <v>35</v>
      </c>
      <c r="J15" s="409">
        <v>106</v>
      </c>
      <c r="K15" s="409">
        <v>68</v>
      </c>
      <c r="L15" s="409">
        <v>1060</v>
      </c>
      <c r="M15" s="409">
        <v>0</v>
      </c>
      <c r="N15" s="409">
        <v>100</v>
      </c>
      <c r="O15" s="409">
        <v>0</v>
      </c>
      <c r="P15" s="409"/>
      <c r="Q15" s="2262"/>
      <c r="R15" s="2262"/>
      <c r="S15" s="406">
        <v>0</v>
      </c>
      <c r="T15" s="2235"/>
      <c r="U15" s="406" t="s">
        <v>64</v>
      </c>
      <c r="V15" s="2262">
        <v>11623</v>
      </c>
      <c r="W15" s="2262"/>
      <c r="X15" s="2262"/>
    </row>
    <row r="16" spans="1:25" ht="24.75" customHeight="1" x14ac:dyDescent="0.25">
      <c r="A16" s="100" t="s">
        <v>39</v>
      </c>
      <c r="B16" s="2260">
        <v>51948</v>
      </c>
      <c r="C16" s="2261"/>
      <c r="D16" s="409"/>
      <c r="E16" s="409"/>
      <c r="F16" s="409"/>
      <c r="G16" s="409"/>
      <c r="H16" s="409"/>
      <c r="I16" s="409"/>
      <c r="J16" s="409"/>
      <c r="K16" s="409"/>
      <c r="L16" s="409"/>
      <c r="M16" s="409"/>
      <c r="N16" s="409"/>
      <c r="O16" s="409"/>
      <c r="P16" s="409"/>
      <c r="Q16" s="2225"/>
      <c r="R16" s="2225"/>
      <c r="S16" s="409"/>
      <c r="T16" s="2254" t="s">
        <v>55</v>
      </c>
      <c r="U16" s="2254"/>
      <c r="V16" s="2267">
        <f>Y12</f>
        <v>211327.39750000002</v>
      </c>
      <c r="W16" s="2267"/>
      <c r="X16" s="2262"/>
    </row>
    <row r="17" spans="1:25" ht="28.5" customHeight="1" x14ac:dyDescent="0.25">
      <c r="A17" s="101" t="s">
        <v>44</v>
      </c>
      <c r="B17" s="2260"/>
      <c r="C17" s="2261"/>
      <c r="D17" s="409"/>
      <c r="E17" s="409"/>
      <c r="F17" s="409"/>
      <c r="G17" s="409"/>
      <c r="H17" s="409"/>
      <c r="I17" s="409"/>
      <c r="J17" s="409"/>
      <c r="K17" s="409"/>
      <c r="L17" s="409"/>
      <c r="M17" s="409"/>
      <c r="N17" s="409"/>
      <c r="O17" s="409"/>
      <c r="P17" s="409"/>
      <c r="Q17" s="2225"/>
      <c r="R17" s="2225"/>
      <c r="S17" s="405"/>
      <c r="T17" s="2294" t="s">
        <v>330</v>
      </c>
      <c r="U17" s="2295"/>
      <c r="V17" s="2296">
        <v>35000</v>
      </c>
      <c r="W17" s="2296"/>
      <c r="X17" s="2296"/>
    </row>
    <row r="18" spans="1:25" ht="27" customHeight="1" x14ac:dyDescent="0.25">
      <c r="A18" s="100" t="s">
        <v>40</v>
      </c>
      <c r="B18" s="2264">
        <f>C12</f>
        <v>155731</v>
      </c>
      <c r="C18" s="2261"/>
      <c r="D18" s="411">
        <f>E12</f>
        <v>0</v>
      </c>
      <c r="E18" s="411">
        <f>G12</f>
        <v>120</v>
      </c>
      <c r="F18" s="411">
        <f>I12</f>
        <v>2610</v>
      </c>
      <c r="G18" s="411">
        <f>K12</f>
        <v>0</v>
      </c>
      <c r="H18" s="409">
        <v>10</v>
      </c>
      <c r="I18" s="411">
        <f>U12</f>
        <v>25</v>
      </c>
      <c r="J18" s="409"/>
      <c r="K18" s="411">
        <f>W12</f>
        <v>0</v>
      </c>
      <c r="L18" s="409"/>
      <c r="M18" s="411">
        <f>M12</f>
        <v>0</v>
      </c>
      <c r="N18" s="411">
        <f>O12</f>
        <v>0</v>
      </c>
      <c r="O18" s="410">
        <f>Q12</f>
        <v>0</v>
      </c>
      <c r="P18" s="409"/>
      <c r="Q18" s="2262"/>
      <c r="R18" s="2262"/>
      <c r="S18" s="406"/>
      <c r="T18" s="2254" t="s">
        <v>57</v>
      </c>
      <c r="U18" s="2254"/>
      <c r="V18" s="2262">
        <v>620</v>
      </c>
      <c r="W18" s="2262"/>
      <c r="X18" s="2262"/>
      <c r="Y18" s="2269"/>
    </row>
    <row r="19" spans="1:25" ht="25.5" customHeight="1" x14ac:dyDescent="0.25">
      <c r="A19" s="100" t="s">
        <v>41</v>
      </c>
      <c r="B19" s="2260">
        <f>B15+B16+B17-B18</f>
        <v>279587</v>
      </c>
      <c r="C19" s="2261"/>
      <c r="D19" s="409">
        <f>D15+D16+D17-D18</f>
        <v>0</v>
      </c>
      <c r="E19" s="409">
        <f t="shared" ref="E19:N19" si="13">E15+E16+E17-E18</f>
        <v>3660</v>
      </c>
      <c r="F19" s="409">
        <f t="shared" si="13"/>
        <v>480</v>
      </c>
      <c r="G19" s="409">
        <f t="shared" si="13"/>
        <v>0</v>
      </c>
      <c r="H19" s="409">
        <f t="shared" si="13"/>
        <v>285</v>
      </c>
      <c r="I19" s="409">
        <f t="shared" si="13"/>
        <v>10</v>
      </c>
      <c r="J19" s="409">
        <f t="shared" si="13"/>
        <v>106</v>
      </c>
      <c r="K19" s="409">
        <f t="shared" si="13"/>
        <v>68</v>
      </c>
      <c r="L19" s="409">
        <f t="shared" si="13"/>
        <v>1060</v>
      </c>
      <c r="M19" s="409">
        <f t="shared" si="13"/>
        <v>0</v>
      </c>
      <c r="N19" s="409">
        <f t="shared" si="13"/>
        <v>100</v>
      </c>
      <c r="O19" s="409">
        <f>O15+O16+O17-O18</f>
        <v>0</v>
      </c>
      <c r="P19" s="409">
        <f>P15+P16+P17-P18</f>
        <v>0</v>
      </c>
      <c r="Q19" s="2260">
        <f t="shared" ref="Q19" si="14">Q15+Q16+Q17-Q18</f>
        <v>0</v>
      </c>
      <c r="R19" s="2261"/>
      <c r="S19" s="406">
        <f>S15+S16-S17-S18</f>
        <v>0</v>
      </c>
      <c r="T19" s="2256" t="s">
        <v>48</v>
      </c>
      <c r="U19" s="49" t="s">
        <v>58</v>
      </c>
      <c r="V19" s="2262">
        <v>400000</v>
      </c>
      <c r="W19" s="2262"/>
      <c r="X19" s="2262"/>
      <c r="Y19" s="2269"/>
    </row>
    <row r="20" spans="1:25" ht="23.25" customHeight="1" x14ac:dyDescent="0.25">
      <c r="A20" s="289" t="s">
        <v>187</v>
      </c>
      <c r="B20" s="2286">
        <f>B19*0.9625</f>
        <v>269102.48749999999</v>
      </c>
      <c r="C20" s="2287"/>
      <c r="D20" s="290">
        <f>D19*13.56</f>
        <v>0</v>
      </c>
      <c r="E20" s="290">
        <f>28.2*E19</f>
        <v>103212</v>
      </c>
      <c r="F20" s="290">
        <f>18.31*F19</f>
        <v>8788.7999999999993</v>
      </c>
      <c r="G20" s="290">
        <f>19.3*G19</f>
        <v>0</v>
      </c>
      <c r="H20" s="290">
        <f>241*H19</f>
        <v>68685</v>
      </c>
      <c r="I20" s="290">
        <f>223*I19</f>
        <v>2230</v>
      </c>
      <c r="J20" s="290">
        <f>241*J19</f>
        <v>25546</v>
      </c>
      <c r="K20" s="290">
        <f>K19*100</f>
        <v>6800</v>
      </c>
      <c r="L20" s="290">
        <f>241*L19</f>
        <v>255460</v>
      </c>
      <c r="M20" s="290">
        <f>9.65*M19</f>
        <v>0</v>
      </c>
      <c r="N20" s="290">
        <f>N19*48.2</f>
        <v>4820</v>
      </c>
      <c r="O20" s="290">
        <f>241*O19</f>
        <v>0</v>
      </c>
      <c r="P20" s="290">
        <f>241*P19</f>
        <v>0</v>
      </c>
      <c r="Q20" s="2286">
        <f>241*Q19</f>
        <v>0</v>
      </c>
      <c r="R20" s="2287"/>
      <c r="S20" s="290">
        <f>241*S19</f>
        <v>0</v>
      </c>
      <c r="T20" s="2257"/>
      <c r="U20" s="49" t="s">
        <v>59</v>
      </c>
      <c r="V20" s="2262"/>
      <c r="W20" s="2262"/>
      <c r="X20" s="2262"/>
      <c r="Y20" s="2269"/>
    </row>
    <row r="21" spans="1:25" ht="32.25" customHeight="1" x14ac:dyDescent="0.25">
      <c r="A21" s="291" t="s">
        <v>186</v>
      </c>
      <c r="B21" s="2293">
        <f>SUM(B20:S20)</f>
        <v>744644.28749999998</v>
      </c>
      <c r="C21" s="2293"/>
      <c r="O21" s="413"/>
      <c r="P21" s="413"/>
      <c r="Q21" s="413"/>
      <c r="R21" s="413"/>
      <c r="T21" s="2294"/>
      <c r="U21" s="2295"/>
      <c r="V21" s="2297"/>
      <c r="W21" s="2298"/>
      <c r="X21" s="2299"/>
      <c r="Y21" s="2269"/>
    </row>
    <row r="22" spans="1:25" ht="35.25" customHeight="1" x14ac:dyDescent="0.25">
      <c r="A22" s="15"/>
      <c r="B22" s="2288" t="s">
        <v>49</v>
      </c>
      <c r="C22" s="2291">
        <v>742769</v>
      </c>
      <c r="D22" s="2291">
        <v>400000</v>
      </c>
      <c r="E22" s="2291">
        <v>50000</v>
      </c>
      <c r="F22" s="2291">
        <f>C22-D22+E22</f>
        <v>392769</v>
      </c>
      <c r="G22" s="413"/>
      <c r="Q22" s="413"/>
      <c r="R22" s="413"/>
      <c r="T22" s="2251" t="s">
        <v>83</v>
      </c>
      <c r="U22" s="50" t="s">
        <v>60</v>
      </c>
      <c r="V22" s="2262">
        <v>407600</v>
      </c>
      <c r="W22" s="2262"/>
      <c r="X22" s="2262"/>
      <c r="Y22" s="2269"/>
    </row>
    <row r="23" spans="1:25" ht="39.75" customHeight="1" x14ac:dyDescent="0.25">
      <c r="A23" s="413"/>
      <c r="B23" s="2289"/>
      <c r="C23" s="2292"/>
      <c r="D23" s="2292"/>
      <c r="E23" s="2292"/>
      <c r="F23" s="2292"/>
      <c r="G23" s="413"/>
      <c r="Q23" s="413"/>
      <c r="R23" s="413"/>
      <c r="T23" s="2252"/>
      <c r="U23" s="50" t="s">
        <v>61</v>
      </c>
      <c r="V23" s="2262">
        <v>400000</v>
      </c>
      <c r="W23" s="2262"/>
      <c r="X23" s="2262"/>
      <c r="Y23" s="2269"/>
    </row>
    <row r="24" spans="1:25" ht="48" customHeight="1" x14ac:dyDescent="0.25">
      <c r="A24" s="413"/>
      <c r="B24" s="2290"/>
      <c r="C24" s="290" t="s">
        <v>46</v>
      </c>
      <c r="D24" s="290" t="s">
        <v>50</v>
      </c>
      <c r="E24" s="290" t="s">
        <v>51</v>
      </c>
      <c r="F24" s="290" t="s">
        <v>52</v>
      </c>
      <c r="G24" s="413"/>
      <c r="Q24" s="413"/>
      <c r="R24" s="413"/>
      <c r="T24" s="2235" t="s">
        <v>47</v>
      </c>
      <c r="U24" s="51" t="s">
        <v>62</v>
      </c>
      <c r="V24" s="2263">
        <f>V14+V16+V17-V18-V19-V20-V22+V23-V21</f>
        <v>41169.397500000021</v>
      </c>
      <c r="W24" s="2263"/>
      <c r="X24" s="2263"/>
      <c r="Y24" s="2269"/>
    </row>
    <row r="25" spans="1:25" ht="40.5" customHeight="1" x14ac:dyDescent="0.25">
      <c r="T25" s="2235"/>
      <c r="U25" s="51" t="s">
        <v>63</v>
      </c>
      <c r="V25" s="2262">
        <f>V15+V22-V23</f>
        <v>19223</v>
      </c>
      <c r="W25" s="2262"/>
      <c r="X25" s="2262"/>
    </row>
    <row r="26" spans="1:25" ht="36" customHeight="1" x14ac:dyDescent="0.25">
      <c r="K26" s="314"/>
    </row>
    <row r="32" spans="1:25" x14ac:dyDescent="0.25">
      <c r="I32" s="2280"/>
      <c r="J32" s="2280"/>
      <c r="K32" s="2280"/>
      <c r="L32" s="2280"/>
    </row>
    <row r="33" spans="9:12" x14ac:dyDescent="0.25">
      <c r="I33" s="413"/>
      <c r="J33" s="413"/>
      <c r="K33" s="2280"/>
      <c r="L33" s="2280"/>
    </row>
  </sheetData>
  <mergeCells count="62">
    <mergeCell ref="A1:Y1"/>
    <mergeCell ref="A2:Y2"/>
    <mergeCell ref="T3:Y3"/>
    <mergeCell ref="A4:A5"/>
    <mergeCell ref="B4:B5"/>
    <mergeCell ref="C4:D4"/>
    <mergeCell ref="E4:F4"/>
    <mergeCell ref="G4:H4"/>
    <mergeCell ref="I4:J4"/>
    <mergeCell ref="K4:L4"/>
    <mergeCell ref="Y4:Y5"/>
    <mergeCell ref="M4:N4"/>
    <mergeCell ref="O4:P4"/>
    <mergeCell ref="Q4:R4"/>
    <mergeCell ref="S4:T4"/>
    <mergeCell ref="U4:V4"/>
    <mergeCell ref="W4:X4"/>
    <mergeCell ref="B16:C16"/>
    <mergeCell ref="Q16:R16"/>
    <mergeCell ref="T16:U16"/>
    <mergeCell ref="V16:X16"/>
    <mergeCell ref="A12:B12"/>
    <mergeCell ref="B14:C14"/>
    <mergeCell ref="Q14:R14"/>
    <mergeCell ref="T14:T15"/>
    <mergeCell ref="V14:X14"/>
    <mergeCell ref="B15:C15"/>
    <mergeCell ref="Q15:R15"/>
    <mergeCell ref="V15:X15"/>
    <mergeCell ref="B17:C17"/>
    <mergeCell ref="Q17:R17"/>
    <mergeCell ref="T17:U17"/>
    <mergeCell ref="V17:X17"/>
    <mergeCell ref="B18:C18"/>
    <mergeCell ref="Q18:R18"/>
    <mergeCell ref="T18:U18"/>
    <mergeCell ref="V18:X18"/>
    <mergeCell ref="Y18:Y24"/>
    <mergeCell ref="B19:C19"/>
    <mergeCell ref="Q19:R19"/>
    <mergeCell ref="T19:T20"/>
    <mergeCell ref="V19:X19"/>
    <mergeCell ref="B20:C20"/>
    <mergeCell ref="B22:B24"/>
    <mergeCell ref="C22:C23"/>
    <mergeCell ref="D22:D23"/>
    <mergeCell ref="E22:E23"/>
    <mergeCell ref="F22:F23"/>
    <mergeCell ref="Q20:R20"/>
    <mergeCell ref="V20:X20"/>
    <mergeCell ref="B21:C21"/>
    <mergeCell ref="T21:U21"/>
    <mergeCell ref="V21:X21"/>
    <mergeCell ref="I32:J32"/>
    <mergeCell ref="K32:L32"/>
    <mergeCell ref="K33:L33"/>
    <mergeCell ref="T22:T23"/>
    <mergeCell ref="V22:X22"/>
    <mergeCell ref="V23:X23"/>
    <mergeCell ref="T24:T25"/>
    <mergeCell ref="V24:X24"/>
    <mergeCell ref="V25:X25"/>
  </mergeCells>
  <pageMargins left="0.15748031496063" right="0.15748031496063" top="0" bottom="0" header="0" footer="0"/>
  <pageSetup paperSize="9" scale="47" orientation="landscape" r:id="rId1"/>
  <legacyDrawing r:id="rId2"/>
</worksheet>
</file>

<file path=xl/worksheets/sheet1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9593CA3-0DF7-4377-84A7-1E8BEF52C330}">
  <sheetPr>
    <pageSetUpPr fitToPage="1"/>
  </sheetPr>
  <dimension ref="A1:Y33"/>
  <sheetViews>
    <sheetView topLeftCell="A10" zoomScale="70" zoomScaleNormal="70" zoomScaleSheetLayoutView="100" workbookViewId="0">
      <selection activeCell="I25" sqref="I25"/>
    </sheetView>
  </sheetViews>
  <sheetFormatPr defaultColWidth="9.140625" defaultRowHeight="15" x14ac:dyDescent="0.25"/>
  <cols>
    <col min="1" max="1" width="18.28515625" style="14" customWidth="1"/>
    <col min="2" max="2" width="10.7109375" style="14" customWidth="1"/>
    <col min="3" max="3" width="12.28515625" style="14" customWidth="1"/>
    <col min="4" max="4" width="11" style="14" customWidth="1"/>
    <col min="5" max="5" width="12" style="14" customWidth="1"/>
    <col min="6" max="6" width="12.5703125" style="14" bestFit="1" customWidth="1"/>
    <col min="7" max="7" width="9.28515625" style="14" bestFit="1" customWidth="1"/>
    <col min="8" max="8" width="10.140625" style="14" bestFit="1" customWidth="1"/>
    <col min="9" max="9" width="10.5703125" style="14" bestFit="1" customWidth="1"/>
    <col min="10" max="10" width="10.5703125" style="14" customWidth="1"/>
    <col min="11" max="11" width="10.28515625" style="14" bestFit="1" customWidth="1"/>
    <col min="12" max="12" width="10.42578125" style="14" bestFit="1" customWidth="1"/>
    <col min="13" max="13" width="9.85546875" style="14" bestFit="1" customWidth="1"/>
    <col min="14" max="14" width="10.140625" style="14" bestFit="1" customWidth="1"/>
    <col min="15" max="15" width="9" style="14" customWidth="1"/>
    <col min="16" max="16" width="12.85546875" style="14" bestFit="1" customWidth="1"/>
    <col min="17" max="18" width="9.42578125" style="14" customWidth="1"/>
    <col min="19" max="19" width="13.7109375" style="14" customWidth="1"/>
    <col min="20" max="20" width="12.140625" style="14" customWidth="1"/>
    <col min="21" max="21" width="19.5703125" style="14" bestFit="1" customWidth="1"/>
    <col min="22" max="22" width="9.85546875" style="14" customWidth="1"/>
    <col min="23" max="23" width="10.140625" style="14" bestFit="1" customWidth="1"/>
    <col min="24" max="24" width="10.28515625" style="14" customWidth="1"/>
    <col min="25" max="25" width="28" style="14" customWidth="1"/>
    <col min="26" max="16384" width="9.140625" style="14"/>
  </cols>
  <sheetData>
    <row r="1" spans="1:25" ht="46.15" customHeight="1" x14ac:dyDescent="0.25">
      <c r="A1" s="2240" t="s">
        <v>148</v>
      </c>
      <c r="B1" s="2240"/>
      <c r="C1" s="2240"/>
      <c r="D1" s="2240"/>
      <c r="E1" s="2240"/>
      <c r="F1" s="2240"/>
      <c r="G1" s="2240"/>
      <c r="H1" s="2240"/>
      <c r="I1" s="2240"/>
      <c r="J1" s="2240"/>
      <c r="K1" s="2240"/>
      <c r="L1" s="2240"/>
      <c r="M1" s="2240"/>
      <c r="N1" s="2240"/>
      <c r="O1" s="2240"/>
      <c r="P1" s="2240"/>
      <c r="Q1" s="2240"/>
      <c r="R1" s="2240"/>
      <c r="S1" s="2240"/>
      <c r="T1" s="2240"/>
      <c r="U1" s="2240"/>
      <c r="V1" s="2240"/>
      <c r="W1" s="2240"/>
      <c r="X1" s="2240"/>
      <c r="Y1" s="2240"/>
    </row>
    <row r="2" spans="1:25" ht="21.6" customHeight="1" x14ac:dyDescent="0.25">
      <c r="A2" s="2241" t="s">
        <v>77</v>
      </c>
      <c r="B2" s="2241"/>
      <c r="C2" s="2241"/>
      <c r="D2" s="2241"/>
      <c r="E2" s="2241"/>
      <c r="F2" s="2241"/>
      <c r="G2" s="2241"/>
      <c r="H2" s="2241"/>
      <c r="I2" s="2241"/>
      <c r="J2" s="2241"/>
      <c r="K2" s="2241"/>
      <c r="L2" s="2241"/>
      <c r="M2" s="2241"/>
      <c r="N2" s="2241"/>
      <c r="O2" s="2241"/>
      <c r="P2" s="2241"/>
      <c r="Q2" s="2241"/>
      <c r="R2" s="2241"/>
      <c r="S2" s="2241"/>
      <c r="T2" s="2241"/>
      <c r="U2" s="2241"/>
      <c r="V2" s="2241"/>
      <c r="W2" s="2241"/>
      <c r="X2" s="2241"/>
      <c r="Y2" s="2241"/>
    </row>
    <row r="3" spans="1:25" ht="21" customHeight="1" x14ac:dyDescent="0.25">
      <c r="A3" s="419"/>
      <c r="B3" s="419"/>
      <c r="C3" s="419"/>
      <c r="D3" s="419"/>
      <c r="E3" s="419"/>
      <c r="F3" s="419"/>
      <c r="G3" s="419"/>
      <c r="H3" s="419"/>
      <c r="I3" s="419"/>
      <c r="J3" s="419"/>
      <c r="K3" s="419"/>
      <c r="L3" s="419"/>
      <c r="M3" s="419"/>
      <c r="N3" s="419"/>
      <c r="O3" s="419"/>
      <c r="P3" s="419"/>
      <c r="Q3" s="419"/>
      <c r="R3" s="419"/>
      <c r="S3" s="419"/>
      <c r="T3" s="2242" t="s">
        <v>331</v>
      </c>
      <c r="U3" s="2242"/>
      <c r="V3" s="2242"/>
      <c r="W3" s="2242"/>
      <c r="X3" s="2242"/>
      <c r="Y3" s="2242"/>
    </row>
    <row r="4" spans="1:25" s="419" customFormat="1" ht="18" customHeight="1" x14ac:dyDescent="0.25">
      <c r="A4" s="2243" t="s">
        <v>25</v>
      </c>
      <c r="B4" s="2243" t="s">
        <v>26</v>
      </c>
      <c r="C4" s="2244" t="s">
        <v>27</v>
      </c>
      <c r="D4" s="2244"/>
      <c r="E4" s="2244" t="s">
        <v>28</v>
      </c>
      <c r="F4" s="2244"/>
      <c r="G4" s="2244" t="s">
        <v>65</v>
      </c>
      <c r="H4" s="2244"/>
      <c r="I4" s="2244" t="s">
        <v>29</v>
      </c>
      <c r="J4" s="2244"/>
      <c r="K4" s="2245" t="s">
        <v>13</v>
      </c>
      <c r="L4" s="2246"/>
      <c r="M4" s="2245" t="s">
        <v>67</v>
      </c>
      <c r="N4" s="2246"/>
      <c r="O4" s="2245" t="s">
        <v>68</v>
      </c>
      <c r="P4" s="2246"/>
      <c r="Q4" s="2245" t="s">
        <v>114</v>
      </c>
      <c r="R4" s="2246"/>
      <c r="S4" s="2244" t="s">
        <v>35</v>
      </c>
      <c r="T4" s="2244"/>
      <c r="U4" s="2245" t="s">
        <v>17</v>
      </c>
      <c r="V4" s="2246"/>
      <c r="W4" s="2247" t="s">
        <v>36</v>
      </c>
      <c r="X4" s="2248"/>
      <c r="Y4" s="2238" t="s">
        <v>30</v>
      </c>
    </row>
    <row r="5" spans="1:25" s="419" customFormat="1" ht="25.5" customHeight="1" x14ac:dyDescent="0.25">
      <c r="A5" s="2243"/>
      <c r="B5" s="2243"/>
      <c r="C5" s="418" t="s">
        <v>42</v>
      </c>
      <c r="D5" s="418" t="s">
        <v>43</v>
      </c>
      <c r="E5" s="418" t="s">
        <v>42</v>
      </c>
      <c r="F5" s="418" t="s">
        <v>43</v>
      </c>
      <c r="G5" s="418" t="s">
        <v>42</v>
      </c>
      <c r="H5" s="418" t="s">
        <v>43</v>
      </c>
      <c r="I5" s="418" t="s">
        <v>42</v>
      </c>
      <c r="J5" s="418" t="s">
        <v>43</v>
      </c>
      <c r="K5" s="418" t="s">
        <v>42</v>
      </c>
      <c r="L5" s="418" t="s">
        <v>43</v>
      </c>
      <c r="M5" s="418" t="s">
        <v>42</v>
      </c>
      <c r="N5" s="418" t="s">
        <v>43</v>
      </c>
      <c r="O5" s="418" t="s">
        <v>42</v>
      </c>
      <c r="P5" s="418" t="s">
        <v>43</v>
      </c>
      <c r="Q5" s="418" t="s">
        <v>42</v>
      </c>
      <c r="R5" s="418" t="s">
        <v>43</v>
      </c>
      <c r="S5" s="33" t="s">
        <v>42</v>
      </c>
      <c r="T5" s="33" t="s">
        <v>43</v>
      </c>
      <c r="U5" s="30" t="s">
        <v>42</v>
      </c>
      <c r="V5" s="30" t="s">
        <v>43</v>
      </c>
      <c r="W5" s="30" t="s">
        <v>42</v>
      </c>
      <c r="X5" s="30" t="s">
        <v>43</v>
      </c>
      <c r="Y5" s="2239"/>
    </row>
    <row r="6" spans="1:25" ht="34.5" customHeight="1" x14ac:dyDescent="0.25">
      <c r="A6" s="12">
        <v>1409935200</v>
      </c>
      <c r="B6" s="417" t="s">
        <v>71</v>
      </c>
      <c r="C6" s="415">
        <v>7016</v>
      </c>
      <c r="D6" s="414">
        <f>0.9725*C6</f>
        <v>6823.06</v>
      </c>
      <c r="E6" s="415"/>
      <c r="F6" s="415">
        <f>13.7*E6</f>
        <v>0</v>
      </c>
      <c r="G6" s="415"/>
      <c r="H6" s="415">
        <f>28.2*G6</f>
        <v>0</v>
      </c>
      <c r="I6" s="415"/>
      <c r="J6" s="415">
        <f>18.5*I6</f>
        <v>0</v>
      </c>
      <c r="K6" s="415"/>
      <c r="L6" s="415">
        <f>19.5*K6</f>
        <v>0</v>
      </c>
      <c r="M6" s="415"/>
      <c r="N6" s="414">
        <f>M6*9.75</f>
        <v>0</v>
      </c>
      <c r="O6" s="415"/>
      <c r="P6" s="414">
        <f>O6*48.62</f>
        <v>0</v>
      </c>
      <c r="Q6" s="414"/>
      <c r="R6" s="414">
        <f>241*Q6</f>
        <v>0</v>
      </c>
      <c r="S6" s="415"/>
      <c r="T6" s="415">
        <f>241*S6</f>
        <v>0</v>
      </c>
      <c r="U6" s="415"/>
      <c r="V6" s="415">
        <f>232*U6</f>
        <v>0</v>
      </c>
      <c r="W6" s="415"/>
      <c r="X6" s="19">
        <f>W6*100</f>
        <v>0</v>
      </c>
      <c r="Y6" s="89">
        <f t="shared" ref="Y6:Y11" si="0">D6+F6+H6+J6+L6+N6+P6+R6+T6+V6+X6</f>
        <v>6823.06</v>
      </c>
    </row>
    <row r="7" spans="1:25" ht="31.5" customHeight="1" x14ac:dyDescent="0.25">
      <c r="A7" s="12">
        <v>1984225578</v>
      </c>
      <c r="B7" s="417" t="s">
        <v>72</v>
      </c>
      <c r="C7" s="415">
        <v>9353</v>
      </c>
      <c r="D7" s="414">
        <f t="shared" ref="D7:D11" si="1">0.9725*C7</f>
        <v>9095.7924999999996</v>
      </c>
      <c r="E7" s="415"/>
      <c r="F7" s="415">
        <f t="shared" ref="F7:F11" si="2">13.7*E7</f>
        <v>0</v>
      </c>
      <c r="G7" s="415"/>
      <c r="H7" s="415">
        <f t="shared" ref="H7:H11" si="3">28.2*G7</f>
        <v>0</v>
      </c>
      <c r="I7" s="415"/>
      <c r="J7" s="415">
        <f t="shared" ref="J7:J11" si="4">18.5*I7</f>
        <v>0</v>
      </c>
      <c r="K7" s="415"/>
      <c r="L7" s="415">
        <f t="shared" ref="L7:L11" si="5">19.5*K7</f>
        <v>0</v>
      </c>
      <c r="M7" s="415"/>
      <c r="N7" s="414">
        <f t="shared" ref="N7:N11" si="6">M7*9.75</f>
        <v>0</v>
      </c>
      <c r="O7" s="415"/>
      <c r="P7" s="414">
        <f t="shared" ref="P7:P11" si="7">O7*48.62</f>
        <v>0</v>
      </c>
      <c r="Q7" s="414"/>
      <c r="R7" s="414">
        <f t="shared" ref="R7:R11" si="8">241*Q7</f>
        <v>0</v>
      </c>
      <c r="S7" s="415"/>
      <c r="T7" s="415">
        <f t="shared" ref="T7:T11" si="9">241*S7</f>
        <v>0</v>
      </c>
      <c r="U7" s="415"/>
      <c r="V7" s="415">
        <f t="shared" ref="V7:V11" si="10">232*U7</f>
        <v>0</v>
      </c>
      <c r="W7" s="415"/>
      <c r="X7" s="19">
        <f t="shared" ref="X7:X11" si="11">W7*100</f>
        <v>0</v>
      </c>
      <c r="Y7" s="89">
        <f t="shared" si="0"/>
        <v>9095.7924999999996</v>
      </c>
    </row>
    <row r="8" spans="1:25" ht="35.25" customHeight="1" x14ac:dyDescent="0.25">
      <c r="A8" s="12">
        <v>1967020280</v>
      </c>
      <c r="B8" s="417" t="s">
        <v>73</v>
      </c>
      <c r="C8" s="415">
        <v>5140</v>
      </c>
      <c r="D8" s="414">
        <f t="shared" si="1"/>
        <v>4998.6500000000005</v>
      </c>
      <c r="E8" s="415"/>
      <c r="F8" s="415">
        <f t="shared" si="2"/>
        <v>0</v>
      </c>
      <c r="G8" s="415"/>
      <c r="H8" s="415">
        <f t="shared" si="3"/>
        <v>0</v>
      </c>
      <c r="I8" s="415"/>
      <c r="J8" s="415">
        <f t="shared" si="4"/>
        <v>0</v>
      </c>
      <c r="K8" s="415"/>
      <c r="L8" s="415">
        <f t="shared" si="5"/>
        <v>0</v>
      </c>
      <c r="M8" s="415"/>
      <c r="N8" s="414">
        <f t="shared" si="6"/>
        <v>0</v>
      </c>
      <c r="O8" s="415"/>
      <c r="P8" s="414">
        <f t="shared" si="7"/>
        <v>0</v>
      </c>
      <c r="Q8" s="414"/>
      <c r="R8" s="414">
        <f t="shared" si="8"/>
        <v>0</v>
      </c>
      <c r="S8" s="415"/>
      <c r="T8" s="415">
        <f t="shared" si="9"/>
        <v>0</v>
      </c>
      <c r="U8" s="415"/>
      <c r="V8" s="415">
        <f t="shared" si="10"/>
        <v>0</v>
      </c>
      <c r="W8" s="415"/>
      <c r="X8" s="19">
        <f t="shared" si="11"/>
        <v>0</v>
      </c>
      <c r="Y8" s="89">
        <f t="shared" si="0"/>
        <v>4998.6500000000005</v>
      </c>
    </row>
    <row r="9" spans="1:25" ht="38.25" customHeight="1" x14ac:dyDescent="0.25">
      <c r="A9" s="12">
        <v>1984225580</v>
      </c>
      <c r="B9" s="417" t="s">
        <v>75</v>
      </c>
      <c r="C9" s="415">
        <v>10558</v>
      </c>
      <c r="D9" s="414">
        <f t="shared" si="1"/>
        <v>10267.655000000001</v>
      </c>
      <c r="E9" s="415"/>
      <c r="F9" s="415">
        <f t="shared" si="2"/>
        <v>0</v>
      </c>
      <c r="G9" s="415"/>
      <c r="H9" s="415">
        <f t="shared" si="3"/>
        <v>0</v>
      </c>
      <c r="I9" s="415"/>
      <c r="J9" s="415">
        <f t="shared" si="4"/>
        <v>0</v>
      </c>
      <c r="K9" s="415"/>
      <c r="L9" s="415">
        <f t="shared" si="5"/>
        <v>0</v>
      </c>
      <c r="M9" s="415"/>
      <c r="N9" s="414">
        <f t="shared" si="6"/>
        <v>0</v>
      </c>
      <c r="O9" s="415"/>
      <c r="P9" s="414">
        <f t="shared" si="7"/>
        <v>0</v>
      </c>
      <c r="Q9" s="414"/>
      <c r="R9" s="414">
        <f t="shared" si="8"/>
        <v>0</v>
      </c>
      <c r="S9" s="415"/>
      <c r="T9" s="415">
        <f t="shared" si="9"/>
        <v>0</v>
      </c>
      <c r="U9" s="415"/>
      <c r="V9" s="415">
        <f t="shared" si="10"/>
        <v>0</v>
      </c>
      <c r="W9" s="415"/>
      <c r="X9" s="19">
        <f t="shared" si="11"/>
        <v>0</v>
      </c>
      <c r="Y9" s="89">
        <f t="shared" si="0"/>
        <v>10267.655000000001</v>
      </c>
    </row>
    <row r="10" spans="1:25" ht="35.25" customHeight="1" x14ac:dyDescent="0.25">
      <c r="A10" s="12">
        <v>1409935199</v>
      </c>
      <c r="C10" s="415"/>
      <c r="D10" s="414">
        <f t="shared" si="1"/>
        <v>0</v>
      </c>
      <c r="E10" s="415"/>
      <c r="F10" s="415">
        <f t="shared" si="2"/>
        <v>0</v>
      </c>
      <c r="G10" s="415"/>
      <c r="H10" s="415">
        <f t="shared" si="3"/>
        <v>0</v>
      </c>
      <c r="I10" s="415"/>
      <c r="J10" s="415">
        <f t="shared" si="4"/>
        <v>0</v>
      </c>
      <c r="K10" s="415"/>
      <c r="L10" s="415">
        <f t="shared" si="5"/>
        <v>0</v>
      </c>
      <c r="M10" s="415"/>
      <c r="N10" s="414">
        <f t="shared" si="6"/>
        <v>0</v>
      </c>
      <c r="O10" s="415"/>
      <c r="P10" s="414">
        <f t="shared" si="7"/>
        <v>0</v>
      </c>
      <c r="Q10" s="414"/>
      <c r="R10" s="414">
        <f t="shared" si="8"/>
        <v>0</v>
      </c>
      <c r="S10" s="415"/>
      <c r="T10" s="415">
        <f t="shared" si="9"/>
        <v>0</v>
      </c>
      <c r="U10" s="415"/>
      <c r="V10" s="415">
        <f t="shared" si="10"/>
        <v>0</v>
      </c>
      <c r="W10" s="415"/>
      <c r="X10" s="19">
        <f t="shared" si="11"/>
        <v>0</v>
      </c>
      <c r="Y10" s="89">
        <f t="shared" si="0"/>
        <v>0</v>
      </c>
    </row>
    <row r="11" spans="1:25" ht="37.5" customHeight="1" x14ac:dyDescent="0.25">
      <c r="A11" s="12"/>
      <c r="B11" s="416"/>
      <c r="C11" s="415"/>
      <c r="D11" s="22">
        <f t="shared" si="1"/>
        <v>0</v>
      </c>
      <c r="E11" s="415"/>
      <c r="F11" s="415">
        <f t="shared" si="2"/>
        <v>0</v>
      </c>
      <c r="G11" s="415"/>
      <c r="H11" s="415">
        <f t="shared" si="3"/>
        <v>0</v>
      </c>
      <c r="I11" s="415"/>
      <c r="J11" s="415">
        <f t="shared" si="4"/>
        <v>0</v>
      </c>
      <c r="K11" s="415"/>
      <c r="L11" s="415">
        <f t="shared" si="5"/>
        <v>0</v>
      </c>
      <c r="M11" s="415"/>
      <c r="N11" s="414">
        <f t="shared" si="6"/>
        <v>0</v>
      </c>
      <c r="O11" s="415"/>
      <c r="P11" s="414">
        <f t="shared" si="7"/>
        <v>0</v>
      </c>
      <c r="Q11" s="414"/>
      <c r="R11" s="414">
        <f t="shared" si="8"/>
        <v>0</v>
      </c>
      <c r="S11" s="415"/>
      <c r="T11" s="415">
        <f t="shared" si="9"/>
        <v>0</v>
      </c>
      <c r="U11" s="415"/>
      <c r="V11" s="415">
        <f t="shared" si="10"/>
        <v>0</v>
      </c>
      <c r="W11" s="415"/>
      <c r="X11" s="19">
        <f t="shared" si="11"/>
        <v>0</v>
      </c>
      <c r="Y11" s="20">
        <f t="shared" si="0"/>
        <v>0</v>
      </c>
    </row>
    <row r="12" spans="1:25" ht="29.25" customHeight="1" x14ac:dyDescent="0.25">
      <c r="A12" s="2235" t="s">
        <v>31</v>
      </c>
      <c r="B12" s="2235"/>
      <c r="C12" s="18">
        <f t="shared" ref="C12:Y12" si="12">SUM(C6:C11)</f>
        <v>32067</v>
      </c>
      <c r="D12" s="18">
        <f t="shared" si="12"/>
        <v>31185.157500000001</v>
      </c>
      <c r="E12" s="18">
        <f t="shared" si="12"/>
        <v>0</v>
      </c>
      <c r="F12" s="18">
        <f t="shared" si="12"/>
        <v>0</v>
      </c>
      <c r="G12" s="18">
        <f t="shared" si="12"/>
        <v>0</v>
      </c>
      <c r="H12" s="18">
        <f t="shared" si="12"/>
        <v>0</v>
      </c>
      <c r="I12" s="18">
        <f t="shared" si="12"/>
        <v>0</v>
      </c>
      <c r="J12" s="18">
        <f t="shared" si="12"/>
        <v>0</v>
      </c>
      <c r="K12" s="18">
        <f t="shared" si="12"/>
        <v>0</v>
      </c>
      <c r="L12" s="18">
        <f t="shared" si="12"/>
        <v>0</v>
      </c>
      <c r="M12" s="18">
        <f t="shared" si="12"/>
        <v>0</v>
      </c>
      <c r="N12" s="23">
        <f t="shared" si="12"/>
        <v>0</v>
      </c>
      <c r="O12" s="18">
        <f t="shared" si="12"/>
        <v>0</v>
      </c>
      <c r="P12" s="23">
        <f t="shared" si="12"/>
        <v>0</v>
      </c>
      <c r="Q12" s="23">
        <f t="shared" si="12"/>
        <v>0</v>
      </c>
      <c r="R12" s="23">
        <f>SUM(R6:R11)</f>
        <v>0</v>
      </c>
      <c r="S12" s="18">
        <f t="shared" si="12"/>
        <v>0</v>
      </c>
      <c r="T12" s="18">
        <f t="shared" si="12"/>
        <v>0</v>
      </c>
      <c r="U12" s="18">
        <f t="shared" si="12"/>
        <v>0</v>
      </c>
      <c r="V12" s="18">
        <f t="shared" si="12"/>
        <v>0</v>
      </c>
      <c r="W12" s="18">
        <f t="shared" si="12"/>
        <v>0</v>
      </c>
      <c r="X12" s="18">
        <f t="shared" si="12"/>
        <v>0</v>
      </c>
      <c r="Y12" s="18">
        <f t="shared" si="12"/>
        <v>31185.157500000001</v>
      </c>
    </row>
    <row r="14" spans="1:25" ht="41.25" customHeight="1" x14ac:dyDescent="0.25">
      <c r="A14" s="30" t="s">
        <v>32</v>
      </c>
      <c r="B14" s="2236" t="s">
        <v>27</v>
      </c>
      <c r="C14" s="2236"/>
      <c r="D14" s="30" t="s">
        <v>33</v>
      </c>
      <c r="E14" s="30" t="s">
        <v>65</v>
      </c>
      <c r="F14" s="30" t="s">
        <v>34</v>
      </c>
      <c r="G14" s="30" t="s">
        <v>13</v>
      </c>
      <c r="H14" s="142" t="s">
        <v>173</v>
      </c>
      <c r="I14" s="30" t="s">
        <v>17</v>
      </c>
      <c r="J14" s="423" t="s">
        <v>174</v>
      </c>
      <c r="K14" s="30" t="s">
        <v>36</v>
      </c>
      <c r="L14" s="30" t="s">
        <v>175</v>
      </c>
      <c r="M14" s="30" t="s">
        <v>69</v>
      </c>
      <c r="N14" s="30" t="s">
        <v>70</v>
      </c>
      <c r="O14" s="423" t="s">
        <v>114</v>
      </c>
      <c r="P14" s="423"/>
      <c r="Q14" s="2272"/>
      <c r="R14" s="2272"/>
      <c r="S14" s="423"/>
      <c r="T14" s="2235" t="s">
        <v>46</v>
      </c>
      <c r="U14" s="417" t="s">
        <v>176</v>
      </c>
      <c r="V14" s="2260">
        <v>41169</v>
      </c>
      <c r="W14" s="2268"/>
      <c r="X14" s="2261"/>
    </row>
    <row r="15" spans="1:25" ht="22.5" customHeight="1" x14ac:dyDescent="0.25">
      <c r="A15" s="100" t="s">
        <v>38</v>
      </c>
      <c r="B15" s="2260">
        <v>279587</v>
      </c>
      <c r="C15" s="2261"/>
      <c r="D15" s="420">
        <v>0</v>
      </c>
      <c r="E15" s="420">
        <v>3660</v>
      </c>
      <c r="F15" s="420">
        <v>480</v>
      </c>
      <c r="G15" s="420">
        <v>0</v>
      </c>
      <c r="H15" s="420">
        <v>285</v>
      </c>
      <c r="I15" s="420">
        <v>10</v>
      </c>
      <c r="J15" s="420">
        <v>106</v>
      </c>
      <c r="K15" s="420">
        <v>68</v>
      </c>
      <c r="L15" s="420">
        <v>1060</v>
      </c>
      <c r="M15" s="420">
        <v>0</v>
      </c>
      <c r="N15" s="420">
        <v>100</v>
      </c>
      <c r="O15" s="420">
        <v>0</v>
      </c>
      <c r="P15" s="420"/>
      <c r="Q15" s="2262"/>
      <c r="R15" s="2262"/>
      <c r="S15" s="417">
        <v>0</v>
      </c>
      <c r="T15" s="2235"/>
      <c r="U15" s="417" t="s">
        <v>64</v>
      </c>
      <c r="V15" s="2262">
        <v>19223</v>
      </c>
      <c r="W15" s="2262"/>
      <c r="X15" s="2262"/>
    </row>
    <row r="16" spans="1:25" ht="24.75" customHeight="1" x14ac:dyDescent="0.25">
      <c r="A16" s="100" t="s">
        <v>39</v>
      </c>
      <c r="B16" s="2260">
        <v>83116</v>
      </c>
      <c r="C16" s="2261"/>
      <c r="D16" s="420"/>
      <c r="E16" s="420"/>
      <c r="F16" s="420"/>
      <c r="G16" s="420"/>
      <c r="H16" s="420"/>
      <c r="I16" s="420"/>
      <c r="J16" s="420"/>
      <c r="K16" s="420"/>
      <c r="L16" s="420"/>
      <c r="M16" s="420"/>
      <c r="N16" s="420"/>
      <c r="O16" s="420"/>
      <c r="P16" s="420"/>
      <c r="Q16" s="2225"/>
      <c r="R16" s="2225"/>
      <c r="S16" s="420"/>
      <c r="T16" s="2254" t="s">
        <v>55</v>
      </c>
      <c r="U16" s="2254"/>
      <c r="V16" s="2267">
        <f>Y12</f>
        <v>31185.157500000001</v>
      </c>
      <c r="W16" s="2267"/>
      <c r="X16" s="2262"/>
    </row>
    <row r="17" spans="1:25" ht="28.5" customHeight="1" x14ac:dyDescent="0.25">
      <c r="A17" s="101" t="s">
        <v>44</v>
      </c>
      <c r="B17" s="2260"/>
      <c r="C17" s="2261"/>
      <c r="D17" s="420"/>
      <c r="E17" s="420"/>
      <c r="F17" s="420"/>
      <c r="G17" s="420"/>
      <c r="H17" s="420"/>
      <c r="I17" s="420"/>
      <c r="J17" s="420"/>
      <c r="K17" s="420"/>
      <c r="L17" s="420"/>
      <c r="M17" s="420"/>
      <c r="N17" s="420"/>
      <c r="O17" s="420"/>
      <c r="P17" s="420"/>
      <c r="Q17" s="2225"/>
      <c r="R17" s="2225"/>
      <c r="S17" s="416"/>
      <c r="T17" s="2294" t="s">
        <v>330</v>
      </c>
      <c r="U17" s="2295"/>
      <c r="V17" s="2296">
        <v>350000</v>
      </c>
      <c r="W17" s="2296"/>
      <c r="X17" s="2296"/>
    </row>
    <row r="18" spans="1:25" ht="27" customHeight="1" x14ac:dyDescent="0.25">
      <c r="A18" s="100" t="s">
        <v>40</v>
      </c>
      <c r="B18" s="2264">
        <f>C12</f>
        <v>32067</v>
      </c>
      <c r="C18" s="2261"/>
      <c r="D18" s="422">
        <f>E12</f>
        <v>0</v>
      </c>
      <c r="E18" s="422">
        <f>G12</f>
        <v>0</v>
      </c>
      <c r="F18" s="422">
        <f>I12</f>
        <v>0</v>
      </c>
      <c r="G18" s="422">
        <f>K12</f>
        <v>0</v>
      </c>
      <c r="H18" s="420"/>
      <c r="I18" s="422">
        <f>U12</f>
        <v>0</v>
      </c>
      <c r="J18" s="420"/>
      <c r="K18" s="422">
        <f>W12</f>
        <v>0</v>
      </c>
      <c r="L18" s="420"/>
      <c r="M18" s="422">
        <f>M12</f>
        <v>0</v>
      </c>
      <c r="N18" s="422">
        <f>O12</f>
        <v>0</v>
      </c>
      <c r="O18" s="421">
        <f>Q12</f>
        <v>0</v>
      </c>
      <c r="P18" s="420"/>
      <c r="Q18" s="2262"/>
      <c r="R18" s="2262"/>
      <c r="S18" s="417"/>
      <c r="T18" s="2254" t="s">
        <v>57</v>
      </c>
      <c r="U18" s="2254"/>
      <c r="V18" s="2262">
        <v>520</v>
      </c>
      <c r="W18" s="2262"/>
      <c r="X18" s="2262"/>
      <c r="Y18" s="2269"/>
    </row>
    <row r="19" spans="1:25" ht="25.5" customHeight="1" x14ac:dyDescent="0.25">
      <c r="A19" s="100" t="s">
        <v>41</v>
      </c>
      <c r="B19" s="2260">
        <f>B15+B16+B17-B18</f>
        <v>330636</v>
      </c>
      <c r="C19" s="2261"/>
      <c r="D19" s="420">
        <f>D15+D16+D17-D18</f>
        <v>0</v>
      </c>
      <c r="E19" s="420">
        <f t="shared" ref="E19:N19" si="13">E15+E16+E17-E18</f>
        <v>3660</v>
      </c>
      <c r="F19" s="420">
        <f t="shared" si="13"/>
        <v>480</v>
      </c>
      <c r="G19" s="420">
        <f t="shared" si="13"/>
        <v>0</v>
      </c>
      <c r="H19" s="420">
        <f t="shared" si="13"/>
        <v>285</v>
      </c>
      <c r="I19" s="420">
        <f t="shared" si="13"/>
        <v>10</v>
      </c>
      <c r="J19" s="420">
        <f t="shared" si="13"/>
        <v>106</v>
      </c>
      <c r="K19" s="420">
        <f t="shared" si="13"/>
        <v>68</v>
      </c>
      <c r="L19" s="420">
        <f t="shared" si="13"/>
        <v>1060</v>
      </c>
      <c r="M19" s="420">
        <f t="shared" si="13"/>
        <v>0</v>
      </c>
      <c r="N19" s="420">
        <f t="shared" si="13"/>
        <v>100</v>
      </c>
      <c r="O19" s="420">
        <f>O15+O16+O17-O18</f>
        <v>0</v>
      </c>
      <c r="P19" s="420">
        <f>P15+P16+P17-P18</f>
        <v>0</v>
      </c>
      <c r="Q19" s="2260">
        <f t="shared" ref="Q19" si="14">Q15+Q16+Q17-Q18</f>
        <v>0</v>
      </c>
      <c r="R19" s="2261"/>
      <c r="S19" s="417">
        <f>S15+S16-S17-S18</f>
        <v>0</v>
      </c>
      <c r="T19" s="2256" t="s">
        <v>48</v>
      </c>
      <c r="U19" s="49" t="s">
        <v>58</v>
      </c>
      <c r="V19" s="2262">
        <v>392769</v>
      </c>
      <c r="W19" s="2262"/>
      <c r="X19" s="2262"/>
      <c r="Y19" s="2269"/>
    </row>
    <row r="20" spans="1:25" ht="23.25" customHeight="1" x14ac:dyDescent="0.25">
      <c r="A20" s="289" t="s">
        <v>187</v>
      </c>
      <c r="B20" s="2286">
        <f>B19*0.9625</f>
        <v>318237.15000000002</v>
      </c>
      <c r="C20" s="2287"/>
      <c r="D20" s="290">
        <f>D19*13.56</f>
        <v>0</v>
      </c>
      <c r="E20" s="290">
        <f>28.2*E19</f>
        <v>103212</v>
      </c>
      <c r="F20" s="290">
        <f>18.31*F19</f>
        <v>8788.7999999999993</v>
      </c>
      <c r="G20" s="290">
        <f>19.3*G19</f>
        <v>0</v>
      </c>
      <c r="H20" s="290">
        <f>241*H19</f>
        <v>68685</v>
      </c>
      <c r="I20" s="290">
        <f>223*I19</f>
        <v>2230</v>
      </c>
      <c r="J20" s="290">
        <f>241*J19</f>
        <v>25546</v>
      </c>
      <c r="K20" s="290">
        <f>K19*100</f>
        <v>6800</v>
      </c>
      <c r="L20" s="290">
        <f>241*L19</f>
        <v>255460</v>
      </c>
      <c r="M20" s="290">
        <f>9.65*M19</f>
        <v>0</v>
      </c>
      <c r="N20" s="290">
        <f>N19*48.2</f>
        <v>4820</v>
      </c>
      <c r="O20" s="290">
        <f>241*O19</f>
        <v>0</v>
      </c>
      <c r="P20" s="290">
        <f>241*P19</f>
        <v>0</v>
      </c>
      <c r="Q20" s="2286">
        <f>241*Q19</f>
        <v>0</v>
      </c>
      <c r="R20" s="2287"/>
      <c r="S20" s="290">
        <f>241*S19</f>
        <v>0</v>
      </c>
      <c r="T20" s="2257"/>
      <c r="U20" s="49" t="s">
        <v>59</v>
      </c>
      <c r="V20" s="2262"/>
      <c r="W20" s="2262"/>
      <c r="X20" s="2262"/>
      <c r="Y20" s="2269"/>
    </row>
    <row r="21" spans="1:25" ht="32.25" customHeight="1" x14ac:dyDescent="0.25">
      <c r="A21" s="291" t="s">
        <v>186</v>
      </c>
      <c r="B21" s="2293">
        <f>SUM(B20:S20)</f>
        <v>793778.95</v>
      </c>
      <c r="C21" s="2293"/>
      <c r="O21" s="424"/>
      <c r="P21" s="424"/>
      <c r="Q21" s="424"/>
      <c r="R21" s="424"/>
      <c r="T21" s="2294"/>
      <c r="U21" s="2295"/>
      <c r="V21" s="2297"/>
      <c r="W21" s="2298"/>
      <c r="X21" s="2299"/>
      <c r="Y21" s="2269"/>
    </row>
    <row r="22" spans="1:25" ht="35.25" customHeight="1" x14ac:dyDescent="0.25">
      <c r="A22" s="15"/>
      <c r="B22" s="2288" t="s">
        <v>49</v>
      </c>
      <c r="C22" s="2291">
        <v>392769</v>
      </c>
      <c r="D22" s="2291">
        <v>392769</v>
      </c>
      <c r="E22" s="2291">
        <v>80000</v>
      </c>
      <c r="F22" s="2291">
        <f>C22-D22+E22</f>
        <v>80000</v>
      </c>
      <c r="G22" s="424"/>
      <c r="Q22" s="424"/>
      <c r="R22" s="424"/>
      <c r="T22" s="2251" t="s">
        <v>83</v>
      </c>
      <c r="U22" s="50" t="s">
        <v>60</v>
      </c>
      <c r="V22" s="2262">
        <v>416510</v>
      </c>
      <c r="W22" s="2262"/>
      <c r="X22" s="2262"/>
      <c r="Y22" s="2269"/>
    </row>
    <row r="23" spans="1:25" ht="39.75" customHeight="1" x14ac:dyDescent="0.25">
      <c r="A23" s="424"/>
      <c r="B23" s="2289"/>
      <c r="C23" s="2292"/>
      <c r="D23" s="2292"/>
      <c r="E23" s="2292"/>
      <c r="F23" s="2292"/>
      <c r="G23" s="424"/>
      <c r="Q23" s="424"/>
      <c r="R23" s="424"/>
      <c r="T23" s="2252"/>
      <c r="U23" s="50" t="s">
        <v>61</v>
      </c>
      <c r="V23" s="2262">
        <v>392769</v>
      </c>
      <c r="W23" s="2262"/>
      <c r="X23" s="2262"/>
      <c r="Y23" s="2269"/>
    </row>
    <row r="24" spans="1:25" ht="48" customHeight="1" x14ac:dyDescent="0.25">
      <c r="A24" s="424"/>
      <c r="B24" s="2290"/>
      <c r="C24" s="290" t="s">
        <v>46</v>
      </c>
      <c r="D24" s="290" t="s">
        <v>50</v>
      </c>
      <c r="E24" s="290" t="s">
        <v>51</v>
      </c>
      <c r="F24" s="290" t="s">
        <v>52</v>
      </c>
      <c r="G24" s="424"/>
      <c r="Q24" s="424"/>
      <c r="R24" s="424"/>
      <c r="T24" s="2235" t="s">
        <v>47</v>
      </c>
      <c r="U24" s="51" t="s">
        <v>62</v>
      </c>
      <c r="V24" s="2263">
        <f>V14+V16+V17-V18-V19-V20-V22+V23-V21</f>
        <v>5324.1574999999721</v>
      </c>
      <c r="W24" s="2263"/>
      <c r="X24" s="2263"/>
      <c r="Y24" s="2269"/>
    </row>
    <row r="25" spans="1:25" ht="40.5" customHeight="1" x14ac:dyDescent="0.25">
      <c r="T25" s="2235"/>
      <c r="U25" s="51" t="s">
        <v>63</v>
      </c>
      <c r="V25" s="2262">
        <f>V15+V22-V23</f>
        <v>42964</v>
      </c>
      <c r="W25" s="2262"/>
      <c r="X25" s="2262"/>
    </row>
    <row r="26" spans="1:25" ht="36" customHeight="1" x14ac:dyDescent="0.25">
      <c r="K26" s="314"/>
    </row>
    <row r="32" spans="1:25" x14ac:dyDescent="0.25">
      <c r="I32" s="2280"/>
      <c r="J32" s="2280"/>
      <c r="K32" s="2280"/>
      <c r="L32" s="2280"/>
    </row>
    <row r="33" spans="9:12" x14ac:dyDescent="0.25">
      <c r="I33" s="424"/>
      <c r="J33" s="424"/>
      <c r="K33" s="2280"/>
      <c r="L33" s="2280"/>
    </row>
  </sheetData>
  <mergeCells count="62">
    <mergeCell ref="A1:Y1"/>
    <mergeCell ref="A2:Y2"/>
    <mergeCell ref="T3:Y3"/>
    <mergeCell ref="A4:A5"/>
    <mergeCell ref="B4:B5"/>
    <mergeCell ref="C4:D4"/>
    <mergeCell ref="E4:F4"/>
    <mergeCell ref="G4:H4"/>
    <mergeCell ref="I4:J4"/>
    <mergeCell ref="K4:L4"/>
    <mergeCell ref="Y4:Y5"/>
    <mergeCell ref="M4:N4"/>
    <mergeCell ref="O4:P4"/>
    <mergeCell ref="Q4:R4"/>
    <mergeCell ref="S4:T4"/>
    <mergeCell ref="U4:V4"/>
    <mergeCell ref="W4:X4"/>
    <mergeCell ref="B16:C16"/>
    <mergeCell ref="Q16:R16"/>
    <mergeCell ref="T16:U16"/>
    <mergeCell ref="V16:X16"/>
    <mergeCell ref="A12:B12"/>
    <mergeCell ref="B14:C14"/>
    <mergeCell ref="Q14:R14"/>
    <mergeCell ref="T14:T15"/>
    <mergeCell ref="V14:X14"/>
    <mergeCell ref="B15:C15"/>
    <mergeCell ref="Q15:R15"/>
    <mergeCell ref="V15:X15"/>
    <mergeCell ref="B17:C17"/>
    <mergeCell ref="Q17:R17"/>
    <mergeCell ref="T17:U17"/>
    <mergeCell ref="V17:X17"/>
    <mergeCell ref="B18:C18"/>
    <mergeCell ref="Q18:R18"/>
    <mergeCell ref="T18:U18"/>
    <mergeCell ref="V18:X18"/>
    <mergeCell ref="Y18:Y24"/>
    <mergeCell ref="B19:C19"/>
    <mergeCell ref="Q19:R19"/>
    <mergeCell ref="T19:T20"/>
    <mergeCell ref="V19:X19"/>
    <mergeCell ref="B20:C20"/>
    <mergeCell ref="B22:B24"/>
    <mergeCell ref="C22:C23"/>
    <mergeCell ref="D22:D23"/>
    <mergeCell ref="E22:E23"/>
    <mergeCell ref="F22:F23"/>
    <mergeCell ref="Q20:R20"/>
    <mergeCell ref="V20:X20"/>
    <mergeCell ref="B21:C21"/>
    <mergeCell ref="T21:U21"/>
    <mergeCell ref="V21:X21"/>
    <mergeCell ref="I32:J32"/>
    <mergeCell ref="K32:L32"/>
    <mergeCell ref="K33:L33"/>
    <mergeCell ref="T22:T23"/>
    <mergeCell ref="V22:X22"/>
    <mergeCell ref="V23:X23"/>
    <mergeCell ref="T24:T25"/>
    <mergeCell ref="V24:X24"/>
    <mergeCell ref="V25:X25"/>
  </mergeCells>
  <pageMargins left="0.15748031496063" right="0.15748031496063" top="0" bottom="0" header="0" footer="0"/>
  <pageSetup paperSize="9" scale="47" orientation="landscape" r:id="rId1"/>
</worksheet>
</file>

<file path=xl/worksheets/sheet1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65B45A1-C8A7-434C-8DF3-8415F0A2677D}">
  <sheetPr>
    <pageSetUpPr fitToPage="1"/>
  </sheetPr>
  <dimension ref="A1:Y33"/>
  <sheetViews>
    <sheetView topLeftCell="A11" zoomScale="70" zoomScaleNormal="70" zoomScaleSheetLayoutView="100" workbookViewId="0">
      <selection activeCell="K25" sqref="K25"/>
    </sheetView>
  </sheetViews>
  <sheetFormatPr defaultColWidth="9.140625" defaultRowHeight="15" x14ac:dyDescent="0.25"/>
  <cols>
    <col min="1" max="1" width="18.28515625" style="14" customWidth="1"/>
    <col min="2" max="2" width="10.7109375" style="14" customWidth="1"/>
    <col min="3" max="3" width="12.28515625" style="14" customWidth="1"/>
    <col min="4" max="4" width="11" style="14" customWidth="1"/>
    <col min="5" max="5" width="12" style="14" customWidth="1"/>
    <col min="6" max="6" width="12.5703125" style="14" bestFit="1" customWidth="1"/>
    <col min="7" max="7" width="9.28515625" style="14" bestFit="1" customWidth="1"/>
    <col min="8" max="8" width="10.140625" style="14" bestFit="1" customWidth="1"/>
    <col min="9" max="9" width="10.5703125" style="14" bestFit="1" customWidth="1"/>
    <col min="10" max="10" width="10.5703125" style="14" customWidth="1"/>
    <col min="11" max="11" width="10.28515625" style="14" bestFit="1" customWidth="1"/>
    <col min="12" max="12" width="10.42578125" style="14" bestFit="1" customWidth="1"/>
    <col min="13" max="13" width="9.85546875" style="14" bestFit="1" customWidth="1"/>
    <col min="14" max="14" width="10.140625" style="14" bestFit="1" customWidth="1"/>
    <col min="15" max="15" width="9" style="14" customWidth="1"/>
    <col min="16" max="16" width="12.85546875" style="14" bestFit="1" customWidth="1"/>
    <col min="17" max="18" width="9.42578125" style="14" customWidth="1"/>
    <col min="19" max="19" width="13.7109375" style="14" customWidth="1"/>
    <col min="20" max="20" width="12.140625" style="14" customWidth="1"/>
    <col min="21" max="21" width="19.5703125" style="14" bestFit="1" customWidth="1"/>
    <col min="22" max="22" width="9.85546875" style="14" customWidth="1"/>
    <col min="23" max="23" width="10.140625" style="14" bestFit="1" customWidth="1"/>
    <col min="24" max="24" width="10.28515625" style="14" customWidth="1"/>
    <col min="25" max="25" width="28" style="14" customWidth="1"/>
    <col min="26" max="16384" width="9.140625" style="14"/>
  </cols>
  <sheetData>
    <row r="1" spans="1:25" ht="46.15" customHeight="1" x14ac:dyDescent="0.25">
      <c r="A1" s="2240" t="s">
        <v>148</v>
      </c>
      <c r="B1" s="2240"/>
      <c r="C1" s="2240"/>
      <c r="D1" s="2240"/>
      <c r="E1" s="2240"/>
      <c r="F1" s="2240"/>
      <c r="G1" s="2240"/>
      <c r="H1" s="2240"/>
      <c r="I1" s="2240"/>
      <c r="J1" s="2240"/>
      <c r="K1" s="2240"/>
      <c r="L1" s="2240"/>
      <c r="M1" s="2240"/>
      <c r="N1" s="2240"/>
      <c r="O1" s="2240"/>
      <c r="P1" s="2240"/>
      <c r="Q1" s="2240"/>
      <c r="R1" s="2240"/>
      <c r="S1" s="2240"/>
      <c r="T1" s="2240"/>
      <c r="U1" s="2240"/>
      <c r="V1" s="2240"/>
      <c r="W1" s="2240"/>
      <c r="X1" s="2240"/>
      <c r="Y1" s="2240"/>
    </row>
    <row r="2" spans="1:25" ht="21.6" customHeight="1" x14ac:dyDescent="0.25">
      <c r="A2" s="2241" t="s">
        <v>77</v>
      </c>
      <c r="B2" s="2241"/>
      <c r="C2" s="2241"/>
      <c r="D2" s="2241"/>
      <c r="E2" s="2241"/>
      <c r="F2" s="2241"/>
      <c r="G2" s="2241"/>
      <c r="H2" s="2241"/>
      <c r="I2" s="2241"/>
      <c r="J2" s="2241"/>
      <c r="K2" s="2241"/>
      <c r="L2" s="2241"/>
      <c r="M2" s="2241"/>
      <c r="N2" s="2241"/>
      <c r="O2" s="2241"/>
      <c r="P2" s="2241"/>
      <c r="Q2" s="2241"/>
      <c r="R2" s="2241"/>
      <c r="S2" s="2241"/>
      <c r="T2" s="2241"/>
      <c r="U2" s="2241"/>
      <c r="V2" s="2241"/>
      <c r="W2" s="2241"/>
      <c r="X2" s="2241"/>
      <c r="Y2" s="2241"/>
    </row>
    <row r="3" spans="1:25" ht="21" customHeight="1" x14ac:dyDescent="0.25">
      <c r="A3" s="419"/>
      <c r="B3" s="419"/>
      <c r="C3" s="419"/>
      <c r="D3" s="419"/>
      <c r="E3" s="419"/>
      <c r="F3" s="419"/>
      <c r="G3" s="419"/>
      <c r="H3" s="419"/>
      <c r="I3" s="419"/>
      <c r="J3" s="419"/>
      <c r="K3" s="419"/>
      <c r="L3" s="419"/>
      <c r="M3" s="419"/>
      <c r="N3" s="419"/>
      <c r="O3" s="419"/>
      <c r="P3" s="419"/>
      <c r="Q3" s="419"/>
      <c r="R3" s="419"/>
      <c r="S3" s="419"/>
      <c r="T3" s="2242" t="s">
        <v>332</v>
      </c>
      <c r="U3" s="2242"/>
      <c r="V3" s="2242"/>
      <c r="W3" s="2242"/>
      <c r="X3" s="2242"/>
      <c r="Y3" s="2242"/>
    </row>
    <row r="4" spans="1:25" s="419" customFormat="1" ht="18" customHeight="1" x14ac:dyDescent="0.25">
      <c r="A4" s="2243" t="s">
        <v>25</v>
      </c>
      <c r="B4" s="2243" t="s">
        <v>26</v>
      </c>
      <c r="C4" s="2244" t="s">
        <v>27</v>
      </c>
      <c r="D4" s="2244"/>
      <c r="E4" s="2244" t="s">
        <v>28</v>
      </c>
      <c r="F4" s="2244"/>
      <c r="G4" s="2244" t="s">
        <v>65</v>
      </c>
      <c r="H4" s="2244"/>
      <c r="I4" s="2244" t="s">
        <v>29</v>
      </c>
      <c r="J4" s="2244"/>
      <c r="K4" s="2245" t="s">
        <v>13</v>
      </c>
      <c r="L4" s="2246"/>
      <c r="M4" s="2245" t="s">
        <v>67</v>
      </c>
      <c r="N4" s="2246"/>
      <c r="O4" s="2245" t="s">
        <v>68</v>
      </c>
      <c r="P4" s="2246"/>
      <c r="Q4" s="2245" t="s">
        <v>114</v>
      </c>
      <c r="R4" s="2246"/>
      <c r="S4" s="2244" t="s">
        <v>35</v>
      </c>
      <c r="T4" s="2244"/>
      <c r="U4" s="2245" t="s">
        <v>17</v>
      </c>
      <c r="V4" s="2246"/>
      <c r="W4" s="2247" t="s">
        <v>36</v>
      </c>
      <c r="X4" s="2248"/>
      <c r="Y4" s="2238" t="s">
        <v>30</v>
      </c>
    </row>
    <row r="5" spans="1:25" s="419" customFormat="1" ht="25.5" customHeight="1" x14ac:dyDescent="0.25">
      <c r="A5" s="2243"/>
      <c r="B5" s="2243"/>
      <c r="C5" s="418" t="s">
        <v>42</v>
      </c>
      <c r="D5" s="418" t="s">
        <v>43</v>
      </c>
      <c r="E5" s="418" t="s">
        <v>42</v>
      </c>
      <c r="F5" s="418" t="s">
        <v>43</v>
      </c>
      <c r="G5" s="418" t="s">
        <v>42</v>
      </c>
      <c r="H5" s="418" t="s">
        <v>43</v>
      </c>
      <c r="I5" s="418" t="s">
        <v>42</v>
      </c>
      <c r="J5" s="418" t="s">
        <v>43</v>
      </c>
      <c r="K5" s="418" t="s">
        <v>42</v>
      </c>
      <c r="L5" s="418" t="s">
        <v>43</v>
      </c>
      <c r="M5" s="418" t="s">
        <v>42</v>
      </c>
      <c r="N5" s="418" t="s">
        <v>43</v>
      </c>
      <c r="O5" s="418" t="s">
        <v>42</v>
      </c>
      <c r="P5" s="418" t="s">
        <v>43</v>
      </c>
      <c r="Q5" s="418" t="s">
        <v>42</v>
      </c>
      <c r="R5" s="418" t="s">
        <v>43</v>
      </c>
      <c r="S5" s="33" t="s">
        <v>42</v>
      </c>
      <c r="T5" s="33" t="s">
        <v>43</v>
      </c>
      <c r="U5" s="30" t="s">
        <v>42</v>
      </c>
      <c r="V5" s="30" t="s">
        <v>43</v>
      </c>
      <c r="W5" s="30" t="s">
        <v>42</v>
      </c>
      <c r="X5" s="30" t="s">
        <v>43</v>
      </c>
      <c r="Y5" s="2239"/>
    </row>
    <row r="6" spans="1:25" ht="34.5" customHeight="1" x14ac:dyDescent="0.25">
      <c r="A6" s="12">
        <v>1409935200</v>
      </c>
      <c r="B6" s="417" t="s">
        <v>71</v>
      </c>
      <c r="C6" s="415">
        <v>96218</v>
      </c>
      <c r="D6" s="414">
        <f>0.9725*C6</f>
        <v>93572.005000000005</v>
      </c>
      <c r="E6" s="415"/>
      <c r="F6" s="415">
        <f>13.7*E6</f>
        <v>0</v>
      </c>
      <c r="G6" s="415">
        <v>40</v>
      </c>
      <c r="H6" s="415">
        <f>28.2*G6</f>
        <v>1128</v>
      </c>
      <c r="I6" s="415">
        <v>120</v>
      </c>
      <c r="J6" s="415">
        <f>18.5*I6</f>
        <v>2220</v>
      </c>
      <c r="K6" s="415"/>
      <c r="L6" s="415">
        <f>19.5*K6</f>
        <v>0</v>
      </c>
      <c r="M6" s="415"/>
      <c r="N6" s="414">
        <f>M6*9.75</f>
        <v>0</v>
      </c>
      <c r="O6" s="415"/>
      <c r="P6" s="414">
        <f>O6*48.62</f>
        <v>0</v>
      </c>
      <c r="Q6" s="414"/>
      <c r="R6" s="414">
        <f>241*Q6</f>
        <v>0</v>
      </c>
      <c r="S6" s="415"/>
      <c r="T6" s="415">
        <f>241*S6</f>
        <v>0</v>
      </c>
      <c r="U6" s="415"/>
      <c r="V6" s="415">
        <f>232*U6</f>
        <v>0</v>
      </c>
      <c r="W6" s="415"/>
      <c r="X6" s="19">
        <f>W6*100</f>
        <v>0</v>
      </c>
      <c r="Y6" s="89">
        <f t="shared" ref="Y6:Y11" si="0">D6+F6+H6+J6+L6+N6+P6+R6+T6+V6+X6</f>
        <v>96920.005000000005</v>
      </c>
    </row>
    <row r="7" spans="1:25" ht="31.5" customHeight="1" x14ac:dyDescent="0.25">
      <c r="A7" s="12">
        <v>1984225578</v>
      </c>
      <c r="B7" s="417" t="s">
        <v>72</v>
      </c>
      <c r="C7" s="415">
        <v>115541</v>
      </c>
      <c r="D7" s="414">
        <f t="shared" ref="D7:D11" si="1">0.9725*C7</f>
        <v>112363.6225</v>
      </c>
      <c r="E7" s="415"/>
      <c r="F7" s="415">
        <f t="shared" ref="F7:F11" si="2">13.7*E7</f>
        <v>0</v>
      </c>
      <c r="G7" s="415"/>
      <c r="H7" s="415">
        <f t="shared" ref="H7:H11" si="3">28.2*G7</f>
        <v>0</v>
      </c>
      <c r="I7" s="415"/>
      <c r="J7" s="415">
        <f t="shared" ref="J7:J11" si="4">18.5*I7</f>
        <v>0</v>
      </c>
      <c r="K7" s="415"/>
      <c r="L7" s="415">
        <f t="shared" ref="L7:L11" si="5">19.5*K7</f>
        <v>0</v>
      </c>
      <c r="M7" s="415"/>
      <c r="N7" s="414">
        <f t="shared" ref="N7:N11" si="6">M7*9.75</f>
        <v>0</v>
      </c>
      <c r="O7" s="415"/>
      <c r="P7" s="414">
        <f t="shared" ref="P7:P11" si="7">O7*48.62</f>
        <v>0</v>
      </c>
      <c r="Q7" s="414"/>
      <c r="R7" s="414">
        <f t="shared" ref="R7:R11" si="8">241*Q7</f>
        <v>0</v>
      </c>
      <c r="S7" s="415"/>
      <c r="T7" s="415">
        <f t="shared" ref="T7:T11" si="9">241*S7</f>
        <v>0</v>
      </c>
      <c r="U7" s="415"/>
      <c r="V7" s="415">
        <f t="shared" ref="V7:V11" si="10">232*U7</f>
        <v>0</v>
      </c>
      <c r="W7" s="415"/>
      <c r="X7" s="19">
        <f t="shared" ref="X7:X11" si="11">W7*100</f>
        <v>0</v>
      </c>
      <c r="Y7" s="89">
        <f t="shared" si="0"/>
        <v>112363.6225</v>
      </c>
    </row>
    <row r="8" spans="1:25" ht="35.25" customHeight="1" x14ac:dyDescent="0.25">
      <c r="A8" s="12">
        <v>1967020280</v>
      </c>
      <c r="B8" s="417" t="s">
        <v>73</v>
      </c>
      <c r="C8" s="415">
        <v>105075</v>
      </c>
      <c r="D8" s="414">
        <f t="shared" si="1"/>
        <v>102185.4375</v>
      </c>
      <c r="E8" s="415"/>
      <c r="F8" s="415">
        <f t="shared" si="2"/>
        <v>0</v>
      </c>
      <c r="G8" s="415"/>
      <c r="H8" s="415">
        <f t="shared" si="3"/>
        <v>0</v>
      </c>
      <c r="I8" s="415">
        <v>130</v>
      </c>
      <c r="J8" s="415">
        <f t="shared" si="4"/>
        <v>2405</v>
      </c>
      <c r="K8" s="415"/>
      <c r="L8" s="415">
        <f t="shared" si="5"/>
        <v>0</v>
      </c>
      <c r="M8" s="415"/>
      <c r="N8" s="414">
        <f t="shared" si="6"/>
        <v>0</v>
      </c>
      <c r="O8" s="415"/>
      <c r="P8" s="414">
        <f t="shared" si="7"/>
        <v>0</v>
      </c>
      <c r="Q8" s="414"/>
      <c r="R8" s="414">
        <f t="shared" si="8"/>
        <v>0</v>
      </c>
      <c r="S8" s="415"/>
      <c r="T8" s="415">
        <f t="shared" si="9"/>
        <v>0</v>
      </c>
      <c r="U8" s="415"/>
      <c r="V8" s="415">
        <f t="shared" si="10"/>
        <v>0</v>
      </c>
      <c r="W8" s="415"/>
      <c r="X8" s="19">
        <f t="shared" si="11"/>
        <v>0</v>
      </c>
      <c r="Y8" s="89">
        <f t="shared" si="0"/>
        <v>104590.4375</v>
      </c>
    </row>
    <row r="9" spans="1:25" ht="38.25" customHeight="1" x14ac:dyDescent="0.25">
      <c r="A9" s="12">
        <v>1984225580</v>
      </c>
      <c r="B9" s="417" t="s">
        <v>75</v>
      </c>
      <c r="C9" s="415">
        <v>23874</v>
      </c>
      <c r="D9" s="414">
        <f t="shared" si="1"/>
        <v>23217.465</v>
      </c>
      <c r="E9" s="415"/>
      <c r="F9" s="415">
        <f t="shared" si="2"/>
        <v>0</v>
      </c>
      <c r="G9" s="415"/>
      <c r="H9" s="415">
        <f t="shared" si="3"/>
        <v>0</v>
      </c>
      <c r="I9" s="415"/>
      <c r="J9" s="415">
        <f t="shared" si="4"/>
        <v>0</v>
      </c>
      <c r="K9" s="415"/>
      <c r="L9" s="415">
        <f t="shared" si="5"/>
        <v>0</v>
      </c>
      <c r="M9" s="415"/>
      <c r="N9" s="414">
        <f t="shared" si="6"/>
        <v>0</v>
      </c>
      <c r="O9" s="415"/>
      <c r="P9" s="414">
        <f t="shared" si="7"/>
        <v>0</v>
      </c>
      <c r="Q9" s="414"/>
      <c r="R9" s="414">
        <f t="shared" si="8"/>
        <v>0</v>
      </c>
      <c r="S9" s="415"/>
      <c r="T9" s="415">
        <f t="shared" si="9"/>
        <v>0</v>
      </c>
      <c r="U9" s="415"/>
      <c r="V9" s="415">
        <f t="shared" si="10"/>
        <v>0</v>
      </c>
      <c r="W9" s="415"/>
      <c r="X9" s="19">
        <f t="shared" si="11"/>
        <v>0</v>
      </c>
      <c r="Y9" s="89">
        <f t="shared" si="0"/>
        <v>23217.465</v>
      </c>
    </row>
    <row r="10" spans="1:25" ht="35.25" customHeight="1" x14ac:dyDescent="0.25">
      <c r="A10" s="12">
        <v>1409935199</v>
      </c>
      <c r="C10" s="415"/>
      <c r="D10" s="414">
        <f t="shared" si="1"/>
        <v>0</v>
      </c>
      <c r="E10" s="415"/>
      <c r="F10" s="415">
        <f t="shared" si="2"/>
        <v>0</v>
      </c>
      <c r="G10" s="415">
        <v>60</v>
      </c>
      <c r="H10" s="415">
        <f t="shared" si="3"/>
        <v>1692</v>
      </c>
      <c r="I10" s="415">
        <v>230</v>
      </c>
      <c r="J10" s="415">
        <f t="shared" si="4"/>
        <v>4255</v>
      </c>
      <c r="K10" s="415"/>
      <c r="L10" s="415">
        <f t="shared" si="5"/>
        <v>0</v>
      </c>
      <c r="M10" s="415"/>
      <c r="N10" s="414">
        <f t="shared" si="6"/>
        <v>0</v>
      </c>
      <c r="O10" s="415"/>
      <c r="P10" s="414">
        <f t="shared" si="7"/>
        <v>0</v>
      </c>
      <c r="Q10" s="414"/>
      <c r="R10" s="414">
        <f t="shared" si="8"/>
        <v>0</v>
      </c>
      <c r="S10" s="415"/>
      <c r="T10" s="415">
        <f t="shared" si="9"/>
        <v>0</v>
      </c>
      <c r="U10" s="415"/>
      <c r="V10" s="415">
        <f t="shared" si="10"/>
        <v>0</v>
      </c>
      <c r="W10" s="415"/>
      <c r="X10" s="19">
        <f t="shared" si="11"/>
        <v>0</v>
      </c>
      <c r="Y10" s="89">
        <f t="shared" si="0"/>
        <v>5947</v>
      </c>
    </row>
    <row r="11" spans="1:25" ht="37.5" customHeight="1" x14ac:dyDescent="0.25">
      <c r="A11" s="12"/>
      <c r="B11" s="416"/>
      <c r="C11" s="415"/>
      <c r="D11" s="22">
        <f t="shared" si="1"/>
        <v>0</v>
      </c>
      <c r="E11" s="415"/>
      <c r="F11" s="415">
        <f t="shared" si="2"/>
        <v>0</v>
      </c>
      <c r="G11" s="415"/>
      <c r="H11" s="415">
        <f t="shared" si="3"/>
        <v>0</v>
      </c>
      <c r="I11" s="415"/>
      <c r="J11" s="415">
        <f t="shared" si="4"/>
        <v>0</v>
      </c>
      <c r="K11" s="415"/>
      <c r="L11" s="415">
        <f t="shared" si="5"/>
        <v>0</v>
      </c>
      <c r="M11" s="415"/>
      <c r="N11" s="414">
        <f t="shared" si="6"/>
        <v>0</v>
      </c>
      <c r="O11" s="415"/>
      <c r="P11" s="414">
        <f t="shared" si="7"/>
        <v>0</v>
      </c>
      <c r="Q11" s="414"/>
      <c r="R11" s="414">
        <f t="shared" si="8"/>
        <v>0</v>
      </c>
      <c r="S11" s="415"/>
      <c r="T11" s="415">
        <f t="shared" si="9"/>
        <v>0</v>
      </c>
      <c r="U11" s="415"/>
      <c r="V11" s="415">
        <f t="shared" si="10"/>
        <v>0</v>
      </c>
      <c r="W11" s="415"/>
      <c r="X11" s="19">
        <f t="shared" si="11"/>
        <v>0</v>
      </c>
      <c r="Y11" s="20">
        <f t="shared" si="0"/>
        <v>0</v>
      </c>
    </row>
    <row r="12" spans="1:25" ht="29.25" customHeight="1" x14ac:dyDescent="0.25">
      <c r="A12" s="2235" t="s">
        <v>31</v>
      </c>
      <c r="B12" s="2235"/>
      <c r="C12" s="18">
        <f t="shared" ref="C12:Y12" si="12">SUM(C6:C11)</f>
        <v>340708</v>
      </c>
      <c r="D12" s="18">
        <f t="shared" si="12"/>
        <v>331338.53000000003</v>
      </c>
      <c r="E12" s="18">
        <f t="shared" si="12"/>
        <v>0</v>
      </c>
      <c r="F12" s="18">
        <f t="shared" si="12"/>
        <v>0</v>
      </c>
      <c r="G12" s="18">
        <f t="shared" si="12"/>
        <v>100</v>
      </c>
      <c r="H12" s="18">
        <f t="shared" si="12"/>
        <v>2820</v>
      </c>
      <c r="I12" s="18">
        <f t="shared" si="12"/>
        <v>480</v>
      </c>
      <c r="J12" s="18">
        <f t="shared" si="12"/>
        <v>8880</v>
      </c>
      <c r="K12" s="18">
        <f t="shared" si="12"/>
        <v>0</v>
      </c>
      <c r="L12" s="18">
        <f t="shared" si="12"/>
        <v>0</v>
      </c>
      <c r="M12" s="18">
        <f t="shared" si="12"/>
        <v>0</v>
      </c>
      <c r="N12" s="23">
        <f t="shared" si="12"/>
        <v>0</v>
      </c>
      <c r="O12" s="18">
        <f t="shared" si="12"/>
        <v>0</v>
      </c>
      <c r="P12" s="23">
        <f t="shared" si="12"/>
        <v>0</v>
      </c>
      <c r="Q12" s="23">
        <f t="shared" si="12"/>
        <v>0</v>
      </c>
      <c r="R12" s="23">
        <f>SUM(R6:R11)</f>
        <v>0</v>
      </c>
      <c r="S12" s="18">
        <f t="shared" si="12"/>
        <v>0</v>
      </c>
      <c r="T12" s="18">
        <f t="shared" si="12"/>
        <v>0</v>
      </c>
      <c r="U12" s="18">
        <f t="shared" si="12"/>
        <v>0</v>
      </c>
      <c r="V12" s="18">
        <f t="shared" si="12"/>
        <v>0</v>
      </c>
      <c r="W12" s="18">
        <f t="shared" si="12"/>
        <v>0</v>
      </c>
      <c r="X12" s="18">
        <f t="shared" si="12"/>
        <v>0</v>
      </c>
      <c r="Y12" s="18">
        <f t="shared" si="12"/>
        <v>343038.53</v>
      </c>
    </row>
    <row r="14" spans="1:25" ht="41.25" customHeight="1" x14ac:dyDescent="0.25">
      <c r="A14" s="30" t="s">
        <v>32</v>
      </c>
      <c r="B14" s="2236" t="s">
        <v>27</v>
      </c>
      <c r="C14" s="2236"/>
      <c r="D14" s="30" t="s">
        <v>333</v>
      </c>
      <c r="E14" s="30" t="s">
        <v>65</v>
      </c>
      <c r="F14" s="30" t="s">
        <v>34</v>
      </c>
      <c r="G14" s="30" t="s">
        <v>13</v>
      </c>
      <c r="H14" s="142" t="s">
        <v>173</v>
      </c>
      <c r="I14" s="30" t="s">
        <v>17</v>
      </c>
      <c r="J14" s="423" t="s">
        <v>174</v>
      </c>
      <c r="K14" s="30" t="s">
        <v>36</v>
      </c>
      <c r="L14" s="30" t="s">
        <v>175</v>
      </c>
      <c r="M14" s="30" t="s">
        <v>69</v>
      </c>
      <c r="N14" s="30" t="s">
        <v>70</v>
      </c>
      <c r="O14" s="423" t="s">
        <v>114</v>
      </c>
      <c r="P14" s="423"/>
      <c r="Q14" s="2272"/>
      <c r="R14" s="2272"/>
      <c r="S14" s="423"/>
      <c r="T14" s="2235" t="s">
        <v>46</v>
      </c>
      <c r="U14" s="417" t="s">
        <v>176</v>
      </c>
      <c r="V14" s="2260">
        <v>5324</v>
      </c>
      <c r="W14" s="2268"/>
      <c r="X14" s="2261"/>
    </row>
    <row r="15" spans="1:25" ht="22.5" customHeight="1" x14ac:dyDescent="0.25">
      <c r="A15" s="100" t="s">
        <v>38</v>
      </c>
      <c r="B15" s="2260">
        <v>330636</v>
      </c>
      <c r="C15" s="2261"/>
      <c r="D15" s="420">
        <v>0</v>
      </c>
      <c r="E15" s="420">
        <v>3660</v>
      </c>
      <c r="F15" s="420">
        <v>480</v>
      </c>
      <c r="G15" s="420">
        <v>0</v>
      </c>
      <c r="H15" s="420">
        <v>285</v>
      </c>
      <c r="I15" s="420">
        <v>10</v>
      </c>
      <c r="J15" s="420">
        <v>106</v>
      </c>
      <c r="K15" s="420">
        <v>68</v>
      </c>
      <c r="L15" s="420">
        <v>1060</v>
      </c>
      <c r="M15" s="420">
        <v>0</v>
      </c>
      <c r="N15" s="420">
        <v>100</v>
      </c>
      <c r="O15" s="420">
        <v>0</v>
      </c>
      <c r="P15" s="420"/>
      <c r="Q15" s="2262"/>
      <c r="R15" s="2262"/>
      <c r="S15" s="417">
        <v>0</v>
      </c>
      <c r="T15" s="2235"/>
      <c r="U15" s="417" t="s">
        <v>64</v>
      </c>
      <c r="V15" s="2262">
        <v>42964</v>
      </c>
      <c r="W15" s="2262"/>
      <c r="X15" s="2262"/>
    </row>
    <row r="16" spans="1:25" ht="24.75" customHeight="1" x14ac:dyDescent="0.25">
      <c r="A16" s="100" t="s">
        <v>39</v>
      </c>
      <c r="B16" s="2260">
        <v>408684</v>
      </c>
      <c r="C16" s="2261"/>
      <c r="D16" s="420">
        <v>100</v>
      </c>
      <c r="E16" s="420"/>
      <c r="F16" s="420"/>
      <c r="G16" s="420"/>
      <c r="H16" s="420"/>
      <c r="I16" s="420"/>
      <c r="J16" s="420">
        <v>25</v>
      </c>
      <c r="K16" s="420"/>
      <c r="L16" s="420">
        <v>195</v>
      </c>
      <c r="M16" s="420"/>
      <c r="N16" s="420"/>
      <c r="O16" s="420"/>
      <c r="P16" s="420"/>
      <c r="Q16" s="2225"/>
      <c r="R16" s="2225"/>
      <c r="S16" s="420"/>
      <c r="T16" s="2254" t="s">
        <v>55</v>
      </c>
      <c r="U16" s="2254"/>
      <c r="V16" s="2267">
        <f>Y12</f>
        <v>343038.53</v>
      </c>
      <c r="W16" s="2267"/>
      <c r="X16" s="2262"/>
    </row>
    <row r="17" spans="1:25" ht="28.5" customHeight="1" x14ac:dyDescent="0.25">
      <c r="A17" s="101" t="s">
        <v>44</v>
      </c>
      <c r="B17" s="2260"/>
      <c r="C17" s="2261"/>
      <c r="D17" s="420"/>
      <c r="E17" s="420"/>
      <c r="F17" s="420"/>
      <c r="G17" s="420"/>
      <c r="H17" s="420"/>
      <c r="I17" s="420"/>
      <c r="J17" s="420"/>
      <c r="K17" s="420"/>
      <c r="L17" s="420"/>
      <c r="M17" s="420"/>
      <c r="N17" s="420"/>
      <c r="O17" s="420"/>
      <c r="P17" s="420"/>
      <c r="Q17" s="2225"/>
      <c r="R17" s="2225"/>
      <c r="S17" s="416"/>
      <c r="T17" s="2294"/>
      <c r="U17" s="2295"/>
      <c r="V17" s="2296"/>
      <c r="W17" s="2296"/>
      <c r="X17" s="2296"/>
    </row>
    <row r="18" spans="1:25" ht="27" customHeight="1" x14ac:dyDescent="0.25">
      <c r="A18" s="100" t="s">
        <v>40</v>
      </c>
      <c r="B18" s="2264">
        <f>C12</f>
        <v>340708</v>
      </c>
      <c r="C18" s="2261"/>
      <c r="D18" s="422">
        <f>E12</f>
        <v>0</v>
      </c>
      <c r="E18" s="422">
        <f>G12</f>
        <v>100</v>
      </c>
      <c r="F18" s="422">
        <f>I12</f>
        <v>480</v>
      </c>
      <c r="G18" s="422">
        <f>K12</f>
        <v>0</v>
      </c>
      <c r="H18" s="420">
        <v>220</v>
      </c>
      <c r="I18" s="422">
        <f>U12</f>
        <v>0</v>
      </c>
      <c r="J18" s="420"/>
      <c r="K18" s="422">
        <f>W12</f>
        <v>0</v>
      </c>
      <c r="L18" s="420"/>
      <c r="M18" s="422">
        <f>M12</f>
        <v>0</v>
      </c>
      <c r="N18" s="422">
        <f>O12</f>
        <v>0</v>
      </c>
      <c r="O18" s="421">
        <f>Q12</f>
        <v>0</v>
      </c>
      <c r="P18" s="420"/>
      <c r="Q18" s="2262"/>
      <c r="R18" s="2262"/>
      <c r="S18" s="417"/>
      <c r="T18" s="2254" t="s">
        <v>57</v>
      </c>
      <c r="U18" s="2254"/>
      <c r="V18" s="2262">
        <v>2450</v>
      </c>
      <c r="W18" s="2262"/>
      <c r="X18" s="2262"/>
      <c r="Y18" s="2269"/>
    </row>
    <row r="19" spans="1:25" ht="25.5" customHeight="1" x14ac:dyDescent="0.25">
      <c r="A19" s="100" t="s">
        <v>41</v>
      </c>
      <c r="B19" s="2260">
        <f>B15+B16+B17-B18</f>
        <v>398612</v>
      </c>
      <c r="C19" s="2261"/>
      <c r="D19" s="420">
        <f>D15+D16+D17-D18</f>
        <v>100</v>
      </c>
      <c r="E19" s="420">
        <f t="shared" ref="E19:N19" si="13">E15+E16+E17-E18</f>
        <v>3560</v>
      </c>
      <c r="F19" s="420">
        <f t="shared" si="13"/>
        <v>0</v>
      </c>
      <c r="G19" s="420">
        <f t="shared" si="13"/>
        <v>0</v>
      </c>
      <c r="H19" s="420">
        <f t="shared" si="13"/>
        <v>65</v>
      </c>
      <c r="I19" s="420">
        <f t="shared" si="13"/>
        <v>10</v>
      </c>
      <c r="J19" s="420">
        <f t="shared" si="13"/>
        <v>131</v>
      </c>
      <c r="K19" s="420">
        <f t="shared" si="13"/>
        <v>68</v>
      </c>
      <c r="L19" s="420">
        <f t="shared" si="13"/>
        <v>1255</v>
      </c>
      <c r="M19" s="420">
        <f t="shared" si="13"/>
        <v>0</v>
      </c>
      <c r="N19" s="420">
        <f t="shared" si="13"/>
        <v>100</v>
      </c>
      <c r="O19" s="420">
        <f>O15+O16+O17-O18</f>
        <v>0</v>
      </c>
      <c r="P19" s="420">
        <f>P15+P16+P17-P18</f>
        <v>0</v>
      </c>
      <c r="Q19" s="2260">
        <f t="shared" ref="Q19" si="14">Q15+Q16+Q17-Q18</f>
        <v>0</v>
      </c>
      <c r="R19" s="2261"/>
      <c r="S19" s="417">
        <f>S15+S16-S17-S18</f>
        <v>0</v>
      </c>
      <c r="T19" s="2256" t="s">
        <v>48</v>
      </c>
      <c r="U19" s="49" t="s">
        <v>58</v>
      </c>
      <c r="V19" s="2262">
        <v>80000</v>
      </c>
      <c r="W19" s="2262"/>
      <c r="X19" s="2262"/>
      <c r="Y19" s="2269"/>
    </row>
    <row r="20" spans="1:25" ht="23.25" customHeight="1" x14ac:dyDescent="0.25">
      <c r="A20" s="289" t="s">
        <v>187</v>
      </c>
      <c r="B20" s="2286">
        <f>B19*0.9625</f>
        <v>383664.05</v>
      </c>
      <c r="C20" s="2287"/>
      <c r="D20" s="290">
        <f>D19*13.56</f>
        <v>1356</v>
      </c>
      <c r="E20" s="290">
        <f>28.2*E19</f>
        <v>100392</v>
      </c>
      <c r="F20" s="290">
        <f>18.31*F19</f>
        <v>0</v>
      </c>
      <c r="G20" s="290">
        <f>19.3*G19</f>
        <v>0</v>
      </c>
      <c r="H20" s="290">
        <f>241*H19</f>
        <v>15665</v>
      </c>
      <c r="I20" s="290">
        <f>223*I19</f>
        <v>2230</v>
      </c>
      <c r="J20" s="290">
        <f>241*J19</f>
        <v>31571</v>
      </c>
      <c r="K20" s="290">
        <f>K19*100</f>
        <v>6800</v>
      </c>
      <c r="L20" s="290">
        <f>241*L19</f>
        <v>302455</v>
      </c>
      <c r="M20" s="290">
        <f>9.65*M19</f>
        <v>0</v>
      </c>
      <c r="N20" s="290">
        <f>N19*48.2</f>
        <v>4820</v>
      </c>
      <c r="O20" s="290">
        <f>241*O19</f>
        <v>0</v>
      </c>
      <c r="P20" s="290">
        <f>241*P19</f>
        <v>0</v>
      </c>
      <c r="Q20" s="2286">
        <f>241*Q19</f>
        <v>0</v>
      </c>
      <c r="R20" s="2287"/>
      <c r="S20" s="290">
        <f>241*S19</f>
        <v>0</v>
      </c>
      <c r="T20" s="2257"/>
      <c r="U20" s="49" t="s">
        <v>59</v>
      </c>
      <c r="V20" s="2262"/>
      <c r="W20" s="2262"/>
      <c r="X20" s="2262"/>
      <c r="Y20" s="2269"/>
    </row>
    <row r="21" spans="1:25" ht="32.25" customHeight="1" x14ac:dyDescent="0.25">
      <c r="A21" s="291" t="s">
        <v>186</v>
      </c>
      <c r="B21" s="2293">
        <f>SUM(B20:S20)</f>
        <v>848953.05</v>
      </c>
      <c r="C21" s="2293"/>
      <c r="O21" s="424"/>
      <c r="P21" s="424"/>
      <c r="Q21" s="424"/>
      <c r="R21" s="424"/>
      <c r="T21" s="2294"/>
      <c r="U21" s="2295"/>
      <c r="V21" s="2297"/>
      <c r="W21" s="2298"/>
      <c r="X21" s="2299"/>
      <c r="Y21" s="2269"/>
    </row>
    <row r="22" spans="1:25" ht="35.25" customHeight="1" x14ac:dyDescent="0.25">
      <c r="A22" s="15"/>
      <c r="B22" s="2288" t="s">
        <v>49</v>
      </c>
      <c r="C22" s="2291">
        <v>80000</v>
      </c>
      <c r="D22" s="2291">
        <v>80000</v>
      </c>
      <c r="E22" s="2291">
        <v>400000</v>
      </c>
      <c r="F22" s="2291">
        <f>C22-D22+E22</f>
        <v>400000</v>
      </c>
      <c r="G22" s="424"/>
      <c r="Q22" s="424"/>
      <c r="R22" s="424"/>
      <c r="T22" s="2251" t="s">
        <v>83</v>
      </c>
      <c r="U22" s="50" t="s">
        <v>60</v>
      </c>
      <c r="V22" s="2262">
        <v>302740</v>
      </c>
      <c r="W22" s="2262"/>
      <c r="X22" s="2262"/>
      <c r="Y22" s="2269"/>
    </row>
    <row r="23" spans="1:25" ht="39.75" customHeight="1" x14ac:dyDescent="0.25">
      <c r="A23" s="424"/>
      <c r="B23" s="2289"/>
      <c r="C23" s="2292"/>
      <c r="D23" s="2292"/>
      <c r="E23" s="2292"/>
      <c r="F23" s="2292"/>
      <c r="G23" s="424"/>
      <c r="Q23" s="424"/>
      <c r="R23" s="424"/>
      <c r="T23" s="2252"/>
      <c r="U23" s="50" t="s">
        <v>61</v>
      </c>
      <c r="V23" s="2262">
        <v>80000</v>
      </c>
      <c r="W23" s="2262"/>
      <c r="X23" s="2262"/>
      <c r="Y23" s="2269"/>
    </row>
    <row r="24" spans="1:25" ht="48" customHeight="1" x14ac:dyDescent="0.25">
      <c r="A24" s="424"/>
      <c r="B24" s="2290"/>
      <c r="C24" s="290" t="s">
        <v>46</v>
      </c>
      <c r="D24" s="290" t="s">
        <v>50</v>
      </c>
      <c r="E24" s="290" t="s">
        <v>51</v>
      </c>
      <c r="F24" s="290" t="s">
        <v>52</v>
      </c>
      <c r="G24" s="424"/>
      <c r="Q24" s="424"/>
      <c r="R24" s="424"/>
      <c r="T24" s="2235" t="s">
        <v>47</v>
      </c>
      <c r="U24" s="51" t="s">
        <v>62</v>
      </c>
      <c r="V24" s="2263">
        <f>V14+V16+V17-V18-V19-V20-V22+V23-V21</f>
        <v>43172.530000000028</v>
      </c>
      <c r="W24" s="2263"/>
      <c r="X24" s="2263"/>
      <c r="Y24" s="2269"/>
    </row>
    <row r="25" spans="1:25" ht="40.5" customHeight="1" x14ac:dyDescent="0.25">
      <c r="T25" s="2235"/>
      <c r="U25" s="51" t="s">
        <v>63</v>
      </c>
      <c r="V25" s="2262">
        <f>V15+V22-V23</f>
        <v>265704</v>
      </c>
      <c r="W25" s="2262"/>
      <c r="X25" s="2262"/>
    </row>
    <row r="26" spans="1:25" ht="36" customHeight="1" x14ac:dyDescent="0.25">
      <c r="K26" s="314"/>
    </row>
    <row r="32" spans="1:25" x14ac:dyDescent="0.25">
      <c r="I32" s="2280"/>
      <c r="J32" s="2280"/>
      <c r="K32" s="2280"/>
      <c r="L32" s="2280"/>
    </row>
    <row r="33" spans="9:12" x14ac:dyDescent="0.25">
      <c r="I33" s="424"/>
      <c r="J33" s="424"/>
      <c r="K33" s="2280"/>
      <c r="L33" s="2280"/>
    </row>
  </sheetData>
  <mergeCells count="62">
    <mergeCell ref="A1:Y1"/>
    <mergeCell ref="A2:Y2"/>
    <mergeCell ref="T3:Y3"/>
    <mergeCell ref="A4:A5"/>
    <mergeCell ref="B4:B5"/>
    <mergeCell ref="C4:D4"/>
    <mergeCell ref="E4:F4"/>
    <mergeCell ref="G4:H4"/>
    <mergeCell ref="I4:J4"/>
    <mergeCell ref="K4:L4"/>
    <mergeCell ref="Y4:Y5"/>
    <mergeCell ref="M4:N4"/>
    <mergeCell ref="O4:P4"/>
    <mergeCell ref="Q4:R4"/>
    <mergeCell ref="S4:T4"/>
    <mergeCell ref="U4:V4"/>
    <mergeCell ref="W4:X4"/>
    <mergeCell ref="B16:C16"/>
    <mergeCell ref="Q16:R16"/>
    <mergeCell ref="T16:U16"/>
    <mergeCell ref="V16:X16"/>
    <mergeCell ref="A12:B12"/>
    <mergeCell ref="B14:C14"/>
    <mergeCell ref="Q14:R14"/>
    <mergeCell ref="T14:T15"/>
    <mergeCell ref="V14:X14"/>
    <mergeCell ref="B15:C15"/>
    <mergeCell ref="Q15:R15"/>
    <mergeCell ref="V15:X15"/>
    <mergeCell ref="B17:C17"/>
    <mergeCell ref="Q17:R17"/>
    <mergeCell ref="T17:U17"/>
    <mergeCell ref="V17:X17"/>
    <mergeCell ref="B18:C18"/>
    <mergeCell ref="Q18:R18"/>
    <mergeCell ref="T18:U18"/>
    <mergeCell ref="V18:X18"/>
    <mergeCell ref="Y18:Y24"/>
    <mergeCell ref="B19:C19"/>
    <mergeCell ref="Q19:R19"/>
    <mergeCell ref="T19:T20"/>
    <mergeCell ref="V19:X19"/>
    <mergeCell ref="B20:C20"/>
    <mergeCell ref="B22:B24"/>
    <mergeCell ref="C22:C23"/>
    <mergeCell ref="D22:D23"/>
    <mergeCell ref="E22:E23"/>
    <mergeCell ref="F22:F23"/>
    <mergeCell ref="Q20:R20"/>
    <mergeCell ref="V20:X20"/>
    <mergeCell ref="B21:C21"/>
    <mergeCell ref="T21:U21"/>
    <mergeCell ref="V21:X21"/>
    <mergeCell ref="I32:J32"/>
    <mergeCell ref="K32:L32"/>
    <mergeCell ref="K33:L33"/>
    <mergeCell ref="T22:T23"/>
    <mergeCell ref="V22:X22"/>
    <mergeCell ref="V23:X23"/>
    <mergeCell ref="T24:T25"/>
    <mergeCell ref="V24:X24"/>
    <mergeCell ref="V25:X25"/>
  </mergeCells>
  <pageMargins left="0.15748031496063" right="0.15748031496063" top="0" bottom="0" header="0" footer="0"/>
  <pageSetup paperSize="9" scale="47" orientation="landscape" r:id="rId1"/>
</worksheet>
</file>

<file path=xl/worksheets/sheet1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54AB685-5A89-4947-B0D7-7D3E0BC3D1FE}">
  <sheetPr>
    <pageSetUpPr fitToPage="1"/>
  </sheetPr>
  <dimension ref="A1:Y33"/>
  <sheetViews>
    <sheetView topLeftCell="A13" zoomScale="70" zoomScaleNormal="70" zoomScaleSheetLayoutView="100" workbookViewId="0">
      <selection activeCell="T22" sqref="T22:T23"/>
    </sheetView>
  </sheetViews>
  <sheetFormatPr defaultColWidth="9.140625" defaultRowHeight="15" x14ac:dyDescent="0.25"/>
  <cols>
    <col min="1" max="1" width="18.28515625" style="14" customWidth="1"/>
    <col min="2" max="2" width="10.7109375" style="14" customWidth="1"/>
    <col min="3" max="3" width="12.28515625" style="14" customWidth="1"/>
    <col min="4" max="4" width="11" style="14" customWidth="1"/>
    <col min="5" max="5" width="12" style="14" customWidth="1"/>
    <col min="6" max="6" width="12.5703125" style="14" bestFit="1" customWidth="1"/>
    <col min="7" max="7" width="9.28515625" style="14" bestFit="1" customWidth="1"/>
    <col min="8" max="8" width="10.140625" style="14" bestFit="1" customWidth="1"/>
    <col min="9" max="9" width="10.5703125" style="14" bestFit="1" customWidth="1"/>
    <col min="10" max="10" width="10.5703125" style="14" customWidth="1"/>
    <col min="11" max="11" width="10.28515625" style="14" bestFit="1" customWidth="1"/>
    <col min="12" max="12" width="10.42578125" style="14" bestFit="1" customWidth="1"/>
    <col min="13" max="13" width="9.85546875" style="14" bestFit="1" customWidth="1"/>
    <col min="14" max="14" width="10.140625" style="14" bestFit="1" customWidth="1"/>
    <col min="15" max="15" width="9" style="14" customWidth="1"/>
    <col min="16" max="16" width="12.85546875" style="14" bestFit="1" customWidth="1"/>
    <col min="17" max="18" width="9.42578125" style="14" customWidth="1"/>
    <col min="19" max="19" width="13.7109375" style="14" customWidth="1"/>
    <col min="20" max="20" width="12.140625" style="14" customWidth="1"/>
    <col min="21" max="21" width="19.5703125" style="14" bestFit="1" customWidth="1"/>
    <col min="22" max="22" width="9.85546875" style="14" customWidth="1"/>
    <col min="23" max="23" width="10.140625" style="14" bestFit="1" customWidth="1"/>
    <col min="24" max="24" width="10.28515625" style="14" customWidth="1"/>
    <col min="25" max="25" width="28" style="14" customWidth="1"/>
    <col min="26" max="16384" width="9.140625" style="14"/>
  </cols>
  <sheetData>
    <row r="1" spans="1:25" ht="46.15" customHeight="1" x14ac:dyDescent="0.25">
      <c r="A1" s="2240" t="s">
        <v>148</v>
      </c>
      <c r="B1" s="2240"/>
      <c r="C1" s="2240"/>
      <c r="D1" s="2240"/>
      <c r="E1" s="2240"/>
      <c r="F1" s="2240"/>
      <c r="G1" s="2240"/>
      <c r="H1" s="2240"/>
      <c r="I1" s="2240"/>
      <c r="J1" s="2240"/>
      <c r="K1" s="2240"/>
      <c r="L1" s="2240"/>
      <c r="M1" s="2240"/>
      <c r="N1" s="2240"/>
      <c r="O1" s="2240"/>
      <c r="P1" s="2240"/>
      <c r="Q1" s="2240"/>
      <c r="R1" s="2240"/>
      <c r="S1" s="2240"/>
      <c r="T1" s="2240"/>
      <c r="U1" s="2240"/>
      <c r="V1" s="2240"/>
      <c r="W1" s="2240"/>
      <c r="X1" s="2240"/>
      <c r="Y1" s="2240"/>
    </row>
    <row r="2" spans="1:25" ht="21.6" customHeight="1" x14ac:dyDescent="0.25">
      <c r="A2" s="2241" t="s">
        <v>77</v>
      </c>
      <c r="B2" s="2241"/>
      <c r="C2" s="2241"/>
      <c r="D2" s="2241"/>
      <c r="E2" s="2241"/>
      <c r="F2" s="2241"/>
      <c r="G2" s="2241"/>
      <c r="H2" s="2241"/>
      <c r="I2" s="2241"/>
      <c r="J2" s="2241"/>
      <c r="K2" s="2241"/>
      <c r="L2" s="2241"/>
      <c r="M2" s="2241"/>
      <c r="N2" s="2241"/>
      <c r="O2" s="2241"/>
      <c r="P2" s="2241"/>
      <c r="Q2" s="2241"/>
      <c r="R2" s="2241"/>
      <c r="S2" s="2241"/>
      <c r="T2" s="2241"/>
      <c r="U2" s="2241"/>
      <c r="V2" s="2241"/>
      <c r="W2" s="2241"/>
      <c r="X2" s="2241"/>
      <c r="Y2" s="2241"/>
    </row>
    <row r="3" spans="1:25" ht="21" customHeight="1" x14ac:dyDescent="0.25">
      <c r="A3" s="425"/>
      <c r="B3" s="425"/>
      <c r="C3" s="425"/>
      <c r="D3" s="425"/>
      <c r="E3" s="425"/>
      <c r="F3" s="425"/>
      <c r="G3" s="425"/>
      <c r="H3" s="425"/>
      <c r="I3" s="425"/>
      <c r="J3" s="425"/>
      <c r="K3" s="425"/>
      <c r="L3" s="425"/>
      <c r="M3" s="425"/>
      <c r="N3" s="425"/>
      <c r="O3" s="425"/>
      <c r="P3" s="425"/>
      <c r="Q3" s="425"/>
      <c r="R3" s="425"/>
      <c r="S3" s="425"/>
      <c r="T3" s="2242" t="s">
        <v>334</v>
      </c>
      <c r="U3" s="2242"/>
      <c r="V3" s="2242"/>
      <c r="W3" s="2242"/>
      <c r="X3" s="2242"/>
      <c r="Y3" s="2242"/>
    </row>
    <row r="4" spans="1:25" s="425" customFormat="1" ht="18" customHeight="1" x14ac:dyDescent="0.25">
      <c r="A4" s="2243" t="s">
        <v>25</v>
      </c>
      <c r="B4" s="2243" t="s">
        <v>26</v>
      </c>
      <c r="C4" s="2244" t="s">
        <v>27</v>
      </c>
      <c r="D4" s="2244"/>
      <c r="E4" s="2244" t="s">
        <v>28</v>
      </c>
      <c r="F4" s="2244"/>
      <c r="G4" s="2244" t="s">
        <v>65</v>
      </c>
      <c r="H4" s="2244"/>
      <c r="I4" s="2244" t="s">
        <v>29</v>
      </c>
      <c r="J4" s="2244"/>
      <c r="K4" s="2245" t="s">
        <v>13</v>
      </c>
      <c r="L4" s="2246"/>
      <c r="M4" s="2245" t="s">
        <v>67</v>
      </c>
      <c r="N4" s="2246"/>
      <c r="O4" s="2245" t="s">
        <v>68</v>
      </c>
      <c r="P4" s="2246"/>
      <c r="Q4" s="2245" t="s">
        <v>114</v>
      </c>
      <c r="R4" s="2246"/>
      <c r="S4" s="2244" t="s">
        <v>35</v>
      </c>
      <c r="T4" s="2244"/>
      <c r="U4" s="2245" t="s">
        <v>17</v>
      </c>
      <c r="V4" s="2246"/>
      <c r="W4" s="2247" t="s">
        <v>36</v>
      </c>
      <c r="X4" s="2248"/>
      <c r="Y4" s="2238" t="s">
        <v>30</v>
      </c>
    </row>
    <row r="5" spans="1:25" s="425" customFormat="1" ht="25.5" customHeight="1" x14ac:dyDescent="0.25">
      <c r="A5" s="2243"/>
      <c r="B5" s="2243"/>
      <c r="C5" s="427" t="s">
        <v>42</v>
      </c>
      <c r="D5" s="427" t="s">
        <v>43</v>
      </c>
      <c r="E5" s="427" t="s">
        <v>42</v>
      </c>
      <c r="F5" s="427" t="s">
        <v>43</v>
      </c>
      <c r="G5" s="427" t="s">
        <v>42</v>
      </c>
      <c r="H5" s="427" t="s">
        <v>43</v>
      </c>
      <c r="I5" s="427" t="s">
        <v>42</v>
      </c>
      <c r="J5" s="427" t="s">
        <v>43</v>
      </c>
      <c r="K5" s="427" t="s">
        <v>42</v>
      </c>
      <c r="L5" s="427" t="s">
        <v>43</v>
      </c>
      <c r="M5" s="427" t="s">
        <v>42</v>
      </c>
      <c r="N5" s="427" t="s">
        <v>43</v>
      </c>
      <c r="O5" s="427" t="s">
        <v>42</v>
      </c>
      <c r="P5" s="427" t="s">
        <v>43</v>
      </c>
      <c r="Q5" s="427" t="s">
        <v>42</v>
      </c>
      <c r="R5" s="427" t="s">
        <v>43</v>
      </c>
      <c r="S5" s="33" t="s">
        <v>42</v>
      </c>
      <c r="T5" s="33" t="s">
        <v>43</v>
      </c>
      <c r="U5" s="30" t="s">
        <v>42</v>
      </c>
      <c r="V5" s="30" t="s">
        <v>43</v>
      </c>
      <c r="W5" s="30" t="s">
        <v>42</v>
      </c>
      <c r="X5" s="30" t="s">
        <v>43</v>
      </c>
      <c r="Y5" s="2239"/>
    </row>
    <row r="6" spans="1:25" ht="34.5" customHeight="1" x14ac:dyDescent="0.25">
      <c r="A6" s="12">
        <v>1409935200</v>
      </c>
      <c r="B6" s="426" t="s">
        <v>71</v>
      </c>
      <c r="C6" s="429">
        <v>106083</v>
      </c>
      <c r="D6" s="430">
        <f>0.9725*C6</f>
        <v>103165.7175</v>
      </c>
      <c r="E6" s="429"/>
      <c r="F6" s="429">
        <f>13.7*E6</f>
        <v>0</v>
      </c>
      <c r="G6" s="429">
        <v>20</v>
      </c>
      <c r="H6" s="429">
        <f>28.2*G6</f>
        <v>564</v>
      </c>
      <c r="I6" s="429"/>
      <c r="J6" s="429">
        <f>18.5*I6</f>
        <v>0</v>
      </c>
      <c r="K6" s="429"/>
      <c r="L6" s="429">
        <f>19.5*K6</f>
        <v>0</v>
      </c>
      <c r="M6" s="429"/>
      <c r="N6" s="430">
        <f>M6*9.75</f>
        <v>0</v>
      </c>
      <c r="O6" s="429"/>
      <c r="P6" s="430">
        <f>O6*48.62</f>
        <v>0</v>
      </c>
      <c r="Q6" s="430"/>
      <c r="R6" s="430">
        <f>241*Q6</f>
        <v>0</v>
      </c>
      <c r="S6" s="429"/>
      <c r="T6" s="429">
        <f>241*S6</f>
        <v>0</v>
      </c>
      <c r="U6" s="429"/>
      <c r="V6" s="429">
        <f>232*U6</f>
        <v>0</v>
      </c>
      <c r="W6" s="429"/>
      <c r="X6" s="19">
        <f>W6*100</f>
        <v>0</v>
      </c>
      <c r="Y6" s="89">
        <f t="shared" ref="Y6:Y11" si="0">D6+F6+H6+J6+L6+N6+P6+R6+T6+V6+X6</f>
        <v>103729.7175</v>
      </c>
    </row>
    <row r="7" spans="1:25" ht="31.5" customHeight="1" x14ac:dyDescent="0.25">
      <c r="A7" s="12">
        <v>1984225578</v>
      </c>
      <c r="B7" s="426" t="s">
        <v>72</v>
      </c>
      <c r="C7" s="429">
        <v>170514</v>
      </c>
      <c r="D7" s="430">
        <f t="shared" ref="D7:D11" si="1">0.9725*C7</f>
        <v>165824.86500000002</v>
      </c>
      <c r="E7" s="429"/>
      <c r="F7" s="429">
        <f t="shared" ref="F7:F11" si="2">13.7*E7</f>
        <v>0</v>
      </c>
      <c r="G7" s="429"/>
      <c r="H7" s="429">
        <f t="shared" ref="H7:H11" si="3">28.2*G7</f>
        <v>0</v>
      </c>
      <c r="I7" s="429"/>
      <c r="J7" s="429">
        <f t="shared" ref="J7:J11" si="4">18.5*I7</f>
        <v>0</v>
      </c>
      <c r="K7" s="429"/>
      <c r="L7" s="429">
        <f t="shared" ref="L7:L11" si="5">19.5*K7</f>
        <v>0</v>
      </c>
      <c r="M7" s="429"/>
      <c r="N7" s="430">
        <f t="shared" ref="N7:N11" si="6">M7*9.75</f>
        <v>0</v>
      </c>
      <c r="O7" s="429"/>
      <c r="P7" s="430">
        <f t="shared" ref="P7:P11" si="7">O7*48.62</f>
        <v>0</v>
      </c>
      <c r="Q7" s="430"/>
      <c r="R7" s="430">
        <f t="shared" ref="R7:R11" si="8">241*Q7</f>
        <v>0</v>
      </c>
      <c r="S7" s="429"/>
      <c r="T7" s="429">
        <f t="shared" ref="T7:T11" si="9">241*S7</f>
        <v>0</v>
      </c>
      <c r="U7" s="429"/>
      <c r="V7" s="429">
        <f t="shared" ref="V7:V11" si="10">232*U7</f>
        <v>0</v>
      </c>
      <c r="W7" s="429"/>
      <c r="X7" s="19">
        <f t="shared" ref="X7:X11" si="11">W7*100</f>
        <v>0</v>
      </c>
      <c r="Y7" s="89">
        <f t="shared" si="0"/>
        <v>165824.86500000002</v>
      </c>
    </row>
    <row r="8" spans="1:25" ht="35.25" customHeight="1" x14ac:dyDescent="0.25">
      <c r="A8" s="12">
        <v>1967020280</v>
      </c>
      <c r="B8" s="426" t="s">
        <v>73</v>
      </c>
      <c r="C8" s="429">
        <v>161483</v>
      </c>
      <c r="D8" s="430">
        <f t="shared" si="1"/>
        <v>157042.2175</v>
      </c>
      <c r="E8" s="429"/>
      <c r="F8" s="429">
        <f t="shared" si="2"/>
        <v>0</v>
      </c>
      <c r="G8" s="429"/>
      <c r="H8" s="429">
        <f t="shared" si="3"/>
        <v>0</v>
      </c>
      <c r="I8" s="429"/>
      <c r="J8" s="429">
        <f t="shared" si="4"/>
        <v>0</v>
      </c>
      <c r="K8" s="429"/>
      <c r="L8" s="429">
        <f t="shared" si="5"/>
        <v>0</v>
      </c>
      <c r="M8" s="429"/>
      <c r="N8" s="430">
        <f t="shared" si="6"/>
        <v>0</v>
      </c>
      <c r="O8" s="429"/>
      <c r="P8" s="430">
        <f t="shared" si="7"/>
        <v>0</v>
      </c>
      <c r="Q8" s="430"/>
      <c r="R8" s="430">
        <f t="shared" si="8"/>
        <v>0</v>
      </c>
      <c r="S8" s="429"/>
      <c r="T8" s="429">
        <f t="shared" si="9"/>
        <v>0</v>
      </c>
      <c r="U8" s="429">
        <v>5</v>
      </c>
      <c r="V8" s="429">
        <f t="shared" si="10"/>
        <v>1160</v>
      </c>
      <c r="W8" s="429"/>
      <c r="X8" s="19">
        <f t="shared" si="11"/>
        <v>0</v>
      </c>
      <c r="Y8" s="89">
        <f t="shared" si="0"/>
        <v>158202.2175</v>
      </c>
    </row>
    <row r="9" spans="1:25" ht="38.25" customHeight="1" x14ac:dyDescent="0.25">
      <c r="A9" s="12">
        <v>1984225580</v>
      </c>
      <c r="B9" s="426" t="s">
        <v>75</v>
      </c>
      <c r="C9" s="429">
        <v>266212</v>
      </c>
      <c r="D9" s="430">
        <f t="shared" si="1"/>
        <v>258891.17</v>
      </c>
      <c r="E9" s="429"/>
      <c r="F9" s="429">
        <f t="shared" si="2"/>
        <v>0</v>
      </c>
      <c r="G9" s="429"/>
      <c r="H9" s="429">
        <f t="shared" si="3"/>
        <v>0</v>
      </c>
      <c r="I9" s="429"/>
      <c r="J9" s="429">
        <f t="shared" si="4"/>
        <v>0</v>
      </c>
      <c r="K9" s="429"/>
      <c r="L9" s="429">
        <f t="shared" si="5"/>
        <v>0</v>
      </c>
      <c r="M9" s="429"/>
      <c r="N9" s="430">
        <f t="shared" si="6"/>
        <v>0</v>
      </c>
      <c r="O9" s="429"/>
      <c r="P9" s="430">
        <f t="shared" si="7"/>
        <v>0</v>
      </c>
      <c r="Q9" s="430"/>
      <c r="R9" s="430">
        <f t="shared" si="8"/>
        <v>0</v>
      </c>
      <c r="S9" s="429"/>
      <c r="T9" s="429">
        <f t="shared" si="9"/>
        <v>0</v>
      </c>
      <c r="U9" s="429">
        <v>5</v>
      </c>
      <c r="V9" s="429">
        <f t="shared" si="10"/>
        <v>1160</v>
      </c>
      <c r="W9" s="429"/>
      <c r="X9" s="19">
        <f t="shared" si="11"/>
        <v>0</v>
      </c>
      <c r="Y9" s="89">
        <f t="shared" si="0"/>
        <v>260051.17</v>
      </c>
    </row>
    <row r="10" spans="1:25" ht="35.25" customHeight="1" x14ac:dyDescent="0.25">
      <c r="A10" s="12">
        <v>1409935199</v>
      </c>
      <c r="C10" s="429"/>
      <c r="D10" s="430">
        <f t="shared" si="1"/>
        <v>0</v>
      </c>
      <c r="E10" s="429"/>
      <c r="F10" s="429">
        <f t="shared" si="2"/>
        <v>0</v>
      </c>
      <c r="G10" s="429"/>
      <c r="H10" s="429">
        <f t="shared" si="3"/>
        <v>0</v>
      </c>
      <c r="I10" s="429"/>
      <c r="J10" s="429">
        <f t="shared" si="4"/>
        <v>0</v>
      </c>
      <c r="K10" s="429"/>
      <c r="L10" s="429">
        <f t="shared" si="5"/>
        <v>0</v>
      </c>
      <c r="M10" s="429"/>
      <c r="N10" s="430">
        <f t="shared" si="6"/>
        <v>0</v>
      </c>
      <c r="O10" s="429"/>
      <c r="P10" s="430">
        <f t="shared" si="7"/>
        <v>0</v>
      </c>
      <c r="Q10" s="430"/>
      <c r="R10" s="430">
        <f t="shared" si="8"/>
        <v>0</v>
      </c>
      <c r="S10" s="429"/>
      <c r="T10" s="429">
        <f t="shared" si="9"/>
        <v>0</v>
      </c>
      <c r="U10" s="429"/>
      <c r="V10" s="429">
        <f t="shared" si="10"/>
        <v>0</v>
      </c>
      <c r="W10" s="429"/>
      <c r="X10" s="19">
        <f t="shared" si="11"/>
        <v>0</v>
      </c>
      <c r="Y10" s="89">
        <f t="shared" si="0"/>
        <v>0</v>
      </c>
    </row>
    <row r="11" spans="1:25" ht="37.5" customHeight="1" x14ac:dyDescent="0.25">
      <c r="A11" s="12"/>
      <c r="B11" s="428"/>
      <c r="C11" s="429"/>
      <c r="D11" s="22">
        <f t="shared" si="1"/>
        <v>0</v>
      </c>
      <c r="E11" s="429"/>
      <c r="F11" s="429">
        <f t="shared" si="2"/>
        <v>0</v>
      </c>
      <c r="G11" s="429"/>
      <c r="H11" s="429">
        <f t="shared" si="3"/>
        <v>0</v>
      </c>
      <c r="I11" s="429"/>
      <c r="J11" s="429">
        <f t="shared" si="4"/>
        <v>0</v>
      </c>
      <c r="K11" s="429"/>
      <c r="L11" s="429">
        <f t="shared" si="5"/>
        <v>0</v>
      </c>
      <c r="M11" s="429"/>
      <c r="N11" s="430">
        <f t="shared" si="6"/>
        <v>0</v>
      </c>
      <c r="O11" s="429"/>
      <c r="P11" s="430">
        <f t="shared" si="7"/>
        <v>0</v>
      </c>
      <c r="Q11" s="430"/>
      <c r="R11" s="430">
        <f t="shared" si="8"/>
        <v>0</v>
      </c>
      <c r="S11" s="429"/>
      <c r="T11" s="429">
        <f t="shared" si="9"/>
        <v>0</v>
      </c>
      <c r="U11" s="429"/>
      <c r="V11" s="429">
        <f t="shared" si="10"/>
        <v>0</v>
      </c>
      <c r="W11" s="429"/>
      <c r="X11" s="19">
        <f t="shared" si="11"/>
        <v>0</v>
      </c>
      <c r="Y11" s="20">
        <f t="shared" si="0"/>
        <v>0</v>
      </c>
    </row>
    <row r="12" spans="1:25" ht="29.25" customHeight="1" x14ac:dyDescent="0.25">
      <c r="A12" s="2235" t="s">
        <v>31</v>
      </c>
      <c r="B12" s="2235"/>
      <c r="C12" s="18">
        <f t="shared" ref="C12:Y12" si="12">SUM(C6:C11)</f>
        <v>704292</v>
      </c>
      <c r="D12" s="18">
        <f t="shared" si="12"/>
        <v>684923.97000000009</v>
      </c>
      <c r="E12" s="18">
        <f t="shared" si="12"/>
        <v>0</v>
      </c>
      <c r="F12" s="18">
        <f t="shared" si="12"/>
        <v>0</v>
      </c>
      <c r="G12" s="18">
        <f t="shared" si="12"/>
        <v>20</v>
      </c>
      <c r="H12" s="18">
        <f t="shared" si="12"/>
        <v>564</v>
      </c>
      <c r="I12" s="18">
        <f t="shared" si="12"/>
        <v>0</v>
      </c>
      <c r="J12" s="18">
        <f t="shared" si="12"/>
        <v>0</v>
      </c>
      <c r="K12" s="18">
        <f t="shared" si="12"/>
        <v>0</v>
      </c>
      <c r="L12" s="18">
        <f t="shared" si="12"/>
        <v>0</v>
      </c>
      <c r="M12" s="18">
        <f t="shared" si="12"/>
        <v>0</v>
      </c>
      <c r="N12" s="23">
        <f t="shared" si="12"/>
        <v>0</v>
      </c>
      <c r="O12" s="18">
        <f t="shared" si="12"/>
        <v>0</v>
      </c>
      <c r="P12" s="23">
        <f t="shared" si="12"/>
        <v>0</v>
      </c>
      <c r="Q12" s="23">
        <f t="shared" si="12"/>
        <v>0</v>
      </c>
      <c r="R12" s="23">
        <f>SUM(R6:R11)</f>
        <v>0</v>
      </c>
      <c r="S12" s="18">
        <f t="shared" si="12"/>
        <v>0</v>
      </c>
      <c r="T12" s="18">
        <f t="shared" si="12"/>
        <v>0</v>
      </c>
      <c r="U12" s="18">
        <f t="shared" si="12"/>
        <v>10</v>
      </c>
      <c r="V12" s="18">
        <f t="shared" si="12"/>
        <v>2320</v>
      </c>
      <c r="W12" s="18">
        <f t="shared" si="12"/>
        <v>0</v>
      </c>
      <c r="X12" s="18">
        <f t="shared" si="12"/>
        <v>0</v>
      </c>
      <c r="Y12" s="18">
        <f t="shared" si="12"/>
        <v>687807.97000000009</v>
      </c>
    </row>
    <row r="14" spans="1:25" ht="41.25" customHeight="1" x14ac:dyDescent="0.25">
      <c r="A14" s="30" t="s">
        <v>32</v>
      </c>
      <c r="B14" s="2236" t="s">
        <v>27</v>
      </c>
      <c r="C14" s="2236"/>
      <c r="D14" s="30" t="s">
        <v>333</v>
      </c>
      <c r="E14" s="30" t="s">
        <v>65</v>
      </c>
      <c r="F14" s="30" t="s">
        <v>34</v>
      </c>
      <c r="G14" s="30" t="s">
        <v>13</v>
      </c>
      <c r="H14" s="142" t="s">
        <v>173</v>
      </c>
      <c r="I14" s="30" t="s">
        <v>17</v>
      </c>
      <c r="J14" s="434" t="s">
        <v>174</v>
      </c>
      <c r="K14" s="30" t="s">
        <v>36</v>
      </c>
      <c r="L14" s="30" t="s">
        <v>175</v>
      </c>
      <c r="M14" s="30" t="s">
        <v>69</v>
      </c>
      <c r="N14" s="30" t="s">
        <v>70</v>
      </c>
      <c r="O14" s="434" t="s">
        <v>114</v>
      </c>
      <c r="P14" s="434"/>
      <c r="Q14" s="2272"/>
      <c r="R14" s="2272"/>
      <c r="S14" s="434"/>
      <c r="T14" s="2235" t="s">
        <v>46</v>
      </c>
      <c r="U14" s="426" t="s">
        <v>176</v>
      </c>
      <c r="V14" s="2260">
        <v>43173</v>
      </c>
      <c r="W14" s="2268"/>
      <c r="X14" s="2261"/>
    </row>
    <row r="15" spans="1:25" ht="22.5" customHeight="1" x14ac:dyDescent="0.25">
      <c r="A15" s="100" t="s">
        <v>38</v>
      </c>
      <c r="B15" s="2260">
        <v>398612</v>
      </c>
      <c r="C15" s="2261"/>
      <c r="D15" s="431">
        <v>100</v>
      </c>
      <c r="E15" s="431">
        <v>3560</v>
      </c>
      <c r="F15" s="431">
        <v>0</v>
      </c>
      <c r="G15" s="431">
        <v>0</v>
      </c>
      <c r="H15" s="431">
        <v>65</v>
      </c>
      <c r="I15" s="431">
        <v>10</v>
      </c>
      <c r="J15" s="431">
        <v>131</v>
      </c>
      <c r="K15" s="431">
        <v>68</v>
      </c>
      <c r="L15" s="431">
        <v>1255</v>
      </c>
      <c r="M15" s="431">
        <v>0</v>
      </c>
      <c r="N15" s="431">
        <v>100</v>
      </c>
      <c r="O15" s="431">
        <v>0</v>
      </c>
      <c r="P15" s="431"/>
      <c r="Q15" s="2262"/>
      <c r="R15" s="2262"/>
      <c r="S15" s="426">
        <v>0</v>
      </c>
      <c r="T15" s="2235"/>
      <c r="U15" s="426" t="s">
        <v>64</v>
      </c>
      <c r="V15" s="2262">
        <v>265704</v>
      </c>
      <c r="W15" s="2262"/>
      <c r="X15" s="2262"/>
    </row>
    <row r="16" spans="1:25" ht="24.75" customHeight="1" x14ac:dyDescent="0.25">
      <c r="A16" s="100" t="s">
        <v>39</v>
      </c>
      <c r="B16" s="2260">
        <v>575646</v>
      </c>
      <c r="C16" s="2261"/>
      <c r="D16" s="431"/>
      <c r="E16" s="431"/>
      <c r="F16" s="431"/>
      <c r="G16" s="431"/>
      <c r="H16" s="431"/>
      <c r="I16" s="431"/>
      <c r="J16" s="431">
        <v>10</v>
      </c>
      <c r="K16" s="431"/>
      <c r="L16" s="431">
        <v>27</v>
      </c>
      <c r="M16" s="431"/>
      <c r="N16" s="431"/>
      <c r="O16" s="431"/>
      <c r="P16" s="431"/>
      <c r="Q16" s="2225"/>
      <c r="R16" s="2225"/>
      <c r="S16" s="431"/>
      <c r="T16" s="2254" t="s">
        <v>55</v>
      </c>
      <c r="U16" s="2254"/>
      <c r="V16" s="2267">
        <f>Y12</f>
        <v>687807.97000000009</v>
      </c>
      <c r="W16" s="2267"/>
      <c r="X16" s="2262"/>
    </row>
    <row r="17" spans="1:25" ht="28.5" customHeight="1" x14ac:dyDescent="0.25">
      <c r="A17" s="101" t="s">
        <v>44</v>
      </c>
      <c r="B17" s="2260">
        <v>75396</v>
      </c>
      <c r="C17" s="2261"/>
      <c r="D17" s="431"/>
      <c r="E17" s="431"/>
      <c r="F17" s="431"/>
      <c r="G17" s="431"/>
      <c r="H17" s="431"/>
      <c r="I17" s="431"/>
      <c r="J17" s="431"/>
      <c r="K17" s="431"/>
      <c r="L17" s="431"/>
      <c r="M17" s="431"/>
      <c r="N17" s="431"/>
      <c r="O17" s="431"/>
      <c r="P17" s="431"/>
      <c r="Q17" s="2225"/>
      <c r="R17" s="2225"/>
      <c r="S17" s="428"/>
      <c r="T17" s="2294"/>
      <c r="U17" s="2295"/>
      <c r="V17" s="2296"/>
      <c r="W17" s="2296"/>
      <c r="X17" s="2296"/>
    </row>
    <row r="18" spans="1:25" ht="27" customHeight="1" x14ac:dyDescent="0.25">
      <c r="A18" s="100" t="s">
        <v>40</v>
      </c>
      <c r="B18" s="2264">
        <f>C12</f>
        <v>704292</v>
      </c>
      <c r="C18" s="2261"/>
      <c r="D18" s="432">
        <f>E12</f>
        <v>0</v>
      </c>
      <c r="E18" s="432">
        <f>G12</f>
        <v>20</v>
      </c>
      <c r="F18" s="432">
        <f>I12</f>
        <v>0</v>
      </c>
      <c r="G18" s="432">
        <f>K12</f>
        <v>0</v>
      </c>
      <c r="H18" s="431">
        <v>37</v>
      </c>
      <c r="I18" s="432">
        <f>U12</f>
        <v>10</v>
      </c>
      <c r="J18" s="431"/>
      <c r="K18" s="432">
        <f>W12</f>
        <v>0</v>
      </c>
      <c r="L18" s="431"/>
      <c r="M18" s="432">
        <f>M12</f>
        <v>0</v>
      </c>
      <c r="N18" s="432">
        <f>O12</f>
        <v>0</v>
      </c>
      <c r="O18" s="433">
        <f>Q12</f>
        <v>0</v>
      </c>
      <c r="P18" s="431"/>
      <c r="Q18" s="2262"/>
      <c r="R18" s="2262"/>
      <c r="S18" s="426"/>
      <c r="T18" s="2254" t="s">
        <v>57</v>
      </c>
      <c r="U18" s="2254"/>
      <c r="V18" s="2262">
        <f>720+8414</f>
        <v>9134</v>
      </c>
      <c r="W18" s="2262"/>
      <c r="X18" s="2262"/>
      <c r="Y18" s="2269"/>
    </row>
    <row r="19" spans="1:25" ht="25.5" customHeight="1" x14ac:dyDescent="0.25">
      <c r="A19" s="100" t="s">
        <v>41</v>
      </c>
      <c r="B19" s="2260">
        <f>B15+B16+B17-B18</f>
        <v>345362</v>
      </c>
      <c r="C19" s="2261"/>
      <c r="D19" s="431">
        <f>D15+D16+D17-D18</f>
        <v>100</v>
      </c>
      <c r="E19" s="431">
        <f t="shared" ref="E19:N19" si="13">E15+E16+E17-E18</f>
        <v>3540</v>
      </c>
      <c r="F19" s="431">
        <f t="shared" si="13"/>
        <v>0</v>
      </c>
      <c r="G19" s="431">
        <f t="shared" si="13"/>
        <v>0</v>
      </c>
      <c r="H19" s="431">
        <f t="shared" si="13"/>
        <v>28</v>
      </c>
      <c r="I19" s="431">
        <f t="shared" si="13"/>
        <v>0</v>
      </c>
      <c r="J19" s="431">
        <f t="shared" si="13"/>
        <v>141</v>
      </c>
      <c r="K19" s="431">
        <f t="shared" si="13"/>
        <v>68</v>
      </c>
      <c r="L19" s="431">
        <f t="shared" si="13"/>
        <v>1282</v>
      </c>
      <c r="M19" s="431">
        <f t="shared" si="13"/>
        <v>0</v>
      </c>
      <c r="N19" s="431">
        <f t="shared" si="13"/>
        <v>100</v>
      </c>
      <c r="O19" s="431">
        <f>O15+O16+O17-O18</f>
        <v>0</v>
      </c>
      <c r="P19" s="431">
        <f>P15+P16+P17-P18</f>
        <v>0</v>
      </c>
      <c r="Q19" s="2260">
        <f t="shared" ref="Q19" si="14">Q15+Q16+Q17-Q18</f>
        <v>0</v>
      </c>
      <c r="R19" s="2261"/>
      <c r="S19" s="426">
        <f>S15+S16-S17-S18</f>
        <v>0</v>
      </c>
      <c r="T19" s="2256" t="s">
        <v>48</v>
      </c>
      <c r="U19" s="49" t="s">
        <v>58</v>
      </c>
      <c r="V19" s="2262">
        <v>400000</v>
      </c>
      <c r="W19" s="2262"/>
      <c r="X19" s="2262"/>
      <c r="Y19" s="2269"/>
    </row>
    <row r="20" spans="1:25" ht="23.25" customHeight="1" x14ac:dyDescent="0.25">
      <c r="A20" s="289" t="s">
        <v>187</v>
      </c>
      <c r="B20" s="2286">
        <f>B19*0.9625</f>
        <v>332410.92499999999</v>
      </c>
      <c r="C20" s="2287"/>
      <c r="D20" s="290">
        <f>D19*13.56</f>
        <v>1356</v>
      </c>
      <c r="E20" s="290">
        <f>28.2*E19</f>
        <v>99828</v>
      </c>
      <c r="F20" s="290">
        <f>18.31*F19</f>
        <v>0</v>
      </c>
      <c r="G20" s="290">
        <f>19.3*G19</f>
        <v>0</v>
      </c>
      <c r="H20" s="290">
        <f>241*H19</f>
        <v>6748</v>
      </c>
      <c r="I20" s="290">
        <f>223*I19</f>
        <v>0</v>
      </c>
      <c r="J20" s="290">
        <f>241*J19</f>
        <v>33981</v>
      </c>
      <c r="K20" s="290">
        <f>K19*100</f>
        <v>6800</v>
      </c>
      <c r="L20" s="290">
        <f>241*L19</f>
        <v>308962</v>
      </c>
      <c r="M20" s="290">
        <f>9.65*M19</f>
        <v>0</v>
      </c>
      <c r="N20" s="290">
        <f>N19*48.2</f>
        <v>4820</v>
      </c>
      <c r="O20" s="290">
        <f>241*O19</f>
        <v>0</v>
      </c>
      <c r="P20" s="290">
        <f>241*P19</f>
        <v>0</v>
      </c>
      <c r="Q20" s="2286">
        <f>241*Q19</f>
        <v>0</v>
      </c>
      <c r="R20" s="2287"/>
      <c r="S20" s="290">
        <f>241*S19</f>
        <v>0</v>
      </c>
      <c r="T20" s="2257"/>
      <c r="U20" s="49" t="s">
        <v>59</v>
      </c>
      <c r="V20" s="2262">
        <v>214060</v>
      </c>
      <c r="W20" s="2262"/>
      <c r="X20" s="2262"/>
      <c r="Y20" s="2269"/>
    </row>
    <row r="21" spans="1:25" ht="32.25" customHeight="1" x14ac:dyDescent="0.25">
      <c r="A21" s="291" t="s">
        <v>186</v>
      </c>
      <c r="B21" s="2293">
        <f>SUM(B20:S20)</f>
        <v>794905.92500000005</v>
      </c>
      <c r="C21" s="2293"/>
      <c r="O21" s="435"/>
      <c r="P21" s="435"/>
      <c r="Q21" s="435"/>
      <c r="R21" s="435"/>
      <c r="T21" s="2294" t="s">
        <v>340</v>
      </c>
      <c r="U21" s="2295"/>
      <c r="V21" s="2297">
        <v>100000</v>
      </c>
      <c r="W21" s="2298"/>
      <c r="X21" s="2299"/>
      <c r="Y21" s="2269"/>
    </row>
    <row r="22" spans="1:25" ht="35.25" customHeight="1" x14ac:dyDescent="0.25">
      <c r="A22" s="15"/>
      <c r="B22" s="2288" t="s">
        <v>49</v>
      </c>
      <c r="C22" s="2291">
        <v>400000</v>
      </c>
      <c r="D22" s="2291">
        <v>400000</v>
      </c>
      <c r="E22" s="2291">
        <v>340000</v>
      </c>
      <c r="F22" s="2291">
        <f>C22-D22+E22</f>
        <v>340000</v>
      </c>
      <c r="G22" s="435"/>
      <c r="Q22" s="435"/>
      <c r="R22" s="435"/>
      <c r="T22" s="2251" t="s">
        <v>83</v>
      </c>
      <c r="U22" s="50" t="s">
        <v>60</v>
      </c>
      <c r="V22" s="2262">
        <v>145000</v>
      </c>
      <c r="W22" s="2262"/>
      <c r="X22" s="2262"/>
      <c r="Y22" s="2269"/>
    </row>
    <row r="23" spans="1:25" ht="39.75" customHeight="1" x14ac:dyDescent="0.25">
      <c r="A23" s="435"/>
      <c r="B23" s="2289"/>
      <c r="C23" s="2292"/>
      <c r="D23" s="2292"/>
      <c r="E23" s="2292"/>
      <c r="F23" s="2292"/>
      <c r="G23" s="435"/>
      <c r="Q23" s="435"/>
      <c r="R23" s="435"/>
      <c r="T23" s="2252"/>
      <c r="U23" s="50" t="s">
        <v>61</v>
      </c>
      <c r="V23" s="2262">
        <v>400000</v>
      </c>
      <c r="W23" s="2262"/>
      <c r="X23" s="2262"/>
      <c r="Y23" s="2269"/>
    </row>
    <row r="24" spans="1:25" ht="48" customHeight="1" x14ac:dyDescent="0.25">
      <c r="A24" s="435"/>
      <c r="B24" s="2290"/>
      <c r="C24" s="290" t="s">
        <v>46</v>
      </c>
      <c r="D24" s="290" t="s">
        <v>50</v>
      </c>
      <c r="E24" s="290" t="s">
        <v>51</v>
      </c>
      <c r="F24" s="290" t="s">
        <v>52</v>
      </c>
      <c r="G24" s="435"/>
      <c r="Q24" s="435"/>
      <c r="R24" s="435"/>
      <c r="T24" s="2235" t="s">
        <v>47</v>
      </c>
      <c r="U24" s="51" t="s">
        <v>62</v>
      </c>
      <c r="V24" s="2263">
        <f>V14+V16+V17-V18-V19-V20-V22+V23-V21</f>
        <v>262786.97000000009</v>
      </c>
      <c r="W24" s="2263"/>
      <c r="X24" s="2263"/>
      <c r="Y24" s="2269"/>
    </row>
    <row r="25" spans="1:25" ht="40.5" customHeight="1" x14ac:dyDescent="0.25">
      <c r="T25" s="2235"/>
      <c r="U25" s="51" t="s">
        <v>63</v>
      </c>
      <c r="V25" s="2262">
        <f>V15+V22-V23</f>
        <v>10704</v>
      </c>
      <c r="W25" s="2262"/>
      <c r="X25" s="2262"/>
    </row>
    <row r="26" spans="1:25" ht="36" customHeight="1" x14ac:dyDescent="0.25">
      <c r="K26" s="314"/>
    </row>
    <row r="32" spans="1:25" x14ac:dyDescent="0.25">
      <c r="I32" s="2280"/>
      <c r="J32" s="2280"/>
      <c r="K32" s="2280"/>
      <c r="L32" s="2280"/>
    </row>
    <row r="33" spans="9:12" x14ac:dyDescent="0.25">
      <c r="I33" s="435"/>
      <c r="J33" s="435"/>
      <c r="K33" s="2280"/>
      <c r="L33" s="2280"/>
    </row>
  </sheetData>
  <mergeCells count="62">
    <mergeCell ref="I32:J32"/>
    <mergeCell ref="K32:L32"/>
    <mergeCell ref="K33:L33"/>
    <mergeCell ref="T22:T23"/>
    <mergeCell ref="V22:X22"/>
    <mergeCell ref="V23:X23"/>
    <mergeCell ref="T24:T25"/>
    <mergeCell ref="V24:X24"/>
    <mergeCell ref="V25:X25"/>
    <mergeCell ref="Y18:Y24"/>
    <mergeCell ref="B19:C19"/>
    <mergeCell ref="Q19:R19"/>
    <mergeCell ref="T19:T20"/>
    <mergeCell ref="V19:X19"/>
    <mergeCell ref="B20:C20"/>
    <mergeCell ref="B22:B24"/>
    <mergeCell ref="C22:C23"/>
    <mergeCell ref="D22:D23"/>
    <mergeCell ref="E22:E23"/>
    <mergeCell ref="F22:F23"/>
    <mergeCell ref="Q20:R20"/>
    <mergeCell ref="V20:X20"/>
    <mergeCell ref="B21:C21"/>
    <mergeCell ref="T21:U21"/>
    <mergeCell ref="V21:X21"/>
    <mergeCell ref="B17:C17"/>
    <mergeCell ref="Q17:R17"/>
    <mergeCell ref="T17:U17"/>
    <mergeCell ref="V17:X17"/>
    <mergeCell ref="B18:C18"/>
    <mergeCell ref="Q18:R18"/>
    <mergeCell ref="T18:U18"/>
    <mergeCell ref="V18:X18"/>
    <mergeCell ref="W4:X4"/>
    <mergeCell ref="B16:C16"/>
    <mergeCell ref="Q16:R16"/>
    <mergeCell ref="T16:U16"/>
    <mergeCell ref="V16:X16"/>
    <mergeCell ref="A12:B12"/>
    <mergeCell ref="B14:C14"/>
    <mergeCell ref="Q14:R14"/>
    <mergeCell ref="T14:T15"/>
    <mergeCell ref="V14:X14"/>
    <mergeCell ref="B15:C15"/>
    <mergeCell ref="Q15:R15"/>
    <mergeCell ref="V15:X15"/>
    <mergeCell ref="A1:Y1"/>
    <mergeCell ref="A2:Y2"/>
    <mergeCell ref="T3:Y3"/>
    <mergeCell ref="A4:A5"/>
    <mergeCell ref="B4:B5"/>
    <mergeCell ref="C4:D4"/>
    <mergeCell ref="E4:F4"/>
    <mergeCell ref="G4:H4"/>
    <mergeCell ref="I4:J4"/>
    <mergeCell ref="K4:L4"/>
    <mergeCell ref="Y4:Y5"/>
    <mergeCell ref="M4:N4"/>
    <mergeCell ref="O4:P4"/>
    <mergeCell ref="Q4:R4"/>
    <mergeCell ref="S4:T4"/>
    <mergeCell ref="U4:V4"/>
  </mergeCells>
  <pageMargins left="0.15748031496063" right="0.15748031496063" top="0" bottom="0" header="0" footer="0"/>
  <pageSetup paperSize="9" scale="47" orientation="landscape" r:id="rId1"/>
</worksheet>
</file>

<file path=xl/worksheets/sheet1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B690D65-3527-4830-87AD-E289E2C58430}">
  <sheetPr>
    <pageSetUpPr fitToPage="1"/>
  </sheetPr>
  <dimension ref="A1:Y33"/>
  <sheetViews>
    <sheetView topLeftCell="A11" zoomScale="70" zoomScaleNormal="70" zoomScaleSheetLayoutView="100" workbookViewId="0">
      <selection activeCell="J22" sqref="J22"/>
    </sheetView>
  </sheetViews>
  <sheetFormatPr defaultColWidth="9.140625" defaultRowHeight="15" x14ac:dyDescent="0.25"/>
  <cols>
    <col min="1" max="1" width="18.28515625" style="14" customWidth="1"/>
    <col min="2" max="2" width="10.7109375" style="14" customWidth="1"/>
    <col min="3" max="3" width="12.28515625" style="14" customWidth="1"/>
    <col min="4" max="4" width="11" style="14" customWidth="1"/>
    <col min="5" max="5" width="12" style="14" customWidth="1"/>
    <col min="6" max="6" width="12.5703125" style="14" bestFit="1" customWidth="1"/>
    <col min="7" max="7" width="9.28515625" style="14" bestFit="1" customWidth="1"/>
    <col min="8" max="8" width="10.140625" style="14" bestFit="1" customWidth="1"/>
    <col min="9" max="9" width="10.5703125" style="14" bestFit="1" customWidth="1"/>
    <col min="10" max="10" width="10.5703125" style="14" customWidth="1"/>
    <col min="11" max="11" width="10.28515625" style="14" bestFit="1" customWidth="1"/>
    <col min="12" max="12" width="10.42578125" style="14" bestFit="1" customWidth="1"/>
    <col min="13" max="13" width="9.85546875" style="14" bestFit="1" customWidth="1"/>
    <col min="14" max="14" width="10.140625" style="14" bestFit="1" customWidth="1"/>
    <col min="15" max="15" width="9" style="14" customWidth="1"/>
    <col min="16" max="16" width="12.85546875" style="14" bestFit="1" customWidth="1"/>
    <col min="17" max="18" width="9.42578125" style="14" customWidth="1"/>
    <col min="19" max="19" width="13.7109375" style="14" customWidth="1"/>
    <col min="20" max="20" width="12.140625" style="14" customWidth="1"/>
    <col min="21" max="21" width="19.5703125" style="14" bestFit="1" customWidth="1"/>
    <col min="22" max="22" width="9.85546875" style="14" customWidth="1"/>
    <col min="23" max="23" width="10.140625" style="14" bestFit="1" customWidth="1"/>
    <col min="24" max="24" width="10.28515625" style="14" customWidth="1"/>
    <col min="25" max="25" width="28" style="14" customWidth="1"/>
    <col min="26" max="16384" width="9.140625" style="14"/>
  </cols>
  <sheetData>
    <row r="1" spans="1:25" ht="46.15" customHeight="1" x14ac:dyDescent="0.25">
      <c r="A1" s="2240" t="s">
        <v>148</v>
      </c>
      <c r="B1" s="2240"/>
      <c r="C1" s="2240"/>
      <c r="D1" s="2240"/>
      <c r="E1" s="2240"/>
      <c r="F1" s="2240"/>
      <c r="G1" s="2240"/>
      <c r="H1" s="2240"/>
      <c r="I1" s="2240"/>
      <c r="J1" s="2240"/>
      <c r="K1" s="2240"/>
      <c r="L1" s="2240"/>
      <c r="M1" s="2240"/>
      <c r="N1" s="2240"/>
      <c r="O1" s="2240"/>
      <c r="P1" s="2240"/>
      <c r="Q1" s="2240"/>
      <c r="R1" s="2240"/>
      <c r="S1" s="2240"/>
      <c r="T1" s="2240"/>
      <c r="U1" s="2240"/>
      <c r="V1" s="2240"/>
      <c r="W1" s="2240"/>
      <c r="X1" s="2240"/>
      <c r="Y1" s="2240"/>
    </row>
    <row r="2" spans="1:25" ht="21.6" customHeight="1" x14ac:dyDescent="0.25">
      <c r="A2" s="2241" t="s">
        <v>77</v>
      </c>
      <c r="B2" s="2241"/>
      <c r="C2" s="2241"/>
      <c r="D2" s="2241"/>
      <c r="E2" s="2241"/>
      <c r="F2" s="2241"/>
      <c r="G2" s="2241"/>
      <c r="H2" s="2241"/>
      <c r="I2" s="2241"/>
      <c r="J2" s="2241"/>
      <c r="K2" s="2241"/>
      <c r="L2" s="2241"/>
      <c r="M2" s="2241"/>
      <c r="N2" s="2241"/>
      <c r="O2" s="2241"/>
      <c r="P2" s="2241"/>
      <c r="Q2" s="2241"/>
      <c r="R2" s="2241"/>
      <c r="S2" s="2241"/>
      <c r="T2" s="2241"/>
      <c r="U2" s="2241"/>
      <c r="V2" s="2241"/>
      <c r="W2" s="2241"/>
      <c r="X2" s="2241"/>
      <c r="Y2" s="2241"/>
    </row>
    <row r="3" spans="1:25" ht="21" customHeight="1" x14ac:dyDescent="0.25">
      <c r="A3" s="425"/>
      <c r="B3" s="425"/>
      <c r="C3" s="425"/>
      <c r="D3" s="425"/>
      <c r="E3" s="425"/>
      <c r="F3" s="425"/>
      <c r="G3" s="425"/>
      <c r="H3" s="425"/>
      <c r="I3" s="425"/>
      <c r="J3" s="425"/>
      <c r="K3" s="425"/>
      <c r="L3" s="425"/>
      <c r="M3" s="425"/>
      <c r="N3" s="425"/>
      <c r="O3" s="425"/>
      <c r="P3" s="425"/>
      <c r="Q3" s="425"/>
      <c r="R3" s="425"/>
      <c r="S3" s="425"/>
      <c r="T3" s="2242" t="s">
        <v>336</v>
      </c>
      <c r="U3" s="2242"/>
      <c r="V3" s="2242"/>
      <c r="W3" s="2242"/>
      <c r="X3" s="2242"/>
      <c r="Y3" s="2242"/>
    </row>
    <row r="4" spans="1:25" s="425" customFormat="1" ht="18" customHeight="1" x14ac:dyDescent="0.25">
      <c r="A4" s="2243" t="s">
        <v>25</v>
      </c>
      <c r="B4" s="2243" t="s">
        <v>26</v>
      </c>
      <c r="C4" s="2244" t="s">
        <v>27</v>
      </c>
      <c r="D4" s="2244"/>
      <c r="E4" s="2244" t="s">
        <v>28</v>
      </c>
      <c r="F4" s="2244"/>
      <c r="G4" s="2244" t="s">
        <v>65</v>
      </c>
      <c r="H4" s="2244"/>
      <c r="I4" s="2244" t="s">
        <v>29</v>
      </c>
      <c r="J4" s="2244"/>
      <c r="K4" s="2245" t="s">
        <v>13</v>
      </c>
      <c r="L4" s="2246"/>
      <c r="M4" s="2245" t="s">
        <v>67</v>
      </c>
      <c r="N4" s="2246"/>
      <c r="O4" s="2245" t="s">
        <v>68</v>
      </c>
      <c r="P4" s="2246"/>
      <c r="Q4" s="2245" t="s">
        <v>114</v>
      </c>
      <c r="R4" s="2246"/>
      <c r="S4" s="2244" t="s">
        <v>35</v>
      </c>
      <c r="T4" s="2244"/>
      <c r="U4" s="2245" t="s">
        <v>17</v>
      </c>
      <c r="V4" s="2246"/>
      <c r="W4" s="2247" t="s">
        <v>36</v>
      </c>
      <c r="X4" s="2248"/>
      <c r="Y4" s="2238" t="s">
        <v>30</v>
      </c>
    </row>
    <row r="5" spans="1:25" s="425" customFormat="1" ht="25.5" customHeight="1" x14ac:dyDescent="0.25">
      <c r="A5" s="2243"/>
      <c r="B5" s="2243"/>
      <c r="C5" s="427" t="s">
        <v>42</v>
      </c>
      <c r="D5" s="427" t="s">
        <v>43</v>
      </c>
      <c r="E5" s="427" t="s">
        <v>42</v>
      </c>
      <c r="F5" s="427" t="s">
        <v>43</v>
      </c>
      <c r="G5" s="427" t="s">
        <v>42</v>
      </c>
      <c r="H5" s="427" t="s">
        <v>43</v>
      </c>
      <c r="I5" s="427" t="s">
        <v>42</v>
      </c>
      <c r="J5" s="427" t="s">
        <v>43</v>
      </c>
      <c r="K5" s="427" t="s">
        <v>42</v>
      </c>
      <c r="L5" s="427" t="s">
        <v>43</v>
      </c>
      <c r="M5" s="427" t="s">
        <v>42</v>
      </c>
      <c r="N5" s="427" t="s">
        <v>43</v>
      </c>
      <c r="O5" s="427" t="s">
        <v>42</v>
      </c>
      <c r="P5" s="427" t="s">
        <v>43</v>
      </c>
      <c r="Q5" s="427" t="s">
        <v>42</v>
      </c>
      <c r="R5" s="427" t="s">
        <v>43</v>
      </c>
      <c r="S5" s="33" t="s">
        <v>42</v>
      </c>
      <c r="T5" s="33" t="s">
        <v>43</v>
      </c>
      <c r="U5" s="30" t="s">
        <v>42</v>
      </c>
      <c r="V5" s="30" t="s">
        <v>43</v>
      </c>
      <c r="W5" s="30" t="s">
        <v>42</v>
      </c>
      <c r="X5" s="30" t="s">
        <v>43</v>
      </c>
      <c r="Y5" s="2239"/>
    </row>
    <row r="6" spans="1:25" ht="34.5" customHeight="1" x14ac:dyDescent="0.25">
      <c r="A6" s="12">
        <v>1409935200</v>
      </c>
      <c r="B6" s="426" t="s">
        <v>71</v>
      </c>
      <c r="C6" s="429">
        <v>7284</v>
      </c>
      <c r="D6" s="430">
        <f>0.9725*C6</f>
        <v>7083.6900000000005</v>
      </c>
      <c r="E6" s="429"/>
      <c r="F6" s="429">
        <f>13.7*E6</f>
        <v>0</v>
      </c>
      <c r="G6" s="429"/>
      <c r="H6" s="429">
        <f>28.2*G6</f>
        <v>0</v>
      </c>
      <c r="I6" s="429"/>
      <c r="J6" s="429">
        <f>18.5*I6</f>
        <v>0</v>
      </c>
      <c r="K6" s="429"/>
      <c r="L6" s="429">
        <f>19.5*K6</f>
        <v>0</v>
      </c>
      <c r="M6" s="429"/>
      <c r="N6" s="430">
        <f>M6*9.75</f>
        <v>0</v>
      </c>
      <c r="O6" s="429"/>
      <c r="P6" s="430">
        <f>O6*48.62</f>
        <v>0</v>
      </c>
      <c r="Q6" s="430"/>
      <c r="R6" s="430">
        <f>241*Q6</f>
        <v>0</v>
      </c>
      <c r="S6" s="429"/>
      <c r="T6" s="429">
        <f>241*S6</f>
        <v>0</v>
      </c>
      <c r="U6" s="429"/>
      <c r="V6" s="429">
        <f>232*U6</f>
        <v>0</v>
      </c>
      <c r="W6" s="429"/>
      <c r="X6" s="19">
        <f>W6*100</f>
        <v>0</v>
      </c>
      <c r="Y6" s="89">
        <f t="shared" ref="Y6:Y11" si="0">D6+F6+H6+J6+L6+N6+P6+R6+T6+V6+X6</f>
        <v>7083.6900000000005</v>
      </c>
    </row>
    <row r="7" spans="1:25" ht="31.5" customHeight="1" x14ac:dyDescent="0.25">
      <c r="A7" s="12">
        <v>1984225578</v>
      </c>
      <c r="B7" s="426" t="s">
        <v>72</v>
      </c>
      <c r="C7" s="429">
        <v>2967</v>
      </c>
      <c r="D7" s="430">
        <f t="shared" ref="D7:D11" si="1">0.9725*C7</f>
        <v>2885.4075000000003</v>
      </c>
      <c r="E7" s="429"/>
      <c r="F7" s="429">
        <f t="shared" ref="F7:F11" si="2">13.7*E7</f>
        <v>0</v>
      </c>
      <c r="G7" s="429"/>
      <c r="H7" s="429">
        <f t="shared" ref="H7:H11" si="3">28.2*G7</f>
        <v>0</v>
      </c>
      <c r="I7" s="429"/>
      <c r="J7" s="429">
        <f t="shared" ref="J7:J11" si="4">18.5*I7</f>
        <v>0</v>
      </c>
      <c r="K7" s="429"/>
      <c r="L7" s="429">
        <f t="shared" ref="L7:L11" si="5">19.5*K7</f>
        <v>0</v>
      </c>
      <c r="M7" s="429"/>
      <c r="N7" s="430">
        <f t="shared" ref="N7:N11" si="6">M7*9.75</f>
        <v>0</v>
      </c>
      <c r="O7" s="429"/>
      <c r="P7" s="430">
        <f t="shared" ref="P7:P11" si="7">O7*48.62</f>
        <v>0</v>
      </c>
      <c r="Q7" s="430"/>
      <c r="R7" s="430">
        <f t="shared" ref="R7:R11" si="8">241*Q7</f>
        <v>0</v>
      </c>
      <c r="S7" s="429"/>
      <c r="T7" s="429">
        <f t="shared" ref="T7:T11" si="9">241*S7</f>
        <v>0</v>
      </c>
      <c r="U7" s="429"/>
      <c r="V7" s="429">
        <f t="shared" ref="V7:V11" si="10">232*U7</f>
        <v>0</v>
      </c>
      <c r="W7" s="429"/>
      <c r="X7" s="19">
        <f t="shared" ref="X7:X11" si="11">W7*100</f>
        <v>0</v>
      </c>
      <c r="Y7" s="89">
        <f t="shared" si="0"/>
        <v>2885.4075000000003</v>
      </c>
    </row>
    <row r="8" spans="1:25" ht="35.25" customHeight="1" x14ac:dyDescent="0.25">
      <c r="A8" s="12">
        <v>1967020280</v>
      </c>
      <c r="B8" s="426" t="s">
        <v>73</v>
      </c>
      <c r="C8" s="429">
        <v>3792</v>
      </c>
      <c r="D8" s="430">
        <f t="shared" si="1"/>
        <v>3687.7200000000003</v>
      </c>
      <c r="E8" s="429"/>
      <c r="F8" s="429">
        <f t="shared" si="2"/>
        <v>0</v>
      </c>
      <c r="G8" s="429"/>
      <c r="H8" s="429">
        <f t="shared" si="3"/>
        <v>0</v>
      </c>
      <c r="I8" s="429"/>
      <c r="J8" s="429">
        <f t="shared" si="4"/>
        <v>0</v>
      </c>
      <c r="K8" s="429"/>
      <c r="L8" s="429">
        <f t="shared" si="5"/>
        <v>0</v>
      </c>
      <c r="M8" s="429"/>
      <c r="N8" s="430">
        <f t="shared" si="6"/>
        <v>0</v>
      </c>
      <c r="O8" s="429"/>
      <c r="P8" s="430">
        <f t="shared" si="7"/>
        <v>0</v>
      </c>
      <c r="Q8" s="430"/>
      <c r="R8" s="430">
        <f t="shared" si="8"/>
        <v>0</v>
      </c>
      <c r="S8" s="429"/>
      <c r="T8" s="429">
        <f t="shared" si="9"/>
        <v>0</v>
      </c>
      <c r="U8" s="429"/>
      <c r="V8" s="429">
        <f t="shared" si="10"/>
        <v>0</v>
      </c>
      <c r="W8" s="429"/>
      <c r="X8" s="19">
        <f t="shared" si="11"/>
        <v>0</v>
      </c>
      <c r="Y8" s="89">
        <f t="shared" si="0"/>
        <v>3687.7200000000003</v>
      </c>
    </row>
    <row r="9" spans="1:25" ht="38.25" customHeight="1" x14ac:dyDescent="0.25">
      <c r="A9" s="12">
        <v>1984225580</v>
      </c>
      <c r="B9" s="426" t="s">
        <v>75</v>
      </c>
      <c r="C9" s="429">
        <v>13340</v>
      </c>
      <c r="D9" s="430">
        <f t="shared" si="1"/>
        <v>12973.15</v>
      </c>
      <c r="E9" s="429"/>
      <c r="F9" s="429">
        <f t="shared" si="2"/>
        <v>0</v>
      </c>
      <c r="G9" s="429"/>
      <c r="H9" s="429">
        <f t="shared" si="3"/>
        <v>0</v>
      </c>
      <c r="I9" s="429"/>
      <c r="J9" s="429">
        <f t="shared" si="4"/>
        <v>0</v>
      </c>
      <c r="K9" s="429"/>
      <c r="L9" s="429">
        <f t="shared" si="5"/>
        <v>0</v>
      </c>
      <c r="M9" s="429"/>
      <c r="N9" s="430">
        <f t="shared" si="6"/>
        <v>0</v>
      </c>
      <c r="O9" s="429"/>
      <c r="P9" s="430">
        <f t="shared" si="7"/>
        <v>0</v>
      </c>
      <c r="Q9" s="430"/>
      <c r="R9" s="430">
        <f t="shared" si="8"/>
        <v>0</v>
      </c>
      <c r="S9" s="429"/>
      <c r="T9" s="429">
        <f t="shared" si="9"/>
        <v>0</v>
      </c>
      <c r="U9" s="429"/>
      <c r="V9" s="429">
        <f t="shared" si="10"/>
        <v>0</v>
      </c>
      <c r="W9" s="429"/>
      <c r="X9" s="19">
        <f t="shared" si="11"/>
        <v>0</v>
      </c>
      <c r="Y9" s="89">
        <f t="shared" si="0"/>
        <v>12973.15</v>
      </c>
    </row>
    <row r="10" spans="1:25" ht="35.25" customHeight="1" x14ac:dyDescent="0.25">
      <c r="A10" s="12">
        <v>1409935199</v>
      </c>
      <c r="C10" s="429">
        <v>1028</v>
      </c>
      <c r="D10" s="430">
        <f t="shared" si="1"/>
        <v>999.73</v>
      </c>
      <c r="E10" s="429"/>
      <c r="F10" s="429">
        <f t="shared" si="2"/>
        <v>0</v>
      </c>
      <c r="G10" s="429"/>
      <c r="H10" s="429">
        <f t="shared" si="3"/>
        <v>0</v>
      </c>
      <c r="I10" s="429"/>
      <c r="J10" s="429">
        <f t="shared" si="4"/>
        <v>0</v>
      </c>
      <c r="K10" s="429"/>
      <c r="L10" s="429">
        <f t="shared" si="5"/>
        <v>0</v>
      </c>
      <c r="M10" s="429"/>
      <c r="N10" s="430">
        <f t="shared" si="6"/>
        <v>0</v>
      </c>
      <c r="O10" s="429"/>
      <c r="P10" s="430">
        <f t="shared" si="7"/>
        <v>0</v>
      </c>
      <c r="Q10" s="430"/>
      <c r="R10" s="430">
        <f t="shared" si="8"/>
        <v>0</v>
      </c>
      <c r="S10" s="429"/>
      <c r="T10" s="429">
        <f t="shared" si="9"/>
        <v>0</v>
      </c>
      <c r="U10" s="429"/>
      <c r="V10" s="429">
        <f t="shared" si="10"/>
        <v>0</v>
      </c>
      <c r="W10" s="429"/>
      <c r="X10" s="19">
        <f t="shared" si="11"/>
        <v>0</v>
      </c>
      <c r="Y10" s="89">
        <f t="shared" si="0"/>
        <v>999.73</v>
      </c>
    </row>
    <row r="11" spans="1:25" ht="37.5" customHeight="1" x14ac:dyDescent="0.25">
      <c r="A11" s="12"/>
      <c r="B11" s="428"/>
      <c r="C11" s="429"/>
      <c r="D11" s="22">
        <f t="shared" si="1"/>
        <v>0</v>
      </c>
      <c r="E11" s="429"/>
      <c r="F11" s="429">
        <f t="shared" si="2"/>
        <v>0</v>
      </c>
      <c r="G11" s="429"/>
      <c r="H11" s="429">
        <f t="shared" si="3"/>
        <v>0</v>
      </c>
      <c r="I11" s="429"/>
      <c r="J11" s="429">
        <f t="shared" si="4"/>
        <v>0</v>
      </c>
      <c r="K11" s="429"/>
      <c r="L11" s="429">
        <f t="shared" si="5"/>
        <v>0</v>
      </c>
      <c r="M11" s="429"/>
      <c r="N11" s="430">
        <f t="shared" si="6"/>
        <v>0</v>
      </c>
      <c r="O11" s="429"/>
      <c r="P11" s="430">
        <f t="shared" si="7"/>
        <v>0</v>
      </c>
      <c r="Q11" s="430"/>
      <c r="R11" s="430">
        <f t="shared" si="8"/>
        <v>0</v>
      </c>
      <c r="S11" s="429">
        <v>603</v>
      </c>
      <c r="T11" s="429">
        <f t="shared" si="9"/>
        <v>145323</v>
      </c>
      <c r="U11" s="429"/>
      <c r="V11" s="429">
        <f t="shared" si="10"/>
        <v>0</v>
      </c>
      <c r="W11" s="429"/>
      <c r="X11" s="19">
        <f t="shared" si="11"/>
        <v>0</v>
      </c>
      <c r="Y11" s="20">
        <f t="shared" si="0"/>
        <v>145323</v>
      </c>
    </row>
    <row r="12" spans="1:25" ht="29.25" customHeight="1" x14ac:dyDescent="0.25">
      <c r="A12" s="2235" t="s">
        <v>31</v>
      </c>
      <c r="B12" s="2235"/>
      <c r="C12" s="18">
        <f t="shared" ref="C12:Y12" si="12">SUM(C6:C11)</f>
        <v>28411</v>
      </c>
      <c r="D12" s="18">
        <f t="shared" si="12"/>
        <v>27629.697499999998</v>
      </c>
      <c r="E12" s="18">
        <f t="shared" si="12"/>
        <v>0</v>
      </c>
      <c r="F12" s="18">
        <f t="shared" si="12"/>
        <v>0</v>
      </c>
      <c r="G12" s="18">
        <f t="shared" si="12"/>
        <v>0</v>
      </c>
      <c r="H12" s="18">
        <f t="shared" si="12"/>
        <v>0</v>
      </c>
      <c r="I12" s="18">
        <f t="shared" si="12"/>
        <v>0</v>
      </c>
      <c r="J12" s="18">
        <f t="shared" si="12"/>
        <v>0</v>
      </c>
      <c r="K12" s="18">
        <f t="shared" si="12"/>
        <v>0</v>
      </c>
      <c r="L12" s="18">
        <f t="shared" si="12"/>
        <v>0</v>
      </c>
      <c r="M12" s="18">
        <f t="shared" si="12"/>
        <v>0</v>
      </c>
      <c r="N12" s="23">
        <f t="shared" si="12"/>
        <v>0</v>
      </c>
      <c r="O12" s="18">
        <f t="shared" si="12"/>
        <v>0</v>
      </c>
      <c r="P12" s="23">
        <f t="shared" si="12"/>
        <v>0</v>
      </c>
      <c r="Q12" s="23">
        <f t="shared" si="12"/>
        <v>0</v>
      </c>
      <c r="R12" s="23">
        <f>SUM(R6:R11)</f>
        <v>0</v>
      </c>
      <c r="S12" s="18">
        <f t="shared" si="12"/>
        <v>603</v>
      </c>
      <c r="T12" s="18">
        <f t="shared" si="12"/>
        <v>145323</v>
      </c>
      <c r="U12" s="18">
        <f t="shared" si="12"/>
        <v>0</v>
      </c>
      <c r="V12" s="18">
        <f t="shared" si="12"/>
        <v>0</v>
      </c>
      <c r="W12" s="18">
        <f t="shared" si="12"/>
        <v>0</v>
      </c>
      <c r="X12" s="18">
        <f t="shared" si="12"/>
        <v>0</v>
      </c>
      <c r="Y12" s="18">
        <f t="shared" si="12"/>
        <v>172952.69750000001</v>
      </c>
    </row>
    <row r="14" spans="1:25" ht="41.25" customHeight="1" x14ac:dyDescent="0.25">
      <c r="A14" s="30" t="s">
        <v>32</v>
      </c>
      <c r="B14" s="2236" t="s">
        <v>27</v>
      </c>
      <c r="C14" s="2236"/>
      <c r="D14" s="30" t="s">
        <v>333</v>
      </c>
      <c r="E14" s="30" t="s">
        <v>65</v>
      </c>
      <c r="F14" s="30" t="s">
        <v>34</v>
      </c>
      <c r="G14" s="30" t="s">
        <v>13</v>
      </c>
      <c r="H14" s="142" t="s">
        <v>173</v>
      </c>
      <c r="I14" s="30" t="s">
        <v>17</v>
      </c>
      <c r="J14" s="434" t="s">
        <v>174</v>
      </c>
      <c r="K14" s="30" t="s">
        <v>36</v>
      </c>
      <c r="L14" s="30" t="s">
        <v>175</v>
      </c>
      <c r="M14" s="30" t="s">
        <v>69</v>
      </c>
      <c r="N14" s="30" t="s">
        <v>70</v>
      </c>
      <c r="O14" s="434" t="s">
        <v>114</v>
      </c>
      <c r="P14" s="434" t="s">
        <v>335</v>
      </c>
      <c r="Q14" s="2272"/>
      <c r="R14" s="2272"/>
      <c r="S14" s="434"/>
      <c r="T14" s="2235" t="s">
        <v>46</v>
      </c>
      <c r="U14" s="426" t="s">
        <v>176</v>
      </c>
      <c r="V14" s="2260">
        <v>262787</v>
      </c>
      <c r="W14" s="2268"/>
      <c r="X14" s="2261"/>
    </row>
    <row r="15" spans="1:25" ht="22.5" customHeight="1" x14ac:dyDescent="0.25">
      <c r="A15" s="100" t="s">
        <v>38</v>
      </c>
      <c r="B15" s="2260">
        <v>345362</v>
      </c>
      <c r="C15" s="2261"/>
      <c r="D15" s="431">
        <v>100</v>
      </c>
      <c r="E15" s="431">
        <v>3540</v>
      </c>
      <c r="F15" s="431">
        <v>0</v>
      </c>
      <c r="G15" s="431">
        <v>0</v>
      </c>
      <c r="H15" s="431">
        <v>28</v>
      </c>
      <c r="I15" s="431">
        <v>0</v>
      </c>
      <c r="J15" s="431">
        <v>141</v>
      </c>
      <c r="K15" s="431">
        <v>68</v>
      </c>
      <c r="L15" s="431">
        <v>0</v>
      </c>
      <c r="M15" s="431">
        <v>0</v>
      </c>
      <c r="N15" s="431">
        <v>100</v>
      </c>
      <c r="O15" s="431">
        <v>0</v>
      </c>
      <c r="P15" s="431">
        <v>1282</v>
      </c>
      <c r="Q15" s="2262"/>
      <c r="R15" s="2262"/>
      <c r="S15" s="426">
        <v>0</v>
      </c>
      <c r="T15" s="2235"/>
      <c r="U15" s="426" t="s">
        <v>64</v>
      </c>
      <c r="V15" s="2262">
        <v>10704</v>
      </c>
      <c r="W15" s="2262"/>
      <c r="X15" s="2262"/>
    </row>
    <row r="16" spans="1:25" ht="24.75" customHeight="1" x14ac:dyDescent="0.25">
      <c r="A16" s="100" t="s">
        <v>39</v>
      </c>
      <c r="B16" s="2260"/>
      <c r="C16" s="2261"/>
      <c r="D16" s="431"/>
      <c r="E16" s="431">
        <v>4630</v>
      </c>
      <c r="F16" s="431">
        <v>40000</v>
      </c>
      <c r="G16" s="431"/>
      <c r="H16" s="431">
        <v>824</v>
      </c>
      <c r="I16" s="431"/>
      <c r="J16" s="431"/>
      <c r="K16" s="431"/>
      <c r="L16" s="431"/>
      <c r="M16" s="431"/>
      <c r="N16" s="431"/>
      <c r="O16" s="431"/>
      <c r="P16" s="431"/>
      <c r="Q16" s="2225"/>
      <c r="R16" s="2225"/>
      <c r="S16" s="431"/>
      <c r="T16" s="2254" t="s">
        <v>55</v>
      </c>
      <c r="U16" s="2254"/>
      <c r="V16" s="2267">
        <f>Y12</f>
        <v>172952.69750000001</v>
      </c>
      <c r="W16" s="2267"/>
      <c r="X16" s="2262"/>
    </row>
    <row r="17" spans="1:25" ht="28.5" customHeight="1" x14ac:dyDescent="0.25">
      <c r="A17" s="101" t="s">
        <v>44</v>
      </c>
      <c r="B17" s="2260"/>
      <c r="C17" s="2261"/>
      <c r="D17" s="431"/>
      <c r="E17" s="431"/>
      <c r="F17" s="431"/>
      <c r="G17" s="431"/>
      <c r="H17" s="431"/>
      <c r="I17" s="431"/>
      <c r="J17" s="431"/>
      <c r="K17" s="431"/>
      <c r="L17" s="431"/>
      <c r="M17" s="431"/>
      <c r="N17" s="431"/>
      <c r="O17" s="431"/>
      <c r="P17" s="431"/>
      <c r="Q17" s="2225"/>
      <c r="R17" s="2225"/>
      <c r="S17" s="428"/>
      <c r="T17" s="2294"/>
      <c r="U17" s="2295"/>
      <c r="V17" s="2296"/>
      <c r="W17" s="2296"/>
      <c r="X17" s="2296"/>
    </row>
    <row r="18" spans="1:25" ht="27" customHeight="1" x14ac:dyDescent="0.25">
      <c r="A18" s="100" t="s">
        <v>40</v>
      </c>
      <c r="B18" s="2264">
        <f>C12</f>
        <v>28411</v>
      </c>
      <c r="C18" s="2261"/>
      <c r="D18" s="432">
        <f>E12</f>
        <v>0</v>
      </c>
      <c r="E18" s="432">
        <f>G12</f>
        <v>0</v>
      </c>
      <c r="F18" s="432">
        <f>I12</f>
        <v>0</v>
      </c>
      <c r="G18" s="432">
        <f>K12</f>
        <v>0</v>
      </c>
      <c r="H18" s="431"/>
      <c r="I18" s="432">
        <f>U12</f>
        <v>0</v>
      </c>
      <c r="J18" s="431">
        <v>76</v>
      </c>
      <c r="K18" s="432">
        <f>W12</f>
        <v>0</v>
      </c>
      <c r="L18" s="431"/>
      <c r="M18" s="432">
        <f>M12</f>
        <v>0</v>
      </c>
      <c r="N18" s="432">
        <f>O12</f>
        <v>0</v>
      </c>
      <c r="O18" s="433">
        <f>Q12</f>
        <v>0</v>
      </c>
      <c r="P18" s="431">
        <v>527</v>
      </c>
      <c r="Q18" s="2262"/>
      <c r="R18" s="2262"/>
      <c r="S18" s="426"/>
      <c r="T18" s="2254" t="s">
        <v>57</v>
      </c>
      <c r="U18" s="2254"/>
      <c r="V18" s="2262">
        <f>470+138910</f>
        <v>139380</v>
      </c>
      <c r="W18" s="2262"/>
      <c r="X18" s="2262"/>
      <c r="Y18" s="2269"/>
    </row>
    <row r="19" spans="1:25" ht="25.5" customHeight="1" x14ac:dyDescent="0.25">
      <c r="A19" s="100" t="s">
        <v>41</v>
      </c>
      <c r="B19" s="2260">
        <f>B15+B16+B17-B18</f>
        <v>316951</v>
      </c>
      <c r="C19" s="2261"/>
      <c r="D19" s="431">
        <f>D15+D16+D17-D18</f>
        <v>100</v>
      </c>
      <c r="E19" s="431">
        <f t="shared" ref="E19:N19" si="13">E15+E16+E17-E18</f>
        <v>8170</v>
      </c>
      <c r="F19" s="431">
        <f t="shared" si="13"/>
        <v>40000</v>
      </c>
      <c r="G19" s="431">
        <f t="shared" si="13"/>
        <v>0</v>
      </c>
      <c r="H19" s="431">
        <f t="shared" si="13"/>
        <v>852</v>
      </c>
      <c r="I19" s="431">
        <f t="shared" si="13"/>
        <v>0</v>
      </c>
      <c r="J19" s="431">
        <f t="shared" si="13"/>
        <v>65</v>
      </c>
      <c r="K19" s="431">
        <f t="shared" si="13"/>
        <v>68</v>
      </c>
      <c r="L19" s="431">
        <f t="shared" si="13"/>
        <v>0</v>
      </c>
      <c r="M19" s="431">
        <f t="shared" si="13"/>
        <v>0</v>
      </c>
      <c r="N19" s="431">
        <f t="shared" si="13"/>
        <v>100</v>
      </c>
      <c r="O19" s="431">
        <f>O15+O16+O17-O18</f>
        <v>0</v>
      </c>
      <c r="P19" s="431">
        <f>P15+P16+P17-P18</f>
        <v>755</v>
      </c>
      <c r="Q19" s="2260">
        <f t="shared" ref="Q19" si="14">Q15+Q16+Q17-Q18</f>
        <v>0</v>
      </c>
      <c r="R19" s="2261"/>
      <c r="S19" s="426">
        <f>S15+S16-S17-S18</f>
        <v>0</v>
      </c>
      <c r="T19" s="2256" t="s">
        <v>48</v>
      </c>
      <c r="U19" s="49" t="s">
        <v>58</v>
      </c>
      <c r="V19" s="2262"/>
      <c r="W19" s="2262"/>
      <c r="X19" s="2262"/>
      <c r="Y19" s="2269"/>
    </row>
    <row r="20" spans="1:25" ht="23.25" customHeight="1" x14ac:dyDescent="0.25">
      <c r="A20" s="289" t="s">
        <v>187</v>
      </c>
      <c r="B20" s="2286">
        <f>B19*0.9625</f>
        <v>305065.33750000002</v>
      </c>
      <c r="C20" s="2287"/>
      <c r="D20" s="290">
        <f>D19*13.56</f>
        <v>1356</v>
      </c>
      <c r="E20" s="290">
        <f>28.2*E19</f>
        <v>230394</v>
      </c>
      <c r="F20" s="290">
        <f>18.31*F19</f>
        <v>732400</v>
      </c>
      <c r="G20" s="290">
        <f>19.3*G19</f>
        <v>0</v>
      </c>
      <c r="H20" s="290">
        <f>241*H19</f>
        <v>205332</v>
      </c>
      <c r="I20" s="290">
        <f>223*I19</f>
        <v>0</v>
      </c>
      <c r="J20" s="290">
        <f>241*J19</f>
        <v>15665</v>
      </c>
      <c r="K20" s="290">
        <f>K19*100</f>
        <v>6800</v>
      </c>
      <c r="L20" s="290">
        <f>241*L19</f>
        <v>0</v>
      </c>
      <c r="M20" s="290">
        <f>9.65*M19</f>
        <v>0</v>
      </c>
      <c r="N20" s="290">
        <f>N19*48.2</f>
        <v>4820</v>
      </c>
      <c r="O20" s="290">
        <f>241*O19</f>
        <v>0</v>
      </c>
      <c r="P20" s="290">
        <f>241*P19</f>
        <v>181955</v>
      </c>
      <c r="Q20" s="2286">
        <f>241*Q19</f>
        <v>0</v>
      </c>
      <c r="R20" s="2287"/>
      <c r="S20" s="290">
        <f>241*S19</f>
        <v>0</v>
      </c>
      <c r="T20" s="2257"/>
      <c r="U20" s="49" t="s">
        <v>59</v>
      </c>
      <c r="V20" s="2262">
        <v>17834</v>
      </c>
      <c r="W20" s="2262"/>
      <c r="X20" s="2262"/>
      <c r="Y20" s="2269"/>
    </row>
    <row r="21" spans="1:25" ht="32.25" customHeight="1" x14ac:dyDescent="0.25">
      <c r="A21" s="291" t="s">
        <v>186</v>
      </c>
      <c r="B21" s="2293">
        <f>SUM(B20:S20)</f>
        <v>1683787.3374999999</v>
      </c>
      <c r="C21" s="2293"/>
      <c r="O21" s="435"/>
      <c r="P21" s="435"/>
      <c r="Q21" s="435"/>
      <c r="R21" s="435"/>
      <c r="T21" s="2294"/>
      <c r="U21" s="2295"/>
      <c r="V21" s="2297"/>
      <c r="W21" s="2298"/>
      <c r="X21" s="2299"/>
      <c r="Y21" s="2269"/>
    </row>
    <row r="22" spans="1:25" ht="35.25" customHeight="1" x14ac:dyDescent="0.25">
      <c r="A22" s="15"/>
      <c r="B22" s="2288" t="s">
        <v>49</v>
      </c>
      <c r="C22" s="2291">
        <v>340000</v>
      </c>
      <c r="D22" s="2291"/>
      <c r="E22" s="2291">
        <v>1042385</v>
      </c>
      <c r="F22" s="2291">
        <f>C22-D22+E22</f>
        <v>1382385</v>
      </c>
      <c r="G22" s="435"/>
      <c r="Q22" s="435"/>
      <c r="R22" s="435"/>
      <c r="T22" s="2251" t="s">
        <v>83</v>
      </c>
      <c r="U22" s="50" t="s">
        <v>60</v>
      </c>
      <c r="V22" s="2262"/>
      <c r="W22" s="2262"/>
      <c r="X22" s="2262"/>
      <c r="Y22" s="2269"/>
    </row>
    <row r="23" spans="1:25" ht="39.75" customHeight="1" x14ac:dyDescent="0.25">
      <c r="A23" s="435"/>
      <c r="B23" s="2289"/>
      <c r="C23" s="2292"/>
      <c r="D23" s="2292"/>
      <c r="E23" s="2292"/>
      <c r="F23" s="2292"/>
      <c r="G23" s="435"/>
      <c r="Q23" s="435"/>
      <c r="R23" s="435"/>
      <c r="T23" s="2252"/>
      <c r="U23" s="50" t="s">
        <v>61</v>
      </c>
      <c r="V23" s="2262"/>
      <c r="W23" s="2262"/>
      <c r="X23" s="2262"/>
      <c r="Y23" s="2269"/>
    </row>
    <row r="24" spans="1:25" ht="48" customHeight="1" x14ac:dyDescent="0.25">
      <c r="A24" s="435"/>
      <c r="B24" s="2290"/>
      <c r="C24" s="290" t="s">
        <v>46</v>
      </c>
      <c r="D24" s="290" t="s">
        <v>50</v>
      </c>
      <c r="E24" s="290" t="s">
        <v>51</v>
      </c>
      <c r="F24" s="290" t="s">
        <v>52</v>
      </c>
      <c r="G24" s="435"/>
      <c r="Q24" s="435"/>
      <c r="R24" s="435"/>
      <c r="T24" s="2235" t="s">
        <v>47</v>
      </c>
      <c r="U24" s="51" t="s">
        <v>62</v>
      </c>
      <c r="V24" s="2263">
        <f>V14+V16+V17-V18-V19-V20-V22+V23-V21</f>
        <v>278525.69750000001</v>
      </c>
      <c r="W24" s="2263"/>
      <c r="X24" s="2263"/>
      <c r="Y24" s="2269"/>
    </row>
    <row r="25" spans="1:25" ht="40.5" customHeight="1" x14ac:dyDescent="0.25">
      <c r="T25" s="2235"/>
      <c r="U25" s="51" t="s">
        <v>63</v>
      </c>
      <c r="V25" s="2262">
        <f>V15+V22-V23</f>
        <v>10704</v>
      </c>
      <c r="W25" s="2262"/>
      <c r="X25" s="2262"/>
    </row>
    <row r="26" spans="1:25" ht="36" customHeight="1" x14ac:dyDescent="0.25">
      <c r="K26" s="314"/>
    </row>
    <row r="32" spans="1:25" x14ac:dyDescent="0.25">
      <c r="I32" s="2280"/>
      <c r="J32" s="2280"/>
      <c r="K32" s="2280"/>
      <c r="L32" s="2280"/>
    </row>
    <row r="33" spans="9:12" x14ac:dyDescent="0.25">
      <c r="I33" s="435"/>
      <c r="J33" s="435"/>
      <c r="K33" s="2280"/>
      <c r="L33" s="2280"/>
    </row>
  </sheetData>
  <mergeCells count="62">
    <mergeCell ref="I32:J32"/>
    <mergeCell ref="K32:L32"/>
    <mergeCell ref="K33:L33"/>
    <mergeCell ref="T22:T23"/>
    <mergeCell ref="V22:X22"/>
    <mergeCell ref="V23:X23"/>
    <mergeCell ref="T24:T25"/>
    <mergeCell ref="V24:X24"/>
    <mergeCell ref="V25:X25"/>
    <mergeCell ref="Y18:Y24"/>
    <mergeCell ref="B19:C19"/>
    <mergeCell ref="Q19:R19"/>
    <mergeCell ref="T19:T20"/>
    <mergeCell ref="V19:X19"/>
    <mergeCell ref="B20:C20"/>
    <mergeCell ref="B22:B24"/>
    <mergeCell ref="C22:C23"/>
    <mergeCell ref="D22:D23"/>
    <mergeCell ref="E22:E23"/>
    <mergeCell ref="F22:F23"/>
    <mergeCell ref="Q20:R20"/>
    <mergeCell ref="V20:X20"/>
    <mergeCell ref="B21:C21"/>
    <mergeCell ref="T21:U21"/>
    <mergeCell ref="V21:X21"/>
    <mergeCell ref="B17:C17"/>
    <mergeCell ref="Q17:R17"/>
    <mergeCell ref="T17:U17"/>
    <mergeCell ref="V17:X17"/>
    <mergeCell ref="B18:C18"/>
    <mergeCell ref="Q18:R18"/>
    <mergeCell ref="T18:U18"/>
    <mergeCell ref="V18:X18"/>
    <mergeCell ref="W4:X4"/>
    <mergeCell ref="B16:C16"/>
    <mergeCell ref="Q16:R16"/>
    <mergeCell ref="T16:U16"/>
    <mergeCell ref="V16:X16"/>
    <mergeCell ref="A12:B12"/>
    <mergeCell ref="B14:C14"/>
    <mergeCell ref="Q14:R14"/>
    <mergeCell ref="T14:T15"/>
    <mergeCell ref="V14:X14"/>
    <mergeCell ref="B15:C15"/>
    <mergeCell ref="Q15:R15"/>
    <mergeCell ref="V15:X15"/>
    <mergeCell ref="A1:Y1"/>
    <mergeCell ref="A2:Y2"/>
    <mergeCell ref="T3:Y3"/>
    <mergeCell ref="A4:A5"/>
    <mergeCell ref="B4:B5"/>
    <mergeCell ref="C4:D4"/>
    <mergeCell ref="E4:F4"/>
    <mergeCell ref="G4:H4"/>
    <mergeCell ref="I4:J4"/>
    <mergeCell ref="K4:L4"/>
    <mergeCell ref="Y4:Y5"/>
    <mergeCell ref="M4:N4"/>
    <mergeCell ref="O4:P4"/>
    <mergeCell ref="Q4:R4"/>
    <mergeCell ref="S4:T4"/>
    <mergeCell ref="U4:V4"/>
  </mergeCells>
  <pageMargins left="0.15748031496063" right="0.15748031496063" top="0" bottom="0" header="0" footer="0"/>
  <pageSetup paperSize="9" scale="47" orientation="landscape" r:id="rId1"/>
</worksheet>
</file>

<file path=xl/worksheets/sheet1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6FB037F-B7A3-4532-A225-DC75A262E468}">
  <sheetPr>
    <pageSetUpPr fitToPage="1"/>
  </sheetPr>
  <dimension ref="A1:Y33"/>
  <sheetViews>
    <sheetView topLeftCell="A11" zoomScale="70" zoomScaleNormal="70" zoomScaleSheetLayoutView="100" workbookViewId="0">
      <selection activeCell="J25" sqref="J25"/>
    </sheetView>
  </sheetViews>
  <sheetFormatPr defaultColWidth="9.140625" defaultRowHeight="15" x14ac:dyDescent="0.25"/>
  <cols>
    <col min="1" max="1" width="18.28515625" style="14" customWidth="1"/>
    <col min="2" max="2" width="10.7109375" style="14" customWidth="1"/>
    <col min="3" max="3" width="12.28515625" style="14" customWidth="1"/>
    <col min="4" max="4" width="11" style="14" customWidth="1"/>
    <col min="5" max="5" width="12" style="14" customWidth="1"/>
    <col min="6" max="6" width="12.5703125" style="14" bestFit="1" customWidth="1"/>
    <col min="7" max="7" width="9.28515625" style="14" bestFit="1" customWidth="1"/>
    <col min="8" max="8" width="10.140625" style="14" bestFit="1" customWidth="1"/>
    <col min="9" max="9" width="10.5703125" style="14" bestFit="1" customWidth="1"/>
    <col min="10" max="10" width="10.5703125" style="14" customWidth="1"/>
    <col min="11" max="11" width="10.28515625" style="14" bestFit="1" customWidth="1"/>
    <col min="12" max="12" width="10.42578125" style="14" bestFit="1" customWidth="1"/>
    <col min="13" max="13" width="9.85546875" style="14" bestFit="1" customWidth="1"/>
    <col min="14" max="14" width="10.140625" style="14" bestFit="1" customWidth="1"/>
    <col min="15" max="15" width="9" style="14" customWidth="1"/>
    <col min="16" max="16" width="12.85546875" style="14" bestFit="1" customWidth="1"/>
    <col min="17" max="18" width="9.42578125" style="14" customWidth="1"/>
    <col min="19" max="19" width="13.7109375" style="14" customWidth="1"/>
    <col min="20" max="20" width="12.140625" style="14" customWidth="1"/>
    <col min="21" max="21" width="19.5703125" style="14" bestFit="1" customWidth="1"/>
    <col min="22" max="22" width="9.85546875" style="14" customWidth="1"/>
    <col min="23" max="23" width="10.140625" style="14" bestFit="1" customWidth="1"/>
    <col min="24" max="24" width="10.28515625" style="14" customWidth="1"/>
    <col min="25" max="25" width="28" style="14" customWidth="1"/>
    <col min="26" max="16384" width="9.140625" style="14"/>
  </cols>
  <sheetData>
    <row r="1" spans="1:25" ht="46.15" customHeight="1" x14ac:dyDescent="0.25">
      <c r="A1" s="2240" t="s">
        <v>148</v>
      </c>
      <c r="B1" s="2240"/>
      <c r="C1" s="2240"/>
      <c r="D1" s="2240"/>
      <c r="E1" s="2240"/>
      <c r="F1" s="2240"/>
      <c r="G1" s="2240"/>
      <c r="H1" s="2240"/>
      <c r="I1" s="2240"/>
      <c r="J1" s="2240"/>
      <c r="K1" s="2240"/>
      <c r="L1" s="2240"/>
      <c r="M1" s="2240"/>
      <c r="N1" s="2240"/>
      <c r="O1" s="2240"/>
      <c r="P1" s="2240"/>
      <c r="Q1" s="2240"/>
      <c r="R1" s="2240"/>
      <c r="S1" s="2240"/>
      <c r="T1" s="2240"/>
      <c r="U1" s="2240"/>
      <c r="V1" s="2240"/>
      <c r="W1" s="2240"/>
      <c r="X1" s="2240"/>
      <c r="Y1" s="2240"/>
    </row>
    <row r="2" spans="1:25" ht="21.6" customHeight="1" x14ac:dyDescent="0.25">
      <c r="A2" s="2241" t="s">
        <v>77</v>
      </c>
      <c r="B2" s="2241"/>
      <c r="C2" s="2241"/>
      <c r="D2" s="2241"/>
      <c r="E2" s="2241"/>
      <c r="F2" s="2241"/>
      <c r="G2" s="2241"/>
      <c r="H2" s="2241"/>
      <c r="I2" s="2241"/>
      <c r="J2" s="2241"/>
      <c r="K2" s="2241"/>
      <c r="L2" s="2241"/>
      <c r="M2" s="2241"/>
      <c r="N2" s="2241"/>
      <c r="O2" s="2241"/>
      <c r="P2" s="2241"/>
      <c r="Q2" s="2241"/>
      <c r="R2" s="2241"/>
      <c r="S2" s="2241"/>
      <c r="T2" s="2241"/>
      <c r="U2" s="2241"/>
      <c r="V2" s="2241"/>
      <c r="W2" s="2241"/>
      <c r="X2" s="2241"/>
      <c r="Y2" s="2241"/>
    </row>
    <row r="3" spans="1:25" ht="21" customHeight="1" x14ac:dyDescent="0.25">
      <c r="A3" s="436"/>
      <c r="B3" s="436"/>
      <c r="C3" s="436"/>
      <c r="D3" s="436"/>
      <c r="E3" s="436"/>
      <c r="F3" s="436"/>
      <c r="G3" s="436"/>
      <c r="H3" s="436"/>
      <c r="I3" s="436"/>
      <c r="J3" s="436"/>
      <c r="K3" s="436"/>
      <c r="L3" s="436"/>
      <c r="M3" s="436"/>
      <c r="N3" s="436"/>
      <c r="O3" s="436"/>
      <c r="P3" s="436"/>
      <c r="Q3" s="436"/>
      <c r="R3" s="436"/>
      <c r="S3" s="436"/>
      <c r="T3" s="2242" t="s">
        <v>338</v>
      </c>
      <c r="U3" s="2242"/>
      <c r="V3" s="2242"/>
      <c r="W3" s="2242"/>
      <c r="X3" s="2242"/>
      <c r="Y3" s="2242"/>
    </row>
    <row r="4" spans="1:25" s="436" customFormat="1" ht="18" customHeight="1" x14ac:dyDescent="0.25">
      <c r="A4" s="2243" t="s">
        <v>25</v>
      </c>
      <c r="B4" s="2243" t="s">
        <v>26</v>
      </c>
      <c r="C4" s="2244" t="s">
        <v>27</v>
      </c>
      <c r="D4" s="2244"/>
      <c r="E4" s="2244" t="s">
        <v>28</v>
      </c>
      <c r="F4" s="2244"/>
      <c r="G4" s="2244" t="s">
        <v>65</v>
      </c>
      <c r="H4" s="2244"/>
      <c r="I4" s="2244" t="s">
        <v>29</v>
      </c>
      <c r="J4" s="2244"/>
      <c r="K4" s="2245" t="s">
        <v>13</v>
      </c>
      <c r="L4" s="2246"/>
      <c r="M4" s="2245" t="s">
        <v>67</v>
      </c>
      <c r="N4" s="2246"/>
      <c r="O4" s="2245" t="s">
        <v>68</v>
      </c>
      <c r="P4" s="2246"/>
      <c r="Q4" s="2245" t="s">
        <v>114</v>
      </c>
      <c r="R4" s="2246"/>
      <c r="S4" s="2244" t="s">
        <v>35</v>
      </c>
      <c r="T4" s="2244"/>
      <c r="U4" s="2245" t="s">
        <v>17</v>
      </c>
      <c r="V4" s="2246"/>
      <c r="W4" s="2247" t="s">
        <v>36</v>
      </c>
      <c r="X4" s="2248"/>
      <c r="Y4" s="2238" t="s">
        <v>30</v>
      </c>
    </row>
    <row r="5" spans="1:25" s="436" customFormat="1" ht="25.5" customHeight="1" x14ac:dyDescent="0.25">
      <c r="A5" s="2243"/>
      <c r="B5" s="2243"/>
      <c r="C5" s="438" t="s">
        <v>42</v>
      </c>
      <c r="D5" s="438" t="s">
        <v>43</v>
      </c>
      <c r="E5" s="438" t="s">
        <v>42</v>
      </c>
      <c r="F5" s="438" t="s">
        <v>43</v>
      </c>
      <c r="G5" s="438" t="s">
        <v>42</v>
      </c>
      <c r="H5" s="438" t="s">
        <v>43</v>
      </c>
      <c r="I5" s="438" t="s">
        <v>42</v>
      </c>
      <c r="J5" s="438" t="s">
        <v>43</v>
      </c>
      <c r="K5" s="438" t="s">
        <v>42</v>
      </c>
      <c r="L5" s="438" t="s">
        <v>43</v>
      </c>
      <c r="M5" s="438" t="s">
        <v>42</v>
      </c>
      <c r="N5" s="438" t="s">
        <v>43</v>
      </c>
      <c r="O5" s="438" t="s">
        <v>42</v>
      </c>
      <c r="P5" s="438" t="s">
        <v>43</v>
      </c>
      <c r="Q5" s="438" t="s">
        <v>42</v>
      </c>
      <c r="R5" s="438" t="s">
        <v>43</v>
      </c>
      <c r="S5" s="33" t="s">
        <v>42</v>
      </c>
      <c r="T5" s="33" t="s">
        <v>43</v>
      </c>
      <c r="U5" s="30" t="s">
        <v>42</v>
      </c>
      <c r="V5" s="30" t="s">
        <v>43</v>
      </c>
      <c r="W5" s="30" t="s">
        <v>42</v>
      </c>
      <c r="X5" s="30" t="s">
        <v>43</v>
      </c>
      <c r="Y5" s="2239"/>
    </row>
    <row r="6" spans="1:25" ht="34.5" customHeight="1" x14ac:dyDescent="0.25">
      <c r="A6" s="12">
        <v>1409935200</v>
      </c>
      <c r="B6" s="437" t="s">
        <v>71</v>
      </c>
      <c r="C6" s="440">
        <v>15824</v>
      </c>
      <c r="D6" s="441">
        <f>0.9725*C6</f>
        <v>15388.84</v>
      </c>
      <c r="E6" s="440"/>
      <c r="F6" s="440">
        <f>13.7*E6</f>
        <v>0</v>
      </c>
      <c r="G6" s="440">
        <v>20</v>
      </c>
      <c r="H6" s="440">
        <f>28.2*G6</f>
        <v>564</v>
      </c>
      <c r="I6" s="440"/>
      <c r="J6" s="440">
        <f>18.5*I6</f>
        <v>0</v>
      </c>
      <c r="K6" s="440"/>
      <c r="L6" s="440">
        <f>19.5*K6</f>
        <v>0</v>
      </c>
      <c r="M6" s="440"/>
      <c r="N6" s="441">
        <f>M6*9.75</f>
        <v>0</v>
      </c>
      <c r="O6" s="440"/>
      <c r="P6" s="441">
        <f>O6*48.62</f>
        <v>0</v>
      </c>
      <c r="Q6" s="441"/>
      <c r="R6" s="441">
        <f>241*Q6</f>
        <v>0</v>
      </c>
      <c r="S6" s="440"/>
      <c r="T6" s="440">
        <f>241*S6</f>
        <v>0</v>
      </c>
      <c r="U6" s="440"/>
      <c r="V6" s="440">
        <f>232*U6</f>
        <v>0</v>
      </c>
      <c r="W6" s="440"/>
      <c r="X6" s="19">
        <f>W6*100</f>
        <v>0</v>
      </c>
      <c r="Y6" s="89">
        <f t="shared" ref="Y6:Y11" si="0">D6+F6+H6+J6+L6+N6+P6+R6+T6+V6+X6</f>
        <v>15952.84</v>
      </c>
    </row>
    <row r="7" spans="1:25" ht="31.5" customHeight="1" x14ac:dyDescent="0.25">
      <c r="A7" s="12">
        <v>1984225578</v>
      </c>
      <c r="B7" s="437" t="s">
        <v>72</v>
      </c>
      <c r="C7" s="440">
        <v>5022</v>
      </c>
      <c r="D7" s="441">
        <f t="shared" ref="D7:D11" si="1">0.9725*C7</f>
        <v>4883.8950000000004</v>
      </c>
      <c r="E7" s="440"/>
      <c r="F7" s="440">
        <f t="shared" ref="F7:F11" si="2">13.7*E7</f>
        <v>0</v>
      </c>
      <c r="G7" s="440"/>
      <c r="H7" s="440">
        <f t="shared" ref="H7:H11" si="3">28.2*G7</f>
        <v>0</v>
      </c>
      <c r="I7" s="440"/>
      <c r="J7" s="440">
        <f t="shared" ref="J7:J11" si="4">18.5*I7</f>
        <v>0</v>
      </c>
      <c r="K7" s="440"/>
      <c r="L7" s="440">
        <f t="shared" ref="L7:L11" si="5">19.5*K7</f>
        <v>0</v>
      </c>
      <c r="M7" s="440"/>
      <c r="N7" s="441">
        <f t="shared" ref="N7:N11" si="6">M7*9.75</f>
        <v>0</v>
      </c>
      <c r="O7" s="440"/>
      <c r="P7" s="441">
        <f t="shared" ref="P7:P11" si="7">O7*48.62</f>
        <v>0</v>
      </c>
      <c r="Q7" s="441"/>
      <c r="R7" s="441">
        <f t="shared" ref="R7:R11" si="8">241*Q7</f>
        <v>0</v>
      </c>
      <c r="S7" s="440"/>
      <c r="T7" s="440">
        <f t="shared" ref="T7:T11" si="9">241*S7</f>
        <v>0</v>
      </c>
      <c r="U7" s="440"/>
      <c r="V7" s="440">
        <f t="shared" ref="V7:V11" si="10">232*U7</f>
        <v>0</v>
      </c>
      <c r="W7" s="440"/>
      <c r="X7" s="19">
        <f t="shared" ref="X7:X11" si="11">W7*100</f>
        <v>0</v>
      </c>
      <c r="Y7" s="89">
        <f t="shared" si="0"/>
        <v>4883.8950000000004</v>
      </c>
    </row>
    <row r="8" spans="1:25" ht="35.25" customHeight="1" x14ac:dyDescent="0.25">
      <c r="A8" s="12">
        <v>1967020280</v>
      </c>
      <c r="B8" s="437" t="s">
        <v>73</v>
      </c>
      <c r="C8" s="440">
        <v>12936</v>
      </c>
      <c r="D8" s="441">
        <f t="shared" si="1"/>
        <v>12580.26</v>
      </c>
      <c r="E8" s="440"/>
      <c r="F8" s="440">
        <f t="shared" si="2"/>
        <v>0</v>
      </c>
      <c r="G8" s="440"/>
      <c r="H8" s="440">
        <f t="shared" si="3"/>
        <v>0</v>
      </c>
      <c r="I8" s="440"/>
      <c r="J8" s="440">
        <f t="shared" si="4"/>
        <v>0</v>
      </c>
      <c r="K8" s="440"/>
      <c r="L8" s="440">
        <f t="shared" si="5"/>
        <v>0</v>
      </c>
      <c r="M8" s="440"/>
      <c r="N8" s="441">
        <f t="shared" si="6"/>
        <v>0</v>
      </c>
      <c r="O8" s="440"/>
      <c r="P8" s="441">
        <f t="shared" si="7"/>
        <v>0</v>
      </c>
      <c r="Q8" s="441"/>
      <c r="R8" s="441">
        <f t="shared" si="8"/>
        <v>0</v>
      </c>
      <c r="S8" s="440"/>
      <c r="T8" s="440">
        <f t="shared" si="9"/>
        <v>0</v>
      </c>
      <c r="U8" s="440"/>
      <c r="V8" s="440">
        <f t="shared" si="10"/>
        <v>0</v>
      </c>
      <c r="W8" s="440"/>
      <c r="X8" s="19">
        <f t="shared" si="11"/>
        <v>0</v>
      </c>
      <c r="Y8" s="89">
        <f t="shared" si="0"/>
        <v>12580.26</v>
      </c>
    </row>
    <row r="9" spans="1:25" ht="38.25" customHeight="1" x14ac:dyDescent="0.25">
      <c r="A9" s="12">
        <v>1984225580</v>
      </c>
      <c r="B9" s="437" t="s">
        <v>75</v>
      </c>
      <c r="C9" s="440">
        <v>13786</v>
      </c>
      <c r="D9" s="441">
        <f t="shared" si="1"/>
        <v>13406.885</v>
      </c>
      <c r="E9" s="440"/>
      <c r="F9" s="440">
        <f t="shared" si="2"/>
        <v>0</v>
      </c>
      <c r="G9" s="440"/>
      <c r="H9" s="440">
        <f t="shared" si="3"/>
        <v>0</v>
      </c>
      <c r="I9" s="440"/>
      <c r="J9" s="440">
        <f t="shared" si="4"/>
        <v>0</v>
      </c>
      <c r="K9" s="440"/>
      <c r="L9" s="440">
        <f t="shared" si="5"/>
        <v>0</v>
      </c>
      <c r="M9" s="440"/>
      <c r="N9" s="441">
        <f t="shared" si="6"/>
        <v>0</v>
      </c>
      <c r="O9" s="440"/>
      <c r="P9" s="441">
        <f t="shared" si="7"/>
        <v>0</v>
      </c>
      <c r="Q9" s="441"/>
      <c r="R9" s="441">
        <f t="shared" si="8"/>
        <v>0</v>
      </c>
      <c r="S9" s="440"/>
      <c r="T9" s="440">
        <f t="shared" si="9"/>
        <v>0</v>
      </c>
      <c r="U9" s="440"/>
      <c r="V9" s="440">
        <f t="shared" si="10"/>
        <v>0</v>
      </c>
      <c r="W9" s="440"/>
      <c r="X9" s="19">
        <f t="shared" si="11"/>
        <v>0</v>
      </c>
      <c r="Y9" s="89">
        <f t="shared" si="0"/>
        <v>13406.885</v>
      </c>
    </row>
    <row r="10" spans="1:25" ht="35.25" customHeight="1" x14ac:dyDescent="0.25">
      <c r="A10" s="12">
        <v>1409935199</v>
      </c>
      <c r="C10" s="440"/>
      <c r="D10" s="441">
        <f t="shared" si="1"/>
        <v>0</v>
      </c>
      <c r="E10" s="440"/>
      <c r="F10" s="440">
        <f t="shared" si="2"/>
        <v>0</v>
      </c>
      <c r="G10" s="440"/>
      <c r="H10" s="440">
        <f t="shared" si="3"/>
        <v>0</v>
      </c>
      <c r="I10" s="440"/>
      <c r="J10" s="440">
        <f t="shared" si="4"/>
        <v>0</v>
      </c>
      <c r="K10" s="440"/>
      <c r="L10" s="440">
        <f t="shared" si="5"/>
        <v>0</v>
      </c>
      <c r="M10" s="440"/>
      <c r="N10" s="441">
        <f t="shared" si="6"/>
        <v>0</v>
      </c>
      <c r="O10" s="440"/>
      <c r="P10" s="441">
        <f t="shared" si="7"/>
        <v>0</v>
      </c>
      <c r="Q10" s="441"/>
      <c r="R10" s="441">
        <f t="shared" si="8"/>
        <v>0</v>
      </c>
      <c r="S10" s="440"/>
      <c r="T10" s="440">
        <f t="shared" si="9"/>
        <v>0</v>
      </c>
      <c r="U10" s="440"/>
      <c r="V10" s="440">
        <f t="shared" si="10"/>
        <v>0</v>
      </c>
      <c r="W10" s="440"/>
      <c r="X10" s="19">
        <f t="shared" si="11"/>
        <v>0</v>
      </c>
      <c r="Y10" s="89">
        <f t="shared" si="0"/>
        <v>0</v>
      </c>
    </row>
    <row r="11" spans="1:25" ht="37.5" customHeight="1" x14ac:dyDescent="0.25">
      <c r="A11" s="12"/>
      <c r="B11" s="439"/>
      <c r="C11" s="440"/>
      <c r="D11" s="22">
        <f t="shared" si="1"/>
        <v>0</v>
      </c>
      <c r="E11" s="440"/>
      <c r="F11" s="440">
        <f t="shared" si="2"/>
        <v>0</v>
      </c>
      <c r="G11" s="440"/>
      <c r="H11" s="440">
        <f t="shared" si="3"/>
        <v>0</v>
      </c>
      <c r="I11" s="440"/>
      <c r="J11" s="440">
        <f t="shared" si="4"/>
        <v>0</v>
      </c>
      <c r="K11" s="440"/>
      <c r="L11" s="440">
        <f t="shared" si="5"/>
        <v>0</v>
      </c>
      <c r="M11" s="440"/>
      <c r="N11" s="441">
        <f t="shared" si="6"/>
        <v>0</v>
      </c>
      <c r="O11" s="440"/>
      <c r="P11" s="441">
        <f t="shared" si="7"/>
        <v>0</v>
      </c>
      <c r="Q11" s="441"/>
      <c r="R11" s="441">
        <f t="shared" si="8"/>
        <v>0</v>
      </c>
      <c r="S11" s="440"/>
      <c r="T11" s="440">
        <f t="shared" si="9"/>
        <v>0</v>
      </c>
      <c r="U11" s="440"/>
      <c r="V11" s="440">
        <f t="shared" si="10"/>
        <v>0</v>
      </c>
      <c r="W11" s="440"/>
      <c r="X11" s="19">
        <f t="shared" si="11"/>
        <v>0</v>
      </c>
      <c r="Y11" s="20">
        <f t="shared" si="0"/>
        <v>0</v>
      </c>
    </row>
    <row r="12" spans="1:25" ht="29.25" customHeight="1" x14ac:dyDescent="0.25">
      <c r="A12" s="2235" t="s">
        <v>31</v>
      </c>
      <c r="B12" s="2235"/>
      <c r="C12" s="18">
        <f t="shared" ref="C12:Y12" si="12">SUM(C6:C11)</f>
        <v>47568</v>
      </c>
      <c r="D12" s="18">
        <f t="shared" si="12"/>
        <v>46259.880000000005</v>
      </c>
      <c r="E12" s="18">
        <f t="shared" si="12"/>
        <v>0</v>
      </c>
      <c r="F12" s="18">
        <f t="shared" si="12"/>
        <v>0</v>
      </c>
      <c r="G12" s="18">
        <f t="shared" si="12"/>
        <v>20</v>
      </c>
      <c r="H12" s="18">
        <f t="shared" si="12"/>
        <v>564</v>
      </c>
      <c r="I12" s="18">
        <f t="shared" si="12"/>
        <v>0</v>
      </c>
      <c r="J12" s="18">
        <f t="shared" si="12"/>
        <v>0</v>
      </c>
      <c r="K12" s="18">
        <f t="shared" si="12"/>
        <v>0</v>
      </c>
      <c r="L12" s="18">
        <f t="shared" si="12"/>
        <v>0</v>
      </c>
      <c r="M12" s="18">
        <f t="shared" si="12"/>
        <v>0</v>
      </c>
      <c r="N12" s="23">
        <f t="shared" si="12"/>
        <v>0</v>
      </c>
      <c r="O12" s="18">
        <f t="shared" si="12"/>
        <v>0</v>
      </c>
      <c r="P12" s="23">
        <f t="shared" si="12"/>
        <v>0</v>
      </c>
      <c r="Q12" s="23">
        <f t="shared" si="12"/>
        <v>0</v>
      </c>
      <c r="R12" s="23">
        <f>SUM(R6:R11)</f>
        <v>0</v>
      </c>
      <c r="S12" s="18">
        <f t="shared" si="12"/>
        <v>0</v>
      </c>
      <c r="T12" s="18">
        <f t="shared" si="12"/>
        <v>0</v>
      </c>
      <c r="U12" s="18">
        <f t="shared" si="12"/>
        <v>0</v>
      </c>
      <c r="V12" s="18">
        <f t="shared" si="12"/>
        <v>0</v>
      </c>
      <c r="W12" s="18">
        <f t="shared" si="12"/>
        <v>0</v>
      </c>
      <c r="X12" s="18">
        <f t="shared" si="12"/>
        <v>0</v>
      </c>
      <c r="Y12" s="18">
        <f t="shared" si="12"/>
        <v>46823.880000000005</v>
      </c>
    </row>
    <row r="14" spans="1:25" ht="41.25" customHeight="1" x14ac:dyDescent="0.25">
      <c r="A14" s="30" t="s">
        <v>32</v>
      </c>
      <c r="B14" s="2236" t="s">
        <v>27</v>
      </c>
      <c r="C14" s="2236"/>
      <c r="D14" s="30" t="s">
        <v>333</v>
      </c>
      <c r="E14" s="30" t="s">
        <v>65</v>
      </c>
      <c r="F14" s="30" t="s">
        <v>34</v>
      </c>
      <c r="G14" s="30" t="s">
        <v>13</v>
      </c>
      <c r="H14" s="142" t="s">
        <v>173</v>
      </c>
      <c r="I14" s="30" t="s">
        <v>17</v>
      </c>
      <c r="J14" s="445" t="s">
        <v>174</v>
      </c>
      <c r="K14" s="30" t="s">
        <v>36</v>
      </c>
      <c r="L14" s="30" t="s">
        <v>175</v>
      </c>
      <c r="M14" s="30" t="s">
        <v>69</v>
      </c>
      <c r="N14" s="30" t="s">
        <v>70</v>
      </c>
      <c r="O14" s="445" t="s">
        <v>114</v>
      </c>
      <c r="P14" s="445" t="s">
        <v>335</v>
      </c>
      <c r="Q14" s="2272"/>
      <c r="R14" s="2272"/>
      <c r="S14" s="445"/>
      <c r="T14" s="2235" t="s">
        <v>46</v>
      </c>
      <c r="U14" s="437" t="s">
        <v>176</v>
      </c>
      <c r="V14" s="2260">
        <v>278526</v>
      </c>
      <c r="W14" s="2268"/>
      <c r="X14" s="2261"/>
    </row>
    <row r="15" spans="1:25" ht="22.5" customHeight="1" x14ac:dyDescent="0.25">
      <c r="A15" s="100" t="s">
        <v>38</v>
      </c>
      <c r="B15" s="2260">
        <v>316951</v>
      </c>
      <c r="C15" s="2261"/>
      <c r="D15" s="442">
        <v>100</v>
      </c>
      <c r="E15" s="442">
        <v>8170</v>
      </c>
      <c r="F15" s="442">
        <v>40000</v>
      </c>
      <c r="G15" s="442">
        <v>0</v>
      </c>
      <c r="H15" s="442">
        <v>852</v>
      </c>
      <c r="I15" s="442">
        <v>0</v>
      </c>
      <c r="J15" s="442">
        <v>65</v>
      </c>
      <c r="K15" s="442">
        <v>68</v>
      </c>
      <c r="L15" s="442">
        <v>0</v>
      </c>
      <c r="M15" s="442">
        <v>0</v>
      </c>
      <c r="N15" s="442">
        <v>100</v>
      </c>
      <c r="O15" s="442">
        <v>0</v>
      </c>
      <c r="P15" s="442">
        <v>755</v>
      </c>
      <c r="Q15" s="2262"/>
      <c r="R15" s="2262"/>
      <c r="S15" s="437">
        <v>0</v>
      </c>
      <c r="T15" s="2235"/>
      <c r="U15" s="437" t="s">
        <v>64</v>
      </c>
      <c r="V15" s="2262">
        <v>10704</v>
      </c>
      <c r="W15" s="2262"/>
      <c r="X15" s="2262"/>
    </row>
    <row r="16" spans="1:25" ht="24.75" customHeight="1" x14ac:dyDescent="0.25">
      <c r="A16" s="100" t="s">
        <v>39</v>
      </c>
      <c r="B16" s="2260"/>
      <c r="C16" s="2261"/>
      <c r="D16" s="442"/>
      <c r="E16" s="442"/>
      <c r="F16" s="442"/>
      <c r="G16" s="442"/>
      <c r="H16" s="442"/>
      <c r="I16" s="442"/>
      <c r="J16" s="442"/>
      <c r="K16" s="442"/>
      <c r="L16" s="442"/>
      <c r="M16" s="442"/>
      <c r="N16" s="442"/>
      <c r="O16" s="442"/>
      <c r="P16" s="442"/>
      <c r="Q16" s="2225"/>
      <c r="R16" s="2225"/>
      <c r="S16" s="442"/>
      <c r="T16" s="2254" t="s">
        <v>55</v>
      </c>
      <c r="U16" s="2254"/>
      <c r="V16" s="2267">
        <f>Y12</f>
        <v>46823.880000000005</v>
      </c>
      <c r="W16" s="2267"/>
      <c r="X16" s="2262"/>
    </row>
    <row r="17" spans="1:25" ht="28.5" customHeight="1" x14ac:dyDescent="0.25">
      <c r="A17" s="101" t="s">
        <v>44</v>
      </c>
      <c r="B17" s="2260"/>
      <c r="C17" s="2261"/>
      <c r="D17" s="442"/>
      <c r="E17" s="442"/>
      <c r="F17" s="442"/>
      <c r="G17" s="442"/>
      <c r="H17" s="442"/>
      <c r="I17" s="442"/>
      <c r="J17" s="442"/>
      <c r="K17" s="442"/>
      <c r="L17" s="442"/>
      <c r="M17" s="442"/>
      <c r="N17" s="442"/>
      <c r="O17" s="442"/>
      <c r="P17" s="442"/>
      <c r="Q17" s="2225"/>
      <c r="R17" s="2225"/>
      <c r="S17" s="439"/>
      <c r="T17" s="2294"/>
      <c r="U17" s="2295"/>
      <c r="V17" s="2296"/>
      <c r="W17" s="2296"/>
      <c r="X17" s="2296"/>
    </row>
    <row r="18" spans="1:25" ht="27" customHeight="1" x14ac:dyDescent="0.25">
      <c r="A18" s="100" t="s">
        <v>40</v>
      </c>
      <c r="B18" s="2264">
        <f>C12</f>
        <v>47568</v>
      </c>
      <c r="C18" s="2261"/>
      <c r="D18" s="443">
        <f>E12</f>
        <v>0</v>
      </c>
      <c r="E18" s="443">
        <f>G12</f>
        <v>20</v>
      </c>
      <c r="F18" s="443">
        <f>I12</f>
        <v>0</v>
      </c>
      <c r="G18" s="443">
        <f>K12</f>
        <v>0</v>
      </c>
      <c r="H18" s="442"/>
      <c r="I18" s="443">
        <f>U12</f>
        <v>0</v>
      </c>
      <c r="J18" s="442"/>
      <c r="K18" s="443">
        <f>W12</f>
        <v>0</v>
      </c>
      <c r="L18" s="442"/>
      <c r="M18" s="443">
        <f>M12</f>
        <v>0</v>
      </c>
      <c r="N18" s="443">
        <f>O12</f>
        <v>0</v>
      </c>
      <c r="O18" s="444">
        <f>Q12</f>
        <v>0</v>
      </c>
      <c r="P18" s="442"/>
      <c r="Q18" s="2262"/>
      <c r="R18" s="2262"/>
      <c r="S18" s="437"/>
      <c r="T18" s="2254" t="s">
        <v>57</v>
      </c>
      <c r="U18" s="2254"/>
      <c r="V18" s="2262">
        <f>520+1655</f>
        <v>2175</v>
      </c>
      <c r="W18" s="2262"/>
      <c r="X18" s="2262"/>
      <c r="Y18" s="2269"/>
    </row>
    <row r="19" spans="1:25" ht="25.5" customHeight="1" x14ac:dyDescent="0.25">
      <c r="A19" s="100" t="s">
        <v>41</v>
      </c>
      <c r="B19" s="2260">
        <f>B15+B16+B17-B18</f>
        <v>269383</v>
      </c>
      <c r="C19" s="2261"/>
      <c r="D19" s="442">
        <f>D15+D16+D17-D18</f>
        <v>100</v>
      </c>
      <c r="E19" s="442">
        <f t="shared" ref="E19:N19" si="13">E15+E16+E17-E18</f>
        <v>8150</v>
      </c>
      <c r="F19" s="442">
        <f t="shared" si="13"/>
        <v>40000</v>
      </c>
      <c r="G19" s="442">
        <f t="shared" si="13"/>
        <v>0</v>
      </c>
      <c r="H19" s="442">
        <f t="shared" si="13"/>
        <v>852</v>
      </c>
      <c r="I19" s="442">
        <f t="shared" si="13"/>
        <v>0</v>
      </c>
      <c r="J19" s="442">
        <f t="shared" si="13"/>
        <v>65</v>
      </c>
      <c r="K19" s="442">
        <f t="shared" si="13"/>
        <v>68</v>
      </c>
      <c r="L19" s="442">
        <f t="shared" si="13"/>
        <v>0</v>
      </c>
      <c r="M19" s="442">
        <f t="shared" si="13"/>
        <v>0</v>
      </c>
      <c r="N19" s="442">
        <f t="shared" si="13"/>
        <v>100</v>
      </c>
      <c r="O19" s="442">
        <f>O15+O16+O17-O18</f>
        <v>0</v>
      </c>
      <c r="P19" s="442">
        <f>P15+P16+P17-P18</f>
        <v>755</v>
      </c>
      <c r="Q19" s="2260">
        <f t="shared" ref="Q19" si="14">Q15+Q16+Q17-Q18</f>
        <v>0</v>
      </c>
      <c r="R19" s="2261"/>
      <c r="S19" s="437">
        <f>S15+S16-S17-S18</f>
        <v>0</v>
      </c>
      <c r="T19" s="2256" t="s">
        <v>48</v>
      </c>
      <c r="U19" s="49" t="s">
        <v>58</v>
      </c>
      <c r="V19" s="2262">
        <v>196000</v>
      </c>
      <c r="W19" s="2262"/>
      <c r="X19" s="2262"/>
      <c r="Y19" s="2269"/>
    </row>
    <row r="20" spans="1:25" ht="23.25" customHeight="1" x14ac:dyDescent="0.25">
      <c r="A20" s="289" t="s">
        <v>187</v>
      </c>
      <c r="B20" s="2286">
        <f>B19*0.9625</f>
        <v>259281.13750000001</v>
      </c>
      <c r="C20" s="2287"/>
      <c r="D20" s="290">
        <f>D19*66.41</f>
        <v>6641</v>
      </c>
      <c r="E20" s="290">
        <f>28.2*E19</f>
        <v>229830</v>
      </c>
      <c r="F20" s="290">
        <f>18.31*F19</f>
        <v>732400</v>
      </c>
      <c r="G20" s="290">
        <f>19.3*G19</f>
        <v>0</v>
      </c>
      <c r="H20" s="290">
        <f>241*H19</f>
        <v>205332</v>
      </c>
      <c r="I20" s="290">
        <f>223*I19</f>
        <v>0</v>
      </c>
      <c r="J20" s="290">
        <f>241*J19</f>
        <v>15665</v>
      </c>
      <c r="K20" s="290">
        <f>K19*100</f>
        <v>6800</v>
      </c>
      <c r="L20" s="290">
        <f>241*L19</f>
        <v>0</v>
      </c>
      <c r="M20" s="290">
        <f>9.65*M19</f>
        <v>0</v>
      </c>
      <c r="N20" s="290">
        <f>N19*48.2</f>
        <v>4820</v>
      </c>
      <c r="O20" s="290">
        <f>241*O19</f>
        <v>0</v>
      </c>
      <c r="P20" s="290">
        <f>241*P19</f>
        <v>181955</v>
      </c>
      <c r="Q20" s="2286">
        <f>241*Q19</f>
        <v>0</v>
      </c>
      <c r="R20" s="2287"/>
      <c r="S20" s="290">
        <f>241*S19</f>
        <v>0</v>
      </c>
      <c r="T20" s="2257"/>
      <c r="U20" s="49" t="s">
        <v>59</v>
      </c>
      <c r="V20" s="2262"/>
      <c r="W20" s="2262"/>
      <c r="X20" s="2262"/>
      <c r="Y20" s="2269"/>
    </row>
    <row r="21" spans="1:25" ht="32.25" customHeight="1" x14ac:dyDescent="0.25">
      <c r="A21" s="291" t="s">
        <v>186</v>
      </c>
      <c r="B21" s="2293">
        <f>SUM(B20:S20)</f>
        <v>1642724.1375</v>
      </c>
      <c r="C21" s="2293"/>
      <c r="O21" s="446"/>
      <c r="P21" s="446"/>
      <c r="Q21" s="446"/>
      <c r="R21" s="446"/>
      <c r="T21" s="2294"/>
      <c r="U21" s="2295"/>
      <c r="V21" s="2297"/>
      <c r="W21" s="2298"/>
      <c r="X21" s="2299"/>
      <c r="Y21" s="2269"/>
    </row>
    <row r="22" spans="1:25" ht="35.25" customHeight="1" x14ac:dyDescent="0.25">
      <c r="A22" s="15"/>
      <c r="B22" s="2288" t="s">
        <v>49</v>
      </c>
      <c r="C22" s="2291">
        <v>1382385</v>
      </c>
      <c r="D22" s="2291">
        <v>196000</v>
      </c>
      <c r="E22" s="2291"/>
      <c r="F22" s="2291">
        <f>C22-D22+E22</f>
        <v>1186385</v>
      </c>
      <c r="G22" s="446"/>
      <c r="Q22" s="446"/>
      <c r="R22" s="446"/>
      <c r="T22" s="2251" t="s">
        <v>83</v>
      </c>
      <c r="U22" s="50" t="s">
        <v>60</v>
      </c>
      <c r="V22" s="2262">
        <v>196430</v>
      </c>
      <c r="W22" s="2262"/>
      <c r="X22" s="2262"/>
      <c r="Y22" s="2269"/>
    </row>
    <row r="23" spans="1:25" ht="39.75" customHeight="1" x14ac:dyDescent="0.25">
      <c r="A23" s="446"/>
      <c r="B23" s="2289"/>
      <c r="C23" s="2292"/>
      <c r="D23" s="2292"/>
      <c r="E23" s="2292"/>
      <c r="F23" s="2292"/>
      <c r="G23" s="446"/>
      <c r="Q23" s="446"/>
      <c r="R23" s="446"/>
      <c r="T23" s="2252"/>
      <c r="U23" s="50" t="s">
        <v>61</v>
      </c>
      <c r="V23" s="2262">
        <v>196000</v>
      </c>
      <c r="W23" s="2262"/>
      <c r="X23" s="2262"/>
      <c r="Y23" s="2269"/>
    </row>
    <row r="24" spans="1:25" ht="48" customHeight="1" x14ac:dyDescent="0.25">
      <c r="A24" s="446"/>
      <c r="B24" s="2290"/>
      <c r="C24" s="290" t="s">
        <v>46</v>
      </c>
      <c r="D24" s="290" t="s">
        <v>50</v>
      </c>
      <c r="E24" s="290" t="s">
        <v>51</v>
      </c>
      <c r="F24" s="290" t="s">
        <v>52</v>
      </c>
      <c r="G24" s="446"/>
      <c r="Q24" s="446"/>
      <c r="R24" s="446"/>
      <c r="T24" s="2235" t="s">
        <v>47</v>
      </c>
      <c r="U24" s="51" t="s">
        <v>62</v>
      </c>
      <c r="V24" s="2263">
        <f>V14+V16+V17-V18-V19-V20-V22+V23-V21</f>
        <v>126744.88</v>
      </c>
      <c r="W24" s="2263"/>
      <c r="X24" s="2263"/>
      <c r="Y24" s="2269"/>
    </row>
    <row r="25" spans="1:25" ht="40.5" customHeight="1" x14ac:dyDescent="0.25">
      <c r="T25" s="2235"/>
      <c r="U25" s="51" t="s">
        <v>63</v>
      </c>
      <c r="V25" s="2262">
        <f>V15+V22-V23</f>
        <v>11134</v>
      </c>
      <c r="W25" s="2262"/>
      <c r="X25" s="2262"/>
    </row>
    <row r="26" spans="1:25" ht="36" customHeight="1" x14ac:dyDescent="0.25">
      <c r="K26" s="314"/>
    </row>
    <row r="32" spans="1:25" x14ac:dyDescent="0.25">
      <c r="I32" s="2280"/>
      <c r="J32" s="2280"/>
      <c r="K32" s="2280"/>
      <c r="L32" s="2280"/>
    </row>
    <row r="33" spans="9:12" x14ac:dyDescent="0.25">
      <c r="I33" s="446"/>
      <c r="J33" s="446"/>
      <c r="K33" s="2280"/>
      <c r="L33" s="2280"/>
    </row>
  </sheetData>
  <mergeCells count="62">
    <mergeCell ref="I32:J32"/>
    <mergeCell ref="K32:L32"/>
    <mergeCell ref="K33:L33"/>
    <mergeCell ref="T22:T23"/>
    <mergeCell ref="V22:X22"/>
    <mergeCell ref="V23:X23"/>
    <mergeCell ref="T24:T25"/>
    <mergeCell ref="V24:X24"/>
    <mergeCell ref="V25:X25"/>
    <mergeCell ref="Y18:Y24"/>
    <mergeCell ref="B19:C19"/>
    <mergeCell ref="Q19:R19"/>
    <mergeCell ref="T19:T20"/>
    <mergeCell ref="V19:X19"/>
    <mergeCell ref="B20:C20"/>
    <mergeCell ref="B22:B24"/>
    <mergeCell ref="C22:C23"/>
    <mergeCell ref="D22:D23"/>
    <mergeCell ref="E22:E23"/>
    <mergeCell ref="F22:F23"/>
    <mergeCell ref="Q20:R20"/>
    <mergeCell ref="V20:X20"/>
    <mergeCell ref="B21:C21"/>
    <mergeCell ref="T21:U21"/>
    <mergeCell ref="V21:X21"/>
    <mergeCell ref="B17:C17"/>
    <mergeCell ref="Q17:R17"/>
    <mergeCell ref="T17:U17"/>
    <mergeCell ref="V17:X17"/>
    <mergeCell ref="B18:C18"/>
    <mergeCell ref="Q18:R18"/>
    <mergeCell ref="T18:U18"/>
    <mergeCell ref="V18:X18"/>
    <mergeCell ref="W4:X4"/>
    <mergeCell ref="B16:C16"/>
    <mergeCell ref="Q16:R16"/>
    <mergeCell ref="T16:U16"/>
    <mergeCell ref="V16:X16"/>
    <mergeCell ref="A12:B12"/>
    <mergeCell ref="B14:C14"/>
    <mergeCell ref="Q14:R14"/>
    <mergeCell ref="T14:T15"/>
    <mergeCell ref="V14:X14"/>
    <mergeCell ref="B15:C15"/>
    <mergeCell ref="Q15:R15"/>
    <mergeCell ref="V15:X15"/>
    <mergeCell ref="A1:Y1"/>
    <mergeCell ref="A2:Y2"/>
    <mergeCell ref="T3:Y3"/>
    <mergeCell ref="A4:A5"/>
    <mergeCell ref="B4:B5"/>
    <mergeCell ref="C4:D4"/>
    <mergeCell ref="E4:F4"/>
    <mergeCell ref="G4:H4"/>
    <mergeCell ref="I4:J4"/>
    <mergeCell ref="K4:L4"/>
    <mergeCell ref="Y4:Y5"/>
    <mergeCell ref="M4:N4"/>
    <mergeCell ref="O4:P4"/>
    <mergeCell ref="Q4:R4"/>
    <mergeCell ref="S4:T4"/>
    <mergeCell ref="U4:V4"/>
  </mergeCells>
  <pageMargins left="0.15748031496063" right="0.15748031496063" top="0" bottom="0" header="0" footer="0"/>
  <pageSetup paperSize="9" scale="47" orientation="landscape" r:id="rId1"/>
</worksheet>
</file>

<file path=xl/worksheets/sheet1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891120E-E89D-413B-863C-771B53E1DAE2}">
  <sheetPr>
    <pageSetUpPr fitToPage="1"/>
  </sheetPr>
  <dimension ref="A1:Y33"/>
  <sheetViews>
    <sheetView topLeftCell="C13" zoomScale="80" zoomScaleNormal="80" zoomScaleSheetLayoutView="100" workbookViewId="0">
      <selection activeCell="I25" sqref="I25"/>
    </sheetView>
  </sheetViews>
  <sheetFormatPr defaultColWidth="9.140625" defaultRowHeight="15" x14ac:dyDescent="0.25"/>
  <cols>
    <col min="1" max="1" width="18.28515625" style="14" customWidth="1"/>
    <col min="2" max="2" width="10.7109375" style="14" customWidth="1"/>
    <col min="3" max="3" width="12.28515625" style="14" customWidth="1"/>
    <col min="4" max="4" width="11" style="14" customWidth="1"/>
    <col min="5" max="5" width="12" style="14" customWidth="1"/>
    <col min="6" max="6" width="12.5703125" style="14" bestFit="1" customWidth="1"/>
    <col min="7" max="7" width="9.28515625" style="14" bestFit="1" customWidth="1"/>
    <col min="8" max="8" width="10.140625" style="14" bestFit="1" customWidth="1"/>
    <col min="9" max="9" width="10.5703125" style="14" bestFit="1" customWidth="1"/>
    <col min="10" max="10" width="10.5703125" style="14" customWidth="1"/>
    <col min="11" max="11" width="10.28515625" style="14" bestFit="1" customWidth="1"/>
    <col min="12" max="12" width="10.42578125" style="14" bestFit="1" customWidth="1"/>
    <col min="13" max="13" width="9.85546875" style="14" bestFit="1" customWidth="1"/>
    <col min="14" max="14" width="10.140625" style="14" bestFit="1" customWidth="1"/>
    <col min="15" max="15" width="9" style="14" customWidth="1"/>
    <col min="16" max="16" width="12.85546875" style="14" bestFit="1" customWidth="1"/>
    <col min="17" max="18" width="9.42578125" style="14" customWidth="1"/>
    <col min="19" max="19" width="13.7109375" style="14" customWidth="1"/>
    <col min="20" max="20" width="12.140625" style="14" customWidth="1"/>
    <col min="21" max="21" width="19.5703125" style="14" bestFit="1" customWidth="1"/>
    <col min="22" max="22" width="9.85546875" style="14" customWidth="1"/>
    <col min="23" max="23" width="10.140625" style="14" bestFit="1" customWidth="1"/>
    <col min="24" max="24" width="10.28515625" style="14" customWidth="1"/>
    <col min="25" max="25" width="28" style="14" customWidth="1"/>
    <col min="26" max="16384" width="9.140625" style="14"/>
  </cols>
  <sheetData>
    <row r="1" spans="1:25" ht="46.15" customHeight="1" x14ac:dyDescent="0.25">
      <c r="A1" s="2240" t="s">
        <v>148</v>
      </c>
      <c r="B1" s="2240"/>
      <c r="C1" s="2240"/>
      <c r="D1" s="2240"/>
      <c r="E1" s="2240"/>
      <c r="F1" s="2240"/>
      <c r="G1" s="2240"/>
      <c r="H1" s="2240"/>
      <c r="I1" s="2240"/>
      <c r="J1" s="2240"/>
      <c r="K1" s="2240"/>
      <c r="L1" s="2240"/>
      <c r="M1" s="2240"/>
      <c r="N1" s="2240"/>
      <c r="O1" s="2240"/>
      <c r="P1" s="2240"/>
      <c r="Q1" s="2240"/>
      <c r="R1" s="2240"/>
      <c r="S1" s="2240"/>
      <c r="T1" s="2240"/>
      <c r="U1" s="2240"/>
      <c r="V1" s="2240"/>
      <c r="W1" s="2240"/>
      <c r="X1" s="2240"/>
      <c r="Y1" s="2240"/>
    </row>
    <row r="2" spans="1:25" ht="21.6" customHeight="1" x14ac:dyDescent="0.25">
      <c r="A2" s="2241" t="s">
        <v>77</v>
      </c>
      <c r="B2" s="2241"/>
      <c r="C2" s="2241"/>
      <c r="D2" s="2241"/>
      <c r="E2" s="2241"/>
      <c r="F2" s="2241"/>
      <c r="G2" s="2241"/>
      <c r="H2" s="2241"/>
      <c r="I2" s="2241"/>
      <c r="J2" s="2241"/>
      <c r="K2" s="2241"/>
      <c r="L2" s="2241"/>
      <c r="M2" s="2241"/>
      <c r="N2" s="2241"/>
      <c r="O2" s="2241"/>
      <c r="P2" s="2241"/>
      <c r="Q2" s="2241"/>
      <c r="R2" s="2241"/>
      <c r="S2" s="2241"/>
      <c r="T2" s="2241"/>
      <c r="U2" s="2241"/>
      <c r="V2" s="2241"/>
      <c r="W2" s="2241"/>
      <c r="X2" s="2241"/>
      <c r="Y2" s="2241"/>
    </row>
    <row r="3" spans="1:25" ht="21" customHeight="1" x14ac:dyDescent="0.25">
      <c r="A3" s="452"/>
      <c r="B3" s="452"/>
      <c r="C3" s="452"/>
      <c r="D3" s="452"/>
      <c r="E3" s="452"/>
      <c r="F3" s="452"/>
      <c r="G3" s="452"/>
      <c r="H3" s="452"/>
      <c r="I3" s="452"/>
      <c r="J3" s="452"/>
      <c r="K3" s="452"/>
      <c r="L3" s="452"/>
      <c r="M3" s="452"/>
      <c r="N3" s="452"/>
      <c r="O3" s="452"/>
      <c r="P3" s="452"/>
      <c r="Q3" s="452"/>
      <c r="R3" s="452"/>
      <c r="S3" s="452"/>
      <c r="T3" s="2242" t="s">
        <v>337</v>
      </c>
      <c r="U3" s="2242"/>
      <c r="V3" s="2242"/>
      <c r="W3" s="2242"/>
      <c r="X3" s="2242"/>
      <c r="Y3" s="2242"/>
    </row>
    <row r="4" spans="1:25" s="452" customFormat="1" ht="18" customHeight="1" x14ac:dyDescent="0.25">
      <c r="A4" s="2243" t="s">
        <v>25</v>
      </c>
      <c r="B4" s="2243" t="s">
        <v>26</v>
      </c>
      <c r="C4" s="2244" t="s">
        <v>27</v>
      </c>
      <c r="D4" s="2244"/>
      <c r="E4" s="2244" t="s">
        <v>28</v>
      </c>
      <c r="F4" s="2244"/>
      <c r="G4" s="2244" t="s">
        <v>65</v>
      </c>
      <c r="H4" s="2244"/>
      <c r="I4" s="2244" t="s">
        <v>29</v>
      </c>
      <c r="J4" s="2244"/>
      <c r="K4" s="2245" t="s">
        <v>13</v>
      </c>
      <c r="L4" s="2246"/>
      <c r="M4" s="2245" t="s">
        <v>67</v>
      </c>
      <c r="N4" s="2246"/>
      <c r="O4" s="2245" t="s">
        <v>68</v>
      </c>
      <c r="P4" s="2246"/>
      <c r="Q4" s="2245" t="s">
        <v>114</v>
      </c>
      <c r="R4" s="2246"/>
      <c r="S4" s="2244" t="s">
        <v>35</v>
      </c>
      <c r="T4" s="2244"/>
      <c r="U4" s="2245" t="s">
        <v>17</v>
      </c>
      <c r="V4" s="2246"/>
      <c r="W4" s="2247" t="s">
        <v>36</v>
      </c>
      <c r="X4" s="2248"/>
      <c r="Y4" s="2238" t="s">
        <v>30</v>
      </c>
    </row>
    <row r="5" spans="1:25" s="452" customFormat="1" ht="25.5" customHeight="1" x14ac:dyDescent="0.25">
      <c r="A5" s="2243"/>
      <c r="B5" s="2243"/>
      <c r="C5" s="451" t="s">
        <v>42</v>
      </c>
      <c r="D5" s="451" t="s">
        <v>43</v>
      </c>
      <c r="E5" s="451" t="s">
        <v>42</v>
      </c>
      <c r="F5" s="451" t="s">
        <v>43</v>
      </c>
      <c r="G5" s="451" t="s">
        <v>42</v>
      </c>
      <c r="H5" s="451" t="s">
        <v>43</v>
      </c>
      <c r="I5" s="451" t="s">
        <v>42</v>
      </c>
      <c r="J5" s="451" t="s">
        <v>43</v>
      </c>
      <c r="K5" s="451" t="s">
        <v>42</v>
      </c>
      <c r="L5" s="451" t="s">
        <v>43</v>
      </c>
      <c r="M5" s="451" t="s">
        <v>42</v>
      </c>
      <c r="N5" s="451" t="s">
        <v>43</v>
      </c>
      <c r="O5" s="451" t="s">
        <v>42</v>
      </c>
      <c r="P5" s="451" t="s">
        <v>43</v>
      </c>
      <c r="Q5" s="451" t="s">
        <v>42</v>
      </c>
      <c r="R5" s="451" t="s">
        <v>43</v>
      </c>
      <c r="S5" s="33" t="s">
        <v>42</v>
      </c>
      <c r="T5" s="33" t="s">
        <v>43</v>
      </c>
      <c r="U5" s="30" t="s">
        <v>42</v>
      </c>
      <c r="V5" s="30" t="s">
        <v>43</v>
      </c>
      <c r="W5" s="30" t="s">
        <v>42</v>
      </c>
      <c r="X5" s="30" t="s">
        <v>43</v>
      </c>
      <c r="Y5" s="2239"/>
    </row>
    <row r="6" spans="1:25" ht="34.5" customHeight="1" x14ac:dyDescent="0.25">
      <c r="A6" s="12">
        <v>1409935200</v>
      </c>
      <c r="B6" s="450" t="s">
        <v>71</v>
      </c>
      <c r="C6" s="448">
        <v>25860</v>
      </c>
      <c r="D6" s="447">
        <f>0.9725*C6</f>
        <v>25148.850000000002</v>
      </c>
      <c r="E6" s="448"/>
      <c r="F6" s="448">
        <f>13.7*E6</f>
        <v>0</v>
      </c>
      <c r="G6" s="448">
        <v>50</v>
      </c>
      <c r="H6" s="448">
        <f>28.2*G6</f>
        <v>1410</v>
      </c>
      <c r="I6" s="448">
        <v>2000</v>
      </c>
      <c r="J6" s="448">
        <f>18.5*I6</f>
        <v>37000</v>
      </c>
      <c r="K6" s="448"/>
      <c r="L6" s="448">
        <f>19.5*K6</f>
        <v>0</v>
      </c>
      <c r="M6" s="448"/>
      <c r="N6" s="447">
        <f>M6*9.75</f>
        <v>0</v>
      </c>
      <c r="O6" s="448"/>
      <c r="P6" s="447">
        <f>O6*48.62</f>
        <v>0</v>
      </c>
      <c r="Q6" s="447"/>
      <c r="R6" s="447">
        <f>241*Q6</f>
        <v>0</v>
      </c>
      <c r="S6" s="448"/>
      <c r="T6" s="448">
        <f>241*S6</f>
        <v>0</v>
      </c>
      <c r="U6" s="448"/>
      <c r="V6" s="448">
        <f>232*U6</f>
        <v>0</v>
      </c>
      <c r="W6" s="448">
        <v>2</v>
      </c>
      <c r="X6" s="19">
        <f>W6*100</f>
        <v>200</v>
      </c>
      <c r="Y6" s="89">
        <f t="shared" ref="Y6:Y11" si="0">D6+F6+H6+J6+L6+N6+P6+R6+T6+V6+X6</f>
        <v>63758.850000000006</v>
      </c>
    </row>
    <row r="7" spans="1:25" ht="31.5" customHeight="1" x14ac:dyDescent="0.25">
      <c r="A7" s="12">
        <v>1984225578</v>
      </c>
      <c r="B7" s="450" t="s">
        <v>72</v>
      </c>
      <c r="C7" s="448">
        <v>28599</v>
      </c>
      <c r="D7" s="447">
        <f t="shared" ref="D7:D11" si="1">0.9725*C7</f>
        <v>27812.5275</v>
      </c>
      <c r="E7" s="448"/>
      <c r="F7" s="448">
        <f t="shared" ref="F7:F11" si="2">13.7*E7</f>
        <v>0</v>
      </c>
      <c r="G7" s="448">
        <v>90</v>
      </c>
      <c r="H7" s="448">
        <f t="shared" ref="H7:H11" si="3">28.2*G7</f>
        <v>2538</v>
      </c>
      <c r="I7" s="448">
        <v>5000</v>
      </c>
      <c r="J7" s="448">
        <f t="shared" ref="J7:J11" si="4">18.5*I7</f>
        <v>92500</v>
      </c>
      <c r="K7" s="448"/>
      <c r="L7" s="448">
        <f t="shared" ref="L7:L11" si="5">19.5*K7</f>
        <v>0</v>
      </c>
      <c r="M7" s="448"/>
      <c r="N7" s="447">
        <f t="shared" ref="N7:N11" si="6">M7*9.75</f>
        <v>0</v>
      </c>
      <c r="O7" s="448"/>
      <c r="P7" s="447">
        <f t="shared" ref="P7:P11" si="7">O7*48.62</f>
        <v>0</v>
      </c>
      <c r="Q7" s="447"/>
      <c r="R7" s="447">
        <f t="shared" ref="R7:R11" si="8">241*Q7</f>
        <v>0</v>
      </c>
      <c r="S7" s="448">
        <v>25</v>
      </c>
      <c r="T7" s="448">
        <f t="shared" ref="T7:T11" si="9">241*S7</f>
        <v>6025</v>
      </c>
      <c r="U7" s="448"/>
      <c r="V7" s="448">
        <f t="shared" ref="V7:V11" si="10">232*U7</f>
        <v>0</v>
      </c>
      <c r="W7" s="448"/>
      <c r="X7" s="19">
        <f t="shared" ref="X7:X11" si="11">W7*100</f>
        <v>0</v>
      </c>
      <c r="Y7" s="89">
        <f t="shared" si="0"/>
        <v>128875.5275</v>
      </c>
    </row>
    <row r="8" spans="1:25" ht="35.25" customHeight="1" x14ac:dyDescent="0.25">
      <c r="A8" s="12">
        <v>1967020280</v>
      </c>
      <c r="B8" s="450" t="s">
        <v>73</v>
      </c>
      <c r="C8" s="448">
        <v>19699</v>
      </c>
      <c r="D8" s="447">
        <f t="shared" si="1"/>
        <v>19157.2775</v>
      </c>
      <c r="E8" s="448"/>
      <c r="F8" s="448">
        <f t="shared" si="2"/>
        <v>0</v>
      </c>
      <c r="G8" s="448">
        <v>250</v>
      </c>
      <c r="H8" s="448">
        <f t="shared" si="3"/>
        <v>7050</v>
      </c>
      <c r="I8" s="448">
        <v>2810</v>
      </c>
      <c r="J8" s="448">
        <f t="shared" si="4"/>
        <v>51985</v>
      </c>
      <c r="K8" s="448"/>
      <c r="L8" s="448">
        <f t="shared" si="5"/>
        <v>0</v>
      </c>
      <c r="M8" s="448"/>
      <c r="N8" s="447">
        <f t="shared" si="6"/>
        <v>0</v>
      </c>
      <c r="O8" s="448"/>
      <c r="P8" s="447">
        <f t="shared" si="7"/>
        <v>0</v>
      </c>
      <c r="Q8" s="447"/>
      <c r="R8" s="447">
        <f t="shared" si="8"/>
        <v>0</v>
      </c>
      <c r="S8" s="448">
        <v>25</v>
      </c>
      <c r="T8" s="448">
        <f t="shared" si="9"/>
        <v>6025</v>
      </c>
      <c r="U8" s="448"/>
      <c r="V8" s="448">
        <f t="shared" si="10"/>
        <v>0</v>
      </c>
      <c r="W8" s="448"/>
      <c r="X8" s="19">
        <f t="shared" si="11"/>
        <v>0</v>
      </c>
      <c r="Y8" s="89">
        <f t="shared" si="0"/>
        <v>84217.277499999997</v>
      </c>
    </row>
    <row r="9" spans="1:25" ht="38.25" customHeight="1" x14ac:dyDescent="0.25">
      <c r="A9" s="12">
        <v>1984225580</v>
      </c>
      <c r="B9" s="450" t="s">
        <v>75</v>
      </c>
      <c r="C9" s="448">
        <v>43782</v>
      </c>
      <c r="D9" s="447">
        <f t="shared" si="1"/>
        <v>42577.995000000003</v>
      </c>
      <c r="E9" s="448"/>
      <c r="F9" s="448">
        <f t="shared" si="2"/>
        <v>0</v>
      </c>
      <c r="G9" s="448">
        <v>90</v>
      </c>
      <c r="H9" s="448">
        <f t="shared" si="3"/>
        <v>2538</v>
      </c>
      <c r="I9" s="448">
        <v>3280</v>
      </c>
      <c r="J9" s="448">
        <f t="shared" si="4"/>
        <v>60680</v>
      </c>
      <c r="K9" s="448"/>
      <c r="L9" s="448">
        <f t="shared" si="5"/>
        <v>0</v>
      </c>
      <c r="M9" s="448"/>
      <c r="N9" s="447">
        <f t="shared" si="6"/>
        <v>0</v>
      </c>
      <c r="O9" s="448"/>
      <c r="P9" s="447">
        <f t="shared" si="7"/>
        <v>0</v>
      </c>
      <c r="Q9" s="447"/>
      <c r="R9" s="447">
        <f t="shared" si="8"/>
        <v>0</v>
      </c>
      <c r="S9" s="448">
        <v>15</v>
      </c>
      <c r="T9" s="448">
        <f t="shared" si="9"/>
        <v>3615</v>
      </c>
      <c r="U9" s="448"/>
      <c r="V9" s="448">
        <f t="shared" si="10"/>
        <v>0</v>
      </c>
      <c r="W9" s="448"/>
      <c r="X9" s="19">
        <f t="shared" si="11"/>
        <v>0</v>
      </c>
      <c r="Y9" s="89">
        <f t="shared" si="0"/>
        <v>109410.995</v>
      </c>
    </row>
    <row r="10" spans="1:25" ht="35.25" customHeight="1" x14ac:dyDescent="0.25">
      <c r="A10" s="12">
        <v>1409935199</v>
      </c>
      <c r="C10" s="448"/>
      <c r="D10" s="447">
        <f t="shared" si="1"/>
        <v>0</v>
      </c>
      <c r="E10" s="448"/>
      <c r="F10" s="448">
        <f t="shared" si="2"/>
        <v>0</v>
      </c>
      <c r="G10" s="448"/>
      <c r="H10" s="448">
        <f t="shared" si="3"/>
        <v>0</v>
      </c>
      <c r="I10" s="448"/>
      <c r="J10" s="448">
        <f t="shared" si="4"/>
        <v>0</v>
      </c>
      <c r="K10" s="448"/>
      <c r="L10" s="448">
        <f t="shared" si="5"/>
        <v>0</v>
      </c>
      <c r="M10" s="448"/>
      <c r="N10" s="447">
        <f t="shared" si="6"/>
        <v>0</v>
      </c>
      <c r="O10" s="448"/>
      <c r="P10" s="447">
        <f t="shared" si="7"/>
        <v>0</v>
      </c>
      <c r="Q10" s="447"/>
      <c r="R10" s="447">
        <f t="shared" si="8"/>
        <v>0</v>
      </c>
      <c r="S10" s="448"/>
      <c r="T10" s="448">
        <f t="shared" si="9"/>
        <v>0</v>
      </c>
      <c r="U10" s="448"/>
      <c r="V10" s="448">
        <f t="shared" si="10"/>
        <v>0</v>
      </c>
      <c r="W10" s="448"/>
      <c r="X10" s="19">
        <f t="shared" si="11"/>
        <v>0</v>
      </c>
      <c r="Y10" s="89">
        <f t="shared" si="0"/>
        <v>0</v>
      </c>
    </row>
    <row r="11" spans="1:25" ht="37.5" customHeight="1" x14ac:dyDescent="0.25">
      <c r="A11" s="12"/>
      <c r="B11" s="449"/>
      <c r="C11" s="448"/>
      <c r="D11" s="22">
        <f t="shared" si="1"/>
        <v>0</v>
      </c>
      <c r="E11" s="448"/>
      <c r="F11" s="448">
        <f t="shared" si="2"/>
        <v>0</v>
      </c>
      <c r="G11" s="448"/>
      <c r="H11" s="448">
        <f t="shared" si="3"/>
        <v>0</v>
      </c>
      <c r="I11" s="448"/>
      <c r="J11" s="448">
        <f t="shared" si="4"/>
        <v>0</v>
      </c>
      <c r="K11" s="448"/>
      <c r="L11" s="448">
        <f t="shared" si="5"/>
        <v>0</v>
      </c>
      <c r="M11" s="448"/>
      <c r="N11" s="447">
        <f t="shared" si="6"/>
        <v>0</v>
      </c>
      <c r="O11" s="448"/>
      <c r="P11" s="447">
        <f t="shared" si="7"/>
        <v>0</v>
      </c>
      <c r="Q11" s="447"/>
      <c r="R11" s="447">
        <f t="shared" si="8"/>
        <v>0</v>
      </c>
      <c r="S11" s="448"/>
      <c r="T11" s="448">
        <f t="shared" si="9"/>
        <v>0</v>
      </c>
      <c r="U11" s="448"/>
      <c r="V11" s="448">
        <f t="shared" si="10"/>
        <v>0</v>
      </c>
      <c r="W11" s="448"/>
      <c r="X11" s="19">
        <f t="shared" si="11"/>
        <v>0</v>
      </c>
      <c r="Y11" s="20">
        <f t="shared" si="0"/>
        <v>0</v>
      </c>
    </row>
    <row r="12" spans="1:25" ht="29.25" customHeight="1" x14ac:dyDescent="0.25">
      <c r="A12" s="2235" t="s">
        <v>31</v>
      </c>
      <c r="B12" s="2235"/>
      <c r="C12" s="18">
        <f t="shared" ref="C12:Y12" si="12">SUM(C6:C11)</f>
        <v>117940</v>
      </c>
      <c r="D12" s="18">
        <f t="shared" si="12"/>
        <v>114696.65</v>
      </c>
      <c r="E12" s="18">
        <f t="shared" si="12"/>
        <v>0</v>
      </c>
      <c r="F12" s="18">
        <f t="shared" si="12"/>
        <v>0</v>
      </c>
      <c r="G12" s="18">
        <f t="shared" si="12"/>
        <v>480</v>
      </c>
      <c r="H12" s="18">
        <f t="shared" si="12"/>
        <v>13536</v>
      </c>
      <c r="I12" s="18">
        <f t="shared" si="12"/>
        <v>13090</v>
      </c>
      <c r="J12" s="18">
        <f t="shared" si="12"/>
        <v>242165</v>
      </c>
      <c r="K12" s="18">
        <f t="shared" si="12"/>
        <v>0</v>
      </c>
      <c r="L12" s="18">
        <f t="shared" si="12"/>
        <v>0</v>
      </c>
      <c r="M12" s="18">
        <f t="shared" si="12"/>
        <v>0</v>
      </c>
      <c r="N12" s="23">
        <f t="shared" si="12"/>
        <v>0</v>
      </c>
      <c r="O12" s="18">
        <f t="shared" si="12"/>
        <v>0</v>
      </c>
      <c r="P12" s="23">
        <f t="shared" si="12"/>
        <v>0</v>
      </c>
      <c r="Q12" s="23">
        <f t="shared" si="12"/>
        <v>0</v>
      </c>
      <c r="R12" s="23">
        <f>SUM(R6:R11)</f>
        <v>0</v>
      </c>
      <c r="S12" s="18">
        <f t="shared" si="12"/>
        <v>65</v>
      </c>
      <c r="T12" s="18">
        <f t="shared" si="12"/>
        <v>15665</v>
      </c>
      <c r="U12" s="18">
        <f t="shared" si="12"/>
        <v>0</v>
      </c>
      <c r="V12" s="18">
        <f t="shared" si="12"/>
        <v>0</v>
      </c>
      <c r="W12" s="18">
        <f t="shared" si="12"/>
        <v>2</v>
      </c>
      <c r="X12" s="18">
        <f t="shared" si="12"/>
        <v>200</v>
      </c>
      <c r="Y12" s="18">
        <f t="shared" si="12"/>
        <v>386262.65</v>
      </c>
    </row>
    <row r="14" spans="1:25" ht="41.25" customHeight="1" x14ac:dyDescent="0.25">
      <c r="A14" s="30" t="s">
        <v>32</v>
      </c>
      <c r="B14" s="2236" t="s">
        <v>27</v>
      </c>
      <c r="C14" s="2236"/>
      <c r="D14" s="30" t="s">
        <v>333</v>
      </c>
      <c r="E14" s="30" t="s">
        <v>65</v>
      </c>
      <c r="F14" s="30" t="s">
        <v>34</v>
      </c>
      <c r="G14" s="30" t="s">
        <v>13</v>
      </c>
      <c r="H14" s="469" t="s">
        <v>173</v>
      </c>
      <c r="I14" s="30" t="s">
        <v>17</v>
      </c>
      <c r="J14" s="456" t="s">
        <v>174</v>
      </c>
      <c r="K14" s="30" t="s">
        <v>36</v>
      </c>
      <c r="L14" s="30" t="s">
        <v>175</v>
      </c>
      <c r="M14" s="30" t="s">
        <v>69</v>
      </c>
      <c r="N14" s="30" t="s">
        <v>70</v>
      </c>
      <c r="O14" s="456" t="s">
        <v>114</v>
      </c>
      <c r="P14" s="456" t="s">
        <v>339</v>
      </c>
      <c r="Q14" s="2272"/>
      <c r="R14" s="2272"/>
      <c r="S14" s="456"/>
      <c r="T14" s="2235" t="s">
        <v>46</v>
      </c>
      <c r="U14" s="450" t="s">
        <v>176</v>
      </c>
      <c r="V14" s="2260">
        <v>126745</v>
      </c>
      <c r="W14" s="2268"/>
      <c r="X14" s="2261"/>
    </row>
    <row r="15" spans="1:25" ht="22.5" customHeight="1" x14ac:dyDescent="0.25">
      <c r="A15" s="100" t="s">
        <v>38</v>
      </c>
      <c r="B15" s="2260">
        <v>269383</v>
      </c>
      <c r="C15" s="2261"/>
      <c r="D15" s="453">
        <v>100</v>
      </c>
      <c r="E15" s="453">
        <v>8150</v>
      </c>
      <c r="F15" s="453">
        <v>40000</v>
      </c>
      <c r="G15" s="453">
        <v>0</v>
      </c>
      <c r="H15" s="453">
        <v>852</v>
      </c>
      <c r="I15" s="453">
        <v>0</v>
      </c>
      <c r="J15" s="453">
        <v>65</v>
      </c>
      <c r="K15" s="453">
        <v>68</v>
      </c>
      <c r="L15" s="453">
        <v>0</v>
      </c>
      <c r="M15" s="453">
        <v>0</v>
      </c>
      <c r="N15" s="453">
        <v>100</v>
      </c>
      <c r="O15" s="453">
        <v>0</v>
      </c>
      <c r="P15" s="453">
        <v>755</v>
      </c>
      <c r="Q15" s="2262"/>
      <c r="R15" s="2262"/>
      <c r="S15" s="450">
        <v>0</v>
      </c>
      <c r="T15" s="2235"/>
      <c r="U15" s="450" t="s">
        <v>64</v>
      </c>
      <c r="V15" s="2262">
        <v>11134</v>
      </c>
      <c r="W15" s="2262"/>
      <c r="X15" s="2262"/>
    </row>
    <row r="16" spans="1:25" ht="24.75" customHeight="1" x14ac:dyDescent="0.25">
      <c r="A16" s="100" t="s">
        <v>39</v>
      </c>
      <c r="B16" s="2260">
        <v>155844</v>
      </c>
      <c r="C16" s="2261"/>
      <c r="D16" s="453">
        <v>100</v>
      </c>
      <c r="E16" s="453"/>
      <c r="F16" s="453"/>
      <c r="G16" s="453"/>
      <c r="H16" s="453"/>
      <c r="I16" s="453">
        <v>200</v>
      </c>
      <c r="J16" s="453"/>
      <c r="K16" s="453"/>
      <c r="L16" s="453"/>
      <c r="M16" s="453"/>
      <c r="N16" s="453"/>
      <c r="O16" s="453"/>
      <c r="P16" s="453"/>
      <c r="Q16" s="2225"/>
      <c r="R16" s="2225"/>
      <c r="S16" s="453"/>
      <c r="T16" s="2254" t="s">
        <v>55</v>
      </c>
      <c r="U16" s="2254"/>
      <c r="V16" s="2267">
        <f>Y12</f>
        <v>386262.65</v>
      </c>
      <c r="W16" s="2267"/>
      <c r="X16" s="2262"/>
    </row>
    <row r="17" spans="1:25" ht="28.5" customHeight="1" x14ac:dyDescent="0.25">
      <c r="A17" s="101" t="s">
        <v>44</v>
      </c>
      <c r="B17" s="2260"/>
      <c r="C17" s="2261"/>
      <c r="D17" s="453"/>
      <c r="E17" s="453"/>
      <c r="F17" s="453"/>
      <c r="G17" s="453"/>
      <c r="H17" s="453"/>
      <c r="I17" s="453"/>
      <c r="J17" s="453"/>
      <c r="K17" s="453"/>
      <c r="L17" s="453"/>
      <c r="M17" s="453"/>
      <c r="N17" s="453"/>
      <c r="O17" s="453"/>
      <c r="P17" s="453"/>
      <c r="Q17" s="2225"/>
      <c r="R17" s="2225"/>
      <c r="S17" s="449"/>
      <c r="T17" s="2294"/>
      <c r="U17" s="2295"/>
      <c r="V17" s="2296"/>
      <c r="W17" s="2296"/>
      <c r="X17" s="2296"/>
    </row>
    <row r="18" spans="1:25" ht="27" customHeight="1" x14ac:dyDescent="0.25">
      <c r="A18" s="100" t="s">
        <v>40</v>
      </c>
      <c r="B18" s="2264">
        <f>C12</f>
        <v>117940</v>
      </c>
      <c r="C18" s="2261"/>
      <c r="D18" s="455">
        <f>E12</f>
        <v>0</v>
      </c>
      <c r="E18" s="455">
        <f>G12</f>
        <v>480</v>
      </c>
      <c r="F18" s="455">
        <f>I12</f>
        <v>13090</v>
      </c>
      <c r="G18" s="455">
        <f>K12</f>
        <v>0</v>
      </c>
      <c r="H18" s="453">
        <v>65</v>
      </c>
      <c r="I18" s="455">
        <f>U12</f>
        <v>0</v>
      </c>
      <c r="J18" s="453"/>
      <c r="K18" s="455">
        <f>W12</f>
        <v>2</v>
      </c>
      <c r="L18" s="453"/>
      <c r="M18" s="455">
        <f>M12</f>
        <v>0</v>
      </c>
      <c r="N18" s="455">
        <f>O12</f>
        <v>0</v>
      </c>
      <c r="O18" s="454">
        <f>Q12</f>
        <v>0</v>
      </c>
      <c r="P18" s="453"/>
      <c r="Q18" s="2262"/>
      <c r="R18" s="2262"/>
      <c r="S18" s="450"/>
      <c r="T18" s="2254" t="s">
        <v>57</v>
      </c>
      <c r="U18" s="2254"/>
      <c r="V18" s="2262">
        <v>770</v>
      </c>
      <c r="W18" s="2262"/>
      <c r="X18" s="2262"/>
      <c r="Y18" s="2269"/>
    </row>
    <row r="19" spans="1:25" ht="25.5" customHeight="1" x14ac:dyDescent="0.25">
      <c r="A19" s="100" t="s">
        <v>41</v>
      </c>
      <c r="B19" s="2260">
        <f>B15+B16+B17-B18</f>
        <v>307287</v>
      </c>
      <c r="C19" s="2261"/>
      <c r="D19" s="453">
        <f>D15+D16+D17-D18</f>
        <v>200</v>
      </c>
      <c r="E19" s="453">
        <f t="shared" ref="E19:N19" si="13">E15+E16+E17-E18</f>
        <v>7670</v>
      </c>
      <c r="F19" s="453">
        <f t="shared" si="13"/>
        <v>26910</v>
      </c>
      <c r="G19" s="453">
        <f t="shared" si="13"/>
        <v>0</v>
      </c>
      <c r="H19" s="453">
        <f t="shared" si="13"/>
        <v>787</v>
      </c>
      <c r="I19" s="453">
        <f t="shared" si="13"/>
        <v>200</v>
      </c>
      <c r="J19" s="453">
        <f t="shared" si="13"/>
        <v>65</v>
      </c>
      <c r="K19" s="453">
        <f t="shared" si="13"/>
        <v>66</v>
      </c>
      <c r="L19" s="453">
        <f t="shared" si="13"/>
        <v>0</v>
      </c>
      <c r="M19" s="453">
        <f t="shared" si="13"/>
        <v>0</v>
      </c>
      <c r="N19" s="453">
        <f t="shared" si="13"/>
        <v>100</v>
      </c>
      <c r="O19" s="453">
        <f>O15+O16+O17-O18</f>
        <v>0</v>
      </c>
      <c r="P19" s="453">
        <f>P15+P16+P17-P18</f>
        <v>755</v>
      </c>
      <c r="Q19" s="2260">
        <f t="shared" ref="Q19" si="14">Q15+Q16+Q17-Q18</f>
        <v>0</v>
      </c>
      <c r="R19" s="2261"/>
      <c r="S19" s="450">
        <f>S15+S16-S17-S18</f>
        <v>0</v>
      </c>
      <c r="T19" s="2256" t="s">
        <v>48</v>
      </c>
      <c r="U19" s="49" t="s">
        <v>58</v>
      </c>
      <c r="V19" s="2262">
        <v>144000</v>
      </c>
      <c r="W19" s="2262"/>
      <c r="X19" s="2262"/>
      <c r="Y19" s="2269"/>
    </row>
    <row r="20" spans="1:25" ht="23.25" customHeight="1" x14ac:dyDescent="0.25">
      <c r="A20" s="289" t="s">
        <v>187</v>
      </c>
      <c r="B20" s="2286">
        <f>B19*0.9625</f>
        <v>295763.73749999999</v>
      </c>
      <c r="C20" s="2287"/>
      <c r="D20" s="290">
        <f>D19*66.41</f>
        <v>13282</v>
      </c>
      <c r="E20" s="290">
        <f>28.2*E19</f>
        <v>216294</v>
      </c>
      <c r="F20" s="290">
        <f>18.31*F19</f>
        <v>492722.1</v>
      </c>
      <c r="G20" s="290">
        <f>19.3*G19</f>
        <v>0</v>
      </c>
      <c r="H20" s="290">
        <f>241*H19</f>
        <v>189667</v>
      </c>
      <c r="I20" s="290">
        <f>223*I19</f>
        <v>44600</v>
      </c>
      <c r="J20" s="290">
        <f>241*J19</f>
        <v>15665</v>
      </c>
      <c r="K20" s="290">
        <f>K19*100</f>
        <v>6600</v>
      </c>
      <c r="L20" s="290">
        <f>241*L19</f>
        <v>0</v>
      </c>
      <c r="M20" s="290">
        <f>9.65*M19</f>
        <v>0</v>
      </c>
      <c r="N20" s="290">
        <f>N19*48.2</f>
        <v>4820</v>
      </c>
      <c r="O20" s="290">
        <f>241*O19</f>
        <v>0</v>
      </c>
      <c r="P20" s="290">
        <f>241*P19</f>
        <v>181955</v>
      </c>
      <c r="Q20" s="2286">
        <f>241*Q19</f>
        <v>0</v>
      </c>
      <c r="R20" s="2287"/>
      <c r="S20" s="290">
        <f>241*S19</f>
        <v>0</v>
      </c>
      <c r="T20" s="2257"/>
      <c r="U20" s="49" t="s">
        <v>59</v>
      </c>
      <c r="V20" s="2262"/>
      <c r="W20" s="2262"/>
      <c r="X20" s="2262"/>
      <c r="Y20" s="2269"/>
    </row>
    <row r="21" spans="1:25" ht="32.25" customHeight="1" x14ac:dyDescent="0.25">
      <c r="A21" s="291" t="s">
        <v>186</v>
      </c>
      <c r="B21" s="2293">
        <f>SUM(B20:S20)</f>
        <v>1461368.8374999999</v>
      </c>
      <c r="C21" s="2293"/>
      <c r="O21" s="457"/>
      <c r="P21" s="457"/>
      <c r="Q21" s="457"/>
      <c r="R21" s="457"/>
      <c r="T21" s="2294" t="s">
        <v>340</v>
      </c>
      <c r="U21" s="2295"/>
      <c r="V21" s="2297">
        <v>261000</v>
      </c>
      <c r="W21" s="2298"/>
      <c r="X21" s="2299"/>
      <c r="Y21" s="2269"/>
    </row>
    <row r="22" spans="1:25" ht="35.25" customHeight="1" x14ac:dyDescent="0.25">
      <c r="A22" s="15"/>
      <c r="B22" s="2288" t="s">
        <v>49</v>
      </c>
      <c r="C22" s="2291">
        <v>1186385</v>
      </c>
      <c r="D22" s="2291">
        <v>144000</v>
      </c>
      <c r="E22" s="2291">
        <v>201241</v>
      </c>
      <c r="F22" s="2291">
        <f>C22-D22+E22</f>
        <v>1243626</v>
      </c>
      <c r="G22" s="457"/>
      <c r="Q22" s="457"/>
      <c r="R22" s="457"/>
      <c r="T22" s="2251" t="s">
        <v>83</v>
      </c>
      <c r="U22" s="50" t="s">
        <v>60</v>
      </c>
      <c r="V22" s="2262">
        <v>434680</v>
      </c>
      <c r="W22" s="2262"/>
      <c r="X22" s="2262"/>
      <c r="Y22" s="2269"/>
    </row>
    <row r="23" spans="1:25" ht="39.75" customHeight="1" x14ac:dyDescent="0.25">
      <c r="A23" s="457"/>
      <c r="B23" s="2289"/>
      <c r="C23" s="2292"/>
      <c r="D23" s="2292"/>
      <c r="E23" s="2292"/>
      <c r="F23" s="2292"/>
      <c r="G23" s="457"/>
      <c r="Q23" s="457"/>
      <c r="R23" s="457"/>
      <c r="T23" s="2252"/>
      <c r="U23" s="50" t="s">
        <v>61</v>
      </c>
      <c r="V23" s="2262">
        <v>405000</v>
      </c>
      <c r="W23" s="2262"/>
      <c r="X23" s="2262"/>
      <c r="Y23" s="2269"/>
    </row>
    <row r="24" spans="1:25" ht="48" customHeight="1" x14ac:dyDescent="0.25">
      <c r="A24" s="457"/>
      <c r="B24" s="2290"/>
      <c r="C24" s="290" t="s">
        <v>46</v>
      </c>
      <c r="D24" s="290" t="s">
        <v>50</v>
      </c>
      <c r="E24" s="290" t="s">
        <v>51</v>
      </c>
      <c r="F24" s="290" t="s">
        <v>52</v>
      </c>
      <c r="G24" s="457"/>
      <c r="Q24" s="457"/>
      <c r="R24" s="457"/>
      <c r="T24" s="2235" t="s">
        <v>47</v>
      </c>
      <c r="U24" s="51" t="s">
        <v>62</v>
      </c>
      <c r="V24" s="2263">
        <f>V14+V16+V17-V18-V19-V20-V22+V23-V21</f>
        <v>77557.650000000023</v>
      </c>
      <c r="W24" s="2263"/>
      <c r="X24" s="2263"/>
      <c r="Y24" s="2269"/>
    </row>
    <row r="25" spans="1:25" ht="40.5" customHeight="1" x14ac:dyDescent="0.25">
      <c r="T25" s="2235"/>
      <c r="U25" s="51" t="s">
        <v>63</v>
      </c>
      <c r="V25" s="2262">
        <f>V15+V22-V23</f>
        <v>40814</v>
      </c>
      <c r="W25" s="2262"/>
      <c r="X25" s="2262"/>
    </row>
    <row r="26" spans="1:25" ht="36" customHeight="1" x14ac:dyDescent="0.25">
      <c r="K26" s="314"/>
    </row>
    <row r="32" spans="1:25" x14ac:dyDescent="0.25">
      <c r="I32" s="2280"/>
      <c r="J32" s="2280"/>
      <c r="K32" s="2280"/>
      <c r="L32" s="2280"/>
    </row>
    <row r="33" spans="9:12" x14ac:dyDescent="0.25">
      <c r="I33" s="457"/>
      <c r="J33" s="457"/>
      <c r="K33" s="2280"/>
      <c r="L33" s="2280"/>
    </row>
  </sheetData>
  <mergeCells count="62">
    <mergeCell ref="A1:Y1"/>
    <mergeCell ref="A2:Y2"/>
    <mergeCell ref="T3:Y3"/>
    <mergeCell ref="A4:A5"/>
    <mergeCell ref="B4:B5"/>
    <mergeCell ref="C4:D4"/>
    <mergeCell ref="E4:F4"/>
    <mergeCell ref="G4:H4"/>
    <mergeCell ref="I4:J4"/>
    <mergeCell ref="K4:L4"/>
    <mergeCell ref="Y4:Y5"/>
    <mergeCell ref="M4:N4"/>
    <mergeCell ref="O4:P4"/>
    <mergeCell ref="Q4:R4"/>
    <mergeCell ref="S4:T4"/>
    <mergeCell ref="U4:V4"/>
    <mergeCell ref="W4:X4"/>
    <mergeCell ref="B16:C16"/>
    <mergeCell ref="Q16:R16"/>
    <mergeCell ref="T16:U16"/>
    <mergeCell ref="V16:X16"/>
    <mergeCell ref="A12:B12"/>
    <mergeCell ref="B14:C14"/>
    <mergeCell ref="Q14:R14"/>
    <mergeCell ref="T14:T15"/>
    <mergeCell ref="V14:X14"/>
    <mergeCell ref="B15:C15"/>
    <mergeCell ref="Q15:R15"/>
    <mergeCell ref="V15:X15"/>
    <mergeCell ref="B17:C17"/>
    <mergeCell ref="Q17:R17"/>
    <mergeCell ref="T17:U17"/>
    <mergeCell ref="V17:X17"/>
    <mergeCell ref="B18:C18"/>
    <mergeCell ref="Q18:R18"/>
    <mergeCell ref="T18:U18"/>
    <mergeCell ref="V18:X18"/>
    <mergeCell ref="Y18:Y24"/>
    <mergeCell ref="B19:C19"/>
    <mergeCell ref="Q19:R19"/>
    <mergeCell ref="T19:T20"/>
    <mergeCell ref="V19:X19"/>
    <mergeCell ref="B20:C20"/>
    <mergeCell ref="B22:B24"/>
    <mergeCell ref="C22:C23"/>
    <mergeCell ref="D22:D23"/>
    <mergeCell ref="E22:E23"/>
    <mergeCell ref="F22:F23"/>
    <mergeCell ref="Q20:R20"/>
    <mergeCell ref="V20:X20"/>
    <mergeCell ref="B21:C21"/>
    <mergeCell ref="T21:U21"/>
    <mergeCell ref="V21:X21"/>
    <mergeCell ref="I32:J32"/>
    <mergeCell ref="K32:L32"/>
    <mergeCell ref="K33:L33"/>
    <mergeCell ref="T22:T23"/>
    <mergeCell ref="V22:X22"/>
    <mergeCell ref="V23:X23"/>
    <mergeCell ref="T24:T25"/>
    <mergeCell ref="V24:X24"/>
    <mergeCell ref="V25:X25"/>
  </mergeCells>
  <pageMargins left="0.15748031496063" right="0.15748031496063" top="0" bottom="0" header="0" footer="0"/>
  <pageSetup paperSize="9" scale="47" orientation="landscape" r:id="rId1"/>
</worksheet>
</file>

<file path=xl/worksheets/sheet1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47945A0-E940-4C90-B17B-6097DD0D4BC8}">
  <sheetPr>
    <pageSetUpPr fitToPage="1"/>
  </sheetPr>
  <dimension ref="A1:Y33"/>
  <sheetViews>
    <sheetView topLeftCell="A15" zoomScale="80" zoomScaleNormal="80" zoomScaleSheetLayoutView="100" workbookViewId="0">
      <selection activeCell="H25" sqref="H25"/>
    </sheetView>
  </sheetViews>
  <sheetFormatPr defaultColWidth="9.140625" defaultRowHeight="15" x14ac:dyDescent="0.25"/>
  <cols>
    <col min="1" max="1" width="18.28515625" style="14" customWidth="1"/>
    <col min="2" max="2" width="10.7109375" style="14" customWidth="1"/>
    <col min="3" max="3" width="12.28515625" style="14" customWidth="1"/>
    <col min="4" max="4" width="13.140625" style="14" bestFit="1" customWidth="1"/>
    <col min="5" max="5" width="12" style="14" customWidth="1"/>
    <col min="6" max="6" width="12.5703125" style="14" bestFit="1" customWidth="1"/>
    <col min="7" max="7" width="9.28515625" style="14" bestFit="1" customWidth="1"/>
    <col min="8" max="8" width="10.140625" style="14" bestFit="1" customWidth="1"/>
    <col min="9" max="9" width="10.5703125" style="14" bestFit="1" customWidth="1"/>
    <col min="10" max="10" width="10.5703125" style="14" customWidth="1"/>
    <col min="11" max="11" width="10.28515625" style="14" bestFit="1" customWidth="1"/>
    <col min="12" max="12" width="10.42578125" style="14" bestFit="1" customWidth="1"/>
    <col min="13" max="13" width="9.85546875" style="14" bestFit="1" customWidth="1"/>
    <col min="14" max="14" width="10.140625" style="14" bestFit="1" customWidth="1"/>
    <col min="15" max="15" width="9" style="14" customWidth="1"/>
    <col min="16" max="16" width="12.85546875" style="14" bestFit="1" customWidth="1"/>
    <col min="17" max="18" width="9.42578125" style="14" customWidth="1"/>
    <col min="19" max="19" width="13.7109375" style="14" customWidth="1"/>
    <col min="20" max="20" width="12.140625" style="14" customWidth="1"/>
    <col min="21" max="21" width="19.5703125" style="14" bestFit="1" customWidth="1"/>
    <col min="22" max="22" width="9.85546875" style="14" customWidth="1"/>
    <col min="23" max="23" width="10.140625" style="14" bestFit="1" customWidth="1"/>
    <col min="24" max="24" width="10.28515625" style="14" customWidth="1"/>
    <col min="25" max="25" width="28" style="14" customWidth="1"/>
    <col min="26" max="16384" width="9.140625" style="14"/>
  </cols>
  <sheetData>
    <row r="1" spans="1:25" ht="46.15" customHeight="1" x14ac:dyDescent="0.25">
      <c r="A1" s="2240" t="s">
        <v>148</v>
      </c>
      <c r="B1" s="2240"/>
      <c r="C1" s="2240"/>
      <c r="D1" s="2240"/>
      <c r="E1" s="2240"/>
      <c r="F1" s="2240"/>
      <c r="G1" s="2240"/>
      <c r="H1" s="2240"/>
      <c r="I1" s="2240"/>
      <c r="J1" s="2240"/>
      <c r="K1" s="2240"/>
      <c r="L1" s="2240"/>
      <c r="M1" s="2240"/>
      <c r="N1" s="2240"/>
      <c r="O1" s="2240"/>
      <c r="P1" s="2240"/>
      <c r="Q1" s="2240"/>
      <c r="R1" s="2240"/>
      <c r="S1" s="2240"/>
      <c r="T1" s="2240"/>
      <c r="U1" s="2240"/>
      <c r="V1" s="2240"/>
      <c r="W1" s="2240"/>
      <c r="X1" s="2240"/>
      <c r="Y1" s="2240"/>
    </row>
    <row r="2" spans="1:25" ht="21.6" customHeight="1" x14ac:dyDescent="0.25">
      <c r="A2" s="2241" t="s">
        <v>77</v>
      </c>
      <c r="B2" s="2241"/>
      <c r="C2" s="2241"/>
      <c r="D2" s="2241"/>
      <c r="E2" s="2241"/>
      <c r="F2" s="2241"/>
      <c r="G2" s="2241"/>
      <c r="H2" s="2241"/>
      <c r="I2" s="2241"/>
      <c r="J2" s="2241"/>
      <c r="K2" s="2241"/>
      <c r="L2" s="2241"/>
      <c r="M2" s="2241"/>
      <c r="N2" s="2241"/>
      <c r="O2" s="2241"/>
      <c r="P2" s="2241"/>
      <c r="Q2" s="2241"/>
      <c r="R2" s="2241"/>
      <c r="S2" s="2241"/>
      <c r="T2" s="2241"/>
      <c r="U2" s="2241"/>
      <c r="V2" s="2241"/>
      <c r="W2" s="2241"/>
      <c r="X2" s="2241"/>
      <c r="Y2" s="2241"/>
    </row>
    <row r="3" spans="1:25" ht="21" customHeight="1" x14ac:dyDescent="0.25">
      <c r="A3" s="458"/>
      <c r="B3" s="458"/>
      <c r="C3" s="458"/>
      <c r="D3" s="458"/>
      <c r="E3" s="458"/>
      <c r="F3" s="458"/>
      <c r="G3" s="458"/>
      <c r="H3" s="458"/>
      <c r="I3" s="458"/>
      <c r="J3" s="458"/>
      <c r="K3" s="458"/>
      <c r="L3" s="458"/>
      <c r="M3" s="458"/>
      <c r="N3" s="458"/>
      <c r="O3" s="458"/>
      <c r="P3" s="458"/>
      <c r="Q3" s="458"/>
      <c r="R3" s="458"/>
      <c r="S3" s="458"/>
      <c r="T3" s="2242" t="s">
        <v>341</v>
      </c>
      <c r="U3" s="2242"/>
      <c r="V3" s="2242"/>
      <c r="W3" s="2242"/>
      <c r="X3" s="2242"/>
      <c r="Y3" s="2242"/>
    </row>
    <row r="4" spans="1:25" s="458" customFormat="1" ht="18" customHeight="1" x14ac:dyDescent="0.25">
      <c r="A4" s="2243" t="s">
        <v>25</v>
      </c>
      <c r="B4" s="2243" t="s">
        <v>26</v>
      </c>
      <c r="C4" s="2244" t="s">
        <v>27</v>
      </c>
      <c r="D4" s="2244"/>
      <c r="E4" s="2244" t="s">
        <v>342</v>
      </c>
      <c r="F4" s="2244"/>
      <c r="G4" s="2244" t="s">
        <v>65</v>
      </c>
      <c r="H4" s="2244"/>
      <c r="I4" s="2244" t="s">
        <v>29</v>
      </c>
      <c r="J4" s="2244"/>
      <c r="K4" s="2245" t="s">
        <v>13</v>
      </c>
      <c r="L4" s="2246"/>
      <c r="M4" s="2245" t="s">
        <v>67</v>
      </c>
      <c r="N4" s="2246"/>
      <c r="O4" s="2245" t="s">
        <v>68</v>
      </c>
      <c r="P4" s="2246"/>
      <c r="Q4" s="2245" t="s">
        <v>114</v>
      </c>
      <c r="R4" s="2246"/>
      <c r="S4" s="2244" t="s">
        <v>35</v>
      </c>
      <c r="T4" s="2244"/>
      <c r="U4" s="2245" t="s">
        <v>17</v>
      </c>
      <c r="V4" s="2246"/>
      <c r="W4" s="2247" t="s">
        <v>36</v>
      </c>
      <c r="X4" s="2248"/>
      <c r="Y4" s="2238" t="s">
        <v>30</v>
      </c>
    </row>
    <row r="5" spans="1:25" s="458" customFormat="1" ht="25.5" customHeight="1" x14ac:dyDescent="0.25">
      <c r="A5" s="2243"/>
      <c r="B5" s="2243"/>
      <c r="C5" s="460" t="s">
        <v>42</v>
      </c>
      <c r="D5" s="460" t="s">
        <v>43</v>
      </c>
      <c r="E5" s="460" t="s">
        <v>42</v>
      </c>
      <c r="F5" s="460" t="s">
        <v>43</v>
      </c>
      <c r="G5" s="460" t="s">
        <v>42</v>
      </c>
      <c r="H5" s="460" t="s">
        <v>43</v>
      </c>
      <c r="I5" s="460" t="s">
        <v>42</v>
      </c>
      <c r="J5" s="460" t="s">
        <v>43</v>
      </c>
      <c r="K5" s="460" t="s">
        <v>42</v>
      </c>
      <c r="L5" s="460" t="s">
        <v>43</v>
      </c>
      <c r="M5" s="460" t="s">
        <v>42</v>
      </c>
      <c r="N5" s="460" t="s">
        <v>43</v>
      </c>
      <c r="O5" s="460" t="s">
        <v>42</v>
      </c>
      <c r="P5" s="460" t="s">
        <v>43</v>
      </c>
      <c r="Q5" s="460" t="s">
        <v>42</v>
      </c>
      <c r="R5" s="460" t="s">
        <v>43</v>
      </c>
      <c r="S5" s="33" t="s">
        <v>42</v>
      </c>
      <c r="T5" s="33" t="s">
        <v>43</v>
      </c>
      <c r="U5" s="30" t="s">
        <v>42</v>
      </c>
      <c r="V5" s="30" t="s">
        <v>43</v>
      </c>
      <c r="W5" s="30" t="s">
        <v>42</v>
      </c>
      <c r="X5" s="30" t="s">
        <v>43</v>
      </c>
      <c r="Y5" s="2239"/>
    </row>
    <row r="6" spans="1:25" ht="34.5" customHeight="1" x14ac:dyDescent="0.25">
      <c r="A6" s="12">
        <v>1409935200</v>
      </c>
      <c r="B6" s="459" t="s">
        <v>71</v>
      </c>
      <c r="C6" s="462">
        <v>30051</v>
      </c>
      <c r="D6" s="463">
        <f>0.9725*C6</f>
        <v>29224.5975</v>
      </c>
      <c r="E6" s="462"/>
      <c r="F6" s="462">
        <f>67.1*E6</f>
        <v>0</v>
      </c>
      <c r="G6" s="462">
        <v>10</v>
      </c>
      <c r="H6" s="462">
        <f>28.2*G6</f>
        <v>282</v>
      </c>
      <c r="I6" s="462">
        <v>2030</v>
      </c>
      <c r="J6" s="462">
        <f>18.5*I6</f>
        <v>37555</v>
      </c>
      <c r="K6" s="462"/>
      <c r="L6" s="462">
        <f>19.5*K6</f>
        <v>0</v>
      </c>
      <c r="M6" s="462"/>
      <c r="N6" s="463">
        <f>M6*9.75</f>
        <v>0</v>
      </c>
      <c r="O6" s="462"/>
      <c r="P6" s="463">
        <f>O6*48.62</f>
        <v>0</v>
      </c>
      <c r="Q6" s="463"/>
      <c r="R6" s="463">
        <f>241*Q6</f>
        <v>0</v>
      </c>
      <c r="S6" s="462">
        <v>14</v>
      </c>
      <c r="T6" s="462">
        <f>241*S6</f>
        <v>3374</v>
      </c>
      <c r="U6" s="462"/>
      <c r="V6" s="462">
        <f>232*U6</f>
        <v>0</v>
      </c>
      <c r="W6" s="462"/>
      <c r="X6" s="19">
        <f>W6*100</f>
        <v>0</v>
      </c>
      <c r="Y6" s="89">
        <f t="shared" ref="Y6:Y11" si="0">D6+F6+H6+J6+L6+N6+P6+R6+T6+V6+X6</f>
        <v>70435.597500000003</v>
      </c>
    </row>
    <row r="7" spans="1:25" ht="31.5" customHeight="1" x14ac:dyDescent="0.25">
      <c r="A7" s="12">
        <v>1984225578</v>
      </c>
      <c r="B7" s="459" t="s">
        <v>72</v>
      </c>
      <c r="C7" s="462">
        <v>25358</v>
      </c>
      <c r="D7" s="463">
        <f t="shared" ref="D7:D11" si="1">0.9725*C7</f>
        <v>24660.655000000002</v>
      </c>
      <c r="E7" s="462"/>
      <c r="F7" s="462">
        <f t="shared" ref="F7:F11" si="2">67.1*E7</f>
        <v>0</v>
      </c>
      <c r="G7" s="462"/>
      <c r="H7" s="462">
        <f t="shared" ref="H7:H11" si="3">28.2*G7</f>
        <v>0</v>
      </c>
      <c r="I7" s="462">
        <v>2500</v>
      </c>
      <c r="J7" s="462">
        <f t="shared" ref="J7:J11" si="4">18.5*I7</f>
        <v>46250</v>
      </c>
      <c r="K7" s="462"/>
      <c r="L7" s="462">
        <f t="shared" ref="L7:L11" si="5">19.5*K7</f>
        <v>0</v>
      </c>
      <c r="M7" s="462"/>
      <c r="N7" s="463">
        <f t="shared" ref="N7:N11" si="6">M7*9.75</f>
        <v>0</v>
      </c>
      <c r="O7" s="462"/>
      <c r="P7" s="463">
        <f t="shared" ref="P7:P11" si="7">O7*48.62</f>
        <v>0</v>
      </c>
      <c r="Q7" s="463"/>
      <c r="R7" s="463">
        <f t="shared" ref="R7:R11" si="8">241*Q7</f>
        <v>0</v>
      </c>
      <c r="S7" s="462"/>
      <c r="T7" s="462">
        <f t="shared" ref="T7:T11" si="9">241*S7</f>
        <v>0</v>
      </c>
      <c r="U7" s="462"/>
      <c r="V7" s="462">
        <f t="shared" ref="V7:V11" si="10">232*U7</f>
        <v>0</v>
      </c>
      <c r="W7" s="462"/>
      <c r="X7" s="19">
        <f t="shared" ref="X7:X11" si="11">W7*100</f>
        <v>0</v>
      </c>
      <c r="Y7" s="89">
        <f t="shared" si="0"/>
        <v>70910.654999999999</v>
      </c>
    </row>
    <row r="8" spans="1:25" ht="35.25" customHeight="1" x14ac:dyDescent="0.25">
      <c r="A8" s="12">
        <v>1967020280</v>
      </c>
      <c r="B8" s="459" t="s">
        <v>73</v>
      </c>
      <c r="C8" s="462">
        <v>12685</v>
      </c>
      <c r="D8" s="463">
        <f t="shared" si="1"/>
        <v>12336.1625</v>
      </c>
      <c r="E8" s="462">
        <v>10</v>
      </c>
      <c r="F8" s="462">
        <f t="shared" si="2"/>
        <v>671</v>
      </c>
      <c r="G8" s="462">
        <v>90</v>
      </c>
      <c r="H8" s="462">
        <f t="shared" si="3"/>
        <v>2538</v>
      </c>
      <c r="I8" s="462">
        <v>4110</v>
      </c>
      <c r="J8" s="462">
        <f t="shared" si="4"/>
        <v>76035</v>
      </c>
      <c r="K8" s="462"/>
      <c r="L8" s="462">
        <f t="shared" si="5"/>
        <v>0</v>
      </c>
      <c r="M8" s="462"/>
      <c r="N8" s="463">
        <f t="shared" si="6"/>
        <v>0</v>
      </c>
      <c r="O8" s="462"/>
      <c r="P8" s="463">
        <f t="shared" si="7"/>
        <v>0</v>
      </c>
      <c r="Q8" s="463"/>
      <c r="R8" s="463">
        <f t="shared" si="8"/>
        <v>0</v>
      </c>
      <c r="S8" s="462"/>
      <c r="T8" s="462">
        <f t="shared" si="9"/>
        <v>0</v>
      </c>
      <c r="U8" s="462"/>
      <c r="V8" s="462">
        <f t="shared" si="10"/>
        <v>0</v>
      </c>
      <c r="W8" s="462"/>
      <c r="X8" s="19">
        <f t="shared" si="11"/>
        <v>0</v>
      </c>
      <c r="Y8" s="89">
        <f t="shared" si="0"/>
        <v>91580.162500000006</v>
      </c>
    </row>
    <row r="9" spans="1:25" ht="38.25" customHeight="1" x14ac:dyDescent="0.25">
      <c r="A9" s="12">
        <v>1984225580</v>
      </c>
      <c r="B9" s="459" t="s">
        <v>75</v>
      </c>
      <c r="C9" s="462">
        <v>30478</v>
      </c>
      <c r="D9" s="463">
        <f t="shared" si="1"/>
        <v>29639.855</v>
      </c>
      <c r="E9" s="462"/>
      <c r="F9" s="462">
        <f t="shared" si="2"/>
        <v>0</v>
      </c>
      <c r="G9" s="462"/>
      <c r="H9" s="462">
        <f t="shared" si="3"/>
        <v>0</v>
      </c>
      <c r="I9" s="462"/>
      <c r="J9" s="462">
        <f t="shared" si="4"/>
        <v>0</v>
      </c>
      <c r="K9" s="462"/>
      <c r="L9" s="462">
        <f t="shared" si="5"/>
        <v>0</v>
      </c>
      <c r="M9" s="462"/>
      <c r="N9" s="463">
        <f t="shared" si="6"/>
        <v>0</v>
      </c>
      <c r="O9" s="462"/>
      <c r="P9" s="463">
        <f t="shared" si="7"/>
        <v>0</v>
      </c>
      <c r="Q9" s="463"/>
      <c r="R9" s="463">
        <f t="shared" si="8"/>
        <v>0</v>
      </c>
      <c r="S9" s="462"/>
      <c r="T9" s="462">
        <f t="shared" si="9"/>
        <v>0</v>
      </c>
      <c r="U9" s="462"/>
      <c r="V9" s="462">
        <f t="shared" si="10"/>
        <v>0</v>
      </c>
      <c r="W9" s="462"/>
      <c r="X9" s="19">
        <f t="shared" si="11"/>
        <v>0</v>
      </c>
      <c r="Y9" s="89">
        <f t="shared" si="0"/>
        <v>29639.855</v>
      </c>
    </row>
    <row r="10" spans="1:25" ht="35.25" customHeight="1" x14ac:dyDescent="0.25">
      <c r="A10" s="12">
        <v>1409935199</v>
      </c>
      <c r="C10" s="462"/>
      <c r="D10" s="463">
        <f t="shared" si="1"/>
        <v>0</v>
      </c>
      <c r="E10" s="462"/>
      <c r="F10" s="462">
        <f t="shared" si="2"/>
        <v>0</v>
      </c>
      <c r="G10" s="462"/>
      <c r="H10" s="462">
        <f t="shared" si="3"/>
        <v>0</v>
      </c>
      <c r="I10" s="462"/>
      <c r="J10" s="462">
        <f t="shared" si="4"/>
        <v>0</v>
      </c>
      <c r="K10" s="462"/>
      <c r="L10" s="462">
        <f t="shared" si="5"/>
        <v>0</v>
      </c>
      <c r="M10" s="462"/>
      <c r="N10" s="463">
        <f t="shared" si="6"/>
        <v>0</v>
      </c>
      <c r="O10" s="462"/>
      <c r="P10" s="463">
        <f t="shared" si="7"/>
        <v>0</v>
      </c>
      <c r="Q10" s="463"/>
      <c r="R10" s="463">
        <f t="shared" si="8"/>
        <v>0</v>
      </c>
      <c r="S10" s="462"/>
      <c r="T10" s="462">
        <f t="shared" si="9"/>
        <v>0</v>
      </c>
      <c r="U10" s="462"/>
      <c r="V10" s="462">
        <f t="shared" si="10"/>
        <v>0</v>
      </c>
      <c r="W10" s="462"/>
      <c r="X10" s="19">
        <f t="shared" si="11"/>
        <v>0</v>
      </c>
      <c r="Y10" s="89">
        <f t="shared" si="0"/>
        <v>0</v>
      </c>
    </row>
    <row r="11" spans="1:25" ht="37.5" customHeight="1" x14ac:dyDescent="0.25">
      <c r="A11" s="12"/>
      <c r="B11" s="461"/>
      <c r="C11" s="462"/>
      <c r="D11" s="22">
        <f t="shared" si="1"/>
        <v>0</v>
      </c>
      <c r="E11" s="462"/>
      <c r="F11" s="462">
        <f t="shared" si="2"/>
        <v>0</v>
      </c>
      <c r="G11" s="462"/>
      <c r="H11" s="462">
        <f t="shared" si="3"/>
        <v>0</v>
      </c>
      <c r="I11" s="462"/>
      <c r="J11" s="462">
        <f t="shared" si="4"/>
        <v>0</v>
      </c>
      <c r="K11" s="462"/>
      <c r="L11" s="462">
        <f t="shared" si="5"/>
        <v>0</v>
      </c>
      <c r="M11" s="462"/>
      <c r="N11" s="463">
        <f t="shared" si="6"/>
        <v>0</v>
      </c>
      <c r="O11" s="462"/>
      <c r="P11" s="463">
        <f t="shared" si="7"/>
        <v>0</v>
      </c>
      <c r="Q11" s="463"/>
      <c r="R11" s="463">
        <f t="shared" si="8"/>
        <v>0</v>
      </c>
      <c r="S11" s="462"/>
      <c r="T11" s="462">
        <f t="shared" si="9"/>
        <v>0</v>
      </c>
      <c r="U11" s="462"/>
      <c r="V11" s="462">
        <f t="shared" si="10"/>
        <v>0</v>
      </c>
      <c r="W11" s="462"/>
      <c r="X11" s="19">
        <f t="shared" si="11"/>
        <v>0</v>
      </c>
      <c r="Y11" s="20">
        <f t="shared" si="0"/>
        <v>0</v>
      </c>
    </row>
    <row r="12" spans="1:25" ht="29.25" customHeight="1" x14ac:dyDescent="0.25">
      <c r="A12" s="2235" t="s">
        <v>31</v>
      </c>
      <c r="B12" s="2235"/>
      <c r="C12" s="18">
        <f t="shared" ref="C12:Y12" si="12">SUM(C6:C11)</f>
        <v>98572</v>
      </c>
      <c r="D12" s="18">
        <f t="shared" si="12"/>
        <v>95861.27</v>
      </c>
      <c r="E12" s="18">
        <f t="shared" si="12"/>
        <v>10</v>
      </c>
      <c r="F12" s="18">
        <f t="shared" si="12"/>
        <v>671</v>
      </c>
      <c r="G12" s="18">
        <f t="shared" si="12"/>
        <v>100</v>
      </c>
      <c r="H12" s="18">
        <f t="shared" si="12"/>
        <v>2820</v>
      </c>
      <c r="I12" s="18">
        <f t="shared" si="12"/>
        <v>8640</v>
      </c>
      <c r="J12" s="18">
        <f t="shared" si="12"/>
        <v>159840</v>
      </c>
      <c r="K12" s="18">
        <f t="shared" si="12"/>
        <v>0</v>
      </c>
      <c r="L12" s="18">
        <f t="shared" si="12"/>
        <v>0</v>
      </c>
      <c r="M12" s="18">
        <f t="shared" si="12"/>
        <v>0</v>
      </c>
      <c r="N12" s="23">
        <f t="shared" si="12"/>
        <v>0</v>
      </c>
      <c r="O12" s="18">
        <f t="shared" si="12"/>
        <v>0</v>
      </c>
      <c r="P12" s="23">
        <f t="shared" si="12"/>
        <v>0</v>
      </c>
      <c r="Q12" s="23">
        <f t="shared" si="12"/>
        <v>0</v>
      </c>
      <c r="R12" s="23">
        <f>SUM(R6:R11)</f>
        <v>0</v>
      </c>
      <c r="S12" s="18">
        <f t="shared" si="12"/>
        <v>14</v>
      </c>
      <c r="T12" s="18">
        <f t="shared" si="12"/>
        <v>3374</v>
      </c>
      <c r="U12" s="18">
        <f t="shared" si="12"/>
        <v>0</v>
      </c>
      <c r="V12" s="18">
        <f t="shared" si="12"/>
        <v>0</v>
      </c>
      <c r="W12" s="18">
        <f t="shared" si="12"/>
        <v>0</v>
      </c>
      <c r="X12" s="18">
        <f t="shared" si="12"/>
        <v>0</v>
      </c>
      <c r="Y12" s="18">
        <f t="shared" si="12"/>
        <v>262566.27</v>
      </c>
    </row>
    <row r="14" spans="1:25" ht="41.25" customHeight="1" x14ac:dyDescent="0.25">
      <c r="A14" s="30" t="s">
        <v>32</v>
      </c>
      <c r="B14" s="2236" t="s">
        <v>27</v>
      </c>
      <c r="C14" s="2236"/>
      <c r="D14" s="30" t="s">
        <v>333</v>
      </c>
      <c r="E14" s="30" t="s">
        <v>65</v>
      </c>
      <c r="F14" s="30" t="s">
        <v>34</v>
      </c>
      <c r="G14" s="30" t="s">
        <v>13</v>
      </c>
      <c r="H14" s="469" t="s">
        <v>173</v>
      </c>
      <c r="I14" s="30" t="s">
        <v>17</v>
      </c>
      <c r="J14" s="467" t="s">
        <v>174</v>
      </c>
      <c r="K14" s="30" t="s">
        <v>36</v>
      </c>
      <c r="L14" s="30" t="s">
        <v>175</v>
      </c>
      <c r="M14" s="30" t="s">
        <v>69</v>
      </c>
      <c r="N14" s="30" t="s">
        <v>70</v>
      </c>
      <c r="O14" s="467" t="s">
        <v>114</v>
      </c>
      <c r="P14" s="467" t="s">
        <v>339</v>
      </c>
      <c r="Q14" s="2272"/>
      <c r="R14" s="2272"/>
      <c r="S14" s="467"/>
      <c r="T14" s="2235" t="s">
        <v>46</v>
      </c>
      <c r="U14" s="459" t="s">
        <v>176</v>
      </c>
      <c r="V14" s="2260">
        <v>77558</v>
      </c>
      <c r="W14" s="2268"/>
      <c r="X14" s="2261"/>
    </row>
    <row r="15" spans="1:25" ht="22.5" customHeight="1" x14ac:dyDescent="0.25">
      <c r="A15" s="100" t="s">
        <v>38</v>
      </c>
      <c r="B15" s="2260">
        <v>307287</v>
      </c>
      <c r="C15" s="2261"/>
      <c r="D15" s="464">
        <v>200</v>
      </c>
      <c r="E15" s="464">
        <v>7670</v>
      </c>
      <c r="F15" s="464">
        <v>26910</v>
      </c>
      <c r="G15" s="464">
        <v>0</v>
      </c>
      <c r="H15" s="464">
        <v>787</v>
      </c>
      <c r="I15" s="464">
        <v>200</v>
      </c>
      <c r="J15" s="464">
        <v>65</v>
      </c>
      <c r="K15" s="464">
        <v>66</v>
      </c>
      <c r="L15" s="464">
        <v>0</v>
      </c>
      <c r="M15" s="464">
        <v>0</v>
      </c>
      <c r="N15" s="464">
        <v>100</v>
      </c>
      <c r="O15" s="464">
        <v>0</v>
      </c>
      <c r="P15" s="464">
        <v>755</v>
      </c>
      <c r="Q15" s="2262"/>
      <c r="R15" s="2262"/>
      <c r="S15" s="459">
        <v>0</v>
      </c>
      <c r="T15" s="2235"/>
      <c r="U15" s="459" t="s">
        <v>64</v>
      </c>
      <c r="V15" s="2262">
        <v>40814</v>
      </c>
      <c r="W15" s="2262"/>
      <c r="X15" s="2262"/>
    </row>
    <row r="16" spans="1:25" ht="24.75" customHeight="1" x14ac:dyDescent="0.25">
      <c r="A16" s="100" t="s">
        <v>39</v>
      </c>
      <c r="B16" s="2260">
        <v>103896</v>
      </c>
      <c r="C16" s="2261"/>
      <c r="D16" s="464">
        <v>1100</v>
      </c>
      <c r="E16" s="464"/>
      <c r="F16" s="464"/>
      <c r="G16" s="464"/>
      <c r="H16" s="464"/>
      <c r="I16" s="464"/>
      <c r="J16" s="464"/>
      <c r="K16" s="464"/>
      <c r="L16" s="464"/>
      <c r="M16" s="464"/>
      <c r="N16" s="464"/>
      <c r="O16" s="464"/>
      <c r="P16" s="464"/>
      <c r="Q16" s="2225"/>
      <c r="R16" s="2225"/>
      <c r="S16" s="464"/>
      <c r="T16" s="2254" t="s">
        <v>55</v>
      </c>
      <c r="U16" s="2254"/>
      <c r="V16" s="2267">
        <f>Y12</f>
        <v>262566.27</v>
      </c>
      <c r="W16" s="2267"/>
      <c r="X16" s="2262"/>
    </row>
    <row r="17" spans="1:25" ht="28.5" customHeight="1" x14ac:dyDescent="0.25">
      <c r="A17" s="101" t="s">
        <v>44</v>
      </c>
      <c r="B17" s="2260"/>
      <c r="C17" s="2261"/>
      <c r="D17" s="464"/>
      <c r="E17" s="464"/>
      <c r="F17" s="464"/>
      <c r="G17" s="464"/>
      <c r="H17" s="464"/>
      <c r="I17" s="464"/>
      <c r="J17" s="464"/>
      <c r="K17" s="464"/>
      <c r="L17" s="464"/>
      <c r="M17" s="464"/>
      <c r="N17" s="464"/>
      <c r="O17" s="464"/>
      <c r="P17" s="464"/>
      <c r="Q17" s="2225"/>
      <c r="R17" s="2225"/>
      <c r="S17" s="461"/>
      <c r="T17" s="2294"/>
      <c r="U17" s="2295"/>
      <c r="V17" s="2296"/>
      <c r="W17" s="2296"/>
      <c r="X17" s="2296"/>
    </row>
    <row r="18" spans="1:25" ht="27" customHeight="1" x14ac:dyDescent="0.25">
      <c r="A18" s="100" t="s">
        <v>40</v>
      </c>
      <c r="B18" s="2264">
        <f>C12</f>
        <v>98572</v>
      </c>
      <c r="C18" s="2261"/>
      <c r="D18" s="465">
        <f>E12</f>
        <v>10</v>
      </c>
      <c r="E18" s="465">
        <f>G12</f>
        <v>100</v>
      </c>
      <c r="F18" s="465">
        <f>I12</f>
        <v>8640</v>
      </c>
      <c r="G18" s="465">
        <f>K12</f>
        <v>0</v>
      </c>
      <c r="H18" s="464">
        <v>14</v>
      </c>
      <c r="I18" s="465">
        <f>U12</f>
        <v>0</v>
      </c>
      <c r="J18" s="464"/>
      <c r="K18" s="465">
        <f>W12</f>
        <v>0</v>
      </c>
      <c r="L18" s="464"/>
      <c r="M18" s="465">
        <f>M12</f>
        <v>0</v>
      </c>
      <c r="N18" s="465">
        <f>O12</f>
        <v>0</v>
      </c>
      <c r="O18" s="466">
        <f>Q12</f>
        <v>0</v>
      </c>
      <c r="P18" s="464"/>
      <c r="Q18" s="2262"/>
      <c r="R18" s="2262"/>
      <c r="S18" s="459"/>
      <c r="T18" s="2254" t="s">
        <v>57</v>
      </c>
      <c r="U18" s="2254"/>
      <c r="V18" s="2262">
        <v>570</v>
      </c>
      <c r="W18" s="2262"/>
      <c r="X18" s="2262"/>
      <c r="Y18" s="2269"/>
    </row>
    <row r="19" spans="1:25" ht="25.5" customHeight="1" x14ac:dyDescent="0.25">
      <c r="A19" s="100" t="s">
        <v>41</v>
      </c>
      <c r="B19" s="2260">
        <f>B15+B16+B17-B18</f>
        <v>312611</v>
      </c>
      <c r="C19" s="2261"/>
      <c r="D19" s="464">
        <f>D15+D16+D17-D18</f>
        <v>1290</v>
      </c>
      <c r="E19" s="464">
        <f t="shared" ref="E19:N19" si="13">E15+E16+E17-E18</f>
        <v>7570</v>
      </c>
      <c r="F19" s="464">
        <f t="shared" si="13"/>
        <v>18270</v>
      </c>
      <c r="G19" s="464">
        <f t="shared" si="13"/>
        <v>0</v>
      </c>
      <c r="H19" s="464">
        <f t="shared" si="13"/>
        <v>773</v>
      </c>
      <c r="I19" s="464">
        <f t="shared" si="13"/>
        <v>200</v>
      </c>
      <c r="J19" s="464">
        <f t="shared" si="13"/>
        <v>65</v>
      </c>
      <c r="K19" s="464">
        <f t="shared" si="13"/>
        <v>66</v>
      </c>
      <c r="L19" s="464">
        <f t="shared" si="13"/>
        <v>0</v>
      </c>
      <c r="M19" s="464">
        <f t="shared" si="13"/>
        <v>0</v>
      </c>
      <c r="N19" s="464">
        <f t="shared" si="13"/>
        <v>100</v>
      </c>
      <c r="O19" s="464">
        <f>O15+O16+O17-O18</f>
        <v>0</v>
      </c>
      <c r="P19" s="464">
        <f>P15+P16+P17-P18</f>
        <v>755</v>
      </c>
      <c r="Q19" s="2260">
        <f t="shared" ref="Q19" si="14">Q15+Q16+Q17-Q18</f>
        <v>0</v>
      </c>
      <c r="R19" s="2261"/>
      <c r="S19" s="459">
        <f>S15+S16-S17-S18</f>
        <v>0</v>
      </c>
      <c r="T19" s="2256" t="s">
        <v>48</v>
      </c>
      <c r="U19" s="49" t="s">
        <v>58</v>
      </c>
      <c r="V19" s="2262">
        <v>201241</v>
      </c>
      <c r="W19" s="2262"/>
      <c r="X19" s="2262"/>
      <c r="Y19" s="2269"/>
    </row>
    <row r="20" spans="1:25" ht="23.25" customHeight="1" x14ac:dyDescent="0.25">
      <c r="A20" s="289" t="s">
        <v>187</v>
      </c>
      <c r="B20" s="2286">
        <f>B19*0.9625</f>
        <v>300888.08750000002</v>
      </c>
      <c r="C20" s="2287"/>
      <c r="D20" s="290">
        <f>D19*66.41</f>
        <v>85668.9</v>
      </c>
      <c r="E20" s="290">
        <f>28.2*E19</f>
        <v>213474</v>
      </c>
      <c r="F20" s="290">
        <f>18.31*F19</f>
        <v>334523.69999999995</v>
      </c>
      <c r="G20" s="290">
        <f>19.3*G19</f>
        <v>0</v>
      </c>
      <c r="H20" s="290">
        <f>241*H19</f>
        <v>186293</v>
      </c>
      <c r="I20" s="290">
        <f>223*I19</f>
        <v>44600</v>
      </c>
      <c r="J20" s="290">
        <f>241*J19</f>
        <v>15665</v>
      </c>
      <c r="K20" s="290">
        <f>K19*100</f>
        <v>6600</v>
      </c>
      <c r="L20" s="290">
        <f>241*L19</f>
        <v>0</v>
      </c>
      <c r="M20" s="290">
        <f>9.65*M19</f>
        <v>0</v>
      </c>
      <c r="N20" s="290">
        <f>N19*48.2</f>
        <v>4820</v>
      </c>
      <c r="O20" s="290">
        <f>241*O19</f>
        <v>0</v>
      </c>
      <c r="P20" s="290">
        <f>241*P19</f>
        <v>181955</v>
      </c>
      <c r="Q20" s="2286">
        <f>241*Q19</f>
        <v>0</v>
      </c>
      <c r="R20" s="2287"/>
      <c r="S20" s="290">
        <f>241*S19</f>
        <v>0</v>
      </c>
      <c r="T20" s="2257"/>
      <c r="U20" s="49" t="s">
        <v>59</v>
      </c>
      <c r="V20" s="2262"/>
      <c r="W20" s="2262"/>
      <c r="X20" s="2262"/>
      <c r="Y20" s="2269"/>
    </row>
    <row r="21" spans="1:25" ht="32.25" customHeight="1" x14ac:dyDescent="0.25">
      <c r="A21" s="291" t="s">
        <v>186</v>
      </c>
      <c r="B21" s="2293">
        <f>SUM(B20:S20)</f>
        <v>1374487.6875</v>
      </c>
      <c r="C21" s="2293"/>
      <c r="O21" s="468"/>
      <c r="P21" s="468"/>
      <c r="Q21" s="468"/>
      <c r="R21" s="468"/>
      <c r="T21" s="2294"/>
      <c r="U21" s="2295"/>
      <c r="V21" s="2297"/>
      <c r="W21" s="2298"/>
      <c r="X21" s="2299"/>
      <c r="Y21" s="2269"/>
    </row>
    <row r="22" spans="1:25" ht="35.25" customHeight="1" x14ac:dyDescent="0.25">
      <c r="A22" s="15"/>
      <c r="B22" s="2288" t="s">
        <v>49</v>
      </c>
      <c r="C22" s="2291">
        <v>1243626</v>
      </c>
      <c r="D22" s="2291">
        <v>201241</v>
      </c>
      <c r="E22" s="2291">
        <v>173051</v>
      </c>
      <c r="F22" s="2291">
        <f>C22-D22+E22</f>
        <v>1215436</v>
      </c>
      <c r="G22" s="468"/>
      <c r="Q22" s="468"/>
      <c r="R22" s="468"/>
      <c r="T22" s="2251" t="s">
        <v>83</v>
      </c>
      <c r="U22" s="50" t="s">
        <v>60</v>
      </c>
      <c r="V22" s="2262">
        <v>282090</v>
      </c>
      <c r="W22" s="2262"/>
      <c r="X22" s="2262"/>
      <c r="Y22" s="2269"/>
    </row>
    <row r="23" spans="1:25" ht="39.75" customHeight="1" x14ac:dyDescent="0.25">
      <c r="A23" s="468"/>
      <c r="B23" s="2289"/>
      <c r="C23" s="2292"/>
      <c r="D23" s="2292"/>
      <c r="E23" s="2292"/>
      <c r="F23" s="2292"/>
      <c r="G23" s="468"/>
      <c r="Q23" s="468"/>
      <c r="R23" s="468"/>
      <c r="T23" s="2252"/>
      <c r="U23" s="50" t="s">
        <v>61</v>
      </c>
      <c r="V23" s="2262">
        <v>201241</v>
      </c>
      <c r="W23" s="2262"/>
      <c r="X23" s="2262"/>
      <c r="Y23" s="2269"/>
    </row>
    <row r="24" spans="1:25" ht="48" customHeight="1" x14ac:dyDescent="0.25">
      <c r="A24" s="468"/>
      <c r="B24" s="2290"/>
      <c r="C24" s="290" t="s">
        <v>46</v>
      </c>
      <c r="D24" s="290" t="s">
        <v>50</v>
      </c>
      <c r="E24" s="290" t="s">
        <v>51</v>
      </c>
      <c r="F24" s="290" t="s">
        <v>52</v>
      </c>
      <c r="G24" s="468"/>
      <c r="Q24" s="468"/>
      <c r="R24" s="468"/>
      <c r="T24" s="2235" t="s">
        <v>47</v>
      </c>
      <c r="U24" s="51" t="s">
        <v>62</v>
      </c>
      <c r="V24" s="2263">
        <f>V14+V16+V17-V18-V19-V20-V22+V23-V21</f>
        <v>57464.270000000019</v>
      </c>
      <c r="W24" s="2263"/>
      <c r="X24" s="2263"/>
      <c r="Y24" s="2269"/>
    </row>
    <row r="25" spans="1:25" ht="40.5" customHeight="1" x14ac:dyDescent="0.25">
      <c r="T25" s="2235"/>
      <c r="U25" s="51" t="s">
        <v>63</v>
      </c>
      <c r="V25" s="2262">
        <f>V15+V22-V23</f>
        <v>121663</v>
      </c>
      <c r="W25" s="2262"/>
      <c r="X25" s="2262"/>
    </row>
    <row r="26" spans="1:25" ht="36" customHeight="1" x14ac:dyDescent="0.25">
      <c r="K26" s="314"/>
    </row>
    <row r="32" spans="1:25" x14ac:dyDescent="0.25">
      <c r="I32" s="2280"/>
      <c r="J32" s="2280"/>
      <c r="K32" s="2280"/>
      <c r="L32" s="2280"/>
    </row>
    <row r="33" spans="9:12" x14ac:dyDescent="0.25">
      <c r="I33" s="468"/>
      <c r="J33" s="468"/>
      <c r="K33" s="2280"/>
      <c r="L33" s="2280"/>
    </row>
  </sheetData>
  <mergeCells count="62">
    <mergeCell ref="I32:J32"/>
    <mergeCell ref="K32:L32"/>
    <mergeCell ref="K33:L33"/>
    <mergeCell ref="T22:T23"/>
    <mergeCell ref="V22:X22"/>
    <mergeCell ref="V23:X23"/>
    <mergeCell ref="T24:T25"/>
    <mergeCell ref="V24:X24"/>
    <mergeCell ref="V25:X25"/>
    <mergeCell ref="Y18:Y24"/>
    <mergeCell ref="B19:C19"/>
    <mergeCell ref="Q19:R19"/>
    <mergeCell ref="T19:T20"/>
    <mergeCell ref="V19:X19"/>
    <mergeCell ref="B20:C20"/>
    <mergeCell ref="B22:B24"/>
    <mergeCell ref="C22:C23"/>
    <mergeCell ref="D22:D23"/>
    <mergeCell ref="E22:E23"/>
    <mergeCell ref="F22:F23"/>
    <mergeCell ref="Q20:R20"/>
    <mergeCell ref="V20:X20"/>
    <mergeCell ref="B21:C21"/>
    <mergeCell ref="T21:U21"/>
    <mergeCell ref="V21:X21"/>
    <mergeCell ref="B17:C17"/>
    <mergeCell ref="Q17:R17"/>
    <mergeCell ref="T17:U17"/>
    <mergeCell ref="V17:X17"/>
    <mergeCell ref="B18:C18"/>
    <mergeCell ref="Q18:R18"/>
    <mergeCell ref="T18:U18"/>
    <mergeCell ref="V18:X18"/>
    <mergeCell ref="W4:X4"/>
    <mergeCell ref="B16:C16"/>
    <mergeCell ref="Q16:R16"/>
    <mergeCell ref="T16:U16"/>
    <mergeCell ref="V16:X16"/>
    <mergeCell ref="A12:B12"/>
    <mergeCell ref="B14:C14"/>
    <mergeCell ref="Q14:R14"/>
    <mergeCell ref="T14:T15"/>
    <mergeCell ref="V14:X14"/>
    <mergeCell ref="B15:C15"/>
    <mergeCell ref="Q15:R15"/>
    <mergeCell ref="V15:X15"/>
    <mergeCell ref="A1:Y1"/>
    <mergeCell ref="A2:Y2"/>
    <mergeCell ref="T3:Y3"/>
    <mergeCell ref="A4:A5"/>
    <mergeCell ref="B4:B5"/>
    <mergeCell ref="C4:D4"/>
    <mergeCell ref="E4:F4"/>
    <mergeCell ref="G4:H4"/>
    <mergeCell ref="I4:J4"/>
    <mergeCell ref="K4:L4"/>
    <mergeCell ref="Y4:Y5"/>
    <mergeCell ref="M4:N4"/>
    <mergeCell ref="O4:P4"/>
    <mergeCell ref="Q4:R4"/>
    <mergeCell ref="S4:T4"/>
    <mergeCell ref="U4:V4"/>
  </mergeCells>
  <pageMargins left="0.15748031496063" right="0.15748031496063" top="0" bottom="0" header="0" footer="0"/>
  <pageSetup paperSize="9" scale="47" orientation="landscape" r:id="rId1"/>
</worksheet>
</file>

<file path=xl/worksheets/sheet1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FEDF6CC-B9DE-410D-8AC7-CF1B51CA4B04}">
  <sheetPr>
    <pageSetUpPr fitToPage="1"/>
  </sheetPr>
  <dimension ref="A1:Y33"/>
  <sheetViews>
    <sheetView topLeftCell="F15" zoomScale="80" zoomScaleNormal="80" zoomScaleSheetLayoutView="100" workbookViewId="0">
      <selection activeCell="N25" sqref="N25"/>
    </sheetView>
  </sheetViews>
  <sheetFormatPr defaultColWidth="9.140625" defaultRowHeight="15" x14ac:dyDescent="0.25"/>
  <cols>
    <col min="1" max="1" width="18.28515625" style="14" customWidth="1"/>
    <col min="2" max="2" width="10.7109375" style="14" customWidth="1"/>
    <col min="3" max="3" width="12.28515625" style="14" customWidth="1"/>
    <col min="4" max="4" width="13.140625" style="14" bestFit="1" customWidth="1"/>
    <col min="5" max="5" width="12" style="14" customWidth="1"/>
    <col min="6" max="6" width="12.5703125" style="14" bestFit="1" customWidth="1"/>
    <col min="7" max="7" width="9.28515625" style="14" bestFit="1" customWidth="1"/>
    <col min="8" max="8" width="10.140625" style="14" bestFit="1" customWidth="1"/>
    <col min="9" max="9" width="10.5703125" style="14" bestFit="1" customWidth="1"/>
    <col min="10" max="10" width="10.5703125" style="14" customWidth="1"/>
    <col min="11" max="11" width="10.28515625" style="14" bestFit="1" customWidth="1"/>
    <col min="12" max="12" width="10.42578125" style="14" bestFit="1" customWidth="1"/>
    <col min="13" max="13" width="9.85546875" style="14" bestFit="1" customWidth="1"/>
    <col min="14" max="14" width="10.140625" style="14" bestFit="1" customWidth="1"/>
    <col min="15" max="15" width="9" style="14" customWidth="1"/>
    <col min="16" max="16" width="12.85546875" style="14" bestFit="1" customWidth="1"/>
    <col min="17" max="18" width="9.42578125" style="14" customWidth="1"/>
    <col min="19" max="19" width="13.7109375" style="14" customWidth="1"/>
    <col min="20" max="20" width="12.140625" style="14" customWidth="1"/>
    <col min="21" max="21" width="19.5703125" style="14" bestFit="1" customWidth="1"/>
    <col min="22" max="22" width="9.85546875" style="14" customWidth="1"/>
    <col min="23" max="23" width="10.140625" style="14" bestFit="1" customWidth="1"/>
    <col min="24" max="24" width="10.28515625" style="14" customWidth="1"/>
    <col min="25" max="25" width="28" style="14" customWidth="1"/>
    <col min="26" max="16384" width="9.140625" style="14"/>
  </cols>
  <sheetData>
    <row r="1" spans="1:25" ht="46.15" customHeight="1" x14ac:dyDescent="0.25">
      <c r="A1" s="2240" t="s">
        <v>148</v>
      </c>
      <c r="B1" s="2240"/>
      <c r="C1" s="2240"/>
      <c r="D1" s="2240"/>
      <c r="E1" s="2240"/>
      <c r="F1" s="2240"/>
      <c r="G1" s="2240"/>
      <c r="H1" s="2240"/>
      <c r="I1" s="2240"/>
      <c r="J1" s="2240"/>
      <c r="K1" s="2240"/>
      <c r="L1" s="2240"/>
      <c r="M1" s="2240"/>
      <c r="N1" s="2240"/>
      <c r="O1" s="2240"/>
      <c r="P1" s="2240"/>
      <c r="Q1" s="2240"/>
      <c r="R1" s="2240"/>
      <c r="S1" s="2240"/>
      <c r="T1" s="2240"/>
      <c r="U1" s="2240"/>
      <c r="V1" s="2240"/>
      <c r="W1" s="2240"/>
      <c r="X1" s="2240"/>
      <c r="Y1" s="2240"/>
    </row>
    <row r="2" spans="1:25" ht="21.6" customHeight="1" x14ac:dyDescent="0.25">
      <c r="A2" s="2241" t="s">
        <v>77</v>
      </c>
      <c r="B2" s="2241"/>
      <c r="C2" s="2241"/>
      <c r="D2" s="2241"/>
      <c r="E2" s="2241"/>
      <c r="F2" s="2241"/>
      <c r="G2" s="2241"/>
      <c r="H2" s="2241"/>
      <c r="I2" s="2241"/>
      <c r="J2" s="2241"/>
      <c r="K2" s="2241"/>
      <c r="L2" s="2241"/>
      <c r="M2" s="2241"/>
      <c r="N2" s="2241"/>
      <c r="O2" s="2241"/>
      <c r="P2" s="2241"/>
      <c r="Q2" s="2241"/>
      <c r="R2" s="2241"/>
      <c r="S2" s="2241"/>
      <c r="T2" s="2241"/>
      <c r="U2" s="2241"/>
      <c r="V2" s="2241"/>
      <c r="W2" s="2241"/>
      <c r="X2" s="2241"/>
      <c r="Y2" s="2241"/>
    </row>
    <row r="3" spans="1:25" ht="21" customHeight="1" x14ac:dyDescent="0.25">
      <c r="A3" s="458"/>
      <c r="B3" s="458"/>
      <c r="C3" s="458"/>
      <c r="D3" s="458"/>
      <c r="E3" s="458"/>
      <c r="F3" s="458"/>
      <c r="G3" s="458"/>
      <c r="H3" s="458"/>
      <c r="I3" s="458"/>
      <c r="J3" s="458"/>
      <c r="K3" s="458"/>
      <c r="L3" s="458"/>
      <c r="M3" s="458"/>
      <c r="N3" s="458"/>
      <c r="O3" s="458"/>
      <c r="P3" s="458"/>
      <c r="Q3" s="458"/>
      <c r="R3" s="458"/>
      <c r="S3" s="458"/>
      <c r="T3" s="2242" t="s">
        <v>343</v>
      </c>
      <c r="U3" s="2242"/>
      <c r="V3" s="2242"/>
      <c r="W3" s="2242"/>
      <c r="X3" s="2242"/>
      <c r="Y3" s="2242"/>
    </row>
    <row r="4" spans="1:25" s="458" customFormat="1" ht="18" customHeight="1" x14ac:dyDescent="0.25">
      <c r="A4" s="2243" t="s">
        <v>25</v>
      </c>
      <c r="B4" s="2243" t="s">
        <v>26</v>
      </c>
      <c r="C4" s="2244" t="s">
        <v>27</v>
      </c>
      <c r="D4" s="2244"/>
      <c r="E4" s="2244" t="s">
        <v>342</v>
      </c>
      <c r="F4" s="2244"/>
      <c r="G4" s="2244" t="s">
        <v>65</v>
      </c>
      <c r="H4" s="2244"/>
      <c r="I4" s="2244" t="s">
        <v>29</v>
      </c>
      <c r="J4" s="2244"/>
      <c r="K4" s="2245" t="s">
        <v>13</v>
      </c>
      <c r="L4" s="2246"/>
      <c r="M4" s="2245" t="s">
        <v>67</v>
      </c>
      <c r="N4" s="2246"/>
      <c r="O4" s="2245" t="s">
        <v>68</v>
      </c>
      <c r="P4" s="2246"/>
      <c r="Q4" s="2245" t="s">
        <v>114</v>
      </c>
      <c r="R4" s="2246"/>
      <c r="S4" s="2244" t="s">
        <v>35</v>
      </c>
      <c r="T4" s="2244"/>
      <c r="U4" s="2245" t="s">
        <v>17</v>
      </c>
      <c r="V4" s="2246"/>
      <c r="W4" s="2247" t="s">
        <v>36</v>
      </c>
      <c r="X4" s="2248"/>
      <c r="Y4" s="2238" t="s">
        <v>30</v>
      </c>
    </row>
    <row r="5" spans="1:25" s="458" customFormat="1" ht="25.5" customHeight="1" x14ac:dyDescent="0.25">
      <c r="A5" s="2243"/>
      <c r="B5" s="2243"/>
      <c r="C5" s="460" t="s">
        <v>42</v>
      </c>
      <c r="D5" s="460" t="s">
        <v>43</v>
      </c>
      <c r="E5" s="460" t="s">
        <v>42</v>
      </c>
      <c r="F5" s="460" t="s">
        <v>43</v>
      </c>
      <c r="G5" s="460" t="s">
        <v>42</v>
      </c>
      <c r="H5" s="460" t="s">
        <v>43</v>
      </c>
      <c r="I5" s="460" t="s">
        <v>42</v>
      </c>
      <c r="J5" s="460" t="s">
        <v>43</v>
      </c>
      <c r="K5" s="460" t="s">
        <v>42</v>
      </c>
      <c r="L5" s="460" t="s">
        <v>43</v>
      </c>
      <c r="M5" s="460" t="s">
        <v>42</v>
      </c>
      <c r="N5" s="460" t="s">
        <v>43</v>
      </c>
      <c r="O5" s="460" t="s">
        <v>42</v>
      </c>
      <c r="P5" s="460" t="s">
        <v>43</v>
      </c>
      <c r="Q5" s="460" t="s">
        <v>42</v>
      </c>
      <c r="R5" s="460" t="s">
        <v>43</v>
      </c>
      <c r="S5" s="33" t="s">
        <v>42</v>
      </c>
      <c r="T5" s="33" t="s">
        <v>43</v>
      </c>
      <c r="U5" s="30" t="s">
        <v>42</v>
      </c>
      <c r="V5" s="30" t="s">
        <v>43</v>
      </c>
      <c r="W5" s="30" t="s">
        <v>42</v>
      </c>
      <c r="X5" s="30" t="s">
        <v>43</v>
      </c>
      <c r="Y5" s="2239"/>
    </row>
    <row r="6" spans="1:25" ht="34.5" customHeight="1" x14ac:dyDescent="0.25">
      <c r="A6" s="12">
        <v>1409935200</v>
      </c>
      <c r="B6" s="459" t="s">
        <v>71</v>
      </c>
      <c r="C6" s="462">
        <v>37376</v>
      </c>
      <c r="D6" s="463">
        <f>0.9725*C6</f>
        <v>36348.160000000003</v>
      </c>
      <c r="E6" s="462"/>
      <c r="F6" s="462">
        <f>67.1*E6</f>
        <v>0</v>
      </c>
      <c r="G6" s="462">
        <v>80</v>
      </c>
      <c r="H6" s="462">
        <f>28.2*G6</f>
        <v>2256</v>
      </c>
      <c r="I6" s="462">
        <v>1900</v>
      </c>
      <c r="J6" s="462">
        <f>18.5*I6</f>
        <v>35150</v>
      </c>
      <c r="K6" s="462"/>
      <c r="L6" s="462">
        <f>19.5*K6</f>
        <v>0</v>
      </c>
      <c r="M6" s="462"/>
      <c r="N6" s="463">
        <f>M6*9.75</f>
        <v>0</v>
      </c>
      <c r="O6" s="462"/>
      <c r="P6" s="463">
        <f>O6*48.62</f>
        <v>0</v>
      </c>
      <c r="Q6" s="463"/>
      <c r="R6" s="463">
        <f>241*Q6</f>
        <v>0</v>
      </c>
      <c r="S6" s="462">
        <v>8</v>
      </c>
      <c r="T6" s="462">
        <f>241*S6</f>
        <v>1928</v>
      </c>
      <c r="U6" s="462"/>
      <c r="V6" s="462">
        <f>232*U6</f>
        <v>0</v>
      </c>
      <c r="W6" s="462"/>
      <c r="X6" s="19">
        <f>W6*100</f>
        <v>0</v>
      </c>
      <c r="Y6" s="89">
        <f t="shared" ref="Y6:Y11" si="0">D6+F6+H6+J6+L6+N6+P6+R6+T6+V6+X6</f>
        <v>75682.16</v>
      </c>
    </row>
    <row r="7" spans="1:25" ht="31.5" customHeight="1" x14ac:dyDescent="0.25">
      <c r="A7" s="12">
        <v>1984225578</v>
      </c>
      <c r="B7" s="459" t="s">
        <v>72</v>
      </c>
      <c r="C7" s="462">
        <v>23139</v>
      </c>
      <c r="D7" s="463">
        <f t="shared" ref="D7:D11" si="1">0.9725*C7</f>
        <v>22502.677500000002</v>
      </c>
      <c r="E7" s="462"/>
      <c r="F7" s="462">
        <f t="shared" ref="F7:F11" si="2">67.1*E7</f>
        <v>0</v>
      </c>
      <c r="G7" s="462">
        <v>270</v>
      </c>
      <c r="H7" s="462">
        <f t="shared" ref="H7:H11" si="3">28.2*G7</f>
        <v>7614</v>
      </c>
      <c r="I7" s="462"/>
      <c r="J7" s="462">
        <f t="shared" ref="J7:J11" si="4">18.5*I7</f>
        <v>0</v>
      </c>
      <c r="K7" s="462"/>
      <c r="L7" s="462">
        <f t="shared" ref="L7:L11" si="5">19.5*K7</f>
        <v>0</v>
      </c>
      <c r="M7" s="462"/>
      <c r="N7" s="463">
        <f t="shared" ref="N7:N11" si="6">M7*9.75</f>
        <v>0</v>
      </c>
      <c r="O7" s="462"/>
      <c r="P7" s="463">
        <f t="shared" ref="P7:P11" si="7">O7*48.62</f>
        <v>0</v>
      </c>
      <c r="Q7" s="463"/>
      <c r="R7" s="463">
        <f t="shared" ref="R7:R11" si="8">241*Q7</f>
        <v>0</v>
      </c>
      <c r="S7" s="462">
        <v>25</v>
      </c>
      <c r="T7" s="462">
        <f t="shared" ref="T7:T11" si="9">241*S7</f>
        <v>6025</v>
      </c>
      <c r="U7" s="462">
        <v>100</v>
      </c>
      <c r="V7" s="462">
        <f t="shared" ref="V7:V11" si="10">232*U7</f>
        <v>23200</v>
      </c>
      <c r="W7" s="462"/>
      <c r="X7" s="19">
        <f t="shared" ref="X7:X11" si="11">W7*100</f>
        <v>0</v>
      </c>
      <c r="Y7" s="89">
        <f t="shared" si="0"/>
        <v>59341.677500000005</v>
      </c>
    </row>
    <row r="8" spans="1:25" ht="35.25" customHeight="1" x14ac:dyDescent="0.25">
      <c r="A8" s="12">
        <v>1967020280</v>
      </c>
      <c r="B8" s="459" t="s">
        <v>73</v>
      </c>
      <c r="C8" s="462">
        <v>24254</v>
      </c>
      <c r="D8" s="463">
        <f t="shared" si="1"/>
        <v>23587.014999999999</v>
      </c>
      <c r="E8" s="462"/>
      <c r="F8" s="462">
        <f t="shared" si="2"/>
        <v>0</v>
      </c>
      <c r="G8" s="462"/>
      <c r="H8" s="462">
        <f t="shared" si="3"/>
        <v>0</v>
      </c>
      <c r="I8" s="462">
        <v>970</v>
      </c>
      <c r="J8" s="462">
        <f t="shared" si="4"/>
        <v>17945</v>
      </c>
      <c r="K8" s="462"/>
      <c r="L8" s="462">
        <f t="shared" si="5"/>
        <v>0</v>
      </c>
      <c r="M8" s="462"/>
      <c r="N8" s="463">
        <f t="shared" si="6"/>
        <v>0</v>
      </c>
      <c r="O8" s="462"/>
      <c r="P8" s="463">
        <f t="shared" si="7"/>
        <v>0</v>
      </c>
      <c r="Q8" s="463"/>
      <c r="R8" s="463">
        <f t="shared" si="8"/>
        <v>0</v>
      </c>
      <c r="S8" s="462"/>
      <c r="T8" s="462">
        <f t="shared" si="9"/>
        <v>0</v>
      </c>
      <c r="U8" s="462"/>
      <c r="V8" s="462">
        <f t="shared" si="10"/>
        <v>0</v>
      </c>
      <c r="W8" s="462"/>
      <c r="X8" s="19">
        <f t="shared" si="11"/>
        <v>0</v>
      </c>
      <c r="Y8" s="89">
        <f t="shared" si="0"/>
        <v>41532.014999999999</v>
      </c>
    </row>
    <row r="9" spans="1:25" ht="38.25" customHeight="1" x14ac:dyDescent="0.25">
      <c r="A9" s="12">
        <v>1984225580</v>
      </c>
      <c r="B9" s="459" t="s">
        <v>75</v>
      </c>
      <c r="C9" s="462">
        <v>14742</v>
      </c>
      <c r="D9" s="463">
        <f t="shared" si="1"/>
        <v>14336.595000000001</v>
      </c>
      <c r="E9" s="462">
        <v>10</v>
      </c>
      <c r="F9" s="462">
        <f t="shared" si="2"/>
        <v>671</v>
      </c>
      <c r="G9" s="462">
        <v>90</v>
      </c>
      <c r="H9" s="462">
        <f t="shared" si="3"/>
        <v>2538</v>
      </c>
      <c r="I9" s="462">
        <v>1660</v>
      </c>
      <c r="J9" s="462">
        <f t="shared" si="4"/>
        <v>30710</v>
      </c>
      <c r="K9" s="462"/>
      <c r="L9" s="462">
        <f t="shared" si="5"/>
        <v>0</v>
      </c>
      <c r="M9" s="462"/>
      <c r="N9" s="463">
        <f t="shared" si="6"/>
        <v>0</v>
      </c>
      <c r="O9" s="462"/>
      <c r="P9" s="463">
        <f t="shared" si="7"/>
        <v>0</v>
      </c>
      <c r="Q9" s="463"/>
      <c r="R9" s="463">
        <f t="shared" si="8"/>
        <v>0</v>
      </c>
      <c r="S9" s="462"/>
      <c r="T9" s="462">
        <f t="shared" si="9"/>
        <v>0</v>
      </c>
      <c r="U9" s="462"/>
      <c r="V9" s="462">
        <f t="shared" si="10"/>
        <v>0</v>
      </c>
      <c r="W9" s="462"/>
      <c r="X9" s="19">
        <f t="shared" si="11"/>
        <v>0</v>
      </c>
      <c r="Y9" s="89">
        <f t="shared" si="0"/>
        <v>48255.595000000001</v>
      </c>
    </row>
    <row r="10" spans="1:25" ht="35.25" customHeight="1" x14ac:dyDescent="0.25">
      <c r="A10" s="12">
        <v>1409935199</v>
      </c>
      <c r="C10" s="462"/>
      <c r="D10" s="463">
        <f t="shared" si="1"/>
        <v>0</v>
      </c>
      <c r="E10" s="462"/>
      <c r="F10" s="462">
        <f t="shared" si="2"/>
        <v>0</v>
      </c>
      <c r="G10" s="462"/>
      <c r="H10" s="462">
        <f t="shared" si="3"/>
        <v>0</v>
      </c>
      <c r="I10" s="462"/>
      <c r="J10" s="462">
        <f t="shared" si="4"/>
        <v>0</v>
      </c>
      <c r="K10" s="462"/>
      <c r="L10" s="462">
        <f t="shared" si="5"/>
        <v>0</v>
      </c>
      <c r="M10" s="462"/>
      <c r="N10" s="463">
        <f t="shared" si="6"/>
        <v>0</v>
      </c>
      <c r="O10" s="462"/>
      <c r="P10" s="463">
        <f t="shared" si="7"/>
        <v>0</v>
      </c>
      <c r="Q10" s="463"/>
      <c r="R10" s="463">
        <f t="shared" si="8"/>
        <v>0</v>
      </c>
      <c r="S10" s="462"/>
      <c r="T10" s="462">
        <f t="shared" si="9"/>
        <v>0</v>
      </c>
      <c r="U10" s="462"/>
      <c r="V10" s="462">
        <f t="shared" si="10"/>
        <v>0</v>
      </c>
      <c r="W10" s="462"/>
      <c r="X10" s="19">
        <f t="shared" si="11"/>
        <v>0</v>
      </c>
      <c r="Y10" s="89">
        <f t="shared" si="0"/>
        <v>0</v>
      </c>
    </row>
    <row r="11" spans="1:25" ht="37.5" customHeight="1" x14ac:dyDescent="0.25">
      <c r="A11" s="12"/>
      <c r="B11" s="461"/>
      <c r="C11" s="462"/>
      <c r="D11" s="22">
        <f t="shared" si="1"/>
        <v>0</v>
      </c>
      <c r="E11" s="462"/>
      <c r="F11" s="462">
        <f t="shared" si="2"/>
        <v>0</v>
      </c>
      <c r="G11" s="462"/>
      <c r="H11" s="462">
        <f t="shared" si="3"/>
        <v>0</v>
      </c>
      <c r="I11" s="462"/>
      <c r="J11" s="462">
        <f t="shared" si="4"/>
        <v>0</v>
      </c>
      <c r="K11" s="462"/>
      <c r="L11" s="462">
        <f t="shared" si="5"/>
        <v>0</v>
      </c>
      <c r="M11" s="462"/>
      <c r="N11" s="463">
        <f t="shared" si="6"/>
        <v>0</v>
      </c>
      <c r="O11" s="462"/>
      <c r="P11" s="463">
        <f t="shared" si="7"/>
        <v>0</v>
      </c>
      <c r="Q11" s="463"/>
      <c r="R11" s="463">
        <f t="shared" si="8"/>
        <v>0</v>
      </c>
      <c r="S11" s="462"/>
      <c r="T11" s="462">
        <f t="shared" si="9"/>
        <v>0</v>
      </c>
      <c r="U11" s="462"/>
      <c r="V11" s="462">
        <f t="shared" si="10"/>
        <v>0</v>
      </c>
      <c r="W11" s="462"/>
      <c r="X11" s="19">
        <f t="shared" si="11"/>
        <v>0</v>
      </c>
      <c r="Y11" s="20">
        <f t="shared" si="0"/>
        <v>0</v>
      </c>
    </row>
    <row r="12" spans="1:25" ht="29.25" customHeight="1" x14ac:dyDescent="0.25">
      <c r="A12" s="2235" t="s">
        <v>31</v>
      </c>
      <c r="B12" s="2235"/>
      <c r="C12" s="18">
        <f t="shared" ref="C12:Y12" si="12">SUM(C6:C11)</f>
        <v>99511</v>
      </c>
      <c r="D12" s="18">
        <f t="shared" si="12"/>
        <v>96774.447500000009</v>
      </c>
      <c r="E12" s="18">
        <f t="shared" si="12"/>
        <v>10</v>
      </c>
      <c r="F12" s="18">
        <f t="shared" si="12"/>
        <v>671</v>
      </c>
      <c r="G12" s="18">
        <f t="shared" si="12"/>
        <v>440</v>
      </c>
      <c r="H12" s="18">
        <f t="shared" si="12"/>
        <v>12408</v>
      </c>
      <c r="I12" s="18">
        <f t="shared" si="12"/>
        <v>4530</v>
      </c>
      <c r="J12" s="18">
        <f t="shared" si="12"/>
        <v>83805</v>
      </c>
      <c r="K12" s="18">
        <f t="shared" si="12"/>
        <v>0</v>
      </c>
      <c r="L12" s="18">
        <f t="shared" si="12"/>
        <v>0</v>
      </c>
      <c r="M12" s="18">
        <f t="shared" si="12"/>
        <v>0</v>
      </c>
      <c r="N12" s="23">
        <f t="shared" si="12"/>
        <v>0</v>
      </c>
      <c r="O12" s="18">
        <f t="shared" si="12"/>
        <v>0</v>
      </c>
      <c r="P12" s="23">
        <f t="shared" si="12"/>
        <v>0</v>
      </c>
      <c r="Q12" s="23">
        <f t="shared" si="12"/>
        <v>0</v>
      </c>
      <c r="R12" s="23">
        <f>SUM(R6:R11)</f>
        <v>0</v>
      </c>
      <c r="S12" s="18">
        <f t="shared" si="12"/>
        <v>33</v>
      </c>
      <c r="T12" s="18">
        <f t="shared" si="12"/>
        <v>7953</v>
      </c>
      <c r="U12" s="18">
        <f t="shared" si="12"/>
        <v>100</v>
      </c>
      <c r="V12" s="18">
        <f t="shared" si="12"/>
        <v>23200</v>
      </c>
      <c r="W12" s="18">
        <f t="shared" si="12"/>
        <v>0</v>
      </c>
      <c r="X12" s="18">
        <f t="shared" si="12"/>
        <v>0</v>
      </c>
      <c r="Y12" s="18">
        <f t="shared" si="12"/>
        <v>224811.44750000004</v>
      </c>
    </row>
    <row r="14" spans="1:25" ht="41.25" customHeight="1" x14ac:dyDescent="0.25">
      <c r="A14" s="30" t="s">
        <v>32</v>
      </c>
      <c r="B14" s="2236" t="s">
        <v>27</v>
      </c>
      <c r="C14" s="2236"/>
      <c r="D14" s="30" t="s">
        <v>333</v>
      </c>
      <c r="E14" s="30" t="s">
        <v>65</v>
      </c>
      <c r="F14" s="30" t="s">
        <v>34</v>
      </c>
      <c r="G14" s="30" t="s">
        <v>13</v>
      </c>
      <c r="H14" s="469" t="s">
        <v>173</v>
      </c>
      <c r="I14" s="30" t="s">
        <v>17</v>
      </c>
      <c r="J14" s="467" t="s">
        <v>174</v>
      </c>
      <c r="K14" s="30" t="s">
        <v>36</v>
      </c>
      <c r="L14" s="30" t="s">
        <v>175</v>
      </c>
      <c r="M14" s="30" t="s">
        <v>69</v>
      </c>
      <c r="N14" s="30" t="s">
        <v>70</v>
      </c>
      <c r="O14" s="467" t="s">
        <v>114</v>
      </c>
      <c r="P14" s="467" t="s">
        <v>339</v>
      </c>
      <c r="Q14" s="2272"/>
      <c r="R14" s="2272"/>
      <c r="S14" s="467"/>
      <c r="T14" s="2235" t="s">
        <v>46</v>
      </c>
      <c r="U14" s="459" t="s">
        <v>176</v>
      </c>
      <c r="V14" s="2260">
        <v>57464</v>
      </c>
      <c r="W14" s="2268"/>
      <c r="X14" s="2261"/>
    </row>
    <row r="15" spans="1:25" ht="22.5" customHeight="1" x14ac:dyDescent="0.25">
      <c r="A15" s="100" t="s">
        <v>38</v>
      </c>
      <c r="B15" s="2260">
        <v>312611</v>
      </c>
      <c r="C15" s="2261"/>
      <c r="D15" s="464">
        <v>1290</v>
      </c>
      <c r="E15" s="464">
        <v>7570</v>
      </c>
      <c r="F15" s="464">
        <v>18270</v>
      </c>
      <c r="G15" s="464">
        <v>0</v>
      </c>
      <c r="H15" s="464">
        <v>773</v>
      </c>
      <c r="I15" s="464">
        <v>200</v>
      </c>
      <c r="J15" s="464">
        <v>65</v>
      </c>
      <c r="K15" s="464">
        <v>66</v>
      </c>
      <c r="L15" s="464">
        <v>0</v>
      </c>
      <c r="M15" s="464">
        <v>0</v>
      </c>
      <c r="N15" s="464">
        <v>100</v>
      </c>
      <c r="O15" s="464">
        <v>0</v>
      </c>
      <c r="P15" s="464">
        <v>755</v>
      </c>
      <c r="Q15" s="2262"/>
      <c r="R15" s="2262"/>
      <c r="S15" s="459">
        <v>0</v>
      </c>
      <c r="T15" s="2235"/>
      <c r="U15" s="459" t="s">
        <v>64</v>
      </c>
      <c r="V15" s="2262">
        <v>121663</v>
      </c>
      <c r="W15" s="2262"/>
      <c r="X15" s="2262"/>
    </row>
    <row r="16" spans="1:25" ht="24.75" customHeight="1" x14ac:dyDescent="0.25">
      <c r="A16" s="100" t="s">
        <v>39</v>
      </c>
      <c r="B16" s="2260">
        <v>119480</v>
      </c>
      <c r="C16" s="2261"/>
      <c r="D16" s="464"/>
      <c r="E16" s="464"/>
      <c r="F16" s="464">
        <v>4000</v>
      </c>
      <c r="G16" s="464"/>
      <c r="H16" s="464"/>
      <c r="I16" s="464"/>
      <c r="J16" s="464">
        <v>100</v>
      </c>
      <c r="K16" s="464"/>
      <c r="L16" s="464">
        <v>525</v>
      </c>
      <c r="M16" s="464"/>
      <c r="N16" s="464"/>
      <c r="O16" s="464"/>
      <c r="P16" s="464"/>
      <c r="Q16" s="2225"/>
      <c r="R16" s="2225"/>
      <c r="S16" s="464"/>
      <c r="T16" s="2254" t="s">
        <v>55</v>
      </c>
      <c r="U16" s="2254"/>
      <c r="V16" s="2267">
        <f>Y12</f>
        <v>224811.44750000004</v>
      </c>
      <c r="W16" s="2267"/>
      <c r="X16" s="2262"/>
    </row>
    <row r="17" spans="1:25" ht="28.5" customHeight="1" x14ac:dyDescent="0.25">
      <c r="A17" s="101" t="s">
        <v>44</v>
      </c>
      <c r="B17" s="2260"/>
      <c r="C17" s="2261"/>
      <c r="D17" s="464"/>
      <c r="E17" s="464"/>
      <c r="F17" s="464"/>
      <c r="G17" s="464"/>
      <c r="H17" s="464"/>
      <c r="I17" s="464"/>
      <c r="J17" s="464"/>
      <c r="K17" s="464"/>
      <c r="L17" s="464"/>
      <c r="M17" s="464"/>
      <c r="N17" s="464"/>
      <c r="O17" s="464"/>
      <c r="P17" s="464"/>
      <c r="Q17" s="2225"/>
      <c r="R17" s="2225"/>
      <c r="S17" s="461"/>
      <c r="T17" s="2294"/>
      <c r="U17" s="2295"/>
      <c r="V17" s="2296"/>
      <c r="W17" s="2296"/>
      <c r="X17" s="2296"/>
    </row>
    <row r="18" spans="1:25" ht="27" customHeight="1" x14ac:dyDescent="0.25">
      <c r="A18" s="100" t="s">
        <v>40</v>
      </c>
      <c r="B18" s="2264">
        <f>C12</f>
        <v>99511</v>
      </c>
      <c r="C18" s="2261"/>
      <c r="D18" s="465">
        <f>E12</f>
        <v>10</v>
      </c>
      <c r="E18" s="465">
        <f>G12</f>
        <v>440</v>
      </c>
      <c r="F18" s="465">
        <f>I12</f>
        <v>4530</v>
      </c>
      <c r="G18" s="465">
        <f>K12</f>
        <v>0</v>
      </c>
      <c r="H18" s="464">
        <v>658</v>
      </c>
      <c r="I18" s="465">
        <f>U12</f>
        <v>100</v>
      </c>
      <c r="J18" s="464"/>
      <c r="K18" s="465">
        <f>W12</f>
        <v>0</v>
      </c>
      <c r="L18" s="464"/>
      <c r="M18" s="465">
        <f>M12</f>
        <v>0</v>
      </c>
      <c r="N18" s="465">
        <f>O12</f>
        <v>0</v>
      </c>
      <c r="O18" s="466">
        <f>Q12</f>
        <v>0</v>
      </c>
      <c r="P18" s="464"/>
      <c r="Q18" s="2262"/>
      <c r="R18" s="2262"/>
      <c r="S18" s="459"/>
      <c r="T18" s="2254" t="s">
        <v>57</v>
      </c>
      <c r="U18" s="2254"/>
      <c r="V18" s="2262">
        <f>620+1155</f>
        <v>1775</v>
      </c>
      <c r="W18" s="2262"/>
      <c r="X18" s="2262"/>
      <c r="Y18" s="2269"/>
    </row>
    <row r="19" spans="1:25" ht="25.5" customHeight="1" x14ac:dyDescent="0.25">
      <c r="A19" s="100" t="s">
        <v>41</v>
      </c>
      <c r="B19" s="2260">
        <f>B15+B16+B17-B18</f>
        <v>332580</v>
      </c>
      <c r="C19" s="2261"/>
      <c r="D19" s="464">
        <f>D15+D16+D17-D18</f>
        <v>1280</v>
      </c>
      <c r="E19" s="464">
        <f t="shared" ref="E19:N19" si="13">E15+E16+E17-E18</f>
        <v>7130</v>
      </c>
      <c r="F19" s="464">
        <f t="shared" si="13"/>
        <v>17740</v>
      </c>
      <c r="G19" s="464">
        <f t="shared" si="13"/>
        <v>0</v>
      </c>
      <c r="H19" s="464">
        <f t="shared" si="13"/>
        <v>115</v>
      </c>
      <c r="I19" s="464">
        <f t="shared" si="13"/>
        <v>100</v>
      </c>
      <c r="J19" s="464">
        <f t="shared" si="13"/>
        <v>165</v>
      </c>
      <c r="K19" s="464">
        <f t="shared" si="13"/>
        <v>66</v>
      </c>
      <c r="L19" s="464">
        <f t="shared" si="13"/>
        <v>525</v>
      </c>
      <c r="M19" s="464">
        <f t="shared" si="13"/>
        <v>0</v>
      </c>
      <c r="N19" s="464">
        <f t="shared" si="13"/>
        <v>100</v>
      </c>
      <c r="O19" s="464">
        <f>O15+O16+O17-O18</f>
        <v>0</v>
      </c>
      <c r="P19" s="464">
        <f>P15+P16+P17-P18</f>
        <v>755</v>
      </c>
      <c r="Q19" s="2260">
        <f t="shared" ref="Q19" si="14">Q15+Q16+Q17-Q18</f>
        <v>0</v>
      </c>
      <c r="R19" s="2261"/>
      <c r="S19" s="459">
        <f>S15+S16-S17-S18</f>
        <v>0</v>
      </c>
      <c r="T19" s="2256" t="s">
        <v>48</v>
      </c>
      <c r="U19" s="49" t="s">
        <v>58</v>
      </c>
      <c r="V19" s="2262">
        <v>173051</v>
      </c>
      <c r="W19" s="2262"/>
      <c r="X19" s="2262"/>
      <c r="Y19" s="2269"/>
    </row>
    <row r="20" spans="1:25" ht="23.25" customHeight="1" x14ac:dyDescent="0.25">
      <c r="A20" s="289" t="s">
        <v>187</v>
      </c>
      <c r="B20" s="2286">
        <f>B19*0.9625</f>
        <v>320108.25</v>
      </c>
      <c r="C20" s="2287"/>
      <c r="D20" s="290">
        <f>D19*66.41</f>
        <v>85004.799999999988</v>
      </c>
      <c r="E20" s="290">
        <f>28.2*E19</f>
        <v>201066</v>
      </c>
      <c r="F20" s="290">
        <f>18.31*F19</f>
        <v>324819.39999999997</v>
      </c>
      <c r="G20" s="290">
        <f>19.3*G19</f>
        <v>0</v>
      </c>
      <c r="H20" s="290">
        <f>241*H19</f>
        <v>27715</v>
      </c>
      <c r="I20" s="290">
        <f>223*I19</f>
        <v>22300</v>
      </c>
      <c r="J20" s="290">
        <f>241*J19</f>
        <v>39765</v>
      </c>
      <c r="K20" s="290">
        <f>K19*100</f>
        <v>6600</v>
      </c>
      <c r="L20" s="290">
        <f>241*L19</f>
        <v>126525</v>
      </c>
      <c r="M20" s="290">
        <f>9.65*M19</f>
        <v>0</v>
      </c>
      <c r="N20" s="290">
        <f>N19*48.2</f>
        <v>4820</v>
      </c>
      <c r="O20" s="290">
        <f>241*O19</f>
        <v>0</v>
      </c>
      <c r="P20" s="290">
        <f>241*P19</f>
        <v>181955</v>
      </c>
      <c r="Q20" s="2286">
        <f>241*Q19</f>
        <v>0</v>
      </c>
      <c r="R20" s="2287"/>
      <c r="S20" s="290">
        <f>241*S19</f>
        <v>0</v>
      </c>
      <c r="T20" s="2257"/>
      <c r="U20" s="49" t="s">
        <v>59</v>
      </c>
      <c r="V20" s="2262"/>
      <c r="W20" s="2262"/>
      <c r="X20" s="2262"/>
      <c r="Y20" s="2269"/>
    </row>
    <row r="21" spans="1:25" ht="32.25" customHeight="1" x14ac:dyDescent="0.25">
      <c r="A21" s="291" t="s">
        <v>186</v>
      </c>
      <c r="B21" s="2293">
        <f>SUM(B20:S20)</f>
        <v>1340678.45</v>
      </c>
      <c r="C21" s="2293"/>
      <c r="O21" s="468"/>
      <c r="P21" s="468"/>
      <c r="Q21" s="468"/>
      <c r="R21" s="468"/>
      <c r="T21" s="2294"/>
      <c r="U21" s="2295"/>
      <c r="V21" s="2297"/>
      <c r="W21" s="2298"/>
      <c r="X21" s="2299"/>
      <c r="Y21" s="2269"/>
    </row>
    <row r="22" spans="1:25" ht="35.25" customHeight="1" x14ac:dyDescent="0.25">
      <c r="A22" s="15"/>
      <c r="B22" s="2288" t="s">
        <v>49</v>
      </c>
      <c r="C22" s="2291">
        <v>1215436</v>
      </c>
      <c r="D22" s="2291">
        <v>173051</v>
      </c>
      <c r="E22" s="2291">
        <v>188240</v>
      </c>
      <c r="F22" s="2291">
        <f>C22-D22+E22</f>
        <v>1230625</v>
      </c>
      <c r="G22" s="468"/>
      <c r="Q22" s="468"/>
      <c r="R22" s="468"/>
      <c r="T22" s="2251" t="s">
        <v>83</v>
      </c>
      <c r="U22" s="50" t="s">
        <v>60</v>
      </c>
      <c r="V22" s="2262">
        <v>222440</v>
      </c>
      <c r="W22" s="2262"/>
      <c r="X22" s="2262"/>
      <c r="Y22" s="2269"/>
    </row>
    <row r="23" spans="1:25" ht="39.75" customHeight="1" x14ac:dyDescent="0.25">
      <c r="A23" s="468"/>
      <c r="B23" s="2289"/>
      <c r="C23" s="2292"/>
      <c r="D23" s="2292"/>
      <c r="E23" s="2292"/>
      <c r="F23" s="2292"/>
      <c r="G23" s="468"/>
      <c r="Q23" s="468"/>
      <c r="R23" s="468"/>
      <c r="T23" s="2252"/>
      <c r="U23" s="50" t="s">
        <v>61</v>
      </c>
      <c r="V23" s="2262">
        <v>173051</v>
      </c>
      <c r="W23" s="2262"/>
      <c r="X23" s="2262"/>
      <c r="Y23" s="2269"/>
    </row>
    <row r="24" spans="1:25" ht="48" customHeight="1" x14ac:dyDescent="0.25">
      <c r="A24" s="468"/>
      <c r="B24" s="2290"/>
      <c r="C24" s="290" t="s">
        <v>46</v>
      </c>
      <c r="D24" s="290" t="s">
        <v>50</v>
      </c>
      <c r="E24" s="290" t="s">
        <v>51</v>
      </c>
      <c r="F24" s="290" t="s">
        <v>52</v>
      </c>
      <c r="G24" s="468"/>
      <c r="Q24" s="468"/>
      <c r="R24" s="468"/>
      <c r="T24" s="2235" t="s">
        <v>47</v>
      </c>
      <c r="U24" s="51" t="s">
        <v>62</v>
      </c>
      <c r="V24" s="2263">
        <f>V14+V16+V17-V18-V19-V20-V22+V23-V21</f>
        <v>58060.447500000009</v>
      </c>
      <c r="W24" s="2263"/>
      <c r="X24" s="2263"/>
      <c r="Y24" s="2269"/>
    </row>
    <row r="25" spans="1:25" ht="40.5" customHeight="1" x14ac:dyDescent="0.25">
      <c r="T25" s="2235"/>
      <c r="U25" s="51" t="s">
        <v>63</v>
      </c>
      <c r="V25" s="2262">
        <f>V15+V22-V23</f>
        <v>171052</v>
      </c>
      <c r="W25" s="2262"/>
      <c r="X25" s="2262"/>
    </row>
    <row r="26" spans="1:25" ht="36" customHeight="1" x14ac:dyDescent="0.25">
      <c r="K26" s="314"/>
    </row>
    <row r="32" spans="1:25" x14ac:dyDescent="0.25">
      <c r="I32" s="2280"/>
      <c r="J32" s="2280"/>
      <c r="K32" s="2280"/>
      <c r="L32" s="2280"/>
    </row>
    <row r="33" spans="9:12" x14ac:dyDescent="0.25">
      <c r="I33" s="468"/>
      <c r="J33" s="468"/>
      <c r="K33" s="2280"/>
      <c r="L33" s="2280"/>
    </row>
  </sheetData>
  <mergeCells count="62">
    <mergeCell ref="I32:J32"/>
    <mergeCell ref="K32:L32"/>
    <mergeCell ref="K33:L33"/>
    <mergeCell ref="T22:T23"/>
    <mergeCell ref="V22:X22"/>
    <mergeCell ref="V23:X23"/>
    <mergeCell ref="T24:T25"/>
    <mergeCell ref="V24:X24"/>
    <mergeCell ref="V25:X25"/>
    <mergeCell ref="Y18:Y24"/>
    <mergeCell ref="B19:C19"/>
    <mergeCell ref="Q19:R19"/>
    <mergeCell ref="T19:T20"/>
    <mergeCell ref="V19:X19"/>
    <mergeCell ref="B20:C20"/>
    <mergeCell ref="B22:B24"/>
    <mergeCell ref="C22:C23"/>
    <mergeCell ref="D22:D23"/>
    <mergeCell ref="E22:E23"/>
    <mergeCell ref="F22:F23"/>
    <mergeCell ref="Q20:R20"/>
    <mergeCell ref="V20:X20"/>
    <mergeCell ref="B21:C21"/>
    <mergeCell ref="T21:U21"/>
    <mergeCell ref="V21:X21"/>
    <mergeCell ref="B17:C17"/>
    <mergeCell ref="Q17:R17"/>
    <mergeCell ref="T17:U17"/>
    <mergeCell ref="V17:X17"/>
    <mergeCell ref="B18:C18"/>
    <mergeCell ref="Q18:R18"/>
    <mergeCell ref="T18:U18"/>
    <mergeCell ref="V18:X18"/>
    <mergeCell ref="W4:X4"/>
    <mergeCell ref="B16:C16"/>
    <mergeCell ref="Q16:R16"/>
    <mergeCell ref="T16:U16"/>
    <mergeCell ref="V16:X16"/>
    <mergeCell ref="A12:B12"/>
    <mergeCell ref="B14:C14"/>
    <mergeCell ref="Q14:R14"/>
    <mergeCell ref="T14:T15"/>
    <mergeCell ref="V14:X14"/>
    <mergeCell ref="B15:C15"/>
    <mergeCell ref="Q15:R15"/>
    <mergeCell ref="V15:X15"/>
    <mergeCell ref="A1:Y1"/>
    <mergeCell ref="A2:Y2"/>
    <mergeCell ref="T3:Y3"/>
    <mergeCell ref="A4:A5"/>
    <mergeCell ref="B4:B5"/>
    <mergeCell ref="C4:D4"/>
    <mergeCell ref="E4:F4"/>
    <mergeCell ref="G4:H4"/>
    <mergeCell ref="I4:J4"/>
    <mergeCell ref="K4:L4"/>
    <mergeCell ref="Y4:Y5"/>
    <mergeCell ref="M4:N4"/>
    <mergeCell ref="O4:P4"/>
    <mergeCell ref="Q4:R4"/>
    <mergeCell ref="S4:T4"/>
    <mergeCell ref="U4:V4"/>
  </mergeCells>
  <pageMargins left="0.15748031496063" right="0.15748031496063" top="0" bottom="0" header="0" footer="0"/>
  <pageSetup paperSize="9" scale="47" orientation="landscape" r:id="rId1"/>
</worksheet>
</file>

<file path=xl/worksheets/sheet1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23BFD6B-9F0D-4E62-8F63-93179CD5590C}">
  <sheetPr>
    <pageSetUpPr fitToPage="1"/>
  </sheetPr>
  <dimension ref="A1:Y33"/>
  <sheetViews>
    <sheetView topLeftCell="E16" zoomScale="80" zoomScaleNormal="80" zoomScaleSheetLayoutView="100" workbookViewId="0">
      <selection activeCell="T21" sqref="T21:U21"/>
    </sheetView>
  </sheetViews>
  <sheetFormatPr defaultColWidth="9.140625" defaultRowHeight="15" x14ac:dyDescent="0.25"/>
  <cols>
    <col min="1" max="1" width="18.28515625" style="14" customWidth="1"/>
    <col min="2" max="2" width="10.7109375" style="14" customWidth="1"/>
    <col min="3" max="3" width="12.28515625" style="14" customWidth="1"/>
    <col min="4" max="4" width="13.140625" style="14" bestFit="1" customWidth="1"/>
    <col min="5" max="5" width="12" style="14" customWidth="1"/>
    <col min="6" max="6" width="12.5703125" style="14" bestFit="1" customWidth="1"/>
    <col min="7" max="7" width="9.28515625" style="14" bestFit="1" customWidth="1"/>
    <col min="8" max="8" width="10.140625" style="14" bestFit="1" customWidth="1"/>
    <col min="9" max="9" width="10.5703125" style="14" bestFit="1" customWidth="1"/>
    <col min="10" max="10" width="10.5703125" style="14" customWidth="1"/>
    <col min="11" max="11" width="10.28515625" style="14" bestFit="1" customWidth="1"/>
    <col min="12" max="12" width="10.42578125" style="14" bestFit="1" customWidth="1"/>
    <col min="13" max="13" width="9.85546875" style="14" bestFit="1" customWidth="1"/>
    <col min="14" max="14" width="10.140625" style="14" bestFit="1" customWidth="1"/>
    <col min="15" max="15" width="9" style="14" customWidth="1"/>
    <col min="16" max="16" width="12.85546875" style="14" bestFit="1" customWidth="1"/>
    <col min="17" max="18" width="9.42578125" style="14" customWidth="1"/>
    <col min="19" max="19" width="13.7109375" style="14" customWidth="1"/>
    <col min="20" max="20" width="12.140625" style="14" customWidth="1"/>
    <col min="21" max="21" width="19.5703125" style="14" bestFit="1" customWidth="1"/>
    <col min="22" max="22" width="9.85546875" style="14" customWidth="1"/>
    <col min="23" max="23" width="10.140625" style="14" bestFit="1" customWidth="1"/>
    <col min="24" max="24" width="10.28515625" style="14" customWidth="1"/>
    <col min="25" max="25" width="28" style="14" customWidth="1"/>
    <col min="26" max="16384" width="9.140625" style="14"/>
  </cols>
  <sheetData>
    <row r="1" spans="1:25" ht="46.15" customHeight="1" x14ac:dyDescent="0.25">
      <c r="A1" s="2240" t="s">
        <v>148</v>
      </c>
      <c r="B1" s="2240"/>
      <c r="C1" s="2240"/>
      <c r="D1" s="2240"/>
      <c r="E1" s="2240"/>
      <c r="F1" s="2240"/>
      <c r="G1" s="2240"/>
      <c r="H1" s="2240"/>
      <c r="I1" s="2240"/>
      <c r="J1" s="2240"/>
      <c r="K1" s="2240"/>
      <c r="L1" s="2240"/>
      <c r="M1" s="2240"/>
      <c r="N1" s="2240"/>
      <c r="O1" s="2240"/>
      <c r="P1" s="2240"/>
      <c r="Q1" s="2240"/>
      <c r="R1" s="2240"/>
      <c r="S1" s="2240"/>
      <c r="T1" s="2240"/>
      <c r="U1" s="2240"/>
      <c r="V1" s="2240"/>
      <c r="W1" s="2240"/>
      <c r="X1" s="2240"/>
      <c r="Y1" s="2240"/>
    </row>
    <row r="2" spans="1:25" ht="21.6" customHeight="1" x14ac:dyDescent="0.25">
      <c r="A2" s="2241" t="s">
        <v>77</v>
      </c>
      <c r="B2" s="2241"/>
      <c r="C2" s="2241"/>
      <c r="D2" s="2241"/>
      <c r="E2" s="2241"/>
      <c r="F2" s="2241"/>
      <c r="G2" s="2241"/>
      <c r="H2" s="2241"/>
      <c r="I2" s="2241"/>
      <c r="J2" s="2241"/>
      <c r="K2" s="2241"/>
      <c r="L2" s="2241"/>
      <c r="M2" s="2241"/>
      <c r="N2" s="2241"/>
      <c r="O2" s="2241"/>
      <c r="P2" s="2241"/>
      <c r="Q2" s="2241"/>
      <c r="R2" s="2241"/>
      <c r="S2" s="2241"/>
      <c r="T2" s="2241"/>
      <c r="U2" s="2241"/>
      <c r="V2" s="2241"/>
      <c r="W2" s="2241"/>
      <c r="X2" s="2241"/>
      <c r="Y2" s="2241"/>
    </row>
    <row r="3" spans="1:25" ht="21" customHeight="1" x14ac:dyDescent="0.25">
      <c r="A3" s="475"/>
      <c r="B3" s="475"/>
      <c r="C3" s="475"/>
      <c r="D3" s="475"/>
      <c r="E3" s="475"/>
      <c r="F3" s="475"/>
      <c r="G3" s="475"/>
      <c r="H3" s="475"/>
      <c r="I3" s="475"/>
      <c r="J3" s="475"/>
      <c r="K3" s="475"/>
      <c r="L3" s="475"/>
      <c r="M3" s="475"/>
      <c r="N3" s="475"/>
      <c r="O3" s="475"/>
      <c r="P3" s="475"/>
      <c r="Q3" s="475"/>
      <c r="R3" s="475"/>
      <c r="S3" s="475"/>
      <c r="T3" s="2242" t="s">
        <v>344</v>
      </c>
      <c r="U3" s="2242"/>
      <c r="V3" s="2242"/>
      <c r="W3" s="2242"/>
      <c r="X3" s="2242"/>
      <c r="Y3" s="2242"/>
    </row>
    <row r="4" spans="1:25" s="475" customFormat="1" ht="18" customHeight="1" x14ac:dyDescent="0.25">
      <c r="A4" s="2243" t="s">
        <v>25</v>
      </c>
      <c r="B4" s="2243" t="s">
        <v>26</v>
      </c>
      <c r="C4" s="2244" t="s">
        <v>27</v>
      </c>
      <c r="D4" s="2244"/>
      <c r="E4" s="2244" t="s">
        <v>342</v>
      </c>
      <c r="F4" s="2244"/>
      <c r="G4" s="2244" t="s">
        <v>65</v>
      </c>
      <c r="H4" s="2244"/>
      <c r="I4" s="2244" t="s">
        <v>29</v>
      </c>
      <c r="J4" s="2244"/>
      <c r="K4" s="2245" t="s">
        <v>13</v>
      </c>
      <c r="L4" s="2246"/>
      <c r="M4" s="2245" t="s">
        <v>67</v>
      </c>
      <c r="N4" s="2246"/>
      <c r="O4" s="2245" t="s">
        <v>68</v>
      </c>
      <c r="P4" s="2246"/>
      <c r="Q4" s="2245" t="s">
        <v>114</v>
      </c>
      <c r="R4" s="2246"/>
      <c r="S4" s="2244" t="s">
        <v>35</v>
      </c>
      <c r="T4" s="2244"/>
      <c r="U4" s="2245" t="s">
        <v>17</v>
      </c>
      <c r="V4" s="2246"/>
      <c r="W4" s="2247" t="s">
        <v>36</v>
      </c>
      <c r="X4" s="2248"/>
      <c r="Y4" s="2238" t="s">
        <v>30</v>
      </c>
    </row>
    <row r="5" spans="1:25" s="475" customFormat="1" ht="25.5" customHeight="1" x14ac:dyDescent="0.25">
      <c r="A5" s="2243"/>
      <c r="B5" s="2243"/>
      <c r="C5" s="474" t="s">
        <v>42</v>
      </c>
      <c r="D5" s="474" t="s">
        <v>43</v>
      </c>
      <c r="E5" s="474" t="s">
        <v>42</v>
      </c>
      <c r="F5" s="474" t="s">
        <v>43</v>
      </c>
      <c r="G5" s="474" t="s">
        <v>42</v>
      </c>
      <c r="H5" s="474" t="s">
        <v>43</v>
      </c>
      <c r="I5" s="474" t="s">
        <v>42</v>
      </c>
      <c r="J5" s="474" t="s">
        <v>43</v>
      </c>
      <c r="K5" s="474" t="s">
        <v>42</v>
      </c>
      <c r="L5" s="474" t="s">
        <v>43</v>
      </c>
      <c r="M5" s="474" t="s">
        <v>42</v>
      </c>
      <c r="N5" s="474" t="s">
        <v>43</v>
      </c>
      <c r="O5" s="474" t="s">
        <v>42</v>
      </c>
      <c r="P5" s="474" t="s">
        <v>43</v>
      </c>
      <c r="Q5" s="474" t="s">
        <v>42</v>
      </c>
      <c r="R5" s="474" t="s">
        <v>43</v>
      </c>
      <c r="S5" s="33" t="s">
        <v>42</v>
      </c>
      <c r="T5" s="33" t="s">
        <v>43</v>
      </c>
      <c r="U5" s="30" t="s">
        <v>42</v>
      </c>
      <c r="V5" s="30" t="s">
        <v>43</v>
      </c>
      <c r="W5" s="30" t="s">
        <v>42</v>
      </c>
      <c r="X5" s="30" t="s">
        <v>43</v>
      </c>
      <c r="Y5" s="2239"/>
    </row>
    <row r="6" spans="1:25" ht="34.5" customHeight="1" x14ac:dyDescent="0.25">
      <c r="A6" s="12">
        <v>1409935200</v>
      </c>
      <c r="B6" s="473" t="s">
        <v>71</v>
      </c>
      <c r="C6" s="471">
        <v>36304</v>
      </c>
      <c r="D6" s="470">
        <f>0.9725*C6</f>
        <v>35305.64</v>
      </c>
      <c r="E6" s="471"/>
      <c r="F6" s="471">
        <f>67.1*E6</f>
        <v>0</v>
      </c>
      <c r="G6" s="471"/>
      <c r="H6" s="471">
        <f>28.2*G6</f>
        <v>0</v>
      </c>
      <c r="I6" s="471">
        <v>790</v>
      </c>
      <c r="J6" s="471">
        <f>18.5*I6</f>
        <v>14615</v>
      </c>
      <c r="K6" s="471"/>
      <c r="L6" s="471">
        <f>19.5*K6</f>
        <v>0</v>
      </c>
      <c r="M6" s="471"/>
      <c r="N6" s="470">
        <f>M6*9.75</f>
        <v>0</v>
      </c>
      <c r="O6" s="471"/>
      <c r="P6" s="470">
        <f>O6*48.62</f>
        <v>0</v>
      </c>
      <c r="Q6" s="470"/>
      <c r="R6" s="470">
        <f>241*Q6</f>
        <v>0</v>
      </c>
      <c r="S6" s="471"/>
      <c r="T6" s="471">
        <f>241*S6</f>
        <v>0</v>
      </c>
      <c r="U6" s="471">
        <v>10</v>
      </c>
      <c r="V6" s="471">
        <f>232*U6</f>
        <v>2320</v>
      </c>
      <c r="W6" s="471"/>
      <c r="X6" s="19">
        <f>W6*100</f>
        <v>0</v>
      </c>
      <c r="Y6" s="89">
        <f t="shared" ref="Y6:Y11" si="0">D6+F6+H6+J6+L6+N6+P6+R6+T6+V6+X6</f>
        <v>52240.639999999999</v>
      </c>
    </row>
    <row r="7" spans="1:25" ht="31.5" customHeight="1" x14ac:dyDescent="0.25">
      <c r="A7" s="12">
        <v>1984225578</v>
      </c>
      <c r="B7" s="473" t="s">
        <v>72</v>
      </c>
      <c r="C7" s="471">
        <v>51391</v>
      </c>
      <c r="D7" s="470">
        <f t="shared" ref="D7:D11" si="1">0.9725*C7</f>
        <v>49977.747500000005</v>
      </c>
      <c r="E7" s="471"/>
      <c r="F7" s="471">
        <f t="shared" ref="F7:F11" si="2">67.1*E7</f>
        <v>0</v>
      </c>
      <c r="G7" s="471"/>
      <c r="H7" s="471">
        <f t="shared" ref="H7:H11" si="3">28.2*G7</f>
        <v>0</v>
      </c>
      <c r="I7" s="471"/>
      <c r="J7" s="471">
        <f t="shared" ref="J7:J11" si="4">18.5*I7</f>
        <v>0</v>
      </c>
      <c r="K7" s="471"/>
      <c r="L7" s="471">
        <f t="shared" ref="L7:L11" si="5">19.5*K7</f>
        <v>0</v>
      </c>
      <c r="M7" s="471"/>
      <c r="N7" s="470">
        <f t="shared" ref="N7:N11" si="6">M7*9.75</f>
        <v>0</v>
      </c>
      <c r="O7" s="471"/>
      <c r="P7" s="470">
        <f t="shared" ref="P7:P11" si="7">O7*48.62</f>
        <v>0</v>
      </c>
      <c r="Q7" s="470"/>
      <c r="R7" s="470">
        <f t="shared" ref="R7:R11" si="8">241*Q7</f>
        <v>0</v>
      </c>
      <c r="S7" s="471"/>
      <c r="T7" s="471">
        <f t="shared" ref="T7:T11" si="9">241*S7</f>
        <v>0</v>
      </c>
      <c r="U7" s="471"/>
      <c r="V7" s="471">
        <f t="shared" ref="V7:V11" si="10">232*U7</f>
        <v>0</v>
      </c>
      <c r="W7" s="471"/>
      <c r="X7" s="19">
        <f t="shared" ref="X7:X11" si="11">W7*100</f>
        <v>0</v>
      </c>
      <c r="Y7" s="89">
        <f t="shared" si="0"/>
        <v>49977.747500000005</v>
      </c>
    </row>
    <row r="8" spans="1:25" ht="35.25" customHeight="1" x14ac:dyDescent="0.25">
      <c r="A8" s="12">
        <v>1967020280</v>
      </c>
      <c r="B8" s="473" t="s">
        <v>73</v>
      </c>
      <c r="C8" s="471">
        <v>19566</v>
      </c>
      <c r="D8" s="470">
        <f t="shared" si="1"/>
        <v>19027.935000000001</v>
      </c>
      <c r="E8" s="471"/>
      <c r="F8" s="471">
        <f t="shared" si="2"/>
        <v>0</v>
      </c>
      <c r="G8" s="471"/>
      <c r="H8" s="471">
        <f t="shared" si="3"/>
        <v>0</v>
      </c>
      <c r="I8" s="471">
        <v>300</v>
      </c>
      <c r="J8" s="471">
        <f t="shared" si="4"/>
        <v>5550</v>
      </c>
      <c r="K8" s="471"/>
      <c r="L8" s="471">
        <f t="shared" si="5"/>
        <v>0</v>
      </c>
      <c r="M8" s="471"/>
      <c r="N8" s="470">
        <f t="shared" si="6"/>
        <v>0</v>
      </c>
      <c r="O8" s="471"/>
      <c r="P8" s="470">
        <f t="shared" si="7"/>
        <v>0</v>
      </c>
      <c r="Q8" s="470"/>
      <c r="R8" s="470">
        <f t="shared" si="8"/>
        <v>0</v>
      </c>
      <c r="S8" s="471"/>
      <c r="T8" s="471">
        <f t="shared" si="9"/>
        <v>0</v>
      </c>
      <c r="U8" s="471">
        <v>50</v>
      </c>
      <c r="V8" s="471">
        <f t="shared" si="10"/>
        <v>11600</v>
      </c>
      <c r="W8" s="471"/>
      <c r="X8" s="19">
        <f t="shared" si="11"/>
        <v>0</v>
      </c>
      <c r="Y8" s="89">
        <f t="shared" si="0"/>
        <v>36177.934999999998</v>
      </c>
    </row>
    <row r="9" spans="1:25" ht="38.25" customHeight="1" x14ac:dyDescent="0.25">
      <c r="A9" s="12">
        <v>1984225580</v>
      </c>
      <c r="B9" s="473" t="s">
        <v>75</v>
      </c>
      <c r="C9" s="471">
        <v>59887</v>
      </c>
      <c r="D9" s="470">
        <f t="shared" si="1"/>
        <v>58240.107499999998</v>
      </c>
      <c r="E9" s="471"/>
      <c r="F9" s="471">
        <f t="shared" si="2"/>
        <v>0</v>
      </c>
      <c r="G9" s="471">
        <v>70</v>
      </c>
      <c r="H9" s="471">
        <f t="shared" si="3"/>
        <v>1974</v>
      </c>
      <c r="I9" s="471">
        <v>870</v>
      </c>
      <c r="J9" s="471">
        <f t="shared" si="4"/>
        <v>16095</v>
      </c>
      <c r="K9" s="471"/>
      <c r="L9" s="471">
        <f t="shared" si="5"/>
        <v>0</v>
      </c>
      <c r="M9" s="471"/>
      <c r="N9" s="470">
        <f t="shared" si="6"/>
        <v>0</v>
      </c>
      <c r="O9" s="471"/>
      <c r="P9" s="470">
        <f t="shared" si="7"/>
        <v>0</v>
      </c>
      <c r="Q9" s="470"/>
      <c r="R9" s="470">
        <f t="shared" si="8"/>
        <v>0</v>
      </c>
      <c r="S9" s="471">
        <v>3</v>
      </c>
      <c r="T9" s="471">
        <f t="shared" si="9"/>
        <v>723</v>
      </c>
      <c r="U9" s="471">
        <v>52</v>
      </c>
      <c r="V9" s="471">
        <f t="shared" si="10"/>
        <v>12064</v>
      </c>
      <c r="W9" s="471">
        <v>4</v>
      </c>
      <c r="X9" s="19">
        <f t="shared" si="11"/>
        <v>400</v>
      </c>
      <c r="Y9" s="89">
        <f t="shared" si="0"/>
        <v>89496.107499999998</v>
      </c>
    </row>
    <row r="10" spans="1:25" ht="35.25" customHeight="1" x14ac:dyDescent="0.25">
      <c r="A10" s="12">
        <v>1409935199</v>
      </c>
      <c r="C10" s="471">
        <v>19285</v>
      </c>
      <c r="D10" s="470">
        <f t="shared" si="1"/>
        <v>18754.662500000002</v>
      </c>
      <c r="E10" s="471"/>
      <c r="F10" s="471">
        <f t="shared" si="2"/>
        <v>0</v>
      </c>
      <c r="G10" s="471"/>
      <c r="H10" s="471">
        <f t="shared" si="3"/>
        <v>0</v>
      </c>
      <c r="I10" s="471"/>
      <c r="J10" s="471">
        <f t="shared" si="4"/>
        <v>0</v>
      </c>
      <c r="K10" s="471"/>
      <c r="L10" s="471">
        <f t="shared" si="5"/>
        <v>0</v>
      </c>
      <c r="M10" s="471"/>
      <c r="N10" s="470">
        <f t="shared" si="6"/>
        <v>0</v>
      </c>
      <c r="O10" s="471"/>
      <c r="P10" s="470">
        <f t="shared" si="7"/>
        <v>0</v>
      </c>
      <c r="Q10" s="470"/>
      <c r="R10" s="470">
        <f t="shared" si="8"/>
        <v>0</v>
      </c>
      <c r="S10" s="471"/>
      <c r="T10" s="471">
        <f t="shared" si="9"/>
        <v>0</v>
      </c>
      <c r="U10" s="471"/>
      <c r="V10" s="471">
        <f t="shared" si="10"/>
        <v>0</v>
      </c>
      <c r="W10" s="471"/>
      <c r="X10" s="19">
        <f t="shared" si="11"/>
        <v>0</v>
      </c>
      <c r="Y10" s="89">
        <f t="shared" si="0"/>
        <v>18754.662500000002</v>
      </c>
    </row>
    <row r="11" spans="1:25" ht="37.5" customHeight="1" x14ac:dyDescent="0.25">
      <c r="A11" s="12"/>
      <c r="B11" s="472"/>
      <c r="C11" s="471"/>
      <c r="D11" s="22">
        <f t="shared" si="1"/>
        <v>0</v>
      </c>
      <c r="E11" s="471"/>
      <c r="F11" s="471">
        <f t="shared" si="2"/>
        <v>0</v>
      </c>
      <c r="G11" s="471"/>
      <c r="H11" s="471">
        <f t="shared" si="3"/>
        <v>0</v>
      </c>
      <c r="I11" s="471"/>
      <c r="J11" s="471">
        <f t="shared" si="4"/>
        <v>0</v>
      </c>
      <c r="K11" s="471"/>
      <c r="L11" s="471">
        <f t="shared" si="5"/>
        <v>0</v>
      </c>
      <c r="M11" s="471"/>
      <c r="N11" s="470">
        <f t="shared" si="6"/>
        <v>0</v>
      </c>
      <c r="O11" s="471"/>
      <c r="P11" s="470">
        <f t="shared" si="7"/>
        <v>0</v>
      </c>
      <c r="Q11" s="470"/>
      <c r="R11" s="470">
        <f t="shared" si="8"/>
        <v>0</v>
      </c>
      <c r="S11" s="471"/>
      <c r="T11" s="471">
        <f t="shared" si="9"/>
        <v>0</v>
      </c>
      <c r="U11" s="471"/>
      <c r="V11" s="471">
        <f t="shared" si="10"/>
        <v>0</v>
      </c>
      <c r="W11" s="471"/>
      <c r="X11" s="19">
        <f t="shared" si="11"/>
        <v>0</v>
      </c>
      <c r="Y11" s="20">
        <f t="shared" si="0"/>
        <v>0</v>
      </c>
    </row>
    <row r="12" spans="1:25" ht="29.25" customHeight="1" x14ac:dyDescent="0.25">
      <c r="A12" s="2235" t="s">
        <v>31</v>
      </c>
      <c r="B12" s="2235"/>
      <c r="C12" s="18">
        <f t="shared" ref="C12:Y12" si="12">SUM(C6:C11)</f>
        <v>186433</v>
      </c>
      <c r="D12" s="18">
        <f t="shared" si="12"/>
        <v>181306.0925</v>
      </c>
      <c r="E12" s="18">
        <f t="shared" si="12"/>
        <v>0</v>
      </c>
      <c r="F12" s="18">
        <f t="shared" si="12"/>
        <v>0</v>
      </c>
      <c r="G12" s="18">
        <f t="shared" si="12"/>
        <v>70</v>
      </c>
      <c r="H12" s="18">
        <f t="shared" si="12"/>
        <v>1974</v>
      </c>
      <c r="I12" s="18">
        <f t="shared" si="12"/>
        <v>1960</v>
      </c>
      <c r="J12" s="18">
        <f t="shared" si="12"/>
        <v>36260</v>
      </c>
      <c r="K12" s="18">
        <f t="shared" si="12"/>
        <v>0</v>
      </c>
      <c r="L12" s="18">
        <f t="shared" si="12"/>
        <v>0</v>
      </c>
      <c r="M12" s="18">
        <f t="shared" si="12"/>
        <v>0</v>
      </c>
      <c r="N12" s="23">
        <f t="shared" si="12"/>
        <v>0</v>
      </c>
      <c r="O12" s="18">
        <f t="shared" si="12"/>
        <v>0</v>
      </c>
      <c r="P12" s="23">
        <f t="shared" si="12"/>
        <v>0</v>
      </c>
      <c r="Q12" s="23">
        <f t="shared" si="12"/>
        <v>0</v>
      </c>
      <c r="R12" s="23">
        <f>SUM(R6:R11)</f>
        <v>0</v>
      </c>
      <c r="S12" s="18">
        <f t="shared" si="12"/>
        <v>3</v>
      </c>
      <c r="T12" s="18">
        <f t="shared" si="12"/>
        <v>723</v>
      </c>
      <c r="U12" s="18">
        <f t="shared" si="12"/>
        <v>112</v>
      </c>
      <c r="V12" s="18">
        <f t="shared" si="12"/>
        <v>25984</v>
      </c>
      <c r="W12" s="18">
        <f t="shared" si="12"/>
        <v>4</v>
      </c>
      <c r="X12" s="18">
        <f t="shared" si="12"/>
        <v>400</v>
      </c>
      <c r="Y12" s="18">
        <f t="shared" si="12"/>
        <v>246647.0925</v>
      </c>
    </row>
    <row r="14" spans="1:25" ht="41.25" customHeight="1" x14ac:dyDescent="0.25">
      <c r="A14" s="30" t="s">
        <v>32</v>
      </c>
      <c r="B14" s="2236" t="s">
        <v>27</v>
      </c>
      <c r="C14" s="2236"/>
      <c r="D14" s="30" t="s">
        <v>333</v>
      </c>
      <c r="E14" s="30" t="s">
        <v>65</v>
      </c>
      <c r="F14" s="30" t="s">
        <v>34</v>
      </c>
      <c r="G14" s="30" t="s">
        <v>13</v>
      </c>
      <c r="H14" s="469" t="s">
        <v>173</v>
      </c>
      <c r="I14" s="30" t="s">
        <v>17</v>
      </c>
      <c r="J14" s="479" t="s">
        <v>174</v>
      </c>
      <c r="K14" s="30" t="s">
        <v>36</v>
      </c>
      <c r="L14" s="30" t="s">
        <v>175</v>
      </c>
      <c r="M14" s="30" t="s">
        <v>69</v>
      </c>
      <c r="N14" s="30" t="s">
        <v>70</v>
      </c>
      <c r="O14" s="479" t="s">
        <v>114</v>
      </c>
      <c r="P14" s="479" t="s">
        <v>339</v>
      </c>
      <c r="Q14" s="2272"/>
      <c r="R14" s="2272"/>
      <c r="S14" s="479"/>
      <c r="T14" s="2235" t="s">
        <v>46</v>
      </c>
      <c r="U14" s="473" t="s">
        <v>176</v>
      </c>
      <c r="V14" s="2260">
        <v>58060</v>
      </c>
      <c r="W14" s="2268"/>
      <c r="X14" s="2261"/>
    </row>
    <row r="15" spans="1:25" ht="22.5" customHeight="1" x14ac:dyDescent="0.25">
      <c r="A15" s="100" t="s">
        <v>38</v>
      </c>
      <c r="B15" s="2260">
        <v>332580</v>
      </c>
      <c r="C15" s="2261"/>
      <c r="D15" s="476">
        <v>1280</v>
      </c>
      <c r="E15" s="476">
        <v>7130</v>
      </c>
      <c r="F15" s="476">
        <v>17740</v>
      </c>
      <c r="G15" s="476">
        <v>0</v>
      </c>
      <c r="H15" s="476">
        <v>115</v>
      </c>
      <c r="I15" s="476">
        <v>100</v>
      </c>
      <c r="J15" s="476">
        <v>165</v>
      </c>
      <c r="K15" s="476">
        <v>66</v>
      </c>
      <c r="L15" s="476">
        <v>525</v>
      </c>
      <c r="M15" s="476">
        <v>0</v>
      </c>
      <c r="N15" s="476">
        <v>100</v>
      </c>
      <c r="O15" s="476">
        <v>0</v>
      </c>
      <c r="P15" s="476">
        <v>755</v>
      </c>
      <c r="Q15" s="2262"/>
      <c r="R15" s="2262"/>
      <c r="S15" s="473">
        <v>0</v>
      </c>
      <c r="T15" s="2235"/>
      <c r="U15" s="473" t="s">
        <v>64</v>
      </c>
      <c r="V15" s="2262">
        <v>171052</v>
      </c>
      <c r="W15" s="2262"/>
      <c r="X15" s="2262"/>
    </row>
    <row r="16" spans="1:25" ht="24.75" customHeight="1" x14ac:dyDescent="0.25">
      <c r="A16" s="100" t="s">
        <v>39</v>
      </c>
      <c r="B16" s="2260">
        <v>311688</v>
      </c>
      <c r="C16" s="2261"/>
      <c r="D16" s="476"/>
      <c r="E16" s="476"/>
      <c r="F16" s="476"/>
      <c r="G16" s="476"/>
      <c r="H16" s="476">
        <v>1500</v>
      </c>
      <c r="I16" s="476">
        <v>300</v>
      </c>
      <c r="J16" s="476"/>
      <c r="K16" s="476"/>
      <c r="L16" s="476">
        <v>150</v>
      </c>
      <c r="M16" s="476"/>
      <c r="N16" s="476"/>
      <c r="O16" s="476"/>
      <c r="P16" s="476"/>
      <c r="Q16" s="2225"/>
      <c r="R16" s="2225"/>
      <c r="S16" s="476"/>
      <c r="T16" s="2254" t="s">
        <v>55</v>
      </c>
      <c r="U16" s="2254"/>
      <c r="V16" s="2267">
        <f>Y12</f>
        <v>246647.0925</v>
      </c>
      <c r="W16" s="2267"/>
      <c r="X16" s="2262"/>
    </row>
    <row r="17" spans="1:25" ht="28.5" customHeight="1" x14ac:dyDescent="0.25">
      <c r="A17" s="101" t="s">
        <v>44</v>
      </c>
      <c r="B17" s="2260"/>
      <c r="C17" s="2261"/>
      <c r="D17" s="476"/>
      <c r="E17" s="476"/>
      <c r="F17" s="476"/>
      <c r="G17" s="476"/>
      <c r="H17" s="476"/>
      <c r="I17" s="476"/>
      <c r="J17" s="476"/>
      <c r="K17" s="476"/>
      <c r="L17" s="476"/>
      <c r="M17" s="476"/>
      <c r="N17" s="476"/>
      <c r="O17" s="476"/>
      <c r="P17" s="476"/>
      <c r="Q17" s="2225"/>
      <c r="R17" s="2225"/>
      <c r="S17" s="472"/>
      <c r="T17" s="2294"/>
      <c r="U17" s="2295"/>
      <c r="V17" s="2296"/>
      <c r="W17" s="2296"/>
      <c r="X17" s="2296"/>
    </row>
    <row r="18" spans="1:25" ht="27" customHeight="1" x14ac:dyDescent="0.25">
      <c r="A18" s="100" t="s">
        <v>40</v>
      </c>
      <c r="B18" s="2264">
        <f>C12</f>
        <v>186433</v>
      </c>
      <c r="C18" s="2261"/>
      <c r="D18" s="478">
        <f>E12</f>
        <v>0</v>
      </c>
      <c r="E18" s="478">
        <f>G12</f>
        <v>70</v>
      </c>
      <c r="F18" s="478">
        <f>I12</f>
        <v>1960</v>
      </c>
      <c r="G18" s="478">
        <f>K12</f>
        <v>0</v>
      </c>
      <c r="H18" s="476">
        <v>153</v>
      </c>
      <c r="I18" s="478">
        <f>U12</f>
        <v>112</v>
      </c>
      <c r="J18" s="476"/>
      <c r="K18" s="478">
        <f>W12</f>
        <v>4</v>
      </c>
      <c r="L18" s="476"/>
      <c r="M18" s="478">
        <f>M12</f>
        <v>0</v>
      </c>
      <c r="N18" s="478">
        <f>O12</f>
        <v>0</v>
      </c>
      <c r="O18" s="477">
        <f>Q12</f>
        <v>0</v>
      </c>
      <c r="P18" s="476"/>
      <c r="Q18" s="2262"/>
      <c r="R18" s="2262"/>
      <c r="S18" s="473"/>
      <c r="T18" s="2254" t="s">
        <v>57</v>
      </c>
      <c r="U18" s="2254"/>
      <c r="V18" s="2262">
        <v>2050</v>
      </c>
      <c r="W18" s="2262"/>
      <c r="X18" s="2262"/>
      <c r="Y18" s="2269"/>
    </row>
    <row r="19" spans="1:25" ht="25.5" customHeight="1" x14ac:dyDescent="0.25">
      <c r="A19" s="100" t="s">
        <v>41</v>
      </c>
      <c r="B19" s="2260">
        <f>B15+B16+B17-B18</f>
        <v>457835</v>
      </c>
      <c r="C19" s="2261"/>
      <c r="D19" s="476">
        <f>D15+D16+D17-D18</f>
        <v>1280</v>
      </c>
      <c r="E19" s="476">
        <f t="shared" ref="E19:N19" si="13">E15+E16+E17-E18</f>
        <v>7060</v>
      </c>
      <c r="F19" s="476">
        <f t="shared" si="13"/>
        <v>15780</v>
      </c>
      <c r="G19" s="476">
        <f t="shared" si="13"/>
        <v>0</v>
      </c>
      <c r="H19" s="476">
        <f t="shared" si="13"/>
        <v>1462</v>
      </c>
      <c r="I19" s="476">
        <f t="shared" si="13"/>
        <v>288</v>
      </c>
      <c r="J19" s="476">
        <f t="shared" si="13"/>
        <v>165</v>
      </c>
      <c r="K19" s="476">
        <f t="shared" si="13"/>
        <v>62</v>
      </c>
      <c r="L19" s="476">
        <f t="shared" si="13"/>
        <v>675</v>
      </c>
      <c r="M19" s="476">
        <f t="shared" si="13"/>
        <v>0</v>
      </c>
      <c r="N19" s="476">
        <f t="shared" si="13"/>
        <v>100</v>
      </c>
      <c r="O19" s="476">
        <f>O15+O16+O17-O18</f>
        <v>0</v>
      </c>
      <c r="P19" s="476">
        <f>P15+P16+P17-P18</f>
        <v>755</v>
      </c>
      <c r="Q19" s="2260">
        <f t="shared" ref="Q19" si="14">Q15+Q16+Q17-Q18</f>
        <v>0</v>
      </c>
      <c r="R19" s="2261"/>
      <c r="S19" s="473">
        <f>S15+S16-S17-S18</f>
        <v>0</v>
      </c>
      <c r="T19" s="2256" t="s">
        <v>48</v>
      </c>
      <c r="U19" s="49" t="s">
        <v>58</v>
      </c>
      <c r="V19" s="2262">
        <v>188240</v>
      </c>
      <c r="W19" s="2262"/>
      <c r="X19" s="2262"/>
      <c r="Y19" s="2269"/>
    </row>
    <row r="20" spans="1:25" ht="23.25" customHeight="1" x14ac:dyDescent="0.25">
      <c r="A20" s="289" t="s">
        <v>187</v>
      </c>
      <c r="B20" s="2286">
        <f>B19*0.9625</f>
        <v>440666.1875</v>
      </c>
      <c r="C20" s="2287"/>
      <c r="D20" s="290">
        <f>D19*66.41</f>
        <v>85004.799999999988</v>
      </c>
      <c r="E20" s="290">
        <f>28.2*E19</f>
        <v>199092</v>
      </c>
      <c r="F20" s="290">
        <f>18.31*F19</f>
        <v>288931.8</v>
      </c>
      <c r="G20" s="290">
        <f>19.3*G19</f>
        <v>0</v>
      </c>
      <c r="H20" s="290">
        <f>241*H19</f>
        <v>352342</v>
      </c>
      <c r="I20" s="290">
        <f>223*I19</f>
        <v>64224</v>
      </c>
      <c r="J20" s="290">
        <f>241*J19</f>
        <v>39765</v>
      </c>
      <c r="K20" s="290">
        <f>K19*100</f>
        <v>6200</v>
      </c>
      <c r="L20" s="290">
        <f>241*L19</f>
        <v>162675</v>
      </c>
      <c r="M20" s="290">
        <f>9.65*M19</f>
        <v>0</v>
      </c>
      <c r="N20" s="290">
        <f>N19*48.2</f>
        <v>4820</v>
      </c>
      <c r="O20" s="290">
        <f>241*O19</f>
        <v>0</v>
      </c>
      <c r="P20" s="290">
        <f>241*P19</f>
        <v>181955</v>
      </c>
      <c r="Q20" s="2286">
        <f>241*Q19</f>
        <v>0</v>
      </c>
      <c r="R20" s="2287"/>
      <c r="S20" s="290">
        <f>241*S19</f>
        <v>0</v>
      </c>
      <c r="T20" s="2257"/>
      <c r="U20" s="49" t="s">
        <v>59</v>
      </c>
      <c r="V20" s="2262"/>
      <c r="W20" s="2262"/>
      <c r="X20" s="2262"/>
      <c r="Y20" s="2269"/>
    </row>
    <row r="21" spans="1:25" ht="32.25" customHeight="1" x14ac:dyDescent="0.25">
      <c r="A21" s="291" t="s">
        <v>186</v>
      </c>
      <c r="B21" s="2293">
        <f>SUM(B20:S20)</f>
        <v>1825675.7875000001</v>
      </c>
      <c r="C21" s="2293"/>
      <c r="O21" s="480"/>
      <c r="P21" s="480"/>
      <c r="Q21" s="480"/>
      <c r="R21" s="480"/>
      <c r="T21" s="2294"/>
      <c r="U21" s="2295"/>
      <c r="V21" s="2297"/>
      <c r="W21" s="2298"/>
      <c r="X21" s="2299"/>
      <c r="Y21" s="2269"/>
    </row>
    <row r="22" spans="1:25" ht="35.25" customHeight="1" x14ac:dyDescent="0.25">
      <c r="A22" s="15"/>
      <c r="B22" s="2288" t="s">
        <v>49</v>
      </c>
      <c r="C22" s="2291">
        <v>1230625</v>
      </c>
      <c r="D22" s="2291">
        <v>188240</v>
      </c>
      <c r="E22" s="2291">
        <v>728400</v>
      </c>
      <c r="F22" s="2291">
        <f>C22-D22+E22</f>
        <v>1770785</v>
      </c>
      <c r="G22" s="480"/>
      <c r="Q22" s="480"/>
      <c r="R22" s="480"/>
      <c r="T22" s="2251" t="s">
        <v>83</v>
      </c>
      <c r="U22" s="50" t="s">
        <v>60</v>
      </c>
      <c r="V22" s="2262">
        <v>218530</v>
      </c>
      <c r="W22" s="2262"/>
      <c r="X22" s="2262"/>
      <c r="Y22" s="2269"/>
    </row>
    <row r="23" spans="1:25" ht="39.75" customHeight="1" x14ac:dyDescent="0.25">
      <c r="A23" s="480"/>
      <c r="B23" s="2289"/>
      <c r="C23" s="2292"/>
      <c r="D23" s="2292"/>
      <c r="E23" s="2292"/>
      <c r="F23" s="2292"/>
      <c r="G23" s="480"/>
      <c r="Q23" s="480"/>
      <c r="R23" s="480"/>
      <c r="T23" s="2252"/>
      <c r="U23" s="50" t="s">
        <v>61</v>
      </c>
      <c r="V23" s="2262">
        <v>188240</v>
      </c>
      <c r="W23" s="2262"/>
      <c r="X23" s="2262"/>
      <c r="Y23" s="2269"/>
    </row>
    <row r="24" spans="1:25" ht="48" customHeight="1" x14ac:dyDescent="0.25">
      <c r="A24" s="480"/>
      <c r="B24" s="2290"/>
      <c r="C24" s="290" t="s">
        <v>46</v>
      </c>
      <c r="D24" s="290" t="s">
        <v>50</v>
      </c>
      <c r="E24" s="290" t="s">
        <v>51</v>
      </c>
      <c r="F24" s="290" t="s">
        <v>52</v>
      </c>
      <c r="G24" s="480"/>
      <c r="Q24" s="480"/>
      <c r="R24" s="480"/>
      <c r="T24" s="2235" t="s">
        <v>47</v>
      </c>
      <c r="U24" s="51" t="s">
        <v>62</v>
      </c>
      <c r="V24" s="2263">
        <f>V14+V16+V17-V18-V19-V20-V22+V23-V21</f>
        <v>84127.092500000028</v>
      </c>
      <c r="W24" s="2263"/>
      <c r="X24" s="2263"/>
      <c r="Y24" s="2269"/>
    </row>
    <row r="25" spans="1:25" ht="40.5" customHeight="1" x14ac:dyDescent="0.25">
      <c r="T25" s="2235"/>
      <c r="U25" s="51" t="s">
        <v>63</v>
      </c>
      <c r="V25" s="2262">
        <f>V15+V22-V23</f>
        <v>201342</v>
      </c>
      <c r="W25" s="2262"/>
      <c r="X25" s="2262"/>
    </row>
    <row r="26" spans="1:25" ht="36" customHeight="1" x14ac:dyDescent="0.25">
      <c r="K26" s="314"/>
    </row>
    <row r="32" spans="1:25" x14ac:dyDescent="0.25">
      <c r="I32" s="2280"/>
      <c r="J32" s="2280"/>
      <c r="K32" s="2280"/>
      <c r="L32" s="2280"/>
    </row>
    <row r="33" spans="9:12" x14ac:dyDescent="0.25">
      <c r="I33" s="480"/>
      <c r="J33" s="480"/>
      <c r="K33" s="2280"/>
      <c r="L33" s="2280"/>
    </row>
  </sheetData>
  <mergeCells count="62">
    <mergeCell ref="A1:Y1"/>
    <mergeCell ref="A2:Y2"/>
    <mergeCell ref="T3:Y3"/>
    <mergeCell ref="A4:A5"/>
    <mergeCell ref="B4:B5"/>
    <mergeCell ref="C4:D4"/>
    <mergeCell ref="E4:F4"/>
    <mergeCell ref="G4:H4"/>
    <mergeCell ref="I4:J4"/>
    <mergeCell ref="K4:L4"/>
    <mergeCell ref="Y4:Y5"/>
    <mergeCell ref="M4:N4"/>
    <mergeCell ref="O4:P4"/>
    <mergeCell ref="Q4:R4"/>
    <mergeCell ref="S4:T4"/>
    <mergeCell ref="U4:V4"/>
    <mergeCell ref="W4:X4"/>
    <mergeCell ref="B16:C16"/>
    <mergeCell ref="Q16:R16"/>
    <mergeCell ref="T16:U16"/>
    <mergeCell ref="V16:X16"/>
    <mergeCell ref="A12:B12"/>
    <mergeCell ref="B14:C14"/>
    <mergeCell ref="Q14:R14"/>
    <mergeCell ref="T14:T15"/>
    <mergeCell ref="V14:X14"/>
    <mergeCell ref="B15:C15"/>
    <mergeCell ref="Q15:R15"/>
    <mergeCell ref="V15:X15"/>
    <mergeCell ref="B17:C17"/>
    <mergeCell ref="Q17:R17"/>
    <mergeCell ref="T17:U17"/>
    <mergeCell ref="V17:X17"/>
    <mergeCell ref="B18:C18"/>
    <mergeCell ref="Q18:R18"/>
    <mergeCell ref="T18:U18"/>
    <mergeCell ref="V18:X18"/>
    <mergeCell ref="Y18:Y24"/>
    <mergeCell ref="B19:C19"/>
    <mergeCell ref="Q19:R19"/>
    <mergeCell ref="T19:T20"/>
    <mergeCell ref="V19:X19"/>
    <mergeCell ref="B20:C20"/>
    <mergeCell ref="B22:B24"/>
    <mergeCell ref="C22:C23"/>
    <mergeCell ref="D22:D23"/>
    <mergeCell ref="E22:E23"/>
    <mergeCell ref="F22:F23"/>
    <mergeCell ref="Q20:R20"/>
    <mergeCell ref="V20:X20"/>
    <mergeCell ref="B21:C21"/>
    <mergeCell ref="T21:U21"/>
    <mergeCell ref="V21:X21"/>
    <mergeCell ref="I32:J32"/>
    <mergeCell ref="K32:L32"/>
    <mergeCell ref="K33:L33"/>
    <mergeCell ref="T22:T23"/>
    <mergeCell ref="V22:X22"/>
    <mergeCell ref="V23:X23"/>
    <mergeCell ref="T24:T25"/>
    <mergeCell ref="V24:X24"/>
    <mergeCell ref="V25:X25"/>
  </mergeCells>
  <pageMargins left="0.15748031496063" right="0.15748031496063" top="0" bottom="0" header="0" footer="0"/>
  <pageSetup paperSize="9" scale="47" orientation="landscape" r:id="rId1"/>
</worksheet>
</file>

<file path=xl/worksheets/sheet1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942EC37-3938-45CD-B50F-A0FF55A102DF}">
  <sheetPr>
    <pageSetUpPr fitToPage="1"/>
  </sheetPr>
  <dimension ref="A1:Y33"/>
  <sheetViews>
    <sheetView topLeftCell="D13" zoomScale="80" zoomScaleNormal="80" zoomScaleSheetLayoutView="100" workbookViewId="0">
      <selection activeCell="T21" sqref="T21:U21"/>
    </sheetView>
  </sheetViews>
  <sheetFormatPr defaultColWidth="9.140625" defaultRowHeight="15" x14ac:dyDescent="0.25"/>
  <cols>
    <col min="1" max="1" width="18.28515625" style="14" customWidth="1"/>
    <col min="2" max="2" width="10.7109375" style="14" customWidth="1"/>
    <col min="3" max="3" width="12.28515625" style="14" customWidth="1"/>
    <col min="4" max="4" width="13.140625" style="14" bestFit="1" customWidth="1"/>
    <col min="5" max="5" width="12" style="14" customWidth="1"/>
    <col min="6" max="6" width="12.5703125" style="14" bestFit="1" customWidth="1"/>
    <col min="7" max="7" width="9.28515625" style="14" bestFit="1" customWidth="1"/>
    <col min="8" max="8" width="10.140625" style="14" bestFit="1" customWidth="1"/>
    <col min="9" max="9" width="10.5703125" style="14" bestFit="1" customWidth="1"/>
    <col min="10" max="10" width="10.5703125" style="14" customWidth="1"/>
    <col min="11" max="11" width="10.28515625" style="14" bestFit="1" customWidth="1"/>
    <col min="12" max="12" width="10.42578125" style="14" bestFit="1" customWidth="1"/>
    <col min="13" max="13" width="9.85546875" style="14" bestFit="1" customWidth="1"/>
    <col min="14" max="14" width="10.140625" style="14" bestFit="1" customWidth="1"/>
    <col min="15" max="15" width="9" style="14" customWidth="1"/>
    <col min="16" max="16" width="12.85546875" style="14" bestFit="1" customWidth="1"/>
    <col min="17" max="18" width="9.42578125" style="14" customWidth="1"/>
    <col min="19" max="19" width="13.7109375" style="14" customWidth="1"/>
    <col min="20" max="20" width="12.140625" style="14" customWidth="1"/>
    <col min="21" max="21" width="19.5703125" style="14" bestFit="1" customWidth="1"/>
    <col min="22" max="22" width="9.85546875" style="14" customWidth="1"/>
    <col min="23" max="23" width="10.140625" style="14" bestFit="1" customWidth="1"/>
    <col min="24" max="24" width="10.28515625" style="14" customWidth="1"/>
    <col min="25" max="25" width="28" style="14" customWidth="1"/>
    <col min="26" max="16384" width="9.140625" style="14"/>
  </cols>
  <sheetData>
    <row r="1" spans="1:25" ht="46.15" customHeight="1" x14ac:dyDescent="0.25">
      <c r="A1" s="2240" t="s">
        <v>148</v>
      </c>
      <c r="B1" s="2240"/>
      <c r="C1" s="2240"/>
      <c r="D1" s="2240"/>
      <c r="E1" s="2240"/>
      <c r="F1" s="2240"/>
      <c r="G1" s="2240"/>
      <c r="H1" s="2240"/>
      <c r="I1" s="2240"/>
      <c r="J1" s="2240"/>
      <c r="K1" s="2240"/>
      <c r="L1" s="2240"/>
      <c r="M1" s="2240"/>
      <c r="N1" s="2240"/>
      <c r="O1" s="2240"/>
      <c r="P1" s="2240"/>
      <c r="Q1" s="2240"/>
      <c r="R1" s="2240"/>
      <c r="S1" s="2240"/>
      <c r="T1" s="2240"/>
      <c r="U1" s="2240"/>
      <c r="V1" s="2240"/>
      <c r="W1" s="2240"/>
      <c r="X1" s="2240"/>
      <c r="Y1" s="2240"/>
    </row>
    <row r="2" spans="1:25" ht="21.6" customHeight="1" x14ac:dyDescent="0.25">
      <c r="A2" s="2241" t="s">
        <v>77</v>
      </c>
      <c r="B2" s="2241"/>
      <c r="C2" s="2241"/>
      <c r="D2" s="2241"/>
      <c r="E2" s="2241"/>
      <c r="F2" s="2241"/>
      <c r="G2" s="2241"/>
      <c r="H2" s="2241"/>
      <c r="I2" s="2241"/>
      <c r="J2" s="2241"/>
      <c r="K2" s="2241"/>
      <c r="L2" s="2241"/>
      <c r="M2" s="2241"/>
      <c r="N2" s="2241"/>
      <c r="O2" s="2241"/>
      <c r="P2" s="2241"/>
      <c r="Q2" s="2241"/>
      <c r="R2" s="2241"/>
      <c r="S2" s="2241"/>
      <c r="T2" s="2241"/>
      <c r="U2" s="2241"/>
      <c r="V2" s="2241"/>
      <c r="W2" s="2241"/>
      <c r="X2" s="2241"/>
      <c r="Y2" s="2241"/>
    </row>
    <row r="3" spans="1:25" ht="21" customHeight="1" x14ac:dyDescent="0.25">
      <c r="A3" s="481"/>
      <c r="B3" s="481"/>
      <c r="C3" s="481"/>
      <c r="D3" s="481"/>
      <c r="E3" s="481"/>
      <c r="F3" s="481"/>
      <c r="G3" s="481"/>
      <c r="H3" s="481"/>
      <c r="I3" s="481"/>
      <c r="J3" s="481"/>
      <c r="K3" s="481"/>
      <c r="L3" s="481"/>
      <c r="M3" s="481"/>
      <c r="N3" s="481"/>
      <c r="O3" s="481"/>
      <c r="P3" s="481"/>
      <c r="Q3" s="481"/>
      <c r="R3" s="481"/>
      <c r="S3" s="481"/>
      <c r="T3" s="2242" t="s">
        <v>345</v>
      </c>
      <c r="U3" s="2242"/>
      <c r="V3" s="2242"/>
      <c r="W3" s="2242"/>
      <c r="X3" s="2242"/>
      <c r="Y3" s="2242"/>
    </row>
    <row r="4" spans="1:25" s="481" customFormat="1" ht="18" customHeight="1" x14ac:dyDescent="0.25">
      <c r="A4" s="2243" t="s">
        <v>25</v>
      </c>
      <c r="B4" s="2243" t="s">
        <v>26</v>
      </c>
      <c r="C4" s="2244" t="s">
        <v>27</v>
      </c>
      <c r="D4" s="2244"/>
      <c r="E4" s="2244" t="s">
        <v>342</v>
      </c>
      <c r="F4" s="2244"/>
      <c r="G4" s="2244" t="s">
        <v>65</v>
      </c>
      <c r="H4" s="2244"/>
      <c r="I4" s="2244" t="s">
        <v>29</v>
      </c>
      <c r="J4" s="2244"/>
      <c r="K4" s="2245" t="s">
        <v>13</v>
      </c>
      <c r="L4" s="2246"/>
      <c r="M4" s="2245" t="s">
        <v>67</v>
      </c>
      <c r="N4" s="2246"/>
      <c r="O4" s="2245" t="s">
        <v>68</v>
      </c>
      <c r="P4" s="2246"/>
      <c r="Q4" s="2245" t="s">
        <v>114</v>
      </c>
      <c r="R4" s="2246"/>
      <c r="S4" s="2244" t="s">
        <v>35</v>
      </c>
      <c r="T4" s="2244"/>
      <c r="U4" s="2245" t="s">
        <v>17</v>
      </c>
      <c r="V4" s="2246"/>
      <c r="W4" s="2247" t="s">
        <v>36</v>
      </c>
      <c r="X4" s="2248"/>
      <c r="Y4" s="2238" t="s">
        <v>30</v>
      </c>
    </row>
    <row r="5" spans="1:25" s="481" customFormat="1" ht="25.5" customHeight="1" x14ac:dyDescent="0.25">
      <c r="A5" s="2243"/>
      <c r="B5" s="2243"/>
      <c r="C5" s="483" t="s">
        <v>42</v>
      </c>
      <c r="D5" s="483" t="s">
        <v>43</v>
      </c>
      <c r="E5" s="483" t="s">
        <v>42</v>
      </c>
      <c r="F5" s="483" t="s">
        <v>43</v>
      </c>
      <c r="G5" s="483" t="s">
        <v>42</v>
      </c>
      <c r="H5" s="483" t="s">
        <v>43</v>
      </c>
      <c r="I5" s="483" t="s">
        <v>42</v>
      </c>
      <c r="J5" s="483" t="s">
        <v>43</v>
      </c>
      <c r="K5" s="483" t="s">
        <v>42</v>
      </c>
      <c r="L5" s="483" t="s">
        <v>43</v>
      </c>
      <c r="M5" s="483" t="s">
        <v>42</v>
      </c>
      <c r="N5" s="483" t="s">
        <v>43</v>
      </c>
      <c r="O5" s="483" t="s">
        <v>42</v>
      </c>
      <c r="P5" s="483" t="s">
        <v>43</v>
      </c>
      <c r="Q5" s="483" t="s">
        <v>42</v>
      </c>
      <c r="R5" s="483" t="s">
        <v>43</v>
      </c>
      <c r="S5" s="33" t="s">
        <v>42</v>
      </c>
      <c r="T5" s="33" t="s">
        <v>43</v>
      </c>
      <c r="U5" s="30" t="s">
        <v>42</v>
      </c>
      <c r="V5" s="30" t="s">
        <v>43</v>
      </c>
      <c r="W5" s="30" t="s">
        <v>42</v>
      </c>
      <c r="X5" s="30" t="s">
        <v>43</v>
      </c>
      <c r="Y5" s="2239"/>
    </row>
    <row r="6" spans="1:25" ht="34.5" customHeight="1" x14ac:dyDescent="0.25">
      <c r="A6" s="12">
        <v>1409935200</v>
      </c>
      <c r="B6" s="482" t="s">
        <v>71</v>
      </c>
      <c r="C6" s="485">
        <v>40398</v>
      </c>
      <c r="D6" s="486">
        <f>0.9725*C6</f>
        <v>39287.055</v>
      </c>
      <c r="E6" s="485"/>
      <c r="F6" s="485">
        <f>67.1*E6</f>
        <v>0</v>
      </c>
      <c r="G6" s="485">
        <v>70</v>
      </c>
      <c r="H6" s="485">
        <f>28.2*G6</f>
        <v>1974</v>
      </c>
      <c r="I6" s="485">
        <v>1230</v>
      </c>
      <c r="J6" s="485">
        <f>18.5*I6</f>
        <v>22755</v>
      </c>
      <c r="K6" s="485"/>
      <c r="L6" s="485">
        <f>19.5*K6</f>
        <v>0</v>
      </c>
      <c r="M6" s="485"/>
      <c r="N6" s="486">
        <f>M6*9.75</f>
        <v>0</v>
      </c>
      <c r="O6" s="485"/>
      <c r="P6" s="486">
        <f>O6*48.62</f>
        <v>0</v>
      </c>
      <c r="Q6" s="486"/>
      <c r="R6" s="486">
        <f>241*Q6</f>
        <v>0</v>
      </c>
      <c r="S6" s="485"/>
      <c r="T6" s="485">
        <f>241*S6</f>
        <v>0</v>
      </c>
      <c r="U6" s="485">
        <v>35</v>
      </c>
      <c r="V6" s="485">
        <f>232*U6</f>
        <v>8120</v>
      </c>
      <c r="W6" s="485"/>
      <c r="X6" s="19">
        <f>W6*100</f>
        <v>0</v>
      </c>
      <c r="Y6" s="89">
        <f t="shared" ref="Y6:Y11" si="0">D6+F6+H6+J6+L6+N6+P6+R6+T6+V6+X6</f>
        <v>72136.054999999993</v>
      </c>
    </row>
    <row r="7" spans="1:25" ht="31.5" customHeight="1" x14ac:dyDescent="0.25">
      <c r="A7" s="12">
        <v>1984225578</v>
      </c>
      <c r="B7" s="482" t="s">
        <v>72</v>
      </c>
      <c r="C7" s="485">
        <v>23218</v>
      </c>
      <c r="D7" s="486">
        <f t="shared" ref="D7:D11" si="1">0.9725*C7</f>
        <v>22579.505000000001</v>
      </c>
      <c r="E7" s="485"/>
      <c r="F7" s="485">
        <f t="shared" ref="F7:F11" si="2">67.1*E7</f>
        <v>0</v>
      </c>
      <c r="G7" s="485"/>
      <c r="H7" s="485">
        <f t="shared" ref="H7:H11" si="3">28.2*G7</f>
        <v>0</v>
      </c>
      <c r="I7" s="485"/>
      <c r="J7" s="485">
        <f t="shared" ref="J7:J11" si="4">18.5*I7</f>
        <v>0</v>
      </c>
      <c r="K7" s="485"/>
      <c r="L7" s="485">
        <f t="shared" ref="L7:L11" si="5">19.5*K7</f>
        <v>0</v>
      </c>
      <c r="M7" s="485"/>
      <c r="N7" s="486">
        <f t="shared" ref="N7:N11" si="6">M7*9.75</f>
        <v>0</v>
      </c>
      <c r="O7" s="485"/>
      <c r="P7" s="486">
        <f t="shared" ref="P7:P11" si="7">O7*48.62</f>
        <v>0</v>
      </c>
      <c r="Q7" s="486"/>
      <c r="R7" s="486">
        <f t="shared" ref="R7:R11" si="8">241*Q7</f>
        <v>0</v>
      </c>
      <c r="S7" s="485"/>
      <c r="T7" s="485">
        <f t="shared" ref="T7:T11" si="9">241*S7</f>
        <v>0</v>
      </c>
      <c r="U7" s="485"/>
      <c r="V7" s="485">
        <f t="shared" ref="V7:V11" si="10">232*U7</f>
        <v>0</v>
      </c>
      <c r="W7" s="485"/>
      <c r="X7" s="19">
        <f t="shared" ref="X7:X11" si="11">W7*100</f>
        <v>0</v>
      </c>
      <c r="Y7" s="89">
        <f t="shared" si="0"/>
        <v>22579.505000000001</v>
      </c>
    </row>
    <row r="8" spans="1:25" ht="35.25" customHeight="1" x14ac:dyDescent="0.25">
      <c r="A8" s="12">
        <v>1967020280</v>
      </c>
      <c r="B8" s="482" t="s">
        <v>73</v>
      </c>
      <c r="C8" s="485">
        <v>15207</v>
      </c>
      <c r="D8" s="486">
        <f t="shared" si="1"/>
        <v>14788.807500000001</v>
      </c>
      <c r="E8" s="485"/>
      <c r="F8" s="485">
        <f t="shared" si="2"/>
        <v>0</v>
      </c>
      <c r="G8" s="485"/>
      <c r="H8" s="485">
        <f t="shared" si="3"/>
        <v>0</v>
      </c>
      <c r="I8" s="485">
        <v>690</v>
      </c>
      <c r="J8" s="485">
        <f t="shared" si="4"/>
        <v>12765</v>
      </c>
      <c r="K8" s="485"/>
      <c r="L8" s="485">
        <f t="shared" si="5"/>
        <v>0</v>
      </c>
      <c r="M8" s="485"/>
      <c r="N8" s="486">
        <f t="shared" si="6"/>
        <v>0</v>
      </c>
      <c r="O8" s="485"/>
      <c r="P8" s="486">
        <f t="shared" si="7"/>
        <v>0</v>
      </c>
      <c r="Q8" s="486"/>
      <c r="R8" s="486">
        <f t="shared" si="8"/>
        <v>0</v>
      </c>
      <c r="S8" s="485"/>
      <c r="T8" s="485">
        <f t="shared" si="9"/>
        <v>0</v>
      </c>
      <c r="U8" s="485"/>
      <c r="V8" s="485">
        <f t="shared" si="10"/>
        <v>0</v>
      </c>
      <c r="W8" s="485"/>
      <c r="X8" s="19">
        <f t="shared" si="11"/>
        <v>0</v>
      </c>
      <c r="Y8" s="89">
        <f t="shared" si="0"/>
        <v>27553.807500000003</v>
      </c>
    </row>
    <row r="9" spans="1:25" ht="38.25" customHeight="1" x14ac:dyDescent="0.25">
      <c r="A9" s="12">
        <v>1984225580</v>
      </c>
      <c r="B9" s="482" t="s">
        <v>75</v>
      </c>
      <c r="C9" s="485">
        <v>10786</v>
      </c>
      <c r="D9" s="486">
        <f t="shared" si="1"/>
        <v>10489.385</v>
      </c>
      <c r="E9" s="485"/>
      <c r="F9" s="485">
        <f t="shared" si="2"/>
        <v>0</v>
      </c>
      <c r="G9" s="485"/>
      <c r="H9" s="485">
        <f t="shared" si="3"/>
        <v>0</v>
      </c>
      <c r="I9" s="485">
        <v>690</v>
      </c>
      <c r="J9" s="485">
        <f t="shared" si="4"/>
        <v>12765</v>
      </c>
      <c r="K9" s="485"/>
      <c r="L9" s="485">
        <f t="shared" si="5"/>
        <v>0</v>
      </c>
      <c r="M9" s="485"/>
      <c r="N9" s="486">
        <f t="shared" si="6"/>
        <v>0</v>
      </c>
      <c r="O9" s="485"/>
      <c r="P9" s="486">
        <f t="shared" si="7"/>
        <v>0</v>
      </c>
      <c r="Q9" s="486"/>
      <c r="R9" s="486">
        <f t="shared" si="8"/>
        <v>0</v>
      </c>
      <c r="S9" s="485">
        <v>2</v>
      </c>
      <c r="T9" s="485">
        <f t="shared" si="9"/>
        <v>482</v>
      </c>
      <c r="U9" s="485">
        <v>5</v>
      </c>
      <c r="V9" s="485">
        <f t="shared" si="10"/>
        <v>1160</v>
      </c>
      <c r="W9" s="485"/>
      <c r="X9" s="19">
        <f t="shared" si="11"/>
        <v>0</v>
      </c>
      <c r="Y9" s="89">
        <f t="shared" si="0"/>
        <v>24896.385000000002</v>
      </c>
    </row>
    <row r="10" spans="1:25" ht="35.25" customHeight="1" x14ac:dyDescent="0.25">
      <c r="A10" s="12">
        <v>1409935199</v>
      </c>
      <c r="C10" s="485"/>
      <c r="D10" s="486">
        <f t="shared" si="1"/>
        <v>0</v>
      </c>
      <c r="E10" s="485"/>
      <c r="F10" s="485">
        <f t="shared" si="2"/>
        <v>0</v>
      </c>
      <c r="G10" s="485"/>
      <c r="H10" s="485">
        <f t="shared" si="3"/>
        <v>0</v>
      </c>
      <c r="I10" s="485"/>
      <c r="J10" s="485">
        <f t="shared" si="4"/>
        <v>0</v>
      </c>
      <c r="K10" s="485"/>
      <c r="L10" s="485">
        <f t="shared" si="5"/>
        <v>0</v>
      </c>
      <c r="M10" s="485"/>
      <c r="N10" s="486">
        <f t="shared" si="6"/>
        <v>0</v>
      </c>
      <c r="O10" s="485"/>
      <c r="P10" s="486">
        <f t="shared" si="7"/>
        <v>0</v>
      </c>
      <c r="Q10" s="486"/>
      <c r="R10" s="486">
        <f t="shared" si="8"/>
        <v>0</v>
      </c>
      <c r="S10" s="485"/>
      <c r="T10" s="485">
        <f t="shared" si="9"/>
        <v>0</v>
      </c>
      <c r="U10" s="485"/>
      <c r="V10" s="485">
        <f t="shared" si="10"/>
        <v>0</v>
      </c>
      <c r="W10" s="485"/>
      <c r="X10" s="19">
        <f t="shared" si="11"/>
        <v>0</v>
      </c>
      <c r="Y10" s="89">
        <f t="shared" si="0"/>
        <v>0</v>
      </c>
    </row>
    <row r="11" spans="1:25" ht="37.5" customHeight="1" x14ac:dyDescent="0.25">
      <c r="A11" s="12"/>
      <c r="B11" s="484"/>
      <c r="C11" s="485"/>
      <c r="D11" s="22">
        <f t="shared" si="1"/>
        <v>0</v>
      </c>
      <c r="E11" s="485"/>
      <c r="F11" s="485">
        <f t="shared" si="2"/>
        <v>0</v>
      </c>
      <c r="G11" s="485"/>
      <c r="H11" s="485">
        <f t="shared" si="3"/>
        <v>0</v>
      </c>
      <c r="I11" s="485"/>
      <c r="J11" s="485">
        <f t="shared" si="4"/>
        <v>0</v>
      </c>
      <c r="K11" s="485"/>
      <c r="L11" s="485">
        <f t="shared" si="5"/>
        <v>0</v>
      </c>
      <c r="M11" s="485"/>
      <c r="N11" s="486">
        <f t="shared" si="6"/>
        <v>0</v>
      </c>
      <c r="O11" s="485"/>
      <c r="P11" s="486">
        <f t="shared" si="7"/>
        <v>0</v>
      </c>
      <c r="Q11" s="486"/>
      <c r="R11" s="486">
        <f t="shared" si="8"/>
        <v>0</v>
      </c>
      <c r="S11" s="485"/>
      <c r="T11" s="485">
        <f t="shared" si="9"/>
        <v>0</v>
      </c>
      <c r="U11" s="485"/>
      <c r="V11" s="485">
        <f t="shared" si="10"/>
        <v>0</v>
      </c>
      <c r="W11" s="485"/>
      <c r="X11" s="19">
        <f t="shared" si="11"/>
        <v>0</v>
      </c>
      <c r="Y11" s="20">
        <f t="shared" si="0"/>
        <v>0</v>
      </c>
    </row>
    <row r="12" spans="1:25" ht="29.25" customHeight="1" x14ac:dyDescent="0.25">
      <c r="A12" s="2235" t="s">
        <v>31</v>
      </c>
      <c r="B12" s="2235"/>
      <c r="C12" s="18">
        <f t="shared" ref="C12:Y12" si="12">SUM(C6:C11)</f>
        <v>89609</v>
      </c>
      <c r="D12" s="18">
        <f t="shared" si="12"/>
        <v>87144.752499999988</v>
      </c>
      <c r="E12" s="18">
        <f t="shared" si="12"/>
        <v>0</v>
      </c>
      <c r="F12" s="18">
        <f t="shared" si="12"/>
        <v>0</v>
      </c>
      <c r="G12" s="18">
        <f t="shared" si="12"/>
        <v>70</v>
      </c>
      <c r="H12" s="18">
        <f t="shared" si="12"/>
        <v>1974</v>
      </c>
      <c r="I12" s="18">
        <f t="shared" si="12"/>
        <v>2610</v>
      </c>
      <c r="J12" s="18">
        <f t="shared" si="12"/>
        <v>48285</v>
      </c>
      <c r="K12" s="18">
        <f t="shared" si="12"/>
        <v>0</v>
      </c>
      <c r="L12" s="18">
        <f t="shared" si="12"/>
        <v>0</v>
      </c>
      <c r="M12" s="18">
        <f t="shared" si="12"/>
        <v>0</v>
      </c>
      <c r="N12" s="23">
        <f t="shared" si="12"/>
        <v>0</v>
      </c>
      <c r="O12" s="18">
        <f t="shared" si="12"/>
        <v>0</v>
      </c>
      <c r="P12" s="23">
        <f t="shared" si="12"/>
        <v>0</v>
      </c>
      <c r="Q12" s="23">
        <f t="shared" si="12"/>
        <v>0</v>
      </c>
      <c r="R12" s="23">
        <f>SUM(R6:R11)</f>
        <v>0</v>
      </c>
      <c r="S12" s="18">
        <f t="shared" si="12"/>
        <v>2</v>
      </c>
      <c r="T12" s="18">
        <f t="shared" si="12"/>
        <v>482</v>
      </c>
      <c r="U12" s="18">
        <f t="shared" si="12"/>
        <v>40</v>
      </c>
      <c r="V12" s="18">
        <f t="shared" si="12"/>
        <v>9280</v>
      </c>
      <c r="W12" s="18">
        <f t="shared" si="12"/>
        <v>0</v>
      </c>
      <c r="X12" s="18">
        <f t="shared" si="12"/>
        <v>0</v>
      </c>
      <c r="Y12" s="18">
        <f t="shared" si="12"/>
        <v>147165.7525</v>
      </c>
    </row>
    <row r="14" spans="1:25" ht="41.25" customHeight="1" x14ac:dyDescent="0.25">
      <c r="A14" s="30" t="s">
        <v>32</v>
      </c>
      <c r="B14" s="2236" t="s">
        <v>27</v>
      </c>
      <c r="C14" s="2236"/>
      <c r="D14" s="30" t="s">
        <v>333</v>
      </c>
      <c r="E14" s="30" t="s">
        <v>65</v>
      </c>
      <c r="F14" s="30" t="s">
        <v>34</v>
      </c>
      <c r="G14" s="30" t="s">
        <v>13</v>
      </c>
      <c r="H14" s="469" t="s">
        <v>173</v>
      </c>
      <c r="I14" s="30" t="s">
        <v>17</v>
      </c>
      <c r="J14" s="490" t="s">
        <v>174</v>
      </c>
      <c r="K14" s="30" t="s">
        <v>36</v>
      </c>
      <c r="L14" s="30" t="s">
        <v>175</v>
      </c>
      <c r="M14" s="30" t="s">
        <v>69</v>
      </c>
      <c r="N14" s="30" t="s">
        <v>70</v>
      </c>
      <c r="O14" s="490" t="s">
        <v>114</v>
      </c>
      <c r="P14" s="490" t="s">
        <v>339</v>
      </c>
      <c r="Q14" s="2272"/>
      <c r="R14" s="2272"/>
      <c r="S14" s="490"/>
      <c r="T14" s="2235" t="s">
        <v>46</v>
      </c>
      <c r="U14" s="482" t="s">
        <v>176</v>
      </c>
      <c r="V14" s="2260">
        <v>84127</v>
      </c>
      <c r="W14" s="2268"/>
      <c r="X14" s="2261"/>
    </row>
    <row r="15" spans="1:25" ht="22.5" customHeight="1" x14ac:dyDescent="0.25">
      <c r="A15" s="100" t="s">
        <v>38</v>
      </c>
      <c r="B15" s="2260">
        <v>457835</v>
      </c>
      <c r="C15" s="2261"/>
      <c r="D15" s="487">
        <v>1280</v>
      </c>
      <c r="E15" s="487">
        <v>7070</v>
      </c>
      <c r="F15" s="487">
        <v>15780</v>
      </c>
      <c r="G15" s="487">
        <v>0</v>
      </c>
      <c r="H15" s="487">
        <v>1462</v>
      </c>
      <c r="I15" s="487">
        <v>288</v>
      </c>
      <c r="J15" s="487">
        <v>165</v>
      </c>
      <c r="K15" s="487">
        <v>62</v>
      </c>
      <c r="L15" s="487">
        <v>675</v>
      </c>
      <c r="M15" s="487">
        <v>0</v>
      </c>
      <c r="N15" s="487">
        <v>100</v>
      </c>
      <c r="O15" s="487">
        <v>0</v>
      </c>
      <c r="P15" s="487">
        <v>755</v>
      </c>
      <c r="Q15" s="2262"/>
      <c r="R15" s="2262"/>
      <c r="S15" s="482">
        <v>0</v>
      </c>
      <c r="T15" s="2235"/>
      <c r="U15" s="482" t="s">
        <v>64</v>
      </c>
      <c r="V15" s="2262">
        <v>201342</v>
      </c>
      <c r="W15" s="2262"/>
      <c r="X15" s="2262"/>
    </row>
    <row r="16" spans="1:25" ht="24.75" customHeight="1" x14ac:dyDescent="0.25">
      <c r="A16" s="100" t="s">
        <v>39</v>
      </c>
      <c r="B16" s="2260"/>
      <c r="C16" s="2261"/>
      <c r="D16" s="487"/>
      <c r="E16" s="487"/>
      <c r="F16" s="487"/>
      <c r="G16" s="487"/>
      <c r="H16" s="487"/>
      <c r="I16" s="487"/>
      <c r="J16" s="487"/>
      <c r="K16" s="487"/>
      <c r="L16" s="487"/>
      <c r="M16" s="487"/>
      <c r="N16" s="487"/>
      <c r="O16" s="487"/>
      <c r="P16" s="487"/>
      <c r="Q16" s="2225"/>
      <c r="R16" s="2225"/>
      <c r="S16" s="487"/>
      <c r="T16" s="2254" t="s">
        <v>55</v>
      </c>
      <c r="U16" s="2254"/>
      <c r="V16" s="2267">
        <f>Y12</f>
        <v>147165.7525</v>
      </c>
      <c r="W16" s="2267"/>
      <c r="X16" s="2262"/>
    </row>
    <row r="17" spans="1:25" ht="28.5" customHeight="1" x14ac:dyDescent="0.25">
      <c r="A17" s="101" t="s">
        <v>44</v>
      </c>
      <c r="B17" s="2260">
        <v>39746</v>
      </c>
      <c r="C17" s="2261"/>
      <c r="D17" s="487"/>
      <c r="E17" s="487"/>
      <c r="F17" s="487"/>
      <c r="G17" s="487"/>
      <c r="H17" s="487"/>
      <c r="I17" s="487"/>
      <c r="J17" s="487"/>
      <c r="K17" s="487"/>
      <c r="L17" s="487"/>
      <c r="M17" s="487"/>
      <c r="N17" s="487"/>
      <c r="O17" s="487"/>
      <c r="P17" s="487"/>
      <c r="Q17" s="2225"/>
      <c r="R17" s="2225"/>
      <c r="S17" s="484"/>
      <c r="T17" s="2294"/>
      <c r="U17" s="2295"/>
      <c r="V17" s="2296"/>
      <c r="W17" s="2296"/>
      <c r="X17" s="2296"/>
    </row>
    <row r="18" spans="1:25" ht="27" customHeight="1" x14ac:dyDescent="0.25">
      <c r="A18" s="100" t="s">
        <v>40</v>
      </c>
      <c r="B18" s="2264">
        <f>C12</f>
        <v>89609</v>
      </c>
      <c r="C18" s="2261"/>
      <c r="D18" s="488">
        <f>E12</f>
        <v>0</v>
      </c>
      <c r="E18" s="488">
        <f>G12</f>
        <v>70</v>
      </c>
      <c r="F18" s="488">
        <f>I12</f>
        <v>2610</v>
      </c>
      <c r="G18" s="488">
        <f>K12</f>
        <v>0</v>
      </c>
      <c r="H18" s="487">
        <v>2</v>
      </c>
      <c r="I18" s="488">
        <f>U12</f>
        <v>40</v>
      </c>
      <c r="J18" s="487"/>
      <c r="K18" s="488">
        <f>W12</f>
        <v>0</v>
      </c>
      <c r="L18" s="487"/>
      <c r="M18" s="488">
        <f>M12</f>
        <v>0</v>
      </c>
      <c r="N18" s="488">
        <f>O12</f>
        <v>0</v>
      </c>
      <c r="O18" s="489">
        <f>Q12</f>
        <v>0</v>
      </c>
      <c r="P18" s="487"/>
      <c r="Q18" s="2262"/>
      <c r="R18" s="2262"/>
      <c r="S18" s="482"/>
      <c r="T18" s="2254" t="s">
        <v>57</v>
      </c>
      <c r="U18" s="2254"/>
      <c r="V18" s="2262">
        <v>620</v>
      </c>
      <c r="W18" s="2262"/>
      <c r="X18" s="2262"/>
      <c r="Y18" s="2269"/>
    </row>
    <row r="19" spans="1:25" ht="25.5" customHeight="1" x14ac:dyDescent="0.25">
      <c r="A19" s="100" t="s">
        <v>41</v>
      </c>
      <c r="B19" s="2260">
        <f>B15+B16+B17-B18</f>
        <v>407972</v>
      </c>
      <c r="C19" s="2261"/>
      <c r="D19" s="487">
        <f>D15+D16+D17-D18</f>
        <v>1280</v>
      </c>
      <c r="E19" s="487">
        <f t="shared" ref="E19:N19" si="13">E15+E16+E17-E18</f>
        <v>7000</v>
      </c>
      <c r="F19" s="487">
        <f t="shared" si="13"/>
        <v>13170</v>
      </c>
      <c r="G19" s="487">
        <f t="shared" si="13"/>
        <v>0</v>
      </c>
      <c r="H19" s="487">
        <f t="shared" si="13"/>
        <v>1460</v>
      </c>
      <c r="I19" s="487">
        <f t="shared" si="13"/>
        <v>248</v>
      </c>
      <c r="J19" s="487">
        <f t="shared" si="13"/>
        <v>165</v>
      </c>
      <c r="K19" s="487">
        <f t="shared" si="13"/>
        <v>62</v>
      </c>
      <c r="L19" s="487">
        <f t="shared" si="13"/>
        <v>675</v>
      </c>
      <c r="M19" s="487">
        <f t="shared" si="13"/>
        <v>0</v>
      </c>
      <c r="N19" s="487">
        <f t="shared" si="13"/>
        <v>100</v>
      </c>
      <c r="O19" s="487">
        <f>O15+O16+O17-O18</f>
        <v>0</v>
      </c>
      <c r="P19" s="487">
        <f>P15+P16+P17-P18</f>
        <v>755</v>
      </c>
      <c r="Q19" s="2260">
        <f t="shared" ref="Q19" si="14">Q15+Q16+Q17-Q18</f>
        <v>0</v>
      </c>
      <c r="R19" s="2261"/>
      <c r="S19" s="482">
        <f>S15+S16-S17-S18</f>
        <v>0</v>
      </c>
      <c r="T19" s="2256" t="s">
        <v>48</v>
      </c>
      <c r="U19" s="49" t="s">
        <v>58</v>
      </c>
      <c r="V19" s="2262"/>
      <c r="W19" s="2262"/>
      <c r="X19" s="2262"/>
      <c r="Y19" s="2269"/>
    </row>
    <row r="20" spans="1:25" ht="23.25" customHeight="1" x14ac:dyDescent="0.25">
      <c r="A20" s="289" t="s">
        <v>187</v>
      </c>
      <c r="B20" s="2286">
        <f>B19*0.9625</f>
        <v>392673.05</v>
      </c>
      <c r="C20" s="2287"/>
      <c r="D20" s="290">
        <f>D19*66.41</f>
        <v>85004.799999999988</v>
      </c>
      <c r="E20" s="290">
        <f>28.2*E19</f>
        <v>197400</v>
      </c>
      <c r="F20" s="290">
        <f>18.31*F19</f>
        <v>241142.69999999998</v>
      </c>
      <c r="G20" s="290">
        <f>19.3*G19</f>
        <v>0</v>
      </c>
      <c r="H20" s="290">
        <f>241*H19</f>
        <v>351860</v>
      </c>
      <c r="I20" s="290">
        <f>223*I19</f>
        <v>55304</v>
      </c>
      <c r="J20" s="290">
        <f>241*J19</f>
        <v>39765</v>
      </c>
      <c r="K20" s="290">
        <f>K19*100</f>
        <v>6200</v>
      </c>
      <c r="L20" s="290">
        <f>241*L19</f>
        <v>162675</v>
      </c>
      <c r="M20" s="290">
        <f>9.65*M19</f>
        <v>0</v>
      </c>
      <c r="N20" s="290">
        <f>N19*48.2</f>
        <v>4820</v>
      </c>
      <c r="O20" s="290">
        <f>241*O19</f>
        <v>0</v>
      </c>
      <c r="P20" s="290">
        <f>241*P19</f>
        <v>181955</v>
      </c>
      <c r="Q20" s="2286">
        <f>241*Q19</f>
        <v>0</v>
      </c>
      <c r="R20" s="2287"/>
      <c r="S20" s="290">
        <f>241*S19</f>
        <v>0</v>
      </c>
      <c r="T20" s="2257"/>
      <c r="U20" s="49" t="s">
        <v>59</v>
      </c>
      <c r="V20" s="2262"/>
      <c r="W20" s="2262"/>
      <c r="X20" s="2262"/>
      <c r="Y20" s="2269"/>
    </row>
    <row r="21" spans="1:25" ht="32.25" customHeight="1" x14ac:dyDescent="0.25">
      <c r="A21" s="291" t="s">
        <v>186</v>
      </c>
      <c r="B21" s="2293">
        <f>SUM(B20:S20)</f>
        <v>1718799.5499999998</v>
      </c>
      <c r="C21" s="2293"/>
      <c r="O21" s="491"/>
      <c r="P21" s="491"/>
      <c r="Q21" s="491"/>
      <c r="R21" s="491"/>
      <c r="T21" s="2294"/>
      <c r="U21" s="2295"/>
      <c r="V21" s="2297"/>
      <c r="W21" s="2298"/>
      <c r="X21" s="2299"/>
      <c r="Y21" s="2269"/>
    </row>
    <row r="22" spans="1:25" ht="35.25" customHeight="1" x14ac:dyDescent="0.25">
      <c r="A22" s="15"/>
      <c r="B22" s="2288" t="s">
        <v>49</v>
      </c>
      <c r="C22" s="2291">
        <v>1770785</v>
      </c>
      <c r="D22" s="2291"/>
      <c r="E22" s="2291"/>
      <c r="F22" s="2291">
        <f>C22-D22+E22</f>
        <v>1770785</v>
      </c>
      <c r="G22" s="491"/>
      <c r="Q22" s="491"/>
      <c r="R22" s="491"/>
      <c r="T22" s="2251" t="s">
        <v>83</v>
      </c>
      <c r="U22" s="50" t="s">
        <v>60</v>
      </c>
      <c r="V22" s="2262"/>
      <c r="W22" s="2262"/>
      <c r="X22" s="2262"/>
      <c r="Y22" s="2269"/>
    </row>
    <row r="23" spans="1:25" ht="39.75" customHeight="1" x14ac:dyDescent="0.25">
      <c r="A23" s="491"/>
      <c r="B23" s="2289"/>
      <c r="C23" s="2292"/>
      <c r="D23" s="2292"/>
      <c r="E23" s="2292"/>
      <c r="F23" s="2292"/>
      <c r="G23" s="491"/>
      <c r="Q23" s="491"/>
      <c r="R23" s="491"/>
      <c r="T23" s="2252"/>
      <c r="U23" s="50" t="s">
        <v>61</v>
      </c>
      <c r="V23" s="2262"/>
      <c r="W23" s="2262"/>
      <c r="X23" s="2262"/>
      <c r="Y23" s="2269"/>
    </row>
    <row r="24" spans="1:25" ht="48" customHeight="1" x14ac:dyDescent="0.25">
      <c r="A24" s="491"/>
      <c r="B24" s="2290"/>
      <c r="C24" s="290" t="s">
        <v>46</v>
      </c>
      <c r="D24" s="290" t="s">
        <v>50</v>
      </c>
      <c r="E24" s="290" t="s">
        <v>51</v>
      </c>
      <c r="F24" s="290" t="s">
        <v>52</v>
      </c>
      <c r="G24" s="491"/>
      <c r="Q24" s="491"/>
      <c r="R24" s="491"/>
      <c r="T24" s="2235" t="s">
        <v>47</v>
      </c>
      <c r="U24" s="51" t="s">
        <v>62</v>
      </c>
      <c r="V24" s="2263">
        <f>V14+V16+V17-V18-V19-V20-V22+V23-V21</f>
        <v>230672.7525</v>
      </c>
      <c r="W24" s="2263"/>
      <c r="X24" s="2263"/>
      <c r="Y24" s="2269"/>
    </row>
    <row r="25" spans="1:25" ht="40.5" customHeight="1" x14ac:dyDescent="0.25">
      <c r="T25" s="2235"/>
      <c r="U25" s="51" t="s">
        <v>63</v>
      </c>
      <c r="V25" s="2262">
        <f>V15+V22-V23</f>
        <v>201342</v>
      </c>
      <c r="W25" s="2262"/>
      <c r="X25" s="2262"/>
    </row>
    <row r="26" spans="1:25" ht="36" customHeight="1" x14ac:dyDescent="0.25">
      <c r="K26" s="314"/>
    </row>
    <row r="32" spans="1:25" x14ac:dyDescent="0.25">
      <c r="I32" s="2280"/>
      <c r="J32" s="2280"/>
      <c r="K32" s="2280"/>
      <c r="L32" s="2280"/>
    </row>
    <row r="33" spans="9:12" x14ac:dyDescent="0.25">
      <c r="I33" s="491"/>
      <c r="J33" s="491"/>
      <c r="K33" s="2280"/>
      <c r="L33" s="2280"/>
    </row>
  </sheetData>
  <mergeCells count="62">
    <mergeCell ref="I32:J32"/>
    <mergeCell ref="K32:L32"/>
    <mergeCell ref="K33:L33"/>
    <mergeCell ref="T22:T23"/>
    <mergeCell ref="V22:X22"/>
    <mergeCell ref="V23:X23"/>
    <mergeCell ref="T24:T25"/>
    <mergeCell ref="V24:X24"/>
    <mergeCell ref="V25:X25"/>
    <mergeCell ref="Y18:Y24"/>
    <mergeCell ref="B19:C19"/>
    <mergeCell ref="Q19:R19"/>
    <mergeCell ref="T19:T20"/>
    <mergeCell ref="V19:X19"/>
    <mergeCell ref="B20:C20"/>
    <mergeCell ref="B22:B24"/>
    <mergeCell ref="C22:C23"/>
    <mergeCell ref="D22:D23"/>
    <mergeCell ref="E22:E23"/>
    <mergeCell ref="F22:F23"/>
    <mergeCell ref="Q20:R20"/>
    <mergeCell ref="V20:X20"/>
    <mergeCell ref="B21:C21"/>
    <mergeCell ref="T21:U21"/>
    <mergeCell ref="V21:X21"/>
    <mergeCell ref="B17:C17"/>
    <mergeCell ref="Q17:R17"/>
    <mergeCell ref="T17:U17"/>
    <mergeCell ref="V17:X17"/>
    <mergeCell ref="B18:C18"/>
    <mergeCell ref="Q18:R18"/>
    <mergeCell ref="T18:U18"/>
    <mergeCell ref="V18:X18"/>
    <mergeCell ref="W4:X4"/>
    <mergeCell ref="B16:C16"/>
    <mergeCell ref="Q16:R16"/>
    <mergeCell ref="T16:U16"/>
    <mergeCell ref="V16:X16"/>
    <mergeCell ref="A12:B12"/>
    <mergeCell ref="B14:C14"/>
    <mergeCell ref="Q14:R14"/>
    <mergeCell ref="T14:T15"/>
    <mergeCell ref="V14:X14"/>
    <mergeCell ref="B15:C15"/>
    <mergeCell ref="Q15:R15"/>
    <mergeCell ref="V15:X15"/>
    <mergeCell ref="A1:Y1"/>
    <mergeCell ref="A2:Y2"/>
    <mergeCell ref="T3:Y3"/>
    <mergeCell ref="A4:A5"/>
    <mergeCell ref="B4:B5"/>
    <mergeCell ref="C4:D4"/>
    <mergeCell ref="E4:F4"/>
    <mergeCell ref="G4:H4"/>
    <mergeCell ref="I4:J4"/>
    <mergeCell ref="K4:L4"/>
    <mergeCell ref="Y4:Y5"/>
    <mergeCell ref="M4:N4"/>
    <mergeCell ref="O4:P4"/>
    <mergeCell ref="Q4:R4"/>
    <mergeCell ref="S4:T4"/>
    <mergeCell ref="U4:V4"/>
  </mergeCells>
  <pageMargins left="0.15748031496063" right="0.15748031496063" top="0" bottom="0" header="0" footer="0"/>
  <pageSetup paperSize="9" scale="47" orientation="landscape" r:id="rId1"/>
</worksheet>
</file>

<file path=xl/worksheets/sheet1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D50A6FF-7EA6-4FB6-8DB9-52076AF0AAF3}">
  <sheetPr>
    <pageSetUpPr fitToPage="1"/>
  </sheetPr>
  <dimension ref="A1:Y33"/>
  <sheetViews>
    <sheetView topLeftCell="D13" zoomScale="70" zoomScaleNormal="70" zoomScaleSheetLayoutView="100" workbookViewId="0">
      <selection activeCell="T21" sqref="T21:U21"/>
    </sheetView>
  </sheetViews>
  <sheetFormatPr defaultColWidth="9.140625" defaultRowHeight="15" x14ac:dyDescent="0.25"/>
  <cols>
    <col min="1" max="1" width="18.28515625" style="14" customWidth="1"/>
    <col min="2" max="2" width="10.7109375" style="14" customWidth="1"/>
    <col min="3" max="3" width="12.28515625" style="14" customWidth="1"/>
    <col min="4" max="4" width="13.140625" style="14" bestFit="1" customWidth="1"/>
    <col min="5" max="5" width="12" style="14" customWidth="1"/>
    <col min="6" max="6" width="12.5703125" style="14" bestFit="1" customWidth="1"/>
    <col min="7" max="7" width="9.28515625" style="14" bestFit="1" customWidth="1"/>
    <col min="8" max="8" width="10.140625" style="14" bestFit="1" customWidth="1"/>
    <col min="9" max="9" width="10.5703125" style="14" bestFit="1" customWidth="1"/>
    <col min="10" max="10" width="10.5703125" style="14" customWidth="1"/>
    <col min="11" max="11" width="10.28515625" style="14" bestFit="1" customWidth="1"/>
    <col min="12" max="12" width="10.42578125" style="14" bestFit="1" customWidth="1"/>
    <col min="13" max="13" width="9.85546875" style="14" bestFit="1" customWidth="1"/>
    <col min="14" max="14" width="10.140625" style="14" bestFit="1" customWidth="1"/>
    <col min="15" max="15" width="9" style="14" customWidth="1"/>
    <col min="16" max="16" width="12.85546875" style="14" bestFit="1" customWidth="1"/>
    <col min="17" max="18" width="9.42578125" style="14" customWidth="1"/>
    <col min="19" max="19" width="13.7109375" style="14" customWidth="1"/>
    <col min="20" max="20" width="12.140625" style="14" customWidth="1"/>
    <col min="21" max="21" width="19.5703125" style="14" bestFit="1" customWidth="1"/>
    <col min="22" max="22" width="9.85546875" style="14" customWidth="1"/>
    <col min="23" max="23" width="10.140625" style="14" bestFit="1" customWidth="1"/>
    <col min="24" max="24" width="10.28515625" style="14" customWidth="1"/>
    <col min="25" max="25" width="28" style="14" customWidth="1"/>
    <col min="26" max="16384" width="9.140625" style="14"/>
  </cols>
  <sheetData>
    <row r="1" spans="1:25" ht="46.15" customHeight="1" x14ac:dyDescent="0.25">
      <c r="A1" s="2240" t="s">
        <v>148</v>
      </c>
      <c r="B1" s="2240"/>
      <c r="C1" s="2240"/>
      <c r="D1" s="2240"/>
      <c r="E1" s="2240"/>
      <c r="F1" s="2240"/>
      <c r="G1" s="2240"/>
      <c r="H1" s="2240"/>
      <c r="I1" s="2240"/>
      <c r="J1" s="2240"/>
      <c r="K1" s="2240"/>
      <c r="L1" s="2240"/>
      <c r="M1" s="2240"/>
      <c r="N1" s="2240"/>
      <c r="O1" s="2240"/>
      <c r="P1" s="2240"/>
      <c r="Q1" s="2240"/>
      <c r="R1" s="2240"/>
      <c r="S1" s="2240"/>
      <c r="T1" s="2240"/>
      <c r="U1" s="2240"/>
      <c r="V1" s="2240"/>
      <c r="W1" s="2240"/>
      <c r="X1" s="2240"/>
      <c r="Y1" s="2240"/>
    </row>
    <row r="2" spans="1:25" ht="21.6" customHeight="1" x14ac:dyDescent="0.25">
      <c r="A2" s="2241" t="s">
        <v>77</v>
      </c>
      <c r="B2" s="2241"/>
      <c r="C2" s="2241"/>
      <c r="D2" s="2241"/>
      <c r="E2" s="2241"/>
      <c r="F2" s="2241"/>
      <c r="G2" s="2241"/>
      <c r="H2" s="2241"/>
      <c r="I2" s="2241"/>
      <c r="J2" s="2241"/>
      <c r="K2" s="2241"/>
      <c r="L2" s="2241"/>
      <c r="M2" s="2241"/>
      <c r="N2" s="2241"/>
      <c r="O2" s="2241"/>
      <c r="P2" s="2241"/>
      <c r="Q2" s="2241"/>
      <c r="R2" s="2241"/>
      <c r="S2" s="2241"/>
      <c r="T2" s="2241"/>
      <c r="U2" s="2241"/>
      <c r="V2" s="2241"/>
      <c r="W2" s="2241"/>
      <c r="X2" s="2241"/>
      <c r="Y2" s="2241"/>
    </row>
    <row r="3" spans="1:25" ht="21" customHeight="1" x14ac:dyDescent="0.25">
      <c r="A3" s="481"/>
      <c r="B3" s="481"/>
      <c r="C3" s="481"/>
      <c r="D3" s="481"/>
      <c r="E3" s="481"/>
      <c r="F3" s="481"/>
      <c r="G3" s="481"/>
      <c r="H3" s="481"/>
      <c r="I3" s="481"/>
      <c r="J3" s="481"/>
      <c r="K3" s="481"/>
      <c r="L3" s="481"/>
      <c r="M3" s="481"/>
      <c r="N3" s="481"/>
      <c r="O3" s="481"/>
      <c r="P3" s="481"/>
      <c r="Q3" s="481"/>
      <c r="R3" s="481"/>
      <c r="S3" s="481"/>
      <c r="T3" s="2242" t="s">
        <v>346</v>
      </c>
      <c r="U3" s="2242"/>
      <c r="V3" s="2242"/>
      <c r="W3" s="2242"/>
      <c r="X3" s="2242"/>
      <c r="Y3" s="2242"/>
    </row>
    <row r="4" spans="1:25" s="481" customFormat="1" ht="18" customHeight="1" x14ac:dyDescent="0.25">
      <c r="A4" s="2243" t="s">
        <v>25</v>
      </c>
      <c r="B4" s="2243" t="s">
        <v>26</v>
      </c>
      <c r="C4" s="2244" t="s">
        <v>27</v>
      </c>
      <c r="D4" s="2244"/>
      <c r="E4" s="2244" t="s">
        <v>342</v>
      </c>
      <c r="F4" s="2244"/>
      <c r="G4" s="2244" t="s">
        <v>65</v>
      </c>
      <c r="H4" s="2244"/>
      <c r="I4" s="2244" t="s">
        <v>29</v>
      </c>
      <c r="J4" s="2244"/>
      <c r="K4" s="2245" t="s">
        <v>13</v>
      </c>
      <c r="L4" s="2246"/>
      <c r="M4" s="2245" t="s">
        <v>67</v>
      </c>
      <c r="N4" s="2246"/>
      <c r="O4" s="2245" t="s">
        <v>68</v>
      </c>
      <c r="P4" s="2246"/>
      <c r="Q4" s="2245" t="s">
        <v>114</v>
      </c>
      <c r="R4" s="2246"/>
      <c r="S4" s="2244" t="s">
        <v>35</v>
      </c>
      <c r="T4" s="2244"/>
      <c r="U4" s="2245" t="s">
        <v>17</v>
      </c>
      <c r="V4" s="2246"/>
      <c r="W4" s="2247" t="s">
        <v>36</v>
      </c>
      <c r="X4" s="2248"/>
      <c r="Y4" s="2238" t="s">
        <v>30</v>
      </c>
    </row>
    <row r="5" spans="1:25" s="481" customFormat="1" ht="25.5" customHeight="1" x14ac:dyDescent="0.25">
      <c r="A5" s="2243"/>
      <c r="B5" s="2243"/>
      <c r="C5" s="483" t="s">
        <v>42</v>
      </c>
      <c r="D5" s="483" t="s">
        <v>43</v>
      </c>
      <c r="E5" s="483" t="s">
        <v>42</v>
      </c>
      <c r="F5" s="483" t="s">
        <v>43</v>
      </c>
      <c r="G5" s="483" t="s">
        <v>42</v>
      </c>
      <c r="H5" s="483" t="s">
        <v>43</v>
      </c>
      <c r="I5" s="483" t="s">
        <v>42</v>
      </c>
      <c r="J5" s="483" t="s">
        <v>43</v>
      </c>
      <c r="K5" s="483" t="s">
        <v>42</v>
      </c>
      <c r="L5" s="483" t="s">
        <v>43</v>
      </c>
      <c r="M5" s="483" t="s">
        <v>42</v>
      </c>
      <c r="N5" s="483" t="s">
        <v>43</v>
      </c>
      <c r="O5" s="483" t="s">
        <v>42</v>
      </c>
      <c r="P5" s="483" t="s">
        <v>43</v>
      </c>
      <c r="Q5" s="483" t="s">
        <v>42</v>
      </c>
      <c r="R5" s="483" t="s">
        <v>43</v>
      </c>
      <c r="S5" s="33" t="s">
        <v>42</v>
      </c>
      <c r="T5" s="33" t="s">
        <v>43</v>
      </c>
      <c r="U5" s="30" t="s">
        <v>42</v>
      </c>
      <c r="V5" s="30" t="s">
        <v>43</v>
      </c>
      <c r="W5" s="30" t="s">
        <v>42</v>
      </c>
      <c r="X5" s="30" t="s">
        <v>43</v>
      </c>
      <c r="Y5" s="2239"/>
    </row>
    <row r="6" spans="1:25" ht="34.5" customHeight="1" x14ac:dyDescent="0.25">
      <c r="A6" s="12">
        <v>1409935200</v>
      </c>
      <c r="B6" s="482" t="s">
        <v>71</v>
      </c>
      <c r="C6" s="485">
        <v>20965</v>
      </c>
      <c r="D6" s="486">
        <f>0.9725*C6</f>
        <v>20388.462500000001</v>
      </c>
      <c r="E6" s="485"/>
      <c r="F6" s="485">
        <f>67.1*E6</f>
        <v>0</v>
      </c>
      <c r="G6" s="485"/>
      <c r="H6" s="485">
        <f>28.2*G6</f>
        <v>0</v>
      </c>
      <c r="I6" s="485"/>
      <c r="J6" s="485">
        <f>18.5*I6</f>
        <v>0</v>
      </c>
      <c r="K6" s="485"/>
      <c r="L6" s="485">
        <f>19.5*K6</f>
        <v>0</v>
      </c>
      <c r="M6" s="485"/>
      <c r="N6" s="486">
        <f>M6*9.75</f>
        <v>0</v>
      </c>
      <c r="O6" s="485"/>
      <c r="P6" s="486">
        <f>O6*48.62</f>
        <v>0</v>
      </c>
      <c r="Q6" s="486"/>
      <c r="R6" s="486">
        <f>241*Q6</f>
        <v>0</v>
      </c>
      <c r="S6" s="485">
        <v>10</v>
      </c>
      <c r="T6" s="485">
        <f>241*S6</f>
        <v>2410</v>
      </c>
      <c r="U6" s="485">
        <v>10</v>
      </c>
      <c r="V6" s="485">
        <f>232*U6</f>
        <v>2320</v>
      </c>
      <c r="W6" s="485"/>
      <c r="X6" s="19">
        <f>W6*100</f>
        <v>0</v>
      </c>
      <c r="Y6" s="89">
        <f t="shared" ref="Y6:Y11" si="0">D6+F6+H6+J6+L6+N6+P6+R6+T6+V6+X6</f>
        <v>25118.462500000001</v>
      </c>
    </row>
    <row r="7" spans="1:25" ht="31.5" customHeight="1" x14ac:dyDescent="0.25">
      <c r="A7" s="12">
        <v>1984225578</v>
      </c>
      <c r="B7" s="482" t="s">
        <v>72</v>
      </c>
      <c r="C7" s="485">
        <v>24514</v>
      </c>
      <c r="D7" s="486">
        <f t="shared" ref="D7:D11" si="1">0.9725*C7</f>
        <v>23839.865000000002</v>
      </c>
      <c r="E7" s="485"/>
      <c r="F7" s="485">
        <f t="shared" ref="F7:F11" si="2">67.1*E7</f>
        <v>0</v>
      </c>
      <c r="G7" s="485"/>
      <c r="H7" s="485">
        <f t="shared" ref="H7:H11" si="3">28.2*G7</f>
        <v>0</v>
      </c>
      <c r="I7" s="485">
        <v>820</v>
      </c>
      <c r="J7" s="485">
        <f t="shared" ref="J7:J11" si="4">18.5*I7</f>
        <v>15170</v>
      </c>
      <c r="K7" s="485"/>
      <c r="L7" s="485">
        <f t="shared" ref="L7:L11" si="5">19.5*K7</f>
        <v>0</v>
      </c>
      <c r="M7" s="485"/>
      <c r="N7" s="486">
        <f t="shared" ref="N7:N11" si="6">M7*9.75</f>
        <v>0</v>
      </c>
      <c r="O7" s="485"/>
      <c r="P7" s="486">
        <f t="shared" ref="P7:P11" si="7">O7*48.62</f>
        <v>0</v>
      </c>
      <c r="Q7" s="486"/>
      <c r="R7" s="486">
        <f t="shared" ref="R7:R11" si="8">241*Q7</f>
        <v>0</v>
      </c>
      <c r="S7" s="485"/>
      <c r="T7" s="485">
        <f t="shared" ref="T7:T11" si="9">241*S7</f>
        <v>0</v>
      </c>
      <c r="U7" s="485">
        <v>30</v>
      </c>
      <c r="V7" s="485">
        <f t="shared" ref="V7:V11" si="10">232*U7</f>
        <v>6960</v>
      </c>
      <c r="W7" s="485"/>
      <c r="X7" s="19">
        <f t="shared" ref="X7:X11" si="11">W7*100</f>
        <v>0</v>
      </c>
      <c r="Y7" s="89">
        <f t="shared" si="0"/>
        <v>45969.865000000005</v>
      </c>
    </row>
    <row r="8" spans="1:25" ht="35.25" customHeight="1" x14ac:dyDescent="0.25">
      <c r="A8" s="12">
        <v>1967020280</v>
      </c>
      <c r="B8" s="482" t="s">
        <v>73</v>
      </c>
      <c r="C8" s="485">
        <v>18432</v>
      </c>
      <c r="D8" s="486">
        <f t="shared" si="1"/>
        <v>17925.12</v>
      </c>
      <c r="E8" s="485"/>
      <c r="F8" s="485">
        <f t="shared" si="2"/>
        <v>0</v>
      </c>
      <c r="G8" s="485"/>
      <c r="H8" s="485">
        <f t="shared" si="3"/>
        <v>0</v>
      </c>
      <c r="I8" s="485">
        <v>320</v>
      </c>
      <c r="J8" s="485">
        <f t="shared" si="4"/>
        <v>5920</v>
      </c>
      <c r="K8" s="485"/>
      <c r="L8" s="485">
        <f t="shared" si="5"/>
        <v>0</v>
      </c>
      <c r="M8" s="485"/>
      <c r="N8" s="486">
        <f t="shared" si="6"/>
        <v>0</v>
      </c>
      <c r="O8" s="485"/>
      <c r="P8" s="486">
        <f t="shared" si="7"/>
        <v>0</v>
      </c>
      <c r="Q8" s="486"/>
      <c r="R8" s="486">
        <f t="shared" si="8"/>
        <v>0</v>
      </c>
      <c r="S8" s="485"/>
      <c r="T8" s="485">
        <f t="shared" si="9"/>
        <v>0</v>
      </c>
      <c r="U8" s="485">
        <v>100</v>
      </c>
      <c r="V8" s="485">
        <f t="shared" si="10"/>
        <v>23200</v>
      </c>
      <c r="W8" s="485"/>
      <c r="X8" s="19">
        <f t="shared" si="11"/>
        <v>0</v>
      </c>
      <c r="Y8" s="89">
        <f t="shared" si="0"/>
        <v>47045.119999999995</v>
      </c>
    </row>
    <row r="9" spans="1:25" ht="38.25" customHeight="1" x14ac:dyDescent="0.25">
      <c r="A9" s="12">
        <v>1984225580</v>
      </c>
      <c r="B9" s="482" t="s">
        <v>75</v>
      </c>
      <c r="C9" s="485">
        <v>53800</v>
      </c>
      <c r="D9" s="486">
        <f t="shared" si="1"/>
        <v>52320.5</v>
      </c>
      <c r="E9" s="485"/>
      <c r="F9" s="485">
        <f t="shared" si="2"/>
        <v>0</v>
      </c>
      <c r="G9" s="485"/>
      <c r="H9" s="485">
        <f t="shared" si="3"/>
        <v>0</v>
      </c>
      <c r="I9" s="485">
        <v>480</v>
      </c>
      <c r="J9" s="485">
        <f t="shared" si="4"/>
        <v>8880</v>
      </c>
      <c r="K9" s="485"/>
      <c r="L9" s="485">
        <f t="shared" si="5"/>
        <v>0</v>
      </c>
      <c r="M9" s="485"/>
      <c r="N9" s="486">
        <f t="shared" si="6"/>
        <v>0</v>
      </c>
      <c r="O9" s="485"/>
      <c r="P9" s="486">
        <f t="shared" si="7"/>
        <v>0</v>
      </c>
      <c r="Q9" s="486"/>
      <c r="R9" s="486">
        <f t="shared" si="8"/>
        <v>0</v>
      </c>
      <c r="S9" s="485">
        <v>23</v>
      </c>
      <c r="T9" s="485">
        <f t="shared" si="9"/>
        <v>5543</v>
      </c>
      <c r="U9" s="485">
        <v>10</v>
      </c>
      <c r="V9" s="485">
        <f t="shared" si="10"/>
        <v>2320</v>
      </c>
      <c r="W9" s="485"/>
      <c r="X9" s="19">
        <f t="shared" si="11"/>
        <v>0</v>
      </c>
      <c r="Y9" s="89">
        <f t="shared" si="0"/>
        <v>69063.5</v>
      </c>
    </row>
    <row r="10" spans="1:25" ht="35.25" customHeight="1" x14ac:dyDescent="0.25">
      <c r="A10" s="12">
        <v>1409935199</v>
      </c>
      <c r="C10" s="485"/>
      <c r="D10" s="486">
        <f t="shared" si="1"/>
        <v>0</v>
      </c>
      <c r="E10" s="485"/>
      <c r="F10" s="485">
        <f t="shared" si="2"/>
        <v>0</v>
      </c>
      <c r="G10" s="485"/>
      <c r="H10" s="485">
        <f t="shared" si="3"/>
        <v>0</v>
      </c>
      <c r="I10" s="485"/>
      <c r="J10" s="485">
        <f t="shared" si="4"/>
        <v>0</v>
      </c>
      <c r="K10" s="485"/>
      <c r="L10" s="485">
        <f t="shared" si="5"/>
        <v>0</v>
      </c>
      <c r="M10" s="485"/>
      <c r="N10" s="486">
        <f t="shared" si="6"/>
        <v>0</v>
      </c>
      <c r="O10" s="485"/>
      <c r="P10" s="486">
        <f t="shared" si="7"/>
        <v>0</v>
      </c>
      <c r="Q10" s="486"/>
      <c r="R10" s="486">
        <f t="shared" si="8"/>
        <v>0</v>
      </c>
      <c r="S10" s="485"/>
      <c r="T10" s="485">
        <f t="shared" si="9"/>
        <v>0</v>
      </c>
      <c r="U10" s="485"/>
      <c r="V10" s="485">
        <f t="shared" si="10"/>
        <v>0</v>
      </c>
      <c r="W10" s="485"/>
      <c r="X10" s="19">
        <f t="shared" si="11"/>
        <v>0</v>
      </c>
      <c r="Y10" s="89">
        <f t="shared" si="0"/>
        <v>0</v>
      </c>
    </row>
    <row r="11" spans="1:25" ht="37.5" customHeight="1" x14ac:dyDescent="0.25">
      <c r="A11" s="12"/>
      <c r="B11" s="484"/>
      <c r="C11" s="485"/>
      <c r="D11" s="22">
        <f t="shared" si="1"/>
        <v>0</v>
      </c>
      <c r="E11" s="485"/>
      <c r="F11" s="485">
        <f t="shared" si="2"/>
        <v>0</v>
      </c>
      <c r="G11" s="485"/>
      <c r="H11" s="485">
        <f t="shared" si="3"/>
        <v>0</v>
      </c>
      <c r="I11" s="485"/>
      <c r="J11" s="485">
        <f t="shared" si="4"/>
        <v>0</v>
      </c>
      <c r="K11" s="485"/>
      <c r="L11" s="485">
        <f t="shared" si="5"/>
        <v>0</v>
      </c>
      <c r="M11" s="485"/>
      <c r="N11" s="486">
        <f t="shared" si="6"/>
        <v>0</v>
      </c>
      <c r="O11" s="485"/>
      <c r="P11" s="486">
        <f t="shared" si="7"/>
        <v>0</v>
      </c>
      <c r="Q11" s="486"/>
      <c r="R11" s="486">
        <f t="shared" si="8"/>
        <v>0</v>
      </c>
      <c r="S11" s="485"/>
      <c r="T11" s="485">
        <f t="shared" si="9"/>
        <v>0</v>
      </c>
      <c r="U11" s="485"/>
      <c r="V11" s="485">
        <f t="shared" si="10"/>
        <v>0</v>
      </c>
      <c r="W11" s="485"/>
      <c r="X11" s="19">
        <f t="shared" si="11"/>
        <v>0</v>
      </c>
      <c r="Y11" s="20">
        <f t="shared" si="0"/>
        <v>0</v>
      </c>
    </row>
    <row r="12" spans="1:25" ht="29.25" customHeight="1" x14ac:dyDescent="0.25">
      <c r="A12" s="2235" t="s">
        <v>31</v>
      </c>
      <c r="B12" s="2235"/>
      <c r="C12" s="18">
        <f t="shared" ref="C12:Y12" si="12">SUM(C6:C11)</f>
        <v>117711</v>
      </c>
      <c r="D12" s="18">
        <f t="shared" si="12"/>
        <v>114473.94749999999</v>
      </c>
      <c r="E12" s="18">
        <f t="shared" si="12"/>
        <v>0</v>
      </c>
      <c r="F12" s="18">
        <f t="shared" si="12"/>
        <v>0</v>
      </c>
      <c r="G12" s="18">
        <f t="shared" si="12"/>
        <v>0</v>
      </c>
      <c r="H12" s="18">
        <f t="shared" si="12"/>
        <v>0</v>
      </c>
      <c r="I12" s="18">
        <f t="shared" si="12"/>
        <v>1620</v>
      </c>
      <c r="J12" s="18">
        <f t="shared" si="12"/>
        <v>29970</v>
      </c>
      <c r="K12" s="18">
        <f t="shared" si="12"/>
        <v>0</v>
      </c>
      <c r="L12" s="18">
        <f t="shared" si="12"/>
        <v>0</v>
      </c>
      <c r="M12" s="18">
        <f t="shared" si="12"/>
        <v>0</v>
      </c>
      <c r="N12" s="23">
        <f t="shared" si="12"/>
        <v>0</v>
      </c>
      <c r="O12" s="18">
        <f t="shared" si="12"/>
        <v>0</v>
      </c>
      <c r="P12" s="23">
        <f t="shared" si="12"/>
        <v>0</v>
      </c>
      <c r="Q12" s="23">
        <f t="shared" si="12"/>
        <v>0</v>
      </c>
      <c r="R12" s="23">
        <f>SUM(R6:R11)</f>
        <v>0</v>
      </c>
      <c r="S12" s="18">
        <f t="shared" si="12"/>
        <v>33</v>
      </c>
      <c r="T12" s="18">
        <f t="shared" si="12"/>
        <v>7953</v>
      </c>
      <c r="U12" s="18">
        <f t="shared" si="12"/>
        <v>150</v>
      </c>
      <c r="V12" s="18">
        <f t="shared" si="12"/>
        <v>34800</v>
      </c>
      <c r="W12" s="18">
        <f t="shared" si="12"/>
        <v>0</v>
      </c>
      <c r="X12" s="18">
        <f t="shared" si="12"/>
        <v>0</v>
      </c>
      <c r="Y12" s="18">
        <f t="shared" si="12"/>
        <v>187196.94750000001</v>
      </c>
    </row>
    <row r="14" spans="1:25" ht="41.25" customHeight="1" x14ac:dyDescent="0.25">
      <c r="A14" s="30" t="s">
        <v>32</v>
      </c>
      <c r="B14" s="2236" t="s">
        <v>27</v>
      </c>
      <c r="C14" s="2236"/>
      <c r="D14" s="30" t="s">
        <v>333</v>
      </c>
      <c r="E14" s="30" t="s">
        <v>65</v>
      </c>
      <c r="F14" s="30" t="s">
        <v>34</v>
      </c>
      <c r="G14" s="30" t="s">
        <v>13</v>
      </c>
      <c r="H14" s="469" t="s">
        <v>173</v>
      </c>
      <c r="I14" s="30" t="s">
        <v>17</v>
      </c>
      <c r="J14" s="490" t="s">
        <v>174</v>
      </c>
      <c r="K14" s="30" t="s">
        <v>36</v>
      </c>
      <c r="L14" s="30" t="s">
        <v>175</v>
      </c>
      <c r="M14" s="30" t="s">
        <v>69</v>
      </c>
      <c r="N14" s="30" t="s">
        <v>70</v>
      </c>
      <c r="O14" s="490" t="s">
        <v>114</v>
      </c>
      <c r="P14" s="490" t="s">
        <v>339</v>
      </c>
      <c r="Q14" s="2272"/>
      <c r="R14" s="2272"/>
      <c r="S14" s="490"/>
      <c r="T14" s="2235" t="s">
        <v>46</v>
      </c>
      <c r="U14" s="482" t="s">
        <v>176</v>
      </c>
      <c r="V14" s="2260">
        <v>230673</v>
      </c>
      <c r="W14" s="2268"/>
      <c r="X14" s="2261"/>
    </row>
    <row r="15" spans="1:25" ht="22.5" customHeight="1" x14ac:dyDescent="0.25">
      <c r="A15" s="100" t="s">
        <v>38</v>
      </c>
      <c r="B15" s="2260">
        <v>407972</v>
      </c>
      <c r="C15" s="2261"/>
      <c r="D15" s="487">
        <v>1280</v>
      </c>
      <c r="E15" s="487">
        <v>7000</v>
      </c>
      <c r="F15" s="487">
        <v>13170</v>
      </c>
      <c r="G15" s="487">
        <v>0</v>
      </c>
      <c r="H15" s="487">
        <v>1460</v>
      </c>
      <c r="I15" s="487">
        <v>248</v>
      </c>
      <c r="J15" s="487">
        <v>165</v>
      </c>
      <c r="K15" s="487">
        <v>62</v>
      </c>
      <c r="L15" s="487">
        <v>675</v>
      </c>
      <c r="M15" s="487">
        <v>0</v>
      </c>
      <c r="N15" s="487">
        <v>100</v>
      </c>
      <c r="O15" s="487">
        <v>0</v>
      </c>
      <c r="P15" s="487">
        <v>755</v>
      </c>
      <c r="Q15" s="2262"/>
      <c r="R15" s="2262"/>
      <c r="S15" s="482">
        <v>0</v>
      </c>
      <c r="T15" s="2235"/>
      <c r="U15" s="482" t="s">
        <v>64</v>
      </c>
      <c r="V15" s="2262">
        <v>201342</v>
      </c>
      <c r="W15" s="2262"/>
      <c r="X15" s="2262"/>
    </row>
    <row r="16" spans="1:25" ht="24.75" customHeight="1" x14ac:dyDescent="0.25">
      <c r="A16" s="100" t="s">
        <v>39</v>
      </c>
      <c r="B16" s="2260">
        <v>25974</v>
      </c>
      <c r="C16" s="2261"/>
      <c r="D16" s="487"/>
      <c r="E16" s="487"/>
      <c r="F16" s="487"/>
      <c r="G16" s="487"/>
      <c r="H16" s="487"/>
      <c r="I16" s="487"/>
      <c r="J16" s="487"/>
      <c r="K16" s="487"/>
      <c r="L16" s="487"/>
      <c r="M16" s="487"/>
      <c r="N16" s="487"/>
      <c r="O16" s="487"/>
      <c r="P16" s="487"/>
      <c r="Q16" s="2225"/>
      <c r="R16" s="2225"/>
      <c r="S16" s="487"/>
      <c r="T16" s="2254" t="s">
        <v>55</v>
      </c>
      <c r="U16" s="2254"/>
      <c r="V16" s="2267">
        <f>Y12</f>
        <v>187196.94750000001</v>
      </c>
      <c r="W16" s="2267"/>
      <c r="X16" s="2262"/>
    </row>
    <row r="17" spans="1:25" ht="28.5" customHeight="1" x14ac:dyDescent="0.25">
      <c r="A17" s="101" t="s">
        <v>44</v>
      </c>
      <c r="B17" s="2260"/>
      <c r="C17" s="2261"/>
      <c r="D17" s="487"/>
      <c r="E17" s="487"/>
      <c r="F17" s="487"/>
      <c r="G17" s="487"/>
      <c r="H17" s="487"/>
      <c r="I17" s="487"/>
      <c r="J17" s="487"/>
      <c r="K17" s="487"/>
      <c r="L17" s="487"/>
      <c r="M17" s="487"/>
      <c r="N17" s="487"/>
      <c r="O17" s="487"/>
      <c r="P17" s="487"/>
      <c r="Q17" s="2225"/>
      <c r="R17" s="2225"/>
      <c r="S17" s="484"/>
      <c r="T17" s="2294"/>
      <c r="U17" s="2295"/>
      <c r="V17" s="2296"/>
      <c r="W17" s="2296"/>
      <c r="X17" s="2296"/>
    </row>
    <row r="18" spans="1:25" ht="27" customHeight="1" x14ac:dyDescent="0.25">
      <c r="A18" s="100" t="s">
        <v>40</v>
      </c>
      <c r="B18" s="2264">
        <f>C12</f>
        <v>117711</v>
      </c>
      <c r="C18" s="2261"/>
      <c r="D18" s="488">
        <f>E12</f>
        <v>0</v>
      </c>
      <c r="E18" s="488">
        <f>G12</f>
        <v>0</v>
      </c>
      <c r="F18" s="488">
        <f>I12</f>
        <v>1620</v>
      </c>
      <c r="G18" s="488">
        <f>K12</f>
        <v>0</v>
      </c>
      <c r="H18" s="487">
        <v>33</v>
      </c>
      <c r="I18" s="488">
        <f>U12</f>
        <v>150</v>
      </c>
      <c r="J18" s="487"/>
      <c r="K18" s="488">
        <f>W12</f>
        <v>0</v>
      </c>
      <c r="L18" s="487"/>
      <c r="M18" s="488">
        <f>M12</f>
        <v>0</v>
      </c>
      <c r="N18" s="488">
        <f>O12</f>
        <v>0</v>
      </c>
      <c r="O18" s="489">
        <f>Q12</f>
        <v>0</v>
      </c>
      <c r="P18" s="487"/>
      <c r="Q18" s="2262"/>
      <c r="R18" s="2262"/>
      <c r="S18" s="482"/>
      <c r="T18" s="2254" t="s">
        <v>57</v>
      </c>
      <c r="U18" s="2254"/>
      <c r="V18" s="2262">
        <v>520</v>
      </c>
      <c r="W18" s="2262"/>
      <c r="X18" s="2262"/>
      <c r="Y18" s="2269"/>
    </row>
    <row r="19" spans="1:25" ht="25.5" customHeight="1" x14ac:dyDescent="0.25">
      <c r="A19" s="100" t="s">
        <v>41</v>
      </c>
      <c r="B19" s="2260">
        <f>B15+B16+B17-B18</f>
        <v>316235</v>
      </c>
      <c r="C19" s="2261"/>
      <c r="D19" s="487">
        <f>D15+D16+D17-D18</f>
        <v>1280</v>
      </c>
      <c r="E19" s="487">
        <f t="shared" ref="E19:N19" si="13">E15+E16+E17-E18</f>
        <v>7000</v>
      </c>
      <c r="F19" s="487">
        <f t="shared" si="13"/>
        <v>11550</v>
      </c>
      <c r="G19" s="487">
        <f t="shared" si="13"/>
        <v>0</v>
      </c>
      <c r="H19" s="487">
        <f t="shared" si="13"/>
        <v>1427</v>
      </c>
      <c r="I19" s="487">
        <f t="shared" si="13"/>
        <v>98</v>
      </c>
      <c r="J19" s="487">
        <f t="shared" si="13"/>
        <v>165</v>
      </c>
      <c r="K19" s="487">
        <f t="shared" si="13"/>
        <v>62</v>
      </c>
      <c r="L19" s="487">
        <f t="shared" si="13"/>
        <v>675</v>
      </c>
      <c r="M19" s="487">
        <f t="shared" si="13"/>
        <v>0</v>
      </c>
      <c r="N19" s="487">
        <f t="shared" si="13"/>
        <v>100</v>
      </c>
      <c r="O19" s="487">
        <f>O15+O16+O17-O18</f>
        <v>0</v>
      </c>
      <c r="P19" s="487">
        <f>P15+P16+P17-P18</f>
        <v>755</v>
      </c>
      <c r="Q19" s="2260">
        <f t="shared" ref="Q19" si="14">Q15+Q16+Q17-Q18</f>
        <v>0</v>
      </c>
      <c r="R19" s="2261"/>
      <c r="S19" s="482">
        <f>S15+S16-S17-S18</f>
        <v>0</v>
      </c>
      <c r="T19" s="2256" t="s">
        <v>48</v>
      </c>
      <c r="U19" s="49" t="s">
        <v>58</v>
      </c>
      <c r="V19" s="2262">
        <v>300000</v>
      </c>
      <c r="W19" s="2262"/>
      <c r="X19" s="2262"/>
      <c r="Y19" s="2269"/>
    </row>
    <row r="20" spans="1:25" ht="23.25" customHeight="1" x14ac:dyDescent="0.25">
      <c r="A20" s="289" t="s">
        <v>187</v>
      </c>
      <c r="B20" s="2286">
        <f>B19*0.9625</f>
        <v>304376.1875</v>
      </c>
      <c r="C20" s="2287"/>
      <c r="D20" s="290">
        <f>D19*66.41</f>
        <v>85004.799999999988</v>
      </c>
      <c r="E20" s="290">
        <f>28.2*E19</f>
        <v>197400</v>
      </c>
      <c r="F20" s="290">
        <f>18.31*F19</f>
        <v>211480.49999999997</v>
      </c>
      <c r="G20" s="290">
        <f>19.3*G19</f>
        <v>0</v>
      </c>
      <c r="H20" s="290">
        <f>241*H19</f>
        <v>343907</v>
      </c>
      <c r="I20" s="290">
        <f>223*I19</f>
        <v>21854</v>
      </c>
      <c r="J20" s="290">
        <f>241*J19</f>
        <v>39765</v>
      </c>
      <c r="K20" s="290">
        <f>K19*100</f>
        <v>6200</v>
      </c>
      <c r="L20" s="290">
        <f>241*L19</f>
        <v>162675</v>
      </c>
      <c r="M20" s="290">
        <f>9.65*M19</f>
        <v>0</v>
      </c>
      <c r="N20" s="290">
        <f>N19*48.2</f>
        <v>4820</v>
      </c>
      <c r="O20" s="290">
        <f>241*O19</f>
        <v>0</v>
      </c>
      <c r="P20" s="290">
        <f>241*P19</f>
        <v>181955</v>
      </c>
      <c r="Q20" s="2286">
        <f>241*Q19</f>
        <v>0</v>
      </c>
      <c r="R20" s="2287"/>
      <c r="S20" s="290">
        <f>241*S19</f>
        <v>0</v>
      </c>
      <c r="T20" s="2257"/>
      <c r="U20" s="49" t="s">
        <v>59</v>
      </c>
      <c r="V20" s="2262"/>
      <c r="W20" s="2262"/>
      <c r="X20" s="2262"/>
      <c r="Y20" s="2269"/>
    </row>
    <row r="21" spans="1:25" ht="32.25" customHeight="1" x14ac:dyDescent="0.25">
      <c r="A21" s="291" t="s">
        <v>186</v>
      </c>
      <c r="B21" s="2293">
        <f>SUM(B20:S20)</f>
        <v>1559437.4875</v>
      </c>
      <c r="C21" s="2293"/>
      <c r="O21" s="491"/>
      <c r="P21" s="491"/>
      <c r="Q21" s="491"/>
      <c r="R21" s="491"/>
      <c r="T21" s="2294"/>
      <c r="U21" s="2295"/>
      <c r="V21" s="2297"/>
      <c r="W21" s="2298"/>
      <c r="X21" s="2299"/>
      <c r="Y21" s="2269"/>
    </row>
    <row r="22" spans="1:25" ht="35.25" customHeight="1" x14ac:dyDescent="0.25">
      <c r="A22" s="15"/>
      <c r="B22" s="2288" t="s">
        <v>49</v>
      </c>
      <c r="C22" s="2291">
        <v>1770785</v>
      </c>
      <c r="D22" s="2291">
        <v>300000</v>
      </c>
      <c r="E22" s="2291">
        <v>25000</v>
      </c>
      <c r="F22" s="2291">
        <f>C22-D22+E22</f>
        <v>1495785</v>
      </c>
      <c r="G22" s="491"/>
      <c r="Q22" s="491"/>
      <c r="R22" s="491"/>
      <c r="T22" s="2251" t="s">
        <v>83</v>
      </c>
      <c r="U22" s="50" t="s">
        <v>60</v>
      </c>
      <c r="V22" s="2262">
        <v>378970</v>
      </c>
      <c r="W22" s="2262"/>
      <c r="X22" s="2262"/>
      <c r="Y22" s="2269"/>
    </row>
    <row r="23" spans="1:25" ht="39.75" customHeight="1" x14ac:dyDescent="0.25">
      <c r="A23" s="491"/>
      <c r="B23" s="2289"/>
      <c r="C23" s="2292"/>
      <c r="D23" s="2292"/>
      <c r="E23" s="2292"/>
      <c r="F23" s="2292"/>
      <c r="G23" s="491"/>
      <c r="Q23" s="491"/>
      <c r="R23" s="491"/>
      <c r="T23" s="2252"/>
      <c r="U23" s="50" t="s">
        <v>61</v>
      </c>
      <c r="V23" s="2262">
        <v>300000</v>
      </c>
      <c r="W23" s="2262"/>
      <c r="X23" s="2262"/>
      <c r="Y23" s="2269"/>
    </row>
    <row r="24" spans="1:25" ht="48" customHeight="1" x14ac:dyDescent="0.25">
      <c r="A24" s="491"/>
      <c r="B24" s="2290"/>
      <c r="C24" s="290" t="s">
        <v>46</v>
      </c>
      <c r="D24" s="290" t="s">
        <v>50</v>
      </c>
      <c r="E24" s="290" t="s">
        <v>51</v>
      </c>
      <c r="F24" s="290" t="s">
        <v>52</v>
      </c>
      <c r="G24" s="491"/>
      <c r="Q24" s="491"/>
      <c r="R24" s="491"/>
      <c r="T24" s="2235" t="s">
        <v>47</v>
      </c>
      <c r="U24" s="51" t="s">
        <v>62</v>
      </c>
      <c r="V24" s="2263">
        <f>V14+V16+V17-V18-V19-V20-V22+V23-V21</f>
        <v>38379.947500000009</v>
      </c>
      <c r="W24" s="2263"/>
      <c r="X24" s="2263"/>
      <c r="Y24" s="2269"/>
    </row>
    <row r="25" spans="1:25" ht="40.5" customHeight="1" x14ac:dyDescent="0.25">
      <c r="T25" s="2235"/>
      <c r="U25" s="51" t="s">
        <v>63</v>
      </c>
      <c r="V25" s="2262">
        <f>V15+V22-V23</f>
        <v>280312</v>
      </c>
      <c r="W25" s="2262"/>
      <c r="X25" s="2262"/>
    </row>
    <row r="26" spans="1:25" ht="36" customHeight="1" x14ac:dyDescent="0.25">
      <c r="K26" s="314"/>
    </row>
    <row r="32" spans="1:25" x14ac:dyDescent="0.25">
      <c r="I32" s="2280"/>
      <c r="J32" s="2280"/>
      <c r="K32" s="2280"/>
      <c r="L32" s="2280"/>
    </row>
    <row r="33" spans="9:12" x14ac:dyDescent="0.25">
      <c r="I33" s="491"/>
      <c r="J33" s="491"/>
      <c r="K33" s="2280"/>
      <c r="L33" s="2280"/>
    </row>
  </sheetData>
  <mergeCells count="62">
    <mergeCell ref="I32:J32"/>
    <mergeCell ref="K32:L32"/>
    <mergeCell ref="K33:L33"/>
    <mergeCell ref="T22:T23"/>
    <mergeCell ref="V22:X22"/>
    <mergeCell ref="V23:X23"/>
    <mergeCell ref="T24:T25"/>
    <mergeCell ref="V24:X24"/>
    <mergeCell ref="V25:X25"/>
    <mergeCell ref="Y18:Y24"/>
    <mergeCell ref="B19:C19"/>
    <mergeCell ref="Q19:R19"/>
    <mergeCell ref="T19:T20"/>
    <mergeCell ref="V19:X19"/>
    <mergeCell ref="B20:C20"/>
    <mergeCell ref="B22:B24"/>
    <mergeCell ref="C22:C23"/>
    <mergeCell ref="D22:D23"/>
    <mergeCell ref="E22:E23"/>
    <mergeCell ref="F22:F23"/>
    <mergeCell ref="Q20:R20"/>
    <mergeCell ref="V20:X20"/>
    <mergeCell ref="B21:C21"/>
    <mergeCell ref="T21:U21"/>
    <mergeCell ref="V21:X21"/>
    <mergeCell ref="B17:C17"/>
    <mergeCell ref="Q17:R17"/>
    <mergeCell ref="T17:U17"/>
    <mergeCell ref="V17:X17"/>
    <mergeCell ref="B18:C18"/>
    <mergeCell ref="Q18:R18"/>
    <mergeCell ref="T18:U18"/>
    <mergeCell ref="V18:X18"/>
    <mergeCell ref="W4:X4"/>
    <mergeCell ref="B16:C16"/>
    <mergeCell ref="Q16:R16"/>
    <mergeCell ref="T16:U16"/>
    <mergeCell ref="V16:X16"/>
    <mergeCell ref="A12:B12"/>
    <mergeCell ref="B14:C14"/>
    <mergeCell ref="Q14:R14"/>
    <mergeCell ref="T14:T15"/>
    <mergeCell ref="V14:X14"/>
    <mergeCell ref="B15:C15"/>
    <mergeCell ref="Q15:R15"/>
    <mergeCell ref="V15:X15"/>
    <mergeCell ref="A1:Y1"/>
    <mergeCell ref="A2:Y2"/>
    <mergeCell ref="T3:Y3"/>
    <mergeCell ref="A4:A5"/>
    <mergeCell ref="B4:B5"/>
    <mergeCell ref="C4:D4"/>
    <mergeCell ref="E4:F4"/>
    <mergeCell ref="G4:H4"/>
    <mergeCell ref="I4:J4"/>
    <mergeCell ref="K4:L4"/>
    <mergeCell ref="Y4:Y5"/>
    <mergeCell ref="M4:N4"/>
    <mergeCell ref="O4:P4"/>
    <mergeCell ref="Q4:R4"/>
    <mergeCell ref="S4:T4"/>
    <mergeCell ref="U4:V4"/>
  </mergeCells>
  <pageMargins left="0.15748031496063" right="0.15748031496063" top="0" bottom="0" header="0" footer="0"/>
  <pageSetup paperSize="9" scale="47" orientation="landscape" r:id="rId1"/>
</worksheet>
</file>

<file path=xl/worksheets/sheet1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2AD1001-0766-4D64-BF6C-F6F44B463537}">
  <sheetPr>
    <pageSetUpPr fitToPage="1"/>
  </sheetPr>
  <dimension ref="A1:Y33"/>
  <sheetViews>
    <sheetView topLeftCell="D10" zoomScale="70" zoomScaleNormal="70" zoomScaleSheetLayoutView="100" workbookViewId="0">
      <selection activeCell="T18" sqref="T18:U18"/>
    </sheetView>
  </sheetViews>
  <sheetFormatPr defaultColWidth="9.140625" defaultRowHeight="15" x14ac:dyDescent="0.25"/>
  <cols>
    <col min="1" max="1" width="18.28515625" style="14" customWidth="1"/>
    <col min="2" max="2" width="10.7109375" style="14" customWidth="1"/>
    <col min="3" max="3" width="12.28515625" style="14" customWidth="1"/>
    <col min="4" max="4" width="13.140625" style="14" bestFit="1" customWidth="1"/>
    <col min="5" max="5" width="12" style="14" customWidth="1"/>
    <col min="6" max="6" width="12.5703125" style="14" bestFit="1" customWidth="1"/>
    <col min="7" max="7" width="9.28515625" style="14" bestFit="1" customWidth="1"/>
    <col min="8" max="8" width="10.140625" style="14" bestFit="1" customWidth="1"/>
    <col min="9" max="9" width="10.5703125" style="14" bestFit="1" customWidth="1"/>
    <col min="10" max="10" width="10.5703125" style="14" customWidth="1"/>
    <col min="11" max="11" width="10.28515625" style="14" bestFit="1" customWidth="1"/>
    <col min="12" max="12" width="10.42578125" style="14" bestFit="1" customWidth="1"/>
    <col min="13" max="13" width="9.85546875" style="14" bestFit="1" customWidth="1"/>
    <col min="14" max="14" width="10.140625" style="14" bestFit="1" customWidth="1"/>
    <col min="15" max="15" width="9" style="14" customWidth="1"/>
    <col min="16" max="16" width="12.85546875" style="14" bestFit="1" customWidth="1"/>
    <col min="17" max="18" width="9.42578125" style="14" customWidth="1"/>
    <col min="19" max="19" width="13.7109375" style="14" customWidth="1"/>
    <col min="20" max="20" width="12.140625" style="14" customWidth="1"/>
    <col min="21" max="21" width="19.5703125" style="14" bestFit="1" customWidth="1"/>
    <col min="22" max="22" width="9.85546875" style="14" customWidth="1"/>
    <col min="23" max="23" width="10.140625" style="14" bestFit="1" customWidth="1"/>
    <col min="24" max="24" width="10.28515625" style="14" customWidth="1"/>
    <col min="25" max="25" width="28" style="14" customWidth="1"/>
    <col min="26" max="16384" width="9.140625" style="14"/>
  </cols>
  <sheetData>
    <row r="1" spans="1:25" ht="46.15" customHeight="1" x14ac:dyDescent="0.25">
      <c r="A1" s="2240" t="s">
        <v>148</v>
      </c>
      <c r="B1" s="2240"/>
      <c r="C1" s="2240"/>
      <c r="D1" s="2240"/>
      <c r="E1" s="2240"/>
      <c r="F1" s="2240"/>
      <c r="G1" s="2240"/>
      <c r="H1" s="2240"/>
      <c r="I1" s="2240"/>
      <c r="J1" s="2240"/>
      <c r="K1" s="2240"/>
      <c r="L1" s="2240"/>
      <c r="M1" s="2240"/>
      <c r="N1" s="2240"/>
      <c r="O1" s="2240"/>
      <c r="P1" s="2240"/>
      <c r="Q1" s="2240"/>
      <c r="R1" s="2240"/>
      <c r="S1" s="2240"/>
      <c r="T1" s="2240"/>
      <c r="U1" s="2240"/>
      <c r="V1" s="2240"/>
      <c r="W1" s="2240"/>
      <c r="X1" s="2240"/>
      <c r="Y1" s="2240"/>
    </row>
    <row r="2" spans="1:25" ht="21.6" customHeight="1" x14ac:dyDescent="0.25">
      <c r="A2" s="2241" t="s">
        <v>77</v>
      </c>
      <c r="B2" s="2241"/>
      <c r="C2" s="2241"/>
      <c r="D2" s="2241"/>
      <c r="E2" s="2241"/>
      <c r="F2" s="2241"/>
      <c r="G2" s="2241"/>
      <c r="H2" s="2241"/>
      <c r="I2" s="2241"/>
      <c r="J2" s="2241"/>
      <c r="K2" s="2241"/>
      <c r="L2" s="2241"/>
      <c r="M2" s="2241"/>
      <c r="N2" s="2241"/>
      <c r="O2" s="2241"/>
      <c r="P2" s="2241"/>
      <c r="Q2" s="2241"/>
      <c r="R2" s="2241"/>
      <c r="S2" s="2241"/>
      <c r="T2" s="2241"/>
      <c r="U2" s="2241"/>
      <c r="V2" s="2241"/>
      <c r="W2" s="2241"/>
      <c r="X2" s="2241"/>
      <c r="Y2" s="2241"/>
    </row>
    <row r="3" spans="1:25" ht="21" customHeight="1" x14ac:dyDescent="0.25">
      <c r="A3" s="497"/>
      <c r="B3" s="497"/>
      <c r="C3" s="497"/>
      <c r="D3" s="497"/>
      <c r="E3" s="497"/>
      <c r="F3" s="497"/>
      <c r="G3" s="497"/>
      <c r="H3" s="497"/>
      <c r="I3" s="497"/>
      <c r="J3" s="497"/>
      <c r="K3" s="497"/>
      <c r="L3" s="497"/>
      <c r="M3" s="497"/>
      <c r="N3" s="497"/>
      <c r="O3" s="497"/>
      <c r="P3" s="497"/>
      <c r="Q3" s="497"/>
      <c r="R3" s="497"/>
      <c r="S3" s="497"/>
      <c r="T3" s="2242" t="s">
        <v>347</v>
      </c>
      <c r="U3" s="2242"/>
      <c r="V3" s="2242"/>
      <c r="W3" s="2242"/>
      <c r="X3" s="2242"/>
      <c r="Y3" s="2242"/>
    </row>
    <row r="4" spans="1:25" s="497" customFormat="1" ht="18" customHeight="1" x14ac:dyDescent="0.25">
      <c r="A4" s="2243" t="s">
        <v>25</v>
      </c>
      <c r="B4" s="2243" t="s">
        <v>26</v>
      </c>
      <c r="C4" s="2244" t="s">
        <v>27</v>
      </c>
      <c r="D4" s="2244"/>
      <c r="E4" s="2244" t="s">
        <v>342</v>
      </c>
      <c r="F4" s="2244"/>
      <c r="G4" s="2244" t="s">
        <v>65</v>
      </c>
      <c r="H4" s="2244"/>
      <c r="I4" s="2244" t="s">
        <v>29</v>
      </c>
      <c r="J4" s="2244"/>
      <c r="K4" s="2245" t="s">
        <v>13</v>
      </c>
      <c r="L4" s="2246"/>
      <c r="M4" s="2245" t="s">
        <v>67</v>
      </c>
      <c r="N4" s="2246"/>
      <c r="O4" s="2245" t="s">
        <v>68</v>
      </c>
      <c r="P4" s="2246"/>
      <c r="Q4" s="2245" t="s">
        <v>114</v>
      </c>
      <c r="R4" s="2246"/>
      <c r="S4" s="2244" t="s">
        <v>35</v>
      </c>
      <c r="T4" s="2244"/>
      <c r="U4" s="2245" t="s">
        <v>17</v>
      </c>
      <c r="V4" s="2246"/>
      <c r="W4" s="2247" t="s">
        <v>36</v>
      </c>
      <c r="X4" s="2248"/>
      <c r="Y4" s="2238" t="s">
        <v>30</v>
      </c>
    </row>
    <row r="5" spans="1:25" s="497" customFormat="1" ht="25.5" customHeight="1" x14ac:dyDescent="0.25">
      <c r="A5" s="2243"/>
      <c r="B5" s="2243"/>
      <c r="C5" s="496" t="s">
        <v>42</v>
      </c>
      <c r="D5" s="496" t="s">
        <v>43</v>
      </c>
      <c r="E5" s="496" t="s">
        <v>42</v>
      </c>
      <c r="F5" s="496" t="s">
        <v>43</v>
      </c>
      <c r="G5" s="496" t="s">
        <v>42</v>
      </c>
      <c r="H5" s="496" t="s">
        <v>43</v>
      </c>
      <c r="I5" s="496" t="s">
        <v>42</v>
      </c>
      <c r="J5" s="496" t="s">
        <v>43</v>
      </c>
      <c r="K5" s="496" t="s">
        <v>42</v>
      </c>
      <c r="L5" s="496" t="s">
        <v>43</v>
      </c>
      <c r="M5" s="496" t="s">
        <v>42</v>
      </c>
      <c r="N5" s="496" t="s">
        <v>43</v>
      </c>
      <c r="O5" s="496" t="s">
        <v>42</v>
      </c>
      <c r="P5" s="496" t="s">
        <v>43</v>
      </c>
      <c r="Q5" s="496" t="s">
        <v>42</v>
      </c>
      <c r="R5" s="496" t="s">
        <v>43</v>
      </c>
      <c r="S5" s="33" t="s">
        <v>42</v>
      </c>
      <c r="T5" s="33" t="s">
        <v>43</v>
      </c>
      <c r="U5" s="30" t="s">
        <v>42</v>
      </c>
      <c r="V5" s="30" t="s">
        <v>43</v>
      </c>
      <c r="W5" s="30" t="s">
        <v>42</v>
      </c>
      <c r="X5" s="30" t="s">
        <v>43</v>
      </c>
      <c r="Y5" s="2239"/>
    </row>
    <row r="6" spans="1:25" ht="34.5" customHeight="1" x14ac:dyDescent="0.25">
      <c r="A6" s="12">
        <v>1409935200</v>
      </c>
      <c r="B6" s="495" t="s">
        <v>71</v>
      </c>
      <c r="C6" s="493">
        <v>47947</v>
      </c>
      <c r="D6" s="492">
        <f>0.9725*C6</f>
        <v>46628.457500000004</v>
      </c>
      <c r="E6" s="493">
        <v>20</v>
      </c>
      <c r="F6" s="493">
        <f>67.1*E6</f>
        <v>1342</v>
      </c>
      <c r="G6" s="493">
        <v>80</v>
      </c>
      <c r="H6" s="493">
        <f>28.2*G6</f>
        <v>2256</v>
      </c>
      <c r="I6" s="493">
        <v>1600</v>
      </c>
      <c r="J6" s="493">
        <f>18.5*I6</f>
        <v>29600</v>
      </c>
      <c r="K6" s="493"/>
      <c r="L6" s="493">
        <f>19.5*K6</f>
        <v>0</v>
      </c>
      <c r="M6" s="493"/>
      <c r="N6" s="492">
        <f>M6*9.75</f>
        <v>0</v>
      </c>
      <c r="O6" s="493"/>
      <c r="P6" s="492">
        <f>O6*48.62</f>
        <v>0</v>
      </c>
      <c r="Q6" s="492"/>
      <c r="R6" s="492">
        <f>241*Q6</f>
        <v>0</v>
      </c>
      <c r="S6" s="493"/>
      <c r="T6" s="493">
        <f>241*S6</f>
        <v>0</v>
      </c>
      <c r="U6" s="493"/>
      <c r="V6" s="493">
        <f>232*U6</f>
        <v>0</v>
      </c>
      <c r="W6" s="493"/>
      <c r="X6" s="19">
        <f>W6*100</f>
        <v>0</v>
      </c>
      <c r="Y6" s="89">
        <f t="shared" ref="Y6:Y11" si="0">D6+F6+H6+J6+L6+N6+P6+R6+T6+V6+X6</f>
        <v>79826.457500000004</v>
      </c>
    </row>
    <row r="7" spans="1:25" ht="31.5" customHeight="1" x14ac:dyDescent="0.25">
      <c r="A7" s="12">
        <v>1984225578</v>
      </c>
      <c r="B7" s="495" t="s">
        <v>72</v>
      </c>
      <c r="C7" s="493">
        <v>130892</v>
      </c>
      <c r="D7" s="492">
        <f t="shared" ref="D7:D11" si="1">0.9725*C7</f>
        <v>127292.47</v>
      </c>
      <c r="E7" s="493"/>
      <c r="F7" s="493">
        <f t="shared" ref="F7:F11" si="2">67.1*E7</f>
        <v>0</v>
      </c>
      <c r="G7" s="493">
        <v>80</v>
      </c>
      <c r="H7" s="493">
        <f t="shared" ref="H7:H11" si="3">28.2*G7</f>
        <v>2256</v>
      </c>
      <c r="I7" s="493">
        <v>340</v>
      </c>
      <c r="J7" s="493">
        <f t="shared" ref="J7:J11" si="4">18.5*I7</f>
        <v>6290</v>
      </c>
      <c r="K7" s="493"/>
      <c r="L7" s="493">
        <f t="shared" ref="L7:L11" si="5">19.5*K7</f>
        <v>0</v>
      </c>
      <c r="M7" s="493"/>
      <c r="N7" s="492">
        <f t="shared" ref="N7:N11" si="6">M7*9.75</f>
        <v>0</v>
      </c>
      <c r="O7" s="493"/>
      <c r="P7" s="492">
        <f t="shared" ref="P7:P11" si="7">O7*48.62</f>
        <v>0</v>
      </c>
      <c r="Q7" s="492"/>
      <c r="R7" s="492">
        <f t="shared" ref="R7:R11" si="8">241*Q7</f>
        <v>0</v>
      </c>
      <c r="S7" s="493"/>
      <c r="T7" s="493">
        <f t="shared" ref="T7:T11" si="9">241*S7</f>
        <v>0</v>
      </c>
      <c r="U7" s="493">
        <v>10</v>
      </c>
      <c r="V7" s="493">
        <f t="shared" ref="V7:V11" si="10">232*U7</f>
        <v>2320</v>
      </c>
      <c r="W7" s="493"/>
      <c r="X7" s="19">
        <f t="shared" ref="X7:X11" si="11">W7*100</f>
        <v>0</v>
      </c>
      <c r="Y7" s="89">
        <f t="shared" si="0"/>
        <v>138158.47</v>
      </c>
    </row>
    <row r="8" spans="1:25" ht="35.25" customHeight="1" x14ac:dyDescent="0.25">
      <c r="A8" s="12">
        <v>1967020280</v>
      </c>
      <c r="B8" s="495" t="s">
        <v>73</v>
      </c>
      <c r="C8" s="493">
        <v>28709</v>
      </c>
      <c r="D8" s="492">
        <f t="shared" si="1"/>
        <v>27919.502500000002</v>
      </c>
      <c r="E8" s="493"/>
      <c r="F8" s="493">
        <f t="shared" si="2"/>
        <v>0</v>
      </c>
      <c r="G8" s="493">
        <v>30</v>
      </c>
      <c r="H8" s="493">
        <f t="shared" si="3"/>
        <v>846</v>
      </c>
      <c r="I8" s="493">
        <v>1600</v>
      </c>
      <c r="J8" s="493">
        <f t="shared" si="4"/>
        <v>29600</v>
      </c>
      <c r="K8" s="493"/>
      <c r="L8" s="493">
        <f t="shared" si="5"/>
        <v>0</v>
      </c>
      <c r="M8" s="493"/>
      <c r="N8" s="492">
        <f t="shared" si="6"/>
        <v>0</v>
      </c>
      <c r="O8" s="493"/>
      <c r="P8" s="492">
        <f t="shared" si="7"/>
        <v>0</v>
      </c>
      <c r="Q8" s="492"/>
      <c r="R8" s="492">
        <f t="shared" si="8"/>
        <v>0</v>
      </c>
      <c r="S8" s="493"/>
      <c r="T8" s="493">
        <f t="shared" si="9"/>
        <v>0</v>
      </c>
      <c r="U8" s="493"/>
      <c r="V8" s="493">
        <f t="shared" si="10"/>
        <v>0</v>
      </c>
      <c r="W8" s="493"/>
      <c r="X8" s="19">
        <f t="shared" si="11"/>
        <v>0</v>
      </c>
      <c r="Y8" s="89">
        <f t="shared" si="0"/>
        <v>58365.502500000002</v>
      </c>
    </row>
    <row r="9" spans="1:25" ht="38.25" customHeight="1" x14ac:dyDescent="0.25">
      <c r="A9" s="12">
        <v>1984225580</v>
      </c>
      <c r="B9" s="495" t="s">
        <v>75</v>
      </c>
      <c r="C9" s="493">
        <v>24001</v>
      </c>
      <c r="D9" s="492">
        <f t="shared" si="1"/>
        <v>23340.9725</v>
      </c>
      <c r="E9" s="493"/>
      <c r="F9" s="493">
        <f t="shared" si="2"/>
        <v>0</v>
      </c>
      <c r="G9" s="493"/>
      <c r="H9" s="493">
        <f t="shared" si="3"/>
        <v>0</v>
      </c>
      <c r="I9" s="493">
        <v>3820</v>
      </c>
      <c r="J9" s="493">
        <f t="shared" si="4"/>
        <v>70670</v>
      </c>
      <c r="K9" s="493"/>
      <c r="L9" s="493">
        <f t="shared" si="5"/>
        <v>0</v>
      </c>
      <c r="M9" s="493"/>
      <c r="N9" s="492">
        <f t="shared" si="6"/>
        <v>0</v>
      </c>
      <c r="O9" s="493"/>
      <c r="P9" s="492">
        <f t="shared" si="7"/>
        <v>0</v>
      </c>
      <c r="Q9" s="492"/>
      <c r="R9" s="492">
        <f t="shared" si="8"/>
        <v>0</v>
      </c>
      <c r="S9" s="493">
        <v>5</v>
      </c>
      <c r="T9" s="493">
        <f t="shared" si="9"/>
        <v>1205</v>
      </c>
      <c r="U9" s="493">
        <v>5</v>
      </c>
      <c r="V9" s="493">
        <f t="shared" si="10"/>
        <v>1160</v>
      </c>
      <c r="W9" s="493"/>
      <c r="X9" s="19">
        <f t="shared" si="11"/>
        <v>0</v>
      </c>
      <c r="Y9" s="89">
        <f t="shared" si="0"/>
        <v>96375.972500000003</v>
      </c>
    </row>
    <row r="10" spans="1:25" ht="35.25" customHeight="1" x14ac:dyDescent="0.25">
      <c r="A10" s="12">
        <v>1409935199</v>
      </c>
      <c r="C10" s="493"/>
      <c r="D10" s="492">
        <f t="shared" si="1"/>
        <v>0</v>
      </c>
      <c r="E10" s="493"/>
      <c r="F10" s="493">
        <f t="shared" si="2"/>
        <v>0</v>
      </c>
      <c r="G10" s="493">
        <v>290</v>
      </c>
      <c r="H10" s="493">
        <f t="shared" si="3"/>
        <v>8178</v>
      </c>
      <c r="I10" s="493"/>
      <c r="J10" s="493">
        <f t="shared" si="4"/>
        <v>0</v>
      </c>
      <c r="K10" s="493"/>
      <c r="L10" s="493">
        <f t="shared" si="5"/>
        <v>0</v>
      </c>
      <c r="M10" s="493"/>
      <c r="N10" s="492">
        <f t="shared" si="6"/>
        <v>0</v>
      </c>
      <c r="O10" s="493"/>
      <c r="P10" s="492">
        <f t="shared" si="7"/>
        <v>0</v>
      </c>
      <c r="Q10" s="492"/>
      <c r="R10" s="492">
        <f t="shared" si="8"/>
        <v>0</v>
      </c>
      <c r="S10" s="493"/>
      <c r="T10" s="493">
        <f t="shared" si="9"/>
        <v>0</v>
      </c>
      <c r="U10" s="493"/>
      <c r="V10" s="493">
        <f t="shared" si="10"/>
        <v>0</v>
      </c>
      <c r="W10" s="493"/>
      <c r="X10" s="19">
        <f t="shared" si="11"/>
        <v>0</v>
      </c>
      <c r="Y10" s="89">
        <f t="shared" si="0"/>
        <v>8178</v>
      </c>
    </row>
    <row r="11" spans="1:25" ht="37.5" customHeight="1" x14ac:dyDescent="0.25">
      <c r="A11" s="12"/>
      <c r="B11" s="494"/>
      <c r="C11" s="493"/>
      <c r="D11" s="22">
        <f t="shared" si="1"/>
        <v>0</v>
      </c>
      <c r="E11" s="493"/>
      <c r="F11" s="493">
        <f t="shared" si="2"/>
        <v>0</v>
      </c>
      <c r="G11" s="493"/>
      <c r="H11" s="493">
        <f t="shared" si="3"/>
        <v>0</v>
      </c>
      <c r="I11" s="493"/>
      <c r="J11" s="493">
        <f t="shared" si="4"/>
        <v>0</v>
      </c>
      <c r="K11" s="493"/>
      <c r="L11" s="493">
        <f t="shared" si="5"/>
        <v>0</v>
      </c>
      <c r="M11" s="493"/>
      <c r="N11" s="492">
        <f t="shared" si="6"/>
        <v>0</v>
      </c>
      <c r="O11" s="493"/>
      <c r="P11" s="492">
        <f t="shared" si="7"/>
        <v>0</v>
      </c>
      <c r="Q11" s="492"/>
      <c r="R11" s="492">
        <f t="shared" si="8"/>
        <v>0</v>
      </c>
      <c r="S11" s="493"/>
      <c r="T11" s="493">
        <f t="shared" si="9"/>
        <v>0</v>
      </c>
      <c r="U11" s="493"/>
      <c r="V11" s="493">
        <f t="shared" si="10"/>
        <v>0</v>
      </c>
      <c r="W11" s="493"/>
      <c r="X11" s="19">
        <f t="shared" si="11"/>
        <v>0</v>
      </c>
      <c r="Y11" s="20">
        <f t="shared" si="0"/>
        <v>0</v>
      </c>
    </row>
    <row r="12" spans="1:25" ht="29.25" customHeight="1" x14ac:dyDescent="0.25">
      <c r="A12" s="2235" t="s">
        <v>31</v>
      </c>
      <c r="B12" s="2235"/>
      <c r="C12" s="18">
        <f t="shared" ref="C12:Y12" si="12">SUM(C6:C11)</f>
        <v>231549</v>
      </c>
      <c r="D12" s="18">
        <f t="shared" si="12"/>
        <v>225181.4025</v>
      </c>
      <c r="E12" s="18">
        <f t="shared" si="12"/>
        <v>20</v>
      </c>
      <c r="F12" s="18">
        <f t="shared" si="12"/>
        <v>1342</v>
      </c>
      <c r="G12" s="18">
        <f t="shared" si="12"/>
        <v>480</v>
      </c>
      <c r="H12" s="18">
        <f t="shared" si="12"/>
        <v>13536</v>
      </c>
      <c r="I12" s="18">
        <f t="shared" si="12"/>
        <v>7360</v>
      </c>
      <c r="J12" s="18">
        <f t="shared" si="12"/>
        <v>136160</v>
      </c>
      <c r="K12" s="18">
        <f t="shared" si="12"/>
        <v>0</v>
      </c>
      <c r="L12" s="18">
        <f t="shared" si="12"/>
        <v>0</v>
      </c>
      <c r="M12" s="18">
        <f t="shared" si="12"/>
        <v>0</v>
      </c>
      <c r="N12" s="23">
        <f t="shared" si="12"/>
        <v>0</v>
      </c>
      <c r="O12" s="18">
        <f t="shared" si="12"/>
        <v>0</v>
      </c>
      <c r="P12" s="23">
        <f t="shared" si="12"/>
        <v>0</v>
      </c>
      <c r="Q12" s="23">
        <f t="shared" si="12"/>
        <v>0</v>
      </c>
      <c r="R12" s="23">
        <f>SUM(R6:R11)</f>
        <v>0</v>
      </c>
      <c r="S12" s="18">
        <f t="shared" si="12"/>
        <v>5</v>
      </c>
      <c r="T12" s="18">
        <f t="shared" si="12"/>
        <v>1205</v>
      </c>
      <c r="U12" s="18">
        <f t="shared" si="12"/>
        <v>15</v>
      </c>
      <c r="V12" s="18">
        <f t="shared" si="12"/>
        <v>3480</v>
      </c>
      <c r="W12" s="18">
        <f t="shared" si="12"/>
        <v>0</v>
      </c>
      <c r="X12" s="18">
        <f t="shared" si="12"/>
        <v>0</v>
      </c>
      <c r="Y12" s="18">
        <f t="shared" si="12"/>
        <v>380904.40249999997</v>
      </c>
    </row>
    <row r="14" spans="1:25" ht="41.25" customHeight="1" x14ac:dyDescent="0.25">
      <c r="A14" s="30" t="s">
        <v>32</v>
      </c>
      <c r="B14" s="2236" t="s">
        <v>27</v>
      </c>
      <c r="C14" s="2236"/>
      <c r="D14" s="30" t="s">
        <v>333</v>
      </c>
      <c r="E14" s="30" t="s">
        <v>65</v>
      </c>
      <c r="F14" s="30" t="s">
        <v>34</v>
      </c>
      <c r="G14" s="30" t="s">
        <v>13</v>
      </c>
      <c r="H14" s="469" t="s">
        <v>173</v>
      </c>
      <c r="I14" s="30" t="s">
        <v>17</v>
      </c>
      <c r="J14" s="501" t="s">
        <v>174</v>
      </c>
      <c r="K14" s="30" t="s">
        <v>36</v>
      </c>
      <c r="L14" s="30" t="s">
        <v>175</v>
      </c>
      <c r="M14" s="30" t="s">
        <v>69</v>
      </c>
      <c r="N14" s="30" t="s">
        <v>70</v>
      </c>
      <c r="O14" s="501" t="s">
        <v>114</v>
      </c>
      <c r="P14" s="501" t="s">
        <v>339</v>
      </c>
      <c r="Q14" s="2272"/>
      <c r="R14" s="2272"/>
      <c r="S14" s="501"/>
      <c r="T14" s="2235" t="s">
        <v>46</v>
      </c>
      <c r="U14" s="495" t="s">
        <v>176</v>
      </c>
      <c r="V14" s="2260">
        <v>38695</v>
      </c>
      <c r="W14" s="2268"/>
      <c r="X14" s="2261"/>
    </row>
    <row r="15" spans="1:25" ht="22.5" customHeight="1" x14ac:dyDescent="0.25">
      <c r="A15" s="100" t="s">
        <v>38</v>
      </c>
      <c r="B15" s="2260">
        <v>316235</v>
      </c>
      <c r="C15" s="2261"/>
      <c r="D15" s="498">
        <v>1280</v>
      </c>
      <c r="E15" s="498">
        <v>7000</v>
      </c>
      <c r="F15" s="498">
        <v>11550</v>
      </c>
      <c r="G15" s="498">
        <v>0</v>
      </c>
      <c r="H15" s="498">
        <v>1427</v>
      </c>
      <c r="I15" s="498">
        <v>98</v>
      </c>
      <c r="J15" s="498">
        <v>165</v>
      </c>
      <c r="K15" s="498">
        <v>62</v>
      </c>
      <c r="L15" s="498">
        <v>675</v>
      </c>
      <c r="M15" s="498">
        <v>0</v>
      </c>
      <c r="N15" s="498">
        <v>100</v>
      </c>
      <c r="O15" s="498">
        <v>0</v>
      </c>
      <c r="P15" s="498">
        <v>755</v>
      </c>
      <c r="Q15" s="2262"/>
      <c r="R15" s="2262"/>
      <c r="S15" s="495">
        <v>0</v>
      </c>
      <c r="T15" s="2235"/>
      <c r="U15" s="495" t="s">
        <v>64</v>
      </c>
      <c r="V15" s="2262">
        <v>280312</v>
      </c>
      <c r="W15" s="2262"/>
      <c r="X15" s="2262"/>
    </row>
    <row r="16" spans="1:25" ht="24.75" customHeight="1" x14ac:dyDescent="0.25">
      <c r="A16" s="100" t="s">
        <v>39</v>
      </c>
      <c r="B16" s="2260">
        <v>415584</v>
      </c>
      <c r="C16" s="2261"/>
      <c r="D16" s="498"/>
      <c r="E16" s="498"/>
      <c r="F16" s="498"/>
      <c r="G16" s="498"/>
      <c r="H16" s="498"/>
      <c r="I16" s="498"/>
      <c r="J16" s="498"/>
      <c r="K16" s="498"/>
      <c r="L16" s="498"/>
      <c r="M16" s="498"/>
      <c r="N16" s="498"/>
      <c r="O16" s="498"/>
      <c r="P16" s="498"/>
      <c r="Q16" s="2225"/>
      <c r="R16" s="2225"/>
      <c r="S16" s="498"/>
      <c r="T16" s="2254" t="s">
        <v>55</v>
      </c>
      <c r="U16" s="2254"/>
      <c r="V16" s="2267">
        <f>Y12</f>
        <v>380904.40249999997</v>
      </c>
      <c r="W16" s="2267"/>
      <c r="X16" s="2262"/>
    </row>
    <row r="17" spans="1:25" ht="28.5" customHeight="1" x14ac:dyDescent="0.25">
      <c r="A17" s="101" t="s">
        <v>44</v>
      </c>
      <c r="B17" s="2260"/>
      <c r="C17" s="2261"/>
      <c r="D17" s="498"/>
      <c r="E17" s="498"/>
      <c r="F17" s="498"/>
      <c r="G17" s="498"/>
      <c r="H17" s="498"/>
      <c r="I17" s="498"/>
      <c r="J17" s="498"/>
      <c r="K17" s="498"/>
      <c r="L17" s="498"/>
      <c r="M17" s="498"/>
      <c r="N17" s="498"/>
      <c r="O17" s="498"/>
      <c r="P17" s="498"/>
      <c r="Q17" s="2225"/>
      <c r="R17" s="2225"/>
      <c r="S17" s="494"/>
      <c r="T17" s="2294" t="s">
        <v>296</v>
      </c>
      <c r="U17" s="2295"/>
      <c r="V17" s="2296">
        <v>200000</v>
      </c>
      <c r="W17" s="2296"/>
      <c r="X17" s="2296"/>
    </row>
    <row r="18" spans="1:25" ht="27" customHeight="1" x14ac:dyDescent="0.25">
      <c r="A18" s="100" t="s">
        <v>40</v>
      </c>
      <c r="B18" s="2264">
        <f>C12</f>
        <v>231549</v>
      </c>
      <c r="C18" s="2261"/>
      <c r="D18" s="500">
        <f>E12</f>
        <v>20</v>
      </c>
      <c r="E18" s="500">
        <f>G12</f>
        <v>480</v>
      </c>
      <c r="F18" s="500">
        <f>I12</f>
        <v>7360</v>
      </c>
      <c r="G18" s="500">
        <f>K12</f>
        <v>0</v>
      </c>
      <c r="H18" s="498">
        <v>5</v>
      </c>
      <c r="I18" s="500">
        <f>U12</f>
        <v>15</v>
      </c>
      <c r="J18" s="498"/>
      <c r="K18" s="500">
        <f>W12</f>
        <v>0</v>
      </c>
      <c r="L18" s="498"/>
      <c r="M18" s="500">
        <f>M12</f>
        <v>0</v>
      </c>
      <c r="N18" s="500">
        <f>O12</f>
        <v>0</v>
      </c>
      <c r="O18" s="499">
        <f>Q12</f>
        <v>0</v>
      </c>
      <c r="P18" s="498"/>
      <c r="Q18" s="2262"/>
      <c r="R18" s="2262"/>
      <c r="S18" s="495"/>
      <c r="T18" s="2254" t="s">
        <v>57</v>
      </c>
      <c r="U18" s="2254"/>
      <c r="V18" s="2262">
        <v>720</v>
      </c>
      <c r="W18" s="2262"/>
      <c r="X18" s="2262"/>
      <c r="Y18" s="2269"/>
    </row>
    <row r="19" spans="1:25" ht="25.5" customHeight="1" x14ac:dyDescent="0.25">
      <c r="A19" s="100" t="s">
        <v>41</v>
      </c>
      <c r="B19" s="2260">
        <f>B15+B16+B17-B18</f>
        <v>500270</v>
      </c>
      <c r="C19" s="2261"/>
      <c r="D19" s="498">
        <f>D15+D16+D17-D18</f>
        <v>1260</v>
      </c>
      <c r="E19" s="498">
        <f t="shared" ref="E19:N19" si="13">E15+E16+E17-E18</f>
        <v>6520</v>
      </c>
      <c r="F19" s="498">
        <f t="shared" si="13"/>
        <v>4190</v>
      </c>
      <c r="G19" s="498">
        <f t="shared" si="13"/>
        <v>0</v>
      </c>
      <c r="H19" s="498">
        <f t="shared" si="13"/>
        <v>1422</v>
      </c>
      <c r="I19" s="498">
        <f t="shared" si="13"/>
        <v>83</v>
      </c>
      <c r="J19" s="498">
        <f t="shared" si="13"/>
        <v>165</v>
      </c>
      <c r="K19" s="498">
        <f t="shared" si="13"/>
        <v>62</v>
      </c>
      <c r="L19" s="498">
        <f t="shared" si="13"/>
        <v>675</v>
      </c>
      <c r="M19" s="498">
        <f t="shared" si="13"/>
        <v>0</v>
      </c>
      <c r="N19" s="498">
        <f t="shared" si="13"/>
        <v>100</v>
      </c>
      <c r="O19" s="498">
        <f>O15+O16+O17-O18</f>
        <v>0</v>
      </c>
      <c r="P19" s="498">
        <f>P15+P16+P17-P18</f>
        <v>755</v>
      </c>
      <c r="Q19" s="2260">
        <f t="shared" ref="Q19" si="14">Q15+Q16+Q17-Q18</f>
        <v>0</v>
      </c>
      <c r="R19" s="2261"/>
      <c r="S19" s="495">
        <f>S15+S16-S17-S18</f>
        <v>0</v>
      </c>
      <c r="T19" s="2256" t="s">
        <v>48</v>
      </c>
      <c r="U19" s="49" t="s">
        <v>58</v>
      </c>
      <c r="V19" s="2262">
        <v>884685</v>
      </c>
      <c r="W19" s="2262"/>
      <c r="X19" s="2262"/>
      <c r="Y19" s="2269"/>
    </row>
    <row r="20" spans="1:25" ht="23.25" customHeight="1" x14ac:dyDescent="0.25">
      <c r="A20" s="289" t="s">
        <v>187</v>
      </c>
      <c r="B20" s="2286">
        <f>B19*0.9625</f>
        <v>481509.875</v>
      </c>
      <c r="C20" s="2287"/>
      <c r="D20" s="290">
        <f>D19*66.41</f>
        <v>83676.599999999991</v>
      </c>
      <c r="E20" s="290">
        <f>28.2*E19</f>
        <v>183864</v>
      </c>
      <c r="F20" s="290">
        <f>18.31*F19</f>
        <v>76718.899999999994</v>
      </c>
      <c r="G20" s="290">
        <f>19.3*G19</f>
        <v>0</v>
      </c>
      <c r="H20" s="290">
        <f>241*H19</f>
        <v>342702</v>
      </c>
      <c r="I20" s="290">
        <f>223*I19</f>
        <v>18509</v>
      </c>
      <c r="J20" s="290">
        <f>241*J19</f>
        <v>39765</v>
      </c>
      <c r="K20" s="290">
        <f>K19*100</f>
        <v>6200</v>
      </c>
      <c r="L20" s="290">
        <f>241*L19</f>
        <v>162675</v>
      </c>
      <c r="M20" s="290">
        <f>9.65*M19</f>
        <v>0</v>
      </c>
      <c r="N20" s="290">
        <f>N19*48.2</f>
        <v>4820</v>
      </c>
      <c r="O20" s="290">
        <f>241*O19</f>
        <v>0</v>
      </c>
      <c r="P20" s="290">
        <f>241*P19</f>
        <v>181955</v>
      </c>
      <c r="Q20" s="2286">
        <f>241*Q19</f>
        <v>0</v>
      </c>
      <c r="R20" s="2287"/>
      <c r="S20" s="290">
        <f>241*S19</f>
        <v>0</v>
      </c>
      <c r="T20" s="2257"/>
      <c r="U20" s="49" t="s">
        <v>59</v>
      </c>
      <c r="V20" s="2262"/>
      <c r="W20" s="2262"/>
      <c r="X20" s="2262"/>
      <c r="Y20" s="2269"/>
    </row>
    <row r="21" spans="1:25" ht="32.25" customHeight="1" x14ac:dyDescent="0.25">
      <c r="A21" s="291" t="s">
        <v>186</v>
      </c>
      <c r="B21" s="2293">
        <f>SUM(B20:S20)</f>
        <v>1582395.375</v>
      </c>
      <c r="C21" s="2293"/>
      <c r="O21" s="502"/>
      <c r="P21" s="502"/>
      <c r="Q21" s="502"/>
      <c r="R21" s="502"/>
      <c r="T21" s="2294"/>
      <c r="U21" s="2295"/>
      <c r="V21" s="2297"/>
      <c r="W21" s="2298"/>
      <c r="X21" s="2299"/>
      <c r="Y21" s="2269"/>
    </row>
    <row r="22" spans="1:25" ht="35.25" customHeight="1" x14ac:dyDescent="0.25">
      <c r="A22" s="15"/>
      <c r="B22" s="2288" t="s">
        <v>49</v>
      </c>
      <c r="C22" s="2291">
        <v>1495785</v>
      </c>
      <c r="D22" s="2291">
        <v>884685</v>
      </c>
      <c r="E22" s="2291">
        <v>400000</v>
      </c>
      <c r="F22" s="2291">
        <f>C22-D22+E22</f>
        <v>1011100</v>
      </c>
      <c r="G22" s="502"/>
      <c r="Q22" s="502"/>
      <c r="R22" s="502"/>
      <c r="T22" s="2251" t="s">
        <v>83</v>
      </c>
      <c r="U22" s="50" t="s">
        <v>60</v>
      </c>
      <c r="V22" s="2262">
        <v>613700</v>
      </c>
      <c r="W22" s="2262"/>
      <c r="X22" s="2262"/>
      <c r="Y22" s="2269"/>
    </row>
    <row r="23" spans="1:25" ht="39.75" customHeight="1" x14ac:dyDescent="0.25">
      <c r="A23" s="502"/>
      <c r="B23" s="2289"/>
      <c r="C23" s="2292"/>
      <c r="D23" s="2292"/>
      <c r="E23" s="2292"/>
      <c r="F23" s="2292"/>
      <c r="G23" s="502"/>
      <c r="Q23" s="502"/>
      <c r="R23" s="502"/>
      <c r="T23" s="2252"/>
      <c r="U23" s="50" t="s">
        <v>61</v>
      </c>
      <c r="V23" s="2262">
        <v>884685</v>
      </c>
      <c r="W23" s="2262"/>
      <c r="X23" s="2262"/>
      <c r="Y23" s="2269"/>
    </row>
    <row r="24" spans="1:25" ht="48" customHeight="1" x14ac:dyDescent="0.25">
      <c r="A24" s="502"/>
      <c r="B24" s="2290"/>
      <c r="C24" s="290" t="s">
        <v>46</v>
      </c>
      <c r="D24" s="290" t="s">
        <v>50</v>
      </c>
      <c r="E24" s="290" t="s">
        <v>51</v>
      </c>
      <c r="F24" s="290" t="s">
        <v>52</v>
      </c>
      <c r="G24" s="502"/>
      <c r="Q24" s="502"/>
      <c r="R24" s="502"/>
      <c r="T24" s="2235" t="s">
        <v>47</v>
      </c>
      <c r="U24" s="51" t="s">
        <v>62</v>
      </c>
      <c r="V24" s="2263">
        <f>V14+V16+V17-V18-V19-V20-V22+V23-V21</f>
        <v>5179.4024999999674</v>
      </c>
      <c r="W24" s="2263"/>
      <c r="X24" s="2263"/>
      <c r="Y24" s="2269"/>
    </row>
    <row r="25" spans="1:25" ht="40.5" customHeight="1" x14ac:dyDescent="0.25">
      <c r="T25" s="2235"/>
      <c r="U25" s="51" t="s">
        <v>63</v>
      </c>
      <c r="V25" s="2262">
        <f>V15+V22-V23</f>
        <v>9327</v>
      </c>
      <c r="W25" s="2262"/>
      <c r="X25" s="2262"/>
    </row>
    <row r="26" spans="1:25" ht="36" customHeight="1" x14ac:dyDescent="0.25">
      <c r="K26" s="314"/>
    </row>
    <row r="32" spans="1:25" x14ac:dyDescent="0.25">
      <c r="I32" s="2280"/>
      <c r="J32" s="2280"/>
      <c r="K32" s="2280"/>
      <c r="L32" s="2280"/>
    </row>
    <row r="33" spans="9:12" x14ac:dyDescent="0.25">
      <c r="I33" s="502"/>
      <c r="J33" s="502"/>
      <c r="K33" s="2280"/>
      <c r="L33" s="2280"/>
    </row>
  </sheetData>
  <mergeCells count="62">
    <mergeCell ref="A1:Y1"/>
    <mergeCell ref="A2:Y2"/>
    <mergeCell ref="T3:Y3"/>
    <mergeCell ref="A4:A5"/>
    <mergeCell ref="B4:B5"/>
    <mergeCell ref="C4:D4"/>
    <mergeCell ref="E4:F4"/>
    <mergeCell ref="G4:H4"/>
    <mergeCell ref="I4:J4"/>
    <mergeCell ref="K4:L4"/>
    <mergeCell ref="Y4:Y5"/>
    <mergeCell ref="M4:N4"/>
    <mergeCell ref="O4:P4"/>
    <mergeCell ref="Q4:R4"/>
    <mergeCell ref="S4:T4"/>
    <mergeCell ref="U4:V4"/>
    <mergeCell ref="W4:X4"/>
    <mergeCell ref="B16:C16"/>
    <mergeCell ref="Q16:R16"/>
    <mergeCell ref="T16:U16"/>
    <mergeCell ref="V16:X16"/>
    <mergeCell ref="A12:B12"/>
    <mergeCell ref="B14:C14"/>
    <mergeCell ref="Q14:R14"/>
    <mergeCell ref="T14:T15"/>
    <mergeCell ref="V14:X14"/>
    <mergeCell ref="B15:C15"/>
    <mergeCell ref="Q15:R15"/>
    <mergeCell ref="V15:X15"/>
    <mergeCell ref="B17:C17"/>
    <mergeCell ref="Q17:R17"/>
    <mergeCell ref="T17:U17"/>
    <mergeCell ref="V17:X17"/>
    <mergeCell ref="B18:C18"/>
    <mergeCell ref="Q18:R18"/>
    <mergeCell ref="T18:U18"/>
    <mergeCell ref="V18:X18"/>
    <mergeCell ref="Y18:Y24"/>
    <mergeCell ref="B19:C19"/>
    <mergeCell ref="Q19:R19"/>
    <mergeCell ref="T19:T20"/>
    <mergeCell ref="V19:X19"/>
    <mergeCell ref="B20:C20"/>
    <mergeCell ref="B22:B24"/>
    <mergeCell ref="C22:C23"/>
    <mergeCell ref="D22:D23"/>
    <mergeCell ref="E22:E23"/>
    <mergeCell ref="F22:F23"/>
    <mergeCell ref="Q20:R20"/>
    <mergeCell ref="V20:X20"/>
    <mergeCell ref="B21:C21"/>
    <mergeCell ref="T21:U21"/>
    <mergeCell ref="V21:X21"/>
    <mergeCell ref="I32:J32"/>
    <mergeCell ref="K32:L32"/>
    <mergeCell ref="K33:L33"/>
    <mergeCell ref="T22:T23"/>
    <mergeCell ref="V22:X22"/>
    <mergeCell ref="V23:X23"/>
    <mergeCell ref="T24:T25"/>
    <mergeCell ref="V24:X24"/>
    <mergeCell ref="V25:X25"/>
  </mergeCells>
  <pageMargins left="0.15748031496063" right="0.15748031496063" top="0" bottom="0" header="0" footer="0"/>
  <pageSetup paperSize="9" scale="47" orientation="landscape" r:id="rId1"/>
</worksheet>
</file>

<file path=xl/worksheets/sheet1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CAD670F-4AE7-4209-B537-320FCF28FF94}">
  <sheetPr>
    <pageSetUpPr fitToPage="1"/>
  </sheetPr>
  <dimension ref="A1:Y33"/>
  <sheetViews>
    <sheetView topLeftCell="D13" zoomScale="70" zoomScaleNormal="70" zoomScaleSheetLayoutView="100" workbookViewId="0">
      <selection activeCell="I16" sqref="I16"/>
    </sheetView>
  </sheetViews>
  <sheetFormatPr defaultColWidth="9.140625" defaultRowHeight="15" x14ac:dyDescent="0.25"/>
  <cols>
    <col min="1" max="1" width="18.28515625" style="14" customWidth="1"/>
    <col min="2" max="2" width="10.7109375" style="14" customWidth="1"/>
    <col min="3" max="3" width="12.28515625" style="14" customWidth="1"/>
    <col min="4" max="4" width="13.140625" style="14" bestFit="1" customWidth="1"/>
    <col min="5" max="5" width="12" style="14" customWidth="1"/>
    <col min="6" max="6" width="12.5703125" style="14" bestFit="1" customWidth="1"/>
    <col min="7" max="7" width="9.28515625" style="14" bestFit="1" customWidth="1"/>
    <col min="8" max="8" width="10.140625" style="14" bestFit="1" customWidth="1"/>
    <col min="9" max="9" width="10.5703125" style="14" bestFit="1" customWidth="1"/>
    <col min="10" max="10" width="10.5703125" style="14" customWidth="1"/>
    <col min="11" max="11" width="10.28515625" style="14" bestFit="1" customWidth="1"/>
    <col min="12" max="12" width="10.42578125" style="14" bestFit="1" customWidth="1"/>
    <col min="13" max="13" width="9.85546875" style="14" bestFit="1" customWidth="1"/>
    <col min="14" max="14" width="10.140625" style="14" bestFit="1" customWidth="1"/>
    <col min="15" max="15" width="9" style="14" customWidth="1"/>
    <col min="16" max="16" width="12.85546875" style="14" bestFit="1" customWidth="1"/>
    <col min="17" max="18" width="9.42578125" style="14" customWidth="1"/>
    <col min="19" max="19" width="13.7109375" style="14" customWidth="1"/>
    <col min="20" max="20" width="12.140625" style="14" customWidth="1"/>
    <col min="21" max="21" width="19.5703125" style="14" bestFit="1" customWidth="1"/>
    <col min="22" max="22" width="9.85546875" style="14" customWidth="1"/>
    <col min="23" max="23" width="10.140625" style="14" bestFit="1" customWidth="1"/>
    <col min="24" max="24" width="10.28515625" style="14" customWidth="1"/>
    <col min="25" max="25" width="28" style="14" customWidth="1"/>
    <col min="26" max="16384" width="9.140625" style="14"/>
  </cols>
  <sheetData>
    <row r="1" spans="1:25" ht="46.15" customHeight="1" x14ac:dyDescent="0.25">
      <c r="A1" s="2240" t="s">
        <v>148</v>
      </c>
      <c r="B1" s="2240"/>
      <c r="C1" s="2240"/>
      <c r="D1" s="2240"/>
      <c r="E1" s="2240"/>
      <c r="F1" s="2240"/>
      <c r="G1" s="2240"/>
      <c r="H1" s="2240"/>
      <c r="I1" s="2240"/>
      <c r="J1" s="2240"/>
      <c r="K1" s="2240"/>
      <c r="L1" s="2240"/>
      <c r="M1" s="2240"/>
      <c r="N1" s="2240"/>
      <c r="O1" s="2240"/>
      <c r="P1" s="2240"/>
      <c r="Q1" s="2240"/>
      <c r="R1" s="2240"/>
      <c r="S1" s="2240"/>
      <c r="T1" s="2240"/>
      <c r="U1" s="2240"/>
      <c r="V1" s="2240"/>
      <c r="W1" s="2240"/>
      <c r="X1" s="2240"/>
      <c r="Y1" s="2240"/>
    </row>
    <row r="2" spans="1:25" ht="21.6" customHeight="1" x14ac:dyDescent="0.25">
      <c r="A2" s="2241" t="s">
        <v>77</v>
      </c>
      <c r="B2" s="2241"/>
      <c r="C2" s="2241"/>
      <c r="D2" s="2241"/>
      <c r="E2" s="2241"/>
      <c r="F2" s="2241"/>
      <c r="G2" s="2241"/>
      <c r="H2" s="2241"/>
      <c r="I2" s="2241"/>
      <c r="J2" s="2241"/>
      <c r="K2" s="2241"/>
      <c r="L2" s="2241"/>
      <c r="M2" s="2241"/>
      <c r="N2" s="2241"/>
      <c r="O2" s="2241"/>
      <c r="P2" s="2241"/>
      <c r="Q2" s="2241"/>
      <c r="R2" s="2241"/>
      <c r="S2" s="2241"/>
      <c r="T2" s="2241"/>
      <c r="U2" s="2241"/>
      <c r="V2" s="2241"/>
      <c r="W2" s="2241"/>
      <c r="X2" s="2241"/>
      <c r="Y2" s="2241"/>
    </row>
    <row r="3" spans="1:25" ht="21" customHeight="1" x14ac:dyDescent="0.25">
      <c r="A3" s="503"/>
      <c r="B3" s="503"/>
      <c r="C3" s="503"/>
      <c r="D3" s="503"/>
      <c r="E3" s="503"/>
      <c r="F3" s="503"/>
      <c r="G3" s="503"/>
      <c r="H3" s="503"/>
      <c r="I3" s="503"/>
      <c r="J3" s="503"/>
      <c r="K3" s="503"/>
      <c r="L3" s="503"/>
      <c r="M3" s="503"/>
      <c r="N3" s="503"/>
      <c r="O3" s="503"/>
      <c r="P3" s="503"/>
      <c r="Q3" s="503"/>
      <c r="R3" s="503"/>
      <c r="S3" s="503"/>
      <c r="T3" s="2242" t="s">
        <v>348</v>
      </c>
      <c r="U3" s="2242"/>
      <c r="V3" s="2242"/>
      <c r="W3" s="2242"/>
      <c r="X3" s="2242"/>
      <c r="Y3" s="2242"/>
    </row>
    <row r="4" spans="1:25" s="503" customFormat="1" ht="18" customHeight="1" x14ac:dyDescent="0.25">
      <c r="A4" s="2243" t="s">
        <v>25</v>
      </c>
      <c r="B4" s="2243" t="s">
        <v>26</v>
      </c>
      <c r="C4" s="2244" t="s">
        <v>27</v>
      </c>
      <c r="D4" s="2244"/>
      <c r="E4" s="2244" t="s">
        <v>342</v>
      </c>
      <c r="F4" s="2244"/>
      <c r="G4" s="2244" t="s">
        <v>65</v>
      </c>
      <c r="H4" s="2244"/>
      <c r="I4" s="2244" t="s">
        <v>29</v>
      </c>
      <c r="J4" s="2244"/>
      <c r="K4" s="2245" t="s">
        <v>13</v>
      </c>
      <c r="L4" s="2246"/>
      <c r="M4" s="2245" t="s">
        <v>67</v>
      </c>
      <c r="N4" s="2246"/>
      <c r="O4" s="2245" t="s">
        <v>68</v>
      </c>
      <c r="P4" s="2246"/>
      <c r="Q4" s="2245" t="s">
        <v>114</v>
      </c>
      <c r="R4" s="2246"/>
      <c r="S4" s="2244" t="s">
        <v>35</v>
      </c>
      <c r="T4" s="2244"/>
      <c r="U4" s="2245" t="s">
        <v>17</v>
      </c>
      <c r="V4" s="2246"/>
      <c r="W4" s="2247" t="s">
        <v>36</v>
      </c>
      <c r="X4" s="2248"/>
      <c r="Y4" s="2238" t="s">
        <v>30</v>
      </c>
    </row>
    <row r="5" spans="1:25" s="503" customFormat="1" ht="25.5" customHeight="1" x14ac:dyDescent="0.25">
      <c r="A5" s="2243"/>
      <c r="B5" s="2243"/>
      <c r="C5" s="505" t="s">
        <v>42</v>
      </c>
      <c r="D5" s="505" t="s">
        <v>43</v>
      </c>
      <c r="E5" s="505" t="s">
        <v>42</v>
      </c>
      <c r="F5" s="505" t="s">
        <v>43</v>
      </c>
      <c r="G5" s="505" t="s">
        <v>42</v>
      </c>
      <c r="H5" s="505" t="s">
        <v>43</v>
      </c>
      <c r="I5" s="505" t="s">
        <v>42</v>
      </c>
      <c r="J5" s="505" t="s">
        <v>43</v>
      </c>
      <c r="K5" s="505" t="s">
        <v>42</v>
      </c>
      <c r="L5" s="505" t="s">
        <v>43</v>
      </c>
      <c r="M5" s="505" t="s">
        <v>42</v>
      </c>
      <c r="N5" s="505" t="s">
        <v>43</v>
      </c>
      <c r="O5" s="505" t="s">
        <v>42</v>
      </c>
      <c r="P5" s="505" t="s">
        <v>43</v>
      </c>
      <c r="Q5" s="505" t="s">
        <v>42</v>
      </c>
      <c r="R5" s="505" t="s">
        <v>43</v>
      </c>
      <c r="S5" s="33" t="s">
        <v>42</v>
      </c>
      <c r="T5" s="33" t="s">
        <v>43</v>
      </c>
      <c r="U5" s="30" t="s">
        <v>42</v>
      </c>
      <c r="V5" s="30" t="s">
        <v>43</v>
      </c>
      <c r="W5" s="30" t="s">
        <v>42</v>
      </c>
      <c r="X5" s="30" t="s">
        <v>43</v>
      </c>
      <c r="Y5" s="2239"/>
    </row>
    <row r="6" spans="1:25" ht="34.5" customHeight="1" x14ac:dyDescent="0.25">
      <c r="A6" s="12">
        <v>1409935200</v>
      </c>
      <c r="B6" s="504" t="s">
        <v>71</v>
      </c>
      <c r="C6" s="507">
        <v>31858</v>
      </c>
      <c r="D6" s="508">
        <f>0.9725*C6</f>
        <v>30981.905000000002</v>
      </c>
      <c r="E6" s="507"/>
      <c r="F6" s="507">
        <f>67.1*E6</f>
        <v>0</v>
      </c>
      <c r="G6" s="507"/>
      <c r="H6" s="507">
        <f>28.2*G6</f>
        <v>0</v>
      </c>
      <c r="I6" s="507">
        <v>50</v>
      </c>
      <c r="J6" s="507">
        <f>18.5*I6</f>
        <v>925</v>
      </c>
      <c r="K6" s="507"/>
      <c r="L6" s="507">
        <f>19.5*K6</f>
        <v>0</v>
      </c>
      <c r="M6" s="507"/>
      <c r="N6" s="508">
        <f>M6*9.75</f>
        <v>0</v>
      </c>
      <c r="O6" s="507"/>
      <c r="P6" s="508">
        <f>O6*48.62</f>
        <v>0</v>
      </c>
      <c r="Q6" s="508"/>
      <c r="R6" s="508">
        <f>241*Q6</f>
        <v>0</v>
      </c>
      <c r="S6" s="507">
        <v>10</v>
      </c>
      <c r="T6" s="507">
        <f>241*S6</f>
        <v>2410</v>
      </c>
      <c r="U6" s="507">
        <v>26</v>
      </c>
      <c r="V6" s="507">
        <f>232*U6</f>
        <v>6032</v>
      </c>
      <c r="W6" s="507"/>
      <c r="X6" s="19">
        <f>W6*100</f>
        <v>0</v>
      </c>
      <c r="Y6" s="89">
        <f t="shared" ref="Y6:Y11" si="0">D6+F6+H6+J6+L6+N6+P6+R6+T6+V6+X6</f>
        <v>40348.904999999999</v>
      </c>
    </row>
    <row r="7" spans="1:25" ht="31.5" customHeight="1" x14ac:dyDescent="0.25">
      <c r="A7" s="12">
        <v>1984225578</v>
      </c>
      <c r="B7" s="504" t="s">
        <v>72</v>
      </c>
      <c r="C7" s="507">
        <v>16071</v>
      </c>
      <c r="D7" s="508">
        <f t="shared" ref="D7:D11" si="1">0.9725*C7</f>
        <v>15629.047500000001</v>
      </c>
      <c r="E7" s="507"/>
      <c r="F7" s="507">
        <f t="shared" ref="F7:F11" si="2">67.1*E7</f>
        <v>0</v>
      </c>
      <c r="G7" s="507"/>
      <c r="H7" s="507">
        <f t="shared" ref="H7:H11" si="3">28.2*G7</f>
        <v>0</v>
      </c>
      <c r="I7" s="507"/>
      <c r="J7" s="507">
        <f t="shared" ref="J7:J11" si="4">18.5*I7</f>
        <v>0</v>
      </c>
      <c r="K7" s="507"/>
      <c r="L7" s="507">
        <f t="shared" ref="L7:L11" si="5">19.5*K7</f>
        <v>0</v>
      </c>
      <c r="M7" s="507"/>
      <c r="N7" s="508">
        <f t="shared" ref="N7:N11" si="6">M7*9.75</f>
        <v>0</v>
      </c>
      <c r="O7" s="507"/>
      <c r="P7" s="508">
        <f t="shared" ref="P7:P11" si="7">O7*48.62</f>
        <v>0</v>
      </c>
      <c r="Q7" s="508"/>
      <c r="R7" s="508">
        <f t="shared" ref="R7:R11" si="8">241*Q7</f>
        <v>0</v>
      </c>
      <c r="S7" s="507"/>
      <c r="T7" s="507">
        <f t="shared" ref="T7:T11" si="9">241*S7</f>
        <v>0</v>
      </c>
      <c r="U7" s="507"/>
      <c r="V7" s="507">
        <f t="shared" ref="V7:V11" si="10">232*U7</f>
        <v>0</v>
      </c>
      <c r="W7" s="507"/>
      <c r="X7" s="19">
        <f t="shared" ref="X7:X11" si="11">W7*100</f>
        <v>0</v>
      </c>
      <c r="Y7" s="89">
        <f t="shared" si="0"/>
        <v>15629.047500000001</v>
      </c>
    </row>
    <row r="8" spans="1:25" ht="35.25" customHeight="1" x14ac:dyDescent="0.25">
      <c r="A8" s="12">
        <v>1967020280</v>
      </c>
      <c r="B8" s="504" t="s">
        <v>73</v>
      </c>
      <c r="C8" s="507">
        <v>34110</v>
      </c>
      <c r="D8" s="508">
        <f t="shared" si="1"/>
        <v>33171.974999999999</v>
      </c>
      <c r="E8" s="507"/>
      <c r="F8" s="507">
        <f t="shared" si="2"/>
        <v>0</v>
      </c>
      <c r="G8" s="507">
        <v>60</v>
      </c>
      <c r="H8" s="507">
        <f t="shared" si="3"/>
        <v>1692</v>
      </c>
      <c r="I8" s="507"/>
      <c r="J8" s="507">
        <f t="shared" si="4"/>
        <v>0</v>
      </c>
      <c r="K8" s="507"/>
      <c r="L8" s="507">
        <f t="shared" si="5"/>
        <v>0</v>
      </c>
      <c r="M8" s="507"/>
      <c r="N8" s="508">
        <f t="shared" si="6"/>
        <v>0</v>
      </c>
      <c r="O8" s="507"/>
      <c r="P8" s="508">
        <f t="shared" si="7"/>
        <v>0</v>
      </c>
      <c r="Q8" s="508"/>
      <c r="R8" s="508">
        <f t="shared" si="8"/>
        <v>0</v>
      </c>
      <c r="S8" s="507"/>
      <c r="T8" s="507">
        <f t="shared" si="9"/>
        <v>0</v>
      </c>
      <c r="U8" s="507"/>
      <c r="V8" s="507">
        <f t="shared" si="10"/>
        <v>0</v>
      </c>
      <c r="W8" s="507"/>
      <c r="X8" s="19">
        <f t="shared" si="11"/>
        <v>0</v>
      </c>
      <c r="Y8" s="89">
        <f t="shared" si="0"/>
        <v>34863.974999999999</v>
      </c>
    </row>
    <row r="9" spans="1:25" ht="38.25" customHeight="1" x14ac:dyDescent="0.25">
      <c r="A9" s="12">
        <v>1984225580</v>
      </c>
      <c r="B9" s="504" t="s">
        <v>75</v>
      </c>
      <c r="C9" s="507">
        <v>37717</v>
      </c>
      <c r="D9" s="508">
        <f t="shared" si="1"/>
        <v>36679.782500000001</v>
      </c>
      <c r="E9" s="507"/>
      <c r="F9" s="507">
        <f t="shared" si="2"/>
        <v>0</v>
      </c>
      <c r="G9" s="507">
        <v>30</v>
      </c>
      <c r="H9" s="507">
        <f t="shared" si="3"/>
        <v>846</v>
      </c>
      <c r="I9" s="507">
        <v>320</v>
      </c>
      <c r="J9" s="507">
        <f t="shared" si="4"/>
        <v>5920</v>
      </c>
      <c r="K9" s="507"/>
      <c r="L9" s="507">
        <f t="shared" si="5"/>
        <v>0</v>
      </c>
      <c r="M9" s="507"/>
      <c r="N9" s="508">
        <f t="shared" si="6"/>
        <v>0</v>
      </c>
      <c r="O9" s="507"/>
      <c r="P9" s="508">
        <f t="shared" si="7"/>
        <v>0</v>
      </c>
      <c r="Q9" s="508"/>
      <c r="R9" s="508">
        <f t="shared" si="8"/>
        <v>0</v>
      </c>
      <c r="S9" s="507">
        <v>18</v>
      </c>
      <c r="T9" s="507">
        <f t="shared" si="9"/>
        <v>4338</v>
      </c>
      <c r="U9" s="507">
        <v>2</v>
      </c>
      <c r="V9" s="507">
        <f t="shared" si="10"/>
        <v>464</v>
      </c>
      <c r="W9" s="507"/>
      <c r="X9" s="19">
        <f t="shared" si="11"/>
        <v>0</v>
      </c>
      <c r="Y9" s="89">
        <f t="shared" si="0"/>
        <v>48247.782500000001</v>
      </c>
    </row>
    <row r="10" spans="1:25" ht="35.25" customHeight="1" x14ac:dyDescent="0.25">
      <c r="A10" s="12">
        <v>1409935199</v>
      </c>
      <c r="C10" s="507"/>
      <c r="D10" s="508">
        <f t="shared" si="1"/>
        <v>0</v>
      </c>
      <c r="E10" s="507"/>
      <c r="F10" s="507">
        <f t="shared" si="2"/>
        <v>0</v>
      </c>
      <c r="G10" s="507"/>
      <c r="H10" s="507">
        <f t="shared" si="3"/>
        <v>0</v>
      </c>
      <c r="I10" s="507">
        <v>200</v>
      </c>
      <c r="J10" s="507">
        <f t="shared" si="4"/>
        <v>3700</v>
      </c>
      <c r="K10" s="507"/>
      <c r="L10" s="507">
        <f t="shared" si="5"/>
        <v>0</v>
      </c>
      <c r="M10" s="507"/>
      <c r="N10" s="508">
        <f t="shared" si="6"/>
        <v>0</v>
      </c>
      <c r="O10" s="507"/>
      <c r="P10" s="508">
        <f t="shared" si="7"/>
        <v>0</v>
      </c>
      <c r="Q10" s="508"/>
      <c r="R10" s="508">
        <f t="shared" si="8"/>
        <v>0</v>
      </c>
      <c r="S10" s="507"/>
      <c r="T10" s="507">
        <f t="shared" si="9"/>
        <v>0</v>
      </c>
      <c r="U10" s="507"/>
      <c r="V10" s="507">
        <f t="shared" si="10"/>
        <v>0</v>
      </c>
      <c r="W10" s="507"/>
      <c r="X10" s="19">
        <f t="shared" si="11"/>
        <v>0</v>
      </c>
      <c r="Y10" s="89">
        <f t="shared" si="0"/>
        <v>3700</v>
      </c>
    </row>
    <row r="11" spans="1:25" ht="37.5" customHeight="1" x14ac:dyDescent="0.25">
      <c r="A11" s="12"/>
      <c r="B11" s="506"/>
      <c r="C11" s="507"/>
      <c r="D11" s="22">
        <f t="shared" si="1"/>
        <v>0</v>
      </c>
      <c r="E11" s="507"/>
      <c r="F11" s="507">
        <f t="shared" si="2"/>
        <v>0</v>
      </c>
      <c r="G11" s="507"/>
      <c r="H11" s="507">
        <f t="shared" si="3"/>
        <v>0</v>
      </c>
      <c r="I11" s="507"/>
      <c r="J11" s="507">
        <f t="shared" si="4"/>
        <v>0</v>
      </c>
      <c r="K11" s="507"/>
      <c r="L11" s="507">
        <f t="shared" si="5"/>
        <v>0</v>
      </c>
      <c r="M11" s="507"/>
      <c r="N11" s="508">
        <f t="shared" si="6"/>
        <v>0</v>
      </c>
      <c r="O11" s="507"/>
      <c r="P11" s="508">
        <f t="shared" si="7"/>
        <v>0</v>
      </c>
      <c r="Q11" s="508"/>
      <c r="R11" s="508">
        <f t="shared" si="8"/>
        <v>0</v>
      </c>
      <c r="S11" s="507"/>
      <c r="T11" s="507">
        <f t="shared" si="9"/>
        <v>0</v>
      </c>
      <c r="U11" s="507"/>
      <c r="V11" s="507">
        <f t="shared" si="10"/>
        <v>0</v>
      </c>
      <c r="W11" s="507"/>
      <c r="X11" s="19">
        <f t="shared" si="11"/>
        <v>0</v>
      </c>
      <c r="Y11" s="20">
        <f t="shared" si="0"/>
        <v>0</v>
      </c>
    </row>
    <row r="12" spans="1:25" ht="29.25" customHeight="1" x14ac:dyDescent="0.25">
      <c r="A12" s="2235" t="s">
        <v>31</v>
      </c>
      <c r="B12" s="2235"/>
      <c r="C12" s="18">
        <f t="shared" ref="C12:Y12" si="12">SUM(C6:C11)</f>
        <v>119756</v>
      </c>
      <c r="D12" s="18">
        <f t="shared" si="12"/>
        <v>116462.70999999999</v>
      </c>
      <c r="E12" s="18">
        <f t="shared" si="12"/>
        <v>0</v>
      </c>
      <c r="F12" s="18">
        <f t="shared" si="12"/>
        <v>0</v>
      </c>
      <c r="G12" s="18">
        <f t="shared" si="12"/>
        <v>90</v>
      </c>
      <c r="H12" s="18">
        <f t="shared" si="12"/>
        <v>2538</v>
      </c>
      <c r="I12" s="18">
        <f t="shared" si="12"/>
        <v>570</v>
      </c>
      <c r="J12" s="18">
        <f t="shared" si="12"/>
        <v>10545</v>
      </c>
      <c r="K12" s="18">
        <f t="shared" si="12"/>
        <v>0</v>
      </c>
      <c r="L12" s="18">
        <f t="shared" si="12"/>
        <v>0</v>
      </c>
      <c r="M12" s="18">
        <f t="shared" si="12"/>
        <v>0</v>
      </c>
      <c r="N12" s="23">
        <f t="shared" si="12"/>
        <v>0</v>
      </c>
      <c r="O12" s="18">
        <f t="shared" si="12"/>
        <v>0</v>
      </c>
      <c r="P12" s="23">
        <f t="shared" si="12"/>
        <v>0</v>
      </c>
      <c r="Q12" s="23">
        <f t="shared" si="12"/>
        <v>0</v>
      </c>
      <c r="R12" s="23">
        <f>SUM(R6:R11)</f>
        <v>0</v>
      </c>
      <c r="S12" s="18">
        <f t="shared" si="12"/>
        <v>28</v>
      </c>
      <c r="T12" s="18">
        <f t="shared" si="12"/>
        <v>6748</v>
      </c>
      <c r="U12" s="18">
        <f t="shared" si="12"/>
        <v>28</v>
      </c>
      <c r="V12" s="18">
        <f t="shared" si="12"/>
        <v>6496</v>
      </c>
      <c r="W12" s="18">
        <f t="shared" si="12"/>
        <v>0</v>
      </c>
      <c r="X12" s="18">
        <f t="shared" si="12"/>
        <v>0</v>
      </c>
      <c r="Y12" s="18">
        <f t="shared" si="12"/>
        <v>142789.71</v>
      </c>
    </row>
    <row r="14" spans="1:25" ht="41.25" customHeight="1" x14ac:dyDescent="0.25">
      <c r="A14" s="30" t="s">
        <v>32</v>
      </c>
      <c r="B14" s="2236" t="s">
        <v>27</v>
      </c>
      <c r="C14" s="2236"/>
      <c r="D14" s="30" t="s">
        <v>333</v>
      </c>
      <c r="E14" s="30" t="s">
        <v>65</v>
      </c>
      <c r="F14" s="30" t="s">
        <v>34</v>
      </c>
      <c r="G14" s="30" t="s">
        <v>13</v>
      </c>
      <c r="H14" s="469" t="s">
        <v>173</v>
      </c>
      <c r="I14" s="30" t="s">
        <v>17</v>
      </c>
      <c r="J14" s="512" t="s">
        <v>174</v>
      </c>
      <c r="K14" s="30" t="s">
        <v>36</v>
      </c>
      <c r="L14" s="30" t="s">
        <v>175</v>
      </c>
      <c r="M14" s="30" t="s">
        <v>69</v>
      </c>
      <c r="N14" s="30" t="s">
        <v>70</v>
      </c>
      <c r="O14" s="512" t="s">
        <v>114</v>
      </c>
      <c r="P14" s="512" t="s">
        <v>339</v>
      </c>
      <c r="Q14" s="2272"/>
      <c r="R14" s="2272"/>
      <c r="S14" s="512"/>
      <c r="T14" s="2235" t="s">
        <v>46</v>
      </c>
      <c r="U14" s="504" t="s">
        <v>176</v>
      </c>
      <c r="V14" s="2260">
        <v>5179</v>
      </c>
      <c r="W14" s="2268"/>
      <c r="X14" s="2261"/>
    </row>
    <row r="15" spans="1:25" ht="22.5" customHeight="1" x14ac:dyDescent="0.25">
      <c r="A15" s="100" t="s">
        <v>38</v>
      </c>
      <c r="B15" s="2260">
        <v>500270</v>
      </c>
      <c r="C15" s="2261"/>
      <c r="D15" s="509">
        <v>1260</v>
      </c>
      <c r="E15" s="509">
        <v>6520</v>
      </c>
      <c r="F15" s="509">
        <v>4190</v>
      </c>
      <c r="G15" s="509">
        <v>0</v>
      </c>
      <c r="H15" s="509">
        <v>1422</v>
      </c>
      <c r="I15" s="509">
        <v>83</v>
      </c>
      <c r="J15" s="509">
        <v>165</v>
      </c>
      <c r="K15" s="509">
        <v>62</v>
      </c>
      <c r="L15" s="509">
        <v>675</v>
      </c>
      <c r="M15" s="509">
        <v>0</v>
      </c>
      <c r="N15" s="509">
        <v>100</v>
      </c>
      <c r="O15" s="509">
        <v>0</v>
      </c>
      <c r="P15" s="509">
        <v>755</v>
      </c>
      <c r="Q15" s="2262"/>
      <c r="R15" s="2262"/>
      <c r="S15" s="504">
        <v>0</v>
      </c>
      <c r="T15" s="2235"/>
      <c r="U15" s="504" t="s">
        <v>64</v>
      </c>
      <c r="V15" s="2262">
        <v>9327</v>
      </c>
      <c r="W15" s="2262"/>
      <c r="X15" s="2262"/>
    </row>
    <row r="16" spans="1:25" ht="24.75" customHeight="1" x14ac:dyDescent="0.25">
      <c r="A16" s="100" t="s">
        <v>39</v>
      </c>
      <c r="B16" s="2260"/>
      <c r="C16" s="2261"/>
      <c r="D16" s="509"/>
      <c r="E16" s="509"/>
      <c r="F16" s="509"/>
      <c r="G16" s="509"/>
      <c r="H16" s="509"/>
      <c r="I16" s="509"/>
      <c r="J16" s="509"/>
      <c r="K16" s="509"/>
      <c r="L16" s="509"/>
      <c r="M16" s="509"/>
      <c r="N16" s="509"/>
      <c r="O16" s="509"/>
      <c r="P16" s="509"/>
      <c r="Q16" s="2225"/>
      <c r="R16" s="2225"/>
      <c r="S16" s="509"/>
      <c r="T16" s="2254" t="s">
        <v>55</v>
      </c>
      <c r="U16" s="2254"/>
      <c r="V16" s="2267">
        <f>Y12</f>
        <v>142789.71</v>
      </c>
      <c r="W16" s="2267"/>
      <c r="X16" s="2262"/>
    </row>
    <row r="17" spans="1:25" ht="28.5" customHeight="1" x14ac:dyDescent="0.25">
      <c r="A17" s="101" t="s">
        <v>44</v>
      </c>
      <c r="B17" s="2260">
        <v>126589</v>
      </c>
      <c r="C17" s="2261"/>
      <c r="D17" s="509"/>
      <c r="E17" s="509"/>
      <c r="F17" s="509"/>
      <c r="G17" s="509"/>
      <c r="H17" s="509"/>
      <c r="I17" s="509"/>
      <c r="J17" s="509"/>
      <c r="K17" s="509"/>
      <c r="L17" s="509"/>
      <c r="M17" s="509"/>
      <c r="N17" s="509"/>
      <c r="O17" s="509"/>
      <c r="P17" s="509"/>
      <c r="Q17" s="2225"/>
      <c r="R17" s="2225"/>
      <c r="S17" s="506"/>
      <c r="T17" s="2294"/>
      <c r="U17" s="2295"/>
      <c r="V17" s="2296"/>
      <c r="W17" s="2296"/>
      <c r="X17" s="2296"/>
    </row>
    <row r="18" spans="1:25" ht="27" customHeight="1" x14ac:dyDescent="0.25">
      <c r="A18" s="100" t="s">
        <v>40</v>
      </c>
      <c r="B18" s="2264">
        <f>C12</f>
        <v>119756</v>
      </c>
      <c r="C18" s="2261"/>
      <c r="D18" s="510">
        <f>E12</f>
        <v>0</v>
      </c>
      <c r="E18" s="510">
        <f>G12</f>
        <v>90</v>
      </c>
      <c r="F18" s="510">
        <f>I12</f>
        <v>570</v>
      </c>
      <c r="G18" s="510">
        <f>K12</f>
        <v>0</v>
      </c>
      <c r="H18" s="509">
        <v>28</v>
      </c>
      <c r="I18" s="510">
        <f>U12</f>
        <v>28</v>
      </c>
      <c r="J18" s="509"/>
      <c r="K18" s="510">
        <f>W12</f>
        <v>0</v>
      </c>
      <c r="L18" s="509"/>
      <c r="M18" s="510">
        <f>M12</f>
        <v>0</v>
      </c>
      <c r="N18" s="510">
        <f>O12</f>
        <v>0</v>
      </c>
      <c r="O18" s="511">
        <f>Q12</f>
        <v>0</v>
      </c>
      <c r="P18" s="509"/>
      <c r="Q18" s="2262"/>
      <c r="R18" s="2262"/>
      <c r="S18" s="504"/>
      <c r="T18" s="2254" t="s">
        <v>57</v>
      </c>
      <c r="U18" s="2254"/>
      <c r="V18" s="2262">
        <v>620</v>
      </c>
      <c r="W18" s="2262"/>
      <c r="X18" s="2262"/>
      <c r="Y18" s="2269"/>
    </row>
    <row r="19" spans="1:25" ht="25.5" customHeight="1" x14ac:dyDescent="0.25">
      <c r="A19" s="100" t="s">
        <v>41</v>
      </c>
      <c r="B19" s="2260">
        <f>B15+B16+B17-B18</f>
        <v>507103</v>
      </c>
      <c r="C19" s="2261"/>
      <c r="D19" s="509">
        <f>D15+D16+D17-D18</f>
        <v>1260</v>
      </c>
      <c r="E19" s="509">
        <f t="shared" ref="E19:N19" si="13">E15+E16+E17-E18</f>
        <v>6430</v>
      </c>
      <c r="F19" s="509">
        <f t="shared" si="13"/>
        <v>3620</v>
      </c>
      <c r="G19" s="509">
        <f t="shared" si="13"/>
        <v>0</v>
      </c>
      <c r="H19" s="509">
        <f t="shared" si="13"/>
        <v>1394</v>
      </c>
      <c r="I19" s="509">
        <f t="shared" si="13"/>
        <v>55</v>
      </c>
      <c r="J19" s="509">
        <f t="shared" si="13"/>
        <v>165</v>
      </c>
      <c r="K19" s="509">
        <f t="shared" si="13"/>
        <v>62</v>
      </c>
      <c r="L19" s="509">
        <f t="shared" si="13"/>
        <v>675</v>
      </c>
      <c r="M19" s="509">
        <f t="shared" si="13"/>
        <v>0</v>
      </c>
      <c r="N19" s="509">
        <f t="shared" si="13"/>
        <v>100</v>
      </c>
      <c r="O19" s="509">
        <f>O15+O16+O17-O18</f>
        <v>0</v>
      </c>
      <c r="P19" s="509">
        <f>P15+P16+P17-P18</f>
        <v>755</v>
      </c>
      <c r="Q19" s="2260">
        <f t="shared" ref="Q19" si="14">Q15+Q16+Q17-Q18</f>
        <v>0</v>
      </c>
      <c r="R19" s="2261"/>
      <c r="S19" s="504">
        <f>S15+S16-S17-S18</f>
        <v>0</v>
      </c>
      <c r="T19" s="2256" t="s">
        <v>48</v>
      </c>
      <c r="U19" s="49" t="s">
        <v>58</v>
      </c>
      <c r="V19" s="2262"/>
      <c r="W19" s="2262"/>
      <c r="X19" s="2262"/>
      <c r="Y19" s="2269"/>
    </row>
    <row r="20" spans="1:25" ht="23.25" customHeight="1" x14ac:dyDescent="0.25">
      <c r="A20" s="289" t="s">
        <v>187</v>
      </c>
      <c r="B20" s="2286">
        <f>B19*0.9625</f>
        <v>488086.63750000001</v>
      </c>
      <c r="C20" s="2287"/>
      <c r="D20" s="290">
        <f>D19*66.41</f>
        <v>83676.599999999991</v>
      </c>
      <c r="E20" s="290">
        <f>28.2*E19</f>
        <v>181326</v>
      </c>
      <c r="F20" s="290">
        <f>18.31*F19</f>
        <v>66282.2</v>
      </c>
      <c r="G20" s="290">
        <f>19.3*G19</f>
        <v>0</v>
      </c>
      <c r="H20" s="290">
        <f>241*H19</f>
        <v>335954</v>
      </c>
      <c r="I20" s="290">
        <f>223*I19</f>
        <v>12265</v>
      </c>
      <c r="J20" s="290">
        <f>241*J19</f>
        <v>39765</v>
      </c>
      <c r="K20" s="290">
        <f>K19*100</f>
        <v>6200</v>
      </c>
      <c r="L20" s="290">
        <f>241*L19</f>
        <v>162675</v>
      </c>
      <c r="M20" s="290">
        <f>9.65*M19</f>
        <v>0</v>
      </c>
      <c r="N20" s="290">
        <f>N19*48.2</f>
        <v>4820</v>
      </c>
      <c r="O20" s="290">
        <f>241*O19</f>
        <v>0</v>
      </c>
      <c r="P20" s="290">
        <f>241*P19</f>
        <v>181955</v>
      </c>
      <c r="Q20" s="2286">
        <f>241*Q19</f>
        <v>0</v>
      </c>
      <c r="R20" s="2287"/>
      <c r="S20" s="290">
        <f>241*S19</f>
        <v>0</v>
      </c>
      <c r="T20" s="2257"/>
      <c r="U20" s="49" t="s">
        <v>59</v>
      </c>
      <c r="V20" s="2262"/>
      <c r="W20" s="2262"/>
      <c r="X20" s="2262"/>
      <c r="Y20" s="2269"/>
    </row>
    <row r="21" spans="1:25" ht="32.25" customHeight="1" x14ac:dyDescent="0.25">
      <c r="A21" s="291" t="s">
        <v>186</v>
      </c>
      <c r="B21" s="2293">
        <f>SUM(B20:S20)</f>
        <v>1563005.4375</v>
      </c>
      <c r="C21" s="2293"/>
      <c r="O21" s="513"/>
      <c r="P21" s="513"/>
      <c r="Q21" s="513"/>
      <c r="R21" s="513"/>
      <c r="T21" s="2294" t="s">
        <v>340</v>
      </c>
      <c r="U21" s="2295"/>
      <c r="V21" s="2297">
        <v>150000</v>
      </c>
      <c r="W21" s="2298"/>
      <c r="X21" s="2299"/>
      <c r="Y21" s="2269"/>
    </row>
    <row r="22" spans="1:25" ht="35.25" customHeight="1" x14ac:dyDescent="0.25">
      <c r="A22" s="15"/>
      <c r="B22" s="2288" t="s">
        <v>49</v>
      </c>
      <c r="C22" s="2291">
        <v>1011100</v>
      </c>
      <c r="D22" s="2291"/>
      <c r="E22" s="2291"/>
      <c r="F22" s="2291">
        <f>C22-D22+E22</f>
        <v>1011100</v>
      </c>
      <c r="G22" s="513"/>
      <c r="Q22" s="513"/>
      <c r="R22" s="513"/>
      <c r="T22" s="2251" t="s">
        <v>83</v>
      </c>
      <c r="U22" s="50" t="s">
        <v>60</v>
      </c>
      <c r="V22" s="2262">
        <v>145680</v>
      </c>
      <c r="W22" s="2262"/>
      <c r="X22" s="2262"/>
      <c r="Y22" s="2269"/>
    </row>
    <row r="23" spans="1:25" ht="39.75" customHeight="1" x14ac:dyDescent="0.25">
      <c r="A23" s="513"/>
      <c r="B23" s="2289"/>
      <c r="C23" s="2292"/>
      <c r="D23" s="2292"/>
      <c r="E23" s="2292"/>
      <c r="F23" s="2292"/>
      <c r="G23" s="513"/>
      <c r="Q23" s="513"/>
      <c r="R23" s="513"/>
      <c r="T23" s="2252"/>
      <c r="U23" s="50" t="s">
        <v>61</v>
      </c>
      <c r="V23" s="2262">
        <v>150000</v>
      </c>
      <c r="W23" s="2262"/>
      <c r="X23" s="2262"/>
      <c r="Y23" s="2269"/>
    </row>
    <row r="24" spans="1:25" ht="48" customHeight="1" x14ac:dyDescent="0.25">
      <c r="A24" s="513"/>
      <c r="B24" s="2290"/>
      <c r="C24" s="290" t="s">
        <v>46</v>
      </c>
      <c r="D24" s="290" t="s">
        <v>50</v>
      </c>
      <c r="E24" s="290" t="s">
        <v>51</v>
      </c>
      <c r="F24" s="290" t="s">
        <v>52</v>
      </c>
      <c r="G24" s="513"/>
      <c r="Q24" s="513"/>
      <c r="R24" s="513"/>
      <c r="T24" s="2235" t="s">
        <v>47</v>
      </c>
      <c r="U24" s="51" t="s">
        <v>62</v>
      </c>
      <c r="V24" s="2263">
        <f>V14+V16+V17-V18-V19-V20-V22+V23-V21</f>
        <v>1668.7099999999919</v>
      </c>
      <c r="W24" s="2263"/>
      <c r="X24" s="2263"/>
      <c r="Y24" s="2269"/>
    </row>
    <row r="25" spans="1:25" ht="40.5" customHeight="1" x14ac:dyDescent="0.25">
      <c r="T25" s="2235"/>
      <c r="U25" s="51" t="s">
        <v>63</v>
      </c>
      <c r="V25" s="2262">
        <f>V15+V22-V23</f>
        <v>5007</v>
      </c>
      <c r="W25" s="2262"/>
      <c r="X25" s="2262"/>
    </row>
    <row r="26" spans="1:25" ht="36" customHeight="1" x14ac:dyDescent="0.25">
      <c r="K26" s="314"/>
    </row>
    <row r="32" spans="1:25" x14ac:dyDescent="0.25">
      <c r="I32" s="2280"/>
      <c r="J32" s="2280"/>
      <c r="K32" s="2280"/>
      <c r="L32" s="2280"/>
    </row>
    <row r="33" spans="9:12" x14ac:dyDescent="0.25">
      <c r="I33" s="513"/>
      <c r="J33" s="513"/>
      <c r="K33" s="2280"/>
      <c r="L33" s="2280"/>
    </row>
  </sheetData>
  <mergeCells count="62">
    <mergeCell ref="I32:J32"/>
    <mergeCell ref="K32:L32"/>
    <mergeCell ref="K33:L33"/>
    <mergeCell ref="T22:T23"/>
    <mergeCell ref="V22:X22"/>
    <mergeCell ref="V23:X23"/>
    <mergeCell ref="T24:T25"/>
    <mergeCell ref="V24:X24"/>
    <mergeCell ref="V25:X25"/>
    <mergeCell ref="Y18:Y24"/>
    <mergeCell ref="B19:C19"/>
    <mergeCell ref="Q19:R19"/>
    <mergeCell ref="T19:T20"/>
    <mergeCell ref="V19:X19"/>
    <mergeCell ref="B20:C20"/>
    <mergeCell ref="B22:B24"/>
    <mergeCell ref="C22:C23"/>
    <mergeCell ref="D22:D23"/>
    <mergeCell ref="E22:E23"/>
    <mergeCell ref="F22:F23"/>
    <mergeCell ref="Q20:R20"/>
    <mergeCell ref="V20:X20"/>
    <mergeCell ref="B21:C21"/>
    <mergeCell ref="T21:U21"/>
    <mergeCell ref="V21:X21"/>
    <mergeCell ref="B17:C17"/>
    <mergeCell ref="Q17:R17"/>
    <mergeCell ref="T17:U17"/>
    <mergeCell ref="V17:X17"/>
    <mergeCell ref="B18:C18"/>
    <mergeCell ref="Q18:R18"/>
    <mergeCell ref="T18:U18"/>
    <mergeCell ref="V18:X18"/>
    <mergeCell ref="W4:X4"/>
    <mergeCell ref="B16:C16"/>
    <mergeCell ref="Q16:R16"/>
    <mergeCell ref="T16:U16"/>
    <mergeCell ref="V16:X16"/>
    <mergeCell ref="A12:B12"/>
    <mergeCell ref="B14:C14"/>
    <mergeCell ref="Q14:R14"/>
    <mergeCell ref="T14:T15"/>
    <mergeCell ref="V14:X14"/>
    <mergeCell ref="B15:C15"/>
    <mergeCell ref="Q15:R15"/>
    <mergeCell ref="V15:X15"/>
    <mergeCell ref="A1:Y1"/>
    <mergeCell ref="A2:Y2"/>
    <mergeCell ref="T3:Y3"/>
    <mergeCell ref="A4:A5"/>
    <mergeCell ref="B4:B5"/>
    <mergeCell ref="C4:D4"/>
    <mergeCell ref="E4:F4"/>
    <mergeCell ref="G4:H4"/>
    <mergeCell ref="I4:J4"/>
    <mergeCell ref="K4:L4"/>
    <mergeCell ref="Y4:Y5"/>
    <mergeCell ref="M4:N4"/>
    <mergeCell ref="O4:P4"/>
    <mergeCell ref="Q4:R4"/>
    <mergeCell ref="S4:T4"/>
    <mergeCell ref="U4:V4"/>
  </mergeCells>
  <pageMargins left="0.15748031496063" right="0.15748031496063" top="0" bottom="0" header="0" footer="0"/>
  <pageSetup paperSize="9" scale="47" orientation="landscape" r:id="rId1"/>
</worksheet>
</file>

<file path=xl/worksheets/sheet1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9F27AF8-273C-436C-BB03-F2A0BDA1AFEB}">
  <sheetPr>
    <pageSetUpPr fitToPage="1"/>
  </sheetPr>
  <dimension ref="A1:Y33"/>
  <sheetViews>
    <sheetView topLeftCell="A9" zoomScale="70" zoomScaleNormal="70" zoomScaleSheetLayoutView="100" workbookViewId="0">
      <selection activeCell="I16" sqref="I16"/>
    </sheetView>
  </sheetViews>
  <sheetFormatPr defaultColWidth="9.140625" defaultRowHeight="15" x14ac:dyDescent="0.25"/>
  <cols>
    <col min="1" max="1" width="18.28515625" style="14" customWidth="1"/>
    <col min="2" max="2" width="10.7109375" style="14" customWidth="1"/>
    <col min="3" max="3" width="12.28515625" style="14" customWidth="1"/>
    <col min="4" max="4" width="13.140625" style="14" bestFit="1" customWidth="1"/>
    <col min="5" max="5" width="12" style="14" customWidth="1"/>
    <col min="6" max="6" width="12.5703125" style="14" bestFit="1" customWidth="1"/>
    <col min="7" max="7" width="9.28515625" style="14" bestFit="1" customWidth="1"/>
    <col min="8" max="8" width="10.140625" style="14" bestFit="1" customWidth="1"/>
    <col min="9" max="9" width="10.5703125" style="14" bestFit="1" customWidth="1"/>
    <col min="10" max="10" width="10.5703125" style="14" customWidth="1"/>
    <col min="11" max="11" width="10.28515625" style="14" bestFit="1" customWidth="1"/>
    <col min="12" max="12" width="10.42578125" style="14" bestFit="1" customWidth="1"/>
    <col min="13" max="13" width="9.85546875" style="14" bestFit="1" customWidth="1"/>
    <col min="14" max="14" width="10.140625" style="14" bestFit="1" customWidth="1"/>
    <col min="15" max="15" width="9" style="14" customWidth="1"/>
    <col min="16" max="16" width="12.85546875" style="14" bestFit="1" customWidth="1"/>
    <col min="17" max="18" width="9.42578125" style="14" customWidth="1"/>
    <col min="19" max="19" width="13.7109375" style="14" customWidth="1"/>
    <col min="20" max="20" width="12.140625" style="14" customWidth="1"/>
    <col min="21" max="21" width="19.5703125" style="14" bestFit="1" customWidth="1"/>
    <col min="22" max="22" width="9.85546875" style="14" customWidth="1"/>
    <col min="23" max="23" width="10.140625" style="14" bestFit="1" customWidth="1"/>
    <col min="24" max="24" width="10.28515625" style="14" customWidth="1"/>
    <col min="25" max="25" width="28" style="14" customWidth="1"/>
    <col min="26" max="16384" width="9.140625" style="14"/>
  </cols>
  <sheetData>
    <row r="1" spans="1:25" ht="46.15" customHeight="1" x14ac:dyDescent="0.25">
      <c r="A1" s="2240" t="s">
        <v>148</v>
      </c>
      <c r="B1" s="2240"/>
      <c r="C1" s="2240"/>
      <c r="D1" s="2240"/>
      <c r="E1" s="2240"/>
      <c r="F1" s="2240"/>
      <c r="G1" s="2240"/>
      <c r="H1" s="2240"/>
      <c r="I1" s="2240"/>
      <c r="J1" s="2240"/>
      <c r="K1" s="2240"/>
      <c r="L1" s="2240"/>
      <c r="M1" s="2240"/>
      <c r="N1" s="2240"/>
      <c r="O1" s="2240"/>
      <c r="P1" s="2240"/>
      <c r="Q1" s="2240"/>
      <c r="R1" s="2240"/>
      <c r="S1" s="2240"/>
      <c r="T1" s="2240"/>
      <c r="U1" s="2240"/>
      <c r="V1" s="2240"/>
      <c r="W1" s="2240"/>
      <c r="X1" s="2240"/>
      <c r="Y1" s="2240"/>
    </row>
    <row r="2" spans="1:25" ht="21.6" customHeight="1" x14ac:dyDescent="0.25">
      <c r="A2" s="2241" t="s">
        <v>77</v>
      </c>
      <c r="B2" s="2241"/>
      <c r="C2" s="2241"/>
      <c r="D2" s="2241"/>
      <c r="E2" s="2241"/>
      <c r="F2" s="2241"/>
      <c r="G2" s="2241"/>
      <c r="H2" s="2241"/>
      <c r="I2" s="2241"/>
      <c r="J2" s="2241"/>
      <c r="K2" s="2241"/>
      <c r="L2" s="2241"/>
      <c r="M2" s="2241"/>
      <c r="N2" s="2241"/>
      <c r="O2" s="2241"/>
      <c r="P2" s="2241"/>
      <c r="Q2" s="2241"/>
      <c r="R2" s="2241"/>
      <c r="S2" s="2241"/>
      <c r="T2" s="2241"/>
      <c r="U2" s="2241"/>
      <c r="V2" s="2241"/>
      <c r="W2" s="2241"/>
      <c r="X2" s="2241"/>
      <c r="Y2" s="2241"/>
    </row>
    <row r="3" spans="1:25" ht="21" customHeight="1" x14ac:dyDescent="0.25">
      <c r="A3" s="503"/>
      <c r="B3" s="503"/>
      <c r="C3" s="503"/>
      <c r="D3" s="503"/>
      <c r="E3" s="503"/>
      <c r="F3" s="503"/>
      <c r="G3" s="503"/>
      <c r="H3" s="503"/>
      <c r="I3" s="503"/>
      <c r="J3" s="503"/>
      <c r="K3" s="503"/>
      <c r="L3" s="503"/>
      <c r="M3" s="503"/>
      <c r="N3" s="503"/>
      <c r="O3" s="503"/>
      <c r="P3" s="503"/>
      <c r="Q3" s="503"/>
      <c r="R3" s="503"/>
      <c r="S3" s="503"/>
      <c r="T3" s="2242" t="s">
        <v>349</v>
      </c>
      <c r="U3" s="2242"/>
      <c r="V3" s="2242"/>
      <c r="W3" s="2242"/>
      <c r="X3" s="2242"/>
      <c r="Y3" s="2242"/>
    </row>
    <row r="4" spans="1:25" s="503" customFormat="1" ht="18" customHeight="1" x14ac:dyDescent="0.25">
      <c r="A4" s="2243" t="s">
        <v>25</v>
      </c>
      <c r="B4" s="2243" t="s">
        <v>26</v>
      </c>
      <c r="C4" s="2244" t="s">
        <v>27</v>
      </c>
      <c r="D4" s="2244"/>
      <c r="E4" s="2244" t="s">
        <v>342</v>
      </c>
      <c r="F4" s="2244"/>
      <c r="G4" s="2244" t="s">
        <v>65</v>
      </c>
      <c r="H4" s="2244"/>
      <c r="I4" s="2244" t="s">
        <v>29</v>
      </c>
      <c r="J4" s="2244"/>
      <c r="K4" s="2245" t="s">
        <v>13</v>
      </c>
      <c r="L4" s="2246"/>
      <c r="M4" s="2245" t="s">
        <v>67</v>
      </c>
      <c r="N4" s="2246"/>
      <c r="O4" s="2245" t="s">
        <v>68</v>
      </c>
      <c r="P4" s="2246"/>
      <c r="Q4" s="2245" t="s">
        <v>114</v>
      </c>
      <c r="R4" s="2246"/>
      <c r="S4" s="2244" t="s">
        <v>35</v>
      </c>
      <c r="T4" s="2244"/>
      <c r="U4" s="2245" t="s">
        <v>17</v>
      </c>
      <c r="V4" s="2246"/>
      <c r="W4" s="2247" t="s">
        <v>36</v>
      </c>
      <c r="X4" s="2248"/>
      <c r="Y4" s="2238" t="s">
        <v>30</v>
      </c>
    </row>
    <row r="5" spans="1:25" s="503" customFormat="1" ht="25.5" customHeight="1" x14ac:dyDescent="0.25">
      <c r="A5" s="2243"/>
      <c r="B5" s="2243"/>
      <c r="C5" s="505" t="s">
        <v>42</v>
      </c>
      <c r="D5" s="505" t="s">
        <v>43</v>
      </c>
      <c r="E5" s="505" t="s">
        <v>42</v>
      </c>
      <c r="F5" s="505" t="s">
        <v>43</v>
      </c>
      <c r="G5" s="505" t="s">
        <v>42</v>
      </c>
      <c r="H5" s="505" t="s">
        <v>43</v>
      </c>
      <c r="I5" s="505" t="s">
        <v>42</v>
      </c>
      <c r="J5" s="505" t="s">
        <v>43</v>
      </c>
      <c r="K5" s="505" t="s">
        <v>42</v>
      </c>
      <c r="L5" s="505" t="s">
        <v>43</v>
      </c>
      <c r="M5" s="505" t="s">
        <v>42</v>
      </c>
      <c r="N5" s="505" t="s">
        <v>43</v>
      </c>
      <c r="O5" s="505" t="s">
        <v>42</v>
      </c>
      <c r="P5" s="505" t="s">
        <v>43</v>
      </c>
      <c r="Q5" s="505" t="s">
        <v>42</v>
      </c>
      <c r="R5" s="505" t="s">
        <v>43</v>
      </c>
      <c r="S5" s="33" t="s">
        <v>42</v>
      </c>
      <c r="T5" s="33" t="s">
        <v>43</v>
      </c>
      <c r="U5" s="30" t="s">
        <v>42</v>
      </c>
      <c r="V5" s="30" t="s">
        <v>43</v>
      </c>
      <c r="W5" s="30" t="s">
        <v>42</v>
      </c>
      <c r="X5" s="30" t="s">
        <v>43</v>
      </c>
      <c r="Y5" s="2239"/>
    </row>
    <row r="6" spans="1:25" ht="34.5" customHeight="1" x14ac:dyDescent="0.25">
      <c r="A6" s="12">
        <v>1409935200</v>
      </c>
      <c r="B6" s="504" t="s">
        <v>71</v>
      </c>
      <c r="C6" s="507">
        <v>50578</v>
      </c>
      <c r="D6" s="508">
        <f>0.9725*C6</f>
        <v>49187.105000000003</v>
      </c>
      <c r="E6" s="507"/>
      <c r="F6" s="507">
        <f>67.1*E6</f>
        <v>0</v>
      </c>
      <c r="G6" s="507"/>
      <c r="H6" s="507">
        <f>28.2*G6</f>
        <v>0</v>
      </c>
      <c r="I6" s="507">
        <v>260</v>
      </c>
      <c r="J6" s="507">
        <f>18.5*I6</f>
        <v>4810</v>
      </c>
      <c r="K6" s="507"/>
      <c r="L6" s="507">
        <f>19.5*K6</f>
        <v>0</v>
      </c>
      <c r="M6" s="507"/>
      <c r="N6" s="508">
        <f>M6*9.75</f>
        <v>0</v>
      </c>
      <c r="O6" s="507"/>
      <c r="P6" s="508">
        <f>O6*48.62</f>
        <v>0</v>
      </c>
      <c r="Q6" s="508"/>
      <c r="R6" s="508">
        <f>241*Q6</f>
        <v>0</v>
      </c>
      <c r="S6" s="507"/>
      <c r="T6" s="507">
        <f>241*S6</f>
        <v>0</v>
      </c>
      <c r="U6" s="507">
        <v>16</v>
      </c>
      <c r="V6" s="507">
        <f>232*U6</f>
        <v>3712</v>
      </c>
      <c r="W6" s="507"/>
      <c r="X6" s="19">
        <f>W6*100</f>
        <v>0</v>
      </c>
      <c r="Y6" s="89">
        <f t="shared" ref="Y6:Y11" si="0">D6+F6+H6+J6+L6+N6+P6+R6+T6+V6+X6</f>
        <v>57709.105000000003</v>
      </c>
    </row>
    <row r="7" spans="1:25" ht="31.5" customHeight="1" x14ac:dyDescent="0.25">
      <c r="A7" s="12">
        <v>1984225578</v>
      </c>
      <c r="B7" s="504" t="s">
        <v>72</v>
      </c>
      <c r="C7" s="507">
        <v>24379</v>
      </c>
      <c r="D7" s="508">
        <f t="shared" ref="D7:D11" si="1">0.9725*C7</f>
        <v>23708.577499999999</v>
      </c>
      <c r="E7" s="507"/>
      <c r="F7" s="507">
        <f t="shared" ref="F7:F11" si="2">67.1*E7</f>
        <v>0</v>
      </c>
      <c r="G7" s="507">
        <v>30</v>
      </c>
      <c r="H7" s="507">
        <f t="shared" ref="H7:H11" si="3">28.2*G7</f>
        <v>846</v>
      </c>
      <c r="I7" s="507">
        <v>810</v>
      </c>
      <c r="J7" s="507">
        <f t="shared" ref="J7:J11" si="4">18.5*I7</f>
        <v>14985</v>
      </c>
      <c r="K7" s="507"/>
      <c r="L7" s="507">
        <f t="shared" ref="L7:L11" si="5">19.5*K7</f>
        <v>0</v>
      </c>
      <c r="M7" s="507"/>
      <c r="N7" s="508">
        <f t="shared" ref="N7:N11" si="6">M7*9.75</f>
        <v>0</v>
      </c>
      <c r="O7" s="507"/>
      <c r="P7" s="508">
        <f t="shared" ref="P7:P11" si="7">O7*48.62</f>
        <v>0</v>
      </c>
      <c r="Q7" s="508"/>
      <c r="R7" s="508">
        <f t="shared" ref="R7:R11" si="8">241*Q7</f>
        <v>0</v>
      </c>
      <c r="S7" s="507"/>
      <c r="T7" s="507">
        <f t="shared" ref="T7:T11" si="9">241*S7</f>
        <v>0</v>
      </c>
      <c r="U7" s="507"/>
      <c r="V7" s="507">
        <f t="shared" ref="V7:V11" si="10">232*U7</f>
        <v>0</v>
      </c>
      <c r="W7" s="507"/>
      <c r="X7" s="19">
        <f t="shared" ref="X7:X11" si="11">W7*100</f>
        <v>0</v>
      </c>
      <c r="Y7" s="89">
        <f t="shared" si="0"/>
        <v>39539.577499999999</v>
      </c>
    </row>
    <row r="8" spans="1:25" ht="35.25" customHeight="1" x14ac:dyDescent="0.25">
      <c r="A8" s="12">
        <v>1967020280</v>
      </c>
      <c r="B8" s="504" t="s">
        <v>73</v>
      </c>
      <c r="C8" s="507">
        <v>24944</v>
      </c>
      <c r="D8" s="508">
        <f t="shared" si="1"/>
        <v>24258.04</v>
      </c>
      <c r="E8" s="507"/>
      <c r="F8" s="507">
        <f t="shared" si="2"/>
        <v>0</v>
      </c>
      <c r="G8" s="507"/>
      <c r="H8" s="507">
        <f t="shared" si="3"/>
        <v>0</v>
      </c>
      <c r="I8" s="507">
        <v>100</v>
      </c>
      <c r="J8" s="507">
        <f t="shared" si="4"/>
        <v>1850</v>
      </c>
      <c r="K8" s="507"/>
      <c r="L8" s="507">
        <f t="shared" si="5"/>
        <v>0</v>
      </c>
      <c r="M8" s="507"/>
      <c r="N8" s="508">
        <f t="shared" si="6"/>
        <v>0</v>
      </c>
      <c r="O8" s="507"/>
      <c r="P8" s="508">
        <f t="shared" si="7"/>
        <v>0</v>
      </c>
      <c r="Q8" s="508"/>
      <c r="R8" s="508">
        <f t="shared" si="8"/>
        <v>0</v>
      </c>
      <c r="S8" s="507"/>
      <c r="T8" s="507">
        <f t="shared" si="9"/>
        <v>0</v>
      </c>
      <c r="U8" s="507"/>
      <c r="V8" s="507">
        <f t="shared" si="10"/>
        <v>0</v>
      </c>
      <c r="W8" s="507"/>
      <c r="X8" s="19">
        <f t="shared" si="11"/>
        <v>0</v>
      </c>
      <c r="Y8" s="89">
        <f t="shared" si="0"/>
        <v>26108.04</v>
      </c>
    </row>
    <row r="9" spans="1:25" ht="38.25" customHeight="1" x14ac:dyDescent="0.25">
      <c r="A9" s="12">
        <v>1984225580</v>
      </c>
      <c r="B9" s="504" t="s">
        <v>75</v>
      </c>
      <c r="C9" s="507">
        <v>17881</v>
      </c>
      <c r="D9" s="508">
        <f t="shared" si="1"/>
        <v>17389.272499999999</v>
      </c>
      <c r="E9" s="507"/>
      <c r="F9" s="507">
        <f t="shared" si="2"/>
        <v>0</v>
      </c>
      <c r="G9" s="507"/>
      <c r="H9" s="507">
        <f t="shared" si="3"/>
        <v>0</v>
      </c>
      <c r="I9" s="507">
        <v>380</v>
      </c>
      <c r="J9" s="507">
        <f t="shared" si="4"/>
        <v>7030</v>
      </c>
      <c r="K9" s="507"/>
      <c r="L9" s="507">
        <f t="shared" si="5"/>
        <v>0</v>
      </c>
      <c r="M9" s="507"/>
      <c r="N9" s="508">
        <f t="shared" si="6"/>
        <v>0</v>
      </c>
      <c r="O9" s="507"/>
      <c r="P9" s="508">
        <f t="shared" si="7"/>
        <v>0</v>
      </c>
      <c r="Q9" s="508"/>
      <c r="R9" s="508">
        <f t="shared" si="8"/>
        <v>0</v>
      </c>
      <c r="S9" s="507"/>
      <c r="T9" s="507">
        <f t="shared" si="9"/>
        <v>0</v>
      </c>
      <c r="U9" s="507">
        <v>11</v>
      </c>
      <c r="V9" s="507">
        <f t="shared" si="10"/>
        <v>2552</v>
      </c>
      <c r="W9" s="507"/>
      <c r="X9" s="19">
        <f t="shared" si="11"/>
        <v>0</v>
      </c>
      <c r="Y9" s="89">
        <f t="shared" si="0"/>
        <v>26971.272499999999</v>
      </c>
    </row>
    <row r="10" spans="1:25" ht="35.25" customHeight="1" x14ac:dyDescent="0.25">
      <c r="A10" s="12">
        <v>1409935199</v>
      </c>
      <c r="C10" s="507"/>
      <c r="D10" s="508">
        <f t="shared" si="1"/>
        <v>0</v>
      </c>
      <c r="E10" s="507"/>
      <c r="F10" s="507">
        <f t="shared" si="2"/>
        <v>0</v>
      </c>
      <c r="G10" s="507"/>
      <c r="H10" s="507">
        <f t="shared" si="3"/>
        <v>0</v>
      </c>
      <c r="I10" s="507">
        <v>300</v>
      </c>
      <c r="J10" s="507">
        <f t="shared" si="4"/>
        <v>5550</v>
      </c>
      <c r="K10" s="507"/>
      <c r="L10" s="507">
        <f t="shared" si="5"/>
        <v>0</v>
      </c>
      <c r="M10" s="507"/>
      <c r="N10" s="508">
        <f t="shared" si="6"/>
        <v>0</v>
      </c>
      <c r="O10" s="507"/>
      <c r="P10" s="508">
        <f t="shared" si="7"/>
        <v>0</v>
      </c>
      <c r="Q10" s="508"/>
      <c r="R10" s="508">
        <f t="shared" si="8"/>
        <v>0</v>
      </c>
      <c r="S10" s="507"/>
      <c r="T10" s="507">
        <f t="shared" si="9"/>
        <v>0</v>
      </c>
      <c r="U10" s="507"/>
      <c r="V10" s="507">
        <f t="shared" si="10"/>
        <v>0</v>
      </c>
      <c r="W10" s="507"/>
      <c r="X10" s="19">
        <f t="shared" si="11"/>
        <v>0</v>
      </c>
      <c r="Y10" s="89">
        <f t="shared" si="0"/>
        <v>5550</v>
      </c>
    </row>
    <row r="11" spans="1:25" ht="37.5" customHeight="1" x14ac:dyDescent="0.25">
      <c r="A11" s="12"/>
      <c r="B11" s="506"/>
      <c r="C11" s="507"/>
      <c r="D11" s="22">
        <f t="shared" si="1"/>
        <v>0</v>
      </c>
      <c r="E11" s="507"/>
      <c r="F11" s="507">
        <f t="shared" si="2"/>
        <v>0</v>
      </c>
      <c r="G11" s="507"/>
      <c r="H11" s="507">
        <f t="shared" si="3"/>
        <v>0</v>
      </c>
      <c r="I11" s="507"/>
      <c r="J11" s="507">
        <f t="shared" si="4"/>
        <v>0</v>
      </c>
      <c r="K11" s="507"/>
      <c r="L11" s="507">
        <f t="shared" si="5"/>
        <v>0</v>
      </c>
      <c r="M11" s="507"/>
      <c r="N11" s="508">
        <f t="shared" si="6"/>
        <v>0</v>
      </c>
      <c r="O11" s="507"/>
      <c r="P11" s="508">
        <f t="shared" si="7"/>
        <v>0</v>
      </c>
      <c r="Q11" s="508"/>
      <c r="R11" s="508">
        <f t="shared" si="8"/>
        <v>0</v>
      </c>
      <c r="S11" s="507"/>
      <c r="T11" s="507">
        <f t="shared" si="9"/>
        <v>0</v>
      </c>
      <c r="U11" s="507"/>
      <c r="V11" s="507">
        <f t="shared" si="10"/>
        <v>0</v>
      </c>
      <c r="W11" s="507"/>
      <c r="X11" s="19">
        <f t="shared" si="11"/>
        <v>0</v>
      </c>
      <c r="Y11" s="20">
        <f t="shared" si="0"/>
        <v>0</v>
      </c>
    </row>
    <row r="12" spans="1:25" ht="29.25" customHeight="1" x14ac:dyDescent="0.25">
      <c r="A12" s="2235" t="s">
        <v>31</v>
      </c>
      <c r="B12" s="2235"/>
      <c r="C12" s="18">
        <f t="shared" ref="C12:Y12" si="12">SUM(C6:C11)</f>
        <v>117782</v>
      </c>
      <c r="D12" s="18">
        <f t="shared" si="12"/>
        <v>114542.995</v>
      </c>
      <c r="E12" s="18">
        <f t="shared" si="12"/>
        <v>0</v>
      </c>
      <c r="F12" s="18">
        <f t="shared" si="12"/>
        <v>0</v>
      </c>
      <c r="G12" s="18">
        <f t="shared" si="12"/>
        <v>30</v>
      </c>
      <c r="H12" s="18">
        <f t="shared" si="12"/>
        <v>846</v>
      </c>
      <c r="I12" s="18">
        <f t="shared" si="12"/>
        <v>1850</v>
      </c>
      <c r="J12" s="18">
        <f t="shared" si="12"/>
        <v>34225</v>
      </c>
      <c r="K12" s="18">
        <f t="shared" si="12"/>
        <v>0</v>
      </c>
      <c r="L12" s="18">
        <f t="shared" si="12"/>
        <v>0</v>
      </c>
      <c r="M12" s="18">
        <f t="shared" si="12"/>
        <v>0</v>
      </c>
      <c r="N12" s="23">
        <f t="shared" si="12"/>
        <v>0</v>
      </c>
      <c r="O12" s="18">
        <f t="shared" si="12"/>
        <v>0</v>
      </c>
      <c r="P12" s="23">
        <f t="shared" si="12"/>
        <v>0</v>
      </c>
      <c r="Q12" s="23">
        <f t="shared" si="12"/>
        <v>0</v>
      </c>
      <c r="R12" s="23">
        <f>SUM(R6:R11)</f>
        <v>0</v>
      </c>
      <c r="S12" s="18">
        <f t="shared" si="12"/>
        <v>0</v>
      </c>
      <c r="T12" s="18">
        <f t="shared" si="12"/>
        <v>0</v>
      </c>
      <c r="U12" s="18">
        <f t="shared" si="12"/>
        <v>27</v>
      </c>
      <c r="V12" s="18">
        <f t="shared" si="12"/>
        <v>6264</v>
      </c>
      <c r="W12" s="18">
        <f t="shared" si="12"/>
        <v>0</v>
      </c>
      <c r="X12" s="18">
        <f t="shared" si="12"/>
        <v>0</v>
      </c>
      <c r="Y12" s="18">
        <f t="shared" si="12"/>
        <v>155877.995</v>
      </c>
    </row>
    <row r="14" spans="1:25" ht="41.25" customHeight="1" x14ac:dyDescent="0.25">
      <c r="A14" s="30" t="s">
        <v>32</v>
      </c>
      <c r="B14" s="2236" t="s">
        <v>27</v>
      </c>
      <c r="C14" s="2236"/>
      <c r="D14" s="30" t="s">
        <v>333</v>
      </c>
      <c r="E14" s="30" t="s">
        <v>65</v>
      </c>
      <c r="F14" s="30" t="s">
        <v>34</v>
      </c>
      <c r="G14" s="30" t="s">
        <v>13</v>
      </c>
      <c r="H14" s="469" t="s">
        <v>173</v>
      </c>
      <c r="I14" s="30" t="s">
        <v>17</v>
      </c>
      <c r="J14" s="512" t="s">
        <v>174</v>
      </c>
      <c r="K14" s="30" t="s">
        <v>36</v>
      </c>
      <c r="L14" s="30" t="s">
        <v>175</v>
      </c>
      <c r="M14" s="30" t="s">
        <v>69</v>
      </c>
      <c r="N14" s="30" t="s">
        <v>70</v>
      </c>
      <c r="O14" s="512" t="s">
        <v>114</v>
      </c>
      <c r="P14" s="512" t="s">
        <v>339</v>
      </c>
      <c r="Q14" s="2272"/>
      <c r="R14" s="2272"/>
      <c r="S14" s="512"/>
      <c r="T14" s="2235" t="s">
        <v>46</v>
      </c>
      <c r="U14" s="504" t="s">
        <v>176</v>
      </c>
      <c r="V14" s="2260">
        <v>1669</v>
      </c>
      <c r="W14" s="2268"/>
      <c r="X14" s="2261"/>
    </row>
    <row r="15" spans="1:25" ht="22.5" customHeight="1" x14ac:dyDescent="0.25">
      <c r="A15" s="100" t="s">
        <v>38</v>
      </c>
      <c r="B15" s="2260">
        <v>507103</v>
      </c>
      <c r="C15" s="2261"/>
      <c r="D15" s="509">
        <v>1260</v>
      </c>
      <c r="E15" s="509">
        <v>6430</v>
      </c>
      <c r="F15" s="509">
        <v>3620</v>
      </c>
      <c r="G15" s="509">
        <v>0</v>
      </c>
      <c r="H15" s="509">
        <v>1394</v>
      </c>
      <c r="I15" s="509">
        <v>55</v>
      </c>
      <c r="J15" s="509">
        <v>165</v>
      </c>
      <c r="K15" s="509">
        <v>62</v>
      </c>
      <c r="L15" s="509">
        <v>675</v>
      </c>
      <c r="M15" s="509">
        <v>0</v>
      </c>
      <c r="N15" s="509">
        <v>100</v>
      </c>
      <c r="O15" s="509">
        <v>0</v>
      </c>
      <c r="P15" s="509">
        <v>755</v>
      </c>
      <c r="Q15" s="2262"/>
      <c r="R15" s="2262"/>
      <c r="S15" s="504">
        <v>0</v>
      </c>
      <c r="T15" s="2235"/>
      <c r="U15" s="504" t="s">
        <v>64</v>
      </c>
      <c r="V15" s="2262">
        <v>5007</v>
      </c>
      <c r="W15" s="2262"/>
      <c r="X15" s="2262"/>
    </row>
    <row r="16" spans="1:25" ht="24.75" customHeight="1" x14ac:dyDescent="0.25">
      <c r="A16" s="100" t="s">
        <v>39</v>
      </c>
      <c r="B16" s="2260"/>
      <c r="C16" s="2261"/>
      <c r="D16" s="509"/>
      <c r="E16" s="509"/>
      <c r="F16" s="509"/>
      <c r="G16" s="509"/>
      <c r="H16" s="509"/>
      <c r="I16" s="509"/>
      <c r="J16" s="509"/>
      <c r="K16" s="509"/>
      <c r="L16" s="509"/>
      <c r="M16" s="509"/>
      <c r="N16" s="509"/>
      <c r="O16" s="509"/>
      <c r="P16" s="509"/>
      <c r="Q16" s="2225"/>
      <c r="R16" s="2225"/>
      <c r="S16" s="509"/>
      <c r="T16" s="2254" t="s">
        <v>55</v>
      </c>
      <c r="U16" s="2254"/>
      <c r="V16" s="2267">
        <f>Y12</f>
        <v>155877.995</v>
      </c>
      <c r="W16" s="2267"/>
      <c r="X16" s="2262"/>
    </row>
    <row r="17" spans="1:25" ht="28.5" customHeight="1" x14ac:dyDescent="0.25">
      <c r="A17" s="101" t="s">
        <v>44</v>
      </c>
      <c r="B17" s="2260"/>
      <c r="C17" s="2261"/>
      <c r="D17" s="509"/>
      <c r="E17" s="509"/>
      <c r="F17" s="509"/>
      <c r="G17" s="509"/>
      <c r="H17" s="509"/>
      <c r="I17" s="509"/>
      <c r="J17" s="509"/>
      <c r="K17" s="509"/>
      <c r="L17" s="509"/>
      <c r="M17" s="509"/>
      <c r="N17" s="509"/>
      <c r="O17" s="509"/>
      <c r="P17" s="509"/>
      <c r="Q17" s="2225"/>
      <c r="R17" s="2225"/>
      <c r="S17" s="506"/>
      <c r="T17" s="2294"/>
      <c r="U17" s="2295"/>
      <c r="V17" s="2296"/>
      <c r="W17" s="2296"/>
      <c r="X17" s="2296"/>
    </row>
    <row r="18" spans="1:25" ht="27" customHeight="1" x14ac:dyDescent="0.25">
      <c r="A18" s="100" t="s">
        <v>40</v>
      </c>
      <c r="B18" s="2264">
        <f>C12</f>
        <v>117782</v>
      </c>
      <c r="C18" s="2261"/>
      <c r="D18" s="510">
        <f>E12</f>
        <v>0</v>
      </c>
      <c r="E18" s="510">
        <f>G12</f>
        <v>30</v>
      </c>
      <c r="F18" s="510">
        <f>I12</f>
        <v>1850</v>
      </c>
      <c r="G18" s="510">
        <f>K12</f>
        <v>0</v>
      </c>
      <c r="H18" s="509"/>
      <c r="I18" s="510">
        <f>U12</f>
        <v>27</v>
      </c>
      <c r="J18" s="509"/>
      <c r="K18" s="510">
        <f>W12</f>
        <v>0</v>
      </c>
      <c r="L18" s="509"/>
      <c r="M18" s="510">
        <f>M12</f>
        <v>0</v>
      </c>
      <c r="N18" s="510">
        <f>O12</f>
        <v>0</v>
      </c>
      <c r="O18" s="511">
        <f>Q12</f>
        <v>0</v>
      </c>
      <c r="P18" s="509"/>
      <c r="Q18" s="2262"/>
      <c r="R18" s="2262"/>
      <c r="S18" s="504"/>
      <c r="T18" s="2254" t="s">
        <v>57</v>
      </c>
      <c r="U18" s="2254"/>
      <c r="V18" s="2262">
        <f>620+2824</f>
        <v>3444</v>
      </c>
      <c r="W18" s="2262"/>
      <c r="X18" s="2262"/>
      <c r="Y18" s="2269"/>
    </row>
    <row r="19" spans="1:25" ht="25.5" customHeight="1" x14ac:dyDescent="0.25">
      <c r="A19" s="100" t="s">
        <v>41</v>
      </c>
      <c r="B19" s="2260">
        <f>B15+B16+B17-B18</f>
        <v>389321</v>
      </c>
      <c r="C19" s="2261"/>
      <c r="D19" s="509">
        <f>D15+D16+D17-D18</f>
        <v>1260</v>
      </c>
      <c r="E19" s="509">
        <f t="shared" ref="E19:N19" si="13">E15+E16+E17-E18</f>
        <v>6400</v>
      </c>
      <c r="F19" s="509">
        <f t="shared" si="13"/>
        <v>1770</v>
      </c>
      <c r="G19" s="509">
        <f t="shared" si="13"/>
        <v>0</v>
      </c>
      <c r="H19" s="509">
        <f t="shared" si="13"/>
        <v>1394</v>
      </c>
      <c r="I19" s="509">
        <f t="shared" si="13"/>
        <v>28</v>
      </c>
      <c r="J19" s="509">
        <f t="shared" si="13"/>
        <v>165</v>
      </c>
      <c r="K19" s="509">
        <f t="shared" si="13"/>
        <v>62</v>
      </c>
      <c r="L19" s="509">
        <f t="shared" si="13"/>
        <v>675</v>
      </c>
      <c r="M19" s="509">
        <f t="shared" si="13"/>
        <v>0</v>
      </c>
      <c r="N19" s="509">
        <f t="shared" si="13"/>
        <v>100</v>
      </c>
      <c r="O19" s="509">
        <f>O15+O16+O17-O18</f>
        <v>0</v>
      </c>
      <c r="P19" s="509">
        <f>P15+P16+P17-P18</f>
        <v>755</v>
      </c>
      <c r="Q19" s="2260">
        <f t="shared" ref="Q19" si="14">Q15+Q16+Q17-Q18</f>
        <v>0</v>
      </c>
      <c r="R19" s="2261"/>
      <c r="S19" s="504">
        <f>S15+S16-S17-S18</f>
        <v>0</v>
      </c>
      <c r="T19" s="2256" t="s">
        <v>48</v>
      </c>
      <c r="U19" s="49" t="s">
        <v>58</v>
      </c>
      <c r="V19" s="2262">
        <v>76000</v>
      </c>
      <c r="W19" s="2262"/>
      <c r="X19" s="2262"/>
      <c r="Y19" s="2269"/>
    </row>
    <row r="20" spans="1:25" ht="23.25" customHeight="1" x14ac:dyDescent="0.25">
      <c r="A20" s="289" t="s">
        <v>187</v>
      </c>
      <c r="B20" s="2286">
        <f>B19*0.9625</f>
        <v>374721.46250000002</v>
      </c>
      <c r="C20" s="2287"/>
      <c r="D20" s="290">
        <f>D19*66.41</f>
        <v>83676.599999999991</v>
      </c>
      <c r="E20" s="290">
        <f>28.2*E19</f>
        <v>180480</v>
      </c>
      <c r="F20" s="290">
        <f>18.31*F19</f>
        <v>32408.699999999997</v>
      </c>
      <c r="G20" s="290">
        <f>19.3*G19</f>
        <v>0</v>
      </c>
      <c r="H20" s="290">
        <f>241*H19</f>
        <v>335954</v>
      </c>
      <c r="I20" s="290">
        <f>223*I19</f>
        <v>6244</v>
      </c>
      <c r="J20" s="290">
        <f>241*J19</f>
        <v>39765</v>
      </c>
      <c r="K20" s="290">
        <f>K19*100</f>
        <v>6200</v>
      </c>
      <c r="L20" s="290">
        <f>241*L19</f>
        <v>162675</v>
      </c>
      <c r="M20" s="290">
        <f>9.65*M19</f>
        <v>0</v>
      </c>
      <c r="N20" s="290">
        <f>N19*48.2</f>
        <v>4820</v>
      </c>
      <c r="O20" s="290">
        <f>241*O19</f>
        <v>0</v>
      </c>
      <c r="P20" s="290">
        <f>241*P19</f>
        <v>181955</v>
      </c>
      <c r="Q20" s="2286">
        <f>241*Q19</f>
        <v>0</v>
      </c>
      <c r="R20" s="2287"/>
      <c r="S20" s="290">
        <f>241*S19</f>
        <v>0</v>
      </c>
      <c r="T20" s="2257"/>
      <c r="U20" s="49" t="s">
        <v>59</v>
      </c>
      <c r="V20" s="2262"/>
      <c r="W20" s="2262"/>
      <c r="X20" s="2262"/>
      <c r="Y20" s="2269"/>
    </row>
    <row r="21" spans="1:25" ht="32.25" customHeight="1" x14ac:dyDescent="0.25">
      <c r="A21" s="291" t="s">
        <v>186</v>
      </c>
      <c r="B21" s="2293">
        <f>SUM(B20:S20)</f>
        <v>1408899.7625</v>
      </c>
      <c r="C21" s="2293"/>
      <c r="O21" s="513"/>
      <c r="P21" s="513"/>
      <c r="Q21" s="513"/>
      <c r="R21" s="513"/>
      <c r="T21" s="2294" t="s">
        <v>340</v>
      </c>
      <c r="U21" s="2295"/>
      <c r="V21" s="2297">
        <v>74000</v>
      </c>
      <c r="W21" s="2298"/>
      <c r="X21" s="2299"/>
      <c r="Y21" s="2269"/>
    </row>
    <row r="22" spans="1:25" ht="35.25" customHeight="1" x14ac:dyDescent="0.25">
      <c r="A22" s="15"/>
      <c r="B22" s="2288" t="s">
        <v>49</v>
      </c>
      <c r="C22" s="2291">
        <v>1011100</v>
      </c>
      <c r="D22" s="2291">
        <v>76000</v>
      </c>
      <c r="E22" s="2291"/>
      <c r="F22" s="2291">
        <f>C22-D22+E22</f>
        <v>935100</v>
      </c>
      <c r="G22" s="513"/>
      <c r="Q22" s="513"/>
      <c r="R22" s="513"/>
      <c r="T22" s="2251" t="s">
        <v>83</v>
      </c>
      <c r="U22" s="50" t="s">
        <v>60</v>
      </c>
      <c r="V22" s="2262">
        <v>150240</v>
      </c>
      <c r="W22" s="2262"/>
      <c r="X22" s="2262"/>
      <c r="Y22" s="2269"/>
    </row>
    <row r="23" spans="1:25" ht="39.75" customHeight="1" x14ac:dyDescent="0.25">
      <c r="A23" s="513"/>
      <c r="B23" s="2289"/>
      <c r="C23" s="2292"/>
      <c r="D23" s="2292"/>
      <c r="E23" s="2292"/>
      <c r="F23" s="2292"/>
      <c r="G23" s="513"/>
      <c r="Q23" s="513"/>
      <c r="R23" s="513"/>
      <c r="T23" s="2252"/>
      <c r="U23" s="50" t="s">
        <v>61</v>
      </c>
      <c r="V23" s="2262">
        <v>150000</v>
      </c>
      <c r="W23" s="2262"/>
      <c r="X23" s="2262"/>
      <c r="Y23" s="2269"/>
    </row>
    <row r="24" spans="1:25" ht="48" customHeight="1" x14ac:dyDescent="0.25">
      <c r="A24" s="513"/>
      <c r="B24" s="2290"/>
      <c r="C24" s="290" t="s">
        <v>46</v>
      </c>
      <c r="D24" s="290" t="s">
        <v>50</v>
      </c>
      <c r="E24" s="290" t="s">
        <v>51</v>
      </c>
      <c r="F24" s="290" t="s">
        <v>52</v>
      </c>
      <c r="G24" s="513"/>
      <c r="Q24" s="513"/>
      <c r="R24" s="513"/>
      <c r="T24" s="2235" t="s">
        <v>47</v>
      </c>
      <c r="U24" s="51" t="s">
        <v>62</v>
      </c>
      <c r="V24" s="2263">
        <f>V14+V16+V17-V18-V19-V20-V22+V23-V21</f>
        <v>3862.9949999999953</v>
      </c>
      <c r="W24" s="2263"/>
      <c r="X24" s="2263"/>
      <c r="Y24" s="2269"/>
    </row>
    <row r="25" spans="1:25" ht="40.5" customHeight="1" x14ac:dyDescent="0.25">
      <c r="T25" s="2235"/>
      <c r="U25" s="51" t="s">
        <v>63</v>
      </c>
      <c r="V25" s="2262">
        <f>V15+V22-V23</f>
        <v>5247</v>
      </c>
      <c r="W25" s="2262"/>
      <c r="X25" s="2262"/>
    </row>
    <row r="26" spans="1:25" ht="36" customHeight="1" x14ac:dyDescent="0.25">
      <c r="K26" s="314"/>
    </row>
    <row r="32" spans="1:25" x14ac:dyDescent="0.25">
      <c r="I32" s="2280"/>
      <c r="J32" s="2280"/>
      <c r="K32" s="2280"/>
      <c r="L32" s="2280"/>
    </row>
    <row r="33" spans="9:12" x14ac:dyDescent="0.25">
      <c r="I33" s="513"/>
      <c r="J33" s="513"/>
      <c r="K33" s="2280"/>
      <c r="L33" s="2280"/>
    </row>
  </sheetData>
  <mergeCells count="62">
    <mergeCell ref="I32:J32"/>
    <mergeCell ref="K32:L32"/>
    <mergeCell ref="K33:L33"/>
    <mergeCell ref="T22:T23"/>
    <mergeCell ref="V22:X22"/>
    <mergeCell ref="V23:X23"/>
    <mergeCell ref="T24:T25"/>
    <mergeCell ref="V24:X24"/>
    <mergeCell ref="V25:X25"/>
    <mergeCell ref="Y18:Y24"/>
    <mergeCell ref="B19:C19"/>
    <mergeCell ref="Q19:R19"/>
    <mergeCell ref="T19:T20"/>
    <mergeCell ref="V19:X19"/>
    <mergeCell ref="B20:C20"/>
    <mergeCell ref="B22:B24"/>
    <mergeCell ref="C22:C23"/>
    <mergeCell ref="D22:D23"/>
    <mergeCell ref="E22:E23"/>
    <mergeCell ref="F22:F23"/>
    <mergeCell ref="Q20:R20"/>
    <mergeCell ref="V20:X20"/>
    <mergeCell ref="B21:C21"/>
    <mergeCell ref="T21:U21"/>
    <mergeCell ref="V21:X21"/>
    <mergeCell ref="B17:C17"/>
    <mergeCell ref="Q17:R17"/>
    <mergeCell ref="T17:U17"/>
    <mergeCell ref="V17:X17"/>
    <mergeCell ref="B18:C18"/>
    <mergeCell ref="Q18:R18"/>
    <mergeCell ref="T18:U18"/>
    <mergeCell ref="V18:X18"/>
    <mergeCell ref="W4:X4"/>
    <mergeCell ref="B16:C16"/>
    <mergeCell ref="Q16:R16"/>
    <mergeCell ref="T16:U16"/>
    <mergeCell ref="V16:X16"/>
    <mergeCell ref="A12:B12"/>
    <mergeCell ref="B14:C14"/>
    <mergeCell ref="Q14:R14"/>
    <mergeCell ref="T14:T15"/>
    <mergeCell ref="V14:X14"/>
    <mergeCell ref="B15:C15"/>
    <mergeCell ref="Q15:R15"/>
    <mergeCell ref="V15:X15"/>
    <mergeCell ref="A1:Y1"/>
    <mergeCell ref="A2:Y2"/>
    <mergeCell ref="T3:Y3"/>
    <mergeCell ref="A4:A5"/>
    <mergeCell ref="B4:B5"/>
    <mergeCell ref="C4:D4"/>
    <mergeCell ref="E4:F4"/>
    <mergeCell ref="G4:H4"/>
    <mergeCell ref="I4:J4"/>
    <mergeCell ref="K4:L4"/>
    <mergeCell ref="Y4:Y5"/>
    <mergeCell ref="M4:N4"/>
    <mergeCell ref="O4:P4"/>
    <mergeCell ref="Q4:R4"/>
    <mergeCell ref="S4:T4"/>
    <mergeCell ref="U4:V4"/>
  </mergeCells>
  <pageMargins left="0.15748031496063" right="0.15748031496063" top="0" bottom="0" header="0" footer="0"/>
  <pageSetup paperSize="9" scale="47" orientation="landscape" r:id="rId1"/>
</worksheet>
</file>

<file path=xl/worksheets/sheet1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2FEE9A7-D783-4D01-BCDD-F9D77BA36A20}">
  <sheetPr>
    <pageSetUpPr fitToPage="1"/>
  </sheetPr>
  <dimension ref="A1:Y33"/>
  <sheetViews>
    <sheetView topLeftCell="A12" zoomScale="70" zoomScaleNormal="70" zoomScaleSheetLayoutView="100" workbookViewId="0">
      <selection activeCell="T21" sqref="T21:U21"/>
    </sheetView>
  </sheetViews>
  <sheetFormatPr defaultColWidth="9.140625" defaultRowHeight="15" x14ac:dyDescent="0.25"/>
  <cols>
    <col min="1" max="1" width="18.28515625" style="14" customWidth="1"/>
    <col min="2" max="2" width="10.7109375" style="14" customWidth="1"/>
    <col min="3" max="3" width="12.28515625" style="14" customWidth="1"/>
    <col min="4" max="4" width="13.140625" style="14" bestFit="1" customWidth="1"/>
    <col min="5" max="5" width="12" style="14" customWidth="1"/>
    <col min="6" max="6" width="12.5703125" style="14" bestFit="1" customWidth="1"/>
    <col min="7" max="7" width="9.28515625" style="14" bestFit="1" customWidth="1"/>
    <col min="8" max="8" width="10.140625" style="14" bestFit="1" customWidth="1"/>
    <col min="9" max="9" width="10.5703125" style="14" bestFit="1" customWidth="1"/>
    <col min="10" max="10" width="10.5703125" style="14" customWidth="1"/>
    <col min="11" max="11" width="10.28515625" style="14" bestFit="1" customWidth="1"/>
    <col min="12" max="12" width="10.42578125" style="14" bestFit="1" customWidth="1"/>
    <col min="13" max="13" width="9.85546875" style="14" bestFit="1" customWidth="1"/>
    <col min="14" max="14" width="10.140625" style="14" bestFit="1" customWidth="1"/>
    <col min="15" max="15" width="9" style="14" customWidth="1"/>
    <col min="16" max="16" width="12.85546875" style="14" bestFit="1" customWidth="1"/>
    <col min="17" max="18" width="9.42578125" style="14" customWidth="1"/>
    <col min="19" max="19" width="13.7109375" style="14" customWidth="1"/>
    <col min="20" max="20" width="12.140625" style="14" customWidth="1"/>
    <col min="21" max="21" width="19.5703125" style="14" bestFit="1" customWidth="1"/>
    <col min="22" max="22" width="9.85546875" style="14" customWidth="1"/>
    <col min="23" max="23" width="10.140625" style="14" bestFit="1" customWidth="1"/>
    <col min="24" max="24" width="10.28515625" style="14" customWidth="1"/>
    <col min="25" max="25" width="28" style="14" customWidth="1"/>
    <col min="26" max="16384" width="9.140625" style="14"/>
  </cols>
  <sheetData>
    <row r="1" spans="1:25" ht="46.15" customHeight="1" x14ac:dyDescent="0.25">
      <c r="A1" s="2240" t="s">
        <v>148</v>
      </c>
      <c r="B1" s="2240"/>
      <c r="C1" s="2240"/>
      <c r="D1" s="2240"/>
      <c r="E1" s="2240"/>
      <c r="F1" s="2240"/>
      <c r="G1" s="2240"/>
      <c r="H1" s="2240"/>
      <c r="I1" s="2240"/>
      <c r="J1" s="2240"/>
      <c r="K1" s="2240"/>
      <c r="L1" s="2240"/>
      <c r="M1" s="2240"/>
      <c r="N1" s="2240"/>
      <c r="O1" s="2240"/>
      <c r="P1" s="2240"/>
      <c r="Q1" s="2240"/>
      <c r="R1" s="2240"/>
      <c r="S1" s="2240"/>
      <c r="T1" s="2240"/>
      <c r="U1" s="2240"/>
      <c r="V1" s="2240"/>
      <c r="W1" s="2240"/>
      <c r="X1" s="2240"/>
      <c r="Y1" s="2240"/>
    </row>
    <row r="2" spans="1:25" ht="21.6" customHeight="1" x14ac:dyDescent="0.25">
      <c r="A2" s="2241" t="s">
        <v>77</v>
      </c>
      <c r="B2" s="2241"/>
      <c r="C2" s="2241"/>
      <c r="D2" s="2241"/>
      <c r="E2" s="2241"/>
      <c r="F2" s="2241"/>
      <c r="G2" s="2241"/>
      <c r="H2" s="2241"/>
      <c r="I2" s="2241"/>
      <c r="J2" s="2241"/>
      <c r="K2" s="2241"/>
      <c r="L2" s="2241"/>
      <c r="M2" s="2241"/>
      <c r="N2" s="2241"/>
      <c r="O2" s="2241"/>
      <c r="P2" s="2241"/>
      <c r="Q2" s="2241"/>
      <c r="R2" s="2241"/>
      <c r="S2" s="2241"/>
      <c r="T2" s="2241"/>
      <c r="U2" s="2241"/>
      <c r="V2" s="2241"/>
      <c r="W2" s="2241"/>
      <c r="X2" s="2241"/>
      <c r="Y2" s="2241"/>
    </row>
    <row r="3" spans="1:25" ht="21" customHeight="1" x14ac:dyDescent="0.25">
      <c r="A3" s="519"/>
      <c r="B3" s="519"/>
      <c r="C3" s="519"/>
      <c r="D3" s="519"/>
      <c r="E3" s="519"/>
      <c r="F3" s="519"/>
      <c r="G3" s="519"/>
      <c r="H3" s="519"/>
      <c r="I3" s="519"/>
      <c r="J3" s="519"/>
      <c r="K3" s="519"/>
      <c r="L3" s="519"/>
      <c r="M3" s="519"/>
      <c r="N3" s="519"/>
      <c r="O3" s="519"/>
      <c r="P3" s="519"/>
      <c r="Q3" s="519"/>
      <c r="R3" s="519"/>
      <c r="S3" s="519"/>
      <c r="T3" s="2242" t="s">
        <v>350</v>
      </c>
      <c r="U3" s="2242"/>
      <c r="V3" s="2242"/>
      <c r="W3" s="2242"/>
      <c r="X3" s="2242"/>
      <c r="Y3" s="2242"/>
    </row>
    <row r="4" spans="1:25" s="519" customFormat="1" ht="18" customHeight="1" x14ac:dyDescent="0.25">
      <c r="A4" s="2243" t="s">
        <v>25</v>
      </c>
      <c r="B4" s="2243" t="s">
        <v>26</v>
      </c>
      <c r="C4" s="2244" t="s">
        <v>27</v>
      </c>
      <c r="D4" s="2244"/>
      <c r="E4" s="2244" t="s">
        <v>342</v>
      </c>
      <c r="F4" s="2244"/>
      <c r="G4" s="2244" t="s">
        <v>65</v>
      </c>
      <c r="H4" s="2244"/>
      <c r="I4" s="2244" t="s">
        <v>29</v>
      </c>
      <c r="J4" s="2244"/>
      <c r="K4" s="2245" t="s">
        <v>13</v>
      </c>
      <c r="L4" s="2246"/>
      <c r="M4" s="2245" t="s">
        <v>67</v>
      </c>
      <c r="N4" s="2246"/>
      <c r="O4" s="2245" t="s">
        <v>68</v>
      </c>
      <c r="P4" s="2246"/>
      <c r="Q4" s="2245" t="s">
        <v>114</v>
      </c>
      <c r="R4" s="2246"/>
      <c r="S4" s="2244" t="s">
        <v>35</v>
      </c>
      <c r="T4" s="2244"/>
      <c r="U4" s="2245" t="s">
        <v>17</v>
      </c>
      <c r="V4" s="2246"/>
      <c r="W4" s="2247" t="s">
        <v>36</v>
      </c>
      <c r="X4" s="2248"/>
      <c r="Y4" s="2238" t="s">
        <v>30</v>
      </c>
    </row>
    <row r="5" spans="1:25" s="519" customFormat="1" ht="25.5" customHeight="1" x14ac:dyDescent="0.25">
      <c r="A5" s="2243"/>
      <c r="B5" s="2243"/>
      <c r="C5" s="518" t="s">
        <v>42</v>
      </c>
      <c r="D5" s="518" t="s">
        <v>43</v>
      </c>
      <c r="E5" s="518" t="s">
        <v>42</v>
      </c>
      <c r="F5" s="518" t="s">
        <v>43</v>
      </c>
      <c r="G5" s="518" t="s">
        <v>42</v>
      </c>
      <c r="H5" s="518" t="s">
        <v>43</v>
      </c>
      <c r="I5" s="518" t="s">
        <v>42</v>
      </c>
      <c r="J5" s="518" t="s">
        <v>43</v>
      </c>
      <c r="K5" s="518" t="s">
        <v>42</v>
      </c>
      <c r="L5" s="518" t="s">
        <v>43</v>
      </c>
      <c r="M5" s="518" t="s">
        <v>42</v>
      </c>
      <c r="N5" s="518" t="s">
        <v>43</v>
      </c>
      <c r="O5" s="518" t="s">
        <v>42</v>
      </c>
      <c r="P5" s="518" t="s">
        <v>43</v>
      </c>
      <c r="Q5" s="518" t="s">
        <v>42</v>
      </c>
      <c r="R5" s="518" t="s">
        <v>43</v>
      </c>
      <c r="S5" s="33" t="s">
        <v>42</v>
      </c>
      <c r="T5" s="33" t="s">
        <v>43</v>
      </c>
      <c r="U5" s="30" t="s">
        <v>42</v>
      </c>
      <c r="V5" s="30" t="s">
        <v>43</v>
      </c>
      <c r="W5" s="30" t="s">
        <v>42</v>
      </c>
      <c r="X5" s="30" t="s">
        <v>43</v>
      </c>
      <c r="Y5" s="2239"/>
    </row>
    <row r="6" spans="1:25" ht="34.5" customHeight="1" x14ac:dyDescent="0.25">
      <c r="A6" s="12">
        <v>1409935200</v>
      </c>
      <c r="B6" s="517" t="s">
        <v>71</v>
      </c>
      <c r="C6" s="515">
        <v>135739</v>
      </c>
      <c r="D6" s="514">
        <f>0.9725*C6</f>
        <v>132006.17749999999</v>
      </c>
      <c r="E6" s="515"/>
      <c r="F6" s="515">
        <f>67.1*E6</f>
        <v>0</v>
      </c>
      <c r="G6" s="515">
        <v>105</v>
      </c>
      <c r="H6" s="515">
        <f>28.2*G6</f>
        <v>2961</v>
      </c>
      <c r="I6" s="515"/>
      <c r="J6" s="515">
        <f>18.5*I6</f>
        <v>0</v>
      </c>
      <c r="K6" s="515"/>
      <c r="L6" s="515">
        <f>19.5*K6</f>
        <v>0</v>
      </c>
      <c r="M6" s="515"/>
      <c r="N6" s="514">
        <f>M6*9.75</f>
        <v>0</v>
      </c>
      <c r="O6" s="515"/>
      <c r="P6" s="514">
        <f>O6*48.62</f>
        <v>0</v>
      </c>
      <c r="Q6" s="514"/>
      <c r="R6" s="514">
        <f>241*Q6</f>
        <v>0</v>
      </c>
      <c r="S6" s="515"/>
      <c r="T6" s="515">
        <f>241*S6</f>
        <v>0</v>
      </c>
      <c r="U6" s="515"/>
      <c r="V6" s="515">
        <f>232*U6</f>
        <v>0</v>
      </c>
      <c r="W6" s="515"/>
      <c r="X6" s="19">
        <f>W6*100</f>
        <v>0</v>
      </c>
      <c r="Y6" s="89">
        <f t="shared" ref="Y6:Y11" si="0">D6+F6+H6+J6+L6+N6+P6+R6+T6+V6+X6</f>
        <v>134967.17749999999</v>
      </c>
    </row>
    <row r="7" spans="1:25" ht="31.5" customHeight="1" x14ac:dyDescent="0.25">
      <c r="A7" s="12">
        <v>1984225578</v>
      </c>
      <c r="B7" s="517" t="s">
        <v>72</v>
      </c>
      <c r="C7" s="515">
        <v>49173</v>
      </c>
      <c r="D7" s="514">
        <f t="shared" ref="D7:D11" si="1">0.9725*C7</f>
        <v>47820.7425</v>
      </c>
      <c r="E7" s="515"/>
      <c r="F7" s="515">
        <f t="shared" ref="F7:F11" si="2">67.1*E7</f>
        <v>0</v>
      </c>
      <c r="G7" s="515"/>
      <c r="H7" s="515">
        <f t="shared" ref="H7:H11" si="3">28.2*G7</f>
        <v>0</v>
      </c>
      <c r="I7" s="515">
        <v>30</v>
      </c>
      <c r="J7" s="515">
        <f t="shared" ref="J7:J11" si="4">18.5*I7</f>
        <v>555</v>
      </c>
      <c r="K7" s="515"/>
      <c r="L7" s="515">
        <f t="shared" ref="L7:L11" si="5">19.5*K7</f>
        <v>0</v>
      </c>
      <c r="M7" s="515"/>
      <c r="N7" s="514">
        <f t="shared" ref="N7:N11" si="6">M7*9.75</f>
        <v>0</v>
      </c>
      <c r="O7" s="515"/>
      <c r="P7" s="514">
        <f t="shared" ref="P7:P11" si="7">O7*48.62</f>
        <v>0</v>
      </c>
      <c r="Q7" s="514"/>
      <c r="R7" s="514">
        <f t="shared" ref="R7:R11" si="8">241*Q7</f>
        <v>0</v>
      </c>
      <c r="S7" s="515">
        <v>25</v>
      </c>
      <c r="T7" s="515">
        <f t="shared" ref="T7:T11" si="9">241*S7</f>
        <v>6025</v>
      </c>
      <c r="U7" s="515"/>
      <c r="V7" s="515">
        <f t="shared" ref="V7:V11" si="10">232*U7</f>
        <v>0</v>
      </c>
      <c r="W7" s="515"/>
      <c r="X7" s="19">
        <f t="shared" ref="X7:X11" si="11">W7*100</f>
        <v>0</v>
      </c>
      <c r="Y7" s="89">
        <f t="shared" si="0"/>
        <v>54400.7425</v>
      </c>
    </row>
    <row r="8" spans="1:25" ht="35.25" customHeight="1" x14ac:dyDescent="0.25">
      <c r="A8" s="12">
        <v>1967020280</v>
      </c>
      <c r="B8" s="517" t="s">
        <v>73</v>
      </c>
      <c r="C8" s="515">
        <v>60961</v>
      </c>
      <c r="D8" s="514">
        <f t="shared" si="1"/>
        <v>59284.572500000002</v>
      </c>
      <c r="E8" s="515"/>
      <c r="F8" s="515">
        <f t="shared" si="2"/>
        <v>0</v>
      </c>
      <c r="G8" s="515">
        <v>90</v>
      </c>
      <c r="H8" s="515">
        <f t="shared" si="3"/>
        <v>2538</v>
      </c>
      <c r="I8" s="515"/>
      <c r="J8" s="515">
        <f t="shared" si="4"/>
        <v>0</v>
      </c>
      <c r="K8" s="515"/>
      <c r="L8" s="515">
        <f t="shared" si="5"/>
        <v>0</v>
      </c>
      <c r="M8" s="515"/>
      <c r="N8" s="514">
        <f t="shared" si="6"/>
        <v>0</v>
      </c>
      <c r="O8" s="515"/>
      <c r="P8" s="514">
        <f t="shared" si="7"/>
        <v>0</v>
      </c>
      <c r="Q8" s="514"/>
      <c r="R8" s="514">
        <f t="shared" si="8"/>
        <v>0</v>
      </c>
      <c r="S8" s="515"/>
      <c r="T8" s="515">
        <f t="shared" si="9"/>
        <v>0</v>
      </c>
      <c r="U8" s="515"/>
      <c r="V8" s="515">
        <f t="shared" si="10"/>
        <v>0</v>
      </c>
      <c r="W8" s="515"/>
      <c r="X8" s="19">
        <f t="shared" si="11"/>
        <v>0</v>
      </c>
      <c r="Y8" s="89">
        <f t="shared" si="0"/>
        <v>61822.572500000002</v>
      </c>
    </row>
    <row r="9" spans="1:25" ht="38.25" customHeight="1" x14ac:dyDescent="0.25">
      <c r="A9" s="12">
        <v>1984225580</v>
      </c>
      <c r="B9" s="517" t="s">
        <v>75</v>
      </c>
      <c r="C9" s="515">
        <v>81145</v>
      </c>
      <c r="D9" s="514">
        <f t="shared" si="1"/>
        <v>78913.512499999997</v>
      </c>
      <c r="E9" s="515"/>
      <c r="F9" s="515">
        <f t="shared" si="2"/>
        <v>0</v>
      </c>
      <c r="G9" s="515"/>
      <c r="H9" s="515">
        <f t="shared" si="3"/>
        <v>0</v>
      </c>
      <c r="I9" s="515"/>
      <c r="J9" s="515">
        <f t="shared" si="4"/>
        <v>0</v>
      </c>
      <c r="K9" s="515"/>
      <c r="L9" s="515">
        <f t="shared" si="5"/>
        <v>0</v>
      </c>
      <c r="M9" s="515"/>
      <c r="N9" s="514">
        <f t="shared" si="6"/>
        <v>0</v>
      </c>
      <c r="O9" s="515"/>
      <c r="P9" s="514">
        <f t="shared" si="7"/>
        <v>0</v>
      </c>
      <c r="Q9" s="514"/>
      <c r="R9" s="514">
        <f t="shared" si="8"/>
        <v>0</v>
      </c>
      <c r="S9" s="515"/>
      <c r="T9" s="515">
        <f t="shared" si="9"/>
        <v>0</v>
      </c>
      <c r="U9" s="515"/>
      <c r="V9" s="515">
        <f t="shared" si="10"/>
        <v>0</v>
      </c>
      <c r="W9" s="515"/>
      <c r="X9" s="19">
        <f t="shared" si="11"/>
        <v>0</v>
      </c>
      <c r="Y9" s="89">
        <f t="shared" si="0"/>
        <v>78913.512499999997</v>
      </c>
    </row>
    <row r="10" spans="1:25" ht="35.25" customHeight="1" x14ac:dyDescent="0.25">
      <c r="A10" s="12">
        <v>1409935199</v>
      </c>
      <c r="C10" s="515">
        <v>23509</v>
      </c>
      <c r="D10" s="514">
        <f t="shared" si="1"/>
        <v>22862.502500000002</v>
      </c>
      <c r="E10" s="515"/>
      <c r="F10" s="515">
        <f t="shared" si="2"/>
        <v>0</v>
      </c>
      <c r="G10" s="515"/>
      <c r="H10" s="515">
        <f t="shared" si="3"/>
        <v>0</v>
      </c>
      <c r="I10" s="515">
        <v>5500</v>
      </c>
      <c r="J10" s="515">
        <f t="shared" si="4"/>
        <v>101750</v>
      </c>
      <c r="K10" s="515"/>
      <c r="L10" s="515">
        <f t="shared" si="5"/>
        <v>0</v>
      </c>
      <c r="M10" s="515"/>
      <c r="N10" s="514">
        <f t="shared" si="6"/>
        <v>0</v>
      </c>
      <c r="O10" s="515"/>
      <c r="P10" s="514">
        <f t="shared" si="7"/>
        <v>0</v>
      </c>
      <c r="Q10" s="514"/>
      <c r="R10" s="514">
        <f t="shared" si="8"/>
        <v>0</v>
      </c>
      <c r="S10" s="515"/>
      <c r="T10" s="515">
        <f t="shared" si="9"/>
        <v>0</v>
      </c>
      <c r="U10" s="515"/>
      <c r="V10" s="515">
        <f t="shared" si="10"/>
        <v>0</v>
      </c>
      <c r="W10" s="515"/>
      <c r="X10" s="19">
        <f t="shared" si="11"/>
        <v>0</v>
      </c>
      <c r="Y10" s="89">
        <f t="shared" si="0"/>
        <v>124612.5025</v>
      </c>
    </row>
    <row r="11" spans="1:25" ht="37.5" customHeight="1" x14ac:dyDescent="0.25">
      <c r="A11" s="12"/>
      <c r="B11" s="516"/>
      <c r="C11" s="515"/>
      <c r="D11" s="22">
        <f t="shared" si="1"/>
        <v>0</v>
      </c>
      <c r="E11" s="515"/>
      <c r="F11" s="515">
        <f t="shared" si="2"/>
        <v>0</v>
      </c>
      <c r="G11" s="515"/>
      <c r="H11" s="515">
        <f t="shared" si="3"/>
        <v>0</v>
      </c>
      <c r="I11" s="515"/>
      <c r="J11" s="515">
        <f t="shared" si="4"/>
        <v>0</v>
      </c>
      <c r="K11" s="515"/>
      <c r="L11" s="515">
        <f t="shared" si="5"/>
        <v>0</v>
      </c>
      <c r="M11" s="515"/>
      <c r="N11" s="514">
        <f t="shared" si="6"/>
        <v>0</v>
      </c>
      <c r="O11" s="515"/>
      <c r="P11" s="514">
        <f t="shared" si="7"/>
        <v>0</v>
      </c>
      <c r="Q11" s="514"/>
      <c r="R11" s="514">
        <f t="shared" si="8"/>
        <v>0</v>
      </c>
      <c r="S11" s="515">
        <v>704</v>
      </c>
      <c r="T11" s="515">
        <f t="shared" si="9"/>
        <v>169664</v>
      </c>
      <c r="U11" s="515"/>
      <c r="V11" s="515">
        <f t="shared" si="10"/>
        <v>0</v>
      </c>
      <c r="W11" s="515"/>
      <c r="X11" s="19">
        <f t="shared" si="11"/>
        <v>0</v>
      </c>
      <c r="Y11" s="20">
        <f t="shared" si="0"/>
        <v>169664</v>
      </c>
    </row>
    <row r="12" spans="1:25" ht="29.25" customHeight="1" x14ac:dyDescent="0.25">
      <c r="A12" s="2235" t="s">
        <v>31</v>
      </c>
      <c r="B12" s="2235"/>
      <c r="C12" s="18">
        <f t="shared" ref="C12:Y12" si="12">SUM(C6:C11)</f>
        <v>350527</v>
      </c>
      <c r="D12" s="18">
        <f t="shared" si="12"/>
        <v>340887.50750000001</v>
      </c>
      <c r="E12" s="18">
        <f t="shared" si="12"/>
        <v>0</v>
      </c>
      <c r="F12" s="18">
        <f t="shared" si="12"/>
        <v>0</v>
      </c>
      <c r="G12" s="18">
        <f t="shared" si="12"/>
        <v>195</v>
      </c>
      <c r="H12" s="18">
        <f t="shared" si="12"/>
        <v>5499</v>
      </c>
      <c r="I12" s="18">
        <f t="shared" si="12"/>
        <v>5530</v>
      </c>
      <c r="J12" s="18">
        <f t="shared" si="12"/>
        <v>102305</v>
      </c>
      <c r="K12" s="18">
        <f t="shared" si="12"/>
        <v>0</v>
      </c>
      <c r="L12" s="18">
        <f t="shared" si="12"/>
        <v>0</v>
      </c>
      <c r="M12" s="18">
        <f t="shared" si="12"/>
        <v>0</v>
      </c>
      <c r="N12" s="23">
        <f t="shared" si="12"/>
        <v>0</v>
      </c>
      <c r="O12" s="18">
        <f t="shared" si="12"/>
        <v>0</v>
      </c>
      <c r="P12" s="23">
        <f t="shared" si="12"/>
        <v>0</v>
      </c>
      <c r="Q12" s="23">
        <f t="shared" si="12"/>
        <v>0</v>
      </c>
      <c r="R12" s="23">
        <f>SUM(R6:R11)</f>
        <v>0</v>
      </c>
      <c r="S12" s="18">
        <f t="shared" si="12"/>
        <v>729</v>
      </c>
      <c r="T12" s="18">
        <f t="shared" si="12"/>
        <v>175689</v>
      </c>
      <c r="U12" s="18">
        <f t="shared" si="12"/>
        <v>0</v>
      </c>
      <c r="V12" s="18">
        <f t="shared" si="12"/>
        <v>0</v>
      </c>
      <c r="W12" s="18">
        <f t="shared" si="12"/>
        <v>0</v>
      </c>
      <c r="X12" s="18">
        <f t="shared" si="12"/>
        <v>0</v>
      </c>
      <c r="Y12" s="18">
        <f t="shared" si="12"/>
        <v>624380.50750000007</v>
      </c>
    </row>
    <row r="14" spans="1:25" ht="41.25" customHeight="1" x14ac:dyDescent="0.25">
      <c r="A14" s="30" t="s">
        <v>32</v>
      </c>
      <c r="B14" s="2236" t="s">
        <v>27</v>
      </c>
      <c r="C14" s="2236"/>
      <c r="D14" s="30" t="s">
        <v>333</v>
      </c>
      <c r="E14" s="30" t="s">
        <v>65</v>
      </c>
      <c r="F14" s="30" t="s">
        <v>34</v>
      </c>
      <c r="G14" s="30" t="s">
        <v>13</v>
      </c>
      <c r="H14" s="469" t="s">
        <v>173</v>
      </c>
      <c r="I14" s="30" t="s">
        <v>17</v>
      </c>
      <c r="J14" s="523" t="s">
        <v>174</v>
      </c>
      <c r="K14" s="30" t="s">
        <v>36</v>
      </c>
      <c r="L14" s="30" t="s">
        <v>175</v>
      </c>
      <c r="M14" s="30" t="s">
        <v>69</v>
      </c>
      <c r="N14" s="30" t="s">
        <v>70</v>
      </c>
      <c r="O14" s="523" t="s">
        <v>114</v>
      </c>
      <c r="P14" s="523" t="s">
        <v>339</v>
      </c>
      <c r="Q14" s="2272"/>
      <c r="R14" s="2272"/>
      <c r="S14" s="523"/>
      <c r="T14" s="2235" t="s">
        <v>46</v>
      </c>
      <c r="U14" s="517" t="s">
        <v>176</v>
      </c>
      <c r="V14" s="2260">
        <v>3863</v>
      </c>
      <c r="W14" s="2268"/>
      <c r="X14" s="2261"/>
    </row>
    <row r="15" spans="1:25" ht="22.5" customHeight="1" x14ac:dyDescent="0.25">
      <c r="A15" s="100" t="s">
        <v>38</v>
      </c>
      <c r="B15" s="2260">
        <v>389321</v>
      </c>
      <c r="C15" s="2261"/>
      <c r="D15" s="520">
        <v>1260</v>
      </c>
      <c r="E15" s="520">
        <v>6400</v>
      </c>
      <c r="F15" s="520">
        <v>1770</v>
      </c>
      <c r="G15" s="520">
        <v>0</v>
      </c>
      <c r="H15" s="520">
        <v>1394</v>
      </c>
      <c r="I15" s="520">
        <v>28</v>
      </c>
      <c r="J15" s="520">
        <v>165</v>
      </c>
      <c r="K15" s="520">
        <v>62</v>
      </c>
      <c r="L15" s="520">
        <v>675</v>
      </c>
      <c r="M15" s="520">
        <v>0</v>
      </c>
      <c r="N15" s="520">
        <v>100</v>
      </c>
      <c r="O15" s="520">
        <v>0</v>
      </c>
      <c r="P15" s="520">
        <v>755</v>
      </c>
      <c r="Q15" s="2262"/>
      <c r="R15" s="2262"/>
      <c r="S15" s="517">
        <v>0</v>
      </c>
      <c r="T15" s="2235"/>
      <c r="U15" s="517" t="s">
        <v>64</v>
      </c>
      <c r="V15" s="2262">
        <v>5247</v>
      </c>
      <c r="W15" s="2262"/>
      <c r="X15" s="2262"/>
    </row>
    <row r="16" spans="1:25" ht="24.75" customHeight="1" x14ac:dyDescent="0.25">
      <c r="A16" s="100" t="s">
        <v>39</v>
      </c>
      <c r="B16" s="2260">
        <v>1038961</v>
      </c>
      <c r="C16" s="2261"/>
      <c r="D16" s="520"/>
      <c r="E16" s="520"/>
      <c r="F16" s="520">
        <v>5000</v>
      </c>
      <c r="G16" s="520"/>
      <c r="H16" s="520"/>
      <c r="I16" s="520"/>
      <c r="J16" s="520"/>
      <c r="K16" s="520"/>
      <c r="L16" s="520">
        <v>316</v>
      </c>
      <c r="M16" s="520"/>
      <c r="N16" s="520"/>
      <c r="O16" s="520"/>
      <c r="P16" s="520"/>
      <c r="Q16" s="2225"/>
      <c r="R16" s="2225"/>
      <c r="S16" s="520"/>
      <c r="T16" s="2254" t="s">
        <v>55</v>
      </c>
      <c r="U16" s="2254"/>
      <c r="V16" s="2267">
        <f>Y12</f>
        <v>624380.50750000007</v>
      </c>
      <c r="W16" s="2267"/>
      <c r="X16" s="2262"/>
    </row>
    <row r="17" spans="1:25" ht="28.5" customHeight="1" x14ac:dyDescent="0.25">
      <c r="A17" s="101" t="s">
        <v>44</v>
      </c>
      <c r="B17" s="2260">
        <v>150345</v>
      </c>
      <c r="C17" s="2261"/>
      <c r="D17" s="520"/>
      <c r="E17" s="520"/>
      <c r="F17" s="520"/>
      <c r="G17" s="520"/>
      <c r="H17" s="520"/>
      <c r="I17" s="520"/>
      <c r="J17" s="520"/>
      <c r="K17" s="520"/>
      <c r="L17" s="520"/>
      <c r="M17" s="520"/>
      <c r="N17" s="520"/>
      <c r="O17" s="520"/>
      <c r="P17" s="520"/>
      <c r="Q17" s="2225"/>
      <c r="R17" s="2225"/>
      <c r="S17" s="516"/>
      <c r="T17" s="2294"/>
      <c r="U17" s="2295"/>
      <c r="V17" s="2296"/>
      <c r="W17" s="2296"/>
      <c r="X17" s="2296"/>
    </row>
    <row r="18" spans="1:25" ht="27" customHeight="1" x14ac:dyDescent="0.25">
      <c r="A18" s="100" t="s">
        <v>40</v>
      </c>
      <c r="B18" s="2264">
        <f>C12</f>
        <v>350527</v>
      </c>
      <c r="C18" s="2261"/>
      <c r="D18" s="522">
        <f>E12</f>
        <v>0</v>
      </c>
      <c r="E18" s="522">
        <f>G12</f>
        <v>195</v>
      </c>
      <c r="F18" s="522">
        <f>I12</f>
        <v>5530</v>
      </c>
      <c r="G18" s="522">
        <f>K12</f>
        <v>0</v>
      </c>
      <c r="H18" s="520">
        <v>341</v>
      </c>
      <c r="I18" s="522">
        <f>U12</f>
        <v>0</v>
      </c>
      <c r="J18" s="520">
        <v>80</v>
      </c>
      <c r="K18" s="522">
        <f>W12</f>
        <v>0</v>
      </c>
      <c r="L18" s="520">
        <v>210</v>
      </c>
      <c r="M18" s="522">
        <f>M12</f>
        <v>0</v>
      </c>
      <c r="N18" s="522">
        <f>O12</f>
        <v>0</v>
      </c>
      <c r="O18" s="521">
        <f>Q12</f>
        <v>0</v>
      </c>
      <c r="P18" s="520">
        <v>414</v>
      </c>
      <c r="Q18" s="2262"/>
      <c r="R18" s="2262"/>
      <c r="S18" s="517"/>
      <c r="T18" s="2254" t="s">
        <v>57</v>
      </c>
      <c r="U18" s="2254"/>
      <c r="V18" s="2262">
        <f>43141+159827</f>
        <v>202968</v>
      </c>
      <c r="W18" s="2262"/>
      <c r="X18" s="2262"/>
      <c r="Y18" s="2269"/>
    </row>
    <row r="19" spans="1:25" ht="25.5" customHeight="1" x14ac:dyDescent="0.25">
      <c r="A19" s="100" t="s">
        <v>41</v>
      </c>
      <c r="B19" s="2260">
        <f>B15+B16+B17-B18</f>
        <v>1228100</v>
      </c>
      <c r="C19" s="2261"/>
      <c r="D19" s="520">
        <f>D15+D16+D17-D18</f>
        <v>1260</v>
      </c>
      <c r="E19" s="520">
        <f t="shared" ref="E19:N19" si="13">E15+E16+E17-E18</f>
        <v>6205</v>
      </c>
      <c r="F19" s="520">
        <f t="shared" si="13"/>
        <v>1240</v>
      </c>
      <c r="G19" s="520">
        <f t="shared" si="13"/>
        <v>0</v>
      </c>
      <c r="H19" s="520">
        <f t="shared" si="13"/>
        <v>1053</v>
      </c>
      <c r="I19" s="520">
        <f t="shared" si="13"/>
        <v>28</v>
      </c>
      <c r="J19" s="520">
        <f t="shared" si="13"/>
        <v>85</v>
      </c>
      <c r="K19" s="520">
        <f t="shared" si="13"/>
        <v>62</v>
      </c>
      <c r="L19" s="520">
        <f t="shared" si="13"/>
        <v>781</v>
      </c>
      <c r="M19" s="520">
        <f t="shared" si="13"/>
        <v>0</v>
      </c>
      <c r="N19" s="520">
        <f t="shared" si="13"/>
        <v>100</v>
      </c>
      <c r="O19" s="520">
        <f>O15+O16+O17-O18</f>
        <v>0</v>
      </c>
      <c r="P19" s="520">
        <f>P15+P16+P17-P18</f>
        <v>341</v>
      </c>
      <c r="Q19" s="2260">
        <f t="shared" ref="Q19" si="14">Q15+Q16+Q17-Q18</f>
        <v>0</v>
      </c>
      <c r="R19" s="2261"/>
      <c r="S19" s="517">
        <f>S15+S16-S17-S18</f>
        <v>0</v>
      </c>
      <c r="T19" s="2256" t="s">
        <v>48</v>
      </c>
      <c r="U19" s="49" t="s">
        <v>58</v>
      </c>
      <c r="V19" s="2262">
        <v>418500</v>
      </c>
      <c r="W19" s="2262"/>
      <c r="X19" s="2262"/>
      <c r="Y19" s="2269"/>
    </row>
    <row r="20" spans="1:25" ht="23.25" customHeight="1" x14ac:dyDescent="0.25">
      <c r="A20" s="289" t="s">
        <v>187</v>
      </c>
      <c r="B20" s="2286">
        <f>B19*0.9625</f>
        <v>1182046.25</v>
      </c>
      <c r="C20" s="2287"/>
      <c r="D20" s="290">
        <f>D19*66.41</f>
        <v>83676.599999999991</v>
      </c>
      <c r="E20" s="290">
        <f>28.2*E19</f>
        <v>174981</v>
      </c>
      <c r="F20" s="290">
        <f>18.31*F19</f>
        <v>22704.399999999998</v>
      </c>
      <c r="G20" s="290">
        <f>19.3*G19</f>
        <v>0</v>
      </c>
      <c r="H20" s="290">
        <f>241*H19</f>
        <v>253773</v>
      </c>
      <c r="I20" s="290">
        <f>223*I19</f>
        <v>6244</v>
      </c>
      <c r="J20" s="290">
        <f>241*J19</f>
        <v>20485</v>
      </c>
      <c r="K20" s="290">
        <f>K19*100</f>
        <v>6200</v>
      </c>
      <c r="L20" s="290">
        <f>241*L19</f>
        <v>188221</v>
      </c>
      <c r="M20" s="290">
        <f>9.65*M19</f>
        <v>0</v>
      </c>
      <c r="N20" s="290">
        <f>N19*48.2</f>
        <v>4820</v>
      </c>
      <c r="O20" s="290">
        <f>241*O19</f>
        <v>0</v>
      </c>
      <c r="P20" s="290">
        <f>241*P19</f>
        <v>82181</v>
      </c>
      <c r="Q20" s="2286">
        <f>241*Q19</f>
        <v>0</v>
      </c>
      <c r="R20" s="2287"/>
      <c r="S20" s="290">
        <f>241*S19</f>
        <v>0</v>
      </c>
      <c r="T20" s="2257"/>
      <c r="U20" s="49" t="s">
        <v>59</v>
      </c>
      <c r="V20" s="2262"/>
      <c r="W20" s="2262"/>
      <c r="X20" s="2262"/>
      <c r="Y20" s="2269"/>
    </row>
    <row r="21" spans="1:25" ht="32.25" customHeight="1" x14ac:dyDescent="0.25">
      <c r="A21" s="291" t="s">
        <v>186</v>
      </c>
      <c r="B21" s="2293">
        <f>SUM(B20:S20)</f>
        <v>2025332.25</v>
      </c>
      <c r="C21" s="2293"/>
      <c r="O21" s="524"/>
      <c r="P21" s="524"/>
      <c r="Q21" s="524"/>
      <c r="R21" s="524"/>
      <c r="T21" s="2294"/>
      <c r="U21" s="2295"/>
      <c r="V21" s="2297"/>
      <c r="W21" s="2298"/>
      <c r="X21" s="2299"/>
      <c r="Y21" s="2269"/>
    </row>
    <row r="22" spans="1:25" ht="35.25" customHeight="1" x14ac:dyDescent="0.25">
      <c r="A22" s="15"/>
      <c r="B22" s="2288" t="s">
        <v>49</v>
      </c>
      <c r="C22" s="2291">
        <v>935100</v>
      </c>
      <c r="D22" s="2291">
        <v>418500</v>
      </c>
      <c r="E22" s="2291">
        <v>1092500</v>
      </c>
      <c r="F22" s="2291">
        <f>C22-D22+E22</f>
        <v>1609100</v>
      </c>
      <c r="G22" s="524"/>
      <c r="Q22" s="524"/>
      <c r="R22" s="524"/>
      <c r="T22" s="2251" t="s">
        <v>83</v>
      </c>
      <c r="U22" s="50" t="s">
        <v>60</v>
      </c>
      <c r="V22" s="2262">
        <v>423140</v>
      </c>
      <c r="W22" s="2262"/>
      <c r="X22" s="2262"/>
      <c r="Y22" s="2269"/>
    </row>
    <row r="23" spans="1:25" ht="39.75" customHeight="1" x14ac:dyDescent="0.25">
      <c r="A23" s="524"/>
      <c r="B23" s="2289"/>
      <c r="C23" s="2292"/>
      <c r="D23" s="2292"/>
      <c r="E23" s="2292"/>
      <c r="F23" s="2292"/>
      <c r="G23" s="524"/>
      <c r="Q23" s="524"/>
      <c r="R23" s="524"/>
      <c r="T23" s="2252"/>
      <c r="U23" s="50" t="s">
        <v>61</v>
      </c>
      <c r="V23" s="2262">
        <v>418500</v>
      </c>
      <c r="W23" s="2262"/>
      <c r="X23" s="2262"/>
      <c r="Y23" s="2269"/>
    </row>
    <row r="24" spans="1:25" ht="48" customHeight="1" x14ac:dyDescent="0.25">
      <c r="A24" s="524"/>
      <c r="B24" s="2290"/>
      <c r="C24" s="290" t="s">
        <v>46</v>
      </c>
      <c r="D24" s="290" t="s">
        <v>50</v>
      </c>
      <c r="E24" s="290" t="s">
        <v>51</v>
      </c>
      <c r="F24" s="290" t="s">
        <v>52</v>
      </c>
      <c r="G24" s="524"/>
      <c r="Q24" s="524"/>
      <c r="R24" s="524"/>
      <c r="T24" s="2235" t="s">
        <v>47</v>
      </c>
      <c r="U24" s="51" t="s">
        <v>62</v>
      </c>
      <c r="V24" s="2263">
        <f>V14+V16+V17-V18-V19-V20-V22+V23-V21</f>
        <v>2135.5075000000652</v>
      </c>
      <c r="W24" s="2263"/>
      <c r="X24" s="2263"/>
      <c r="Y24" s="2269"/>
    </row>
    <row r="25" spans="1:25" ht="40.5" customHeight="1" x14ac:dyDescent="0.25">
      <c r="T25" s="2235"/>
      <c r="U25" s="51" t="s">
        <v>63</v>
      </c>
      <c r="V25" s="2262">
        <f>V15+V22-V23</f>
        <v>9887</v>
      </c>
      <c r="W25" s="2262"/>
      <c r="X25" s="2262"/>
    </row>
    <row r="26" spans="1:25" ht="36" customHeight="1" x14ac:dyDescent="0.25">
      <c r="K26" s="314"/>
    </row>
    <row r="32" spans="1:25" x14ac:dyDescent="0.25">
      <c r="I32" s="2280"/>
      <c r="J32" s="2280"/>
      <c r="K32" s="2280"/>
      <c r="L32" s="2280"/>
    </row>
    <row r="33" spans="9:12" x14ac:dyDescent="0.25">
      <c r="I33" s="524"/>
      <c r="J33" s="524"/>
      <c r="K33" s="2280"/>
      <c r="L33" s="2280"/>
    </row>
  </sheetData>
  <mergeCells count="62">
    <mergeCell ref="A1:Y1"/>
    <mergeCell ref="A2:Y2"/>
    <mergeCell ref="T3:Y3"/>
    <mergeCell ref="A4:A5"/>
    <mergeCell ref="B4:B5"/>
    <mergeCell ref="C4:D4"/>
    <mergeCell ref="E4:F4"/>
    <mergeCell ref="G4:H4"/>
    <mergeCell ref="I4:J4"/>
    <mergeCell ref="K4:L4"/>
    <mergeCell ref="Y4:Y5"/>
    <mergeCell ref="M4:N4"/>
    <mergeCell ref="O4:P4"/>
    <mergeCell ref="Q4:R4"/>
    <mergeCell ref="S4:T4"/>
    <mergeCell ref="U4:V4"/>
    <mergeCell ref="W4:X4"/>
    <mergeCell ref="B16:C16"/>
    <mergeCell ref="Q16:R16"/>
    <mergeCell ref="T16:U16"/>
    <mergeCell ref="V16:X16"/>
    <mergeCell ref="A12:B12"/>
    <mergeCell ref="B14:C14"/>
    <mergeCell ref="Q14:R14"/>
    <mergeCell ref="T14:T15"/>
    <mergeCell ref="V14:X14"/>
    <mergeCell ref="B15:C15"/>
    <mergeCell ref="Q15:R15"/>
    <mergeCell ref="V15:X15"/>
    <mergeCell ref="B17:C17"/>
    <mergeCell ref="Q17:R17"/>
    <mergeCell ref="T17:U17"/>
    <mergeCell ref="V17:X17"/>
    <mergeCell ref="B18:C18"/>
    <mergeCell ref="Q18:R18"/>
    <mergeCell ref="T18:U18"/>
    <mergeCell ref="V18:X18"/>
    <mergeCell ref="Y18:Y24"/>
    <mergeCell ref="B19:C19"/>
    <mergeCell ref="Q19:R19"/>
    <mergeCell ref="T19:T20"/>
    <mergeCell ref="V19:X19"/>
    <mergeCell ref="B20:C20"/>
    <mergeCell ref="B22:B24"/>
    <mergeCell ref="C22:C23"/>
    <mergeCell ref="D22:D23"/>
    <mergeCell ref="E22:E23"/>
    <mergeCell ref="F22:F23"/>
    <mergeCell ref="Q20:R20"/>
    <mergeCell ref="V20:X20"/>
    <mergeCell ref="B21:C21"/>
    <mergeCell ref="T21:U21"/>
    <mergeCell ref="V21:X21"/>
    <mergeCell ref="I32:J32"/>
    <mergeCell ref="K32:L32"/>
    <mergeCell ref="K33:L33"/>
    <mergeCell ref="T22:T23"/>
    <mergeCell ref="V22:X22"/>
    <mergeCell ref="V23:X23"/>
    <mergeCell ref="T24:T25"/>
    <mergeCell ref="V24:X24"/>
    <mergeCell ref="V25:X25"/>
  </mergeCells>
  <pageMargins left="0.15748031496063" right="0.15748031496063" top="0" bottom="0" header="0" footer="0"/>
  <pageSetup paperSize="9" scale="47" orientation="landscape" r:id="rId1"/>
</worksheet>
</file>

<file path=xl/worksheets/sheet1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4F202D5-D2AB-49BD-BFBB-F85B6C3C2E82}">
  <sheetPr>
    <pageSetUpPr fitToPage="1"/>
  </sheetPr>
  <dimension ref="A1:Y33"/>
  <sheetViews>
    <sheetView topLeftCell="A8" zoomScale="70" zoomScaleNormal="70" zoomScaleSheetLayoutView="100" workbookViewId="0">
      <selection activeCell="L16" sqref="L16"/>
    </sheetView>
  </sheetViews>
  <sheetFormatPr defaultColWidth="9.140625" defaultRowHeight="15" x14ac:dyDescent="0.25"/>
  <cols>
    <col min="1" max="1" width="18.28515625" style="14" customWidth="1"/>
    <col min="2" max="2" width="10.7109375" style="14" customWidth="1"/>
    <col min="3" max="3" width="12.28515625" style="14" customWidth="1"/>
    <col min="4" max="4" width="13.140625" style="14" bestFit="1" customWidth="1"/>
    <col min="5" max="5" width="12" style="14" customWidth="1"/>
    <col min="6" max="6" width="12.5703125" style="14" bestFit="1" customWidth="1"/>
    <col min="7" max="7" width="9.28515625" style="14" bestFit="1" customWidth="1"/>
    <col min="8" max="8" width="10.140625" style="14" bestFit="1" customWidth="1"/>
    <col min="9" max="9" width="10.5703125" style="14" bestFit="1" customWidth="1"/>
    <col min="10" max="10" width="10.5703125" style="14" customWidth="1"/>
    <col min="11" max="11" width="10.28515625" style="14" bestFit="1" customWidth="1"/>
    <col min="12" max="12" width="10.42578125" style="14" bestFit="1" customWidth="1"/>
    <col min="13" max="13" width="9.85546875" style="14" bestFit="1" customWidth="1"/>
    <col min="14" max="14" width="10.140625" style="14" bestFit="1" customWidth="1"/>
    <col min="15" max="15" width="9" style="14" customWidth="1"/>
    <col min="16" max="16" width="12.85546875" style="14" bestFit="1" customWidth="1"/>
    <col min="17" max="18" width="9.42578125" style="14" customWidth="1"/>
    <col min="19" max="19" width="13.7109375" style="14" customWidth="1"/>
    <col min="20" max="20" width="12.140625" style="14" customWidth="1"/>
    <col min="21" max="21" width="19.5703125" style="14" bestFit="1" customWidth="1"/>
    <col min="22" max="22" width="9.85546875" style="14" customWidth="1"/>
    <col min="23" max="23" width="10.140625" style="14" bestFit="1" customWidth="1"/>
    <col min="24" max="24" width="10.28515625" style="14" customWidth="1"/>
    <col min="25" max="25" width="28" style="14" customWidth="1"/>
    <col min="26" max="16384" width="9.140625" style="14"/>
  </cols>
  <sheetData>
    <row r="1" spans="1:25" ht="46.15" customHeight="1" x14ac:dyDescent="0.25">
      <c r="A1" s="2240" t="s">
        <v>148</v>
      </c>
      <c r="B1" s="2240"/>
      <c r="C1" s="2240"/>
      <c r="D1" s="2240"/>
      <c r="E1" s="2240"/>
      <c r="F1" s="2240"/>
      <c r="G1" s="2240"/>
      <c r="H1" s="2240"/>
      <c r="I1" s="2240"/>
      <c r="J1" s="2240"/>
      <c r="K1" s="2240"/>
      <c r="L1" s="2240"/>
      <c r="M1" s="2240"/>
      <c r="N1" s="2240"/>
      <c r="O1" s="2240"/>
      <c r="P1" s="2240"/>
      <c r="Q1" s="2240"/>
      <c r="R1" s="2240"/>
      <c r="S1" s="2240"/>
      <c r="T1" s="2240"/>
      <c r="U1" s="2240"/>
      <c r="V1" s="2240"/>
      <c r="W1" s="2240"/>
      <c r="X1" s="2240"/>
      <c r="Y1" s="2240"/>
    </row>
    <row r="2" spans="1:25" ht="21.6" customHeight="1" x14ac:dyDescent="0.25">
      <c r="A2" s="2241" t="s">
        <v>77</v>
      </c>
      <c r="B2" s="2241"/>
      <c r="C2" s="2241"/>
      <c r="D2" s="2241"/>
      <c r="E2" s="2241"/>
      <c r="F2" s="2241"/>
      <c r="G2" s="2241"/>
      <c r="H2" s="2241"/>
      <c r="I2" s="2241"/>
      <c r="J2" s="2241"/>
      <c r="K2" s="2241"/>
      <c r="L2" s="2241"/>
      <c r="M2" s="2241"/>
      <c r="N2" s="2241"/>
      <c r="O2" s="2241"/>
      <c r="P2" s="2241"/>
      <c r="Q2" s="2241"/>
      <c r="R2" s="2241"/>
      <c r="S2" s="2241"/>
      <c r="T2" s="2241"/>
      <c r="U2" s="2241"/>
      <c r="V2" s="2241"/>
      <c r="W2" s="2241"/>
      <c r="X2" s="2241"/>
      <c r="Y2" s="2241"/>
    </row>
    <row r="3" spans="1:25" ht="21" customHeight="1" x14ac:dyDescent="0.25">
      <c r="A3" s="525"/>
      <c r="B3" s="525"/>
      <c r="C3" s="525"/>
      <c r="D3" s="525"/>
      <c r="E3" s="525"/>
      <c r="F3" s="525"/>
      <c r="G3" s="525"/>
      <c r="H3" s="525"/>
      <c r="I3" s="525"/>
      <c r="J3" s="525"/>
      <c r="K3" s="525"/>
      <c r="L3" s="525"/>
      <c r="M3" s="525"/>
      <c r="N3" s="525"/>
      <c r="O3" s="525"/>
      <c r="P3" s="525"/>
      <c r="Q3" s="525"/>
      <c r="R3" s="525"/>
      <c r="S3" s="525"/>
      <c r="T3" s="2242" t="s">
        <v>351</v>
      </c>
      <c r="U3" s="2242"/>
      <c r="V3" s="2242"/>
      <c r="W3" s="2242"/>
      <c r="X3" s="2242"/>
      <c r="Y3" s="2242"/>
    </row>
    <row r="4" spans="1:25" s="525" customFormat="1" ht="18" customHeight="1" x14ac:dyDescent="0.25">
      <c r="A4" s="2243" t="s">
        <v>25</v>
      </c>
      <c r="B4" s="2243" t="s">
        <v>26</v>
      </c>
      <c r="C4" s="2244" t="s">
        <v>27</v>
      </c>
      <c r="D4" s="2244"/>
      <c r="E4" s="2244" t="s">
        <v>342</v>
      </c>
      <c r="F4" s="2244"/>
      <c r="G4" s="2244" t="s">
        <v>65</v>
      </c>
      <c r="H4" s="2244"/>
      <c r="I4" s="2244" t="s">
        <v>29</v>
      </c>
      <c r="J4" s="2244"/>
      <c r="K4" s="2245" t="s">
        <v>13</v>
      </c>
      <c r="L4" s="2246"/>
      <c r="M4" s="2245" t="s">
        <v>67</v>
      </c>
      <c r="N4" s="2246"/>
      <c r="O4" s="2245" t="s">
        <v>68</v>
      </c>
      <c r="P4" s="2246"/>
      <c r="Q4" s="2245" t="s">
        <v>114</v>
      </c>
      <c r="R4" s="2246"/>
      <c r="S4" s="2244" t="s">
        <v>35</v>
      </c>
      <c r="T4" s="2244"/>
      <c r="U4" s="2245" t="s">
        <v>17</v>
      </c>
      <c r="V4" s="2246"/>
      <c r="W4" s="2247" t="s">
        <v>36</v>
      </c>
      <c r="X4" s="2248"/>
      <c r="Y4" s="2238" t="s">
        <v>30</v>
      </c>
    </row>
    <row r="5" spans="1:25" s="525" customFormat="1" ht="25.5" customHeight="1" x14ac:dyDescent="0.25">
      <c r="A5" s="2243"/>
      <c r="B5" s="2243"/>
      <c r="C5" s="527" t="s">
        <v>42</v>
      </c>
      <c r="D5" s="527" t="s">
        <v>43</v>
      </c>
      <c r="E5" s="527" t="s">
        <v>42</v>
      </c>
      <c r="F5" s="527" t="s">
        <v>43</v>
      </c>
      <c r="G5" s="527" t="s">
        <v>42</v>
      </c>
      <c r="H5" s="527" t="s">
        <v>43</v>
      </c>
      <c r="I5" s="527" t="s">
        <v>42</v>
      </c>
      <c r="J5" s="527" t="s">
        <v>43</v>
      </c>
      <c r="K5" s="527" t="s">
        <v>42</v>
      </c>
      <c r="L5" s="527" t="s">
        <v>43</v>
      </c>
      <c r="M5" s="527" t="s">
        <v>42</v>
      </c>
      <c r="N5" s="527" t="s">
        <v>43</v>
      </c>
      <c r="O5" s="527" t="s">
        <v>42</v>
      </c>
      <c r="P5" s="527" t="s">
        <v>43</v>
      </c>
      <c r="Q5" s="527" t="s">
        <v>42</v>
      </c>
      <c r="R5" s="527" t="s">
        <v>43</v>
      </c>
      <c r="S5" s="33" t="s">
        <v>42</v>
      </c>
      <c r="T5" s="33" t="s">
        <v>43</v>
      </c>
      <c r="U5" s="30" t="s">
        <v>42</v>
      </c>
      <c r="V5" s="30" t="s">
        <v>43</v>
      </c>
      <c r="W5" s="30" t="s">
        <v>42</v>
      </c>
      <c r="X5" s="30" t="s">
        <v>43</v>
      </c>
      <c r="Y5" s="2239"/>
    </row>
    <row r="6" spans="1:25" ht="34.5" customHeight="1" x14ac:dyDescent="0.25">
      <c r="A6" s="12">
        <v>1409935200</v>
      </c>
      <c r="B6" s="526" t="s">
        <v>71</v>
      </c>
      <c r="C6" s="529">
        <v>220679</v>
      </c>
      <c r="D6" s="530">
        <f>0.9725*C6</f>
        <v>214610.32750000001</v>
      </c>
      <c r="E6" s="529"/>
      <c r="F6" s="529">
        <f>67.1*E6</f>
        <v>0</v>
      </c>
      <c r="G6" s="529">
        <v>10</v>
      </c>
      <c r="H6" s="529">
        <f>28.2*G6</f>
        <v>282</v>
      </c>
      <c r="I6" s="529"/>
      <c r="J6" s="529">
        <f>18.5*I6</f>
        <v>0</v>
      </c>
      <c r="K6" s="529"/>
      <c r="L6" s="529">
        <f>19.5*K6</f>
        <v>0</v>
      </c>
      <c r="M6" s="529"/>
      <c r="N6" s="530">
        <f>M6*9.75</f>
        <v>0</v>
      </c>
      <c r="O6" s="529"/>
      <c r="P6" s="530">
        <f>O6*48.62</f>
        <v>0</v>
      </c>
      <c r="Q6" s="530"/>
      <c r="R6" s="530">
        <f>241*Q6</f>
        <v>0</v>
      </c>
      <c r="S6" s="529"/>
      <c r="T6" s="529">
        <f>241*S6</f>
        <v>0</v>
      </c>
      <c r="U6" s="529"/>
      <c r="V6" s="529">
        <f>232*U6</f>
        <v>0</v>
      </c>
      <c r="W6" s="529"/>
      <c r="X6" s="19">
        <f>W6*100</f>
        <v>0</v>
      </c>
      <c r="Y6" s="89">
        <f t="shared" ref="Y6:Y11" si="0">D6+F6+H6+J6+L6+N6+P6+R6+T6+V6+X6</f>
        <v>214892.32750000001</v>
      </c>
    </row>
    <row r="7" spans="1:25" ht="31.5" customHeight="1" x14ac:dyDescent="0.25">
      <c r="A7" s="12">
        <v>1984225578</v>
      </c>
      <c r="B7" s="526" t="s">
        <v>72</v>
      </c>
      <c r="C7" s="529">
        <v>136635</v>
      </c>
      <c r="D7" s="530">
        <f t="shared" ref="D7:D11" si="1">0.9725*C7</f>
        <v>132877.53750000001</v>
      </c>
      <c r="E7" s="529"/>
      <c r="F7" s="529">
        <f t="shared" ref="F7:F11" si="2">67.1*E7</f>
        <v>0</v>
      </c>
      <c r="G7" s="529"/>
      <c r="H7" s="529">
        <f t="shared" ref="H7:H11" si="3">28.2*G7</f>
        <v>0</v>
      </c>
      <c r="I7" s="529"/>
      <c r="J7" s="529">
        <f t="shared" ref="J7:J11" si="4">18.5*I7</f>
        <v>0</v>
      </c>
      <c r="K7" s="529"/>
      <c r="L7" s="529">
        <f t="shared" ref="L7:L11" si="5">19.5*K7</f>
        <v>0</v>
      </c>
      <c r="M7" s="529"/>
      <c r="N7" s="530">
        <f t="shared" ref="N7:N11" si="6">M7*9.75</f>
        <v>0</v>
      </c>
      <c r="O7" s="529"/>
      <c r="P7" s="530">
        <f t="shared" ref="P7:P11" si="7">O7*48.62</f>
        <v>0</v>
      </c>
      <c r="Q7" s="530"/>
      <c r="R7" s="530">
        <f t="shared" ref="R7:R11" si="8">241*Q7</f>
        <v>0</v>
      </c>
      <c r="S7" s="529"/>
      <c r="T7" s="529">
        <f t="shared" ref="T7:T11" si="9">241*S7</f>
        <v>0</v>
      </c>
      <c r="U7" s="529"/>
      <c r="V7" s="529">
        <f t="shared" ref="V7:V11" si="10">232*U7</f>
        <v>0</v>
      </c>
      <c r="W7" s="529"/>
      <c r="X7" s="19">
        <f t="shared" ref="X7:X11" si="11">W7*100</f>
        <v>0</v>
      </c>
      <c r="Y7" s="89">
        <f t="shared" si="0"/>
        <v>132877.53750000001</v>
      </c>
    </row>
    <row r="8" spans="1:25" ht="35.25" customHeight="1" x14ac:dyDescent="0.25">
      <c r="A8" s="12">
        <v>1967020280</v>
      </c>
      <c r="B8" s="526" t="s">
        <v>73</v>
      </c>
      <c r="C8" s="529">
        <v>250439</v>
      </c>
      <c r="D8" s="530">
        <f t="shared" si="1"/>
        <v>243551.92750000002</v>
      </c>
      <c r="E8" s="529"/>
      <c r="F8" s="529">
        <f t="shared" si="2"/>
        <v>0</v>
      </c>
      <c r="G8" s="529">
        <v>30</v>
      </c>
      <c r="H8" s="529">
        <f t="shared" si="3"/>
        <v>846</v>
      </c>
      <c r="I8" s="529"/>
      <c r="J8" s="529">
        <f t="shared" si="4"/>
        <v>0</v>
      </c>
      <c r="K8" s="529"/>
      <c r="L8" s="529">
        <f t="shared" si="5"/>
        <v>0</v>
      </c>
      <c r="M8" s="529"/>
      <c r="N8" s="530">
        <f t="shared" si="6"/>
        <v>0</v>
      </c>
      <c r="O8" s="529"/>
      <c r="P8" s="530">
        <f t="shared" si="7"/>
        <v>0</v>
      </c>
      <c r="Q8" s="530"/>
      <c r="R8" s="530">
        <f t="shared" si="8"/>
        <v>0</v>
      </c>
      <c r="S8" s="529"/>
      <c r="T8" s="529">
        <f t="shared" si="9"/>
        <v>0</v>
      </c>
      <c r="U8" s="529"/>
      <c r="V8" s="529">
        <f t="shared" si="10"/>
        <v>0</v>
      </c>
      <c r="W8" s="529"/>
      <c r="X8" s="19">
        <f t="shared" si="11"/>
        <v>0</v>
      </c>
      <c r="Y8" s="89">
        <f t="shared" si="0"/>
        <v>244397.92750000002</v>
      </c>
    </row>
    <row r="9" spans="1:25" ht="38.25" customHeight="1" x14ac:dyDescent="0.25">
      <c r="A9" s="12">
        <v>1984225580</v>
      </c>
      <c r="B9" s="526" t="s">
        <v>75</v>
      </c>
      <c r="C9" s="529">
        <v>56399</v>
      </c>
      <c r="D9" s="530">
        <f t="shared" si="1"/>
        <v>54848.027500000004</v>
      </c>
      <c r="E9" s="529"/>
      <c r="F9" s="529">
        <f t="shared" si="2"/>
        <v>0</v>
      </c>
      <c r="G9" s="529"/>
      <c r="H9" s="529">
        <f t="shared" si="3"/>
        <v>0</v>
      </c>
      <c r="I9" s="529"/>
      <c r="J9" s="529">
        <f t="shared" si="4"/>
        <v>0</v>
      </c>
      <c r="K9" s="529"/>
      <c r="L9" s="529">
        <f t="shared" si="5"/>
        <v>0</v>
      </c>
      <c r="M9" s="529"/>
      <c r="N9" s="530">
        <f t="shared" si="6"/>
        <v>0</v>
      </c>
      <c r="O9" s="529"/>
      <c r="P9" s="530">
        <f t="shared" si="7"/>
        <v>0</v>
      </c>
      <c r="Q9" s="530"/>
      <c r="R9" s="530">
        <f t="shared" si="8"/>
        <v>0</v>
      </c>
      <c r="S9" s="529"/>
      <c r="T9" s="529">
        <f t="shared" si="9"/>
        <v>0</v>
      </c>
      <c r="U9" s="529"/>
      <c r="V9" s="529">
        <f t="shared" si="10"/>
        <v>0</v>
      </c>
      <c r="W9" s="529"/>
      <c r="X9" s="19">
        <f t="shared" si="11"/>
        <v>0</v>
      </c>
      <c r="Y9" s="89">
        <f t="shared" si="0"/>
        <v>54848.027500000004</v>
      </c>
    </row>
    <row r="10" spans="1:25" ht="35.25" customHeight="1" x14ac:dyDescent="0.25">
      <c r="A10" s="12">
        <v>1409935199</v>
      </c>
      <c r="C10" s="529"/>
      <c r="D10" s="530">
        <f t="shared" si="1"/>
        <v>0</v>
      </c>
      <c r="E10" s="529"/>
      <c r="F10" s="529">
        <f t="shared" si="2"/>
        <v>0</v>
      </c>
      <c r="G10" s="529"/>
      <c r="H10" s="529">
        <f t="shared" si="3"/>
        <v>0</v>
      </c>
      <c r="I10" s="529"/>
      <c r="J10" s="529">
        <f t="shared" si="4"/>
        <v>0</v>
      </c>
      <c r="K10" s="529"/>
      <c r="L10" s="529">
        <f t="shared" si="5"/>
        <v>0</v>
      </c>
      <c r="M10" s="529"/>
      <c r="N10" s="530">
        <f t="shared" si="6"/>
        <v>0</v>
      </c>
      <c r="O10" s="529"/>
      <c r="P10" s="530">
        <f t="shared" si="7"/>
        <v>0</v>
      </c>
      <c r="Q10" s="530"/>
      <c r="R10" s="530">
        <f t="shared" si="8"/>
        <v>0</v>
      </c>
      <c r="S10" s="529"/>
      <c r="T10" s="529">
        <f t="shared" si="9"/>
        <v>0</v>
      </c>
      <c r="U10" s="529"/>
      <c r="V10" s="529">
        <f t="shared" si="10"/>
        <v>0</v>
      </c>
      <c r="W10" s="529"/>
      <c r="X10" s="19">
        <f t="shared" si="11"/>
        <v>0</v>
      </c>
      <c r="Y10" s="89">
        <f t="shared" si="0"/>
        <v>0</v>
      </c>
    </row>
    <row r="11" spans="1:25" ht="37.5" customHeight="1" x14ac:dyDescent="0.25">
      <c r="A11" s="12"/>
      <c r="B11" s="528"/>
      <c r="C11" s="529"/>
      <c r="D11" s="22">
        <f t="shared" si="1"/>
        <v>0</v>
      </c>
      <c r="E11" s="529"/>
      <c r="F11" s="529">
        <f t="shared" si="2"/>
        <v>0</v>
      </c>
      <c r="G11" s="529"/>
      <c r="H11" s="529">
        <f t="shared" si="3"/>
        <v>0</v>
      </c>
      <c r="I11" s="529"/>
      <c r="J11" s="529">
        <f t="shared" si="4"/>
        <v>0</v>
      </c>
      <c r="K11" s="529"/>
      <c r="L11" s="529">
        <f t="shared" si="5"/>
        <v>0</v>
      </c>
      <c r="M11" s="529"/>
      <c r="N11" s="530">
        <f t="shared" si="6"/>
        <v>0</v>
      </c>
      <c r="O11" s="529"/>
      <c r="P11" s="530">
        <f t="shared" si="7"/>
        <v>0</v>
      </c>
      <c r="Q11" s="530"/>
      <c r="R11" s="530">
        <f t="shared" si="8"/>
        <v>0</v>
      </c>
      <c r="S11" s="529">
        <v>232</v>
      </c>
      <c r="T11" s="529">
        <f t="shared" si="9"/>
        <v>55912</v>
      </c>
      <c r="U11" s="529"/>
      <c r="V11" s="529">
        <f t="shared" si="10"/>
        <v>0</v>
      </c>
      <c r="W11" s="529"/>
      <c r="X11" s="19">
        <f t="shared" si="11"/>
        <v>0</v>
      </c>
      <c r="Y11" s="20">
        <f t="shared" si="0"/>
        <v>55912</v>
      </c>
    </row>
    <row r="12" spans="1:25" ht="29.25" customHeight="1" x14ac:dyDescent="0.25">
      <c r="A12" s="2235" t="s">
        <v>31</v>
      </c>
      <c r="B12" s="2235"/>
      <c r="C12" s="18">
        <f t="shared" ref="C12:Y12" si="12">SUM(C6:C11)</f>
        <v>664152</v>
      </c>
      <c r="D12" s="18">
        <f t="shared" si="12"/>
        <v>645887.81999999995</v>
      </c>
      <c r="E12" s="18">
        <f t="shared" si="12"/>
        <v>0</v>
      </c>
      <c r="F12" s="18">
        <f t="shared" si="12"/>
        <v>0</v>
      </c>
      <c r="G12" s="18">
        <f t="shared" si="12"/>
        <v>40</v>
      </c>
      <c r="H12" s="18">
        <f t="shared" si="12"/>
        <v>1128</v>
      </c>
      <c r="I12" s="18">
        <f t="shared" si="12"/>
        <v>0</v>
      </c>
      <c r="J12" s="18">
        <f t="shared" si="12"/>
        <v>0</v>
      </c>
      <c r="K12" s="18">
        <f t="shared" si="12"/>
        <v>0</v>
      </c>
      <c r="L12" s="18">
        <f t="shared" si="12"/>
        <v>0</v>
      </c>
      <c r="M12" s="18">
        <f t="shared" si="12"/>
        <v>0</v>
      </c>
      <c r="N12" s="23">
        <f t="shared" si="12"/>
        <v>0</v>
      </c>
      <c r="O12" s="18">
        <f t="shared" si="12"/>
        <v>0</v>
      </c>
      <c r="P12" s="23">
        <f t="shared" si="12"/>
        <v>0</v>
      </c>
      <c r="Q12" s="23">
        <f t="shared" si="12"/>
        <v>0</v>
      </c>
      <c r="R12" s="23">
        <f>SUM(R6:R11)</f>
        <v>0</v>
      </c>
      <c r="S12" s="18">
        <f t="shared" si="12"/>
        <v>232</v>
      </c>
      <c r="T12" s="18">
        <f t="shared" si="12"/>
        <v>55912</v>
      </c>
      <c r="U12" s="18">
        <f t="shared" si="12"/>
        <v>0</v>
      </c>
      <c r="V12" s="18">
        <f t="shared" si="12"/>
        <v>0</v>
      </c>
      <c r="W12" s="18">
        <f t="shared" si="12"/>
        <v>0</v>
      </c>
      <c r="X12" s="18">
        <f t="shared" si="12"/>
        <v>0</v>
      </c>
      <c r="Y12" s="18">
        <f t="shared" si="12"/>
        <v>702927.82</v>
      </c>
    </row>
    <row r="14" spans="1:25" ht="41.25" customHeight="1" x14ac:dyDescent="0.25">
      <c r="A14" s="30" t="s">
        <v>32</v>
      </c>
      <c r="B14" s="2236" t="s">
        <v>27</v>
      </c>
      <c r="C14" s="2236"/>
      <c r="D14" s="30" t="s">
        <v>333</v>
      </c>
      <c r="E14" s="30" t="s">
        <v>65</v>
      </c>
      <c r="F14" s="30" t="s">
        <v>34</v>
      </c>
      <c r="G14" s="30" t="s">
        <v>13</v>
      </c>
      <c r="H14" s="469" t="s">
        <v>173</v>
      </c>
      <c r="I14" s="30" t="s">
        <v>17</v>
      </c>
      <c r="J14" s="534" t="s">
        <v>174</v>
      </c>
      <c r="K14" s="30" t="s">
        <v>36</v>
      </c>
      <c r="L14" s="30" t="s">
        <v>175</v>
      </c>
      <c r="M14" s="30" t="s">
        <v>69</v>
      </c>
      <c r="N14" s="30" t="s">
        <v>70</v>
      </c>
      <c r="O14" s="534" t="s">
        <v>114</v>
      </c>
      <c r="P14" s="534" t="s">
        <v>339</v>
      </c>
      <c r="Q14" s="2272"/>
      <c r="R14" s="2272"/>
      <c r="S14" s="534"/>
      <c r="T14" s="2235" t="s">
        <v>46</v>
      </c>
      <c r="U14" s="526" t="s">
        <v>176</v>
      </c>
      <c r="V14" s="2260">
        <v>2136</v>
      </c>
      <c r="W14" s="2268"/>
      <c r="X14" s="2261"/>
    </row>
    <row r="15" spans="1:25" ht="22.5" customHeight="1" x14ac:dyDescent="0.25">
      <c r="A15" s="100" t="s">
        <v>38</v>
      </c>
      <c r="B15" s="2260">
        <v>1228100</v>
      </c>
      <c r="C15" s="2261"/>
      <c r="D15" s="531">
        <v>1260</v>
      </c>
      <c r="E15" s="531">
        <v>6205</v>
      </c>
      <c r="F15" s="531">
        <v>1240</v>
      </c>
      <c r="G15" s="531">
        <v>0</v>
      </c>
      <c r="H15" s="531">
        <v>1053</v>
      </c>
      <c r="I15" s="531">
        <v>28</v>
      </c>
      <c r="J15" s="531">
        <v>85</v>
      </c>
      <c r="K15" s="531">
        <v>62</v>
      </c>
      <c r="L15" s="531">
        <v>781</v>
      </c>
      <c r="M15" s="531">
        <v>0</v>
      </c>
      <c r="N15" s="531">
        <v>100</v>
      </c>
      <c r="O15" s="531">
        <v>0</v>
      </c>
      <c r="P15" s="531">
        <v>341</v>
      </c>
      <c r="Q15" s="2262"/>
      <c r="R15" s="2262"/>
      <c r="S15" s="526">
        <v>0</v>
      </c>
      <c r="T15" s="2235"/>
      <c r="U15" s="526" t="s">
        <v>64</v>
      </c>
      <c r="V15" s="2262">
        <v>9887</v>
      </c>
      <c r="W15" s="2262"/>
      <c r="X15" s="2262"/>
    </row>
    <row r="16" spans="1:25" ht="24.75" customHeight="1" x14ac:dyDescent="0.25">
      <c r="A16" s="100" t="s">
        <v>39</v>
      </c>
      <c r="B16" s="2260">
        <v>311688</v>
      </c>
      <c r="C16" s="2261"/>
      <c r="D16" s="531"/>
      <c r="E16" s="531"/>
      <c r="F16" s="531"/>
      <c r="G16" s="531"/>
      <c r="H16" s="531"/>
      <c r="I16" s="531"/>
      <c r="J16" s="531"/>
      <c r="K16" s="531"/>
      <c r="L16" s="531">
        <v>75</v>
      </c>
      <c r="M16" s="531"/>
      <c r="N16" s="531"/>
      <c r="O16" s="531"/>
      <c r="P16" s="531"/>
      <c r="Q16" s="2225"/>
      <c r="R16" s="2225"/>
      <c r="S16" s="531"/>
      <c r="T16" s="2254" t="s">
        <v>55</v>
      </c>
      <c r="U16" s="2254"/>
      <c r="V16" s="2267">
        <f>Y12</f>
        <v>702927.82</v>
      </c>
      <c r="W16" s="2267"/>
      <c r="X16" s="2262"/>
    </row>
    <row r="17" spans="1:25" ht="28.5" customHeight="1" x14ac:dyDescent="0.25">
      <c r="A17" s="101" t="s">
        <v>44</v>
      </c>
      <c r="B17" s="2260"/>
      <c r="C17" s="2261"/>
      <c r="D17" s="531"/>
      <c r="E17" s="531"/>
      <c r="F17" s="531"/>
      <c r="G17" s="531"/>
      <c r="H17" s="531"/>
      <c r="I17" s="531"/>
      <c r="J17" s="531"/>
      <c r="K17" s="531"/>
      <c r="L17" s="531"/>
      <c r="M17" s="531"/>
      <c r="N17" s="531"/>
      <c r="O17" s="531"/>
      <c r="P17" s="531"/>
      <c r="Q17" s="2225"/>
      <c r="R17" s="2225"/>
      <c r="S17" s="528"/>
      <c r="T17" s="2294"/>
      <c r="U17" s="2295"/>
      <c r="V17" s="2296"/>
      <c r="W17" s="2296"/>
      <c r="X17" s="2296"/>
    </row>
    <row r="18" spans="1:25" ht="27" customHeight="1" x14ac:dyDescent="0.25">
      <c r="A18" s="100" t="s">
        <v>40</v>
      </c>
      <c r="B18" s="2264">
        <f>C12</f>
        <v>664152</v>
      </c>
      <c r="C18" s="2261"/>
      <c r="D18" s="532">
        <f>E12</f>
        <v>0</v>
      </c>
      <c r="E18" s="532">
        <f>G12</f>
        <v>40</v>
      </c>
      <c r="F18" s="532">
        <f>I12</f>
        <v>0</v>
      </c>
      <c r="G18" s="532">
        <f>K12</f>
        <v>0</v>
      </c>
      <c r="H18" s="531">
        <v>75</v>
      </c>
      <c r="I18" s="532">
        <f>U12</f>
        <v>0</v>
      </c>
      <c r="J18" s="531">
        <v>13</v>
      </c>
      <c r="K18" s="532">
        <f>W12</f>
        <v>0</v>
      </c>
      <c r="L18" s="531"/>
      <c r="M18" s="532">
        <f>M12</f>
        <v>0</v>
      </c>
      <c r="N18" s="532">
        <f>O12</f>
        <v>0</v>
      </c>
      <c r="O18" s="533">
        <f>Q12</f>
        <v>0</v>
      </c>
      <c r="P18" s="531">
        <v>219</v>
      </c>
      <c r="Q18" s="2262"/>
      <c r="R18" s="2262"/>
      <c r="S18" s="526"/>
      <c r="T18" s="2254" t="s">
        <v>57</v>
      </c>
      <c r="U18" s="2254"/>
      <c r="V18" s="2262">
        <v>98711</v>
      </c>
      <c r="W18" s="2262"/>
      <c r="X18" s="2262"/>
      <c r="Y18" s="2269"/>
    </row>
    <row r="19" spans="1:25" ht="25.5" customHeight="1" x14ac:dyDescent="0.25">
      <c r="A19" s="100" t="s">
        <v>41</v>
      </c>
      <c r="B19" s="2260">
        <f>B15+B16+B17-B18</f>
        <v>875636</v>
      </c>
      <c r="C19" s="2261"/>
      <c r="D19" s="531">
        <f>D15+D16+D17-D18</f>
        <v>1260</v>
      </c>
      <c r="E19" s="531">
        <f t="shared" ref="E19:N19" si="13">E15+E16+E17-E18</f>
        <v>6165</v>
      </c>
      <c r="F19" s="531">
        <f t="shared" si="13"/>
        <v>1240</v>
      </c>
      <c r="G19" s="531">
        <f t="shared" si="13"/>
        <v>0</v>
      </c>
      <c r="H19" s="531">
        <f t="shared" si="13"/>
        <v>978</v>
      </c>
      <c r="I19" s="531">
        <f t="shared" si="13"/>
        <v>28</v>
      </c>
      <c r="J19" s="531">
        <f t="shared" si="13"/>
        <v>72</v>
      </c>
      <c r="K19" s="531">
        <f t="shared" si="13"/>
        <v>62</v>
      </c>
      <c r="L19" s="531">
        <f t="shared" si="13"/>
        <v>856</v>
      </c>
      <c r="M19" s="531">
        <f t="shared" si="13"/>
        <v>0</v>
      </c>
      <c r="N19" s="531">
        <f t="shared" si="13"/>
        <v>100</v>
      </c>
      <c r="O19" s="531">
        <f>O15+O16+O17-O18</f>
        <v>0</v>
      </c>
      <c r="P19" s="531">
        <f>P15+P16+P17-P18</f>
        <v>122</v>
      </c>
      <c r="Q19" s="2260">
        <f t="shared" ref="Q19" si="14">Q15+Q16+Q17-Q18</f>
        <v>0</v>
      </c>
      <c r="R19" s="2261"/>
      <c r="S19" s="526">
        <f>S15+S16-S17-S18</f>
        <v>0</v>
      </c>
      <c r="T19" s="2256" t="s">
        <v>48</v>
      </c>
      <c r="U19" s="49" t="s">
        <v>58</v>
      </c>
      <c r="V19" s="2262"/>
      <c r="W19" s="2262"/>
      <c r="X19" s="2262"/>
      <c r="Y19" s="2269"/>
    </row>
    <row r="20" spans="1:25" ht="23.25" customHeight="1" x14ac:dyDescent="0.25">
      <c r="A20" s="289" t="s">
        <v>187</v>
      </c>
      <c r="B20" s="2286">
        <f>B19*0.9625</f>
        <v>842799.65</v>
      </c>
      <c r="C20" s="2287"/>
      <c r="D20" s="290">
        <f>D19*66.41</f>
        <v>83676.599999999991</v>
      </c>
      <c r="E20" s="290">
        <f>28.2*E19</f>
        <v>173853</v>
      </c>
      <c r="F20" s="290">
        <f>18.31*F19</f>
        <v>22704.399999999998</v>
      </c>
      <c r="G20" s="290">
        <f>19.3*G19</f>
        <v>0</v>
      </c>
      <c r="H20" s="290">
        <f>241*H19</f>
        <v>235698</v>
      </c>
      <c r="I20" s="290">
        <f>223*I19</f>
        <v>6244</v>
      </c>
      <c r="J20" s="290">
        <f>241*J19</f>
        <v>17352</v>
      </c>
      <c r="K20" s="290">
        <f>K19*100</f>
        <v>6200</v>
      </c>
      <c r="L20" s="290">
        <f>241*L19</f>
        <v>206296</v>
      </c>
      <c r="M20" s="290">
        <f>9.65*M19</f>
        <v>0</v>
      </c>
      <c r="N20" s="290">
        <f>N19*48.2</f>
        <v>4820</v>
      </c>
      <c r="O20" s="290">
        <f>241*O19</f>
        <v>0</v>
      </c>
      <c r="P20" s="290">
        <f>241*P19</f>
        <v>29402</v>
      </c>
      <c r="Q20" s="2286">
        <f>241*Q19</f>
        <v>0</v>
      </c>
      <c r="R20" s="2287"/>
      <c r="S20" s="290">
        <f>241*S19</f>
        <v>0</v>
      </c>
      <c r="T20" s="2257"/>
      <c r="U20" s="49" t="s">
        <v>59</v>
      </c>
      <c r="V20" s="2262"/>
      <c r="W20" s="2262"/>
      <c r="X20" s="2262"/>
      <c r="Y20" s="2269"/>
    </row>
    <row r="21" spans="1:25" ht="32.25" customHeight="1" x14ac:dyDescent="0.25">
      <c r="A21" s="291" t="s">
        <v>186</v>
      </c>
      <c r="B21" s="2293">
        <f>SUM(B20:S20)</f>
        <v>1629045.65</v>
      </c>
      <c r="C21" s="2293"/>
      <c r="O21" s="535"/>
      <c r="P21" s="535"/>
      <c r="Q21" s="535"/>
      <c r="R21" s="535"/>
      <c r="T21" s="2294" t="s">
        <v>352</v>
      </c>
      <c r="U21" s="2295"/>
      <c r="V21" s="2297">
        <v>36000</v>
      </c>
      <c r="W21" s="2298"/>
      <c r="X21" s="2299"/>
      <c r="Y21" s="2269"/>
    </row>
    <row r="22" spans="1:25" ht="35.25" customHeight="1" x14ac:dyDescent="0.25">
      <c r="A22" s="15"/>
      <c r="B22" s="2288" t="s">
        <v>49</v>
      </c>
      <c r="C22" s="2291">
        <v>1609100</v>
      </c>
      <c r="D22" s="2291"/>
      <c r="E22" s="2291">
        <v>300000</v>
      </c>
      <c r="F22" s="2291">
        <f>C22-D22+E22</f>
        <v>1909100</v>
      </c>
      <c r="G22" s="535"/>
      <c r="Q22" s="535"/>
      <c r="R22" s="535"/>
      <c r="T22" s="2251" t="s">
        <v>83</v>
      </c>
      <c r="U22" s="50" t="s">
        <v>60</v>
      </c>
      <c r="V22" s="2262"/>
      <c r="W22" s="2262"/>
      <c r="X22" s="2262"/>
      <c r="Y22" s="2269"/>
    </row>
    <row r="23" spans="1:25" ht="39.75" customHeight="1" x14ac:dyDescent="0.25">
      <c r="A23" s="535"/>
      <c r="B23" s="2289"/>
      <c r="C23" s="2292"/>
      <c r="D23" s="2292"/>
      <c r="E23" s="2292"/>
      <c r="F23" s="2292"/>
      <c r="G23" s="535"/>
      <c r="Q23" s="535"/>
      <c r="R23" s="535"/>
      <c r="T23" s="2252"/>
      <c r="U23" s="50" t="s">
        <v>61</v>
      </c>
      <c r="V23" s="2262"/>
      <c r="W23" s="2262"/>
      <c r="X23" s="2262"/>
      <c r="Y23" s="2269"/>
    </row>
    <row r="24" spans="1:25" ht="48" customHeight="1" x14ac:dyDescent="0.25">
      <c r="A24" s="535"/>
      <c r="B24" s="2290"/>
      <c r="C24" s="290" t="s">
        <v>46</v>
      </c>
      <c r="D24" s="290" t="s">
        <v>50</v>
      </c>
      <c r="E24" s="290" t="s">
        <v>51</v>
      </c>
      <c r="F24" s="290" t="s">
        <v>52</v>
      </c>
      <c r="G24" s="535"/>
      <c r="Q24" s="535"/>
      <c r="R24" s="535"/>
      <c r="T24" s="2235" t="s">
        <v>47</v>
      </c>
      <c r="U24" s="51" t="s">
        <v>62</v>
      </c>
      <c r="V24" s="2263">
        <f>V14+V16+V17-V18-V19-V20-V22+V23-V21</f>
        <v>570352.81999999995</v>
      </c>
      <c r="W24" s="2263"/>
      <c r="X24" s="2263"/>
      <c r="Y24" s="2269"/>
    </row>
    <row r="25" spans="1:25" ht="40.5" customHeight="1" x14ac:dyDescent="0.25">
      <c r="T25" s="2235"/>
      <c r="U25" s="51" t="s">
        <v>63</v>
      </c>
      <c r="V25" s="2262">
        <f>V15+V22-V23</f>
        <v>9887</v>
      </c>
      <c r="W25" s="2262"/>
      <c r="X25" s="2262"/>
    </row>
    <row r="26" spans="1:25" ht="36" customHeight="1" x14ac:dyDescent="0.25">
      <c r="K26" s="314"/>
    </row>
    <row r="32" spans="1:25" x14ac:dyDescent="0.25">
      <c r="I32" s="2280"/>
      <c r="J32" s="2280"/>
      <c r="K32" s="2280"/>
      <c r="L32" s="2280"/>
    </row>
    <row r="33" spans="9:12" x14ac:dyDescent="0.25">
      <c r="I33" s="535"/>
      <c r="J33" s="535"/>
      <c r="K33" s="2280"/>
      <c r="L33" s="2280"/>
    </row>
  </sheetData>
  <mergeCells count="62">
    <mergeCell ref="I32:J32"/>
    <mergeCell ref="K32:L32"/>
    <mergeCell ref="K33:L33"/>
    <mergeCell ref="T22:T23"/>
    <mergeCell ref="V22:X22"/>
    <mergeCell ref="V23:X23"/>
    <mergeCell ref="T24:T25"/>
    <mergeCell ref="V24:X24"/>
    <mergeCell ref="V25:X25"/>
    <mergeCell ref="Y18:Y24"/>
    <mergeCell ref="B19:C19"/>
    <mergeCell ref="Q19:R19"/>
    <mergeCell ref="T19:T20"/>
    <mergeCell ref="V19:X19"/>
    <mergeCell ref="B20:C20"/>
    <mergeCell ref="B22:B24"/>
    <mergeCell ref="C22:C23"/>
    <mergeCell ref="D22:D23"/>
    <mergeCell ref="E22:E23"/>
    <mergeCell ref="F22:F23"/>
    <mergeCell ref="Q20:R20"/>
    <mergeCell ref="V20:X20"/>
    <mergeCell ref="B21:C21"/>
    <mergeCell ref="T21:U21"/>
    <mergeCell ref="V21:X21"/>
    <mergeCell ref="B17:C17"/>
    <mergeCell ref="Q17:R17"/>
    <mergeCell ref="T17:U17"/>
    <mergeCell ref="V17:X17"/>
    <mergeCell ref="B18:C18"/>
    <mergeCell ref="Q18:R18"/>
    <mergeCell ref="T18:U18"/>
    <mergeCell ref="V18:X18"/>
    <mergeCell ref="W4:X4"/>
    <mergeCell ref="B16:C16"/>
    <mergeCell ref="Q16:R16"/>
    <mergeCell ref="T16:U16"/>
    <mergeCell ref="V16:X16"/>
    <mergeCell ref="A12:B12"/>
    <mergeCell ref="B14:C14"/>
    <mergeCell ref="Q14:R14"/>
    <mergeCell ref="T14:T15"/>
    <mergeCell ref="V14:X14"/>
    <mergeCell ref="B15:C15"/>
    <mergeCell ref="Q15:R15"/>
    <mergeCell ref="V15:X15"/>
    <mergeCell ref="A1:Y1"/>
    <mergeCell ref="A2:Y2"/>
    <mergeCell ref="T3:Y3"/>
    <mergeCell ref="A4:A5"/>
    <mergeCell ref="B4:B5"/>
    <mergeCell ref="C4:D4"/>
    <mergeCell ref="E4:F4"/>
    <mergeCell ref="G4:H4"/>
    <mergeCell ref="I4:J4"/>
    <mergeCell ref="K4:L4"/>
    <mergeCell ref="Y4:Y5"/>
    <mergeCell ref="M4:N4"/>
    <mergeCell ref="O4:P4"/>
    <mergeCell ref="Q4:R4"/>
    <mergeCell ref="S4:T4"/>
    <mergeCell ref="U4:V4"/>
  </mergeCells>
  <pageMargins left="0.15748031496063" right="0.15748031496063" top="0" bottom="0" header="0" footer="0"/>
  <pageSetup paperSize="9" scale="47" orientation="landscape" r:id="rId1"/>
</worksheet>
</file>

<file path=xl/worksheets/sheet14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911E501-ACC2-4EFD-BAA7-176772A75F1D}">
  <sheetPr>
    <pageSetUpPr fitToPage="1"/>
  </sheetPr>
  <dimension ref="A1:Y33"/>
  <sheetViews>
    <sheetView topLeftCell="A11" zoomScale="70" zoomScaleNormal="70" zoomScaleSheetLayoutView="100" workbookViewId="0">
      <selection activeCell="L16" sqref="L16"/>
    </sheetView>
  </sheetViews>
  <sheetFormatPr defaultColWidth="9.140625" defaultRowHeight="15" x14ac:dyDescent="0.25"/>
  <cols>
    <col min="1" max="1" width="18.28515625" style="14" customWidth="1"/>
    <col min="2" max="2" width="10.7109375" style="14" customWidth="1"/>
    <col min="3" max="3" width="12.28515625" style="14" customWidth="1"/>
    <col min="4" max="4" width="13.140625" style="14" bestFit="1" customWidth="1"/>
    <col min="5" max="5" width="12" style="14" customWidth="1"/>
    <col min="6" max="6" width="12.5703125" style="14" bestFit="1" customWidth="1"/>
    <col min="7" max="7" width="9.28515625" style="14" bestFit="1" customWidth="1"/>
    <col min="8" max="8" width="10.140625" style="14" bestFit="1" customWidth="1"/>
    <col min="9" max="9" width="10.5703125" style="14" bestFit="1" customWidth="1"/>
    <col min="10" max="10" width="10.5703125" style="14" customWidth="1"/>
    <col min="11" max="11" width="10.28515625" style="14" bestFit="1" customWidth="1"/>
    <col min="12" max="12" width="10.42578125" style="14" bestFit="1" customWidth="1"/>
    <col min="13" max="13" width="9.85546875" style="14" bestFit="1" customWidth="1"/>
    <col min="14" max="14" width="10.140625" style="14" bestFit="1" customWidth="1"/>
    <col min="15" max="15" width="9" style="14" customWidth="1"/>
    <col min="16" max="16" width="12.85546875" style="14" bestFit="1" customWidth="1"/>
    <col min="17" max="18" width="9.42578125" style="14" customWidth="1"/>
    <col min="19" max="19" width="13.7109375" style="14" customWidth="1"/>
    <col min="20" max="20" width="12.140625" style="14" customWidth="1"/>
    <col min="21" max="21" width="19.5703125" style="14" bestFit="1" customWidth="1"/>
    <col min="22" max="22" width="9.85546875" style="14" customWidth="1"/>
    <col min="23" max="23" width="10.140625" style="14" bestFit="1" customWidth="1"/>
    <col min="24" max="24" width="10.28515625" style="14" customWidth="1"/>
    <col min="25" max="25" width="28" style="14" customWidth="1"/>
    <col min="26" max="16384" width="9.140625" style="14"/>
  </cols>
  <sheetData>
    <row r="1" spans="1:25" ht="46.15" customHeight="1" x14ac:dyDescent="0.25">
      <c r="A1" s="2240" t="s">
        <v>148</v>
      </c>
      <c r="B1" s="2240"/>
      <c r="C1" s="2240"/>
      <c r="D1" s="2240"/>
      <c r="E1" s="2240"/>
      <c r="F1" s="2240"/>
      <c r="G1" s="2240"/>
      <c r="H1" s="2240"/>
      <c r="I1" s="2240"/>
      <c r="J1" s="2240"/>
      <c r="K1" s="2240"/>
      <c r="L1" s="2240"/>
      <c r="M1" s="2240"/>
      <c r="N1" s="2240"/>
      <c r="O1" s="2240"/>
      <c r="P1" s="2240"/>
      <c r="Q1" s="2240"/>
      <c r="R1" s="2240"/>
      <c r="S1" s="2240"/>
      <c r="T1" s="2240"/>
      <c r="U1" s="2240"/>
      <c r="V1" s="2240"/>
      <c r="W1" s="2240"/>
      <c r="X1" s="2240"/>
      <c r="Y1" s="2240"/>
    </row>
    <row r="2" spans="1:25" ht="21.6" customHeight="1" x14ac:dyDescent="0.25">
      <c r="A2" s="2241" t="s">
        <v>77</v>
      </c>
      <c r="B2" s="2241"/>
      <c r="C2" s="2241"/>
      <c r="D2" s="2241"/>
      <c r="E2" s="2241"/>
      <c r="F2" s="2241"/>
      <c r="G2" s="2241"/>
      <c r="H2" s="2241"/>
      <c r="I2" s="2241"/>
      <c r="J2" s="2241"/>
      <c r="K2" s="2241"/>
      <c r="L2" s="2241"/>
      <c r="M2" s="2241"/>
      <c r="N2" s="2241"/>
      <c r="O2" s="2241"/>
      <c r="P2" s="2241"/>
      <c r="Q2" s="2241"/>
      <c r="R2" s="2241"/>
      <c r="S2" s="2241"/>
      <c r="T2" s="2241"/>
      <c r="U2" s="2241"/>
      <c r="V2" s="2241"/>
      <c r="W2" s="2241"/>
      <c r="X2" s="2241"/>
      <c r="Y2" s="2241"/>
    </row>
    <row r="3" spans="1:25" ht="21" customHeight="1" x14ac:dyDescent="0.25">
      <c r="A3" s="541"/>
      <c r="B3" s="541"/>
      <c r="C3" s="541"/>
      <c r="D3" s="541"/>
      <c r="E3" s="541"/>
      <c r="F3" s="541"/>
      <c r="G3" s="541"/>
      <c r="H3" s="541"/>
      <c r="I3" s="541"/>
      <c r="J3" s="541"/>
      <c r="K3" s="541"/>
      <c r="L3" s="541"/>
      <c r="M3" s="541"/>
      <c r="N3" s="541"/>
      <c r="O3" s="541"/>
      <c r="P3" s="541"/>
      <c r="Q3" s="541"/>
      <c r="R3" s="541"/>
      <c r="S3" s="541"/>
      <c r="T3" s="2242" t="s">
        <v>353</v>
      </c>
      <c r="U3" s="2242"/>
      <c r="V3" s="2242"/>
      <c r="W3" s="2242"/>
      <c r="X3" s="2242"/>
      <c r="Y3" s="2242"/>
    </row>
    <row r="4" spans="1:25" s="541" customFormat="1" ht="18" customHeight="1" x14ac:dyDescent="0.25">
      <c r="A4" s="2243" t="s">
        <v>25</v>
      </c>
      <c r="B4" s="2243" t="s">
        <v>26</v>
      </c>
      <c r="C4" s="2244" t="s">
        <v>27</v>
      </c>
      <c r="D4" s="2244"/>
      <c r="E4" s="2244" t="s">
        <v>342</v>
      </c>
      <c r="F4" s="2244"/>
      <c r="G4" s="2244" t="s">
        <v>65</v>
      </c>
      <c r="H4" s="2244"/>
      <c r="I4" s="2244" t="s">
        <v>29</v>
      </c>
      <c r="J4" s="2244"/>
      <c r="K4" s="2245" t="s">
        <v>13</v>
      </c>
      <c r="L4" s="2246"/>
      <c r="M4" s="2245" t="s">
        <v>67</v>
      </c>
      <c r="N4" s="2246"/>
      <c r="O4" s="2245" t="s">
        <v>68</v>
      </c>
      <c r="P4" s="2246"/>
      <c r="Q4" s="2245" t="s">
        <v>114</v>
      </c>
      <c r="R4" s="2246"/>
      <c r="S4" s="2244" t="s">
        <v>35</v>
      </c>
      <c r="T4" s="2244"/>
      <c r="U4" s="2245" t="s">
        <v>17</v>
      </c>
      <c r="V4" s="2246"/>
      <c r="W4" s="2247" t="s">
        <v>36</v>
      </c>
      <c r="X4" s="2248"/>
      <c r="Y4" s="2238" t="s">
        <v>30</v>
      </c>
    </row>
    <row r="5" spans="1:25" s="541" customFormat="1" ht="25.5" customHeight="1" x14ac:dyDescent="0.25">
      <c r="A5" s="2243"/>
      <c r="B5" s="2243"/>
      <c r="C5" s="540" t="s">
        <v>42</v>
      </c>
      <c r="D5" s="540" t="s">
        <v>43</v>
      </c>
      <c r="E5" s="540" t="s">
        <v>42</v>
      </c>
      <c r="F5" s="540" t="s">
        <v>43</v>
      </c>
      <c r="G5" s="540" t="s">
        <v>42</v>
      </c>
      <c r="H5" s="540" t="s">
        <v>43</v>
      </c>
      <c r="I5" s="540" t="s">
        <v>42</v>
      </c>
      <c r="J5" s="540" t="s">
        <v>43</v>
      </c>
      <c r="K5" s="540" t="s">
        <v>42</v>
      </c>
      <c r="L5" s="540" t="s">
        <v>43</v>
      </c>
      <c r="M5" s="540" t="s">
        <v>42</v>
      </c>
      <c r="N5" s="540" t="s">
        <v>43</v>
      </c>
      <c r="O5" s="540" t="s">
        <v>42</v>
      </c>
      <c r="P5" s="540" t="s">
        <v>43</v>
      </c>
      <c r="Q5" s="540" t="s">
        <v>42</v>
      </c>
      <c r="R5" s="540" t="s">
        <v>43</v>
      </c>
      <c r="S5" s="33" t="s">
        <v>42</v>
      </c>
      <c r="T5" s="33" t="s">
        <v>43</v>
      </c>
      <c r="U5" s="30" t="s">
        <v>42</v>
      </c>
      <c r="V5" s="30" t="s">
        <v>43</v>
      </c>
      <c r="W5" s="30" t="s">
        <v>42</v>
      </c>
      <c r="X5" s="30" t="s">
        <v>43</v>
      </c>
      <c r="Y5" s="2239"/>
    </row>
    <row r="6" spans="1:25" ht="34.5" customHeight="1" x14ac:dyDescent="0.25">
      <c r="A6" s="12">
        <v>1409935200</v>
      </c>
      <c r="B6" s="539" t="s">
        <v>71</v>
      </c>
      <c r="C6" s="537">
        <v>127313</v>
      </c>
      <c r="D6" s="536">
        <f>0.9725*C6</f>
        <v>123811.8925</v>
      </c>
      <c r="E6" s="537"/>
      <c r="F6" s="537">
        <f>67.1*E6</f>
        <v>0</v>
      </c>
      <c r="G6" s="537">
        <v>180</v>
      </c>
      <c r="H6" s="537">
        <f>28.2*G6</f>
        <v>5076</v>
      </c>
      <c r="I6" s="537">
        <v>930</v>
      </c>
      <c r="J6" s="537">
        <f>18.5*I6</f>
        <v>17205</v>
      </c>
      <c r="K6" s="537"/>
      <c r="L6" s="537">
        <f>19.5*K6</f>
        <v>0</v>
      </c>
      <c r="M6" s="537"/>
      <c r="N6" s="536">
        <f>M6*9.75</f>
        <v>0</v>
      </c>
      <c r="O6" s="537"/>
      <c r="P6" s="536">
        <f>O6*48.62</f>
        <v>0</v>
      </c>
      <c r="Q6" s="536"/>
      <c r="R6" s="536">
        <f>241*Q6</f>
        <v>0</v>
      </c>
      <c r="S6" s="537"/>
      <c r="T6" s="537">
        <f>241*S6</f>
        <v>0</v>
      </c>
      <c r="U6" s="537"/>
      <c r="V6" s="537">
        <f>232*U6</f>
        <v>0</v>
      </c>
      <c r="W6" s="537"/>
      <c r="X6" s="19">
        <f>W6*100</f>
        <v>0</v>
      </c>
      <c r="Y6" s="89">
        <f t="shared" ref="Y6:Y11" si="0">D6+F6+H6+J6+L6+N6+P6+R6+T6+V6+X6</f>
        <v>146092.89250000002</v>
      </c>
    </row>
    <row r="7" spans="1:25" ht="31.5" customHeight="1" x14ac:dyDescent="0.25">
      <c r="A7" s="12">
        <v>1984225578</v>
      </c>
      <c r="B7" s="539" t="s">
        <v>72</v>
      </c>
      <c r="C7" s="537">
        <v>218757</v>
      </c>
      <c r="D7" s="536">
        <f t="shared" ref="D7:D11" si="1">0.9725*C7</f>
        <v>212741.1825</v>
      </c>
      <c r="E7" s="537"/>
      <c r="F7" s="537">
        <f t="shared" ref="F7:F11" si="2">67.1*E7</f>
        <v>0</v>
      </c>
      <c r="G7" s="537"/>
      <c r="H7" s="537">
        <f t="shared" ref="H7:H11" si="3">28.2*G7</f>
        <v>0</v>
      </c>
      <c r="I7" s="537">
        <v>40</v>
      </c>
      <c r="J7" s="537">
        <f t="shared" ref="J7:J11" si="4">18.5*I7</f>
        <v>740</v>
      </c>
      <c r="K7" s="537"/>
      <c r="L7" s="537">
        <f t="shared" ref="L7:L11" si="5">19.5*K7</f>
        <v>0</v>
      </c>
      <c r="M7" s="537"/>
      <c r="N7" s="536">
        <f t="shared" ref="N7:N11" si="6">M7*9.75</f>
        <v>0</v>
      </c>
      <c r="O7" s="537"/>
      <c r="P7" s="536">
        <f t="shared" ref="P7:P11" si="7">O7*48.62</f>
        <v>0</v>
      </c>
      <c r="Q7" s="536"/>
      <c r="R7" s="536">
        <f t="shared" ref="R7:R11" si="8">241*Q7</f>
        <v>0</v>
      </c>
      <c r="S7" s="537"/>
      <c r="T7" s="537">
        <f t="shared" ref="T7:T11" si="9">241*S7</f>
        <v>0</v>
      </c>
      <c r="U7" s="537"/>
      <c r="V7" s="537">
        <f t="shared" ref="V7:V11" si="10">232*U7</f>
        <v>0</v>
      </c>
      <c r="W7" s="537"/>
      <c r="X7" s="19">
        <f t="shared" ref="X7:X11" si="11">W7*100</f>
        <v>0</v>
      </c>
      <c r="Y7" s="89">
        <f t="shared" si="0"/>
        <v>213481.1825</v>
      </c>
    </row>
    <row r="8" spans="1:25" ht="35.25" customHeight="1" x14ac:dyDescent="0.25">
      <c r="A8" s="12">
        <v>1967020280</v>
      </c>
      <c r="B8" s="539" t="s">
        <v>73</v>
      </c>
      <c r="C8" s="537">
        <v>134103</v>
      </c>
      <c r="D8" s="536">
        <f t="shared" si="1"/>
        <v>130415.16750000001</v>
      </c>
      <c r="E8" s="537"/>
      <c r="F8" s="537">
        <f t="shared" si="2"/>
        <v>0</v>
      </c>
      <c r="G8" s="537"/>
      <c r="H8" s="537">
        <f t="shared" si="3"/>
        <v>0</v>
      </c>
      <c r="I8" s="537"/>
      <c r="J8" s="537">
        <f t="shared" si="4"/>
        <v>0</v>
      </c>
      <c r="K8" s="537"/>
      <c r="L8" s="537">
        <f t="shared" si="5"/>
        <v>0</v>
      </c>
      <c r="M8" s="537"/>
      <c r="N8" s="536">
        <f t="shared" si="6"/>
        <v>0</v>
      </c>
      <c r="O8" s="537"/>
      <c r="P8" s="536">
        <f t="shared" si="7"/>
        <v>0</v>
      </c>
      <c r="Q8" s="536"/>
      <c r="R8" s="536">
        <f t="shared" si="8"/>
        <v>0</v>
      </c>
      <c r="S8" s="537"/>
      <c r="T8" s="537">
        <f t="shared" si="9"/>
        <v>0</v>
      </c>
      <c r="U8" s="537"/>
      <c r="V8" s="537">
        <f t="shared" si="10"/>
        <v>0</v>
      </c>
      <c r="W8" s="537"/>
      <c r="X8" s="19">
        <f t="shared" si="11"/>
        <v>0</v>
      </c>
      <c r="Y8" s="89">
        <f t="shared" si="0"/>
        <v>130415.16750000001</v>
      </c>
    </row>
    <row r="9" spans="1:25" ht="38.25" customHeight="1" x14ac:dyDescent="0.25">
      <c r="A9" s="12">
        <v>1984225580</v>
      </c>
      <c r="B9" s="539" t="s">
        <v>75</v>
      </c>
      <c r="C9" s="537">
        <v>296634</v>
      </c>
      <c r="D9" s="536">
        <f t="shared" si="1"/>
        <v>288476.565</v>
      </c>
      <c r="E9" s="537"/>
      <c r="F9" s="537">
        <f t="shared" si="2"/>
        <v>0</v>
      </c>
      <c r="G9" s="537">
        <v>10</v>
      </c>
      <c r="H9" s="537">
        <f t="shared" si="3"/>
        <v>282</v>
      </c>
      <c r="I9" s="537"/>
      <c r="J9" s="537">
        <f t="shared" si="4"/>
        <v>0</v>
      </c>
      <c r="K9" s="537"/>
      <c r="L9" s="537">
        <f t="shared" si="5"/>
        <v>0</v>
      </c>
      <c r="M9" s="537"/>
      <c r="N9" s="536">
        <f t="shared" si="6"/>
        <v>0</v>
      </c>
      <c r="O9" s="537"/>
      <c r="P9" s="536">
        <f t="shared" si="7"/>
        <v>0</v>
      </c>
      <c r="Q9" s="536"/>
      <c r="R9" s="536">
        <f t="shared" si="8"/>
        <v>0</v>
      </c>
      <c r="S9" s="537"/>
      <c r="T9" s="537">
        <f t="shared" si="9"/>
        <v>0</v>
      </c>
      <c r="U9" s="537"/>
      <c r="V9" s="537">
        <f t="shared" si="10"/>
        <v>0</v>
      </c>
      <c r="W9" s="537"/>
      <c r="X9" s="19">
        <f t="shared" si="11"/>
        <v>0</v>
      </c>
      <c r="Y9" s="89">
        <f t="shared" si="0"/>
        <v>288758.565</v>
      </c>
    </row>
    <row r="10" spans="1:25" ht="35.25" customHeight="1" x14ac:dyDescent="0.25">
      <c r="A10" s="12">
        <v>1409935199</v>
      </c>
      <c r="C10" s="537"/>
      <c r="D10" s="536">
        <f t="shared" si="1"/>
        <v>0</v>
      </c>
      <c r="E10" s="537"/>
      <c r="F10" s="537">
        <f t="shared" si="2"/>
        <v>0</v>
      </c>
      <c r="G10" s="537"/>
      <c r="H10" s="537">
        <f t="shared" si="3"/>
        <v>0</v>
      </c>
      <c r="I10" s="537"/>
      <c r="J10" s="537">
        <f t="shared" si="4"/>
        <v>0</v>
      </c>
      <c r="K10" s="537"/>
      <c r="L10" s="537">
        <f t="shared" si="5"/>
        <v>0</v>
      </c>
      <c r="M10" s="537"/>
      <c r="N10" s="536">
        <f t="shared" si="6"/>
        <v>0</v>
      </c>
      <c r="O10" s="537"/>
      <c r="P10" s="536">
        <f t="shared" si="7"/>
        <v>0</v>
      </c>
      <c r="Q10" s="536"/>
      <c r="R10" s="536">
        <f t="shared" si="8"/>
        <v>0</v>
      </c>
      <c r="S10" s="537"/>
      <c r="T10" s="537">
        <f t="shared" si="9"/>
        <v>0</v>
      </c>
      <c r="U10" s="537"/>
      <c r="V10" s="537">
        <f t="shared" si="10"/>
        <v>0</v>
      </c>
      <c r="W10" s="537"/>
      <c r="X10" s="19">
        <f t="shared" si="11"/>
        <v>0</v>
      </c>
      <c r="Y10" s="89">
        <f t="shared" si="0"/>
        <v>0</v>
      </c>
    </row>
    <row r="11" spans="1:25" ht="37.5" customHeight="1" x14ac:dyDescent="0.25">
      <c r="A11" s="12"/>
      <c r="B11" s="538"/>
      <c r="C11" s="537"/>
      <c r="D11" s="22">
        <f t="shared" si="1"/>
        <v>0</v>
      </c>
      <c r="E11" s="537"/>
      <c r="F11" s="537">
        <f t="shared" si="2"/>
        <v>0</v>
      </c>
      <c r="G11" s="537"/>
      <c r="H11" s="537">
        <f t="shared" si="3"/>
        <v>0</v>
      </c>
      <c r="I11" s="537"/>
      <c r="J11" s="537">
        <f t="shared" si="4"/>
        <v>0</v>
      </c>
      <c r="K11" s="537"/>
      <c r="L11" s="537">
        <f t="shared" si="5"/>
        <v>0</v>
      </c>
      <c r="M11" s="537"/>
      <c r="N11" s="536">
        <f t="shared" si="6"/>
        <v>0</v>
      </c>
      <c r="O11" s="537"/>
      <c r="P11" s="536">
        <f t="shared" si="7"/>
        <v>0</v>
      </c>
      <c r="Q11" s="536"/>
      <c r="R11" s="536">
        <f t="shared" si="8"/>
        <v>0</v>
      </c>
      <c r="S11" s="537"/>
      <c r="T11" s="537">
        <f t="shared" si="9"/>
        <v>0</v>
      </c>
      <c r="U11" s="537"/>
      <c r="V11" s="537">
        <f t="shared" si="10"/>
        <v>0</v>
      </c>
      <c r="W11" s="537"/>
      <c r="X11" s="19">
        <f t="shared" si="11"/>
        <v>0</v>
      </c>
      <c r="Y11" s="20">
        <f t="shared" si="0"/>
        <v>0</v>
      </c>
    </row>
    <row r="12" spans="1:25" ht="29.25" customHeight="1" x14ac:dyDescent="0.25">
      <c r="A12" s="2235" t="s">
        <v>31</v>
      </c>
      <c r="B12" s="2235"/>
      <c r="C12" s="18">
        <f t="shared" ref="C12:Y12" si="12">SUM(C6:C11)</f>
        <v>776807</v>
      </c>
      <c r="D12" s="18">
        <f t="shared" si="12"/>
        <v>755444.80750000011</v>
      </c>
      <c r="E12" s="18">
        <f t="shared" si="12"/>
        <v>0</v>
      </c>
      <c r="F12" s="18">
        <f t="shared" si="12"/>
        <v>0</v>
      </c>
      <c r="G12" s="18">
        <f t="shared" si="12"/>
        <v>190</v>
      </c>
      <c r="H12" s="18">
        <f t="shared" si="12"/>
        <v>5358</v>
      </c>
      <c r="I12" s="18">
        <f t="shared" si="12"/>
        <v>970</v>
      </c>
      <c r="J12" s="18">
        <f t="shared" si="12"/>
        <v>17945</v>
      </c>
      <c r="K12" s="18">
        <f t="shared" si="12"/>
        <v>0</v>
      </c>
      <c r="L12" s="18">
        <f t="shared" si="12"/>
        <v>0</v>
      </c>
      <c r="M12" s="18">
        <f t="shared" si="12"/>
        <v>0</v>
      </c>
      <c r="N12" s="23">
        <f t="shared" si="12"/>
        <v>0</v>
      </c>
      <c r="O12" s="18">
        <f t="shared" si="12"/>
        <v>0</v>
      </c>
      <c r="P12" s="23">
        <f t="shared" si="12"/>
        <v>0</v>
      </c>
      <c r="Q12" s="23">
        <f t="shared" si="12"/>
        <v>0</v>
      </c>
      <c r="R12" s="23">
        <f>SUM(R6:R11)</f>
        <v>0</v>
      </c>
      <c r="S12" s="18">
        <f t="shared" si="12"/>
        <v>0</v>
      </c>
      <c r="T12" s="18">
        <f t="shared" si="12"/>
        <v>0</v>
      </c>
      <c r="U12" s="18">
        <f t="shared" si="12"/>
        <v>0</v>
      </c>
      <c r="V12" s="18">
        <f t="shared" si="12"/>
        <v>0</v>
      </c>
      <c r="W12" s="18">
        <f t="shared" si="12"/>
        <v>0</v>
      </c>
      <c r="X12" s="18">
        <f t="shared" si="12"/>
        <v>0</v>
      </c>
      <c r="Y12" s="18">
        <f t="shared" si="12"/>
        <v>778747.80750000011</v>
      </c>
    </row>
    <row r="14" spans="1:25" ht="41.25" customHeight="1" x14ac:dyDescent="0.25">
      <c r="A14" s="30" t="s">
        <v>32</v>
      </c>
      <c r="B14" s="2236" t="s">
        <v>27</v>
      </c>
      <c r="C14" s="2236"/>
      <c r="D14" s="30" t="s">
        <v>333</v>
      </c>
      <c r="E14" s="30" t="s">
        <v>65</v>
      </c>
      <c r="F14" s="30" t="s">
        <v>34</v>
      </c>
      <c r="G14" s="30" t="s">
        <v>13</v>
      </c>
      <c r="H14" s="469" t="s">
        <v>173</v>
      </c>
      <c r="I14" s="30" t="s">
        <v>17</v>
      </c>
      <c r="J14" s="545" t="s">
        <v>174</v>
      </c>
      <c r="K14" s="30" t="s">
        <v>36</v>
      </c>
      <c r="L14" s="30" t="s">
        <v>175</v>
      </c>
      <c r="M14" s="30" t="s">
        <v>69</v>
      </c>
      <c r="N14" s="30" t="s">
        <v>70</v>
      </c>
      <c r="O14" s="545" t="s">
        <v>114</v>
      </c>
      <c r="P14" s="545" t="s">
        <v>339</v>
      </c>
      <c r="Q14" s="2272"/>
      <c r="R14" s="2272"/>
      <c r="S14" s="545"/>
      <c r="T14" s="2235" t="s">
        <v>46</v>
      </c>
      <c r="U14" s="539" t="s">
        <v>176</v>
      </c>
      <c r="V14" s="2260">
        <v>570353</v>
      </c>
      <c r="W14" s="2268"/>
      <c r="X14" s="2261"/>
    </row>
    <row r="15" spans="1:25" ht="22.5" customHeight="1" x14ac:dyDescent="0.25">
      <c r="A15" s="100" t="s">
        <v>38</v>
      </c>
      <c r="B15" s="2260">
        <v>875636</v>
      </c>
      <c r="C15" s="2261"/>
      <c r="D15" s="542">
        <v>1260</v>
      </c>
      <c r="E15" s="542">
        <v>6165</v>
      </c>
      <c r="F15" s="542">
        <v>1240</v>
      </c>
      <c r="G15" s="542">
        <v>0</v>
      </c>
      <c r="H15" s="542">
        <v>978</v>
      </c>
      <c r="I15" s="542">
        <v>28</v>
      </c>
      <c r="J15" s="542">
        <v>72</v>
      </c>
      <c r="K15" s="542">
        <v>62</v>
      </c>
      <c r="L15" s="542">
        <v>856</v>
      </c>
      <c r="M15" s="542">
        <v>0</v>
      </c>
      <c r="N15" s="542">
        <v>100</v>
      </c>
      <c r="O15" s="542">
        <v>0</v>
      </c>
      <c r="P15" s="542">
        <v>122</v>
      </c>
      <c r="Q15" s="2262"/>
      <c r="R15" s="2262"/>
      <c r="S15" s="539">
        <v>0</v>
      </c>
      <c r="T15" s="2235"/>
      <c r="U15" s="539" t="s">
        <v>64</v>
      </c>
      <c r="V15" s="2262">
        <v>9887</v>
      </c>
      <c r="W15" s="2262"/>
      <c r="X15" s="2262"/>
    </row>
    <row r="16" spans="1:25" ht="24.75" customHeight="1" x14ac:dyDescent="0.25">
      <c r="A16" s="100" t="s">
        <v>39</v>
      </c>
      <c r="B16" s="2260">
        <v>238961</v>
      </c>
      <c r="C16" s="2261"/>
      <c r="D16" s="542"/>
      <c r="E16" s="542"/>
      <c r="F16" s="542"/>
      <c r="G16" s="542"/>
      <c r="H16" s="542"/>
      <c r="I16" s="542"/>
      <c r="J16" s="542"/>
      <c r="K16" s="542"/>
      <c r="L16" s="542">
        <v>50</v>
      </c>
      <c r="M16" s="542"/>
      <c r="N16" s="542"/>
      <c r="O16" s="542"/>
      <c r="P16" s="542"/>
      <c r="Q16" s="2225"/>
      <c r="R16" s="2225"/>
      <c r="S16" s="542"/>
      <c r="T16" s="2254" t="s">
        <v>55</v>
      </c>
      <c r="U16" s="2254"/>
      <c r="V16" s="2267">
        <f>Y12</f>
        <v>778747.80750000011</v>
      </c>
      <c r="W16" s="2267"/>
      <c r="X16" s="2262"/>
    </row>
    <row r="17" spans="1:25" ht="28.5" customHeight="1" x14ac:dyDescent="0.25">
      <c r="A17" s="101" t="s">
        <v>44</v>
      </c>
      <c r="B17" s="2260"/>
      <c r="C17" s="2261"/>
      <c r="D17" s="542"/>
      <c r="E17" s="542"/>
      <c r="F17" s="542"/>
      <c r="G17" s="542"/>
      <c r="H17" s="542"/>
      <c r="I17" s="542"/>
      <c r="J17" s="542"/>
      <c r="K17" s="542"/>
      <c r="L17" s="542"/>
      <c r="M17" s="542"/>
      <c r="N17" s="542"/>
      <c r="O17" s="542"/>
      <c r="P17" s="542"/>
      <c r="Q17" s="2225"/>
      <c r="R17" s="2225"/>
      <c r="S17" s="538"/>
      <c r="T17" s="2294"/>
      <c r="U17" s="2295"/>
      <c r="V17" s="2296"/>
      <c r="W17" s="2296"/>
      <c r="X17" s="2296"/>
    </row>
    <row r="18" spans="1:25" ht="27" customHeight="1" x14ac:dyDescent="0.25">
      <c r="A18" s="100" t="s">
        <v>40</v>
      </c>
      <c r="B18" s="2264">
        <f>C12</f>
        <v>776807</v>
      </c>
      <c r="C18" s="2261"/>
      <c r="D18" s="544">
        <f>E12</f>
        <v>0</v>
      </c>
      <c r="E18" s="544">
        <f>G12</f>
        <v>190</v>
      </c>
      <c r="F18" s="544">
        <f>I12</f>
        <v>970</v>
      </c>
      <c r="G18" s="544">
        <f>K12</f>
        <v>0</v>
      </c>
      <c r="H18" s="542">
        <v>50</v>
      </c>
      <c r="I18" s="544">
        <f>U12</f>
        <v>0</v>
      </c>
      <c r="J18" s="542"/>
      <c r="K18" s="544">
        <f>W12</f>
        <v>0</v>
      </c>
      <c r="L18" s="542"/>
      <c r="M18" s="544">
        <f>M12</f>
        <v>0</v>
      </c>
      <c r="N18" s="544">
        <f>O12</f>
        <v>0</v>
      </c>
      <c r="O18" s="543">
        <f>Q12</f>
        <v>0</v>
      </c>
      <c r="P18" s="542"/>
      <c r="Q18" s="2262"/>
      <c r="R18" s="2262"/>
      <c r="S18" s="539"/>
      <c r="T18" s="2254" t="s">
        <v>57</v>
      </c>
      <c r="U18" s="2254"/>
      <c r="V18" s="2262">
        <v>6466</v>
      </c>
      <c r="W18" s="2262"/>
      <c r="X18" s="2262"/>
      <c r="Y18" s="2269"/>
    </row>
    <row r="19" spans="1:25" ht="25.5" customHeight="1" x14ac:dyDescent="0.25">
      <c r="A19" s="100" t="s">
        <v>41</v>
      </c>
      <c r="B19" s="2260">
        <f>B15+B16+B17-B18</f>
        <v>337790</v>
      </c>
      <c r="C19" s="2261"/>
      <c r="D19" s="542">
        <f>D15+D16+D17-D18</f>
        <v>1260</v>
      </c>
      <c r="E19" s="542">
        <f t="shared" ref="E19:N19" si="13">E15+E16+E17-E18</f>
        <v>5975</v>
      </c>
      <c r="F19" s="542">
        <f t="shared" si="13"/>
        <v>270</v>
      </c>
      <c r="G19" s="542">
        <f t="shared" si="13"/>
        <v>0</v>
      </c>
      <c r="H19" s="542">
        <f t="shared" si="13"/>
        <v>928</v>
      </c>
      <c r="I19" s="542">
        <f t="shared" si="13"/>
        <v>28</v>
      </c>
      <c r="J19" s="542">
        <f t="shared" si="13"/>
        <v>72</v>
      </c>
      <c r="K19" s="542">
        <f t="shared" si="13"/>
        <v>62</v>
      </c>
      <c r="L19" s="542">
        <f t="shared" si="13"/>
        <v>906</v>
      </c>
      <c r="M19" s="542">
        <f t="shared" si="13"/>
        <v>0</v>
      </c>
      <c r="N19" s="542">
        <f t="shared" si="13"/>
        <v>100</v>
      </c>
      <c r="O19" s="542">
        <f>O15+O16+O17-O18</f>
        <v>0</v>
      </c>
      <c r="P19" s="542">
        <f>P15+P16+P17-P18</f>
        <v>122</v>
      </c>
      <c r="Q19" s="2260">
        <f t="shared" ref="Q19" si="14">Q15+Q16+Q17-Q18</f>
        <v>0</v>
      </c>
      <c r="R19" s="2261"/>
      <c r="S19" s="539">
        <f>S15+S16-S17-S18</f>
        <v>0</v>
      </c>
      <c r="T19" s="2256" t="s">
        <v>48</v>
      </c>
      <c r="U19" s="49" t="s">
        <v>58</v>
      </c>
      <c r="V19" s="2262"/>
      <c r="W19" s="2262"/>
      <c r="X19" s="2262"/>
      <c r="Y19" s="2269"/>
    </row>
    <row r="20" spans="1:25" ht="23.25" customHeight="1" x14ac:dyDescent="0.25">
      <c r="A20" s="289" t="s">
        <v>187</v>
      </c>
      <c r="B20" s="2286">
        <f>B19*0.9625</f>
        <v>325122.875</v>
      </c>
      <c r="C20" s="2287"/>
      <c r="D20" s="290">
        <f>D19*66.41</f>
        <v>83676.599999999991</v>
      </c>
      <c r="E20" s="290">
        <f>28.2*E19</f>
        <v>168495</v>
      </c>
      <c r="F20" s="290">
        <f>18.31*F19</f>
        <v>4943.7</v>
      </c>
      <c r="G20" s="290">
        <f>19.3*G19</f>
        <v>0</v>
      </c>
      <c r="H20" s="290">
        <f>241*H19</f>
        <v>223648</v>
      </c>
      <c r="I20" s="290">
        <f>223*I19</f>
        <v>6244</v>
      </c>
      <c r="J20" s="290">
        <f>241*J19</f>
        <v>17352</v>
      </c>
      <c r="K20" s="290">
        <f>K19*100</f>
        <v>6200</v>
      </c>
      <c r="L20" s="290">
        <f>241*L19</f>
        <v>218346</v>
      </c>
      <c r="M20" s="290">
        <f>9.65*M19</f>
        <v>0</v>
      </c>
      <c r="N20" s="290">
        <f>N19*48.2</f>
        <v>4820</v>
      </c>
      <c r="O20" s="290">
        <f>241*O19</f>
        <v>0</v>
      </c>
      <c r="P20" s="290">
        <f>241*P19</f>
        <v>29402</v>
      </c>
      <c r="Q20" s="2286">
        <f>241*Q19</f>
        <v>0</v>
      </c>
      <c r="R20" s="2287"/>
      <c r="S20" s="290">
        <f>241*S19</f>
        <v>0</v>
      </c>
      <c r="T20" s="2257"/>
      <c r="U20" s="49" t="s">
        <v>59</v>
      </c>
      <c r="V20" s="2262"/>
      <c r="W20" s="2262"/>
      <c r="X20" s="2262"/>
      <c r="Y20" s="2269"/>
    </row>
    <row r="21" spans="1:25" ht="32.25" customHeight="1" x14ac:dyDescent="0.25">
      <c r="A21" s="291" t="s">
        <v>186</v>
      </c>
      <c r="B21" s="2293">
        <f>SUM(B20:S20)</f>
        <v>1088250.1749999998</v>
      </c>
      <c r="C21" s="2293"/>
      <c r="O21" s="546"/>
      <c r="P21" s="546"/>
      <c r="Q21" s="546"/>
      <c r="R21" s="546"/>
      <c r="T21" s="2294"/>
      <c r="U21" s="2295"/>
      <c r="V21" s="2297"/>
      <c r="W21" s="2298"/>
      <c r="X21" s="2299"/>
      <c r="Y21" s="2269"/>
    </row>
    <row r="22" spans="1:25" ht="35.25" customHeight="1" x14ac:dyDescent="0.25">
      <c r="A22" s="15"/>
      <c r="B22" s="2288" t="s">
        <v>49</v>
      </c>
      <c r="C22" s="2291">
        <v>1909100</v>
      </c>
      <c r="D22" s="2291"/>
      <c r="E22" s="2291">
        <v>230000</v>
      </c>
      <c r="F22" s="2291">
        <f>C22-D22+E22</f>
        <v>2139100</v>
      </c>
      <c r="G22" s="546"/>
      <c r="Q22" s="546"/>
      <c r="R22" s="546"/>
      <c r="T22" s="2251" t="s">
        <v>83</v>
      </c>
      <c r="U22" s="50" t="s">
        <v>60</v>
      </c>
      <c r="V22" s="2262"/>
      <c r="W22" s="2262"/>
      <c r="X22" s="2262"/>
      <c r="Y22" s="2269"/>
    </row>
    <row r="23" spans="1:25" ht="39.75" customHeight="1" x14ac:dyDescent="0.25">
      <c r="A23" s="546"/>
      <c r="B23" s="2289"/>
      <c r="C23" s="2292"/>
      <c r="D23" s="2292"/>
      <c r="E23" s="2292"/>
      <c r="F23" s="2292"/>
      <c r="G23" s="546"/>
      <c r="Q23" s="546"/>
      <c r="R23" s="546"/>
      <c r="T23" s="2252"/>
      <c r="U23" s="50" t="s">
        <v>61</v>
      </c>
      <c r="V23" s="2262"/>
      <c r="W23" s="2262"/>
      <c r="X23" s="2262"/>
      <c r="Y23" s="2269"/>
    </row>
    <row r="24" spans="1:25" ht="48" customHeight="1" x14ac:dyDescent="0.25">
      <c r="A24" s="546"/>
      <c r="B24" s="2290"/>
      <c r="C24" s="290" t="s">
        <v>46</v>
      </c>
      <c r="D24" s="290" t="s">
        <v>50</v>
      </c>
      <c r="E24" s="290" t="s">
        <v>51</v>
      </c>
      <c r="F24" s="290" t="s">
        <v>52</v>
      </c>
      <c r="G24" s="546"/>
      <c r="Q24" s="546"/>
      <c r="R24" s="546"/>
      <c r="T24" s="2235" t="s">
        <v>47</v>
      </c>
      <c r="U24" s="51" t="s">
        <v>62</v>
      </c>
      <c r="V24" s="2263">
        <f>V14+V16+V17-V18-V19-V20-V22+V23-V21</f>
        <v>1342634.8075000001</v>
      </c>
      <c r="W24" s="2263"/>
      <c r="X24" s="2263"/>
      <c r="Y24" s="2269"/>
    </row>
    <row r="25" spans="1:25" ht="40.5" customHeight="1" x14ac:dyDescent="0.25">
      <c r="T25" s="2235"/>
      <c r="U25" s="51" t="s">
        <v>63</v>
      </c>
      <c r="V25" s="2262">
        <f>V15+V22-V23</f>
        <v>9887</v>
      </c>
      <c r="W25" s="2262"/>
      <c r="X25" s="2262"/>
    </row>
    <row r="26" spans="1:25" ht="36" customHeight="1" x14ac:dyDescent="0.25">
      <c r="K26" s="314"/>
    </row>
    <row r="32" spans="1:25" x14ac:dyDescent="0.25">
      <c r="I32" s="2280"/>
      <c r="J32" s="2280"/>
      <c r="K32" s="2280"/>
      <c r="L32" s="2280"/>
    </row>
    <row r="33" spans="9:12" x14ac:dyDescent="0.25">
      <c r="I33" s="546"/>
      <c r="J33" s="546"/>
      <c r="K33" s="2280"/>
      <c r="L33" s="2280"/>
    </row>
  </sheetData>
  <mergeCells count="62">
    <mergeCell ref="A1:Y1"/>
    <mergeCell ref="A2:Y2"/>
    <mergeCell ref="T3:Y3"/>
    <mergeCell ref="A4:A5"/>
    <mergeCell ref="B4:B5"/>
    <mergeCell ref="C4:D4"/>
    <mergeCell ref="E4:F4"/>
    <mergeCell ref="G4:H4"/>
    <mergeCell ref="I4:J4"/>
    <mergeCell ref="K4:L4"/>
    <mergeCell ref="Y4:Y5"/>
    <mergeCell ref="M4:N4"/>
    <mergeCell ref="O4:P4"/>
    <mergeCell ref="Q4:R4"/>
    <mergeCell ref="S4:T4"/>
    <mergeCell ref="U4:V4"/>
    <mergeCell ref="W4:X4"/>
    <mergeCell ref="B16:C16"/>
    <mergeCell ref="Q16:R16"/>
    <mergeCell ref="T16:U16"/>
    <mergeCell ref="V16:X16"/>
    <mergeCell ref="A12:B12"/>
    <mergeCell ref="B14:C14"/>
    <mergeCell ref="Q14:R14"/>
    <mergeCell ref="T14:T15"/>
    <mergeCell ref="V14:X14"/>
    <mergeCell ref="B15:C15"/>
    <mergeCell ref="Q15:R15"/>
    <mergeCell ref="V15:X15"/>
    <mergeCell ref="B17:C17"/>
    <mergeCell ref="Q17:R17"/>
    <mergeCell ref="T17:U17"/>
    <mergeCell ref="V17:X17"/>
    <mergeCell ref="B18:C18"/>
    <mergeCell ref="Q18:R18"/>
    <mergeCell ref="T18:U18"/>
    <mergeCell ref="V18:X18"/>
    <mergeCell ref="Y18:Y24"/>
    <mergeCell ref="B19:C19"/>
    <mergeCell ref="Q19:R19"/>
    <mergeCell ref="T19:T20"/>
    <mergeCell ref="V19:X19"/>
    <mergeCell ref="B20:C20"/>
    <mergeCell ref="B22:B24"/>
    <mergeCell ref="C22:C23"/>
    <mergeCell ref="D22:D23"/>
    <mergeCell ref="E22:E23"/>
    <mergeCell ref="F22:F23"/>
    <mergeCell ref="Q20:R20"/>
    <mergeCell ref="V20:X20"/>
    <mergeCell ref="B21:C21"/>
    <mergeCell ref="T21:U21"/>
    <mergeCell ref="V21:X21"/>
    <mergeCell ref="I32:J32"/>
    <mergeCell ref="K32:L32"/>
    <mergeCell ref="K33:L33"/>
    <mergeCell ref="T22:T23"/>
    <mergeCell ref="V22:X22"/>
    <mergeCell ref="V23:X23"/>
    <mergeCell ref="T24:T25"/>
    <mergeCell ref="V24:X24"/>
    <mergeCell ref="V25:X25"/>
  </mergeCells>
  <pageMargins left="0.15748031496063" right="0.15748031496063" top="0" bottom="0" header="0" footer="0"/>
  <pageSetup paperSize="9" scale="47" orientation="landscape" r:id="rId1"/>
</worksheet>
</file>

<file path=xl/worksheets/sheet14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69711EC-5758-4774-8608-7852DB5560C1}">
  <sheetPr>
    <pageSetUpPr fitToPage="1"/>
  </sheetPr>
  <dimension ref="A1:Y33"/>
  <sheetViews>
    <sheetView topLeftCell="A9" zoomScale="70" zoomScaleNormal="70" zoomScaleSheetLayoutView="100" workbookViewId="0">
      <selection activeCell="L16" sqref="L16"/>
    </sheetView>
  </sheetViews>
  <sheetFormatPr defaultColWidth="9.140625" defaultRowHeight="15" x14ac:dyDescent="0.25"/>
  <cols>
    <col min="1" max="1" width="18.28515625" style="14" customWidth="1"/>
    <col min="2" max="2" width="10.7109375" style="14" customWidth="1"/>
    <col min="3" max="3" width="12.28515625" style="14" customWidth="1"/>
    <col min="4" max="4" width="13.140625" style="14" bestFit="1" customWidth="1"/>
    <col min="5" max="5" width="12" style="14" customWidth="1"/>
    <col min="6" max="6" width="12.5703125" style="14" bestFit="1" customWidth="1"/>
    <col min="7" max="7" width="9.28515625" style="14" bestFit="1" customWidth="1"/>
    <col min="8" max="8" width="10.140625" style="14" bestFit="1" customWidth="1"/>
    <col min="9" max="9" width="10.5703125" style="14" bestFit="1" customWidth="1"/>
    <col min="10" max="10" width="10.5703125" style="14" customWidth="1"/>
    <col min="11" max="11" width="10.28515625" style="14" bestFit="1" customWidth="1"/>
    <col min="12" max="12" width="10.42578125" style="14" bestFit="1" customWidth="1"/>
    <col min="13" max="13" width="9.85546875" style="14" bestFit="1" customWidth="1"/>
    <col min="14" max="14" width="10.140625" style="14" bestFit="1" customWidth="1"/>
    <col min="15" max="15" width="9" style="14" customWidth="1"/>
    <col min="16" max="16" width="12.85546875" style="14" bestFit="1" customWidth="1"/>
    <col min="17" max="18" width="9.42578125" style="14" customWidth="1"/>
    <col min="19" max="19" width="13.7109375" style="14" customWidth="1"/>
    <col min="20" max="20" width="12.140625" style="14" customWidth="1"/>
    <col min="21" max="21" width="19.5703125" style="14" bestFit="1" customWidth="1"/>
    <col min="22" max="22" width="9.85546875" style="14" customWidth="1"/>
    <col min="23" max="23" width="10.140625" style="14" bestFit="1" customWidth="1"/>
    <col min="24" max="24" width="10.28515625" style="14" customWidth="1"/>
    <col min="25" max="25" width="28" style="14" customWidth="1"/>
    <col min="26" max="16384" width="9.140625" style="14"/>
  </cols>
  <sheetData>
    <row r="1" spans="1:25" ht="46.15" customHeight="1" x14ac:dyDescent="0.25">
      <c r="A1" s="2240" t="s">
        <v>148</v>
      </c>
      <c r="B1" s="2240"/>
      <c r="C1" s="2240"/>
      <c r="D1" s="2240"/>
      <c r="E1" s="2240"/>
      <c r="F1" s="2240"/>
      <c r="G1" s="2240"/>
      <c r="H1" s="2240"/>
      <c r="I1" s="2240"/>
      <c r="J1" s="2240"/>
      <c r="K1" s="2240"/>
      <c r="L1" s="2240"/>
      <c r="M1" s="2240"/>
      <c r="N1" s="2240"/>
      <c r="O1" s="2240"/>
      <c r="P1" s="2240"/>
      <c r="Q1" s="2240"/>
      <c r="R1" s="2240"/>
      <c r="S1" s="2240"/>
      <c r="T1" s="2240"/>
      <c r="U1" s="2240"/>
      <c r="V1" s="2240"/>
      <c r="W1" s="2240"/>
      <c r="X1" s="2240"/>
      <c r="Y1" s="2240"/>
    </row>
    <row r="2" spans="1:25" ht="21.6" customHeight="1" x14ac:dyDescent="0.25">
      <c r="A2" s="2241" t="s">
        <v>77</v>
      </c>
      <c r="B2" s="2241"/>
      <c r="C2" s="2241"/>
      <c r="D2" s="2241"/>
      <c r="E2" s="2241"/>
      <c r="F2" s="2241"/>
      <c r="G2" s="2241"/>
      <c r="H2" s="2241"/>
      <c r="I2" s="2241"/>
      <c r="J2" s="2241"/>
      <c r="K2" s="2241"/>
      <c r="L2" s="2241"/>
      <c r="M2" s="2241"/>
      <c r="N2" s="2241"/>
      <c r="O2" s="2241"/>
      <c r="P2" s="2241"/>
      <c r="Q2" s="2241"/>
      <c r="R2" s="2241"/>
      <c r="S2" s="2241"/>
      <c r="T2" s="2241"/>
      <c r="U2" s="2241"/>
      <c r="V2" s="2241"/>
      <c r="W2" s="2241"/>
      <c r="X2" s="2241"/>
      <c r="Y2" s="2241"/>
    </row>
    <row r="3" spans="1:25" ht="21" customHeight="1" x14ac:dyDescent="0.25">
      <c r="A3" s="552"/>
      <c r="B3" s="552"/>
      <c r="C3" s="552"/>
      <c r="D3" s="552"/>
      <c r="E3" s="552"/>
      <c r="F3" s="552"/>
      <c r="G3" s="552"/>
      <c r="H3" s="552"/>
      <c r="I3" s="552"/>
      <c r="J3" s="552"/>
      <c r="K3" s="552"/>
      <c r="L3" s="552"/>
      <c r="M3" s="552"/>
      <c r="N3" s="552"/>
      <c r="O3" s="552"/>
      <c r="P3" s="552"/>
      <c r="Q3" s="552"/>
      <c r="R3" s="552"/>
      <c r="S3" s="552"/>
      <c r="T3" s="2242" t="s">
        <v>354</v>
      </c>
      <c r="U3" s="2242"/>
      <c r="V3" s="2242"/>
      <c r="W3" s="2242"/>
      <c r="X3" s="2242"/>
      <c r="Y3" s="2242"/>
    </row>
    <row r="4" spans="1:25" s="552" customFormat="1" ht="18" customHeight="1" x14ac:dyDescent="0.25">
      <c r="A4" s="2243" t="s">
        <v>25</v>
      </c>
      <c r="B4" s="2243" t="s">
        <v>26</v>
      </c>
      <c r="C4" s="2244" t="s">
        <v>27</v>
      </c>
      <c r="D4" s="2244"/>
      <c r="E4" s="2244" t="s">
        <v>342</v>
      </c>
      <c r="F4" s="2244"/>
      <c r="G4" s="2244" t="s">
        <v>65</v>
      </c>
      <c r="H4" s="2244"/>
      <c r="I4" s="2244" t="s">
        <v>29</v>
      </c>
      <c r="J4" s="2244"/>
      <c r="K4" s="2245" t="s">
        <v>13</v>
      </c>
      <c r="L4" s="2246"/>
      <c r="M4" s="2245" t="s">
        <v>67</v>
      </c>
      <c r="N4" s="2246"/>
      <c r="O4" s="2245" t="s">
        <v>68</v>
      </c>
      <c r="P4" s="2246"/>
      <c r="Q4" s="2245" t="s">
        <v>114</v>
      </c>
      <c r="R4" s="2246"/>
      <c r="S4" s="2244" t="s">
        <v>35</v>
      </c>
      <c r="T4" s="2244"/>
      <c r="U4" s="2245" t="s">
        <v>17</v>
      </c>
      <c r="V4" s="2246"/>
      <c r="W4" s="2247" t="s">
        <v>36</v>
      </c>
      <c r="X4" s="2248"/>
      <c r="Y4" s="2238" t="s">
        <v>30</v>
      </c>
    </row>
    <row r="5" spans="1:25" s="552" customFormat="1" ht="25.5" customHeight="1" x14ac:dyDescent="0.25">
      <c r="A5" s="2243"/>
      <c r="B5" s="2243"/>
      <c r="C5" s="551" t="s">
        <v>42</v>
      </c>
      <c r="D5" s="551" t="s">
        <v>43</v>
      </c>
      <c r="E5" s="551" t="s">
        <v>42</v>
      </c>
      <c r="F5" s="551" t="s">
        <v>43</v>
      </c>
      <c r="G5" s="551" t="s">
        <v>42</v>
      </c>
      <c r="H5" s="551" t="s">
        <v>43</v>
      </c>
      <c r="I5" s="551" t="s">
        <v>42</v>
      </c>
      <c r="J5" s="551" t="s">
        <v>43</v>
      </c>
      <c r="K5" s="551" t="s">
        <v>42</v>
      </c>
      <c r="L5" s="551" t="s">
        <v>43</v>
      </c>
      <c r="M5" s="551" t="s">
        <v>42</v>
      </c>
      <c r="N5" s="551" t="s">
        <v>43</v>
      </c>
      <c r="O5" s="551" t="s">
        <v>42</v>
      </c>
      <c r="P5" s="551" t="s">
        <v>43</v>
      </c>
      <c r="Q5" s="551" t="s">
        <v>42</v>
      </c>
      <c r="R5" s="551" t="s">
        <v>43</v>
      </c>
      <c r="S5" s="33" t="s">
        <v>42</v>
      </c>
      <c r="T5" s="33" t="s">
        <v>43</v>
      </c>
      <c r="U5" s="30" t="s">
        <v>42</v>
      </c>
      <c r="V5" s="30" t="s">
        <v>43</v>
      </c>
      <c r="W5" s="30" t="s">
        <v>42</v>
      </c>
      <c r="X5" s="30" t="s">
        <v>43</v>
      </c>
      <c r="Y5" s="2239"/>
    </row>
    <row r="6" spans="1:25" ht="34.5" customHeight="1" x14ac:dyDescent="0.25">
      <c r="A6" s="12">
        <v>1409935200</v>
      </c>
      <c r="B6" s="550" t="s">
        <v>71</v>
      </c>
      <c r="C6" s="548">
        <v>55271</v>
      </c>
      <c r="D6" s="547">
        <f>0.9725*C6</f>
        <v>53751.047500000001</v>
      </c>
      <c r="E6" s="548"/>
      <c r="F6" s="548">
        <f>67.1*E6</f>
        <v>0</v>
      </c>
      <c r="G6" s="548">
        <v>80</v>
      </c>
      <c r="H6" s="548">
        <f>28.2*G6</f>
        <v>2256</v>
      </c>
      <c r="I6" s="548">
        <v>760</v>
      </c>
      <c r="J6" s="548">
        <f>18.5*I6</f>
        <v>14060</v>
      </c>
      <c r="K6" s="548"/>
      <c r="L6" s="548">
        <f>19.5*K6</f>
        <v>0</v>
      </c>
      <c r="M6" s="548"/>
      <c r="N6" s="547">
        <f>M6*9.75</f>
        <v>0</v>
      </c>
      <c r="O6" s="548"/>
      <c r="P6" s="547">
        <f>O6*48.62</f>
        <v>0</v>
      </c>
      <c r="Q6" s="547"/>
      <c r="R6" s="547">
        <f>241*Q6</f>
        <v>0</v>
      </c>
      <c r="S6" s="548"/>
      <c r="T6" s="548">
        <f>241*S6</f>
        <v>0</v>
      </c>
      <c r="U6" s="548"/>
      <c r="V6" s="548">
        <f>232*U6</f>
        <v>0</v>
      </c>
      <c r="W6" s="548"/>
      <c r="X6" s="19">
        <f>W6*100</f>
        <v>0</v>
      </c>
      <c r="Y6" s="89">
        <f t="shared" ref="Y6:Y11" si="0">D6+F6+H6+J6+L6+N6+P6+R6+T6+V6+X6</f>
        <v>70067.047500000001</v>
      </c>
    </row>
    <row r="7" spans="1:25" ht="31.5" customHeight="1" x14ac:dyDescent="0.25">
      <c r="A7" s="12">
        <v>1984225578</v>
      </c>
      <c r="B7" s="550" t="s">
        <v>72</v>
      </c>
      <c r="C7" s="548">
        <v>18831</v>
      </c>
      <c r="D7" s="547">
        <f t="shared" ref="D7:D11" si="1">0.9725*C7</f>
        <v>18313.147499999999</v>
      </c>
      <c r="E7" s="548">
        <v>10</v>
      </c>
      <c r="F7" s="548">
        <f t="shared" ref="F7:F11" si="2">67.1*E7</f>
        <v>671</v>
      </c>
      <c r="G7" s="548">
        <v>60</v>
      </c>
      <c r="H7" s="548">
        <f t="shared" ref="H7:H11" si="3">28.2*G7</f>
        <v>1692</v>
      </c>
      <c r="I7" s="548">
        <v>1500</v>
      </c>
      <c r="J7" s="548">
        <f t="shared" ref="J7:J11" si="4">18.5*I7</f>
        <v>27750</v>
      </c>
      <c r="K7" s="548"/>
      <c r="L7" s="548">
        <f t="shared" ref="L7:L11" si="5">19.5*K7</f>
        <v>0</v>
      </c>
      <c r="M7" s="548"/>
      <c r="N7" s="547">
        <f t="shared" ref="N7:N11" si="6">M7*9.75</f>
        <v>0</v>
      </c>
      <c r="O7" s="548"/>
      <c r="P7" s="547">
        <f t="shared" ref="P7:P11" si="7">O7*48.62</f>
        <v>0</v>
      </c>
      <c r="Q7" s="547"/>
      <c r="R7" s="547">
        <f t="shared" ref="R7:R11" si="8">241*Q7</f>
        <v>0</v>
      </c>
      <c r="S7" s="548"/>
      <c r="T7" s="548">
        <f t="shared" ref="T7:T11" si="9">241*S7</f>
        <v>0</v>
      </c>
      <c r="U7" s="548"/>
      <c r="V7" s="548">
        <f t="shared" ref="V7:V11" si="10">232*U7</f>
        <v>0</v>
      </c>
      <c r="W7" s="548"/>
      <c r="X7" s="19">
        <f t="shared" ref="X7:X11" si="11">W7*100</f>
        <v>0</v>
      </c>
      <c r="Y7" s="89">
        <f t="shared" si="0"/>
        <v>48426.147499999999</v>
      </c>
    </row>
    <row r="8" spans="1:25" ht="35.25" customHeight="1" x14ac:dyDescent="0.25">
      <c r="A8" s="12">
        <v>1967020280</v>
      </c>
      <c r="B8" s="550" t="s">
        <v>73</v>
      </c>
      <c r="C8" s="548">
        <v>25891</v>
      </c>
      <c r="D8" s="547">
        <f t="shared" si="1"/>
        <v>25178.997500000001</v>
      </c>
      <c r="E8" s="548"/>
      <c r="F8" s="548">
        <f t="shared" si="2"/>
        <v>0</v>
      </c>
      <c r="G8" s="548">
        <v>30</v>
      </c>
      <c r="H8" s="548">
        <f t="shared" si="3"/>
        <v>846</v>
      </c>
      <c r="I8" s="548">
        <v>660</v>
      </c>
      <c r="J8" s="548">
        <f t="shared" si="4"/>
        <v>12210</v>
      </c>
      <c r="K8" s="548"/>
      <c r="L8" s="548">
        <f t="shared" si="5"/>
        <v>0</v>
      </c>
      <c r="M8" s="548"/>
      <c r="N8" s="547">
        <f t="shared" si="6"/>
        <v>0</v>
      </c>
      <c r="O8" s="548"/>
      <c r="P8" s="547">
        <f t="shared" si="7"/>
        <v>0</v>
      </c>
      <c r="Q8" s="547"/>
      <c r="R8" s="547">
        <f t="shared" si="8"/>
        <v>0</v>
      </c>
      <c r="S8" s="548"/>
      <c r="T8" s="548">
        <f t="shared" si="9"/>
        <v>0</v>
      </c>
      <c r="U8" s="548"/>
      <c r="V8" s="548">
        <f t="shared" si="10"/>
        <v>0</v>
      </c>
      <c r="W8" s="548"/>
      <c r="X8" s="19">
        <f t="shared" si="11"/>
        <v>0</v>
      </c>
      <c r="Y8" s="89">
        <f t="shared" si="0"/>
        <v>38234.997499999998</v>
      </c>
    </row>
    <row r="9" spans="1:25" ht="38.25" customHeight="1" x14ac:dyDescent="0.25">
      <c r="A9" s="12">
        <v>1984225580</v>
      </c>
      <c r="B9" s="550" t="s">
        <v>75</v>
      </c>
      <c r="C9" s="548">
        <v>18327</v>
      </c>
      <c r="D9" s="547">
        <f t="shared" si="1"/>
        <v>17823.0075</v>
      </c>
      <c r="E9" s="548"/>
      <c r="F9" s="548">
        <f t="shared" si="2"/>
        <v>0</v>
      </c>
      <c r="G9" s="548">
        <v>30</v>
      </c>
      <c r="H9" s="548">
        <f t="shared" si="3"/>
        <v>846</v>
      </c>
      <c r="I9" s="548">
        <v>680</v>
      </c>
      <c r="J9" s="548">
        <f t="shared" si="4"/>
        <v>12580</v>
      </c>
      <c r="K9" s="548"/>
      <c r="L9" s="548">
        <f t="shared" si="5"/>
        <v>0</v>
      </c>
      <c r="M9" s="548"/>
      <c r="N9" s="547">
        <f t="shared" si="6"/>
        <v>0</v>
      </c>
      <c r="O9" s="548"/>
      <c r="P9" s="547">
        <f t="shared" si="7"/>
        <v>0</v>
      </c>
      <c r="Q9" s="547"/>
      <c r="R9" s="547">
        <f t="shared" si="8"/>
        <v>0</v>
      </c>
      <c r="S9" s="548"/>
      <c r="T9" s="548">
        <f t="shared" si="9"/>
        <v>0</v>
      </c>
      <c r="U9" s="548"/>
      <c r="V9" s="548">
        <f t="shared" si="10"/>
        <v>0</v>
      </c>
      <c r="W9" s="548"/>
      <c r="X9" s="19">
        <f t="shared" si="11"/>
        <v>0</v>
      </c>
      <c r="Y9" s="89">
        <f t="shared" si="0"/>
        <v>31249.0075</v>
      </c>
    </row>
    <row r="10" spans="1:25" ht="35.25" customHeight="1" x14ac:dyDescent="0.25">
      <c r="A10" s="12">
        <v>1409935199</v>
      </c>
      <c r="C10" s="548"/>
      <c r="D10" s="547">
        <f t="shared" si="1"/>
        <v>0</v>
      </c>
      <c r="E10" s="548"/>
      <c r="F10" s="548">
        <f t="shared" si="2"/>
        <v>0</v>
      </c>
      <c r="G10" s="548"/>
      <c r="H10" s="548">
        <f t="shared" si="3"/>
        <v>0</v>
      </c>
      <c r="I10" s="548"/>
      <c r="J10" s="548">
        <f t="shared" si="4"/>
        <v>0</v>
      </c>
      <c r="K10" s="548"/>
      <c r="L10" s="548">
        <f t="shared" si="5"/>
        <v>0</v>
      </c>
      <c r="M10" s="548"/>
      <c r="N10" s="547">
        <f t="shared" si="6"/>
        <v>0</v>
      </c>
      <c r="O10" s="548"/>
      <c r="P10" s="547">
        <f t="shared" si="7"/>
        <v>0</v>
      </c>
      <c r="Q10" s="547"/>
      <c r="R10" s="547">
        <f t="shared" si="8"/>
        <v>0</v>
      </c>
      <c r="S10" s="548"/>
      <c r="T10" s="548">
        <f t="shared" si="9"/>
        <v>0</v>
      </c>
      <c r="U10" s="548"/>
      <c r="V10" s="548">
        <f t="shared" si="10"/>
        <v>0</v>
      </c>
      <c r="W10" s="548"/>
      <c r="X10" s="19">
        <f t="shared" si="11"/>
        <v>0</v>
      </c>
      <c r="Y10" s="89">
        <f t="shared" si="0"/>
        <v>0</v>
      </c>
    </row>
    <row r="11" spans="1:25" ht="37.5" customHeight="1" x14ac:dyDescent="0.25">
      <c r="A11" s="12"/>
      <c r="B11" s="549"/>
      <c r="C11" s="548"/>
      <c r="D11" s="22">
        <f t="shared" si="1"/>
        <v>0</v>
      </c>
      <c r="E11" s="548"/>
      <c r="F11" s="548">
        <f t="shared" si="2"/>
        <v>0</v>
      </c>
      <c r="G11" s="548"/>
      <c r="H11" s="548">
        <f t="shared" si="3"/>
        <v>0</v>
      </c>
      <c r="I11" s="548"/>
      <c r="J11" s="548">
        <f t="shared" si="4"/>
        <v>0</v>
      </c>
      <c r="K11" s="548"/>
      <c r="L11" s="548">
        <f t="shared" si="5"/>
        <v>0</v>
      </c>
      <c r="M11" s="548"/>
      <c r="N11" s="547">
        <f t="shared" si="6"/>
        <v>0</v>
      </c>
      <c r="O11" s="548"/>
      <c r="P11" s="547">
        <f t="shared" si="7"/>
        <v>0</v>
      </c>
      <c r="Q11" s="547"/>
      <c r="R11" s="547">
        <f t="shared" si="8"/>
        <v>0</v>
      </c>
      <c r="S11" s="548"/>
      <c r="T11" s="548">
        <f t="shared" si="9"/>
        <v>0</v>
      </c>
      <c r="U11" s="548"/>
      <c r="V11" s="548">
        <f t="shared" si="10"/>
        <v>0</v>
      </c>
      <c r="W11" s="548"/>
      <c r="X11" s="19">
        <f t="shared" si="11"/>
        <v>0</v>
      </c>
      <c r="Y11" s="20">
        <f t="shared" si="0"/>
        <v>0</v>
      </c>
    </row>
    <row r="12" spans="1:25" ht="29.25" customHeight="1" x14ac:dyDescent="0.25">
      <c r="A12" s="2235" t="s">
        <v>31</v>
      </c>
      <c r="B12" s="2235"/>
      <c r="C12" s="18">
        <f t="shared" ref="C12:Y12" si="12">SUM(C6:C11)</f>
        <v>118320</v>
      </c>
      <c r="D12" s="18">
        <f t="shared" si="12"/>
        <v>115066.20000000001</v>
      </c>
      <c r="E12" s="18">
        <f t="shared" si="12"/>
        <v>10</v>
      </c>
      <c r="F12" s="18">
        <f t="shared" si="12"/>
        <v>671</v>
      </c>
      <c r="G12" s="18">
        <f t="shared" si="12"/>
        <v>200</v>
      </c>
      <c r="H12" s="18">
        <f t="shared" si="12"/>
        <v>5640</v>
      </c>
      <c r="I12" s="18">
        <f t="shared" si="12"/>
        <v>3600</v>
      </c>
      <c r="J12" s="18">
        <f t="shared" si="12"/>
        <v>66600</v>
      </c>
      <c r="K12" s="18">
        <f t="shared" si="12"/>
        <v>0</v>
      </c>
      <c r="L12" s="18">
        <f t="shared" si="12"/>
        <v>0</v>
      </c>
      <c r="M12" s="18">
        <f t="shared" si="12"/>
        <v>0</v>
      </c>
      <c r="N12" s="23">
        <f t="shared" si="12"/>
        <v>0</v>
      </c>
      <c r="O12" s="18">
        <f t="shared" si="12"/>
        <v>0</v>
      </c>
      <c r="P12" s="23">
        <f t="shared" si="12"/>
        <v>0</v>
      </c>
      <c r="Q12" s="23">
        <f t="shared" si="12"/>
        <v>0</v>
      </c>
      <c r="R12" s="23">
        <f>SUM(R6:R11)</f>
        <v>0</v>
      </c>
      <c r="S12" s="18">
        <f t="shared" si="12"/>
        <v>0</v>
      </c>
      <c r="T12" s="18">
        <f t="shared" si="12"/>
        <v>0</v>
      </c>
      <c r="U12" s="18">
        <f t="shared" si="12"/>
        <v>0</v>
      </c>
      <c r="V12" s="18">
        <f t="shared" si="12"/>
        <v>0</v>
      </c>
      <c r="W12" s="18">
        <f t="shared" si="12"/>
        <v>0</v>
      </c>
      <c r="X12" s="18">
        <f t="shared" si="12"/>
        <v>0</v>
      </c>
      <c r="Y12" s="18">
        <f t="shared" si="12"/>
        <v>187977.2</v>
      </c>
    </row>
    <row r="14" spans="1:25" ht="41.25" customHeight="1" x14ac:dyDescent="0.25">
      <c r="A14" s="30" t="s">
        <v>32</v>
      </c>
      <c r="B14" s="2236" t="s">
        <v>27</v>
      </c>
      <c r="C14" s="2236"/>
      <c r="D14" s="30" t="s">
        <v>333</v>
      </c>
      <c r="E14" s="30" t="s">
        <v>65</v>
      </c>
      <c r="F14" s="30" t="s">
        <v>34</v>
      </c>
      <c r="G14" s="30" t="s">
        <v>13</v>
      </c>
      <c r="H14" s="469" t="s">
        <v>173</v>
      </c>
      <c r="I14" s="30" t="s">
        <v>17</v>
      </c>
      <c r="J14" s="556" t="s">
        <v>174</v>
      </c>
      <c r="K14" s="30" t="s">
        <v>36</v>
      </c>
      <c r="L14" s="30" t="s">
        <v>175</v>
      </c>
      <c r="M14" s="30" t="s">
        <v>69</v>
      </c>
      <c r="N14" s="30" t="s">
        <v>70</v>
      </c>
      <c r="O14" s="556" t="s">
        <v>114</v>
      </c>
      <c r="P14" s="556" t="s">
        <v>339</v>
      </c>
      <c r="Q14" s="2272"/>
      <c r="R14" s="2272"/>
      <c r="S14" s="556"/>
      <c r="T14" s="2235" t="s">
        <v>46</v>
      </c>
      <c r="U14" s="550" t="s">
        <v>176</v>
      </c>
      <c r="V14" s="2260">
        <v>1342635</v>
      </c>
      <c r="W14" s="2268"/>
      <c r="X14" s="2261"/>
    </row>
    <row r="15" spans="1:25" ht="22.5" customHeight="1" x14ac:dyDescent="0.25">
      <c r="A15" s="100" t="s">
        <v>38</v>
      </c>
      <c r="B15" s="2260">
        <v>337790</v>
      </c>
      <c r="C15" s="2261"/>
      <c r="D15" s="553">
        <v>1260</v>
      </c>
      <c r="E15" s="553">
        <v>5975</v>
      </c>
      <c r="F15" s="553">
        <v>270</v>
      </c>
      <c r="G15" s="553">
        <v>0</v>
      </c>
      <c r="H15" s="553">
        <v>928</v>
      </c>
      <c r="I15" s="553">
        <v>28</v>
      </c>
      <c r="J15" s="553">
        <v>72</v>
      </c>
      <c r="K15" s="553">
        <v>62</v>
      </c>
      <c r="L15" s="553">
        <v>906</v>
      </c>
      <c r="M15" s="553">
        <v>0</v>
      </c>
      <c r="N15" s="553">
        <v>100</v>
      </c>
      <c r="O15" s="553">
        <v>0</v>
      </c>
      <c r="P15" s="553">
        <v>122</v>
      </c>
      <c r="Q15" s="2262"/>
      <c r="R15" s="2262"/>
      <c r="S15" s="550">
        <v>0</v>
      </c>
      <c r="T15" s="2235"/>
      <c r="U15" s="550" t="s">
        <v>64</v>
      </c>
      <c r="V15" s="2262">
        <v>9887</v>
      </c>
      <c r="W15" s="2262"/>
      <c r="X15" s="2262"/>
    </row>
    <row r="16" spans="1:25" ht="24.75" customHeight="1" x14ac:dyDescent="0.25">
      <c r="A16" s="100" t="s">
        <v>39</v>
      </c>
      <c r="B16" s="2260">
        <v>124675</v>
      </c>
      <c r="C16" s="2261"/>
      <c r="D16" s="553"/>
      <c r="E16" s="553"/>
      <c r="F16" s="553">
        <v>7500</v>
      </c>
      <c r="G16" s="553"/>
      <c r="H16" s="553"/>
      <c r="I16" s="553"/>
      <c r="J16" s="553"/>
      <c r="K16" s="553"/>
      <c r="L16" s="553">
        <v>125</v>
      </c>
      <c r="M16" s="553"/>
      <c r="N16" s="553"/>
      <c r="O16" s="553"/>
      <c r="P16" s="553"/>
      <c r="Q16" s="2225"/>
      <c r="R16" s="2225"/>
      <c r="S16" s="553"/>
      <c r="T16" s="2254" t="s">
        <v>55</v>
      </c>
      <c r="U16" s="2254"/>
      <c r="V16" s="2267">
        <f>Y12</f>
        <v>187977.2</v>
      </c>
      <c r="W16" s="2267"/>
      <c r="X16" s="2262"/>
    </row>
    <row r="17" spans="1:25" ht="28.5" customHeight="1" x14ac:dyDescent="0.25">
      <c r="A17" s="101" t="s">
        <v>44</v>
      </c>
      <c r="B17" s="2260"/>
      <c r="C17" s="2261"/>
      <c r="D17" s="553"/>
      <c r="E17" s="553"/>
      <c r="F17" s="553"/>
      <c r="G17" s="553"/>
      <c r="H17" s="553"/>
      <c r="I17" s="553"/>
      <c r="J17" s="553"/>
      <c r="K17" s="553"/>
      <c r="L17" s="553"/>
      <c r="M17" s="553"/>
      <c r="N17" s="553"/>
      <c r="O17" s="553"/>
      <c r="P17" s="553"/>
      <c r="Q17" s="2225"/>
      <c r="R17" s="2225"/>
      <c r="S17" s="549"/>
      <c r="T17" s="2294" t="s">
        <v>296</v>
      </c>
      <c r="U17" s="2295"/>
      <c r="V17" s="2296">
        <v>211090</v>
      </c>
      <c r="W17" s="2296"/>
      <c r="X17" s="2296"/>
    </row>
    <row r="18" spans="1:25" ht="27" customHeight="1" x14ac:dyDescent="0.25">
      <c r="A18" s="100" t="s">
        <v>40</v>
      </c>
      <c r="B18" s="2264">
        <f>C12</f>
        <v>118320</v>
      </c>
      <c r="C18" s="2261"/>
      <c r="D18" s="555">
        <f>E12</f>
        <v>10</v>
      </c>
      <c r="E18" s="555">
        <f>G12</f>
        <v>200</v>
      </c>
      <c r="F18" s="555">
        <f>I12</f>
        <v>3600</v>
      </c>
      <c r="G18" s="555">
        <f>K12</f>
        <v>0</v>
      </c>
      <c r="H18" s="553">
        <v>125</v>
      </c>
      <c r="I18" s="555">
        <f>U12</f>
        <v>0</v>
      </c>
      <c r="J18" s="553"/>
      <c r="K18" s="555">
        <f>W12</f>
        <v>0</v>
      </c>
      <c r="L18" s="553"/>
      <c r="M18" s="555">
        <f>M12</f>
        <v>0</v>
      </c>
      <c r="N18" s="555">
        <f>O12</f>
        <v>0</v>
      </c>
      <c r="O18" s="554">
        <f>Q12</f>
        <v>0</v>
      </c>
      <c r="P18" s="553"/>
      <c r="Q18" s="2262"/>
      <c r="R18" s="2262"/>
      <c r="S18" s="550"/>
      <c r="T18" s="2254" t="s">
        <v>57</v>
      </c>
      <c r="U18" s="2254"/>
      <c r="V18" s="2262">
        <v>720</v>
      </c>
      <c r="W18" s="2262"/>
      <c r="X18" s="2262"/>
      <c r="Y18" s="2269"/>
    </row>
    <row r="19" spans="1:25" ht="25.5" customHeight="1" x14ac:dyDescent="0.25">
      <c r="A19" s="100" t="s">
        <v>41</v>
      </c>
      <c r="B19" s="2260">
        <f>B15+B16+B17-B18</f>
        <v>344145</v>
      </c>
      <c r="C19" s="2261"/>
      <c r="D19" s="553">
        <f>D15+D16+D17-D18</f>
        <v>1250</v>
      </c>
      <c r="E19" s="553">
        <f t="shared" ref="E19:N19" si="13">E15+E16+E17-E18</f>
        <v>5775</v>
      </c>
      <c r="F19" s="553">
        <f t="shared" si="13"/>
        <v>4170</v>
      </c>
      <c r="G19" s="553">
        <f t="shared" si="13"/>
        <v>0</v>
      </c>
      <c r="H19" s="553">
        <f t="shared" si="13"/>
        <v>803</v>
      </c>
      <c r="I19" s="553">
        <f t="shared" si="13"/>
        <v>28</v>
      </c>
      <c r="J19" s="553">
        <f t="shared" si="13"/>
        <v>72</v>
      </c>
      <c r="K19" s="553">
        <f t="shared" si="13"/>
        <v>62</v>
      </c>
      <c r="L19" s="553">
        <f t="shared" si="13"/>
        <v>1031</v>
      </c>
      <c r="M19" s="553">
        <f t="shared" si="13"/>
        <v>0</v>
      </c>
      <c r="N19" s="553">
        <f t="shared" si="13"/>
        <v>100</v>
      </c>
      <c r="O19" s="553">
        <f>O15+O16+O17-O18</f>
        <v>0</v>
      </c>
      <c r="P19" s="553">
        <f>P15+P16+P17-P18</f>
        <v>122</v>
      </c>
      <c r="Q19" s="2260">
        <f t="shared" ref="Q19" si="14">Q15+Q16+Q17-Q18</f>
        <v>0</v>
      </c>
      <c r="R19" s="2261"/>
      <c r="S19" s="550">
        <f>S15+S16-S17-S18</f>
        <v>0</v>
      </c>
      <c r="T19" s="2256" t="s">
        <v>48</v>
      </c>
      <c r="U19" s="49" t="s">
        <v>58</v>
      </c>
      <c r="V19" s="2262">
        <v>1530000</v>
      </c>
      <c r="W19" s="2262"/>
      <c r="X19" s="2262"/>
      <c r="Y19" s="2269"/>
    </row>
    <row r="20" spans="1:25" ht="23.25" customHeight="1" x14ac:dyDescent="0.25">
      <c r="A20" s="289" t="s">
        <v>187</v>
      </c>
      <c r="B20" s="2286">
        <f>B19*0.9625</f>
        <v>331239.5625</v>
      </c>
      <c r="C20" s="2287"/>
      <c r="D20" s="290">
        <f>D19*66.41</f>
        <v>83012.5</v>
      </c>
      <c r="E20" s="290">
        <f>28.2*E19</f>
        <v>162855</v>
      </c>
      <c r="F20" s="290">
        <f>18.31*F19</f>
        <v>76352.7</v>
      </c>
      <c r="G20" s="290">
        <f>19.3*G19</f>
        <v>0</v>
      </c>
      <c r="H20" s="290">
        <f>241*H19</f>
        <v>193523</v>
      </c>
      <c r="I20" s="290">
        <f>223*I19</f>
        <v>6244</v>
      </c>
      <c r="J20" s="290">
        <f>241*J19</f>
        <v>17352</v>
      </c>
      <c r="K20" s="290">
        <f>K19*100</f>
        <v>6200</v>
      </c>
      <c r="L20" s="290">
        <f>241*L19</f>
        <v>248471</v>
      </c>
      <c r="M20" s="290">
        <f>9.65*M19</f>
        <v>0</v>
      </c>
      <c r="N20" s="290">
        <f>N19*48.2</f>
        <v>4820</v>
      </c>
      <c r="O20" s="290">
        <f>241*O19</f>
        <v>0</v>
      </c>
      <c r="P20" s="290">
        <f>241*P19</f>
        <v>29402</v>
      </c>
      <c r="Q20" s="2286">
        <f>241*Q19</f>
        <v>0</v>
      </c>
      <c r="R20" s="2287"/>
      <c r="S20" s="290">
        <f>241*S19</f>
        <v>0</v>
      </c>
      <c r="T20" s="2257"/>
      <c r="U20" s="49" t="s">
        <v>59</v>
      </c>
      <c r="V20" s="2262"/>
      <c r="W20" s="2262"/>
      <c r="X20" s="2262"/>
      <c r="Y20" s="2269"/>
    </row>
    <row r="21" spans="1:25" ht="32.25" customHeight="1" x14ac:dyDescent="0.25">
      <c r="A21" s="291" t="s">
        <v>186</v>
      </c>
      <c r="B21" s="2293">
        <f>SUM(B20:S20)</f>
        <v>1159471.7625</v>
      </c>
      <c r="C21" s="2293"/>
      <c r="O21" s="557"/>
      <c r="P21" s="557"/>
      <c r="Q21" s="557"/>
      <c r="R21" s="557"/>
      <c r="T21" s="2294"/>
      <c r="U21" s="2295"/>
      <c r="V21" s="2297"/>
      <c r="W21" s="2298"/>
      <c r="X21" s="2299"/>
      <c r="Y21" s="2269"/>
    </row>
    <row r="22" spans="1:25" ht="35.25" customHeight="1" x14ac:dyDescent="0.25">
      <c r="A22" s="15"/>
      <c r="B22" s="2288" t="s">
        <v>49</v>
      </c>
      <c r="C22" s="2291">
        <v>2139100</v>
      </c>
      <c r="D22" s="2291">
        <v>1530000</v>
      </c>
      <c r="E22" s="2291">
        <v>257325</v>
      </c>
      <c r="F22" s="2291">
        <f>C22-D22+E22</f>
        <v>866425</v>
      </c>
      <c r="G22" s="557"/>
      <c r="Q22" s="557"/>
      <c r="R22" s="557"/>
      <c r="T22" s="2251" t="s">
        <v>83</v>
      </c>
      <c r="U22" s="50" t="s">
        <v>60</v>
      </c>
      <c r="V22" s="2262">
        <v>1530000</v>
      </c>
      <c r="W22" s="2262"/>
      <c r="X22" s="2262"/>
      <c r="Y22" s="2269"/>
    </row>
    <row r="23" spans="1:25" ht="39.75" customHeight="1" x14ac:dyDescent="0.25">
      <c r="A23" s="557"/>
      <c r="B23" s="2289"/>
      <c r="C23" s="2292"/>
      <c r="D23" s="2292"/>
      <c r="E23" s="2292"/>
      <c r="F23" s="2292"/>
      <c r="G23" s="557"/>
      <c r="Q23" s="557"/>
      <c r="R23" s="557"/>
      <c r="T23" s="2252"/>
      <c r="U23" s="50" t="s">
        <v>61</v>
      </c>
      <c r="V23" s="2262">
        <v>1530000</v>
      </c>
      <c r="W23" s="2262"/>
      <c r="X23" s="2262"/>
      <c r="Y23" s="2269"/>
    </row>
    <row r="24" spans="1:25" ht="48" customHeight="1" x14ac:dyDescent="0.25">
      <c r="A24" s="557"/>
      <c r="B24" s="2290"/>
      <c r="C24" s="290" t="s">
        <v>46</v>
      </c>
      <c r="D24" s="290" t="s">
        <v>50</v>
      </c>
      <c r="E24" s="290" t="s">
        <v>51</v>
      </c>
      <c r="F24" s="290" t="s">
        <v>52</v>
      </c>
      <c r="G24" s="557"/>
      <c r="Q24" s="557"/>
      <c r="R24" s="557"/>
      <c r="T24" s="2235" t="s">
        <v>47</v>
      </c>
      <c r="U24" s="51" t="s">
        <v>62</v>
      </c>
      <c r="V24" s="2263">
        <f>V14+V16+V17-V18-V19-V20-V22+V23-V21</f>
        <v>210982.19999999995</v>
      </c>
      <c r="W24" s="2263"/>
      <c r="X24" s="2263"/>
      <c r="Y24" s="2269"/>
    </row>
    <row r="25" spans="1:25" ht="40.5" customHeight="1" x14ac:dyDescent="0.25">
      <c r="T25" s="2235"/>
      <c r="U25" s="51" t="s">
        <v>63</v>
      </c>
      <c r="V25" s="2262">
        <f>V15+V22-V23</f>
        <v>9887</v>
      </c>
      <c r="W25" s="2262"/>
      <c r="X25" s="2262"/>
    </row>
    <row r="26" spans="1:25" ht="36" customHeight="1" x14ac:dyDescent="0.25">
      <c r="K26" s="314"/>
    </row>
    <row r="32" spans="1:25" x14ac:dyDescent="0.25">
      <c r="I32" s="2280"/>
      <c r="J32" s="2280"/>
      <c r="K32" s="2280"/>
      <c r="L32" s="2280"/>
    </row>
    <row r="33" spans="9:12" x14ac:dyDescent="0.25">
      <c r="I33" s="557"/>
      <c r="J33" s="557"/>
      <c r="K33" s="2280"/>
      <c r="L33" s="2280"/>
    </row>
  </sheetData>
  <mergeCells count="62">
    <mergeCell ref="A1:Y1"/>
    <mergeCell ref="A2:Y2"/>
    <mergeCell ref="T3:Y3"/>
    <mergeCell ref="A4:A5"/>
    <mergeCell ref="B4:B5"/>
    <mergeCell ref="C4:D4"/>
    <mergeCell ref="E4:F4"/>
    <mergeCell ref="G4:H4"/>
    <mergeCell ref="I4:J4"/>
    <mergeCell ref="K4:L4"/>
    <mergeCell ref="Y4:Y5"/>
    <mergeCell ref="M4:N4"/>
    <mergeCell ref="O4:P4"/>
    <mergeCell ref="Q4:R4"/>
    <mergeCell ref="S4:T4"/>
    <mergeCell ref="U4:V4"/>
    <mergeCell ref="W4:X4"/>
    <mergeCell ref="B16:C16"/>
    <mergeCell ref="Q16:R16"/>
    <mergeCell ref="T16:U16"/>
    <mergeCell ref="V16:X16"/>
    <mergeCell ref="A12:B12"/>
    <mergeCell ref="B14:C14"/>
    <mergeCell ref="Q14:R14"/>
    <mergeCell ref="T14:T15"/>
    <mergeCell ref="V14:X14"/>
    <mergeCell ref="B15:C15"/>
    <mergeCell ref="Q15:R15"/>
    <mergeCell ref="V15:X15"/>
    <mergeCell ref="B17:C17"/>
    <mergeCell ref="Q17:R17"/>
    <mergeCell ref="T17:U17"/>
    <mergeCell ref="V17:X17"/>
    <mergeCell ref="B18:C18"/>
    <mergeCell ref="Q18:R18"/>
    <mergeCell ref="T18:U18"/>
    <mergeCell ref="V18:X18"/>
    <mergeCell ref="Y18:Y24"/>
    <mergeCell ref="B19:C19"/>
    <mergeCell ref="Q19:R19"/>
    <mergeCell ref="T19:T20"/>
    <mergeCell ref="V19:X19"/>
    <mergeCell ref="B20:C20"/>
    <mergeCell ref="B22:B24"/>
    <mergeCell ref="C22:C23"/>
    <mergeCell ref="D22:D23"/>
    <mergeCell ref="E22:E23"/>
    <mergeCell ref="F22:F23"/>
    <mergeCell ref="Q20:R20"/>
    <mergeCell ref="V20:X20"/>
    <mergeCell ref="B21:C21"/>
    <mergeCell ref="T21:U21"/>
    <mergeCell ref="V21:X21"/>
    <mergeCell ref="I32:J32"/>
    <mergeCell ref="K32:L32"/>
    <mergeCell ref="K33:L33"/>
    <mergeCell ref="T22:T23"/>
    <mergeCell ref="V22:X22"/>
    <mergeCell ref="V23:X23"/>
    <mergeCell ref="T24:T25"/>
    <mergeCell ref="V24:X24"/>
    <mergeCell ref="V25:X25"/>
  </mergeCells>
  <pageMargins left="0.15748031496063" right="0.15748031496063" top="0" bottom="0" header="0" footer="0"/>
  <pageSetup paperSize="9" scale="47" orientation="landscape" r:id="rId1"/>
</worksheet>
</file>

<file path=xl/worksheets/sheet14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2177075-5C1F-4534-83A2-5E4A5410A19A}">
  <sheetPr>
    <pageSetUpPr fitToPage="1"/>
  </sheetPr>
  <dimension ref="A1:Y33"/>
  <sheetViews>
    <sheetView topLeftCell="A8" zoomScale="70" zoomScaleNormal="70" zoomScaleSheetLayoutView="100" workbookViewId="0">
      <selection activeCell="L16" sqref="L16"/>
    </sheetView>
  </sheetViews>
  <sheetFormatPr defaultColWidth="9.140625" defaultRowHeight="15" x14ac:dyDescent="0.25"/>
  <cols>
    <col min="1" max="1" width="18.28515625" style="14" customWidth="1"/>
    <col min="2" max="2" width="10.7109375" style="14" customWidth="1"/>
    <col min="3" max="3" width="12.28515625" style="14" customWidth="1"/>
    <col min="4" max="4" width="13.140625" style="14" bestFit="1" customWidth="1"/>
    <col min="5" max="5" width="12" style="14" customWidth="1"/>
    <col min="6" max="6" width="12.5703125" style="14" bestFit="1" customWidth="1"/>
    <col min="7" max="7" width="9.28515625" style="14" bestFit="1" customWidth="1"/>
    <col min="8" max="8" width="10.140625" style="14" bestFit="1" customWidth="1"/>
    <col min="9" max="9" width="10.5703125" style="14" bestFit="1" customWidth="1"/>
    <col min="10" max="10" width="10.5703125" style="14" customWidth="1"/>
    <col min="11" max="11" width="10.28515625" style="14" bestFit="1" customWidth="1"/>
    <col min="12" max="12" width="10.42578125" style="14" bestFit="1" customWidth="1"/>
    <col min="13" max="13" width="9.85546875" style="14" bestFit="1" customWidth="1"/>
    <col min="14" max="14" width="10.140625" style="14" bestFit="1" customWidth="1"/>
    <col min="15" max="15" width="9" style="14" customWidth="1"/>
    <col min="16" max="16" width="12.85546875" style="14" bestFit="1" customWidth="1"/>
    <col min="17" max="18" width="9.42578125" style="14" customWidth="1"/>
    <col min="19" max="19" width="13.7109375" style="14" customWidth="1"/>
    <col min="20" max="20" width="12.140625" style="14" customWidth="1"/>
    <col min="21" max="21" width="19.5703125" style="14" bestFit="1" customWidth="1"/>
    <col min="22" max="22" width="9.85546875" style="14" customWidth="1"/>
    <col min="23" max="23" width="10.140625" style="14" bestFit="1" customWidth="1"/>
    <col min="24" max="24" width="10.28515625" style="14" customWidth="1"/>
    <col min="25" max="25" width="28" style="14" customWidth="1"/>
    <col min="26" max="16384" width="9.140625" style="14"/>
  </cols>
  <sheetData>
    <row r="1" spans="1:25" ht="46.15" customHeight="1" x14ac:dyDescent="0.25">
      <c r="A1" s="2240" t="s">
        <v>148</v>
      </c>
      <c r="B1" s="2240"/>
      <c r="C1" s="2240"/>
      <c r="D1" s="2240"/>
      <c r="E1" s="2240"/>
      <c r="F1" s="2240"/>
      <c r="G1" s="2240"/>
      <c r="H1" s="2240"/>
      <c r="I1" s="2240"/>
      <c r="J1" s="2240"/>
      <c r="K1" s="2240"/>
      <c r="L1" s="2240"/>
      <c r="M1" s="2240"/>
      <c r="N1" s="2240"/>
      <c r="O1" s="2240"/>
      <c r="P1" s="2240"/>
      <c r="Q1" s="2240"/>
      <c r="R1" s="2240"/>
      <c r="S1" s="2240"/>
      <c r="T1" s="2240"/>
      <c r="U1" s="2240"/>
      <c r="V1" s="2240"/>
      <c r="W1" s="2240"/>
      <c r="X1" s="2240"/>
      <c r="Y1" s="2240"/>
    </row>
    <row r="2" spans="1:25" ht="21.6" customHeight="1" x14ac:dyDescent="0.25">
      <c r="A2" s="2241" t="s">
        <v>77</v>
      </c>
      <c r="B2" s="2241"/>
      <c r="C2" s="2241"/>
      <c r="D2" s="2241"/>
      <c r="E2" s="2241"/>
      <c r="F2" s="2241"/>
      <c r="G2" s="2241"/>
      <c r="H2" s="2241"/>
      <c r="I2" s="2241"/>
      <c r="J2" s="2241"/>
      <c r="K2" s="2241"/>
      <c r="L2" s="2241"/>
      <c r="M2" s="2241"/>
      <c r="N2" s="2241"/>
      <c r="O2" s="2241"/>
      <c r="P2" s="2241"/>
      <c r="Q2" s="2241"/>
      <c r="R2" s="2241"/>
      <c r="S2" s="2241"/>
      <c r="T2" s="2241"/>
      <c r="U2" s="2241"/>
      <c r="V2" s="2241"/>
      <c r="W2" s="2241"/>
      <c r="X2" s="2241"/>
      <c r="Y2" s="2241"/>
    </row>
    <row r="3" spans="1:25" ht="21" customHeight="1" x14ac:dyDescent="0.25">
      <c r="A3" s="558"/>
      <c r="B3" s="558"/>
      <c r="C3" s="558"/>
      <c r="D3" s="558"/>
      <c r="E3" s="558"/>
      <c r="F3" s="558"/>
      <c r="G3" s="558"/>
      <c r="H3" s="558"/>
      <c r="I3" s="558"/>
      <c r="J3" s="558"/>
      <c r="K3" s="558"/>
      <c r="L3" s="558"/>
      <c r="M3" s="558"/>
      <c r="N3" s="558"/>
      <c r="O3" s="558"/>
      <c r="P3" s="558"/>
      <c r="Q3" s="558"/>
      <c r="R3" s="558"/>
      <c r="S3" s="558"/>
      <c r="T3" s="2242" t="s">
        <v>355</v>
      </c>
      <c r="U3" s="2242"/>
      <c r="V3" s="2242"/>
      <c r="W3" s="2242"/>
      <c r="X3" s="2242"/>
      <c r="Y3" s="2242"/>
    </row>
    <row r="4" spans="1:25" s="558" customFormat="1" ht="18" customHeight="1" x14ac:dyDescent="0.25">
      <c r="A4" s="2243" t="s">
        <v>25</v>
      </c>
      <c r="B4" s="2243" t="s">
        <v>26</v>
      </c>
      <c r="C4" s="2244" t="s">
        <v>27</v>
      </c>
      <c r="D4" s="2244"/>
      <c r="E4" s="2244" t="s">
        <v>342</v>
      </c>
      <c r="F4" s="2244"/>
      <c r="G4" s="2244" t="s">
        <v>65</v>
      </c>
      <c r="H4" s="2244"/>
      <c r="I4" s="2244" t="s">
        <v>29</v>
      </c>
      <c r="J4" s="2244"/>
      <c r="K4" s="2245" t="s">
        <v>13</v>
      </c>
      <c r="L4" s="2246"/>
      <c r="M4" s="2245" t="s">
        <v>67</v>
      </c>
      <c r="N4" s="2246"/>
      <c r="O4" s="2245" t="s">
        <v>68</v>
      </c>
      <c r="P4" s="2246"/>
      <c r="Q4" s="2245" t="s">
        <v>114</v>
      </c>
      <c r="R4" s="2246"/>
      <c r="S4" s="2244" t="s">
        <v>35</v>
      </c>
      <c r="T4" s="2244"/>
      <c r="U4" s="2245" t="s">
        <v>17</v>
      </c>
      <c r="V4" s="2246"/>
      <c r="W4" s="2247" t="s">
        <v>36</v>
      </c>
      <c r="X4" s="2248"/>
      <c r="Y4" s="2238" t="s">
        <v>30</v>
      </c>
    </row>
    <row r="5" spans="1:25" s="558" customFormat="1" ht="25.5" customHeight="1" x14ac:dyDescent="0.25">
      <c r="A5" s="2243"/>
      <c r="B5" s="2243"/>
      <c r="C5" s="560" t="s">
        <v>42</v>
      </c>
      <c r="D5" s="560" t="s">
        <v>43</v>
      </c>
      <c r="E5" s="560" t="s">
        <v>42</v>
      </c>
      <c r="F5" s="560" t="s">
        <v>43</v>
      </c>
      <c r="G5" s="560" t="s">
        <v>42</v>
      </c>
      <c r="H5" s="560" t="s">
        <v>43</v>
      </c>
      <c r="I5" s="560" t="s">
        <v>42</v>
      </c>
      <c r="J5" s="560" t="s">
        <v>43</v>
      </c>
      <c r="K5" s="560" t="s">
        <v>42</v>
      </c>
      <c r="L5" s="560" t="s">
        <v>43</v>
      </c>
      <c r="M5" s="560" t="s">
        <v>42</v>
      </c>
      <c r="N5" s="560" t="s">
        <v>43</v>
      </c>
      <c r="O5" s="560" t="s">
        <v>42</v>
      </c>
      <c r="P5" s="560" t="s">
        <v>43</v>
      </c>
      <c r="Q5" s="560" t="s">
        <v>42</v>
      </c>
      <c r="R5" s="560" t="s">
        <v>43</v>
      </c>
      <c r="S5" s="33" t="s">
        <v>42</v>
      </c>
      <c r="T5" s="33" t="s">
        <v>43</v>
      </c>
      <c r="U5" s="30" t="s">
        <v>42</v>
      </c>
      <c r="V5" s="30" t="s">
        <v>43</v>
      </c>
      <c r="W5" s="30" t="s">
        <v>42</v>
      </c>
      <c r="X5" s="30" t="s">
        <v>43</v>
      </c>
      <c r="Y5" s="2239"/>
    </row>
    <row r="6" spans="1:25" ht="34.5" customHeight="1" x14ac:dyDescent="0.25">
      <c r="A6" s="12">
        <v>1409935200</v>
      </c>
      <c r="B6" s="559" t="s">
        <v>71</v>
      </c>
      <c r="C6" s="562">
        <v>32304</v>
      </c>
      <c r="D6" s="563">
        <f>0.9725*C6</f>
        <v>31415.64</v>
      </c>
      <c r="E6" s="562"/>
      <c r="F6" s="562">
        <f>67.1*E6</f>
        <v>0</v>
      </c>
      <c r="G6" s="562">
        <v>680</v>
      </c>
      <c r="H6" s="562">
        <f>28.2*G6</f>
        <v>19176</v>
      </c>
      <c r="I6" s="562">
        <v>1220</v>
      </c>
      <c r="J6" s="562">
        <f>18.5*I6</f>
        <v>22570</v>
      </c>
      <c r="K6" s="562"/>
      <c r="L6" s="562">
        <f>19.5*K6</f>
        <v>0</v>
      </c>
      <c r="M6" s="562"/>
      <c r="N6" s="563">
        <f>M6*9.75</f>
        <v>0</v>
      </c>
      <c r="O6" s="562"/>
      <c r="P6" s="563">
        <f>O6*48.62</f>
        <v>0</v>
      </c>
      <c r="Q6" s="563"/>
      <c r="R6" s="563">
        <f>241*Q6</f>
        <v>0</v>
      </c>
      <c r="S6" s="562">
        <v>5</v>
      </c>
      <c r="T6" s="562">
        <f>241*S6</f>
        <v>1205</v>
      </c>
      <c r="U6" s="562">
        <v>18</v>
      </c>
      <c r="V6" s="562">
        <f>232*U6</f>
        <v>4176</v>
      </c>
      <c r="W6" s="562"/>
      <c r="X6" s="19">
        <f>W6*100</f>
        <v>0</v>
      </c>
      <c r="Y6" s="89">
        <f t="shared" ref="Y6:Y11" si="0">D6+F6+H6+J6+L6+N6+P6+R6+T6+V6+X6</f>
        <v>78542.64</v>
      </c>
    </row>
    <row r="7" spans="1:25" ht="31.5" customHeight="1" x14ac:dyDescent="0.25">
      <c r="A7" s="12">
        <v>1984225578</v>
      </c>
      <c r="B7" s="559" t="s">
        <v>72</v>
      </c>
      <c r="C7" s="562">
        <v>11202</v>
      </c>
      <c r="D7" s="563">
        <f t="shared" ref="D7:D11" si="1">0.9725*C7</f>
        <v>10893.945</v>
      </c>
      <c r="E7" s="562"/>
      <c r="F7" s="562">
        <f t="shared" ref="F7:F11" si="2">67.1*E7</f>
        <v>0</v>
      </c>
      <c r="G7" s="562"/>
      <c r="H7" s="562">
        <f t="shared" ref="H7:H11" si="3">28.2*G7</f>
        <v>0</v>
      </c>
      <c r="I7" s="562"/>
      <c r="J7" s="562">
        <f t="shared" ref="J7:J11" si="4">18.5*I7</f>
        <v>0</v>
      </c>
      <c r="K7" s="562"/>
      <c r="L7" s="562">
        <f t="shared" ref="L7:L11" si="5">19.5*K7</f>
        <v>0</v>
      </c>
      <c r="M7" s="562"/>
      <c r="N7" s="563">
        <f t="shared" ref="N7:N11" si="6">M7*9.75</f>
        <v>0</v>
      </c>
      <c r="O7" s="562"/>
      <c r="P7" s="563">
        <f t="shared" ref="P7:P11" si="7">O7*48.62</f>
        <v>0</v>
      </c>
      <c r="Q7" s="563"/>
      <c r="R7" s="563">
        <f t="shared" ref="R7:R11" si="8">241*Q7</f>
        <v>0</v>
      </c>
      <c r="S7" s="562"/>
      <c r="T7" s="562">
        <f t="shared" ref="T7:T11" si="9">241*S7</f>
        <v>0</v>
      </c>
      <c r="U7" s="562"/>
      <c r="V7" s="562">
        <f t="shared" ref="V7:V11" si="10">232*U7</f>
        <v>0</v>
      </c>
      <c r="W7" s="562"/>
      <c r="X7" s="19">
        <f t="shared" ref="X7:X11" si="11">W7*100</f>
        <v>0</v>
      </c>
      <c r="Y7" s="89">
        <f t="shared" si="0"/>
        <v>10893.945</v>
      </c>
    </row>
    <row r="8" spans="1:25" ht="35.25" customHeight="1" x14ac:dyDescent="0.25">
      <c r="A8" s="12">
        <v>1967020280</v>
      </c>
      <c r="B8" s="559" t="s">
        <v>73</v>
      </c>
      <c r="C8" s="562">
        <v>21920</v>
      </c>
      <c r="D8" s="563">
        <f t="shared" si="1"/>
        <v>21317.200000000001</v>
      </c>
      <c r="E8" s="562"/>
      <c r="F8" s="562">
        <f t="shared" si="2"/>
        <v>0</v>
      </c>
      <c r="G8" s="562">
        <v>10</v>
      </c>
      <c r="H8" s="562">
        <f t="shared" si="3"/>
        <v>282</v>
      </c>
      <c r="I8" s="562">
        <v>440</v>
      </c>
      <c r="J8" s="562">
        <f t="shared" si="4"/>
        <v>8140</v>
      </c>
      <c r="K8" s="562"/>
      <c r="L8" s="562">
        <f t="shared" si="5"/>
        <v>0</v>
      </c>
      <c r="M8" s="562"/>
      <c r="N8" s="563">
        <f t="shared" si="6"/>
        <v>0</v>
      </c>
      <c r="O8" s="562"/>
      <c r="P8" s="563">
        <f t="shared" si="7"/>
        <v>0</v>
      </c>
      <c r="Q8" s="563"/>
      <c r="R8" s="563">
        <f t="shared" si="8"/>
        <v>0</v>
      </c>
      <c r="S8" s="562"/>
      <c r="T8" s="562">
        <f t="shared" si="9"/>
        <v>0</v>
      </c>
      <c r="U8" s="562">
        <v>5</v>
      </c>
      <c r="V8" s="562">
        <f t="shared" si="10"/>
        <v>1160</v>
      </c>
      <c r="W8" s="562"/>
      <c r="X8" s="19">
        <f t="shared" si="11"/>
        <v>0</v>
      </c>
      <c r="Y8" s="89">
        <f t="shared" si="0"/>
        <v>30899.200000000001</v>
      </c>
    </row>
    <row r="9" spans="1:25" ht="38.25" customHeight="1" x14ac:dyDescent="0.25">
      <c r="A9" s="12">
        <v>1984225580</v>
      </c>
      <c r="B9" s="559" t="s">
        <v>75</v>
      </c>
      <c r="C9" s="562">
        <v>44640</v>
      </c>
      <c r="D9" s="563">
        <f t="shared" si="1"/>
        <v>43412.4</v>
      </c>
      <c r="E9" s="562"/>
      <c r="F9" s="562">
        <f t="shared" si="2"/>
        <v>0</v>
      </c>
      <c r="G9" s="562">
        <v>80</v>
      </c>
      <c r="H9" s="562">
        <f t="shared" si="3"/>
        <v>2256</v>
      </c>
      <c r="I9" s="562">
        <v>1400</v>
      </c>
      <c r="J9" s="562">
        <f t="shared" si="4"/>
        <v>25900</v>
      </c>
      <c r="K9" s="562"/>
      <c r="L9" s="562">
        <f t="shared" si="5"/>
        <v>0</v>
      </c>
      <c r="M9" s="562"/>
      <c r="N9" s="563">
        <f t="shared" si="6"/>
        <v>0</v>
      </c>
      <c r="O9" s="562"/>
      <c r="P9" s="563">
        <f t="shared" si="7"/>
        <v>0</v>
      </c>
      <c r="Q9" s="563"/>
      <c r="R9" s="563">
        <f t="shared" si="8"/>
        <v>0</v>
      </c>
      <c r="S9" s="562"/>
      <c r="T9" s="562">
        <f t="shared" si="9"/>
        <v>0</v>
      </c>
      <c r="U9" s="562"/>
      <c r="V9" s="562">
        <f t="shared" si="10"/>
        <v>0</v>
      </c>
      <c r="W9" s="562"/>
      <c r="X9" s="19">
        <f t="shared" si="11"/>
        <v>0</v>
      </c>
      <c r="Y9" s="89">
        <f t="shared" si="0"/>
        <v>71568.399999999994</v>
      </c>
    </row>
    <row r="10" spans="1:25" ht="35.25" customHeight="1" x14ac:dyDescent="0.25">
      <c r="A10" s="12">
        <v>1409935199</v>
      </c>
      <c r="C10" s="562">
        <v>2314</v>
      </c>
      <c r="D10" s="563">
        <f t="shared" si="1"/>
        <v>2250.3650000000002</v>
      </c>
      <c r="E10" s="562"/>
      <c r="F10" s="562">
        <f t="shared" si="2"/>
        <v>0</v>
      </c>
      <c r="G10" s="562"/>
      <c r="H10" s="562">
        <f t="shared" si="3"/>
        <v>0</v>
      </c>
      <c r="I10" s="562"/>
      <c r="J10" s="562">
        <f t="shared" si="4"/>
        <v>0</v>
      </c>
      <c r="K10" s="562"/>
      <c r="L10" s="562">
        <f t="shared" si="5"/>
        <v>0</v>
      </c>
      <c r="M10" s="562"/>
      <c r="N10" s="563">
        <f t="shared" si="6"/>
        <v>0</v>
      </c>
      <c r="O10" s="562"/>
      <c r="P10" s="563">
        <f t="shared" si="7"/>
        <v>0</v>
      </c>
      <c r="Q10" s="563"/>
      <c r="R10" s="563">
        <f t="shared" si="8"/>
        <v>0</v>
      </c>
      <c r="S10" s="562"/>
      <c r="T10" s="562">
        <f t="shared" si="9"/>
        <v>0</v>
      </c>
      <c r="U10" s="562"/>
      <c r="V10" s="562">
        <f t="shared" si="10"/>
        <v>0</v>
      </c>
      <c r="W10" s="562"/>
      <c r="X10" s="19">
        <f t="shared" si="11"/>
        <v>0</v>
      </c>
      <c r="Y10" s="89">
        <f t="shared" si="0"/>
        <v>2250.3650000000002</v>
      </c>
    </row>
    <row r="11" spans="1:25" ht="37.5" customHeight="1" x14ac:dyDescent="0.25">
      <c r="A11" s="12"/>
      <c r="B11" s="561"/>
      <c r="C11" s="562"/>
      <c r="D11" s="22">
        <f t="shared" si="1"/>
        <v>0</v>
      </c>
      <c r="E11" s="562"/>
      <c r="F11" s="562">
        <f t="shared" si="2"/>
        <v>0</v>
      </c>
      <c r="G11" s="562"/>
      <c r="H11" s="562">
        <f t="shared" si="3"/>
        <v>0</v>
      </c>
      <c r="I11" s="562"/>
      <c r="J11" s="562">
        <f t="shared" si="4"/>
        <v>0</v>
      </c>
      <c r="K11" s="562"/>
      <c r="L11" s="562">
        <f t="shared" si="5"/>
        <v>0</v>
      </c>
      <c r="M11" s="562"/>
      <c r="N11" s="563">
        <f t="shared" si="6"/>
        <v>0</v>
      </c>
      <c r="O11" s="562"/>
      <c r="P11" s="563">
        <f t="shared" si="7"/>
        <v>0</v>
      </c>
      <c r="Q11" s="563"/>
      <c r="R11" s="563">
        <f t="shared" si="8"/>
        <v>0</v>
      </c>
      <c r="S11" s="562">
        <v>75</v>
      </c>
      <c r="T11" s="562">
        <f t="shared" si="9"/>
        <v>18075</v>
      </c>
      <c r="U11" s="562"/>
      <c r="V11" s="562">
        <f t="shared" si="10"/>
        <v>0</v>
      </c>
      <c r="W11" s="562"/>
      <c r="X11" s="19">
        <f t="shared" si="11"/>
        <v>0</v>
      </c>
      <c r="Y11" s="20">
        <f t="shared" si="0"/>
        <v>18075</v>
      </c>
    </row>
    <row r="12" spans="1:25" ht="29.25" customHeight="1" x14ac:dyDescent="0.25">
      <c r="A12" s="2235" t="s">
        <v>31</v>
      </c>
      <c r="B12" s="2235"/>
      <c r="C12" s="18">
        <f t="shared" ref="C12:Y12" si="12">SUM(C6:C11)</f>
        <v>112380</v>
      </c>
      <c r="D12" s="18">
        <f t="shared" si="12"/>
        <v>109289.55</v>
      </c>
      <c r="E12" s="18">
        <f t="shared" si="12"/>
        <v>0</v>
      </c>
      <c r="F12" s="18">
        <f t="shared" si="12"/>
        <v>0</v>
      </c>
      <c r="G12" s="18">
        <f t="shared" si="12"/>
        <v>770</v>
      </c>
      <c r="H12" s="18">
        <f t="shared" si="12"/>
        <v>21714</v>
      </c>
      <c r="I12" s="18">
        <f t="shared" si="12"/>
        <v>3060</v>
      </c>
      <c r="J12" s="18">
        <f t="shared" si="12"/>
        <v>56610</v>
      </c>
      <c r="K12" s="18">
        <f t="shared" si="12"/>
        <v>0</v>
      </c>
      <c r="L12" s="18">
        <f t="shared" si="12"/>
        <v>0</v>
      </c>
      <c r="M12" s="18">
        <f t="shared" si="12"/>
        <v>0</v>
      </c>
      <c r="N12" s="23">
        <f t="shared" si="12"/>
        <v>0</v>
      </c>
      <c r="O12" s="18">
        <f t="shared" si="12"/>
        <v>0</v>
      </c>
      <c r="P12" s="23">
        <f t="shared" si="12"/>
        <v>0</v>
      </c>
      <c r="Q12" s="23">
        <f t="shared" si="12"/>
        <v>0</v>
      </c>
      <c r="R12" s="23">
        <f>SUM(R6:R11)</f>
        <v>0</v>
      </c>
      <c r="S12" s="18">
        <f t="shared" si="12"/>
        <v>80</v>
      </c>
      <c r="T12" s="18">
        <f t="shared" si="12"/>
        <v>19280</v>
      </c>
      <c r="U12" s="18">
        <f t="shared" si="12"/>
        <v>23</v>
      </c>
      <c r="V12" s="18">
        <f t="shared" si="12"/>
        <v>5336</v>
      </c>
      <c r="W12" s="18">
        <f t="shared" si="12"/>
        <v>0</v>
      </c>
      <c r="X12" s="18">
        <f t="shared" si="12"/>
        <v>0</v>
      </c>
      <c r="Y12" s="18">
        <f t="shared" si="12"/>
        <v>212229.55</v>
      </c>
    </row>
    <row r="14" spans="1:25" ht="41.25" customHeight="1" x14ac:dyDescent="0.25">
      <c r="A14" s="30" t="s">
        <v>32</v>
      </c>
      <c r="B14" s="2236" t="s">
        <v>27</v>
      </c>
      <c r="C14" s="2236"/>
      <c r="D14" s="30" t="s">
        <v>333</v>
      </c>
      <c r="E14" s="30" t="s">
        <v>65</v>
      </c>
      <c r="F14" s="30" t="s">
        <v>34</v>
      </c>
      <c r="G14" s="30" t="s">
        <v>13</v>
      </c>
      <c r="H14" s="469" t="s">
        <v>173</v>
      </c>
      <c r="I14" s="30" t="s">
        <v>17</v>
      </c>
      <c r="J14" s="567" t="s">
        <v>174</v>
      </c>
      <c r="K14" s="30" t="s">
        <v>36</v>
      </c>
      <c r="L14" s="30" t="s">
        <v>175</v>
      </c>
      <c r="M14" s="30" t="s">
        <v>69</v>
      </c>
      <c r="N14" s="30" t="s">
        <v>70</v>
      </c>
      <c r="O14" s="567" t="s">
        <v>114</v>
      </c>
      <c r="P14" s="567" t="s">
        <v>339</v>
      </c>
      <c r="Q14" s="2272"/>
      <c r="R14" s="2272"/>
      <c r="S14" s="567"/>
      <c r="T14" s="2235" t="s">
        <v>46</v>
      </c>
      <c r="U14" s="559" t="s">
        <v>176</v>
      </c>
      <c r="V14" s="2260">
        <v>210982</v>
      </c>
      <c r="W14" s="2268"/>
      <c r="X14" s="2261"/>
    </row>
    <row r="15" spans="1:25" ht="22.5" customHeight="1" x14ac:dyDescent="0.25">
      <c r="A15" s="100" t="s">
        <v>38</v>
      </c>
      <c r="B15" s="2260">
        <v>344145</v>
      </c>
      <c r="C15" s="2261"/>
      <c r="D15" s="564">
        <v>1250</v>
      </c>
      <c r="E15" s="564">
        <v>5775</v>
      </c>
      <c r="F15" s="564">
        <v>4170</v>
      </c>
      <c r="G15" s="564">
        <v>0</v>
      </c>
      <c r="H15" s="564">
        <v>803</v>
      </c>
      <c r="I15" s="564">
        <v>28</v>
      </c>
      <c r="J15" s="564">
        <v>72</v>
      </c>
      <c r="K15" s="564">
        <v>62</v>
      </c>
      <c r="L15" s="564">
        <v>1031</v>
      </c>
      <c r="M15" s="564">
        <v>0</v>
      </c>
      <c r="N15" s="564">
        <v>100</v>
      </c>
      <c r="O15" s="564">
        <v>0</v>
      </c>
      <c r="P15" s="564">
        <v>122</v>
      </c>
      <c r="Q15" s="2262"/>
      <c r="R15" s="2262"/>
      <c r="S15" s="559">
        <v>0</v>
      </c>
      <c r="T15" s="2235"/>
      <c r="U15" s="559" t="s">
        <v>64</v>
      </c>
      <c r="V15" s="2262">
        <v>9887</v>
      </c>
      <c r="W15" s="2262"/>
      <c r="X15" s="2262"/>
    </row>
    <row r="16" spans="1:25" ht="24.75" customHeight="1" x14ac:dyDescent="0.25">
      <c r="A16" s="100" t="s">
        <v>39</v>
      </c>
      <c r="B16" s="2260">
        <v>62337</v>
      </c>
      <c r="C16" s="2261"/>
      <c r="D16" s="564"/>
      <c r="E16" s="564">
        <v>400</v>
      </c>
      <c r="F16" s="564">
        <v>12000</v>
      </c>
      <c r="G16" s="564"/>
      <c r="H16" s="564"/>
      <c r="I16" s="564"/>
      <c r="J16" s="564"/>
      <c r="K16" s="564"/>
      <c r="L16" s="564"/>
      <c r="M16" s="564"/>
      <c r="N16" s="564"/>
      <c r="O16" s="564"/>
      <c r="P16" s="564"/>
      <c r="Q16" s="2225"/>
      <c r="R16" s="2225"/>
      <c r="S16" s="564"/>
      <c r="T16" s="2254" t="s">
        <v>55</v>
      </c>
      <c r="U16" s="2254"/>
      <c r="V16" s="2267">
        <f>Y12</f>
        <v>212229.55</v>
      </c>
      <c r="W16" s="2267"/>
      <c r="X16" s="2262"/>
    </row>
    <row r="17" spans="1:25" ht="28.5" customHeight="1" x14ac:dyDescent="0.25">
      <c r="A17" s="101" t="s">
        <v>44</v>
      </c>
      <c r="B17" s="2260"/>
      <c r="C17" s="2261"/>
      <c r="D17" s="564"/>
      <c r="E17" s="564"/>
      <c r="F17" s="564"/>
      <c r="G17" s="564"/>
      <c r="H17" s="564"/>
      <c r="I17" s="564"/>
      <c r="J17" s="564"/>
      <c r="K17" s="564"/>
      <c r="L17" s="564"/>
      <c r="M17" s="564"/>
      <c r="N17" s="564"/>
      <c r="O17" s="564"/>
      <c r="P17" s="564"/>
      <c r="Q17" s="2225"/>
      <c r="R17" s="2225"/>
      <c r="S17" s="561"/>
      <c r="T17" s="2294"/>
      <c r="U17" s="2295"/>
      <c r="V17" s="2296"/>
      <c r="W17" s="2296"/>
      <c r="X17" s="2296"/>
    </row>
    <row r="18" spans="1:25" ht="27" customHeight="1" x14ac:dyDescent="0.25">
      <c r="A18" s="100" t="s">
        <v>40</v>
      </c>
      <c r="B18" s="2264">
        <f>C12</f>
        <v>112380</v>
      </c>
      <c r="C18" s="2261"/>
      <c r="D18" s="565">
        <f>E12</f>
        <v>0</v>
      </c>
      <c r="E18" s="565">
        <f>G12</f>
        <v>770</v>
      </c>
      <c r="F18" s="565">
        <f>I12</f>
        <v>3060</v>
      </c>
      <c r="G18" s="565">
        <f>K12</f>
        <v>0</v>
      </c>
      <c r="H18" s="564">
        <v>5</v>
      </c>
      <c r="I18" s="565">
        <f>U12</f>
        <v>23</v>
      </c>
      <c r="J18" s="564"/>
      <c r="K18" s="565">
        <f>W12</f>
        <v>0</v>
      </c>
      <c r="L18" s="564"/>
      <c r="M18" s="565">
        <f>M12</f>
        <v>0</v>
      </c>
      <c r="N18" s="565">
        <f>O12</f>
        <v>0</v>
      </c>
      <c r="O18" s="566">
        <f>Q12</f>
        <v>0</v>
      </c>
      <c r="P18" s="564">
        <v>75</v>
      </c>
      <c r="Q18" s="2262"/>
      <c r="R18" s="2262"/>
      <c r="S18" s="559"/>
      <c r="T18" s="2254" t="s">
        <v>57</v>
      </c>
      <c r="U18" s="2254"/>
      <c r="V18" s="2262">
        <v>1572</v>
      </c>
      <c r="W18" s="2262"/>
      <c r="X18" s="2262"/>
      <c r="Y18" s="2269"/>
    </row>
    <row r="19" spans="1:25" ht="25.5" customHeight="1" x14ac:dyDescent="0.25">
      <c r="A19" s="100" t="s">
        <v>41</v>
      </c>
      <c r="B19" s="2260">
        <f>B15+B16+B17-B18</f>
        <v>294102</v>
      </c>
      <c r="C19" s="2261"/>
      <c r="D19" s="564">
        <f>D15+D16+D17-D18</f>
        <v>1250</v>
      </c>
      <c r="E19" s="564">
        <f t="shared" ref="E19:N19" si="13">E15+E16+E17-E18</f>
        <v>5405</v>
      </c>
      <c r="F19" s="564">
        <f t="shared" si="13"/>
        <v>13110</v>
      </c>
      <c r="G19" s="564">
        <f t="shared" si="13"/>
        <v>0</v>
      </c>
      <c r="H19" s="564">
        <f t="shared" si="13"/>
        <v>798</v>
      </c>
      <c r="I19" s="564">
        <f t="shared" si="13"/>
        <v>5</v>
      </c>
      <c r="J19" s="564">
        <f t="shared" si="13"/>
        <v>72</v>
      </c>
      <c r="K19" s="564">
        <f t="shared" si="13"/>
        <v>62</v>
      </c>
      <c r="L19" s="564">
        <f t="shared" si="13"/>
        <v>1031</v>
      </c>
      <c r="M19" s="564">
        <f t="shared" si="13"/>
        <v>0</v>
      </c>
      <c r="N19" s="564">
        <f t="shared" si="13"/>
        <v>100</v>
      </c>
      <c r="O19" s="564">
        <f>O15+O16+O17-O18</f>
        <v>0</v>
      </c>
      <c r="P19" s="564">
        <f>P15+P16+P17-P18</f>
        <v>47</v>
      </c>
      <c r="Q19" s="2260">
        <f t="shared" ref="Q19" si="14">Q15+Q16+Q17-Q18</f>
        <v>0</v>
      </c>
      <c r="R19" s="2261"/>
      <c r="S19" s="559">
        <f>S15+S16-S17-S18</f>
        <v>0</v>
      </c>
      <c r="T19" s="2256" t="s">
        <v>48</v>
      </c>
      <c r="U19" s="49" t="s">
        <v>58</v>
      </c>
      <c r="V19" s="2262">
        <v>257325</v>
      </c>
      <c r="W19" s="2262"/>
      <c r="X19" s="2262"/>
      <c r="Y19" s="2269"/>
    </row>
    <row r="20" spans="1:25" ht="23.25" customHeight="1" x14ac:dyDescent="0.25">
      <c r="A20" s="289" t="s">
        <v>187</v>
      </c>
      <c r="B20" s="2286">
        <f>B19*0.9625</f>
        <v>283073.17499999999</v>
      </c>
      <c r="C20" s="2287"/>
      <c r="D20" s="290">
        <f>D19*66.41</f>
        <v>83012.5</v>
      </c>
      <c r="E20" s="290">
        <f>28.2*E19</f>
        <v>152421</v>
      </c>
      <c r="F20" s="290">
        <f>18.31*F19</f>
        <v>240044.09999999998</v>
      </c>
      <c r="G20" s="290">
        <f>19.3*G19</f>
        <v>0</v>
      </c>
      <c r="H20" s="290">
        <f>241*H19</f>
        <v>192318</v>
      </c>
      <c r="I20" s="290">
        <f>223*I19</f>
        <v>1115</v>
      </c>
      <c r="J20" s="290">
        <f>241*J19</f>
        <v>17352</v>
      </c>
      <c r="K20" s="290">
        <f>K19*100</f>
        <v>6200</v>
      </c>
      <c r="L20" s="290">
        <f>241*L19</f>
        <v>248471</v>
      </c>
      <c r="M20" s="290">
        <f>9.65*M19</f>
        <v>0</v>
      </c>
      <c r="N20" s="290">
        <f>N19*48.2</f>
        <v>4820</v>
      </c>
      <c r="O20" s="290">
        <f>241*O19</f>
        <v>0</v>
      </c>
      <c r="P20" s="290">
        <f>241*P19</f>
        <v>11327</v>
      </c>
      <c r="Q20" s="2286">
        <f>241*Q19</f>
        <v>0</v>
      </c>
      <c r="R20" s="2287"/>
      <c r="S20" s="290">
        <f>241*S19</f>
        <v>0</v>
      </c>
      <c r="T20" s="2257"/>
      <c r="U20" s="49" t="s">
        <v>59</v>
      </c>
      <c r="V20" s="2262"/>
      <c r="W20" s="2262"/>
      <c r="X20" s="2262"/>
      <c r="Y20" s="2269"/>
    </row>
    <row r="21" spans="1:25" ht="32.25" customHeight="1" x14ac:dyDescent="0.25">
      <c r="A21" s="291" t="s">
        <v>186</v>
      </c>
      <c r="B21" s="2293">
        <f>SUM(B20:S20)</f>
        <v>1240153.7749999999</v>
      </c>
      <c r="C21" s="2293"/>
      <c r="O21" s="568"/>
      <c r="P21" s="568"/>
      <c r="Q21" s="568"/>
      <c r="R21" s="568"/>
      <c r="T21" s="2294" t="s">
        <v>356</v>
      </c>
      <c r="U21" s="2295"/>
      <c r="V21" s="2297">
        <v>120000</v>
      </c>
      <c r="W21" s="2298"/>
      <c r="X21" s="2299"/>
      <c r="Y21" s="2269"/>
    </row>
    <row r="22" spans="1:25" ht="35.25" customHeight="1" x14ac:dyDescent="0.25">
      <c r="A22" s="15"/>
      <c r="B22" s="2288" t="s">
        <v>49</v>
      </c>
      <c r="C22" s="2291">
        <v>866425</v>
      </c>
      <c r="D22" s="2291">
        <v>257325</v>
      </c>
      <c r="E22" s="2291">
        <v>290884</v>
      </c>
      <c r="F22" s="2291">
        <f>C22-D22+E22</f>
        <v>899984</v>
      </c>
      <c r="G22" s="568"/>
      <c r="Q22" s="568"/>
      <c r="R22" s="568"/>
      <c r="T22" s="2251" t="s">
        <v>83</v>
      </c>
      <c r="U22" s="50" t="s">
        <v>60</v>
      </c>
      <c r="V22" s="2262">
        <v>258120</v>
      </c>
      <c r="W22" s="2262"/>
      <c r="X22" s="2262"/>
      <c r="Y22" s="2269"/>
    </row>
    <row r="23" spans="1:25" ht="39.75" customHeight="1" x14ac:dyDescent="0.25">
      <c r="A23" s="568"/>
      <c r="B23" s="2289"/>
      <c r="C23" s="2292"/>
      <c r="D23" s="2292"/>
      <c r="E23" s="2292"/>
      <c r="F23" s="2292"/>
      <c r="G23" s="568"/>
      <c r="Q23" s="568"/>
      <c r="R23" s="568"/>
      <c r="T23" s="2252"/>
      <c r="U23" s="50" t="s">
        <v>61</v>
      </c>
      <c r="V23" s="2262">
        <v>257325</v>
      </c>
      <c r="W23" s="2262"/>
      <c r="X23" s="2262"/>
      <c r="Y23" s="2269"/>
    </row>
    <row r="24" spans="1:25" ht="48" customHeight="1" x14ac:dyDescent="0.25">
      <c r="A24" s="568"/>
      <c r="B24" s="2290"/>
      <c r="C24" s="290" t="s">
        <v>46</v>
      </c>
      <c r="D24" s="290" t="s">
        <v>50</v>
      </c>
      <c r="E24" s="290" t="s">
        <v>51</v>
      </c>
      <c r="F24" s="290" t="s">
        <v>52</v>
      </c>
      <c r="G24" s="568"/>
      <c r="Q24" s="568"/>
      <c r="R24" s="568"/>
      <c r="T24" s="2235" t="s">
        <v>47</v>
      </c>
      <c r="U24" s="51" t="s">
        <v>62</v>
      </c>
      <c r="V24" s="2263">
        <f>V14+V16+V17-V18-V19-V20-V22+V23-V21</f>
        <v>43519.549999999988</v>
      </c>
      <c r="W24" s="2263"/>
      <c r="X24" s="2263"/>
      <c r="Y24" s="2269"/>
    </row>
    <row r="25" spans="1:25" ht="40.5" customHeight="1" x14ac:dyDescent="0.25">
      <c r="T25" s="2235"/>
      <c r="U25" s="51" t="s">
        <v>63</v>
      </c>
      <c r="V25" s="2262">
        <f>V15+V22-V23</f>
        <v>10682</v>
      </c>
      <c r="W25" s="2262"/>
      <c r="X25" s="2262"/>
    </row>
    <row r="26" spans="1:25" ht="36" customHeight="1" x14ac:dyDescent="0.25">
      <c r="K26" s="314"/>
    </row>
    <row r="28" spans="1:25" x14ac:dyDescent="0.25">
      <c r="J28" s="14" t="s">
        <v>139</v>
      </c>
    </row>
    <row r="32" spans="1:25" x14ac:dyDescent="0.25">
      <c r="I32" s="2280"/>
      <c r="J32" s="2280"/>
      <c r="K32" s="2280"/>
      <c r="L32" s="2280"/>
    </row>
    <row r="33" spans="9:12" x14ac:dyDescent="0.25">
      <c r="I33" s="568"/>
      <c r="J33" s="568"/>
      <c r="K33" s="2280"/>
      <c r="L33" s="2280"/>
    </row>
  </sheetData>
  <mergeCells count="62">
    <mergeCell ref="I32:J32"/>
    <mergeCell ref="K32:L32"/>
    <mergeCell ref="K33:L33"/>
    <mergeCell ref="T22:T23"/>
    <mergeCell ref="V22:X22"/>
    <mergeCell ref="V23:X23"/>
    <mergeCell ref="T24:T25"/>
    <mergeCell ref="V24:X24"/>
    <mergeCell ref="V25:X25"/>
    <mergeCell ref="Y18:Y24"/>
    <mergeCell ref="B19:C19"/>
    <mergeCell ref="Q19:R19"/>
    <mergeCell ref="T19:T20"/>
    <mergeCell ref="V19:X19"/>
    <mergeCell ref="B20:C20"/>
    <mergeCell ref="B22:B24"/>
    <mergeCell ref="C22:C23"/>
    <mergeCell ref="D22:D23"/>
    <mergeCell ref="E22:E23"/>
    <mergeCell ref="F22:F23"/>
    <mergeCell ref="Q20:R20"/>
    <mergeCell ref="V20:X20"/>
    <mergeCell ref="B21:C21"/>
    <mergeCell ref="T21:U21"/>
    <mergeCell ref="V21:X21"/>
    <mergeCell ref="B17:C17"/>
    <mergeCell ref="Q17:R17"/>
    <mergeCell ref="T17:U17"/>
    <mergeCell ref="V17:X17"/>
    <mergeCell ref="B18:C18"/>
    <mergeCell ref="Q18:R18"/>
    <mergeCell ref="T18:U18"/>
    <mergeCell ref="V18:X18"/>
    <mergeCell ref="W4:X4"/>
    <mergeCell ref="B16:C16"/>
    <mergeCell ref="Q16:R16"/>
    <mergeCell ref="T16:U16"/>
    <mergeCell ref="V16:X16"/>
    <mergeCell ref="A12:B12"/>
    <mergeCell ref="B14:C14"/>
    <mergeCell ref="Q14:R14"/>
    <mergeCell ref="T14:T15"/>
    <mergeCell ref="V14:X14"/>
    <mergeCell ref="B15:C15"/>
    <mergeCell ref="Q15:R15"/>
    <mergeCell ref="V15:X15"/>
    <mergeCell ref="A1:Y1"/>
    <mergeCell ref="A2:Y2"/>
    <mergeCell ref="T3:Y3"/>
    <mergeCell ref="A4:A5"/>
    <mergeCell ref="B4:B5"/>
    <mergeCell ref="C4:D4"/>
    <mergeCell ref="E4:F4"/>
    <mergeCell ref="G4:H4"/>
    <mergeCell ref="I4:J4"/>
    <mergeCell ref="K4:L4"/>
    <mergeCell ref="Y4:Y5"/>
    <mergeCell ref="M4:N4"/>
    <mergeCell ref="O4:P4"/>
    <mergeCell ref="Q4:R4"/>
    <mergeCell ref="S4:T4"/>
    <mergeCell ref="U4:V4"/>
  </mergeCells>
  <pageMargins left="0.15748031496063" right="0.15748031496063" top="0" bottom="0" header="0" footer="0"/>
  <pageSetup paperSize="9" scale="47" orientation="landscape" r:id="rId1"/>
</worksheet>
</file>

<file path=xl/worksheets/sheet14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818477D-EB50-40C7-83CE-445F531F773E}">
  <sheetPr>
    <pageSetUpPr fitToPage="1"/>
  </sheetPr>
  <dimension ref="A1:Y33"/>
  <sheetViews>
    <sheetView topLeftCell="A10" zoomScale="70" zoomScaleNormal="70" zoomScaleSheetLayoutView="100" workbookViewId="0">
      <selection activeCell="I24" sqref="I24"/>
    </sheetView>
  </sheetViews>
  <sheetFormatPr defaultColWidth="9.140625" defaultRowHeight="15" x14ac:dyDescent="0.25"/>
  <cols>
    <col min="1" max="1" width="18.28515625" style="14" customWidth="1"/>
    <col min="2" max="2" width="10.7109375" style="14" customWidth="1"/>
    <col min="3" max="3" width="12.28515625" style="14" customWidth="1"/>
    <col min="4" max="4" width="13.140625" style="14" bestFit="1" customWidth="1"/>
    <col min="5" max="5" width="12" style="14" customWidth="1"/>
    <col min="6" max="6" width="12.5703125" style="14" bestFit="1" customWidth="1"/>
    <col min="7" max="7" width="9.28515625" style="14" bestFit="1" customWidth="1"/>
    <col min="8" max="8" width="10.140625" style="14" bestFit="1" customWidth="1"/>
    <col min="9" max="9" width="10.5703125" style="14" bestFit="1" customWidth="1"/>
    <col min="10" max="10" width="10.5703125" style="14" customWidth="1"/>
    <col min="11" max="11" width="10.28515625" style="14" bestFit="1" customWidth="1"/>
    <col min="12" max="12" width="10.42578125" style="14" bestFit="1" customWidth="1"/>
    <col min="13" max="13" width="9.85546875" style="14" bestFit="1" customWidth="1"/>
    <col min="14" max="14" width="10.140625" style="14" bestFit="1" customWidth="1"/>
    <col min="15" max="15" width="9" style="14" customWidth="1"/>
    <col min="16" max="16" width="12.85546875" style="14" bestFit="1" customWidth="1"/>
    <col min="17" max="18" width="9.42578125" style="14" customWidth="1"/>
    <col min="19" max="19" width="13.7109375" style="14" customWidth="1"/>
    <col min="20" max="20" width="12.140625" style="14" customWidth="1"/>
    <col min="21" max="21" width="19.5703125" style="14" bestFit="1" customWidth="1"/>
    <col min="22" max="22" width="9.85546875" style="14" customWidth="1"/>
    <col min="23" max="23" width="10.140625" style="14" bestFit="1" customWidth="1"/>
    <col min="24" max="24" width="10.28515625" style="14" customWidth="1"/>
    <col min="25" max="25" width="28" style="14" customWidth="1"/>
    <col min="26" max="16384" width="9.140625" style="14"/>
  </cols>
  <sheetData>
    <row r="1" spans="1:25" ht="46.15" customHeight="1" x14ac:dyDescent="0.25">
      <c r="A1" s="2240" t="s">
        <v>148</v>
      </c>
      <c r="B1" s="2240"/>
      <c r="C1" s="2240"/>
      <c r="D1" s="2240"/>
      <c r="E1" s="2240"/>
      <c r="F1" s="2240"/>
      <c r="G1" s="2240"/>
      <c r="H1" s="2240"/>
      <c r="I1" s="2240"/>
      <c r="J1" s="2240"/>
      <c r="K1" s="2240"/>
      <c r="L1" s="2240"/>
      <c r="M1" s="2240"/>
      <c r="N1" s="2240"/>
      <c r="O1" s="2240"/>
      <c r="P1" s="2240"/>
      <c r="Q1" s="2240"/>
      <c r="R1" s="2240"/>
      <c r="S1" s="2240"/>
      <c r="T1" s="2240"/>
      <c r="U1" s="2240"/>
      <c r="V1" s="2240"/>
      <c r="W1" s="2240"/>
      <c r="X1" s="2240"/>
      <c r="Y1" s="2240"/>
    </row>
    <row r="2" spans="1:25" ht="21.6" customHeight="1" x14ac:dyDescent="0.25">
      <c r="A2" s="2241" t="s">
        <v>77</v>
      </c>
      <c r="B2" s="2241"/>
      <c r="C2" s="2241"/>
      <c r="D2" s="2241"/>
      <c r="E2" s="2241"/>
      <c r="F2" s="2241"/>
      <c r="G2" s="2241"/>
      <c r="H2" s="2241"/>
      <c r="I2" s="2241"/>
      <c r="J2" s="2241"/>
      <c r="K2" s="2241"/>
      <c r="L2" s="2241"/>
      <c r="M2" s="2241"/>
      <c r="N2" s="2241"/>
      <c r="O2" s="2241"/>
      <c r="P2" s="2241"/>
      <c r="Q2" s="2241"/>
      <c r="R2" s="2241"/>
      <c r="S2" s="2241"/>
      <c r="T2" s="2241"/>
      <c r="U2" s="2241"/>
      <c r="V2" s="2241"/>
      <c r="W2" s="2241"/>
      <c r="X2" s="2241"/>
      <c r="Y2" s="2241"/>
    </row>
    <row r="3" spans="1:25" ht="21" customHeight="1" x14ac:dyDescent="0.25">
      <c r="A3" s="574"/>
      <c r="B3" s="574"/>
      <c r="C3" s="574"/>
      <c r="D3" s="574"/>
      <c r="E3" s="574"/>
      <c r="F3" s="574"/>
      <c r="G3" s="574"/>
      <c r="H3" s="574"/>
      <c r="I3" s="574"/>
      <c r="J3" s="574"/>
      <c r="K3" s="574"/>
      <c r="L3" s="574"/>
      <c r="M3" s="574"/>
      <c r="N3" s="574"/>
      <c r="O3" s="574"/>
      <c r="P3" s="574"/>
      <c r="Q3" s="574"/>
      <c r="R3" s="574"/>
      <c r="S3" s="574"/>
      <c r="T3" s="2242" t="s">
        <v>357</v>
      </c>
      <c r="U3" s="2242"/>
      <c r="V3" s="2242"/>
      <c r="W3" s="2242"/>
      <c r="X3" s="2242"/>
      <c r="Y3" s="2242"/>
    </row>
    <row r="4" spans="1:25" s="574" customFormat="1" ht="18" customHeight="1" x14ac:dyDescent="0.25">
      <c r="A4" s="2243" t="s">
        <v>25</v>
      </c>
      <c r="B4" s="2243" t="s">
        <v>26</v>
      </c>
      <c r="C4" s="2244" t="s">
        <v>27</v>
      </c>
      <c r="D4" s="2244"/>
      <c r="E4" s="2244" t="s">
        <v>342</v>
      </c>
      <c r="F4" s="2244"/>
      <c r="G4" s="2244" t="s">
        <v>65</v>
      </c>
      <c r="H4" s="2244"/>
      <c r="I4" s="2244" t="s">
        <v>29</v>
      </c>
      <c r="J4" s="2244"/>
      <c r="K4" s="2245" t="s">
        <v>13</v>
      </c>
      <c r="L4" s="2246"/>
      <c r="M4" s="2245" t="s">
        <v>67</v>
      </c>
      <c r="N4" s="2246"/>
      <c r="O4" s="2245" t="s">
        <v>68</v>
      </c>
      <c r="P4" s="2246"/>
      <c r="Q4" s="2245" t="s">
        <v>114</v>
      </c>
      <c r="R4" s="2246"/>
      <c r="S4" s="2244" t="s">
        <v>35</v>
      </c>
      <c r="T4" s="2244"/>
      <c r="U4" s="2245" t="s">
        <v>17</v>
      </c>
      <c r="V4" s="2246"/>
      <c r="W4" s="2247" t="s">
        <v>36</v>
      </c>
      <c r="X4" s="2248"/>
      <c r="Y4" s="2238" t="s">
        <v>30</v>
      </c>
    </row>
    <row r="5" spans="1:25" s="574" customFormat="1" ht="25.5" customHeight="1" x14ac:dyDescent="0.25">
      <c r="A5" s="2243"/>
      <c r="B5" s="2243"/>
      <c r="C5" s="573" t="s">
        <v>42</v>
      </c>
      <c r="D5" s="573" t="s">
        <v>43</v>
      </c>
      <c r="E5" s="573" t="s">
        <v>42</v>
      </c>
      <c r="F5" s="573" t="s">
        <v>43</v>
      </c>
      <c r="G5" s="573" t="s">
        <v>42</v>
      </c>
      <c r="H5" s="573" t="s">
        <v>43</v>
      </c>
      <c r="I5" s="573" t="s">
        <v>42</v>
      </c>
      <c r="J5" s="573" t="s">
        <v>43</v>
      </c>
      <c r="K5" s="573" t="s">
        <v>42</v>
      </c>
      <c r="L5" s="573" t="s">
        <v>43</v>
      </c>
      <c r="M5" s="573" t="s">
        <v>42</v>
      </c>
      <c r="N5" s="573" t="s">
        <v>43</v>
      </c>
      <c r="O5" s="573" t="s">
        <v>42</v>
      </c>
      <c r="P5" s="573" t="s">
        <v>43</v>
      </c>
      <c r="Q5" s="573" t="s">
        <v>42</v>
      </c>
      <c r="R5" s="573" t="s">
        <v>43</v>
      </c>
      <c r="S5" s="33" t="s">
        <v>42</v>
      </c>
      <c r="T5" s="33" t="s">
        <v>43</v>
      </c>
      <c r="U5" s="30" t="s">
        <v>42</v>
      </c>
      <c r="V5" s="30" t="s">
        <v>43</v>
      </c>
      <c r="W5" s="30" t="s">
        <v>42</v>
      </c>
      <c r="X5" s="30" t="s">
        <v>43</v>
      </c>
      <c r="Y5" s="2239"/>
    </row>
    <row r="6" spans="1:25" ht="34.5" customHeight="1" x14ac:dyDescent="0.25">
      <c r="A6" s="12">
        <v>1409935200</v>
      </c>
      <c r="B6" s="572" t="s">
        <v>71</v>
      </c>
      <c r="C6" s="570">
        <v>39263</v>
      </c>
      <c r="D6" s="569">
        <f>0.9725*C6</f>
        <v>38183.267500000002</v>
      </c>
      <c r="E6" s="570"/>
      <c r="F6" s="570">
        <f>67.1*E6</f>
        <v>0</v>
      </c>
      <c r="G6" s="570"/>
      <c r="H6" s="570">
        <f>28.2*G6</f>
        <v>0</v>
      </c>
      <c r="I6" s="570">
        <v>130</v>
      </c>
      <c r="J6" s="570">
        <f>18.5*I6</f>
        <v>2405</v>
      </c>
      <c r="K6" s="570"/>
      <c r="L6" s="570">
        <f>19.5*K6</f>
        <v>0</v>
      </c>
      <c r="M6" s="570"/>
      <c r="N6" s="569">
        <f>M6*9.75</f>
        <v>0</v>
      </c>
      <c r="O6" s="570"/>
      <c r="P6" s="569">
        <f>O6*48.62</f>
        <v>0</v>
      </c>
      <c r="Q6" s="569"/>
      <c r="R6" s="569">
        <f>241*Q6</f>
        <v>0</v>
      </c>
      <c r="S6" s="570">
        <v>22</v>
      </c>
      <c r="T6" s="570">
        <f>241*S6</f>
        <v>5302</v>
      </c>
      <c r="U6" s="570"/>
      <c r="V6" s="570">
        <f>232*U6</f>
        <v>0</v>
      </c>
      <c r="W6" s="570"/>
      <c r="X6" s="19">
        <f>W6*100</f>
        <v>0</v>
      </c>
      <c r="Y6" s="89">
        <f t="shared" ref="Y6:Y11" si="0">D6+F6+H6+J6+L6+N6+P6+R6+T6+V6+X6</f>
        <v>45890.267500000002</v>
      </c>
    </row>
    <row r="7" spans="1:25" ht="31.5" customHeight="1" x14ac:dyDescent="0.25">
      <c r="A7" s="12">
        <v>1984225578</v>
      </c>
      <c r="B7" s="572" t="s">
        <v>72</v>
      </c>
      <c r="C7" s="570">
        <v>26095</v>
      </c>
      <c r="D7" s="569">
        <f t="shared" ref="D7:D11" si="1">0.9725*C7</f>
        <v>25377.387500000001</v>
      </c>
      <c r="E7" s="570">
        <v>110</v>
      </c>
      <c r="F7" s="570">
        <f t="shared" ref="F7:F11" si="2">67.1*E7</f>
        <v>7380.9999999999991</v>
      </c>
      <c r="G7" s="570">
        <v>555</v>
      </c>
      <c r="H7" s="570">
        <f t="shared" ref="H7:H11" si="3">28.2*G7</f>
        <v>15651</v>
      </c>
      <c r="I7" s="570"/>
      <c r="J7" s="570">
        <f t="shared" ref="J7:J11" si="4">18.5*I7</f>
        <v>0</v>
      </c>
      <c r="K7" s="570"/>
      <c r="L7" s="570">
        <f t="shared" ref="L7:L11" si="5">19.5*K7</f>
        <v>0</v>
      </c>
      <c r="M7" s="570"/>
      <c r="N7" s="569">
        <f t="shared" ref="N7:N11" si="6">M7*9.75</f>
        <v>0</v>
      </c>
      <c r="O7" s="570"/>
      <c r="P7" s="569">
        <f t="shared" ref="P7:P11" si="7">O7*48.62</f>
        <v>0</v>
      </c>
      <c r="Q7" s="569"/>
      <c r="R7" s="569">
        <f t="shared" ref="R7:R11" si="8">241*Q7</f>
        <v>0</v>
      </c>
      <c r="S7" s="570">
        <v>22</v>
      </c>
      <c r="T7" s="570">
        <f t="shared" ref="T7:T11" si="9">241*S7</f>
        <v>5302</v>
      </c>
      <c r="U7" s="570"/>
      <c r="V7" s="570">
        <f t="shared" ref="V7:V11" si="10">232*U7</f>
        <v>0</v>
      </c>
      <c r="W7" s="570"/>
      <c r="X7" s="19">
        <f t="shared" ref="X7:X11" si="11">W7*100</f>
        <v>0</v>
      </c>
      <c r="Y7" s="89">
        <f t="shared" si="0"/>
        <v>53711.387499999997</v>
      </c>
    </row>
    <row r="8" spans="1:25" ht="35.25" customHeight="1" x14ac:dyDescent="0.25">
      <c r="A8" s="12">
        <v>1967020280</v>
      </c>
      <c r="B8" s="572" t="s">
        <v>73</v>
      </c>
      <c r="C8" s="570">
        <v>23605</v>
      </c>
      <c r="D8" s="569">
        <f t="shared" si="1"/>
        <v>22955.862499999999</v>
      </c>
      <c r="E8" s="570"/>
      <c r="F8" s="570">
        <f t="shared" si="2"/>
        <v>0</v>
      </c>
      <c r="G8" s="570"/>
      <c r="H8" s="570">
        <f t="shared" si="3"/>
        <v>0</v>
      </c>
      <c r="I8" s="570">
        <v>460</v>
      </c>
      <c r="J8" s="570">
        <f t="shared" si="4"/>
        <v>8510</v>
      </c>
      <c r="K8" s="570"/>
      <c r="L8" s="570">
        <f t="shared" si="5"/>
        <v>0</v>
      </c>
      <c r="M8" s="570"/>
      <c r="N8" s="569">
        <f t="shared" si="6"/>
        <v>0</v>
      </c>
      <c r="O8" s="570"/>
      <c r="P8" s="569">
        <f t="shared" si="7"/>
        <v>0</v>
      </c>
      <c r="Q8" s="569"/>
      <c r="R8" s="569">
        <f t="shared" si="8"/>
        <v>0</v>
      </c>
      <c r="S8" s="570"/>
      <c r="T8" s="570">
        <f t="shared" si="9"/>
        <v>0</v>
      </c>
      <c r="U8" s="570"/>
      <c r="V8" s="570">
        <f t="shared" si="10"/>
        <v>0</v>
      </c>
      <c r="W8" s="570"/>
      <c r="X8" s="19">
        <f t="shared" si="11"/>
        <v>0</v>
      </c>
      <c r="Y8" s="89">
        <f t="shared" si="0"/>
        <v>31465.862499999999</v>
      </c>
    </row>
    <row r="9" spans="1:25" ht="38.25" customHeight="1" x14ac:dyDescent="0.25">
      <c r="A9" s="12">
        <v>1984225580</v>
      </c>
      <c r="B9" s="572" t="s">
        <v>75</v>
      </c>
      <c r="C9" s="570">
        <v>32270</v>
      </c>
      <c r="D9" s="569">
        <f t="shared" si="1"/>
        <v>31382.575000000001</v>
      </c>
      <c r="E9" s="570"/>
      <c r="F9" s="570">
        <f t="shared" si="2"/>
        <v>0</v>
      </c>
      <c r="G9" s="570"/>
      <c r="H9" s="570">
        <f t="shared" si="3"/>
        <v>0</v>
      </c>
      <c r="I9" s="570">
        <v>300</v>
      </c>
      <c r="J9" s="570">
        <f t="shared" si="4"/>
        <v>5550</v>
      </c>
      <c r="K9" s="570"/>
      <c r="L9" s="570">
        <f t="shared" si="5"/>
        <v>0</v>
      </c>
      <c r="M9" s="570"/>
      <c r="N9" s="569">
        <f t="shared" si="6"/>
        <v>0</v>
      </c>
      <c r="O9" s="570"/>
      <c r="P9" s="569">
        <f t="shared" si="7"/>
        <v>0</v>
      </c>
      <c r="Q9" s="569"/>
      <c r="R9" s="569">
        <f t="shared" si="8"/>
        <v>0</v>
      </c>
      <c r="S9" s="570"/>
      <c r="T9" s="570">
        <f t="shared" si="9"/>
        <v>0</v>
      </c>
      <c r="U9" s="570"/>
      <c r="V9" s="570">
        <f t="shared" si="10"/>
        <v>0</v>
      </c>
      <c r="W9" s="570"/>
      <c r="X9" s="19">
        <f t="shared" si="11"/>
        <v>0</v>
      </c>
      <c r="Y9" s="89">
        <f t="shared" si="0"/>
        <v>36932.574999999997</v>
      </c>
    </row>
    <row r="10" spans="1:25" ht="35.25" customHeight="1" x14ac:dyDescent="0.25">
      <c r="A10" s="12">
        <v>1409935199</v>
      </c>
      <c r="C10" s="570"/>
      <c r="D10" s="569">
        <f t="shared" si="1"/>
        <v>0</v>
      </c>
      <c r="E10" s="570"/>
      <c r="F10" s="570">
        <f t="shared" si="2"/>
        <v>0</v>
      </c>
      <c r="G10" s="570"/>
      <c r="H10" s="570">
        <f t="shared" si="3"/>
        <v>0</v>
      </c>
      <c r="I10" s="570"/>
      <c r="J10" s="570">
        <f t="shared" si="4"/>
        <v>0</v>
      </c>
      <c r="K10" s="570"/>
      <c r="L10" s="570">
        <f t="shared" si="5"/>
        <v>0</v>
      </c>
      <c r="M10" s="570"/>
      <c r="N10" s="569">
        <f t="shared" si="6"/>
        <v>0</v>
      </c>
      <c r="O10" s="570"/>
      <c r="P10" s="569">
        <f t="shared" si="7"/>
        <v>0</v>
      </c>
      <c r="Q10" s="569"/>
      <c r="R10" s="569">
        <f t="shared" si="8"/>
        <v>0</v>
      </c>
      <c r="S10" s="570"/>
      <c r="T10" s="570">
        <f t="shared" si="9"/>
        <v>0</v>
      </c>
      <c r="U10" s="570"/>
      <c r="V10" s="570">
        <f t="shared" si="10"/>
        <v>0</v>
      </c>
      <c r="W10" s="570"/>
      <c r="X10" s="19">
        <f t="shared" si="11"/>
        <v>0</v>
      </c>
      <c r="Y10" s="89">
        <f t="shared" si="0"/>
        <v>0</v>
      </c>
    </row>
    <row r="11" spans="1:25" ht="37.5" customHeight="1" x14ac:dyDescent="0.25">
      <c r="A11" s="12"/>
      <c r="B11" s="571"/>
      <c r="C11" s="570"/>
      <c r="D11" s="22">
        <f t="shared" si="1"/>
        <v>0</v>
      </c>
      <c r="E11" s="570"/>
      <c r="F11" s="570">
        <f t="shared" si="2"/>
        <v>0</v>
      </c>
      <c r="G11" s="570"/>
      <c r="H11" s="570">
        <f t="shared" si="3"/>
        <v>0</v>
      </c>
      <c r="I11" s="570"/>
      <c r="J11" s="570">
        <f t="shared" si="4"/>
        <v>0</v>
      </c>
      <c r="K11" s="570"/>
      <c r="L11" s="570">
        <f t="shared" si="5"/>
        <v>0</v>
      </c>
      <c r="M11" s="570"/>
      <c r="N11" s="569">
        <f t="shared" si="6"/>
        <v>0</v>
      </c>
      <c r="O11" s="570"/>
      <c r="P11" s="569">
        <f t="shared" si="7"/>
        <v>0</v>
      </c>
      <c r="Q11" s="569"/>
      <c r="R11" s="569">
        <f t="shared" si="8"/>
        <v>0</v>
      </c>
      <c r="S11" s="570"/>
      <c r="T11" s="570">
        <f t="shared" si="9"/>
        <v>0</v>
      </c>
      <c r="U11" s="570"/>
      <c r="V11" s="570">
        <f t="shared" si="10"/>
        <v>0</v>
      </c>
      <c r="W11" s="570"/>
      <c r="X11" s="19">
        <f t="shared" si="11"/>
        <v>0</v>
      </c>
      <c r="Y11" s="20">
        <f t="shared" si="0"/>
        <v>0</v>
      </c>
    </row>
    <row r="12" spans="1:25" ht="29.25" customHeight="1" x14ac:dyDescent="0.25">
      <c r="A12" s="2235" t="s">
        <v>31</v>
      </c>
      <c r="B12" s="2235"/>
      <c r="C12" s="18">
        <f t="shared" ref="C12:Y12" si="12">SUM(C6:C11)</f>
        <v>121233</v>
      </c>
      <c r="D12" s="18">
        <f t="shared" si="12"/>
        <v>117899.0925</v>
      </c>
      <c r="E12" s="18">
        <f t="shared" si="12"/>
        <v>110</v>
      </c>
      <c r="F12" s="18">
        <f t="shared" si="12"/>
        <v>7380.9999999999991</v>
      </c>
      <c r="G12" s="18">
        <f t="shared" si="12"/>
        <v>555</v>
      </c>
      <c r="H12" s="18">
        <f t="shared" si="12"/>
        <v>15651</v>
      </c>
      <c r="I12" s="18">
        <f t="shared" si="12"/>
        <v>890</v>
      </c>
      <c r="J12" s="18">
        <f t="shared" si="12"/>
        <v>16465</v>
      </c>
      <c r="K12" s="18">
        <f t="shared" si="12"/>
        <v>0</v>
      </c>
      <c r="L12" s="18">
        <f t="shared" si="12"/>
        <v>0</v>
      </c>
      <c r="M12" s="18">
        <f t="shared" si="12"/>
        <v>0</v>
      </c>
      <c r="N12" s="23">
        <f t="shared" si="12"/>
        <v>0</v>
      </c>
      <c r="O12" s="18">
        <f t="shared" si="12"/>
        <v>0</v>
      </c>
      <c r="P12" s="23">
        <f t="shared" si="12"/>
        <v>0</v>
      </c>
      <c r="Q12" s="23">
        <f t="shared" si="12"/>
        <v>0</v>
      </c>
      <c r="R12" s="23">
        <f>SUM(R6:R11)</f>
        <v>0</v>
      </c>
      <c r="S12" s="18">
        <f t="shared" si="12"/>
        <v>44</v>
      </c>
      <c r="T12" s="18">
        <f t="shared" si="12"/>
        <v>10604</v>
      </c>
      <c r="U12" s="18">
        <f t="shared" si="12"/>
        <v>0</v>
      </c>
      <c r="V12" s="18">
        <f t="shared" si="12"/>
        <v>0</v>
      </c>
      <c r="W12" s="18">
        <f t="shared" si="12"/>
        <v>0</v>
      </c>
      <c r="X12" s="18">
        <f t="shared" si="12"/>
        <v>0</v>
      </c>
      <c r="Y12" s="18">
        <f t="shared" si="12"/>
        <v>168000.0925</v>
      </c>
    </row>
    <row r="14" spans="1:25" ht="41.25" customHeight="1" x14ac:dyDescent="0.25">
      <c r="A14" s="30" t="s">
        <v>32</v>
      </c>
      <c r="B14" s="2236" t="s">
        <v>27</v>
      </c>
      <c r="C14" s="2236"/>
      <c r="D14" s="30" t="s">
        <v>333</v>
      </c>
      <c r="E14" s="30" t="s">
        <v>65</v>
      </c>
      <c r="F14" s="30" t="s">
        <v>34</v>
      </c>
      <c r="G14" s="30" t="s">
        <v>13</v>
      </c>
      <c r="H14" s="469" t="s">
        <v>173</v>
      </c>
      <c r="I14" s="30" t="s">
        <v>17</v>
      </c>
      <c r="J14" s="578" t="s">
        <v>174</v>
      </c>
      <c r="K14" s="30" t="s">
        <v>36</v>
      </c>
      <c r="L14" s="30" t="s">
        <v>175</v>
      </c>
      <c r="M14" s="30" t="s">
        <v>69</v>
      </c>
      <c r="N14" s="30" t="s">
        <v>70</v>
      </c>
      <c r="O14" s="578" t="s">
        <v>114</v>
      </c>
      <c r="P14" s="578" t="s">
        <v>339</v>
      </c>
      <c r="Q14" s="2272"/>
      <c r="R14" s="2272"/>
      <c r="S14" s="578"/>
      <c r="T14" s="2235" t="s">
        <v>46</v>
      </c>
      <c r="U14" s="572" t="s">
        <v>176</v>
      </c>
      <c r="V14" s="2260">
        <v>43520</v>
      </c>
      <c r="W14" s="2268"/>
      <c r="X14" s="2261"/>
    </row>
    <row r="15" spans="1:25" ht="22.5" customHeight="1" x14ac:dyDescent="0.25">
      <c r="A15" s="100" t="s">
        <v>38</v>
      </c>
      <c r="B15" s="2260">
        <v>294102</v>
      </c>
      <c r="C15" s="2261"/>
      <c r="D15" s="575">
        <v>1250</v>
      </c>
      <c r="E15" s="575">
        <v>5405</v>
      </c>
      <c r="F15" s="575">
        <v>13110</v>
      </c>
      <c r="G15" s="575">
        <v>0</v>
      </c>
      <c r="H15" s="575">
        <v>798</v>
      </c>
      <c r="I15" s="575">
        <v>5</v>
      </c>
      <c r="J15" s="575">
        <v>72</v>
      </c>
      <c r="K15" s="575">
        <v>62</v>
      </c>
      <c r="L15" s="575">
        <v>1031</v>
      </c>
      <c r="M15" s="575">
        <v>0</v>
      </c>
      <c r="N15" s="575">
        <v>100</v>
      </c>
      <c r="O15" s="575">
        <v>0</v>
      </c>
      <c r="P15" s="575">
        <v>47</v>
      </c>
      <c r="Q15" s="2262"/>
      <c r="R15" s="2262"/>
      <c r="S15" s="572">
        <v>0</v>
      </c>
      <c r="T15" s="2235"/>
      <c r="U15" s="572" t="s">
        <v>64</v>
      </c>
      <c r="V15" s="2262">
        <v>10682</v>
      </c>
      <c r="W15" s="2262"/>
      <c r="X15" s="2262"/>
    </row>
    <row r="16" spans="1:25" ht="24.75" customHeight="1" x14ac:dyDescent="0.25">
      <c r="A16" s="100" t="s">
        <v>39</v>
      </c>
      <c r="B16" s="2260">
        <v>119480</v>
      </c>
      <c r="C16" s="2261"/>
      <c r="D16" s="575"/>
      <c r="E16" s="575"/>
      <c r="F16" s="575"/>
      <c r="G16" s="575"/>
      <c r="H16" s="575"/>
      <c r="I16" s="575"/>
      <c r="J16" s="575">
        <v>50</v>
      </c>
      <c r="K16" s="575">
        <v>25</v>
      </c>
      <c r="L16" s="575">
        <v>48</v>
      </c>
      <c r="M16" s="575"/>
      <c r="N16" s="575"/>
      <c r="O16" s="575"/>
      <c r="P16" s="575"/>
      <c r="Q16" s="2225"/>
      <c r="R16" s="2225"/>
      <c r="S16" s="575"/>
      <c r="T16" s="2254" t="s">
        <v>55</v>
      </c>
      <c r="U16" s="2254"/>
      <c r="V16" s="2267">
        <f>Y12</f>
        <v>168000.0925</v>
      </c>
      <c r="W16" s="2267"/>
      <c r="X16" s="2262"/>
    </row>
    <row r="17" spans="1:25" ht="28.5" customHeight="1" x14ac:dyDescent="0.25">
      <c r="A17" s="101" t="s">
        <v>44</v>
      </c>
      <c r="B17" s="2260"/>
      <c r="C17" s="2261"/>
      <c r="D17" s="575"/>
      <c r="E17" s="575"/>
      <c r="F17" s="575"/>
      <c r="G17" s="575"/>
      <c r="H17" s="575"/>
      <c r="I17" s="575"/>
      <c r="J17" s="575"/>
      <c r="K17" s="575"/>
      <c r="L17" s="575"/>
      <c r="M17" s="575"/>
      <c r="N17" s="575"/>
      <c r="O17" s="575"/>
      <c r="P17" s="575"/>
      <c r="Q17" s="2225"/>
      <c r="R17" s="2225"/>
      <c r="S17" s="571"/>
      <c r="T17" s="2294"/>
      <c r="U17" s="2295"/>
      <c r="V17" s="2296"/>
      <c r="W17" s="2296"/>
      <c r="X17" s="2296"/>
    </row>
    <row r="18" spans="1:25" ht="27" customHeight="1" x14ac:dyDescent="0.25">
      <c r="A18" s="100" t="s">
        <v>40</v>
      </c>
      <c r="B18" s="2264">
        <f>C12</f>
        <v>121233</v>
      </c>
      <c r="C18" s="2261"/>
      <c r="D18" s="577">
        <f>E12</f>
        <v>110</v>
      </c>
      <c r="E18" s="577">
        <f>G12</f>
        <v>555</v>
      </c>
      <c r="F18" s="577">
        <f>I12</f>
        <v>890</v>
      </c>
      <c r="G18" s="577">
        <f>K12</f>
        <v>0</v>
      </c>
      <c r="H18" s="575">
        <v>142</v>
      </c>
      <c r="I18" s="577">
        <f>U12</f>
        <v>0</v>
      </c>
      <c r="J18" s="575"/>
      <c r="K18" s="577">
        <f>W12</f>
        <v>0</v>
      </c>
      <c r="L18" s="575"/>
      <c r="M18" s="577">
        <f>M12</f>
        <v>0</v>
      </c>
      <c r="N18" s="577">
        <f>O12</f>
        <v>0</v>
      </c>
      <c r="O18" s="576">
        <f>Q12</f>
        <v>0</v>
      </c>
      <c r="P18" s="575"/>
      <c r="Q18" s="2262"/>
      <c r="R18" s="2262"/>
      <c r="S18" s="572"/>
      <c r="T18" s="2254" t="s">
        <v>57</v>
      </c>
      <c r="U18" s="2254"/>
      <c r="V18" s="2262">
        <v>12376</v>
      </c>
      <c r="W18" s="2262"/>
      <c r="X18" s="2262"/>
      <c r="Y18" s="2269"/>
    </row>
    <row r="19" spans="1:25" ht="25.5" customHeight="1" x14ac:dyDescent="0.25">
      <c r="A19" s="100" t="s">
        <v>41</v>
      </c>
      <c r="B19" s="2260">
        <f>B15+B16+B17-B18</f>
        <v>292349</v>
      </c>
      <c r="C19" s="2261"/>
      <c r="D19" s="575">
        <f>D15+D16+D17-D18</f>
        <v>1140</v>
      </c>
      <c r="E19" s="575">
        <f t="shared" ref="E19:N19" si="13">E15+E16+E17-E18</f>
        <v>4850</v>
      </c>
      <c r="F19" s="575">
        <f t="shared" si="13"/>
        <v>12220</v>
      </c>
      <c r="G19" s="575">
        <f t="shared" si="13"/>
        <v>0</v>
      </c>
      <c r="H19" s="575">
        <f t="shared" si="13"/>
        <v>656</v>
      </c>
      <c r="I19" s="575">
        <f t="shared" si="13"/>
        <v>5</v>
      </c>
      <c r="J19" s="575">
        <f t="shared" si="13"/>
        <v>122</v>
      </c>
      <c r="K19" s="575">
        <f t="shared" si="13"/>
        <v>87</v>
      </c>
      <c r="L19" s="575">
        <f t="shared" si="13"/>
        <v>1079</v>
      </c>
      <c r="M19" s="575">
        <f t="shared" si="13"/>
        <v>0</v>
      </c>
      <c r="N19" s="575">
        <f t="shared" si="13"/>
        <v>100</v>
      </c>
      <c r="O19" s="575">
        <f>O15+O16+O17-O18</f>
        <v>0</v>
      </c>
      <c r="P19" s="575">
        <f>P15+P16+P17-P18</f>
        <v>47</v>
      </c>
      <c r="Q19" s="2260">
        <f t="shared" ref="Q19" si="14">Q15+Q16+Q17-Q18</f>
        <v>0</v>
      </c>
      <c r="R19" s="2261"/>
      <c r="S19" s="572">
        <f>S15+S16-S17-S18</f>
        <v>0</v>
      </c>
      <c r="T19" s="2256" t="s">
        <v>48</v>
      </c>
      <c r="U19" s="49" t="s">
        <v>58</v>
      </c>
      <c r="V19" s="2262">
        <v>60000</v>
      </c>
      <c r="W19" s="2262"/>
      <c r="X19" s="2262"/>
      <c r="Y19" s="2269"/>
    </row>
    <row r="20" spans="1:25" ht="23.25" customHeight="1" x14ac:dyDescent="0.25">
      <c r="A20" s="289" t="s">
        <v>187</v>
      </c>
      <c r="B20" s="2286">
        <f>B19*0.9625</f>
        <v>281385.91250000003</v>
      </c>
      <c r="C20" s="2287"/>
      <c r="D20" s="290">
        <f>D19*66.41</f>
        <v>75707.399999999994</v>
      </c>
      <c r="E20" s="290">
        <f>28.2*E19</f>
        <v>136770</v>
      </c>
      <c r="F20" s="290">
        <f>18.31*F19</f>
        <v>223748.19999999998</v>
      </c>
      <c r="G20" s="290">
        <f>19.3*G19</f>
        <v>0</v>
      </c>
      <c r="H20" s="290">
        <f>241*H19</f>
        <v>158096</v>
      </c>
      <c r="I20" s="290">
        <f>223*I19</f>
        <v>1115</v>
      </c>
      <c r="J20" s="290">
        <f>241*J19</f>
        <v>29402</v>
      </c>
      <c r="K20" s="290">
        <f>K19*100</f>
        <v>8700</v>
      </c>
      <c r="L20" s="290">
        <f>241*L19</f>
        <v>260039</v>
      </c>
      <c r="M20" s="290">
        <f>9.65*M19</f>
        <v>0</v>
      </c>
      <c r="N20" s="290">
        <f>N19*48.2</f>
        <v>4820</v>
      </c>
      <c r="O20" s="290">
        <f>241*O19</f>
        <v>0</v>
      </c>
      <c r="P20" s="290">
        <f>241*P19</f>
        <v>11327</v>
      </c>
      <c r="Q20" s="2286">
        <f>241*Q19</f>
        <v>0</v>
      </c>
      <c r="R20" s="2287"/>
      <c r="S20" s="290">
        <f>241*S19</f>
        <v>0</v>
      </c>
      <c r="T20" s="2257"/>
      <c r="U20" s="49" t="s">
        <v>59</v>
      </c>
      <c r="V20" s="2262"/>
      <c r="W20" s="2262"/>
      <c r="X20" s="2262"/>
      <c r="Y20" s="2269"/>
    </row>
    <row r="21" spans="1:25" ht="32.25" customHeight="1" x14ac:dyDescent="0.25">
      <c r="A21" s="291" t="s">
        <v>186</v>
      </c>
      <c r="B21" s="2293">
        <f>SUM(B20:S20)</f>
        <v>1191110.5125</v>
      </c>
      <c r="C21" s="2293"/>
      <c r="O21" s="579"/>
      <c r="P21" s="579"/>
      <c r="Q21" s="579"/>
      <c r="R21" s="579"/>
      <c r="T21" s="2294" t="s">
        <v>356</v>
      </c>
      <c r="U21" s="2295"/>
      <c r="V21" s="2297">
        <v>91090</v>
      </c>
      <c r="W21" s="2298"/>
      <c r="X21" s="2299"/>
      <c r="Y21" s="2269"/>
    </row>
    <row r="22" spans="1:25" ht="35.25" customHeight="1" x14ac:dyDescent="0.25">
      <c r="A22" s="15"/>
      <c r="B22" s="2288" t="s">
        <v>49</v>
      </c>
      <c r="C22" s="2291">
        <v>899984</v>
      </c>
      <c r="D22" s="2291">
        <v>60000</v>
      </c>
      <c r="E22" s="2291">
        <v>117500</v>
      </c>
      <c r="F22" s="2291">
        <f>C22-D22+E22</f>
        <v>957484</v>
      </c>
      <c r="G22" s="579"/>
      <c r="Q22" s="579"/>
      <c r="R22" s="579"/>
      <c r="T22" s="2251" t="s">
        <v>83</v>
      </c>
      <c r="U22" s="50" t="s">
        <v>60</v>
      </c>
      <c r="V22" s="2262">
        <v>172910</v>
      </c>
      <c r="W22" s="2262"/>
      <c r="X22" s="2262"/>
      <c r="Y22" s="2269"/>
    </row>
    <row r="23" spans="1:25" ht="39.75" customHeight="1" x14ac:dyDescent="0.25">
      <c r="A23" s="579"/>
      <c r="B23" s="2289"/>
      <c r="C23" s="2292"/>
      <c r="D23" s="2292"/>
      <c r="E23" s="2292"/>
      <c r="F23" s="2292"/>
      <c r="G23" s="579"/>
      <c r="Q23" s="579"/>
      <c r="R23" s="579"/>
      <c r="T23" s="2252"/>
      <c r="U23" s="50" t="s">
        <v>61</v>
      </c>
      <c r="V23" s="2262">
        <v>151090</v>
      </c>
      <c r="W23" s="2262"/>
      <c r="X23" s="2262"/>
      <c r="Y23" s="2269"/>
    </row>
    <row r="24" spans="1:25" ht="48" customHeight="1" x14ac:dyDescent="0.25">
      <c r="A24" s="579"/>
      <c r="B24" s="2290"/>
      <c r="C24" s="290" t="s">
        <v>46</v>
      </c>
      <c r="D24" s="290" t="s">
        <v>50</v>
      </c>
      <c r="E24" s="290" t="s">
        <v>51</v>
      </c>
      <c r="F24" s="290" t="s">
        <v>52</v>
      </c>
      <c r="G24" s="579"/>
      <c r="Q24" s="579"/>
      <c r="R24" s="579"/>
      <c r="T24" s="2235" t="s">
        <v>47</v>
      </c>
      <c r="U24" s="51" t="s">
        <v>62</v>
      </c>
      <c r="V24" s="2263">
        <f>V14+V16+V17-V18-V19-V20-V22+V23-V21</f>
        <v>26234.092499999999</v>
      </c>
      <c r="W24" s="2263"/>
      <c r="X24" s="2263"/>
      <c r="Y24" s="2269"/>
    </row>
    <row r="25" spans="1:25" ht="40.5" customHeight="1" x14ac:dyDescent="0.25">
      <c r="T25" s="2235"/>
      <c r="U25" s="51" t="s">
        <v>63</v>
      </c>
      <c r="V25" s="2262">
        <f>V15+V22-V23</f>
        <v>32502</v>
      </c>
      <c r="W25" s="2262"/>
      <c r="X25" s="2262"/>
    </row>
    <row r="26" spans="1:25" ht="36" customHeight="1" x14ac:dyDescent="0.25">
      <c r="K26" s="314"/>
    </row>
    <row r="28" spans="1:25" x14ac:dyDescent="0.25">
      <c r="J28" s="14" t="s">
        <v>139</v>
      </c>
    </row>
    <row r="32" spans="1:25" x14ac:dyDescent="0.25">
      <c r="I32" s="2280"/>
      <c r="J32" s="2280"/>
      <c r="K32" s="2280"/>
      <c r="L32" s="2280"/>
    </row>
    <row r="33" spans="9:12" x14ac:dyDescent="0.25">
      <c r="I33" s="579"/>
      <c r="J33" s="579"/>
      <c r="K33" s="2280"/>
      <c r="L33" s="2280"/>
    </row>
  </sheetData>
  <mergeCells count="62">
    <mergeCell ref="A1:Y1"/>
    <mergeCell ref="A2:Y2"/>
    <mergeCell ref="T3:Y3"/>
    <mergeCell ref="A4:A5"/>
    <mergeCell ref="B4:B5"/>
    <mergeCell ref="C4:D4"/>
    <mergeCell ref="E4:F4"/>
    <mergeCell ref="G4:H4"/>
    <mergeCell ref="I4:J4"/>
    <mergeCell ref="K4:L4"/>
    <mergeCell ref="Y4:Y5"/>
    <mergeCell ref="M4:N4"/>
    <mergeCell ref="O4:P4"/>
    <mergeCell ref="Q4:R4"/>
    <mergeCell ref="S4:T4"/>
    <mergeCell ref="U4:V4"/>
    <mergeCell ref="W4:X4"/>
    <mergeCell ref="B16:C16"/>
    <mergeCell ref="Q16:R16"/>
    <mergeCell ref="T16:U16"/>
    <mergeCell ref="V16:X16"/>
    <mergeCell ref="A12:B12"/>
    <mergeCell ref="B14:C14"/>
    <mergeCell ref="Q14:R14"/>
    <mergeCell ref="T14:T15"/>
    <mergeCell ref="V14:X14"/>
    <mergeCell ref="B15:C15"/>
    <mergeCell ref="Q15:R15"/>
    <mergeCell ref="V15:X15"/>
    <mergeCell ref="B17:C17"/>
    <mergeCell ref="Q17:R17"/>
    <mergeCell ref="T17:U17"/>
    <mergeCell ref="V17:X17"/>
    <mergeCell ref="B18:C18"/>
    <mergeCell ref="Q18:R18"/>
    <mergeCell ref="T18:U18"/>
    <mergeCell ref="V18:X18"/>
    <mergeCell ref="Y18:Y24"/>
    <mergeCell ref="B19:C19"/>
    <mergeCell ref="Q19:R19"/>
    <mergeCell ref="T19:T20"/>
    <mergeCell ref="V19:X19"/>
    <mergeCell ref="B20:C20"/>
    <mergeCell ref="B22:B24"/>
    <mergeCell ref="C22:C23"/>
    <mergeCell ref="D22:D23"/>
    <mergeCell ref="E22:E23"/>
    <mergeCell ref="F22:F23"/>
    <mergeCell ref="Q20:R20"/>
    <mergeCell ref="V20:X20"/>
    <mergeCell ref="B21:C21"/>
    <mergeCell ref="T21:U21"/>
    <mergeCell ref="V21:X21"/>
    <mergeCell ref="I32:J32"/>
    <mergeCell ref="K32:L32"/>
    <mergeCell ref="K33:L33"/>
    <mergeCell ref="T22:T23"/>
    <mergeCell ref="V22:X22"/>
    <mergeCell ref="V23:X23"/>
    <mergeCell ref="T24:T25"/>
    <mergeCell ref="V24:X24"/>
    <mergeCell ref="V25:X25"/>
  </mergeCells>
  <pageMargins left="0.15748031496063" right="0.15748031496063" top="0" bottom="0" header="0" footer="0"/>
  <pageSetup paperSize="9" scale="47" orientation="landscape" r:id="rId1"/>
</worksheet>
</file>

<file path=xl/worksheets/sheet14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73B9289-A019-4766-B8D8-2093DC1A8A5E}">
  <sheetPr>
    <pageSetUpPr fitToPage="1"/>
  </sheetPr>
  <dimension ref="A1:Y33"/>
  <sheetViews>
    <sheetView topLeftCell="D1" zoomScale="70" zoomScaleNormal="70" zoomScaleSheetLayoutView="100" workbookViewId="0">
      <selection activeCell="J27" sqref="J27"/>
    </sheetView>
  </sheetViews>
  <sheetFormatPr defaultColWidth="9.140625" defaultRowHeight="15" x14ac:dyDescent="0.25"/>
  <cols>
    <col min="1" max="1" width="18.28515625" style="14" customWidth="1"/>
    <col min="2" max="2" width="10.7109375" style="14" customWidth="1"/>
    <col min="3" max="3" width="12.28515625" style="14" customWidth="1"/>
    <col min="4" max="4" width="13.140625" style="14" bestFit="1" customWidth="1"/>
    <col min="5" max="5" width="12" style="14" customWidth="1"/>
    <col min="6" max="6" width="12.5703125" style="14" bestFit="1" customWidth="1"/>
    <col min="7" max="7" width="9.28515625" style="14" bestFit="1" customWidth="1"/>
    <col min="8" max="8" width="10.140625" style="14" bestFit="1" customWidth="1"/>
    <col min="9" max="9" width="10.5703125" style="14" bestFit="1" customWidth="1"/>
    <col min="10" max="10" width="10.5703125" style="14" customWidth="1"/>
    <col min="11" max="11" width="10.28515625" style="14" bestFit="1" customWidth="1"/>
    <col min="12" max="12" width="10.42578125" style="14" bestFit="1" customWidth="1"/>
    <col min="13" max="13" width="9.85546875" style="14" bestFit="1" customWidth="1"/>
    <col min="14" max="14" width="10.140625" style="14" bestFit="1" customWidth="1"/>
    <col min="15" max="15" width="9" style="14" customWidth="1"/>
    <col min="16" max="16" width="12.85546875" style="14" bestFit="1" customWidth="1"/>
    <col min="17" max="18" width="9.42578125" style="14" customWidth="1"/>
    <col min="19" max="19" width="13.7109375" style="14" customWidth="1"/>
    <col min="20" max="20" width="12.140625" style="14" customWidth="1"/>
    <col min="21" max="21" width="19.5703125" style="14" bestFit="1" customWidth="1"/>
    <col min="22" max="22" width="9.85546875" style="14" customWidth="1"/>
    <col min="23" max="23" width="10.140625" style="14" bestFit="1" customWidth="1"/>
    <col min="24" max="24" width="10.28515625" style="14" customWidth="1"/>
    <col min="25" max="25" width="28" style="14" customWidth="1"/>
    <col min="26" max="16384" width="9.140625" style="14"/>
  </cols>
  <sheetData>
    <row r="1" spans="1:25" ht="46.15" customHeight="1" x14ac:dyDescent="0.25">
      <c r="A1" s="2240" t="s">
        <v>148</v>
      </c>
      <c r="B1" s="2240"/>
      <c r="C1" s="2240"/>
      <c r="D1" s="2240"/>
      <c r="E1" s="2240"/>
      <c r="F1" s="2240"/>
      <c r="G1" s="2240"/>
      <c r="H1" s="2240"/>
      <c r="I1" s="2240"/>
      <c r="J1" s="2240"/>
      <c r="K1" s="2240"/>
      <c r="L1" s="2240"/>
      <c r="M1" s="2240"/>
      <c r="N1" s="2240"/>
      <c r="O1" s="2240"/>
      <c r="P1" s="2240"/>
      <c r="Q1" s="2240"/>
      <c r="R1" s="2240"/>
      <c r="S1" s="2240"/>
      <c r="T1" s="2240"/>
      <c r="U1" s="2240"/>
      <c r="V1" s="2240"/>
      <c r="W1" s="2240"/>
      <c r="X1" s="2240"/>
      <c r="Y1" s="2240"/>
    </row>
    <row r="2" spans="1:25" ht="21.6" customHeight="1" x14ac:dyDescent="0.25">
      <c r="A2" s="2241" t="s">
        <v>77</v>
      </c>
      <c r="B2" s="2241"/>
      <c r="C2" s="2241"/>
      <c r="D2" s="2241"/>
      <c r="E2" s="2241"/>
      <c r="F2" s="2241"/>
      <c r="G2" s="2241"/>
      <c r="H2" s="2241"/>
      <c r="I2" s="2241"/>
      <c r="J2" s="2241"/>
      <c r="K2" s="2241"/>
      <c r="L2" s="2241"/>
      <c r="M2" s="2241"/>
      <c r="N2" s="2241"/>
      <c r="O2" s="2241"/>
      <c r="P2" s="2241"/>
      <c r="Q2" s="2241"/>
      <c r="R2" s="2241"/>
      <c r="S2" s="2241"/>
      <c r="T2" s="2241"/>
      <c r="U2" s="2241"/>
      <c r="V2" s="2241"/>
      <c r="W2" s="2241"/>
      <c r="X2" s="2241"/>
      <c r="Y2" s="2241"/>
    </row>
    <row r="3" spans="1:25" ht="21" customHeight="1" x14ac:dyDescent="0.25">
      <c r="A3" s="574"/>
      <c r="B3" s="574"/>
      <c r="C3" s="574"/>
      <c r="D3" s="574"/>
      <c r="E3" s="574"/>
      <c r="F3" s="574"/>
      <c r="G3" s="574"/>
      <c r="H3" s="574"/>
      <c r="I3" s="574"/>
      <c r="J3" s="574"/>
      <c r="K3" s="574"/>
      <c r="L3" s="574"/>
      <c r="M3" s="574"/>
      <c r="N3" s="574"/>
      <c r="O3" s="574"/>
      <c r="P3" s="574"/>
      <c r="Q3" s="574"/>
      <c r="R3" s="574"/>
      <c r="S3" s="574"/>
      <c r="T3" s="2242" t="s">
        <v>358</v>
      </c>
      <c r="U3" s="2242"/>
      <c r="V3" s="2242"/>
      <c r="W3" s="2242"/>
      <c r="X3" s="2242"/>
      <c r="Y3" s="2242"/>
    </row>
    <row r="4" spans="1:25" s="574" customFormat="1" ht="18" customHeight="1" x14ac:dyDescent="0.25">
      <c r="A4" s="2243" t="s">
        <v>25</v>
      </c>
      <c r="B4" s="2243" t="s">
        <v>26</v>
      </c>
      <c r="C4" s="2244" t="s">
        <v>27</v>
      </c>
      <c r="D4" s="2244"/>
      <c r="E4" s="2244" t="s">
        <v>342</v>
      </c>
      <c r="F4" s="2244"/>
      <c r="G4" s="2244" t="s">
        <v>65</v>
      </c>
      <c r="H4" s="2244"/>
      <c r="I4" s="2244" t="s">
        <v>29</v>
      </c>
      <c r="J4" s="2244"/>
      <c r="K4" s="2245" t="s">
        <v>13</v>
      </c>
      <c r="L4" s="2246"/>
      <c r="M4" s="2245" t="s">
        <v>67</v>
      </c>
      <c r="N4" s="2246"/>
      <c r="O4" s="2245" t="s">
        <v>68</v>
      </c>
      <c r="P4" s="2246"/>
      <c r="Q4" s="2245" t="s">
        <v>114</v>
      </c>
      <c r="R4" s="2246"/>
      <c r="S4" s="2244" t="s">
        <v>35</v>
      </c>
      <c r="T4" s="2244"/>
      <c r="U4" s="2245" t="s">
        <v>17</v>
      </c>
      <c r="V4" s="2246"/>
      <c r="W4" s="2247" t="s">
        <v>36</v>
      </c>
      <c r="X4" s="2248"/>
      <c r="Y4" s="2238" t="s">
        <v>30</v>
      </c>
    </row>
    <row r="5" spans="1:25" s="574" customFormat="1" ht="25.5" customHeight="1" x14ac:dyDescent="0.25">
      <c r="A5" s="2243"/>
      <c r="B5" s="2243"/>
      <c r="C5" s="573" t="s">
        <v>42</v>
      </c>
      <c r="D5" s="573" t="s">
        <v>43</v>
      </c>
      <c r="E5" s="573" t="s">
        <v>42</v>
      </c>
      <c r="F5" s="573" t="s">
        <v>43</v>
      </c>
      <c r="G5" s="573" t="s">
        <v>42</v>
      </c>
      <c r="H5" s="573" t="s">
        <v>43</v>
      </c>
      <c r="I5" s="573" t="s">
        <v>42</v>
      </c>
      <c r="J5" s="573" t="s">
        <v>43</v>
      </c>
      <c r="K5" s="573" t="s">
        <v>42</v>
      </c>
      <c r="L5" s="573" t="s">
        <v>43</v>
      </c>
      <c r="M5" s="573" t="s">
        <v>42</v>
      </c>
      <c r="N5" s="573" t="s">
        <v>43</v>
      </c>
      <c r="O5" s="573" t="s">
        <v>42</v>
      </c>
      <c r="P5" s="573" t="s">
        <v>43</v>
      </c>
      <c r="Q5" s="573" t="s">
        <v>42</v>
      </c>
      <c r="R5" s="573" t="s">
        <v>43</v>
      </c>
      <c r="S5" s="33" t="s">
        <v>42</v>
      </c>
      <c r="T5" s="33" t="s">
        <v>43</v>
      </c>
      <c r="U5" s="30" t="s">
        <v>42</v>
      </c>
      <c r="V5" s="30" t="s">
        <v>43</v>
      </c>
      <c r="W5" s="30" t="s">
        <v>42</v>
      </c>
      <c r="X5" s="30" t="s">
        <v>43</v>
      </c>
      <c r="Y5" s="2239"/>
    </row>
    <row r="6" spans="1:25" ht="34.5" customHeight="1" x14ac:dyDescent="0.25">
      <c r="A6" s="12">
        <v>1409935200</v>
      </c>
      <c r="B6" s="572" t="s">
        <v>71</v>
      </c>
      <c r="C6" s="570">
        <v>13228</v>
      </c>
      <c r="D6" s="569">
        <f>0.9725*C6</f>
        <v>12864.23</v>
      </c>
      <c r="E6" s="570"/>
      <c r="F6" s="570">
        <f>67.1*E6</f>
        <v>0</v>
      </c>
      <c r="G6" s="570"/>
      <c r="H6" s="570">
        <f>28.2*G6</f>
        <v>0</v>
      </c>
      <c r="I6" s="570"/>
      <c r="J6" s="570">
        <f>18.5*I6</f>
        <v>0</v>
      </c>
      <c r="K6" s="570"/>
      <c r="L6" s="570">
        <f>19.5*K6</f>
        <v>0</v>
      </c>
      <c r="M6" s="570"/>
      <c r="N6" s="569">
        <f>M6*9.75</f>
        <v>0</v>
      </c>
      <c r="O6" s="570"/>
      <c r="P6" s="569">
        <f>O6*48.62</f>
        <v>0</v>
      </c>
      <c r="Q6" s="569"/>
      <c r="R6" s="569">
        <f>241*Q6</f>
        <v>0</v>
      </c>
      <c r="S6" s="570">
        <v>10</v>
      </c>
      <c r="T6" s="570">
        <f>241*S6</f>
        <v>2410</v>
      </c>
      <c r="U6" s="570"/>
      <c r="V6" s="570">
        <f>232*U6</f>
        <v>0</v>
      </c>
      <c r="W6" s="570"/>
      <c r="X6" s="19">
        <f>W6*100</f>
        <v>0</v>
      </c>
      <c r="Y6" s="89">
        <f t="shared" ref="Y6:Y11" si="0">D6+F6+H6+J6+L6+N6+P6+R6+T6+V6+X6</f>
        <v>15274.23</v>
      </c>
    </row>
    <row r="7" spans="1:25" ht="31.5" customHeight="1" x14ac:dyDescent="0.25">
      <c r="A7" s="12">
        <v>1984225578</v>
      </c>
      <c r="B7" s="572" t="s">
        <v>72</v>
      </c>
      <c r="C7" s="570">
        <v>19266</v>
      </c>
      <c r="D7" s="569">
        <f t="shared" ref="D7:D11" si="1">0.9725*C7</f>
        <v>18736.185000000001</v>
      </c>
      <c r="E7" s="570"/>
      <c r="F7" s="570">
        <f t="shared" ref="F7:F11" si="2">67.1*E7</f>
        <v>0</v>
      </c>
      <c r="G7" s="570"/>
      <c r="H7" s="570">
        <f t="shared" ref="H7:H11" si="3">28.2*G7</f>
        <v>0</v>
      </c>
      <c r="I7" s="570"/>
      <c r="J7" s="570">
        <f t="shared" ref="J7:J11" si="4">18.5*I7</f>
        <v>0</v>
      </c>
      <c r="K7" s="570"/>
      <c r="L7" s="570">
        <f t="shared" ref="L7:L11" si="5">19.5*K7</f>
        <v>0</v>
      </c>
      <c r="M7" s="570"/>
      <c r="N7" s="569">
        <f t="shared" ref="N7:N11" si="6">M7*9.75</f>
        <v>0</v>
      </c>
      <c r="O7" s="570"/>
      <c r="P7" s="569">
        <f t="shared" ref="P7:P11" si="7">O7*48.62</f>
        <v>0</v>
      </c>
      <c r="Q7" s="569"/>
      <c r="R7" s="569">
        <f t="shared" ref="R7:R11" si="8">241*Q7</f>
        <v>0</v>
      </c>
      <c r="S7" s="570"/>
      <c r="T7" s="570">
        <f t="shared" ref="T7:T11" si="9">241*S7</f>
        <v>0</v>
      </c>
      <c r="U7" s="570"/>
      <c r="V7" s="570">
        <f t="shared" ref="V7:V11" si="10">232*U7</f>
        <v>0</v>
      </c>
      <c r="W7" s="570"/>
      <c r="X7" s="19">
        <f t="shared" ref="X7:X11" si="11">W7*100</f>
        <v>0</v>
      </c>
      <c r="Y7" s="89">
        <f t="shared" si="0"/>
        <v>18736.185000000001</v>
      </c>
    </row>
    <row r="8" spans="1:25" ht="35.25" customHeight="1" x14ac:dyDescent="0.25">
      <c r="A8" s="12">
        <v>1967020280</v>
      </c>
      <c r="B8" s="572" t="s">
        <v>73</v>
      </c>
      <c r="C8" s="570">
        <v>19172</v>
      </c>
      <c r="D8" s="569">
        <f t="shared" si="1"/>
        <v>18644.77</v>
      </c>
      <c r="E8" s="570"/>
      <c r="F8" s="570">
        <f t="shared" si="2"/>
        <v>0</v>
      </c>
      <c r="G8" s="570"/>
      <c r="H8" s="570">
        <f t="shared" si="3"/>
        <v>0</v>
      </c>
      <c r="I8" s="570"/>
      <c r="J8" s="570">
        <f t="shared" si="4"/>
        <v>0</v>
      </c>
      <c r="K8" s="570"/>
      <c r="L8" s="570">
        <f t="shared" si="5"/>
        <v>0</v>
      </c>
      <c r="M8" s="570"/>
      <c r="N8" s="569">
        <f t="shared" si="6"/>
        <v>0</v>
      </c>
      <c r="O8" s="570"/>
      <c r="P8" s="569">
        <f t="shared" si="7"/>
        <v>0</v>
      </c>
      <c r="Q8" s="569"/>
      <c r="R8" s="569">
        <f t="shared" si="8"/>
        <v>0</v>
      </c>
      <c r="S8" s="570"/>
      <c r="T8" s="570">
        <f t="shared" si="9"/>
        <v>0</v>
      </c>
      <c r="U8" s="570"/>
      <c r="V8" s="570">
        <f t="shared" si="10"/>
        <v>0</v>
      </c>
      <c r="W8" s="570"/>
      <c r="X8" s="19">
        <f t="shared" si="11"/>
        <v>0</v>
      </c>
      <c r="Y8" s="89">
        <f t="shared" si="0"/>
        <v>18644.77</v>
      </c>
    </row>
    <row r="9" spans="1:25" ht="38.25" customHeight="1" x14ac:dyDescent="0.25">
      <c r="A9" s="12">
        <v>1984225580</v>
      </c>
      <c r="B9" s="572" t="s">
        <v>75</v>
      </c>
      <c r="C9" s="570">
        <v>22863</v>
      </c>
      <c r="D9" s="569">
        <f t="shared" si="1"/>
        <v>22234.267500000002</v>
      </c>
      <c r="E9" s="570"/>
      <c r="F9" s="570">
        <f t="shared" si="2"/>
        <v>0</v>
      </c>
      <c r="G9" s="570"/>
      <c r="H9" s="570">
        <f t="shared" si="3"/>
        <v>0</v>
      </c>
      <c r="I9" s="570"/>
      <c r="J9" s="570">
        <f t="shared" si="4"/>
        <v>0</v>
      </c>
      <c r="K9" s="570"/>
      <c r="L9" s="570">
        <f t="shared" si="5"/>
        <v>0</v>
      </c>
      <c r="M9" s="570"/>
      <c r="N9" s="569">
        <f t="shared" si="6"/>
        <v>0</v>
      </c>
      <c r="O9" s="570"/>
      <c r="P9" s="569">
        <f t="shared" si="7"/>
        <v>0</v>
      </c>
      <c r="Q9" s="569"/>
      <c r="R9" s="569">
        <f t="shared" si="8"/>
        <v>0</v>
      </c>
      <c r="S9" s="570"/>
      <c r="T9" s="570">
        <f t="shared" si="9"/>
        <v>0</v>
      </c>
      <c r="U9" s="570"/>
      <c r="V9" s="570">
        <f t="shared" si="10"/>
        <v>0</v>
      </c>
      <c r="W9" s="570"/>
      <c r="X9" s="19">
        <f t="shared" si="11"/>
        <v>0</v>
      </c>
      <c r="Y9" s="89">
        <f t="shared" si="0"/>
        <v>22234.267500000002</v>
      </c>
    </row>
    <row r="10" spans="1:25" ht="35.25" customHeight="1" x14ac:dyDescent="0.25">
      <c r="A10" s="12">
        <v>1409935199</v>
      </c>
      <c r="C10" s="570"/>
      <c r="D10" s="569">
        <f t="shared" si="1"/>
        <v>0</v>
      </c>
      <c r="E10" s="570"/>
      <c r="F10" s="570">
        <f t="shared" si="2"/>
        <v>0</v>
      </c>
      <c r="G10" s="570"/>
      <c r="H10" s="570">
        <f t="shared" si="3"/>
        <v>0</v>
      </c>
      <c r="I10" s="570"/>
      <c r="J10" s="570">
        <f t="shared" si="4"/>
        <v>0</v>
      </c>
      <c r="K10" s="570"/>
      <c r="L10" s="570">
        <f t="shared" si="5"/>
        <v>0</v>
      </c>
      <c r="M10" s="570"/>
      <c r="N10" s="569">
        <f t="shared" si="6"/>
        <v>0</v>
      </c>
      <c r="O10" s="570"/>
      <c r="P10" s="569">
        <f t="shared" si="7"/>
        <v>0</v>
      </c>
      <c r="Q10" s="569"/>
      <c r="R10" s="569">
        <f t="shared" si="8"/>
        <v>0</v>
      </c>
      <c r="S10" s="570"/>
      <c r="T10" s="570">
        <f t="shared" si="9"/>
        <v>0</v>
      </c>
      <c r="U10" s="570"/>
      <c r="V10" s="570">
        <f t="shared" si="10"/>
        <v>0</v>
      </c>
      <c r="W10" s="570"/>
      <c r="X10" s="19">
        <f t="shared" si="11"/>
        <v>0</v>
      </c>
      <c r="Y10" s="89">
        <f t="shared" si="0"/>
        <v>0</v>
      </c>
    </row>
    <row r="11" spans="1:25" ht="37.5" customHeight="1" x14ac:dyDescent="0.25">
      <c r="A11" s="12"/>
      <c r="B11" s="571"/>
      <c r="C11" s="570"/>
      <c r="D11" s="22">
        <f t="shared" si="1"/>
        <v>0</v>
      </c>
      <c r="E11" s="570"/>
      <c r="F11" s="570">
        <f t="shared" si="2"/>
        <v>0</v>
      </c>
      <c r="G11" s="570"/>
      <c r="H11" s="570">
        <f t="shared" si="3"/>
        <v>0</v>
      </c>
      <c r="I11" s="570"/>
      <c r="J11" s="570">
        <f t="shared" si="4"/>
        <v>0</v>
      </c>
      <c r="K11" s="570"/>
      <c r="L11" s="570">
        <f t="shared" si="5"/>
        <v>0</v>
      </c>
      <c r="M11" s="570"/>
      <c r="N11" s="569">
        <f t="shared" si="6"/>
        <v>0</v>
      </c>
      <c r="O11" s="570"/>
      <c r="P11" s="569">
        <f t="shared" si="7"/>
        <v>0</v>
      </c>
      <c r="Q11" s="569"/>
      <c r="R11" s="569">
        <f t="shared" si="8"/>
        <v>0</v>
      </c>
      <c r="S11" s="570"/>
      <c r="T11" s="570">
        <f t="shared" si="9"/>
        <v>0</v>
      </c>
      <c r="U11" s="570"/>
      <c r="V11" s="570">
        <f t="shared" si="10"/>
        <v>0</v>
      </c>
      <c r="W11" s="570"/>
      <c r="X11" s="19">
        <f t="shared" si="11"/>
        <v>0</v>
      </c>
      <c r="Y11" s="20">
        <f t="shared" si="0"/>
        <v>0</v>
      </c>
    </row>
    <row r="12" spans="1:25" ht="29.25" customHeight="1" x14ac:dyDescent="0.25">
      <c r="A12" s="2235" t="s">
        <v>31</v>
      </c>
      <c r="B12" s="2235"/>
      <c r="C12" s="18">
        <f t="shared" ref="C12:Y12" si="12">SUM(C6:C11)</f>
        <v>74529</v>
      </c>
      <c r="D12" s="18">
        <f t="shared" si="12"/>
        <v>72479.452499999999</v>
      </c>
      <c r="E12" s="18">
        <f t="shared" si="12"/>
        <v>0</v>
      </c>
      <c r="F12" s="18">
        <f t="shared" si="12"/>
        <v>0</v>
      </c>
      <c r="G12" s="18">
        <f t="shared" si="12"/>
        <v>0</v>
      </c>
      <c r="H12" s="18">
        <f t="shared" si="12"/>
        <v>0</v>
      </c>
      <c r="I12" s="18">
        <f t="shared" si="12"/>
        <v>0</v>
      </c>
      <c r="J12" s="18">
        <f t="shared" si="12"/>
        <v>0</v>
      </c>
      <c r="K12" s="18">
        <f t="shared" si="12"/>
        <v>0</v>
      </c>
      <c r="L12" s="18">
        <f t="shared" si="12"/>
        <v>0</v>
      </c>
      <c r="M12" s="18">
        <f t="shared" si="12"/>
        <v>0</v>
      </c>
      <c r="N12" s="23">
        <f t="shared" si="12"/>
        <v>0</v>
      </c>
      <c r="O12" s="18">
        <f t="shared" si="12"/>
        <v>0</v>
      </c>
      <c r="P12" s="23">
        <f t="shared" si="12"/>
        <v>0</v>
      </c>
      <c r="Q12" s="23">
        <f t="shared" si="12"/>
        <v>0</v>
      </c>
      <c r="R12" s="23">
        <f>SUM(R6:R11)</f>
        <v>0</v>
      </c>
      <c r="S12" s="18">
        <f t="shared" si="12"/>
        <v>10</v>
      </c>
      <c r="T12" s="18">
        <f t="shared" si="12"/>
        <v>2410</v>
      </c>
      <c r="U12" s="18">
        <f t="shared" si="12"/>
        <v>0</v>
      </c>
      <c r="V12" s="18">
        <f t="shared" si="12"/>
        <v>0</v>
      </c>
      <c r="W12" s="18">
        <f t="shared" si="12"/>
        <v>0</v>
      </c>
      <c r="X12" s="18">
        <f t="shared" si="12"/>
        <v>0</v>
      </c>
      <c r="Y12" s="18">
        <f t="shared" si="12"/>
        <v>74889.452499999999</v>
      </c>
    </row>
    <row r="14" spans="1:25" ht="41.25" customHeight="1" x14ac:dyDescent="0.25">
      <c r="A14" s="30" t="s">
        <v>32</v>
      </c>
      <c r="B14" s="2236" t="s">
        <v>27</v>
      </c>
      <c r="C14" s="2236"/>
      <c r="D14" s="30" t="s">
        <v>333</v>
      </c>
      <c r="E14" s="30" t="s">
        <v>65</v>
      </c>
      <c r="F14" s="30" t="s">
        <v>34</v>
      </c>
      <c r="G14" s="30" t="s">
        <v>13</v>
      </c>
      <c r="H14" s="469" t="s">
        <v>173</v>
      </c>
      <c r="I14" s="30" t="s">
        <v>17</v>
      </c>
      <c r="J14" s="578" t="s">
        <v>174</v>
      </c>
      <c r="K14" s="30" t="s">
        <v>36</v>
      </c>
      <c r="L14" s="30" t="s">
        <v>175</v>
      </c>
      <c r="M14" s="30" t="s">
        <v>69</v>
      </c>
      <c r="N14" s="30" t="s">
        <v>70</v>
      </c>
      <c r="O14" s="578" t="s">
        <v>114</v>
      </c>
      <c r="P14" s="578" t="s">
        <v>339</v>
      </c>
      <c r="Q14" s="2272"/>
      <c r="R14" s="2272"/>
      <c r="S14" s="578"/>
      <c r="T14" s="2235" t="s">
        <v>46</v>
      </c>
      <c r="U14" s="572" t="s">
        <v>176</v>
      </c>
      <c r="V14" s="2260">
        <v>26234</v>
      </c>
      <c r="W14" s="2268"/>
      <c r="X14" s="2261"/>
    </row>
    <row r="15" spans="1:25" ht="22.5" customHeight="1" x14ac:dyDescent="0.25">
      <c r="A15" s="100" t="s">
        <v>38</v>
      </c>
      <c r="B15" s="2260">
        <v>292349</v>
      </c>
      <c r="C15" s="2261"/>
      <c r="D15" s="575">
        <v>1140</v>
      </c>
      <c r="E15" s="575">
        <v>4850</v>
      </c>
      <c r="F15" s="575">
        <v>12220</v>
      </c>
      <c r="G15" s="575">
        <v>0</v>
      </c>
      <c r="H15" s="575">
        <v>656</v>
      </c>
      <c r="I15" s="575">
        <v>5</v>
      </c>
      <c r="J15" s="575">
        <v>122</v>
      </c>
      <c r="K15" s="575">
        <v>87</v>
      </c>
      <c r="L15" s="575">
        <v>1079</v>
      </c>
      <c r="M15" s="575">
        <v>0</v>
      </c>
      <c r="N15" s="575">
        <v>100</v>
      </c>
      <c r="O15" s="575">
        <v>0</v>
      </c>
      <c r="P15" s="575">
        <v>47</v>
      </c>
      <c r="Q15" s="2262"/>
      <c r="R15" s="2262"/>
      <c r="S15" s="572">
        <v>0</v>
      </c>
      <c r="T15" s="2235"/>
      <c r="U15" s="572" t="s">
        <v>64</v>
      </c>
      <c r="V15" s="2262">
        <v>32502</v>
      </c>
      <c r="W15" s="2262"/>
      <c r="X15" s="2262"/>
    </row>
    <row r="16" spans="1:25" ht="24.75" customHeight="1" x14ac:dyDescent="0.25">
      <c r="A16" s="100" t="s">
        <v>39</v>
      </c>
      <c r="B16" s="2260">
        <v>103896</v>
      </c>
      <c r="C16" s="2261"/>
      <c r="D16" s="575"/>
      <c r="E16" s="575"/>
      <c r="F16" s="575"/>
      <c r="G16" s="575"/>
      <c r="H16" s="575"/>
      <c r="I16" s="575"/>
      <c r="J16" s="575"/>
      <c r="K16" s="575"/>
      <c r="L16" s="575">
        <v>140</v>
      </c>
      <c r="M16" s="575"/>
      <c r="N16" s="575"/>
      <c r="O16" s="575"/>
      <c r="P16" s="575"/>
      <c r="Q16" s="2225"/>
      <c r="R16" s="2225"/>
      <c r="S16" s="575"/>
      <c r="T16" s="2254" t="s">
        <v>55</v>
      </c>
      <c r="U16" s="2254"/>
      <c r="V16" s="2267">
        <f>Y12</f>
        <v>74889.452499999999</v>
      </c>
      <c r="W16" s="2267"/>
      <c r="X16" s="2262"/>
    </row>
    <row r="17" spans="1:25" ht="28.5" customHeight="1" x14ac:dyDescent="0.25">
      <c r="A17" s="101" t="s">
        <v>44</v>
      </c>
      <c r="B17" s="2260"/>
      <c r="C17" s="2261"/>
      <c r="D17" s="575"/>
      <c r="E17" s="575"/>
      <c r="F17" s="575"/>
      <c r="G17" s="575"/>
      <c r="H17" s="575"/>
      <c r="I17" s="575"/>
      <c r="J17" s="575"/>
      <c r="K17" s="575"/>
      <c r="L17" s="575"/>
      <c r="M17" s="575"/>
      <c r="N17" s="575"/>
      <c r="O17" s="575"/>
      <c r="P17" s="575"/>
      <c r="Q17" s="2225"/>
      <c r="R17" s="2225"/>
      <c r="S17" s="571"/>
      <c r="T17" s="2294" t="s">
        <v>324</v>
      </c>
      <c r="U17" s="2295"/>
      <c r="V17" s="2296">
        <v>7960</v>
      </c>
      <c r="W17" s="2296"/>
      <c r="X17" s="2296"/>
    </row>
    <row r="18" spans="1:25" ht="27" customHeight="1" x14ac:dyDescent="0.25">
      <c r="A18" s="100" t="s">
        <v>40</v>
      </c>
      <c r="B18" s="2264">
        <f>C12</f>
        <v>74529</v>
      </c>
      <c r="C18" s="2261"/>
      <c r="D18" s="577">
        <f>E12</f>
        <v>0</v>
      </c>
      <c r="E18" s="577">
        <f>G12</f>
        <v>0</v>
      </c>
      <c r="F18" s="577">
        <f>I12</f>
        <v>0</v>
      </c>
      <c r="G18" s="577">
        <f>K12</f>
        <v>0</v>
      </c>
      <c r="H18" s="575">
        <v>150</v>
      </c>
      <c r="I18" s="577">
        <f>U12</f>
        <v>0</v>
      </c>
      <c r="J18" s="575"/>
      <c r="K18" s="577">
        <f>W12</f>
        <v>0</v>
      </c>
      <c r="L18" s="575"/>
      <c r="M18" s="577">
        <f>M12</f>
        <v>0</v>
      </c>
      <c r="N18" s="577">
        <f>O12</f>
        <v>0</v>
      </c>
      <c r="O18" s="576">
        <f>Q12</f>
        <v>0</v>
      </c>
      <c r="P18" s="575"/>
      <c r="Q18" s="2262"/>
      <c r="R18" s="2262"/>
      <c r="S18" s="572"/>
      <c r="T18" s="2254" t="s">
        <v>57</v>
      </c>
      <c r="U18" s="2254"/>
      <c r="V18" s="2262">
        <v>520</v>
      </c>
      <c r="W18" s="2262"/>
      <c r="X18" s="2262"/>
      <c r="Y18" s="2269"/>
    </row>
    <row r="19" spans="1:25" ht="25.5" customHeight="1" x14ac:dyDescent="0.25">
      <c r="A19" s="100" t="s">
        <v>41</v>
      </c>
      <c r="B19" s="2260">
        <f>B15+B16+B17-B18</f>
        <v>321716</v>
      </c>
      <c r="C19" s="2261"/>
      <c r="D19" s="575">
        <f>D15+D16+D17-D18</f>
        <v>1140</v>
      </c>
      <c r="E19" s="575">
        <f t="shared" ref="E19:N19" si="13">E15+E16+E17-E18</f>
        <v>4850</v>
      </c>
      <c r="F19" s="575">
        <f t="shared" si="13"/>
        <v>12220</v>
      </c>
      <c r="G19" s="575">
        <f t="shared" si="13"/>
        <v>0</v>
      </c>
      <c r="H19" s="575">
        <f t="shared" si="13"/>
        <v>506</v>
      </c>
      <c r="I19" s="575">
        <f t="shared" si="13"/>
        <v>5</v>
      </c>
      <c r="J19" s="575">
        <f t="shared" si="13"/>
        <v>122</v>
      </c>
      <c r="K19" s="575">
        <f t="shared" si="13"/>
        <v>87</v>
      </c>
      <c r="L19" s="575">
        <f t="shared" si="13"/>
        <v>1219</v>
      </c>
      <c r="M19" s="575">
        <f t="shared" si="13"/>
        <v>0</v>
      </c>
      <c r="N19" s="575">
        <f t="shared" si="13"/>
        <v>100</v>
      </c>
      <c r="O19" s="575">
        <f>O15+O16+O17-O18</f>
        <v>0</v>
      </c>
      <c r="P19" s="575">
        <f>P15+P16+P17-P18</f>
        <v>47</v>
      </c>
      <c r="Q19" s="2260">
        <f t="shared" ref="Q19" si="14">Q15+Q16+Q17-Q18</f>
        <v>0</v>
      </c>
      <c r="R19" s="2261"/>
      <c r="S19" s="572">
        <f>S15+S16-S17-S18</f>
        <v>0</v>
      </c>
      <c r="T19" s="2256" t="s">
        <v>48</v>
      </c>
      <c r="U19" s="49" t="s">
        <v>58</v>
      </c>
      <c r="V19" s="2262">
        <v>115000</v>
      </c>
      <c r="W19" s="2262"/>
      <c r="X19" s="2262"/>
      <c r="Y19" s="2269"/>
    </row>
    <row r="20" spans="1:25" ht="23.25" customHeight="1" x14ac:dyDescent="0.25">
      <c r="A20" s="289" t="s">
        <v>187</v>
      </c>
      <c r="B20" s="2286">
        <f>B19*0.9625</f>
        <v>309651.65000000002</v>
      </c>
      <c r="C20" s="2287"/>
      <c r="D20" s="290">
        <f>D19*66.41</f>
        <v>75707.399999999994</v>
      </c>
      <c r="E20" s="290">
        <f>28.2*E19</f>
        <v>136770</v>
      </c>
      <c r="F20" s="290">
        <f>18.31*F19</f>
        <v>223748.19999999998</v>
      </c>
      <c r="G20" s="290">
        <f>19.3*G19</f>
        <v>0</v>
      </c>
      <c r="H20" s="290">
        <f>241*H19</f>
        <v>121946</v>
      </c>
      <c r="I20" s="290">
        <f>223*I19</f>
        <v>1115</v>
      </c>
      <c r="J20" s="290">
        <f>241*J19</f>
        <v>29402</v>
      </c>
      <c r="K20" s="290">
        <f>K19*100</f>
        <v>8700</v>
      </c>
      <c r="L20" s="290">
        <f>241*L19</f>
        <v>293779</v>
      </c>
      <c r="M20" s="290">
        <f>9.65*M19</f>
        <v>0</v>
      </c>
      <c r="N20" s="290">
        <f>N19*48.2</f>
        <v>4820</v>
      </c>
      <c r="O20" s="290">
        <f>241*O19</f>
        <v>0</v>
      </c>
      <c r="P20" s="290">
        <f>241*P19</f>
        <v>11327</v>
      </c>
      <c r="Q20" s="2286">
        <f>241*Q19</f>
        <v>0</v>
      </c>
      <c r="R20" s="2287"/>
      <c r="S20" s="290">
        <f>241*S19</f>
        <v>0</v>
      </c>
      <c r="T20" s="2257"/>
      <c r="U20" s="49" t="s">
        <v>59</v>
      </c>
      <c r="V20" s="2262"/>
      <c r="W20" s="2262"/>
      <c r="X20" s="2262"/>
      <c r="Y20" s="2269"/>
    </row>
    <row r="21" spans="1:25" ht="32.25" customHeight="1" x14ac:dyDescent="0.25">
      <c r="A21" s="291" t="s">
        <v>186</v>
      </c>
      <c r="B21" s="2293">
        <f>SUM(B20:S20)</f>
        <v>1216966.25</v>
      </c>
      <c r="C21" s="2293"/>
      <c r="O21" s="579"/>
      <c r="P21" s="579"/>
      <c r="Q21" s="579"/>
      <c r="R21" s="579"/>
      <c r="T21" s="2294" t="s">
        <v>359</v>
      </c>
      <c r="U21" s="2295"/>
      <c r="V21" s="2297">
        <v>7960</v>
      </c>
      <c r="W21" s="2298"/>
      <c r="X21" s="2299"/>
      <c r="Y21" s="2269"/>
    </row>
    <row r="22" spans="1:25" ht="35.25" customHeight="1" x14ac:dyDescent="0.25">
      <c r="A22" s="15"/>
      <c r="B22" s="2288" t="s">
        <v>49</v>
      </c>
      <c r="C22" s="2291">
        <v>957484</v>
      </c>
      <c r="D22" s="2291">
        <v>115000</v>
      </c>
      <c r="E22" s="2291">
        <v>100000</v>
      </c>
      <c r="F22" s="2291">
        <f>C22-D22+E22</f>
        <v>942484</v>
      </c>
      <c r="G22" s="579"/>
      <c r="Q22" s="579"/>
      <c r="R22" s="579"/>
      <c r="T22" s="2251" t="s">
        <v>83</v>
      </c>
      <c r="U22" s="50" t="s">
        <v>60</v>
      </c>
      <c r="V22" s="2262">
        <v>89410</v>
      </c>
      <c r="W22" s="2262"/>
      <c r="X22" s="2262"/>
      <c r="Y22" s="2269"/>
    </row>
    <row r="23" spans="1:25" ht="39.75" customHeight="1" x14ac:dyDescent="0.25">
      <c r="A23" s="579"/>
      <c r="B23" s="2289"/>
      <c r="C23" s="2292"/>
      <c r="D23" s="2292"/>
      <c r="E23" s="2292"/>
      <c r="F23" s="2292"/>
      <c r="G23" s="579"/>
      <c r="Q23" s="579"/>
      <c r="R23" s="579"/>
      <c r="T23" s="2252"/>
      <c r="U23" s="50" t="s">
        <v>61</v>
      </c>
      <c r="V23" s="2262">
        <v>115000</v>
      </c>
      <c r="W23" s="2262"/>
      <c r="X23" s="2262"/>
      <c r="Y23" s="2269"/>
    </row>
    <row r="24" spans="1:25" ht="48" customHeight="1" x14ac:dyDescent="0.25">
      <c r="A24" s="579"/>
      <c r="B24" s="2290"/>
      <c r="C24" s="290" t="s">
        <v>46</v>
      </c>
      <c r="D24" s="290" t="s">
        <v>50</v>
      </c>
      <c r="E24" s="290" t="s">
        <v>51</v>
      </c>
      <c r="F24" s="290" t="s">
        <v>52</v>
      </c>
      <c r="G24" s="579"/>
      <c r="Q24" s="579"/>
      <c r="R24" s="579"/>
      <c r="T24" s="2235" t="s">
        <v>47</v>
      </c>
      <c r="U24" s="51" t="s">
        <v>62</v>
      </c>
      <c r="V24" s="2263">
        <f>V14+V16+V17-V18-V19-V20-V22+V23-V21</f>
        <v>11193.452499999999</v>
      </c>
      <c r="W24" s="2263"/>
      <c r="X24" s="2263"/>
      <c r="Y24" s="2269"/>
    </row>
    <row r="25" spans="1:25" ht="40.5" customHeight="1" x14ac:dyDescent="0.25">
      <c r="T25" s="2235"/>
      <c r="U25" s="51" t="s">
        <v>63</v>
      </c>
      <c r="V25" s="2262">
        <f>V15+V22-V23</f>
        <v>6912</v>
      </c>
      <c r="W25" s="2262"/>
      <c r="X25" s="2262"/>
    </row>
    <row r="26" spans="1:25" ht="36" customHeight="1" x14ac:dyDescent="0.25">
      <c r="K26" s="314"/>
    </row>
    <row r="28" spans="1:25" x14ac:dyDescent="0.25">
      <c r="J28" s="14" t="s">
        <v>139</v>
      </c>
    </row>
    <row r="32" spans="1:25" x14ac:dyDescent="0.25">
      <c r="I32" s="2280"/>
      <c r="J32" s="2280"/>
      <c r="K32" s="2280"/>
      <c r="L32" s="2280"/>
    </row>
    <row r="33" spans="9:12" x14ac:dyDescent="0.25">
      <c r="I33" s="579"/>
      <c r="J33" s="579"/>
      <c r="K33" s="2280"/>
      <c r="L33" s="2280"/>
    </row>
  </sheetData>
  <mergeCells count="62">
    <mergeCell ref="A1:Y1"/>
    <mergeCell ref="A2:Y2"/>
    <mergeCell ref="T3:Y3"/>
    <mergeCell ref="A4:A5"/>
    <mergeCell ref="B4:B5"/>
    <mergeCell ref="C4:D4"/>
    <mergeCell ref="E4:F4"/>
    <mergeCell ref="G4:H4"/>
    <mergeCell ref="I4:J4"/>
    <mergeCell ref="K4:L4"/>
    <mergeCell ref="Y4:Y5"/>
    <mergeCell ref="M4:N4"/>
    <mergeCell ref="O4:P4"/>
    <mergeCell ref="Q4:R4"/>
    <mergeCell ref="S4:T4"/>
    <mergeCell ref="U4:V4"/>
    <mergeCell ref="W4:X4"/>
    <mergeCell ref="B16:C16"/>
    <mergeCell ref="Q16:R16"/>
    <mergeCell ref="T16:U16"/>
    <mergeCell ref="V16:X16"/>
    <mergeCell ref="A12:B12"/>
    <mergeCell ref="B14:C14"/>
    <mergeCell ref="Q14:R14"/>
    <mergeCell ref="T14:T15"/>
    <mergeCell ref="V14:X14"/>
    <mergeCell ref="B15:C15"/>
    <mergeCell ref="Q15:R15"/>
    <mergeCell ref="V15:X15"/>
    <mergeCell ref="B17:C17"/>
    <mergeCell ref="Q17:R17"/>
    <mergeCell ref="T17:U17"/>
    <mergeCell ref="V17:X17"/>
    <mergeCell ref="B18:C18"/>
    <mergeCell ref="Q18:R18"/>
    <mergeCell ref="T18:U18"/>
    <mergeCell ref="V18:X18"/>
    <mergeCell ref="Y18:Y24"/>
    <mergeCell ref="B19:C19"/>
    <mergeCell ref="Q19:R19"/>
    <mergeCell ref="T19:T20"/>
    <mergeCell ref="V19:X19"/>
    <mergeCell ref="B20:C20"/>
    <mergeCell ref="B22:B24"/>
    <mergeCell ref="C22:C23"/>
    <mergeCell ref="D22:D23"/>
    <mergeCell ref="E22:E23"/>
    <mergeCell ref="F22:F23"/>
    <mergeCell ref="Q20:R20"/>
    <mergeCell ref="V20:X20"/>
    <mergeCell ref="B21:C21"/>
    <mergeCell ref="T21:U21"/>
    <mergeCell ref="V21:X21"/>
    <mergeCell ref="I32:J32"/>
    <mergeCell ref="K32:L32"/>
    <mergeCell ref="K33:L33"/>
    <mergeCell ref="T22:T23"/>
    <mergeCell ref="V22:X22"/>
    <mergeCell ref="V23:X23"/>
    <mergeCell ref="T24:T25"/>
    <mergeCell ref="V24:X24"/>
    <mergeCell ref="V25:X25"/>
  </mergeCells>
  <pageMargins left="0.15748031496063" right="0.15748031496063" top="0" bottom="0" header="0" footer="0"/>
  <pageSetup paperSize="9" scale="47" orientation="landscape" r:id="rId1"/>
</worksheet>
</file>

<file path=xl/worksheets/sheet14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EE522B6-6B5D-47B2-9EA4-88AE4782195D}">
  <sheetPr>
    <pageSetUpPr fitToPage="1"/>
  </sheetPr>
  <dimension ref="A1:Y33"/>
  <sheetViews>
    <sheetView topLeftCell="A10" zoomScale="70" zoomScaleNormal="70" zoomScaleSheetLayoutView="100" workbookViewId="0">
      <selection activeCell="C10" sqref="C10"/>
    </sheetView>
  </sheetViews>
  <sheetFormatPr defaultColWidth="9.140625" defaultRowHeight="15" x14ac:dyDescent="0.25"/>
  <cols>
    <col min="1" max="1" width="18.28515625" style="14" customWidth="1"/>
    <col min="2" max="2" width="10.7109375" style="14" customWidth="1"/>
    <col min="3" max="3" width="12.28515625" style="14" customWidth="1"/>
    <col min="4" max="4" width="13.140625" style="14" bestFit="1" customWidth="1"/>
    <col min="5" max="5" width="12" style="14" customWidth="1"/>
    <col min="6" max="6" width="12.5703125" style="14" bestFit="1" customWidth="1"/>
    <col min="7" max="7" width="9.28515625" style="14" bestFit="1" customWidth="1"/>
    <col min="8" max="8" width="10.140625" style="14" bestFit="1" customWidth="1"/>
    <col min="9" max="9" width="10.5703125" style="14" bestFit="1" customWidth="1"/>
    <col min="10" max="10" width="10.5703125" style="14" customWidth="1"/>
    <col min="11" max="11" width="10.28515625" style="14" bestFit="1" customWidth="1"/>
    <col min="12" max="12" width="10.42578125" style="14" bestFit="1" customWidth="1"/>
    <col min="13" max="13" width="9.85546875" style="14" bestFit="1" customWidth="1"/>
    <col min="14" max="14" width="10.140625" style="14" bestFit="1" customWidth="1"/>
    <col min="15" max="15" width="9" style="14" customWidth="1"/>
    <col min="16" max="16" width="12.85546875" style="14" bestFit="1" customWidth="1"/>
    <col min="17" max="18" width="9.42578125" style="14" customWidth="1"/>
    <col min="19" max="19" width="13.7109375" style="14" customWidth="1"/>
    <col min="20" max="20" width="12.140625" style="14" customWidth="1"/>
    <col min="21" max="21" width="19.5703125" style="14" bestFit="1" customWidth="1"/>
    <col min="22" max="22" width="9.85546875" style="14" customWidth="1"/>
    <col min="23" max="23" width="10.140625" style="14" bestFit="1" customWidth="1"/>
    <col min="24" max="24" width="10.28515625" style="14" customWidth="1"/>
    <col min="25" max="25" width="28" style="14" customWidth="1"/>
    <col min="26" max="16384" width="9.140625" style="14"/>
  </cols>
  <sheetData>
    <row r="1" spans="1:25" ht="46.15" customHeight="1" x14ac:dyDescent="0.25">
      <c r="A1" s="2240" t="s">
        <v>148</v>
      </c>
      <c r="B1" s="2240"/>
      <c r="C1" s="2240"/>
      <c r="D1" s="2240"/>
      <c r="E1" s="2240"/>
      <c r="F1" s="2240"/>
      <c r="G1" s="2240"/>
      <c r="H1" s="2240"/>
      <c r="I1" s="2240"/>
      <c r="J1" s="2240"/>
      <c r="K1" s="2240"/>
      <c r="L1" s="2240"/>
      <c r="M1" s="2240"/>
      <c r="N1" s="2240"/>
      <c r="O1" s="2240"/>
      <c r="P1" s="2240"/>
      <c r="Q1" s="2240"/>
      <c r="R1" s="2240"/>
      <c r="S1" s="2240"/>
      <c r="T1" s="2240"/>
      <c r="U1" s="2240"/>
      <c r="V1" s="2240"/>
      <c r="W1" s="2240"/>
      <c r="X1" s="2240"/>
      <c r="Y1" s="2240"/>
    </row>
    <row r="2" spans="1:25" ht="21.6" customHeight="1" x14ac:dyDescent="0.25">
      <c r="A2" s="2241" t="s">
        <v>77</v>
      </c>
      <c r="B2" s="2241"/>
      <c r="C2" s="2241"/>
      <c r="D2" s="2241"/>
      <c r="E2" s="2241"/>
      <c r="F2" s="2241"/>
      <c r="G2" s="2241"/>
      <c r="H2" s="2241"/>
      <c r="I2" s="2241"/>
      <c r="J2" s="2241"/>
      <c r="K2" s="2241"/>
      <c r="L2" s="2241"/>
      <c r="M2" s="2241"/>
      <c r="N2" s="2241"/>
      <c r="O2" s="2241"/>
      <c r="P2" s="2241"/>
      <c r="Q2" s="2241"/>
      <c r="R2" s="2241"/>
      <c r="S2" s="2241"/>
      <c r="T2" s="2241"/>
      <c r="U2" s="2241"/>
      <c r="V2" s="2241"/>
      <c r="W2" s="2241"/>
      <c r="X2" s="2241"/>
      <c r="Y2" s="2241"/>
    </row>
    <row r="3" spans="1:25" ht="21" customHeight="1" x14ac:dyDescent="0.25">
      <c r="A3" s="580"/>
      <c r="B3" s="580"/>
      <c r="C3" s="580"/>
      <c r="D3" s="580"/>
      <c r="E3" s="580"/>
      <c r="F3" s="580"/>
      <c r="G3" s="580"/>
      <c r="H3" s="580"/>
      <c r="I3" s="580"/>
      <c r="J3" s="580"/>
      <c r="K3" s="580"/>
      <c r="L3" s="580"/>
      <c r="M3" s="580"/>
      <c r="N3" s="580"/>
      <c r="O3" s="580"/>
      <c r="P3" s="580"/>
      <c r="Q3" s="580"/>
      <c r="R3" s="580"/>
      <c r="S3" s="580"/>
      <c r="T3" s="2242" t="s">
        <v>360</v>
      </c>
      <c r="U3" s="2242"/>
      <c r="V3" s="2242"/>
      <c r="W3" s="2242"/>
      <c r="X3" s="2242"/>
      <c r="Y3" s="2242"/>
    </row>
    <row r="4" spans="1:25" s="580" customFormat="1" ht="18" customHeight="1" x14ac:dyDescent="0.25">
      <c r="A4" s="2243" t="s">
        <v>25</v>
      </c>
      <c r="B4" s="2243" t="s">
        <v>26</v>
      </c>
      <c r="C4" s="2244" t="s">
        <v>27</v>
      </c>
      <c r="D4" s="2244"/>
      <c r="E4" s="2244" t="s">
        <v>342</v>
      </c>
      <c r="F4" s="2244"/>
      <c r="G4" s="2244" t="s">
        <v>65</v>
      </c>
      <c r="H4" s="2244"/>
      <c r="I4" s="2244" t="s">
        <v>29</v>
      </c>
      <c r="J4" s="2244"/>
      <c r="K4" s="2245" t="s">
        <v>13</v>
      </c>
      <c r="L4" s="2246"/>
      <c r="M4" s="2245" t="s">
        <v>67</v>
      </c>
      <c r="N4" s="2246"/>
      <c r="O4" s="2245" t="s">
        <v>68</v>
      </c>
      <c r="P4" s="2246"/>
      <c r="Q4" s="2245" t="s">
        <v>114</v>
      </c>
      <c r="R4" s="2246"/>
      <c r="S4" s="2244" t="s">
        <v>35</v>
      </c>
      <c r="T4" s="2244"/>
      <c r="U4" s="2245" t="s">
        <v>17</v>
      </c>
      <c r="V4" s="2246"/>
      <c r="W4" s="2247" t="s">
        <v>36</v>
      </c>
      <c r="X4" s="2248"/>
      <c r="Y4" s="2238" t="s">
        <v>30</v>
      </c>
    </row>
    <row r="5" spans="1:25" s="580" customFormat="1" ht="25.5" customHeight="1" x14ac:dyDescent="0.25">
      <c r="A5" s="2243"/>
      <c r="B5" s="2243"/>
      <c r="C5" s="582" t="s">
        <v>42</v>
      </c>
      <c r="D5" s="582" t="s">
        <v>43</v>
      </c>
      <c r="E5" s="582" t="s">
        <v>42</v>
      </c>
      <c r="F5" s="582" t="s">
        <v>43</v>
      </c>
      <c r="G5" s="582" t="s">
        <v>42</v>
      </c>
      <c r="H5" s="582" t="s">
        <v>43</v>
      </c>
      <c r="I5" s="582" t="s">
        <v>42</v>
      </c>
      <c r="J5" s="582" t="s">
        <v>43</v>
      </c>
      <c r="K5" s="582" t="s">
        <v>42</v>
      </c>
      <c r="L5" s="582" t="s">
        <v>43</v>
      </c>
      <c r="M5" s="582" t="s">
        <v>42</v>
      </c>
      <c r="N5" s="582" t="s">
        <v>43</v>
      </c>
      <c r="O5" s="582" t="s">
        <v>42</v>
      </c>
      <c r="P5" s="582" t="s">
        <v>43</v>
      </c>
      <c r="Q5" s="582" t="s">
        <v>42</v>
      </c>
      <c r="R5" s="582" t="s">
        <v>43</v>
      </c>
      <c r="S5" s="33" t="s">
        <v>42</v>
      </c>
      <c r="T5" s="33" t="s">
        <v>43</v>
      </c>
      <c r="U5" s="30" t="s">
        <v>42</v>
      </c>
      <c r="V5" s="30" t="s">
        <v>43</v>
      </c>
      <c r="W5" s="30" t="s">
        <v>42</v>
      </c>
      <c r="X5" s="30" t="s">
        <v>43</v>
      </c>
      <c r="Y5" s="2239"/>
    </row>
    <row r="6" spans="1:25" ht="34.5" customHeight="1" x14ac:dyDescent="0.25">
      <c r="A6" s="12">
        <v>1409935200</v>
      </c>
      <c r="B6" s="581" t="s">
        <v>71</v>
      </c>
      <c r="C6" s="584">
        <v>57396</v>
      </c>
      <c r="D6" s="585">
        <f>0.9725*C6</f>
        <v>55817.61</v>
      </c>
      <c r="E6" s="584"/>
      <c r="F6" s="584">
        <f>67.1*E6</f>
        <v>0</v>
      </c>
      <c r="G6" s="584">
        <v>20</v>
      </c>
      <c r="H6" s="584">
        <f>28.2*G6</f>
        <v>564</v>
      </c>
      <c r="I6" s="584">
        <v>1310</v>
      </c>
      <c r="J6" s="584">
        <f>18.5*I6</f>
        <v>24235</v>
      </c>
      <c r="K6" s="584"/>
      <c r="L6" s="584">
        <f>19.5*K6</f>
        <v>0</v>
      </c>
      <c r="M6" s="584"/>
      <c r="N6" s="585">
        <f>M6*9.75</f>
        <v>0</v>
      </c>
      <c r="O6" s="584"/>
      <c r="P6" s="585">
        <f>O6*48.62</f>
        <v>0</v>
      </c>
      <c r="Q6" s="585"/>
      <c r="R6" s="585">
        <f>241*Q6</f>
        <v>0</v>
      </c>
      <c r="S6" s="584"/>
      <c r="T6" s="584">
        <f>241*S6</f>
        <v>0</v>
      </c>
      <c r="U6" s="584"/>
      <c r="V6" s="584">
        <f>232*U6</f>
        <v>0</v>
      </c>
      <c r="W6" s="584"/>
      <c r="X6" s="19">
        <f>W6*100</f>
        <v>0</v>
      </c>
      <c r="Y6" s="89">
        <f t="shared" ref="Y6:Y11" si="0">D6+F6+H6+J6+L6+N6+P6+R6+T6+V6+X6</f>
        <v>80616.61</v>
      </c>
    </row>
    <row r="7" spans="1:25" ht="31.5" customHeight="1" x14ac:dyDescent="0.25">
      <c r="A7" s="12">
        <v>1984225578</v>
      </c>
      <c r="B7" s="581" t="s">
        <v>72</v>
      </c>
      <c r="C7" s="584">
        <v>23751</v>
      </c>
      <c r="D7" s="585">
        <f t="shared" ref="D7:D11" si="1">0.9725*C7</f>
        <v>23097.8475</v>
      </c>
      <c r="E7" s="584"/>
      <c r="F7" s="584">
        <f t="shared" ref="F7:F11" si="2">67.1*E7</f>
        <v>0</v>
      </c>
      <c r="G7" s="584">
        <v>500</v>
      </c>
      <c r="H7" s="584">
        <f t="shared" ref="H7:H11" si="3">28.2*G7</f>
        <v>14100</v>
      </c>
      <c r="I7" s="584">
        <v>2680</v>
      </c>
      <c r="J7" s="584">
        <f t="shared" ref="J7:J11" si="4">18.5*I7</f>
        <v>49580</v>
      </c>
      <c r="K7" s="584"/>
      <c r="L7" s="584">
        <f t="shared" ref="L7:L11" si="5">19.5*K7</f>
        <v>0</v>
      </c>
      <c r="M7" s="584"/>
      <c r="N7" s="585">
        <f t="shared" ref="N7:N11" si="6">M7*9.75</f>
        <v>0</v>
      </c>
      <c r="O7" s="584"/>
      <c r="P7" s="585">
        <f t="shared" ref="P7:P11" si="7">O7*48.62</f>
        <v>0</v>
      </c>
      <c r="Q7" s="585"/>
      <c r="R7" s="585">
        <f t="shared" ref="R7:R11" si="8">241*Q7</f>
        <v>0</v>
      </c>
      <c r="S7" s="584"/>
      <c r="T7" s="584">
        <f t="shared" ref="T7:T11" si="9">241*S7</f>
        <v>0</v>
      </c>
      <c r="U7" s="584"/>
      <c r="V7" s="584">
        <f t="shared" ref="V7:V11" si="10">232*U7</f>
        <v>0</v>
      </c>
      <c r="W7" s="584"/>
      <c r="X7" s="19">
        <f t="shared" ref="X7:X11" si="11">W7*100</f>
        <v>0</v>
      </c>
      <c r="Y7" s="89">
        <f t="shared" si="0"/>
        <v>86777.847500000003</v>
      </c>
    </row>
    <row r="8" spans="1:25" ht="35.25" customHeight="1" x14ac:dyDescent="0.25">
      <c r="A8" s="12">
        <v>1967020280</v>
      </c>
      <c r="B8" s="581" t="s">
        <v>73</v>
      </c>
      <c r="C8" s="584">
        <v>15722</v>
      </c>
      <c r="D8" s="585">
        <f t="shared" si="1"/>
        <v>15289.645</v>
      </c>
      <c r="E8" s="584"/>
      <c r="F8" s="584">
        <f t="shared" si="2"/>
        <v>0</v>
      </c>
      <c r="G8" s="584">
        <v>50</v>
      </c>
      <c r="H8" s="584">
        <f t="shared" si="3"/>
        <v>1410</v>
      </c>
      <c r="I8" s="584"/>
      <c r="J8" s="584">
        <f t="shared" si="4"/>
        <v>0</v>
      </c>
      <c r="K8" s="584"/>
      <c r="L8" s="584">
        <f t="shared" si="5"/>
        <v>0</v>
      </c>
      <c r="M8" s="584"/>
      <c r="N8" s="585">
        <f t="shared" si="6"/>
        <v>0</v>
      </c>
      <c r="O8" s="584"/>
      <c r="P8" s="585">
        <f t="shared" si="7"/>
        <v>0</v>
      </c>
      <c r="Q8" s="585"/>
      <c r="R8" s="585">
        <f t="shared" si="8"/>
        <v>0</v>
      </c>
      <c r="S8" s="584"/>
      <c r="T8" s="584">
        <f t="shared" si="9"/>
        <v>0</v>
      </c>
      <c r="U8" s="584"/>
      <c r="V8" s="584">
        <f t="shared" si="10"/>
        <v>0</v>
      </c>
      <c r="W8" s="584"/>
      <c r="X8" s="19">
        <f t="shared" si="11"/>
        <v>0</v>
      </c>
      <c r="Y8" s="89">
        <f t="shared" si="0"/>
        <v>16699.645</v>
      </c>
    </row>
    <row r="9" spans="1:25" ht="38.25" customHeight="1" x14ac:dyDescent="0.25">
      <c r="A9" s="12">
        <v>1984225580</v>
      </c>
      <c r="B9" s="581" t="s">
        <v>75</v>
      </c>
      <c r="C9" s="584">
        <v>14898</v>
      </c>
      <c r="D9" s="585">
        <f t="shared" si="1"/>
        <v>14488.305</v>
      </c>
      <c r="E9" s="584"/>
      <c r="F9" s="584">
        <f t="shared" si="2"/>
        <v>0</v>
      </c>
      <c r="G9" s="584">
        <v>10</v>
      </c>
      <c r="H9" s="584">
        <f t="shared" si="3"/>
        <v>282</v>
      </c>
      <c r="I9" s="584">
        <v>1560</v>
      </c>
      <c r="J9" s="584">
        <f t="shared" si="4"/>
        <v>28860</v>
      </c>
      <c r="K9" s="584"/>
      <c r="L9" s="584">
        <f t="shared" si="5"/>
        <v>0</v>
      </c>
      <c r="M9" s="584"/>
      <c r="N9" s="585">
        <f t="shared" si="6"/>
        <v>0</v>
      </c>
      <c r="O9" s="584"/>
      <c r="P9" s="585">
        <f t="shared" si="7"/>
        <v>0</v>
      </c>
      <c r="Q9" s="585"/>
      <c r="R9" s="585">
        <f t="shared" si="8"/>
        <v>0</v>
      </c>
      <c r="S9" s="584"/>
      <c r="T9" s="584">
        <f t="shared" si="9"/>
        <v>0</v>
      </c>
      <c r="U9" s="584"/>
      <c r="V9" s="584">
        <f t="shared" si="10"/>
        <v>0</v>
      </c>
      <c r="W9" s="584">
        <v>2</v>
      </c>
      <c r="X9" s="19">
        <f t="shared" si="11"/>
        <v>200</v>
      </c>
      <c r="Y9" s="89">
        <f t="shared" si="0"/>
        <v>43830.305</v>
      </c>
    </row>
    <row r="10" spans="1:25" ht="35.25" customHeight="1" x14ac:dyDescent="0.25">
      <c r="A10" s="12">
        <v>1409935199</v>
      </c>
      <c r="C10" s="584"/>
      <c r="D10" s="585">
        <f t="shared" si="1"/>
        <v>0</v>
      </c>
      <c r="E10" s="584"/>
      <c r="F10" s="584">
        <f t="shared" si="2"/>
        <v>0</v>
      </c>
      <c r="G10" s="584"/>
      <c r="H10" s="584">
        <f t="shared" si="3"/>
        <v>0</v>
      </c>
      <c r="I10" s="584"/>
      <c r="J10" s="584">
        <f t="shared" si="4"/>
        <v>0</v>
      </c>
      <c r="K10" s="584"/>
      <c r="L10" s="584">
        <f t="shared" si="5"/>
        <v>0</v>
      </c>
      <c r="M10" s="584"/>
      <c r="N10" s="585">
        <f t="shared" si="6"/>
        <v>0</v>
      </c>
      <c r="O10" s="584"/>
      <c r="P10" s="585">
        <f t="shared" si="7"/>
        <v>0</v>
      </c>
      <c r="Q10" s="585"/>
      <c r="R10" s="585">
        <f t="shared" si="8"/>
        <v>0</v>
      </c>
      <c r="S10" s="584"/>
      <c r="T10" s="584">
        <f t="shared" si="9"/>
        <v>0</v>
      </c>
      <c r="U10" s="584"/>
      <c r="V10" s="584">
        <f t="shared" si="10"/>
        <v>0</v>
      </c>
      <c r="W10" s="584"/>
      <c r="X10" s="19">
        <f t="shared" si="11"/>
        <v>0</v>
      </c>
      <c r="Y10" s="89">
        <f t="shared" si="0"/>
        <v>0</v>
      </c>
    </row>
    <row r="11" spans="1:25" ht="37.5" customHeight="1" x14ac:dyDescent="0.25">
      <c r="A11" s="12"/>
      <c r="B11" s="583"/>
      <c r="C11" s="584"/>
      <c r="D11" s="22">
        <f t="shared" si="1"/>
        <v>0</v>
      </c>
      <c r="E11" s="584"/>
      <c r="F11" s="584">
        <f t="shared" si="2"/>
        <v>0</v>
      </c>
      <c r="G11" s="584"/>
      <c r="H11" s="584">
        <f t="shared" si="3"/>
        <v>0</v>
      </c>
      <c r="I11" s="584"/>
      <c r="J11" s="584">
        <f t="shared" si="4"/>
        <v>0</v>
      </c>
      <c r="K11" s="584"/>
      <c r="L11" s="584">
        <f t="shared" si="5"/>
        <v>0</v>
      </c>
      <c r="M11" s="584"/>
      <c r="N11" s="585">
        <f t="shared" si="6"/>
        <v>0</v>
      </c>
      <c r="O11" s="584"/>
      <c r="P11" s="585">
        <f t="shared" si="7"/>
        <v>0</v>
      </c>
      <c r="Q11" s="585"/>
      <c r="R11" s="585">
        <f t="shared" si="8"/>
        <v>0</v>
      </c>
      <c r="S11" s="584"/>
      <c r="T11" s="584">
        <f t="shared" si="9"/>
        <v>0</v>
      </c>
      <c r="U11" s="584"/>
      <c r="V11" s="584">
        <f t="shared" si="10"/>
        <v>0</v>
      </c>
      <c r="W11" s="584"/>
      <c r="X11" s="19">
        <f t="shared" si="11"/>
        <v>0</v>
      </c>
      <c r="Y11" s="20">
        <f t="shared" si="0"/>
        <v>0</v>
      </c>
    </row>
    <row r="12" spans="1:25" ht="29.25" customHeight="1" x14ac:dyDescent="0.25">
      <c r="A12" s="2235" t="s">
        <v>31</v>
      </c>
      <c r="B12" s="2235"/>
      <c r="C12" s="18">
        <f t="shared" ref="C12:Y12" si="12">SUM(C6:C11)</f>
        <v>111767</v>
      </c>
      <c r="D12" s="18">
        <f t="shared" si="12"/>
        <v>108693.4075</v>
      </c>
      <c r="E12" s="18">
        <f t="shared" si="12"/>
        <v>0</v>
      </c>
      <c r="F12" s="18">
        <f t="shared" si="12"/>
        <v>0</v>
      </c>
      <c r="G12" s="18">
        <f t="shared" si="12"/>
        <v>580</v>
      </c>
      <c r="H12" s="18">
        <f t="shared" si="12"/>
        <v>16356</v>
      </c>
      <c r="I12" s="18">
        <f t="shared" si="12"/>
        <v>5550</v>
      </c>
      <c r="J12" s="18">
        <f t="shared" si="12"/>
        <v>102675</v>
      </c>
      <c r="K12" s="18">
        <f t="shared" si="12"/>
        <v>0</v>
      </c>
      <c r="L12" s="18">
        <f t="shared" si="12"/>
        <v>0</v>
      </c>
      <c r="M12" s="18">
        <f t="shared" si="12"/>
        <v>0</v>
      </c>
      <c r="N12" s="23">
        <f t="shared" si="12"/>
        <v>0</v>
      </c>
      <c r="O12" s="18">
        <f t="shared" si="12"/>
        <v>0</v>
      </c>
      <c r="P12" s="23">
        <f t="shared" si="12"/>
        <v>0</v>
      </c>
      <c r="Q12" s="23">
        <f t="shared" si="12"/>
        <v>0</v>
      </c>
      <c r="R12" s="23">
        <f>SUM(R6:R11)</f>
        <v>0</v>
      </c>
      <c r="S12" s="18">
        <f t="shared" si="12"/>
        <v>0</v>
      </c>
      <c r="T12" s="18">
        <f t="shared" si="12"/>
        <v>0</v>
      </c>
      <c r="U12" s="18">
        <f t="shared" si="12"/>
        <v>0</v>
      </c>
      <c r="V12" s="18">
        <f t="shared" si="12"/>
        <v>0</v>
      </c>
      <c r="W12" s="18">
        <f t="shared" si="12"/>
        <v>2</v>
      </c>
      <c r="X12" s="18">
        <f t="shared" si="12"/>
        <v>200</v>
      </c>
      <c r="Y12" s="18">
        <f t="shared" si="12"/>
        <v>227924.4075</v>
      </c>
    </row>
    <row r="14" spans="1:25" ht="41.25" customHeight="1" x14ac:dyDescent="0.25">
      <c r="A14" s="30" t="s">
        <v>32</v>
      </c>
      <c r="B14" s="2236" t="s">
        <v>27</v>
      </c>
      <c r="C14" s="2236"/>
      <c r="D14" s="30" t="s">
        <v>333</v>
      </c>
      <c r="E14" s="30" t="s">
        <v>65</v>
      </c>
      <c r="F14" s="30" t="s">
        <v>34</v>
      </c>
      <c r="G14" s="30" t="s">
        <v>13</v>
      </c>
      <c r="H14" s="469" t="s">
        <v>173</v>
      </c>
      <c r="I14" s="30" t="s">
        <v>17</v>
      </c>
      <c r="J14" s="589" t="s">
        <v>174</v>
      </c>
      <c r="K14" s="30" t="s">
        <v>36</v>
      </c>
      <c r="L14" s="30" t="s">
        <v>175</v>
      </c>
      <c r="M14" s="30" t="s">
        <v>69</v>
      </c>
      <c r="N14" s="30" t="s">
        <v>70</v>
      </c>
      <c r="O14" s="589" t="s">
        <v>114</v>
      </c>
      <c r="P14" s="589" t="s">
        <v>339</v>
      </c>
      <c r="Q14" s="2272"/>
      <c r="R14" s="2272"/>
      <c r="S14" s="589"/>
      <c r="T14" s="2235" t="s">
        <v>46</v>
      </c>
      <c r="U14" s="581" t="s">
        <v>176</v>
      </c>
      <c r="V14" s="2260">
        <v>11193</v>
      </c>
      <c r="W14" s="2268"/>
      <c r="X14" s="2261"/>
    </row>
    <row r="15" spans="1:25" ht="22.5" customHeight="1" x14ac:dyDescent="0.25">
      <c r="A15" s="100" t="s">
        <v>38</v>
      </c>
      <c r="B15" s="2260">
        <v>321716</v>
      </c>
      <c r="C15" s="2261"/>
      <c r="D15" s="586">
        <v>1140</v>
      </c>
      <c r="E15" s="586">
        <v>4850</v>
      </c>
      <c r="F15" s="586">
        <v>12220</v>
      </c>
      <c r="G15" s="586">
        <v>0</v>
      </c>
      <c r="H15" s="586">
        <v>506</v>
      </c>
      <c r="I15" s="586">
        <v>5</v>
      </c>
      <c r="J15" s="586">
        <v>122</v>
      </c>
      <c r="K15" s="586">
        <v>87</v>
      </c>
      <c r="L15" s="586">
        <v>1219</v>
      </c>
      <c r="M15" s="586">
        <v>0</v>
      </c>
      <c r="N15" s="586">
        <v>100</v>
      </c>
      <c r="O15" s="586">
        <v>0</v>
      </c>
      <c r="P15" s="586">
        <v>47</v>
      </c>
      <c r="Q15" s="2262"/>
      <c r="R15" s="2262"/>
      <c r="S15" s="581">
        <v>0</v>
      </c>
      <c r="T15" s="2235"/>
      <c r="U15" s="581" t="s">
        <v>64</v>
      </c>
      <c r="V15" s="2262">
        <v>6912</v>
      </c>
      <c r="W15" s="2262"/>
      <c r="X15" s="2262"/>
    </row>
    <row r="16" spans="1:25" ht="24.75" customHeight="1" x14ac:dyDescent="0.25">
      <c r="A16" s="100" t="s">
        <v>39</v>
      </c>
      <c r="B16" s="2260">
        <v>20779</v>
      </c>
      <c r="C16" s="2261"/>
      <c r="D16" s="586"/>
      <c r="E16" s="586"/>
      <c r="F16" s="586"/>
      <c r="G16" s="586"/>
      <c r="H16" s="586"/>
      <c r="I16" s="586"/>
      <c r="J16" s="586"/>
      <c r="K16" s="586"/>
      <c r="L16" s="586"/>
      <c r="M16" s="586"/>
      <c r="N16" s="586"/>
      <c r="O16" s="586"/>
      <c r="P16" s="586"/>
      <c r="Q16" s="2225"/>
      <c r="R16" s="2225"/>
      <c r="S16" s="586"/>
      <c r="T16" s="2254" t="s">
        <v>55</v>
      </c>
      <c r="U16" s="2254"/>
      <c r="V16" s="2267">
        <f>Y12</f>
        <v>227924.4075</v>
      </c>
      <c r="W16" s="2267"/>
      <c r="X16" s="2262"/>
    </row>
    <row r="17" spans="1:25" ht="28.5" customHeight="1" x14ac:dyDescent="0.25">
      <c r="A17" s="101" t="s">
        <v>44</v>
      </c>
      <c r="B17" s="2260">
        <v>85933</v>
      </c>
      <c r="C17" s="2261"/>
      <c r="D17" s="586"/>
      <c r="E17" s="586"/>
      <c r="F17" s="586"/>
      <c r="G17" s="586"/>
      <c r="H17" s="586"/>
      <c r="I17" s="586"/>
      <c r="J17" s="586"/>
      <c r="K17" s="586"/>
      <c r="L17" s="586"/>
      <c r="M17" s="586"/>
      <c r="N17" s="586"/>
      <c r="O17" s="586"/>
      <c r="P17" s="586"/>
      <c r="Q17" s="2225"/>
      <c r="R17" s="2225"/>
      <c r="S17" s="583"/>
      <c r="T17" s="2294" t="s">
        <v>362</v>
      </c>
      <c r="U17" s="2295"/>
      <c r="V17" s="2296">
        <v>450000</v>
      </c>
      <c r="W17" s="2296"/>
      <c r="X17" s="2296"/>
    </row>
    <row r="18" spans="1:25" ht="27" customHeight="1" x14ac:dyDescent="0.25">
      <c r="A18" s="100" t="s">
        <v>40</v>
      </c>
      <c r="B18" s="2264">
        <f>C12</f>
        <v>111767</v>
      </c>
      <c r="C18" s="2261"/>
      <c r="D18" s="587">
        <f>E12</f>
        <v>0</v>
      </c>
      <c r="E18" s="587">
        <f>G12</f>
        <v>580</v>
      </c>
      <c r="F18" s="587">
        <f>I12</f>
        <v>5550</v>
      </c>
      <c r="G18" s="587">
        <f>K12</f>
        <v>0</v>
      </c>
      <c r="H18" s="586"/>
      <c r="I18" s="587">
        <f>U12</f>
        <v>0</v>
      </c>
      <c r="J18" s="586"/>
      <c r="K18" s="587">
        <f>W12</f>
        <v>2</v>
      </c>
      <c r="L18" s="586"/>
      <c r="M18" s="587">
        <f>M12</f>
        <v>0</v>
      </c>
      <c r="N18" s="587">
        <f>O12</f>
        <v>0</v>
      </c>
      <c r="O18" s="588">
        <f>Q12</f>
        <v>0</v>
      </c>
      <c r="P18" s="586"/>
      <c r="Q18" s="2262"/>
      <c r="R18" s="2262"/>
      <c r="S18" s="581"/>
      <c r="T18" s="2254" t="s">
        <v>57</v>
      </c>
      <c r="U18" s="2254"/>
      <c r="V18" s="2262">
        <v>620</v>
      </c>
      <c r="W18" s="2262"/>
      <c r="X18" s="2262"/>
      <c r="Y18" s="2269"/>
    </row>
    <row r="19" spans="1:25" ht="25.5" customHeight="1" x14ac:dyDescent="0.25">
      <c r="A19" s="100" t="s">
        <v>41</v>
      </c>
      <c r="B19" s="2260">
        <f>B15+B16+B17-B18</f>
        <v>316661</v>
      </c>
      <c r="C19" s="2261"/>
      <c r="D19" s="586">
        <f>D15+D16+D17-D18</f>
        <v>1140</v>
      </c>
      <c r="E19" s="586">
        <f t="shared" ref="E19:N19" si="13">E15+E16+E17-E18</f>
        <v>4270</v>
      </c>
      <c r="F19" s="586">
        <f t="shared" si="13"/>
        <v>6670</v>
      </c>
      <c r="G19" s="586">
        <f t="shared" si="13"/>
        <v>0</v>
      </c>
      <c r="H19" s="586">
        <f t="shared" si="13"/>
        <v>506</v>
      </c>
      <c r="I19" s="586">
        <f t="shared" si="13"/>
        <v>5</v>
      </c>
      <c r="J19" s="586">
        <f t="shared" si="13"/>
        <v>122</v>
      </c>
      <c r="K19" s="586">
        <f t="shared" si="13"/>
        <v>85</v>
      </c>
      <c r="L19" s="586">
        <f t="shared" si="13"/>
        <v>1219</v>
      </c>
      <c r="M19" s="586">
        <f t="shared" si="13"/>
        <v>0</v>
      </c>
      <c r="N19" s="586">
        <f t="shared" si="13"/>
        <v>100</v>
      </c>
      <c r="O19" s="586">
        <f>O15+O16+O17-O18</f>
        <v>0</v>
      </c>
      <c r="P19" s="586">
        <f>P15+P16+P17-P18</f>
        <v>47</v>
      </c>
      <c r="Q19" s="2260">
        <f t="shared" ref="Q19" si="14">Q15+Q16+Q17-Q18</f>
        <v>0</v>
      </c>
      <c r="R19" s="2261"/>
      <c r="S19" s="581">
        <f>S15+S16-S17-S18</f>
        <v>0</v>
      </c>
      <c r="T19" s="2256" t="s">
        <v>48</v>
      </c>
      <c r="U19" s="49" t="s">
        <v>58</v>
      </c>
      <c r="V19" s="2262">
        <v>602050</v>
      </c>
      <c r="W19" s="2262"/>
      <c r="X19" s="2262"/>
      <c r="Y19" s="2269"/>
    </row>
    <row r="20" spans="1:25" ht="23.25" customHeight="1" x14ac:dyDescent="0.25">
      <c r="A20" s="289" t="s">
        <v>187</v>
      </c>
      <c r="B20" s="2286">
        <f>B19*0.9625</f>
        <v>304786.21250000002</v>
      </c>
      <c r="C20" s="2287"/>
      <c r="D20" s="290">
        <f>D19*66.41</f>
        <v>75707.399999999994</v>
      </c>
      <c r="E20" s="290">
        <f>28.2*E19</f>
        <v>120414</v>
      </c>
      <c r="F20" s="290">
        <f>18.31*F19</f>
        <v>122127.7</v>
      </c>
      <c r="G20" s="290">
        <f>19.3*G19</f>
        <v>0</v>
      </c>
      <c r="H20" s="290">
        <f>241*H19</f>
        <v>121946</v>
      </c>
      <c r="I20" s="290">
        <f>223*I19</f>
        <v>1115</v>
      </c>
      <c r="J20" s="290">
        <f>241*J19</f>
        <v>29402</v>
      </c>
      <c r="K20" s="290">
        <f>K19*100</f>
        <v>8500</v>
      </c>
      <c r="L20" s="290">
        <f>241*L19</f>
        <v>293779</v>
      </c>
      <c r="M20" s="290">
        <f>9.65*M19</f>
        <v>0</v>
      </c>
      <c r="N20" s="290">
        <f>N19*48.2</f>
        <v>4820</v>
      </c>
      <c r="O20" s="290">
        <f>241*O19</f>
        <v>0</v>
      </c>
      <c r="P20" s="290">
        <f>241*P19</f>
        <v>11327</v>
      </c>
      <c r="Q20" s="2286">
        <f>241*Q19</f>
        <v>0</v>
      </c>
      <c r="R20" s="2287"/>
      <c r="S20" s="290">
        <f>241*S19</f>
        <v>0</v>
      </c>
      <c r="T20" s="2257"/>
      <c r="U20" s="49" t="s">
        <v>59</v>
      </c>
      <c r="V20" s="2262"/>
      <c r="W20" s="2262"/>
      <c r="X20" s="2262"/>
      <c r="Y20" s="2269"/>
    </row>
    <row r="21" spans="1:25" ht="32.25" customHeight="1" x14ac:dyDescent="0.25">
      <c r="A21" s="291" t="s">
        <v>186</v>
      </c>
      <c r="B21" s="2293">
        <f>SUM(B20:S20)</f>
        <v>1093924.3125</v>
      </c>
      <c r="C21" s="2293"/>
      <c r="O21" s="590"/>
      <c r="P21" s="590"/>
      <c r="Q21" s="590"/>
      <c r="R21" s="590"/>
      <c r="T21" s="2294" t="s">
        <v>361</v>
      </c>
      <c r="U21" s="2295"/>
      <c r="V21" s="2297"/>
      <c r="W21" s="2298"/>
      <c r="X21" s="2299"/>
      <c r="Y21" s="2269"/>
    </row>
    <row r="22" spans="1:25" ht="35.25" customHeight="1" x14ac:dyDescent="0.25">
      <c r="A22" s="15"/>
      <c r="B22" s="2288" t="s">
        <v>49</v>
      </c>
      <c r="C22" s="2291">
        <v>942484</v>
      </c>
      <c r="D22" s="2291">
        <v>602050</v>
      </c>
      <c r="E22" s="2291">
        <v>20000</v>
      </c>
      <c r="F22" s="2291">
        <f>C22-D22+E22</f>
        <v>360434</v>
      </c>
      <c r="G22" s="590"/>
      <c r="Q22" s="590"/>
      <c r="R22" s="590"/>
      <c r="T22" s="2251" t="s">
        <v>83</v>
      </c>
      <c r="U22" s="50" t="s">
        <v>60</v>
      </c>
      <c r="V22" s="2262">
        <v>680820</v>
      </c>
      <c r="W22" s="2262"/>
      <c r="X22" s="2262"/>
      <c r="Y22" s="2269"/>
    </row>
    <row r="23" spans="1:25" ht="39.75" customHeight="1" x14ac:dyDescent="0.25">
      <c r="A23" s="590"/>
      <c r="B23" s="2289"/>
      <c r="C23" s="2292"/>
      <c r="D23" s="2292"/>
      <c r="E23" s="2292"/>
      <c r="F23" s="2292"/>
      <c r="G23" s="590"/>
      <c r="Q23" s="590"/>
      <c r="R23" s="590"/>
      <c r="T23" s="2252"/>
      <c r="U23" s="50" t="s">
        <v>61</v>
      </c>
      <c r="V23" s="2262">
        <v>602050</v>
      </c>
      <c r="W23" s="2262"/>
      <c r="X23" s="2262"/>
      <c r="Y23" s="2269"/>
    </row>
    <row r="24" spans="1:25" ht="48" customHeight="1" x14ac:dyDescent="0.25">
      <c r="A24" s="590"/>
      <c r="B24" s="2290"/>
      <c r="C24" s="290" t="s">
        <v>46</v>
      </c>
      <c r="D24" s="290" t="s">
        <v>50</v>
      </c>
      <c r="E24" s="290" t="s">
        <v>51</v>
      </c>
      <c r="F24" s="290" t="s">
        <v>52</v>
      </c>
      <c r="G24" s="590"/>
      <c r="Q24" s="590"/>
      <c r="R24" s="590"/>
      <c r="T24" s="2235" t="s">
        <v>47</v>
      </c>
      <c r="U24" s="51" t="s">
        <v>62</v>
      </c>
      <c r="V24" s="2263">
        <f>V14+V16+V17-V18-V19-V20-V22+V23-V21</f>
        <v>7677.4074999999721</v>
      </c>
      <c r="W24" s="2263"/>
      <c r="X24" s="2263"/>
      <c r="Y24" s="2269"/>
    </row>
    <row r="25" spans="1:25" ht="40.5" customHeight="1" x14ac:dyDescent="0.25">
      <c r="T25" s="2235"/>
      <c r="U25" s="51" t="s">
        <v>63</v>
      </c>
      <c r="V25" s="2262">
        <f>V15+V22-V23</f>
        <v>85682</v>
      </c>
      <c r="W25" s="2262"/>
      <c r="X25" s="2262"/>
    </row>
    <row r="26" spans="1:25" ht="36" customHeight="1" x14ac:dyDescent="0.25">
      <c r="K26" s="314"/>
    </row>
    <row r="28" spans="1:25" x14ac:dyDescent="0.25">
      <c r="J28" s="14" t="s">
        <v>139</v>
      </c>
    </row>
    <row r="32" spans="1:25" x14ac:dyDescent="0.25">
      <c r="I32" s="2280"/>
      <c r="J32" s="2280"/>
      <c r="K32" s="2280"/>
      <c r="L32" s="2280"/>
    </row>
    <row r="33" spans="9:12" x14ac:dyDescent="0.25">
      <c r="I33" s="590"/>
      <c r="J33" s="590"/>
      <c r="K33" s="2280"/>
      <c r="L33" s="2280"/>
    </row>
  </sheetData>
  <mergeCells count="62">
    <mergeCell ref="I32:J32"/>
    <mergeCell ref="K32:L32"/>
    <mergeCell ref="K33:L33"/>
    <mergeCell ref="T22:T23"/>
    <mergeCell ref="V22:X22"/>
    <mergeCell ref="V23:X23"/>
    <mergeCell ref="T24:T25"/>
    <mergeCell ref="V24:X24"/>
    <mergeCell ref="V25:X25"/>
    <mergeCell ref="Y18:Y24"/>
    <mergeCell ref="B19:C19"/>
    <mergeCell ref="Q19:R19"/>
    <mergeCell ref="T19:T20"/>
    <mergeCell ref="V19:X19"/>
    <mergeCell ref="B20:C20"/>
    <mergeCell ref="B22:B24"/>
    <mergeCell ref="C22:C23"/>
    <mergeCell ref="D22:D23"/>
    <mergeCell ref="E22:E23"/>
    <mergeCell ref="F22:F23"/>
    <mergeCell ref="Q20:R20"/>
    <mergeCell ref="V20:X20"/>
    <mergeCell ref="B21:C21"/>
    <mergeCell ref="T21:U21"/>
    <mergeCell ref="V21:X21"/>
    <mergeCell ref="B17:C17"/>
    <mergeCell ref="Q17:R17"/>
    <mergeCell ref="T17:U17"/>
    <mergeCell ref="V17:X17"/>
    <mergeCell ref="B18:C18"/>
    <mergeCell ref="Q18:R18"/>
    <mergeCell ref="T18:U18"/>
    <mergeCell ref="V18:X18"/>
    <mergeCell ref="W4:X4"/>
    <mergeCell ref="B16:C16"/>
    <mergeCell ref="Q16:R16"/>
    <mergeCell ref="T16:U16"/>
    <mergeCell ref="V16:X16"/>
    <mergeCell ref="A12:B12"/>
    <mergeCell ref="B14:C14"/>
    <mergeCell ref="Q14:R14"/>
    <mergeCell ref="T14:T15"/>
    <mergeCell ref="V14:X14"/>
    <mergeCell ref="B15:C15"/>
    <mergeCell ref="Q15:R15"/>
    <mergeCell ref="V15:X15"/>
    <mergeCell ref="A1:Y1"/>
    <mergeCell ref="A2:Y2"/>
    <mergeCell ref="T3:Y3"/>
    <mergeCell ref="A4:A5"/>
    <mergeCell ref="B4:B5"/>
    <mergeCell ref="C4:D4"/>
    <mergeCell ref="E4:F4"/>
    <mergeCell ref="G4:H4"/>
    <mergeCell ref="I4:J4"/>
    <mergeCell ref="K4:L4"/>
    <mergeCell ref="Y4:Y5"/>
    <mergeCell ref="M4:N4"/>
    <mergeCell ref="O4:P4"/>
    <mergeCell ref="Q4:R4"/>
    <mergeCell ref="S4:T4"/>
    <mergeCell ref="U4:V4"/>
  </mergeCells>
  <pageMargins left="0.15748031496063" right="0.15748031496063" top="0" bottom="0" header="0" footer="0"/>
  <pageSetup paperSize="9" scale="47" orientation="landscape" r:id="rId1"/>
</worksheet>
</file>

<file path=xl/worksheets/sheet15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051F95E-CA6B-4AAE-9DE9-85252A3F15F2}">
  <sheetPr>
    <pageSetUpPr fitToPage="1"/>
  </sheetPr>
  <dimension ref="A1:Y33"/>
  <sheetViews>
    <sheetView topLeftCell="A10" zoomScale="70" zoomScaleNormal="70" zoomScaleSheetLayoutView="100" workbookViewId="0">
      <selection activeCell="K24" sqref="K24"/>
    </sheetView>
  </sheetViews>
  <sheetFormatPr defaultColWidth="9.140625" defaultRowHeight="15" x14ac:dyDescent="0.25"/>
  <cols>
    <col min="1" max="1" width="18.28515625" style="14" customWidth="1"/>
    <col min="2" max="2" width="10.7109375" style="14" customWidth="1"/>
    <col min="3" max="3" width="12.28515625" style="14" customWidth="1"/>
    <col min="4" max="4" width="13.140625" style="14" bestFit="1" customWidth="1"/>
    <col min="5" max="5" width="12" style="14" customWidth="1"/>
    <col min="6" max="6" width="12.5703125" style="14" bestFit="1" customWidth="1"/>
    <col min="7" max="7" width="9.28515625" style="14" bestFit="1" customWidth="1"/>
    <col min="8" max="8" width="10.140625" style="14" bestFit="1" customWidth="1"/>
    <col min="9" max="9" width="10.5703125" style="14" bestFit="1" customWidth="1"/>
    <col min="10" max="10" width="10.5703125" style="14" customWidth="1"/>
    <col min="11" max="11" width="10.28515625" style="14" bestFit="1" customWidth="1"/>
    <col min="12" max="12" width="10.42578125" style="14" bestFit="1" customWidth="1"/>
    <col min="13" max="13" width="9.85546875" style="14" bestFit="1" customWidth="1"/>
    <col min="14" max="14" width="10.140625" style="14" bestFit="1" customWidth="1"/>
    <col min="15" max="15" width="9" style="14" customWidth="1"/>
    <col min="16" max="16" width="12.85546875" style="14" bestFit="1" customWidth="1"/>
    <col min="17" max="18" width="9.42578125" style="14" customWidth="1"/>
    <col min="19" max="19" width="13.7109375" style="14" customWidth="1"/>
    <col min="20" max="20" width="12.140625" style="14" customWidth="1"/>
    <col min="21" max="21" width="19.5703125" style="14" bestFit="1" customWidth="1"/>
    <col min="22" max="22" width="9.85546875" style="14" customWidth="1"/>
    <col min="23" max="23" width="10.140625" style="14" bestFit="1" customWidth="1"/>
    <col min="24" max="24" width="10.28515625" style="14" customWidth="1"/>
    <col min="25" max="25" width="28" style="14" customWidth="1"/>
    <col min="26" max="16384" width="9.140625" style="14"/>
  </cols>
  <sheetData>
    <row r="1" spans="1:25" ht="46.15" customHeight="1" x14ac:dyDescent="0.25">
      <c r="A1" s="2240" t="s">
        <v>148</v>
      </c>
      <c r="B1" s="2240"/>
      <c r="C1" s="2240"/>
      <c r="D1" s="2240"/>
      <c r="E1" s="2240"/>
      <c r="F1" s="2240"/>
      <c r="G1" s="2240"/>
      <c r="H1" s="2240"/>
      <c r="I1" s="2240"/>
      <c r="J1" s="2240"/>
      <c r="K1" s="2240"/>
      <c r="L1" s="2240"/>
      <c r="M1" s="2240"/>
      <c r="N1" s="2240"/>
      <c r="O1" s="2240"/>
      <c r="P1" s="2240"/>
      <c r="Q1" s="2240"/>
      <c r="R1" s="2240"/>
      <c r="S1" s="2240"/>
      <c r="T1" s="2240"/>
      <c r="U1" s="2240"/>
      <c r="V1" s="2240"/>
      <c r="W1" s="2240"/>
      <c r="X1" s="2240"/>
      <c r="Y1" s="2240"/>
    </row>
    <row r="2" spans="1:25" ht="21.6" customHeight="1" x14ac:dyDescent="0.25">
      <c r="A2" s="2241" t="s">
        <v>77</v>
      </c>
      <c r="B2" s="2241"/>
      <c r="C2" s="2241"/>
      <c r="D2" s="2241"/>
      <c r="E2" s="2241"/>
      <c r="F2" s="2241"/>
      <c r="G2" s="2241"/>
      <c r="H2" s="2241"/>
      <c r="I2" s="2241"/>
      <c r="J2" s="2241"/>
      <c r="K2" s="2241"/>
      <c r="L2" s="2241"/>
      <c r="M2" s="2241"/>
      <c r="N2" s="2241"/>
      <c r="O2" s="2241"/>
      <c r="P2" s="2241"/>
      <c r="Q2" s="2241"/>
      <c r="R2" s="2241"/>
      <c r="S2" s="2241"/>
      <c r="T2" s="2241"/>
      <c r="U2" s="2241"/>
      <c r="V2" s="2241"/>
      <c r="W2" s="2241"/>
      <c r="X2" s="2241"/>
      <c r="Y2" s="2241"/>
    </row>
    <row r="3" spans="1:25" ht="21" customHeight="1" x14ac:dyDescent="0.25">
      <c r="A3" s="596"/>
      <c r="B3" s="596"/>
      <c r="C3" s="596"/>
      <c r="D3" s="596"/>
      <c r="E3" s="596"/>
      <c r="F3" s="596"/>
      <c r="G3" s="596"/>
      <c r="H3" s="596"/>
      <c r="I3" s="596"/>
      <c r="J3" s="596"/>
      <c r="K3" s="596"/>
      <c r="L3" s="596"/>
      <c r="M3" s="596"/>
      <c r="N3" s="596"/>
      <c r="O3" s="596"/>
      <c r="P3" s="596"/>
      <c r="Q3" s="596"/>
      <c r="R3" s="596"/>
      <c r="S3" s="596"/>
      <c r="T3" s="2242" t="s">
        <v>363</v>
      </c>
      <c r="U3" s="2242"/>
      <c r="V3" s="2242"/>
      <c r="W3" s="2242"/>
      <c r="X3" s="2242"/>
      <c r="Y3" s="2242"/>
    </row>
    <row r="4" spans="1:25" s="596" customFormat="1" ht="18" customHeight="1" x14ac:dyDescent="0.25">
      <c r="A4" s="2243" t="s">
        <v>25</v>
      </c>
      <c r="B4" s="2243" t="s">
        <v>26</v>
      </c>
      <c r="C4" s="2244" t="s">
        <v>27</v>
      </c>
      <c r="D4" s="2244"/>
      <c r="E4" s="2244" t="s">
        <v>342</v>
      </c>
      <c r="F4" s="2244"/>
      <c r="G4" s="2244" t="s">
        <v>65</v>
      </c>
      <c r="H4" s="2244"/>
      <c r="I4" s="2244" t="s">
        <v>29</v>
      </c>
      <c r="J4" s="2244"/>
      <c r="K4" s="2245" t="s">
        <v>13</v>
      </c>
      <c r="L4" s="2246"/>
      <c r="M4" s="2245" t="s">
        <v>67</v>
      </c>
      <c r="N4" s="2246"/>
      <c r="O4" s="2245" t="s">
        <v>68</v>
      </c>
      <c r="P4" s="2246"/>
      <c r="Q4" s="2245" t="s">
        <v>114</v>
      </c>
      <c r="R4" s="2246"/>
      <c r="S4" s="2244" t="s">
        <v>35</v>
      </c>
      <c r="T4" s="2244"/>
      <c r="U4" s="2245" t="s">
        <v>17</v>
      </c>
      <c r="V4" s="2246"/>
      <c r="W4" s="2247" t="s">
        <v>36</v>
      </c>
      <c r="X4" s="2248"/>
      <c r="Y4" s="2238" t="s">
        <v>30</v>
      </c>
    </row>
    <row r="5" spans="1:25" s="596" customFormat="1" ht="25.5" customHeight="1" x14ac:dyDescent="0.25">
      <c r="A5" s="2243"/>
      <c r="B5" s="2243"/>
      <c r="C5" s="595" t="s">
        <v>42</v>
      </c>
      <c r="D5" s="595" t="s">
        <v>43</v>
      </c>
      <c r="E5" s="595" t="s">
        <v>42</v>
      </c>
      <c r="F5" s="595" t="s">
        <v>43</v>
      </c>
      <c r="G5" s="595" t="s">
        <v>42</v>
      </c>
      <c r="H5" s="595" t="s">
        <v>43</v>
      </c>
      <c r="I5" s="595" t="s">
        <v>42</v>
      </c>
      <c r="J5" s="595" t="s">
        <v>43</v>
      </c>
      <c r="K5" s="595" t="s">
        <v>42</v>
      </c>
      <c r="L5" s="595" t="s">
        <v>43</v>
      </c>
      <c r="M5" s="595" t="s">
        <v>42</v>
      </c>
      <c r="N5" s="595" t="s">
        <v>43</v>
      </c>
      <c r="O5" s="595" t="s">
        <v>42</v>
      </c>
      <c r="P5" s="595" t="s">
        <v>43</v>
      </c>
      <c r="Q5" s="595" t="s">
        <v>42</v>
      </c>
      <c r="R5" s="595" t="s">
        <v>43</v>
      </c>
      <c r="S5" s="33" t="s">
        <v>42</v>
      </c>
      <c r="T5" s="33" t="s">
        <v>43</v>
      </c>
      <c r="U5" s="30" t="s">
        <v>42</v>
      </c>
      <c r="V5" s="30" t="s">
        <v>43</v>
      </c>
      <c r="W5" s="30" t="s">
        <v>42</v>
      </c>
      <c r="X5" s="30" t="s">
        <v>43</v>
      </c>
      <c r="Y5" s="2239"/>
    </row>
    <row r="6" spans="1:25" ht="34.5" customHeight="1" x14ac:dyDescent="0.25">
      <c r="A6" s="12">
        <v>1409935200</v>
      </c>
      <c r="B6" s="594" t="s">
        <v>71</v>
      </c>
      <c r="C6" s="592">
        <v>23877</v>
      </c>
      <c r="D6" s="591">
        <f>0.9725*C6</f>
        <v>23220.3825</v>
      </c>
      <c r="E6" s="592"/>
      <c r="F6" s="592">
        <f>67.1*E6</f>
        <v>0</v>
      </c>
      <c r="G6" s="592">
        <v>70</v>
      </c>
      <c r="H6" s="592">
        <f>28.2*G6</f>
        <v>1974</v>
      </c>
      <c r="I6" s="592">
        <v>990</v>
      </c>
      <c r="J6" s="592">
        <f>18.5*I6</f>
        <v>18315</v>
      </c>
      <c r="K6" s="592"/>
      <c r="L6" s="592">
        <f>19.5*K6</f>
        <v>0</v>
      </c>
      <c r="M6" s="592"/>
      <c r="N6" s="591">
        <f>M6*9.75</f>
        <v>0</v>
      </c>
      <c r="O6" s="592"/>
      <c r="P6" s="591">
        <f>O6*48.62</f>
        <v>0</v>
      </c>
      <c r="Q6" s="591"/>
      <c r="R6" s="591">
        <f>241*Q6</f>
        <v>0</v>
      </c>
      <c r="S6" s="592"/>
      <c r="T6" s="592">
        <f>241*S6</f>
        <v>0</v>
      </c>
      <c r="U6" s="592"/>
      <c r="V6" s="592">
        <f>232*U6</f>
        <v>0</v>
      </c>
      <c r="W6" s="592"/>
      <c r="X6" s="19">
        <f>W6*100</f>
        <v>0</v>
      </c>
      <c r="Y6" s="89">
        <f t="shared" ref="Y6:Y11" si="0">D6+F6+H6+J6+L6+N6+P6+R6+T6+V6+X6</f>
        <v>43509.3825</v>
      </c>
    </row>
    <row r="7" spans="1:25" ht="31.5" customHeight="1" x14ac:dyDescent="0.25">
      <c r="A7" s="12">
        <v>1984225578</v>
      </c>
      <c r="B7" s="594" t="s">
        <v>72</v>
      </c>
      <c r="C7" s="592">
        <v>33298</v>
      </c>
      <c r="D7" s="591">
        <f t="shared" ref="D7:D11" si="1">0.9725*C7</f>
        <v>32382.305</v>
      </c>
      <c r="E7" s="592"/>
      <c r="F7" s="592">
        <f t="shared" ref="F7:F11" si="2">67.1*E7</f>
        <v>0</v>
      </c>
      <c r="G7" s="592"/>
      <c r="H7" s="592">
        <f t="shared" ref="H7:H11" si="3">28.2*G7</f>
        <v>0</v>
      </c>
      <c r="I7" s="592">
        <v>320</v>
      </c>
      <c r="J7" s="592">
        <f t="shared" ref="J7:J11" si="4">18.5*I7</f>
        <v>5920</v>
      </c>
      <c r="K7" s="592"/>
      <c r="L7" s="592">
        <f t="shared" ref="L7:L11" si="5">19.5*K7</f>
        <v>0</v>
      </c>
      <c r="M7" s="592"/>
      <c r="N7" s="591">
        <f t="shared" ref="N7:N11" si="6">M7*9.75</f>
        <v>0</v>
      </c>
      <c r="O7" s="592"/>
      <c r="P7" s="591">
        <f t="shared" ref="P7:P11" si="7">O7*48.62</f>
        <v>0</v>
      </c>
      <c r="Q7" s="591"/>
      <c r="R7" s="591">
        <f t="shared" ref="R7:R11" si="8">241*Q7</f>
        <v>0</v>
      </c>
      <c r="S7" s="592">
        <v>1</v>
      </c>
      <c r="T7" s="592">
        <f t="shared" ref="T7:T11" si="9">241*S7</f>
        <v>241</v>
      </c>
      <c r="U7" s="592"/>
      <c r="V7" s="592">
        <f t="shared" ref="V7:V11" si="10">232*U7</f>
        <v>0</v>
      </c>
      <c r="W7" s="592"/>
      <c r="X7" s="19">
        <f t="shared" ref="X7:X11" si="11">W7*100</f>
        <v>0</v>
      </c>
      <c r="Y7" s="89">
        <f t="shared" si="0"/>
        <v>38543.305</v>
      </c>
    </row>
    <row r="8" spans="1:25" ht="35.25" customHeight="1" x14ac:dyDescent="0.25">
      <c r="A8" s="12">
        <v>1967020280</v>
      </c>
      <c r="B8" s="594" t="s">
        <v>73</v>
      </c>
      <c r="C8" s="592">
        <v>39324</v>
      </c>
      <c r="D8" s="591">
        <f t="shared" si="1"/>
        <v>38242.590000000004</v>
      </c>
      <c r="E8" s="592"/>
      <c r="F8" s="592">
        <f t="shared" si="2"/>
        <v>0</v>
      </c>
      <c r="G8" s="592">
        <v>590</v>
      </c>
      <c r="H8" s="592">
        <f t="shared" si="3"/>
        <v>16638</v>
      </c>
      <c r="I8" s="592">
        <v>1630</v>
      </c>
      <c r="J8" s="592">
        <f t="shared" si="4"/>
        <v>30155</v>
      </c>
      <c r="K8" s="592"/>
      <c r="L8" s="592">
        <f t="shared" si="5"/>
        <v>0</v>
      </c>
      <c r="M8" s="592"/>
      <c r="N8" s="591">
        <f t="shared" si="6"/>
        <v>0</v>
      </c>
      <c r="O8" s="592"/>
      <c r="P8" s="591">
        <f t="shared" si="7"/>
        <v>0</v>
      </c>
      <c r="Q8" s="591"/>
      <c r="R8" s="591">
        <f t="shared" si="8"/>
        <v>0</v>
      </c>
      <c r="S8" s="592"/>
      <c r="T8" s="592">
        <f t="shared" si="9"/>
        <v>0</v>
      </c>
      <c r="U8" s="592"/>
      <c r="V8" s="592">
        <f t="shared" si="10"/>
        <v>0</v>
      </c>
      <c r="W8" s="592"/>
      <c r="X8" s="19">
        <f t="shared" si="11"/>
        <v>0</v>
      </c>
      <c r="Y8" s="89">
        <f t="shared" si="0"/>
        <v>85035.59</v>
      </c>
    </row>
    <row r="9" spans="1:25" ht="38.25" customHeight="1" x14ac:dyDescent="0.25">
      <c r="A9" s="12">
        <v>1984225580</v>
      </c>
      <c r="B9" s="594" t="s">
        <v>75</v>
      </c>
      <c r="C9" s="592">
        <v>68413</v>
      </c>
      <c r="D9" s="591">
        <f t="shared" si="1"/>
        <v>66531.642500000002</v>
      </c>
      <c r="E9" s="592"/>
      <c r="F9" s="592">
        <f t="shared" si="2"/>
        <v>0</v>
      </c>
      <c r="G9" s="592">
        <v>40</v>
      </c>
      <c r="H9" s="592">
        <f t="shared" si="3"/>
        <v>1128</v>
      </c>
      <c r="I9" s="592">
        <v>940</v>
      </c>
      <c r="J9" s="592">
        <f t="shared" si="4"/>
        <v>17390</v>
      </c>
      <c r="K9" s="592"/>
      <c r="L9" s="592">
        <f t="shared" si="5"/>
        <v>0</v>
      </c>
      <c r="M9" s="592"/>
      <c r="N9" s="591">
        <f t="shared" si="6"/>
        <v>0</v>
      </c>
      <c r="O9" s="592"/>
      <c r="P9" s="591">
        <f t="shared" si="7"/>
        <v>0</v>
      </c>
      <c r="Q9" s="591"/>
      <c r="R9" s="591">
        <f t="shared" si="8"/>
        <v>0</v>
      </c>
      <c r="S9" s="592"/>
      <c r="T9" s="592">
        <f t="shared" si="9"/>
        <v>0</v>
      </c>
      <c r="U9" s="592"/>
      <c r="V9" s="592">
        <f t="shared" si="10"/>
        <v>0</v>
      </c>
      <c r="W9" s="592"/>
      <c r="X9" s="19">
        <f t="shared" si="11"/>
        <v>0</v>
      </c>
      <c r="Y9" s="89">
        <f t="shared" si="0"/>
        <v>85049.642500000002</v>
      </c>
    </row>
    <row r="10" spans="1:25" ht="35.25" customHeight="1" x14ac:dyDescent="0.25">
      <c r="A10" s="12">
        <v>1409935199</v>
      </c>
      <c r="C10" s="592"/>
      <c r="D10" s="591">
        <f t="shared" si="1"/>
        <v>0</v>
      </c>
      <c r="E10" s="592"/>
      <c r="F10" s="592">
        <f t="shared" si="2"/>
        <v>0</v>
      </c>
      <c r="G10" s="592"/>
      <c r="H10" s="592">
        <f t="shared" si="3"/>
        <v>0</v>
      </c>
      <c r="I10" s="592"/>
      <c r="J10" s="592">
        <f t="shared" si="4"/>
        <v>0</v>
      </c>
      <c r="K10" s="592"/>
      <c r="L10" s="592">
        <f t="shared" si="5"/>
        <v>0</v>
      </c>
      <c r="M10" s="592"/>
      <c r="N10" s="591">
        <f t="shared" si="6"/>
        <v>0</v>
      </c>
      <c r="O10" s="592"/>
      <c r="P10" s="591">
        <f t="shared" si="7"/>
        <v>0</v>
      </c>
      <c r="Q10" s="591"/>
      <c r="R10" s="591">
        <f t="shared" si="8"/>
        <v>0</v>
      </c>
      <c r="S10" s="592"/>
      <c r="T10" s="592">
        <f t="shared" si="9"/>
        <v>0</v>
      </c>
      <c r="U10" s="592"/>
      <c r="V10" s="592">
        <f t="shared" si="10"/>
        <v>0</v>
      </c>
      <c r="W10" s="592"/>
      <c r="X10" s="19">
        <f t="shared" si="11"/>
        <v>0</v>
      </c>
      <c r="Y10" s="89">
        <f t="shared" si="0"/>
        <v>0</v>
      </c>
    </row>
    <row r="11" spans="1:25" ht="37.5" customHeight="1" x14ac:dyDescent="0.25">
      <c r="A11" s="12"/>
      <c r="B11" s="593"/>
      <c r="C11" s="592"/>
      <c r="D11" s="22">
        <f t="shared" si="1"/>
        <v>0</v>
      </c>
      <c r="E11" s="592"/>
      <c r="F11" s="592">
        <f t="shared" si="2"/>
        <v>0</v>
      </c>
      <c r="G11" s="592"/>
      <c r="H11" s="592">
        <f t="shared" si="3"/>
        <v>0</v>
      </c>
      <c r="I11" s="592"/>
      <c r="J11" s="592">
        <f t="shared" si="4"/>
        <v>0</v>
      </c>
      <c r="K11" s="592"/>
      <c r="L11" s="592">
        <f t="shared" si="5"/>
        <v>0</v>
      </c>
      <c r="M11" s="592"/>
      <c r="N11" s="591">
        <f t="shared" si="6"/>
        <v>0</v>
      </c>
      <c r="O11" s="592"/>
      <c r="P11" s="591">
        <f t="shared" si="7"/>
        <v>0</v>
      </c>
      <c r="Q11" s="591"/>
      <c r="R11" s="591">
        <f t="shared" si="8"/>
        <v>0</v>
      </c>
      <c r="S11" s="592"/>
      <c r="T11" s="592">
        <f t="shared" si="9"/>
        <v>0</v>
      </c>
      <c r="U11" s="592"/>
      <c r="V11" s="592">
        <f t="shared" si="10"/>
        <v>0</v>
      </c>
      <c r="W11" s="592"/>
      <c r="X11" s="19">
        <f t="shared" si="11"/>
        <v>0</v>
      </c>
      <c r="Y11" s="20">
        <f t="shared" si="0"/>
        <v>0</v>
      </c>
    </row>
    <row r="12" spans="1:25" ht="29.25" customHeight="1" x14ac:dyDescent="0.25">
      <c r="A12" s="2235" t="s">
        <v>31</v>
      </c>
      <c r="B12" s="2235"/>
      <c r="C12" s="18">
        <f t="shared" ref="C12:Y12" si="12">SUM(C6:C11)</f>
        <v>164912</v>
      </c>
      <c r="D12" s="18">
        <f t="shared" si="12"/>
        <v>160376.91999999998</v>
      </c>
      <c r="E12" s="18">
        <f t="shared" si="12"/>
        <v>0</v>
      </c>
      <c r="F12" s="18">
        <f t="shared" si="12"/>
        <v>0</v>
      </c>
      <c r="G12" s="18">
        <f t="shared" si="12"/>
        <v>700</v>
      </c>
      <c r="H12" s="18">
        <f t="shared" si="12"/>
        <v>19740</v>
      </c>
      <c r="I12" s="18">
        <f t="shared" si="12"/>
        <v>3880</v>
      </c>
      <c r="J12" s="18">
        <f t="shared" si="12"/>
        <v>71780</v>
      </c>
      <c r="K12" s="18">
        <f t="shared" si="12"/>
        <v>0</v>
      </c>
      <c r="L12" s="18">
        <f t="shared" si="12"/>
        <v>0</v>
      </c>
      <c r="M12" s="18">
        <f t="shared" si="12"/>
        <v>0</v>
      </c>
      <c r="N12" s="23">
        <f t="shared" si="12"/>
        <v>0</v>
      </c>
      <c r="O12" s="18">
        <f t="shared" si="12"/>
        <v>0</v>
      </c>
      <c r="P12" s="23">
        <f t="shared" si="12"/>
        <v>0</v>
      </c>
      <c r="Q12" s="23">
        <f t="shared" si="12"/>
        <v>0</v>
      </c>
      <c r="R12" s="23">
        <f>SUM(R6:R11)</f>
        <v>0</v>
      </c>
      <c r="S12" s="18">
        <f t="shared" si="12"/>
        <v>1</v>
      </c>
      <c r="T12" s="18">
        <f t="shared" si="12"/>
        <v>241</v>
      </c>
      <c r="U12" s="18">
        <f t="shared" si="12"/>
        <v>0</v>
      </c>
      <c r="V12" s="18">
        <f t="shared" si="12"/>
        <v>0</v>
      </c>
      <c r="W12" s="18">
        <f t="shared" si="12"/>
        <v>0</v>
      </c>
      <c r="X12" s="18">
        <f t="shared" si="12"/>
        <v>0</v>
      </c>
      <c r="Y12" s="18">
        <f t="shared" si="12"/>
        <v>252137.91999999998</v>
      </c>
    </row>
    <row r="14" spans="1:25" ht="41.25" customHeight="1" x14ac:dyDescent="0.25">
      <c r="A14" s="30" t="s">
        <v>32</v>
      </c>
      <c r="B14" s="2236" t="s">
        <v>27</v>
      </c>
      <c r="C14" s="2236"/>
      <c r="D14" s="30" t="s">
        <v>333</v>
      </c>
      <c r="E14" s="30" t="s">
        <v>65</v>
      </c>
      <c r="F14" s="30" t="s">
        <v>34</v>
      </c>
      <c r="G14" s="30" t="s">
        <v>13</v>
      </c>
      <c r="H14" s="469" t="s">
        <v>173</v>
      </c>
      <c r="I14" s="30" t="s">
        <v>17</v>
      </c>
      <c r="J14" s="600" t="s">
        <v>174</v>
      </c>
      <c r="K14" s="30" t="s">
        <v>36</v>
      </c>
      <c r="L14" s="30" t="s">
        <v>175</v>
      </c>
      <c r="M14" s="30" t="s">
        <v>69</v>
      </c>
      <c r="N14" s="30" t="s">
        <v>70</v>
      </c>
      <c r="O14" s="600" t="s">
        <v>114</v>
      </c>
      <c r="P14" s="600" t="s">
        <v>339</v>
      </c>
      <c r="Q14" s="2272"/>
      <c r="R14" s="2272"/>
      <c r="S14" s="600"/>
      <c r="T14" s="2235" t="s">
        <v>46</v>
      </c>
      <c r="U14" s="594" t="s">
        <v>176</v>
      </c>
      <c r="V14" s="2260">
        <v>7677</v>
      </c>
      <c r="W14" s="2268"/>
      <c r="X14" s="2261"/>
    </row>
    <row r="15" spans="1:25" ht="22.5" customHeight="1" x14ac:dyDescent="0.25">
      <c r="A15" s="100" t="s">
        <v>38</v>
      </c>
      <c r="B15" s="2260">
        <v>316661</v>
      </c>
      <c r="C15" s="2261"/>
      <c r="D15" s="597">
        <v>1140</v>
      </c>
      <c r="E15" s="597">
        <v>4270</v>
      </c>
      <c r="F15" s="597">
        <v>6670</v>
      </c>
      <c r="G15" s="597">
        <v>0</v>
      </c>
      <c r="H15" s="597">
        <v>506</v>
      </c>
      <c r="I15" s="597">
        <v>5</v>
      </c>
      <c r="J15" s="597">
        <v>122</v>
      </c>
      <c r="K15" s="597">
        <v>85</v>
      </c>
      <c r="L15" s="597">
        <v>1219</v>
      </c>
      <c r="M15" s="597">
        <v>0</v>
      </c>
      <c r="N15" s="597">
        <v>100</v>
      </c>
      <c r="O15" s="597">
        <v>0</v>
      </c>
      <c r="P15" s="597">
        <v>47</v>
      </c>
      <c r="Q15" s="2262"/>
      <c r="R15" s="2262"/>
      <c r="S15" s="594">
        <v>0</v>
      </c>
      <c r="T15" s="2235"/>
      <c r="U15" s="594" t="s">
        <v>64</v>
      </c>
      <c r="V15" s="2262">
        <v>85682</v>
      </c>
      <c r="W15" s="2262"/>
      <c r="X15" s="2262"/>
    </row>
    <row r="16" spans="1:25" ht="24.75" customHeight="1" x14ac:dyDescent="0.25">
      <c r="A16" s="100" t="s">
        <v>39</v>
      </c>
      <c r="B16" s="2260">
        <v>464971</v>
      </c>
      <c r="C16" s="2261"/>
      <c r="D16" s="597"/>
      <c r="E16" s="597"/>
      <c r="F16" s="597">
        <v>1500</v>
      </c>
      <c r="G16" s="597"/>
      <c r="H16" s="597"/>
      <c r="I16" s="597"/>
      <c r="J16" s="597"/>
      <c r="K16" s="597"/>
      <c r="L16" s="597">
        <v>27</v>
      </c>
      <c r="M16" s="597"/>
      <c r="N16" s="597"/>
      <c r="O16" s="597"/>
      <c r="P16" s="597"/>
      <c r="Q16" s="2225"/>
      <c r="R16" s="2225"/>
      <c r="S16" s="597"/>
      <c r="T16" s="2254" t="s">
        <v>55</v>
      </c>
      <c r="U16" s="2254"/>
      <c r="V16" s="2267">
        <f>Y12</f>
        <v>252137.91999999998</v>
      </c>
      <c r="W16" s="2267"/>
      <c r="X16" s="2262"/>
    </row>
    <row r="17" spans="1:25" ht="28.5" customHeight="1" x14ac:dyDescent="0.25">
      <c r="A17" s="101" t="s">
        <v>44</v>
      </c>
      <c r="B17" s="2260">
        <v>15804</v>
      </c>
      <c r="C17" s="2261"/>
      <c r="D17" s="597"/>
      <c r="E17" s="597"/>
      <c r="F17" s="597"/>
      <c r="G17" s="597"/>
      <c r="H17" s="597"/>
      <c r="I17" s="597"/>
      <c r="J17" s="597"/>
      <c r="K17" s="597"/>
      <c r="L17" s="597"/>
      <c r="M17" s="597"/>
      <c r="N17" s="597"/>
      <c r="O17" s="597"/>
      <c r="P17" s="597"/>
      <c r="Q17" s="2225"/>
      <c r="R17" s="2225"/>
      <c r="S17" s="593"/>
      <c r="T17" s="2294" t="s">
        <v>362</v>
      </c>
      <c r="U17" s="2295"/>
      <c r="V17" s="2296"/>
      <c r="W17" s="2296"/>
      <c r="X17" s="2296"/>
    </row>
    <row r="18" spans="1:25" ht="27" customHeight="1" x14ac:dyDescent="0.25">
      <c r="A18" s="100" t="s">
        <v>40</v>
      </c>
      <c r="B18" s="2264">
        <f>C12</f>
        <v>164912</v>
      </c>
      <c r="C18" s="2261"/>
      <c r="D18" s="599">
        <f>E12</f>
        <v>0</v>
      </c>
      <c r="E18" s="599">
        <f>G12</f>
        <v>700</v>
      </c>
      <c r="F18" s="599">
        <f>I12</f>
        <v>3880</v>
      </c>
      <c r="G18" s="599">
        <f>K12</f>
        <v>0</v>
      </c>
      <c r="H18" s="597">
        <v>28</v>
      </c>
      <c r="I18" s="599">
        <f>U12</f>
        <v>0</v>
      </c>
      <c r="J18" s="597"/>
      <c r="K18" s="599">
        <f>W12</f>
        <v>0</v>
      </c>
      <c r="L18" s="597"/>
      <c r="M18" s="599">
        <f>M12</f>
        <v>0</v>
      </c>
      <c r="N18" s="599">
        <f>O12</f>
        <v>0</v>
      </c>
      <c r="O18" s="598">
        <f>Q12</f>
        <v>0</v>
      </c>
      <c r="P18" s="597"/>
      <c r="Q18" s="2262"/>
      <c r="R18" s="2262"/>
      <c r="S18" s="594"/>
      <c r="T18" s="2254" t="s">
        <v>57</v>
      </c>
      <c r="U18" s="2254"/>
      <c r="V18" s="2262">
        <v>520</v>
      </c>
      <c r="W18" s="2262"/>
      <c r="X18" s="2262"/>
      <c r="Y18" s="2269"/>
    </row>
    <row r="19" spans="1:25" ht="25.5" customHeight="1" x14ac:dyDescent="0.25">
      <c r="A19" s="100" t="s">
        <v>41</v>
      </c>
      <c r="B19" s="2260">
        <f>B15+B16+B17-B18</f>
        <v>632524</v>
      </c>
      <c r="C19" s="2261"/>
      <c r="D19" s="597">
        <f>D15+D16+D17-D18</f>
        <v>1140</v>
      </c>
      <c r="E19" s="597">
        <f t="shared" ref="E19:N19" si="13">E15+E16+E17-E18</f>
        <v>3570</v>
      </c>
      <c r="F19" s="597">
        <f t="shared" si="13"/>
        <v>4290</v>
      </c>
      <c r="G19" s="597">
        <f t="shared" si="13"/>
        <v>0</v>
      </c>
      <c r="H19" s="597">
        <f t="shared" si="13"/>
        <v>478</v>
      </c>
      <c r="I19" s="597">
        <f t="shared" si="13"/>
        <v>5</v>
      </c>
      <c r="J19" s="597">
        <f t="shared" si="13"/>
        <v>122</v>
      </c>
      <c r="K19" s="597">
        <f t="shared" si="13"/>
        <v>85</v>
      </c>
      <c r="L19" s="597">
        <f t="shared" si="13"/>
        <v>1246</v>
      </c>
      <c r="M19" s="597">
        <f t="shared" si="13"/>
        <v>0</v>
      </c>
      <c r="N19" s="597">
        <f t="shared" si="13"/>
        <v>100</v>
      </c>
      <c r="O19" s="597">
        <f>O15+O16+O17-O18</f>
        <v>0</v>
      </c>
      <c r="P19" s="597">
        <f>P15+P16+P17-P18</f>
        <v>47</v>
      </c>
      <c r="Q19" s="2260">
        <f t="shared" ref="Q19" si="14">Q15+Q16+Q17-Q18</f>
        <v>0</v>
      </c>
      <c r="R19" s="2261"/>
      <c r="S19" s="594">
        <f>S15+S16-S17-S18</f>
        <v>0</v>
      </c>
      <c r="T19" s="2256" t="s">
        <v>48</v>
      </c>
      <c r="U19" s="49" t="s">
        <v>58</v>
      </c>
      <c r="V19" s="2262">
        <v>250834</v>
      </c>
      <c r="W19" s="2262"/>
      <c r="X19" s="2262"/>
      <c r="Y19" s="2269"/>
    </row>
    <row r="20" spans="1:25" ht="23.25" customHeight="1" x14ac:dyDescent="0.25">
      <c r="A20" s="289" t="s">
        <v>187</v>
      </c>
      <c r="B20" s="2286">
        <f>B19*0.9625</f>
        <v>608804.35</v>
      </c>
      <c r="C20" s="2287"/>
      <c r="D20" s="290">
        <f>D19*66.41</f>
        <v>75707.399999999994</v>
      </c>
      <c r="E20" s="290">
        <f>28.2*E19</f>
        <v>100674</v>
      </c>
      <c r="F20" s="290">
        <f>18.31*F19</f>
        <v>78549.899999999994</v>
      </c>
      <c r="G20" s="290">
        <f>19.3*G19</f>
        <v>0</v>
      </c>
      <c r="H20" s="290">
        <f>241*H19</f>
        <v>115198</v>
      </c>
      <c r="I20" s="290">
        <f>223*I19</f>
        <v>1115</v>
      </c>
      <c r="J20" s="290">
        <f>241*J19</f>
        <v>29402</v>
      </c>
      <c r="K20" s="290">
        <f>K19*100</f>
        <v>8500</v>
      </c>
      <c r="L20" s="290">
        <f>241*L19</f>
        <v>300286</v>
      </c>
      <c r="M20" s="290">
        <f>9.65*M19</f>
        <v>0</v>
      </c>
      <c r="N20" s="290">
        <f>N19*48.2</f>
        <v>4820</v>
      </c>
      <c r="O20" s="290">
        <f>241*O19</f>
        <v>0</v>
      </c>
      <c r="P20" s="290">
        <f>241*P19</f>
        <v>11327</v>
      </c>
      <c r="Q20" s="2286">
        <f>241*Q19</f>
        <v>0</v>
      </c>
      <c r="R20" s="2287"/>
      <c r="S20" s="290">
        <f>241*S19</f>
        <v>0</v>
      </c>
      <c r="T20" s="2257"/>
      <c r="U20" s="49" t="s">
        <v>59</v>
      </c>
      <c r="V20" s="2262">
        <v>75000</v>
      </c>
      <c r="W20" s="2262"/>
      <c r="X20" s="2262"/>
      <c r="Y20" s="2269"/>
    </row>
    <row r="21" spans="1:25" ht="32.25" customHeight="1" x14ac:dyDescent="0.25">
      <c r="A21" s="291" t="s">
        <v>186</v>
      </c>
      <c r="B21" s="2293">
        <f>SUM(B20:S20)</f>
        <v>1334383.6499999999</v>
      </c>
      <c r="C21" s="2293"/>
      <c r="O21" s="601"/>
      <c r="P21" s="601"/>
      <c r="Q21" s="601"/>
      <c r="R21" s="601"/>
      <c r="T21" s="2294" t="s">
        <v>361</v>
      </c>
      <c r="U21" s="2295"/>
      <c r="V21" s="2297"/>
      <c r="W21" s="2298"/>
      <c r="X21" s="2299"/>
      <c r="Y21" s="2269"/>
    </row>
    <row r="22" spans="1:25" ht="35.25" customHeight="1" x14ac:dyDescent="0.25">
      <c r="A22" s="15"/>
      <c r="B22" s="2288" t="s">
        <v>49</v>
      </c>
      <c r="C22" s="2291">
        <v>360434</v>
      </c>
      <c r="D22" s="2291">
        <v>250834</v>
      </c>
      <c r="E22" s="2291">
        <v>400000</v>
      </c>
      <c r="F22" s="2291">
        <f>C22-D22+E22</f>
        <v>509600</v>
      </c>
      <c r="G22" s="601"/>
      <c r="Q22" s="601"/>
      <c r="R22" s="601"/>
      <c r="T22" s="2251" t="s">
        <v>83</v>
      </c>
      <c r="U22" s="50" t="s">
        <v>60</v>
      </c>
      <c r="V22" s="2262">
        <v>251110</v>
      </c>
      <c r="W22" s="2262"/>
      <c r="X22" s="2262"/>
      <c r="Y22" s="2269"/>
    </row>
    <row r="23" spans="1:25" ht="39.75" customHeight="1" x14ac:dyDescent="0.25">
      <c r="A23" s="601"/>
      <c r="B23" s="2289"/>
      <c r="C23" s="2292"/>
      <c r="D23" s="2292"/>
      <c r="E23" s="2292"/>
      <c r="F23" s="2292"/>
      <c r="G23" s="601"/>
      <c r="Q23" s="601"/>
      <c r="R23" s="601"/>
      <c r="T23" s="2252"/>
      <c r="U23" s="50" t="s">
        <v>61</v>
      </c>
      <c r="V23" s="2262">
        <v>325834</v>
      </c>
      <c r="W23" s="2262"/>
      <c r="X23" s="2262"/>
      <c r="Y23" s="2269"/>
    </row>
    <row r="24" spans="1:25" ht="48" customHeight="1" x14ac:dyDescent="0.25">
      <c r="A24" s="601"/>
      <c r="B24" s="2290"/>
      <c r="C24" s="290" t="s">
        <v>46</v>
      </c>
      <c r="D24" s="290" t="s">
        <v>50</v>
      </c>
      <c r="E24" s="290" t="s">
        <v>51</v>
      </c>
      <c r="F24" s="290" t="s">
        <v>52</v>
      </c>
      <c r="G24" s="601"/>
      <c r="Q24" s="601"/>
      <c r="R24" s="601"/>
      <c r="T24" s="2235" t="s">
        <v>47</v>
      </c>
      <c r="U24" s="51" t="s">
        <v>62</v>
      </c>
      <c r="V24" s="2263">
        <f>V14+V16+V17-V18-V19-V20-V22+V23-V21</f>
        <v>8184.9199999999837</v>
      </c>
      <c r="W24" s="2263"/>
      <c r="X24" s="2263"/>
      <c r="Y24" s="2269"/>
    </row>
    <row r="25" spans="1:25" ht="40.5" customHeight="1" x14ac:dyDescent="0.25">
      <c r="T25" s="2235"/>
      <c r="U25" s="51" t="s">
        <v>63</v>
      </c>
      <c r="V25" s="2262">
        <f>V15+V22-V23</f>
        <v>10958</v>
      </c>
      <c r="W25" s="2262"/>
      <c r="X25" s="2262"/>
    </row>
    <row r="26" spans="1:25" ht="36" customHeight="1" x14ac:dyDescent="0.25">
      <c r="K26" s="314"/>
    </row>
    <row r="28" spans="1:25" x14ac:dyDescent="0.25">
      <c r="J28" s="14" t="s">
        <v>139</v>
      </c>
    </row>
    <row r="32" spans="1:25" x14ac:dyDescent="0.25">
      <c r="I32" s="2280"/>
      <c r="J32" s="2280"/>
      <c r="K32" s="2280"/>
      <c r="L32" s="2280"/>
    </row>
    <row r="33" spans="9:12" x14ac:dyDescent="0.25">
      <c r="I33" s="601"/>
      <c r="J33" s="601"/>
      <c r="K33" s="2280"/>
      <c r="L33" s="2280"/>
    </row>
  </sheetData>
  <mergeCells count="62">
    <mergeCell ref="A1:Y1"/>
    <mergeCell ref="A2:Y2"/>
    <mergeCell ref="T3:Y3"/>
    <mergeCell ref="A4:A5"/>
    <mergeCell ref="B4:B5"/>
    <mergeCell ref="C4:D4"/>
    <mergeCell ref="E4:F4"/>
    <mergeCell ref="G4:H4"/>
    <mergeCell ref="I4:J4"/>
    <mergeCell ref="K4:L4"/>
    <mergeCell ref="Y4:Y5"/>
    <mergeCell ref="M4:N4"/>
    <mergeCell ref="O4:P4"/>
    <mergeCell ref="Q4:R4"/>
    <mergeCell ref="S4:T4"/>
    <mergeCell ref="U4:V4"/>
    <mergeCell ref="W4:X4"/>
    <mergeCell ref="B16:C16"/>
    <mergeCell ref="Q16:R16"/>
    <mergeCell ref="T16:U16"/>
    <mergeCell ref="V16:X16"/>
    <mergeCell ref="A12:B12"/>
    <mergeCell ref="B14:C14"/>
    <mergeCell ref="Q14:R14"/>
    <mergeCell ref="T14:T15"/>
    <mergeCell ref="V14:X14"/>
    <mergeCell ref="B15:C15"/>
    <mergeCell ref="Q15:R15"/>
    <mergeCell ref="V15:X15"/>
    <mergeCell ref="B17:C17"/>
    <mergeCell ref="Q17:R17"/>
    <mergeCell ref="T17:U17"/>
    <mergeCell ref="V17:X17"/>
    <mergeCell ref="B18:C18"/>
    <mergeCell ref="Q18:R18"/>
    <mergeCell ref="T18:U18"/>
    <mergeCell ref="V18:X18"/>
    <mergeCell ref="Y18:Y24"/>
    <mergeCell ref="B19:C19"/>
    <mergeCell ref="Q19:R19"/>
    <mergeCell ref="T19:T20"/>
    <mergeCell ref="V19:X19"/>
    <mergeCell ref="B20:C20"/>
    <mergeCell ref="B22:B24"/>
    <mergeCell ref="C22:C23"/>
    <mergeCell ref="D22:D23"/>
    <mergeCell ref="E22:E23"/>
    <mergeCell ref="F22:F23"/>
    <mergeCell ref="Q20:R20"/>
    <mergeCell ref="V20:X20"/>
    <mergeCell ref="B21:C21"/>
    <mergeCell ref="T21:U21"/>
    <mergeCell ref="V21:X21"/>
    <mergeCell ref="I32:J32"/>
    <mergeCell ref="K32:L32"/>
    <mergeCell ref="K33:L33"/>
    <mergeCell ref="T22:T23"/>
    <mergeCell ref="V22:X22"/>
    <mergeCell ref="V23:X23"/>
    <mergeCell ref="T24:T25"/>
    <mergeCell ref="V24:X24"/>
    <mergeCell ref="V25:X25"/>
  </mergeCells>
  <pageMargins left="0.15748031496063" right="0.15748031496063" top="0" bottom="0" header="0" footer="0"/>
  <pageSetup paperSize="9" scale="47" orientation="landscape" r:id="rId1"/>
</worksheet>
</file>

<file path=xl/worksheets/sheet15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8BEC388-3A00-4004-BBD8-55DA6EA14CC0}">
  <sheetPr>
    <pageSetUpPr fitToPage="1"/>
  </sheetPr>
  <dimension ref="A1:Y33"/>
  <sheetViews>
    <sheetView topLeftCell="A10" zoomScale="70" zoomScaleNormal="70" zoomScaleSheetLayoutView="100" workbookViewId="0">
      <selection activeCell="J25" sqref="J25"/>
    </sheetView>
  </sheetViews>
  <sheetFormatPr defaultColWidth="9.140625" defaultRowHeight="15" x14ac:dyDescent="0.25"/>
  <cols>
    <col min="1" max="1" width="18.28515625" style="14" customWidth="1"/>
    <col min="2" max="2" width="10.7109375" style="14" customWidth="1"/>
    <col min="3" max="3" width="12.28515625" style="14" customWidth="1"/>
    <col min="4" max="4" width="13.140625" style="14" bestFit="1" customWidth="1"/>
    <col min="5" max="5" width="12" style="14" customWidth="1"/>
    <col min="6" max="6" width="12.5703125" style="14" bestFit="1" customWidth="1"/>
    <col min="7" max="7" width="9.28515625" style="14" bestFit="1" customWidth="1"/>
    <col min="8" max="8" width="10.140625" style="14" bestFit="1" customWidth="1"/>
    <col min="9" max="9" width="10.5703125" style="14" bestFit="1" customWidth="1"/>
    <col min="10" max="10" width="10.5703125" style="14" customWidth="1"/>
    <col min="11" max="11" width="10.28515625" style="14" bestFit="1" customWidth="1"/>
    <col min="12" max="12" width="10.42578125" style="14" bestFit="1" customWidth="1"/>
    <col min="13" max="13" width="9.85546875" style="14" bestFit="1" customWidth="1"/>
    <col min="14" max="14" width="10.140625" style="14" bestFit="1" customWidth="1"/>
    <col min="15" max="15" width="9" style="14" customWidth="1"/>
    <col min="16" max="16" width="12.85546875" style="14" bestFit="1" customWidth="1"/>
    <col min="17" max="18" width="9.42578125" style="14" customWidth="1"/>
    <col min="19" max="19" width="13.7109375" style="14" customWidth="1"/>
    <col min="20" max="20" width="12.140625" style="14" customWidth="1"/>
    <col min="21" max="21" width="19.5703125" style="14" bestFit="1" customWidth="1"/>
    <col min="22" max="22" width="9.85546875" style="14" customWidth="1"/>
    <col min="23" max="23" width="10.140625" style="14" bestFit="1" customWidth="1"/>
    <col min="24" max="24" width="10.28515625" style="14" customWidth="1"/>
    <col min="25" max="25" width="28" style="14" customWidth="1"/>
    <col min="26" max="16384" width="9.140625" style="14"/>
  </cols>
  <sheetData>
    <row r="1" spans="1:25" ht="46.15" customHeight="1" x14ac:dyDescent="0.25">
      <c r="A1" s="2240" t="s">
        <v>148</v>
      </c>
      <c r="B1" s="2240"/>
      <c r="C1" s="2240"/>
      <c r="D1" s="2240"/>
      <c r="E1" s="2240"/>
      <c r="F1" s="2240"/>
      <c r="G1" s="2240"/>
      <c r="H1" s="2240"/>
      <c r="I1" s="2240"/>
      <c r="J1" s="2240"/>
      <c r="K1" s="2240"/>
      <c r="L1" s="2240"/>
      <c r="M1" s="2240"/>
      <c r="N1" s="2240"/>
      <c r="O1" s="2240"/>
      <c r="P1" s="2240"/>
      <c r="Q1" s="2240"/>
      <c r="R1" s="2240"/>
      <c r="S1" s="2240"/>
      <c r="T1" s="2240"/>
      <c r="U1" s="2240"/>
      <c r="V1" s="2240"/>
      <c r="W1" s="2240"/>
      <c r="X1" s="2240"/>
      <c r="Y1" s="2240"/>
    </row>
    <row r="2" spans="1:25" ht="21.6" customHeight="1" x14ac:dyDescent="0.25">
      <c r="A2" s="2241" t="s">
        <v>77</v>
      </c>
      <c r="B2" s="2241"/>
      <c r="C2" s="2241"/>
      <c r="D2" s="2241"/>
      <c r="E2" s="2241"/>
      <c r="F2" s="2241"/>
      <c r="G2" s="2241"/>
      <c r="H2" s="2241"/>
      <c r="I2" s="2241"/>
      <c r="J2" s="2241"/>
      <c r="K2" s="2241"/>
      <c r="L2" s="2241"/>
      <c r="M2" s="2241"/>
      <c r="N2" s="2241"/>
      <c r="O2" s="2241"/>
      <c r="P2" s="2241"/>
      <c r="Q2" s="2241"/>
      <c r="R2" s="2241"/>
      <c r="S2" s="2241"/>
      <c r="T2" s="2241"/>
      <c r="U2" s="2241"/>
      <c r="V2" s="2241"/>
      <c r="W2" s="2241"/>
      <c r="X2" s="2241"/>
      <c r="Y2" s="2241"/>
    </row>
    <row r="3" spans="1:25" ht="21" customHeight="1" x14ac:dyDescent="0.25">
      <c r="A3" s="607"/>
      <c r="B3" s="607"/>
      <c r="C3" s="607"/>
      <c r="D3" s="607"/>
      <c r="E3" s="607"/>
      <c r="F3" s="607"/>
      <c r="G3" s="607"/>
      <c r="H3" s="607"/>
      <c r="I3" s="607"/>
      <c r="J3" s="607"/>
      <c r="K3" s="607"/>
      <c r="L3" s="607"/>
      <c r="M3" s="607"/>
      <c r="N3" s="607"/>
      <c r="O3" s="607"/>
      <c r="P3" s="607"/>
      <c r="Q3" s="607"/>
      <c r="R3" s="607"/>
      <c r="S3" s="607"/>
      <c r="T3" s="2242" t="s">
        <v>364</v>
      </c>
      <c r="U3" s="2242"/>
      <c r="V3" s="2242"/>
      <c r="W3" s="2242"/>
      <c r="X3" s="2242"/>
      <c r="Y3" s="2242"/>
    </row>
    <row r="4" spans="1:25" s="607" customFormat="1" ht="18" customHeight="1" x14ac:dyDescent="0.25">
      <c r="A4" s="2243" t="s">
        <v>25</v>
      </c>
      <c r="B4" s="2243" t="s">
        <v>26</v>
      </c>
      <c r="C4" s="2244" t="s">
        <v>27</v>
      </c>
      <c r="D4" s="2244"/>
      <c r="E4" s="2244" t="s">
        <v>342</v>
      </c>
      <c r="F4" s="2244"/>
      <c r="G4" s="2244" t="s">
        <v>65</v>
      </c>
      <c r="H4" s="2244"/>
      <c r="I4" s="2244" t="s">
        <v>29</v>
      </c>
      <c r="J4" s="2244"/>
      <c r="K4" s="2245" t="s">
        <v>13</v>
      </c>
      <c r="L4" s="2246"/>
      <c r="M4" s="2245" t="s">
        <v>67</v>
      </c>
      <c r="N4" s="2246"/>
      <c r="O4" s="2245" t="s">
        <v>68</v>
      </c>
      <c r="P4" s="2246"/>
      <c r="Q4" s="2245" t="s">
        <v>114</v>
      </c>
      <c r="R4" s="2246"/>
      <c r="S4" s="2244" t="s">
        <v>35</v>
      </c>
      <c r="T4" s="2244"/>
      <c r="U4" s="2245" t="s">
        <v>17</v>
      </c>
      <c r="V4" s="2246"/>
      <c r="W4" s="2247" t="s">
        <v>36</v>
      </c>
      <c r="X4" s="2248"/>
      <c r="Y4" s="2238" t="s">
        <v>30</v>
      </c>
    </row>
    <row r="5" spans="1:25" s="607" customFormat="1" ht="25.5" customHeight="1" x14ac:dyDescent="0.25">
      <c r="A5" s="2243"/>
      <c r="B5" s="2243"/>
      <c r="C5" s="606" t="s">
        <v>42</v>
      </c>
      <c r="D5" s="606" t="s">
        <v>43</v>
      </c>
      <c r="E5" s="606" t="s">
        <v>42</v>
      </c>
      <c r="F5" s="606" t="s">
        <v>43</v>
      </c>
      <c r="G5" s="606" t="s">
        <v>42</v>
      </c>
      <c r="H5" s="606" t="s">
        <v>43</v>
      </c>
      <c r="I5" s="606" t="s">
        <v>42</v>
      </c>
      <c r="J5" s="606" t="s">
        <v>43</v>
      </c>
      <c r="K5" s="606" t="s">
        <v>42</v>
      </c>
      <c r="L5" s="606" t="s">
        <v>43</v>
      </c>
      <c r="M5" s="606" t="s">
        <v>42</v>
      </c>
      <c r="N5" s="606" t="s">
        <v>43</v>
      </c>
      <c r="O5" s="606" t="s">
        <v>42</v>
      </c>
      <c r="P5" s="606" t="s">
        <v>43</v>
      </c>
      <c r="Q5" s="606" t="s">
        <v>42</v>
      </c>
      <c r="R5" s="606" t="s">
        <v>43</v>
      </c>
      <c r="S5" s="33" t="s">
        <v>42</v>
      </c>
      <c r="T5" s="33" t="s">
        <v>43</v>
      </c>
      <c r="U5" s="30" t="s">
        <v>42</v>
      </c>
      <c r="V5" s="30" t="s">
        <v>43</v>
      </c>
      <c r="W5" s="30" t="s">
        <v>42</v>
      </c>
      <c r="X5" s="30" t="s">
        <v>43</v>
      </c>
      <c r="Y5" s="2239"/>
    </row>
    <row r="6" spans="1:25" ht="34.5" customHeight="1" x14ac:dyDescent="0.25">
      <c r="A6" s="12">
        <v>1409935200</v>
      </c>
      <c r="B6" s="605" t="s">
        <v>71</v>
      </c>
      <c r="C6" s="603">
        <v>41009</v>
      </c>
      <c r="D6" s="602">
        <f>0.9725*C6</f>
        <v>39881.252500000002</v>
      </c>
      <c r="E6" s="603"/>
      <c r="F6" s="603">
        <f>67.1*E6</f>
        <v>0</v>
      </c>
      <c r="G6" s="603">
        <v>10</v>
      </c>
      <c r="H6" s="603">
        <f>28.2*G6</f>
        <v>282</v>
      </c>
      <c r="I6" s="603">
        <v>550</v>
      </c>
      <c r="J6" s="603">
        <f>18.5*I6</f>
        <v>10175</v>
      </c>
      <c r="K6" s="603"/>
      <c r="L6" s="603">
        <f>19.5*K6</f>
        <v>0</v>
      </c>
      <c r="M6" s="603"/>
      <c r="N6" s="602">
        <f>M6*9.75</f>
        <v>0</v>
      </c>
      <c r="O6" s="603"/>
      <c r="P6" s="602">
        <f>O6*48.62</f>
        <v>0</v>
      </c>
      <c r="Q6" s="602"/>
      <c r="R6" s="602">
        <f>241*Q6</f>
        <v>0</v>
      </c>
      <c r="S6" s="603"/>
      <c r="T6" s="603">
        <f>241*S6</f>
        <v>0</v>
      </c>
      <c r="U6" s="603"/>
      <c r="V6" s="603">
        <f>232*U6</f>
        <v>0</v>
      </c>
      <c r="W6" s="603"/>
      <c r="X6" s="19">
        <f>W6*100</f>
        <v>0</v>
      </c>
      <c r="Y6" s="20">
        <f t="shared" ref="Y6:Y12" si="0">D6+F6+H6+J6+L6+N6+P6+R6+T6+V6+X6</f>
        <v>50338.252500000002</v>
      </c>
    </row>
    <row r="7" spans="1:25" ht="31.5" customHeight="1" x14ac:dyDescent="0.25">
      <c r="A7" s="12">
        <v>1984225578</v>
      </c>
      <c r="B7" s="605" t="s">
        <v>72</v>
      </c>
      <c r="C7" s="603">
        <v>74298</v>
      </c>
      <c r="D7" s="602">
        <f t="shared" ref="D7:D11" si="1">0.9725*C7</f>
        <v>72254.805000000008</v>
      </c>
      <c r="E7" s="603"/>
      <c r="F7" s="603">
        <f t="shared" ref="F7:F11" si="2">67.1*E7</f>
        <v>0</v>
      </c>
      <c r="G7" s="603"/>
      <c r="H7" s="603">
        <f t="shared" ref="H7:H11" si="3">28.2*G7</f>
        <v>0</v>
      </c>
      <c r="I7" s="603"/>
      <c r="J7" s="603">
        <f t="shared" ref="J7:J11" si="4">18.5*I7</f>
        <v>0</v>
      </c>
      <c r="K7" s="603"/>
      <c r="L7" s="603">
        <f t="shared" ref="L7:L11" si="5">19.5*K7</f>
        <v>0</v>
      </c>
      <c r="M7" s="603"/>
      <c r="N7" s="602">
        <f t="shared" ref="N7:N11" si="6">M7*9.75</f>
        <v>0</v>
      </c>
      <c r="O7" s="603"/>
      <c r="P7" s="602">
        <f t="shared" ref="P7:P11" si="7">O7*48.62</f>
        <v>0</v>
      </c>
      <c r="Q7" s="602"/>
      <c r="R7" s="602">
        <f t="shared" ref="R7:R11" si="8">241*Q7</f>
        <v>0</v>
      </c>
      <c r="S7" s="603"/>
      <c r="T7" s="603">
        <f t="shared" ref="T7:T11" si="9">241*S7</f>
        <v>0</v>
      </c>
      <c r="U7" s="603"/>
      <c r="V7" s="603">
        <f t="shared" ref="V7:V11" si="10">232*U7</f>
        <v>0</v>
      </c>
      <c r="W7" s="603"/>
      <c r="X7" s="19">
        <f t="shared" ref="X7:X11" si="11">W7*100</f>
        <v>0</v>
      </c>
      <c r="Y7" s="20">
        <f t="shared" si="0"/>
        <v>72254.805000000008</v>
      </c>
    </row>
    <row r="8" spans="1:25" ht="35.25" customHeight="1" x14ac:dyDescent="0.25">
      <c r="A8" s="12">
        <v>1967020280</v>
      </c>
      <c r="B8" s="605" t="s">
        <v>73</v>
      </c>
      <c r="C8" s="603">
        <v>58692</v>
      </c>
      <c r="D8" s="602">
        <f t="shared" si="1"/>
        <v>57077.97</v>
      </c>
      <c r="E8" s="603"/>
      <c r="F8" s="603">
        <f t="shared" si="2"/>
        <v>0</v>
      </c>
      <c r="G8" s="603"/>
      <c r="H8" s="603">
        <f t="shared" si="3"/>
        <v>0</v>
      </c>
      <c r="I8" s="603">
        <v>2070</v>
      </c>
      <c r="J8" s="603">
        <f t="shared" si="4"/>
        <v>38295</v>
      </c>
      <c r="K8" s="603"/>
      <c r="L8" s="603">
        <f t="shared" si="5"/>
        <v>0</v>
      </c>
      <c r="M8" s="603"/>
      <c r="N8" s="602">
        <f t="shared" si="6"/>
        <v>0</v>
      </c>
      <c r="O8" s="603"/>
      <c r="P8" s="602">
        <f t="shared" si="7"/>
        <v>0</v>
      </c>
      <c r="Q8" s="602"/>
      <c r="R8" s="602">
        <f t="shared" si="8"/>
        <v>0</v>
      </c>
      <c r="S8" s="603"/>
      <c r="T8" s="603">
        <f t="shared" si="9"/>
        <v>0</v>
      </c>
      <c r="U8" s="603"/>
      <c r="V8" s="603">
        <f t="shared" si="10"/>
        <v>0</v>
      </c>
      <c r="W8" s="603"/>
      <c r="X8" s="19">
        <f t="shared" si="11"/>
        <v>0</v>
      </c>
      <c r="Y8" s="20">
        <f t="shared" si="0"/>
        <v>95372.97</v>
      </c>
    </row>
    <row r="9" spans="1:25" ht="38.25" customHeight="1" x14ac:dyDescent="0.25">
      <c r="A9" s="12">
        <v>1984225580</v>
      </c>
      <c r="B9" s="605" t="s">
        <v>75</v>
      </c>
      <c r="C9" s="603">
        <v>28328</v>
      </c>
      <c r="D9" s="602">
        <f t="shared" si="1"/>
        <v>27548.98</v>
      </c>
      <c r="E9" s="603">
        <v>10</v>
      </c>
      <c r="F9" s="603">
        <f t="shared" si="2"/>
        <v>671</v>
      </c>
      <c r="G9" s="603">
        <v>40</v>
      </c>
      <c r="H9" s="603">
        <f t="shared" si="3"/>
        <v>1128</v>
      </c>
      <c r="I9" s="603"/>
      <c r="J9" s="603">
        <f t="shared" si="4"/>
        <v>0</v>
      </c>
      <c r="K9" s="603"/>
      <c r="L9" s="603">
        <f t="shared" si="5"/>
        <v>0</v>
      </c>
      <c r="M9" s="603"/>
      <c r="N9" s="602">
        <f t="shared" si="6"/>
        <v>0</v>
      </c>
      <c r="O9" s="603"/>
      <c r="P9" s="602">
        <f t="shared" si="7"/>
        <v>0</v>
      </c>
      <c r="Q9" s="602"/>
      <c r="R9" s="602">
        <f t="shared" si="8"/>
        <v>0</v>
      </c>
      <c r="S9" s="603"/>
      <c r="T9" s="603">
        <f t="shared" si="9"/>
        <v>0</v>
      </c>
      <c r="U9" s="603"/>
      <c r="V9" s="603">
        <f t="shared" si="10"/>
        <v>0</v>
      </c>
      <c r="W9" s="603"/>
      <c r="X9" s="19">
        <f t="shared" si="11"/>
        <v>0</v>
      </c>
      <c r="Y9" s="20">
        <f t="shared" si="0"/>
        <v>29347.98</v>
      </c>
    </row>
    <row r="10" spans="1:25" ht="35.25" customHeight="1" x14ac:dyDescent="0.25">
      <c r="A10" s="12">
        <v>1409935199</v>
      </c>
      <c r="C10" s="603">
        <v>5261</v>
      </c>
      <c r="D10" s="602">
        <f t="shared" si="1"/>
        <v>5116.3225000000002</v>
      </c>
      <c r="E10" s="603"/>
      <c r="F10" s="603">
        <f t="shared" si="2"/>
        <v>0</v>
      </c>
      <c r="G10" s="603"/>
      <c r="H10" s="603">
        <f t="shared" si="3"/>
        <v>0</v>
      </c>
      <c r="I10" s="603"/>
      <c r="J10" s="603">
        <f t="shared" si="4"/>
        <v>0</v>
      </c>
      <c r="K10" s="603"/>
      <c r="L10" s="603">
        <f t="shared" si="5"/>
        <v>0</v>
      </c>
      <c r="M10" s="603"/>
      <c r="N10" s="602">
        <f t="shared" si="6"/>
        <v>0</v>
      </c>
      <c r="O10" s="603"/>
      <c r="P10" s="602">
        <f t="shared" si="7"/>
        <v>0</v>
      </c>
      <c r="Q10" s="602"/>
      <c r="R10" s="602">
        <f t="shared" si="8"/>
        <v>0</v>
      </c>
      <c r="S10" s="603"/>
      <c r="T10" s="603">
        <f t="shared" si="9"/>
        <v>0</v>
      </c>
      <c r="U10" s="603"/>
      <c r="V10" s="603">
        <f t="shared" si="10"/>
        <v>0</v>
      </c>
      <c r="W10" s="603"/>
      <c r="X10" s="19">
        <f t="shared" si="11"/>
        <v>0</v>
      </c>
      <c r="Y10" s="20">
        <f t="shared" si="0"/>
        <v>5116.3225000000002</v>
      </c>
    </row>
    <row r="11" spans="1:25" ht="37.5" customHeight="1" x14ac:dyDescent="0.25">
      <c r="A11" s="12"/>
      <c r="B11" s="604"/>
      <c r="C11" s="603"/>
      <c r="D11" s="22">
        <f t="shared" si="1"/>
        <v>0</v>
      </c>
      <c r="E11" s="603"/>
      <c r="F11" s="603">
        <f t="shared" si="2"/>
        <v>0</v>
      </c>
      <c r="G11" s="603"/>
      <c r="H11" s="603">
        <f t="shared" si="3"/>
        <v>0</v>
      </c>
      <c r="I11" s="603"/>
      <c r="J11" s="603">
        <f t="shared" si="4"/>
        <v>0</v>
      </c>
      <c r="K11" s="603"/>
      <c r="L11" s="603">
        <f t="shared" si="5"/>
        <v>0</v>
      </c>
      <c r="M11" s="603"/>
      <c r="N11" s="602">
        <f t="shared" si="6"/>
        <v>0</v>
      </c>
      <c r="O11" s="603"/>
      <c r="P11" s="602">
        <f t="shared" si="7"/>
        <v>0</v>
      </c>
      <c r="Q11" s="602"/>
      <c r="R11" s="602">
        <f t="shared" si="8"/>
        <v>0</v>
      </c>
      <c r="S11" s="603">
        <v>343</v>
      </c>
      <c r="T11" s="603">
        <f t="shared" si="9"/>
        <v>82663</v>
      </c>
      <c r="U11" s="603"/>
      <c r="V11" s="603">
        <f t="shared" si="10"/>
        <v>0</v>
      </c>
      <c r="W11" s="603"/>
      <c r="X11" s="19">
        <f t="shared" si="11"/>
        <v>0</v>
      </c>
      <c r="Y11" s="20">
        <f t="shared" si="0"/>
        <v>82663</v>
      </c>
    </row>
    <row r="12" spans="1:25" ht="29.25" customHeight="1" x14ac:dyDescent="0.25">
      <c r="A12" s="2235" t="s">
        <v>31</v>
      </c>
      <c r="B12" s="2235"/>
      <c r="C12" s="18">
        <f t="shared" ref="C12:X12" si="12">SUM(C6:C11)</f>
        <v>207588</v>
      </c>
      <c r="D12" s="18">
        <f t="shared" si="12"/>
        <v>201879.33000000005</v>
      </c>
      <c r="E12" s="18">
        <f t="shared" si="12"/>
        <v>10</v>
      </c>
      <c r="F12" s="18">
        <f t="shared" si="12"/>
        <v>671</v>
      </c>
      <c r="G12" s="18">
        <f t="shared" si="12"/>
        <v>50</v>
      </c>
      <c r="H12" s="18">
        <f t="shared" si="12"/>
        <v>1410</v>
      </c>
      <c r="I12" s="18">
        <f t="shared" si="12"/>
        <v>2620</v>
      </c>
      <c r="J12" s="18">
        <f t="shared" si="12"/>
        <v>48470</v>
      </c>
      <c r="K12" s="18">
        <f t="shared" si="12"/>
        <v>0</v>
      </c>
      <c r="L12" s="18">
        <f t="shared" si="12"/>
        <v>0</v>
      </c>
      <c r="M12" s="18">
        <f t="shared" si="12"/>
        <v>0</v>
      </c>
      <c r="N12" s="23">
        <f t="shared" si="12"/>
        <v>0</v>
      </c>
      <c r="O12" s="18">
        <f t="shared" si="12"/>
        <v>0</v>
      </c>
      <c r="P12" s="23">
        <f t="shared" si="12"/>
        <v>0</v>
      </c>
      <c r="Q12" s="23">
        <f t="shared" si="12"/>
        <v>0</v>
      </c>
      <c r="R12" s="23">
        <f>SUM(R6:R11)</f>
        <v>0</v>
      </c>
      <c r="S12" s="18">
        <f t="shared" si="12"/>
        <v>343</v>
      </c>
      <c r="T12" s="18">
        <f t="shared" si="12"/>
        <v>82663</v>
      </c>
      <c r="U12" s="18">
        <f t="shared" si="12"/>
        <v>0</v>
      </c>
      <c r="V12" s="18">
        <f t="shared" si="12"/>
        <v>0</v>
      </c>
      <c r="W12" s="18">
        <f t="shared" si="12"/>
        <v>0</v>
      </c>
      <c r="X12" s="18">
        <f t="shared" si="12"/>
        <v>0</v>
      </c>
      <c r="Y12" s="20">
        <f t="shared" si="0"/>
        <v>335093.33000000007</v>
      </c>
    </row>
    <row r="14" spans="1:25" ht="41.25" customHeight="1" x14ac:dyDescent="0.25">
      <c r="A14" s="30" t="s">
        <v>32</v>
      </c>
      <c r="B14" s="2236" t="s">
        <v>27</v>
      </c>
      <c r="C14" s="2236"/>
      <c r="D14" s="30" t="s">
        <v>333</v>
      </c>
      <c r="E14" s="30" t="s">
        <v>65</v>
      </c>
      <c r="F14" s="30" t="s">
        <v>34</v>
      </c>
      <c r="G14" s="30" t="s">
        <v>13</v>
      </c>
      <c r="H14" s="469" t="s">
        <v>173</v>
      </c>
      <c r="I14" s="30" t="s">
        <v>17</v>
      </c>
      <c r="J14" s="611" t="s">
        <v>174</v>
      </c>
      <c r="K14" s="30" t="s">
        <v>36</v>
      </c>
      <c r="L14" s="30" t="s">
        <v>175</v>
      </c>
      <c r="M14" s="30" t="s">
        <v>69</v>
      </c>
      <c r="N14" s="30" t="s">
        <v>70</v>
      </c>
      <c r="O14" s="611" t="s">
        <v>114</v>
      </c>
      <c r="P14" s="611" t="s">
        <v>339</v>
      </c>
      <c r="Q14" s="2272"/>
      <c r="R14" s="2272"/>
      <c r="S14" s="611"/>
      <c r="T14" s="2235" t="s">
        <v>46</v>
      </c>
      <c r="U14" s="605" t="s">
        <v>176</v>
      </c>
      <c r="V14" s="2260">
        <v>8185</v>
      </c>
      <c r="W14" s="2268"/>
      <c r="X14" s="2261"/>
    </row>
    <row r="15" spans="1:25" ht="22.5" customHeight="1" x14ac:dyDescent="0.25">
      <c r="A15" s="100" t="s">
        <v>38</v>
      </c>
      <c r="B15" s="2260">
        <v>632524</v>
      </c>
      <c r="C15" s="2261"/>
      <c r="D15" s="608">
        <v>1140</v>
      </c>
      <c r="E15" s="608">
        <v>3570</v>
      </c>
      <c r="F15" s="608">
        <v>4290</v>
      </c>
      <c r="G15" s="608">
        <v>0</v>
      </c>
      <c r="H15" s="608">
        <v>478</v>
      </c>
      <c r="I15" s="608">
        <v>5</v>
      </c>
      <c r="J15" s="608">
        <v>122</v>
      </c>
      <c r="K15" s="608">
        <v>85</v>
      </c>
      <c r="L15" s="608">
        <v>1246</v>
      </c>
      <c r="M15" s="608">
        <v>0</v>
      </c>
      <c r="N15" s="608">
        <v>100</v>
      </c>
      <c r="O15" s="608">
        <v>0</v>
      </c>
      <c r="P15" s="608">
        <v>47</v>
      </c>
      <c r="Q15" s="2262"/>
      <c r="R15" s="2262"/>
      <c r="S15" s="605">
        <v>0</v>
      </c>
      <c r="T15" s="2235"/>
      <c r="U15" s="605" t="s">
        <v>64</v>
      </c>
      <c r="V15" s="2262">
        <v>10958</v>
      </c>
      <c r="W15" s="2262"/>
      <c r="X15" s="2262"/>
    </row>
    <row r="16" spans="1:25" ht="24.75" customHeight="1" x14ac:dyDescent="0.25">
      <c r="A16" s="100" t="s">
        <v>39</v>
      </c>
      <c r="B16" s="2260"/>
      <c r="C16" s="2261"/>
      <c r="D16" s="608"/>
      <c r="E16" s="608"/>
      <c r="F16" s="608"/>
      <c r="G16" s="608"/>
      <c r="H16" s="608"/>
      <c r="I16" s="608"/>
      <c r="J16" s="608"/>
      <c r="K16" s="608"/>
      <c r="L16" s="608">
        <v>40</v>
      </c>
      <c r="M16" s="608"/>
      <c r="N16" s="608"/>
      <c r="O16" s="608"/>
      <c r="P16" s="608"/>
      <c r="Q16" s="2225"/>
      <c r="R16" s="2225"/>
      <c r="S16" s="608"/>
      <c r="T16" s="2254" t="s">
        <v>55</v>
      </c>
      <c r="U16" s="2254"/>
      <c r="V16" s="2267">
        <f>Y12</f>
        <v>335093.33000000007</v>
      </c>
      <c r="W16" s="2267"/>
      <c r="X16" s="2262"/>
    </row>
    <row r="17" spans="1:25" ht="28.5" customHeight="1" x14ac:dyDescent="0.25">
      <c r="A17" s="101" t="s">
        <v>44</v>
      </c>
      <c r="B17" s="2260"/>
      <c r="C17" s="2261"/>
      <c r="D17" s="608"/>
      <c r="E17" s="608"/>
      <c r="F17" s="608"/>
      <c r="G17" s="608"/>
      <c r="H17" s="608"/>
      <c r="I17" s="608"/>
      <c r="J17" s="608"/>
      <c r="K17" s="608"/>
      <c r="L17" s="608"/>
      <c r="M17" s="608"/>
      <c r="N17" s="608"/>
      <c r="O17" s="608"/>
      <c r="P17" s="608"/>
      <c r="Q17" s="2225"/>
      <c r="R17" s="2225"/>
      <c r="S17" s="604"/>
      <c r="T17" s="2294" t="s">
        <v>362</v>
      </c>
      <c r="U17" s="2295"/>
      <c r="V17" s="2296"/>
      <c r="W17" s="2296"/>
      <c r="X17" s="2296"/>
    </row>
    <row r="18" spans="1:25" ht="27" customHeight="1" x14ac:dyDescent="0.25">
      <c r="A18" s="100" t="s">
        <v>40</v>
      </c>
      <c r="B18" s="2264">
        <f>C12</f>
        <v>207588</v>
      </c>
      <c r="C18" s="2261"/>
      <c r="D18" s="610">
        <f>E12</f>
        <v>10</v>
      </c>
      <c r="E18" s="610">
        <f>G12</f>
        <v>50</v>
      </c>
      <c r="F18" s="610">
        <f>I12</f>
        <v>2620</v>
      </c>
      <c r="G18" s="610">
        <f>K12</f>
        <v>0</v>
      </c>
      <c r="H18" s="608">
        <v>40</v>
      </c>
      <c r="I18" s="610">
        <f>U12</f>
        <v>0</v>
      </c>
      <c r="J18" s="608">
        <v>53</v>
      </c>
      <c r="K18" s="610">
        <f>W12</f>
        <v>0</v>
      </c>
      <c r="L18" s="608">
        <v>290</v>
      </c>
      <c r="M18" s="610">
        <f>M12</f>
        <v>0</v>
      </c>
      <c r="N18" s="610">
        <f>O12</f>
        <v>0</v>
      </c>
      <c r="O18" s="609">
        <f>Q12</f>
        <v>0</v>
      </c>
      <c r="P18" s="608"/>
      <c r="Q18" s="2262"/>
      <c r="R18" s="2262"/>
      <c r="S18" s="605"/>
      <c r="T18" s="2254" t="s">
        <v>57</v>
      </c>
      <c r="U18" s="2254"/>
      <c r="V18" s="2262">
        <v>84827</v>
      </c>
      <c r="W18" s="2262"/>
      <c r="X18" s="2262"/>
      <c r="Y18" s="2269"/>
    </row>
    <row r="19" spans="1:25" ht="25.5" customHeight="1" x14ac:dyDescent="0.25">
      <c r="A19" s="100" t="s">
        <v>41</v>
      </c>
      <c r="B19" s="2260">
        <f>B15+B16+B17-B18</f>
        <v>424936</v>
      </c>
      <c r="C19" s="2261"/>
      <c r="D19" s="608">
        <f>D15+D16+D17-D18</f>
        <v>1130</v>
      </c>
      <c r="E19" s="608">
        <f t="shared" ref="E19:N19" si="13">E15+E16+E17-E18</f>
        <v>3520</v>
      </c>
      <c r="F19" s="608">
        <f t="shared" si="13"/>
        <v>1670</v>
      </c>
      <c r="G19" s="608">
        <f t="shared" si="13"/>
        <v>0</v>
      </c>
      <c r="H19" s="608">
        <f t="shared" si="13"/>
        <v>438</v>
      </c>
      <c r="I19" s="608">
        <f t="shared" si="13"/>
        <v>5</v>
      </c>
      <c r="J19" s="608">
        <f t="shared" si="13"/>
        <v>69</v>
      </c>
      <c r="K19" s="608">
        <f t="shared" si="13"/>
        <v>85</v>
      </c>
      <c r="L19" s="608">
        <f t="shared" si="13"/>
        <v>996</v>
      </c>
      <c r="M19" s="608">
        <f t="shared" si="13"/>
        <v>0</v>
      </c>
      <c r="N19" s="608">
        <f t="shared" si="13"/>
        <v>100</v>
      </c>
      <c r="O19" s="608">
        <f>O15+O16+O17-O18</f>
        <v>0</v>
      </c>
      <c r="P19" s="608">
        <f>P15+P16+P17-P18</f>
        <v>47</v>
      </c>
      <c r="Q19" s="2260">
        <f t="shared" ref="Q19" si="14">Q15+Q16+Q17-Q18</f>
        <v>0</v>
      </c>
      <c r="R19" s="2261"/>
      <c r="S19" s="605">
        <f>S15+S16-S17-S18</f>
        <v>0</v>
      </c>
      <c r="T19" s="2256" t="s">
        <v>48</v>
      </c>
      <c r="U19" s="49" t="s">
        <v>58</v>
      </c>
      <c r="V19" s="2262"/>
      <c r="W19" s="2262"/>
      <c r="X19" s="2262"/>
      <c r="Y19" s="2269"/>
    </row>
    <row r="20" spans="1:25" ht="23.25" customHeight="1" x14ac:dyDescent="0.25">
      <c r="A20" s="289" t="s">
        <v>187</v>
      </c>
      <c r="B20" s="2286">
        <f>B19*0.9625</f>
        <v>409000.9</v>
      </c>
      <c r="C20" s="2287"/>
      <c r="D20" s="290">
        <f>D19*66.41</f>
        <v>75043.3</v>
      </c>
      <c r="E20" s="290">
        <f>28.2*E19</f>
        <v>99264</v>
      </c>
      <c r="F20" s="290">
        <f>18.31*F19</f>
        <v>30577.699999999997</v>
      </c>
      <c r="G20" s="290">
        <f>19.3*G19</f>
        <v>0</v>
      </c>
      <c r="H20" s="290">
        <f>241*H19</f>
        <v>105558</v>
      </c>
      <c r="I20" s="290">
        <f>223*I19</f>
        <v>1115</v>
      </c>
      <c r="J20" s="290">
        <f>241*J19</f>
        <v>16629</v>
      </c>
      <c r="K20" s="290">
        <f>K19*100</f>
        <v>8500</v>
      </c>
      <c r="L20" s="290">
        <f>241*L19</f>
        <v>240036</v>
      </c>
      <c r="M20" s="290">
        <f>9.65*M19</f>
        <v>0</v>
      </c>
      <c r="N20" s="290">
        <f>N19*48.2</f>
        <v>4820</v>
      </c>
      <c r="O20" s="290">
        <f>241*O19</f>
        <v>0</v>
      </c>
      <c r="P20" s="290">
        <f>241*P19</f>
        <v>11327</v>
      </c>
      <c r="Q20" s="2286">
        <f>241*Q19</f>
        <v>0</v>
      </c>
      <c r="R20" s="2287"/>
      <c r="S20" s="290">
        <f>241*S19</f>
        <v>0</v>
      </c>
      <c r="T20" s="2257"/>
      <c r="U20" s="49" t="s">
        <v>59</v>
      </c>
      <c r="V20" s="2262"/>
      <c r="W20" s="2262"/>
      <c r="X20" s="2262"/>
      <c r="Y20" s="2269"/>
    </row>
    <row r="21" spans="1:25" ht="32.25" customHeight="1" x14ac:dyDescent="0.25">
      <c r="A21" s="291" t="s">
        <v>186</v>
      </c>
      <c r="B21" s="2293">
        <f>SUM(B20:S20)</f>
        <v>1001870.8999999999</v>
      </c>
      <c r="C21" s="2293"/>
      <c r="O21" s="612"/>
      <c r="P21" s="612"/>
      <c r="Q21" s="612"/>
      <c r="R21" s="612"/>
      <c r="T21" s="2294" t="s">
        <v>361</v>
      </c>
      <c r="U21" s="2295"/>
      <c r="V21" s="2297"/>
      <c r="W21" s="2298"/>
      <c r="X21" s="2299"/>
      <c r="Y21" s="2269"/>
    </row>
    <row r="22" spans="1:25" ht="35.25" customHeight="1" x14ac:dyDescent="0.25">
      <c r="A22" s="15"/>
      <c r="B22" s="2288" t="s">
        <v>49</v>
      </c>
      <c r="C22" s="2291">
        <v>509600</v>
      </c>
      <c r="D22" s="2291"/>
      <c r="E22" s="2291"/>
      <c r="F22" s="2291">
        <f>C22-D22+E22</f>
        <v>509600</v>
      </c>
      <c r="G22" s="612"/>
      <c r="Q22" s="612"/>
      <c r="R22" s="612"/>
      <c r="T22" s="2251" t="s">
        <v>83</v>
      </c>
      <c r="U22" s="50" t="s">
        <v>60</v>
      </c>
      <c r="V22" s="2262"/>
      <c r="W22" s="2262"/>
      <c r="X22" s="2262"/>
      <c r="Y22" s="2269"/>
    </row>
    <row r="23" spans="1:25" ht="39.75" customHeight="1" x14ac:dyDescent="0.25">
      <c r="A23" s="612"/>
      <c r="B23" s="2289"/>
      <c r="C23" s="2292"/>
      <c r="D23" s="2292"/>
      <c r="E23" s="2292"/>
      <c r="F23" s="2292"/>
      <c r="G23" s="612"/>
      <c r="Q23" s="612"/>
      <c r="R23" s="612"/>
      <c r="T23" s="2252"/>
      <c r="U23" s="50" t="s">
        <v>61</v>
      </c>
      <c r="V23" s="2262"/>
      <c r="W23" s="2262"/>
      <c r="X23" s="2262"/>
      <c r="Y23" s="2269"/>
    </row>
    <row r="24" spans="1:25" ht="48" customHeight="1" x14ac:dyDescent="0.25">
      <c r="A24" s="612"/>
      <c r="B24" s="2290"/>
      <c r="C24" s="290" t="s">
        <v>46</v>
      </c>
      <c r="D24" s="290" t="s">
        <v>50</v>
      </c>
      <c r="E24" s="290" t="s">
        <v>51</v>
      </c>
      <c r="F24" s="290" t="s">
        <v>52</v>
      </c>
      <c r="G24" s="612"/>
      <c r="Q24" s="612"/>
      <c r="R24" s="612"/>
      <c r="T24" s="2235" t="s">
        <v>47</v>
      </c>
      <c r="U24" s="51" t="s">
        <v>62</v>
      </c>
      <c r="V24" s="2263">
        <f>V14+V16+V17-V18-V19-V20-V22+V23-V21</f>
        <v>258451.33000000007</v>
      </c>
      <c r="W24" s="2263"/>
      <c r="X24" s="2263"/>
      <c r="Y24" s="2269"/>
    </row>
    <row r="25" spans="1:25" ht="40.5" customHeight="1" x14ac:dyDescent="0.25">
      <c r="T25" s="2235"/>
      <c r="U25" s="51" t="s">
        <v>63</v>
      </c>
      <c r="V25" s="2262">
        <f>V15+V22-V23</f>
        <v>10958</v>
      </c>
      <c r="W25" s="2262"/>
      <c r="X25" s="2262"/>
    </row>
    <row r="26" spans="1:25" ht="36" customHeight="1" x14ac:dyDescent="0.25">
      <c r="K26" s="314"/>
    </row>
    <row r="28" spans="1:25" x14ac:dyDescent="0.25">
      <c r="J28" s="14" t="s">
        <v>139</v>
      </c>
    </row>
    <row r="32" spans="1:25" x14ac:dyDescent="0.25">
      <c r="I32" s="2280"/>
      <c r="J32" s="2280"/>
      <c r="K32" s="2280"/>
      <c r="L32" s="2280"/>
    </row>
    <row r="33" spans="9:12" x14ac:dyDescent="0.25">
      <c r="I33" s="612"/>
      <c r="J33" s="612"/>
      <c r="K33" s="2280"/>
      <c r="L33" s="2280"/>
    </row>
  </sheetData>
  <mergeCells count="62">
    <mergeCell ref="A1:Y1"/>
    <mergeCell ref="A2:Y2"/>
    <mergeCell ref="T3:Y3"/>
    <mergeCell ref="A4:A5"/>
    <mergeCell ref="B4:B5"/>
    <mergeCell ref="C4:D4"/>
    <mergeCell ref="E4:F4"/>
    <mergeCell ref="G4:H4"/>
    <mergeCell ref="I4:J4"/>
    <mergeCell ref="K4:L4"/>
    <mergeCell ref="Y4:Y5"/>
    <mergeCell ref="M4:N4"/>
    <mergeCell ref="O4:P4"/>
    <mergeCell ref="Q4:R4"/>
    <mergeCell ref="S4:T4"/>
    <mergeCell ref="U4:V4"/>
    <mergeCell ref="W4:X4"/>
    <mergeCell ref="B16:C16"/>
    <mergeCell ref="Q16:R16"/>
    <mergeCell ref="T16:U16"/>
    <mergeCell ref="V16:X16"/>
    <mergeCell ref="A12:B12"/>
    <mergeCell ref="B14:C14"/>
    <mergeCell ref="Q14:R14"/>
    <mergeCell ref="T14:T15"/>
    <mergeCell ref="V14:X14"/>
    <mergeCell ref="B15:C15"/>
    <mergeCell ref="Q15:R15"/>
    <mergeCell ref="V15:X15"/>
    <mergeCell ref="B17:C17"/>
    <mergeCell ref="Q17:R17"/>
    <mergeCell ref="T17:U17"/>
    <mergeCell ref="V17:X17"/>
    <mergeCell ref="B18:C18"/>
    <mergeCell ref="Q18:R18"/>
    <mergeCell ref="T18:U18"/>
    <mergeCell ref="V18:X18"/>
    <mergeCell ref="Y18:Y24"/>
    <mergeCell ref="B19:C19"/>
    <mergeCell ref="Q19:R19"/>
    <mergeCell ref="T19:T20"/>
    <mergeCell ref="V19:X19"/>
    <mergeCell ref="B20:C20"/>
    <mergeCell ref="B22:B24"/>
    <mergeCell ref="C22:C23"/>
    <mergeCell ref="D22:D23"/>
    <mergeCell ref="E22:E23"/>
    <mergeCell ref="F22:F23"/>
    <mergeCell ref="Q20:R20"/>
    <mergeCell ref="V20:X20"/>
    <mergeCell ref="B21:C21"/>
    <mergeCell ref="T21:U21"/>
    <mergeCell ref="V21:X21"/>
    <mergeCell ref="I32:J32"/>
    <mergeCell ref="K32:L32"/>
    <mergeCell ref="K33:L33"/>
    <mergeCell ref="T22:T23"/>
    <mergeCell ref="V22:X22"/>
    <mergeCell ref="V23:X23"/>
    <mergeCell ref="T24:T25"/>
    <mergeCell ref="V24:X24"/>
    <mergeCell ref="V25:X25"/>
  </mergeCells>
  <pageMargins left="0.15748031496063" right="0.15748031496063" top="0" bottom="0" header="0" footer="0"/>
  <pageSetup paperSize="9" scale="47" orientation="landscape" r:id="rId1"/>
</worksheet>
</file>

<file path=xl/worksheets/sheet15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2F2FCFC-0EF9-489A-807D-9BD0C2DF3B7B}">
  <sheetPr>
    <pageSetUpPr fitToPage="1"/>
  </sheetPr>
  <dimension ref="A1:Y33"/>
  <sheetViews>
    <sheetView zoomScale="70" zoomScaleNormal="70" zoomScaleSheetLayoutView="100" workbookViewId="0">
      <selection activeCell="F10" sqref="F10"/>
    </sheetView>
  </sheetViews>
  <sheetFormatPr defaultColWidth="9.140625" defaultRowHeight="15" x14ac:dyDescent="0.25"/>
  <cols>
    <col min="1" max="1" width="18.28515625" style="14" customWidth="1"/>
    <col min="2" max="2" width="10.7109375" style="14" customWidth="1"/>
    <col min="3" max="3" width="12.28515625" style="14" customWidth="1"/>
    <col min="4" max="4" width="13.140625" style="14" bestFit="1" customWidth="1"/>
    <col min="5" max="5" width="12" style="14" customWidth="1"/>
    <col min="6" max="6" width="12.5703125" style="14" bestFit="1" customWidth="1"/>
    <col min="7" max="7" width="9.28515625" style="14" bestFit="1" customWidth="1"/>
    <col min="8" max="8" width="10.140625" style="14" bestFit="1" customWidth="1"/>
    <col min="9" max="9" width="10.5703125" style="14" bestFit="1" customWidth="1"/>
    <col min="10" max="10" width="10.5703125" style="14" customWidth="1"/>
    <col min="11" max="11" width="10.28515625" style="14" bestFit="1" customWidth="1"/>
    <col min="12" max="12" width="10.42578125" style="14" bestFit="1" customWidth="1"/>
    <col min="13" max="13" width="9.85546875" style="14" bestFit="1" customWidth="1"/>
    <col min="14" max="14" width="10.140625" style="14" bestFit="1" customWidth="1"/>
    <col min="15" max="15" width="9" style="14" customWidth="1"/>
    <col min="16" max="16" width="12.85546875" style="14" bestFit="1" customWidth="1"/>
    <col min="17" max="18" width="9.42578125" style="14" customWidth="1"/>
    <col min="19" max="19" width="13.7109375" style="14" customWidth="1"/>
    <col min="20" max="20" width="12.140625" style="14" customWidth="1"/>
    <col min="21" max="21" width="19.5703125" style="14" bestFit="1" customWidth="1"/>
    <col min="22" max="22" width="9.85546875" style="14" customWidth="1"/>
    <col min="23" max="23" width="10.140625" style="14" bestFit="1" customWidth="1"/>
    <col min="24" max="24" width="10.28515625" style="14" customWidth="1"/>
    <col min="25" max="25" width="28" style="14" customWidth="1"/>
    <col min="26" max="16384" width="9.140625" style="14"/>
  </cols>
  <sheetData>
    <row r="1" spans="1:25" ht="46.15" customHeight="1" x14ac:dyDescent="0.25">
      <c r="A1" s="2240" t="s">
        <v>148</v>
      </c>
      <c r="B1" s="2240"/>
      <c r="C1" s="2240"/>
      <c r="D1" s="2240"/>
      <c r="E1" s="2240"/>
      <c r="F1" s="2240"/>
      <c r="G1" s="2240"/>
      <c r="H1" s="2240"/>
      <c r="I1" s="2240"/>
      <c r="J1" s="2240"/>
      <c r="K1" s="2240"/>
      <c r="L1" s="2240"/>
      <c r="M1" s="2240"/>
      <c r="N1" s="2240"/>
      <c r="O1" s="2240"/>
      <c r="P1" s="2240"/>
      <c r="Q1" s="2240"/>
      <c r="R1" s="2240"/>
      <c r="S1" s="2240"/>
      <c r="T1" s="2240"/>
      <c r="U1" s="2240"/>
      <c r="V1" s="2240"/>
      <c r="W1" s="2240"/>
      <c r="X1" s="2240"/>
      <c r="Y1" s="2240"/>
    </row>
    <row r="2" spans="1:25" ht="21.6" customHeight="1" x14ac:dyDescent="0.25">
      <c r="A2" s="2241" t="s">
        <v>77</v>
      </c>
      <c r="B2" s="2241"/>
      <c r="C2" s="2241"/>
      <c r="D2" s="2241"/>
      <c r="E2" s="2241"/>
      <c r="F2" s="2241"/>
      <c r="G2" s="2241"/>
      <c r="H2" s="2241"/>
      <c r="I2" s="2241"/>
      <c r="J2" s="2241"/>
      <c r="K2" s="2241"/>
      <c r="L2" s="2241"/>
      <c r="M2" s="2241"/>
      <c r="N2" s="2241"/>
      <c r="O2" s="2241"/>
      <c r="P2" s="2241"/>
      <c r="Q2" s="2241"/>
      <c r="R2" s="2241"/>
      <c r="S2" s="2241"/>
      <c r="T2" s="2241"/>
      <c r="U2" s="2241"/>
      <c r="V2" s="2241"/>
      <c r="W2" s="2241"/>
      <c r="X2" s="2241"/>
      <c r="Y2" s="2241"/>
    </row>
    <row r="3" spans="1:25" ht="21" customHeight="1" x14ac:dyDescent="0.25">
      <c r="A3" s="607"/>
      <c r="B3" s="607"/>
      <c r="C3" s="607"/>
      <c r="D3" s="607"/>
      <c r="E3" s="607"/>
      <c r="F3" s="607"/>
      <c r="G3" s="607"/>
      <c r="H3" s="607"/>
      <c r="I3" s="607"/>
      <c r="J3" s="607"/>
      <c r="K3" s="607"/>
      <c r="L3" s="607"/>
      <c r="M3" s="607"/>
      <c r="N3" s="607"/>
      <c r="O3" s="607"/>
      <c r="P3" s="607"/>
      <c r="Q3" s="607"/>
      <c r="R3" s="607"/>
      <c r="S3" s="607"/>
      <c r="T3" s="2242" t="s">
        <v>365</v>
      </c>
      <c r="U3" s="2242"/>
      <c r="V3" s="2242"/>
      <c r="W3" s="2242"/>
      <c r="X3" s="2242"/>
      <c r="Y3" s="2242"/>
    </row>
    <row r="4" spans="1:25" s="607" customFormat="1" ht="18" customHeight="1" x14ac:dyDescent="0.25">
      <c r="A4" s="2243" t="s">
        <v>25</v>
      </c>
      <c r="B4" s="2243" t="s">
        <v>26</v>
      </c>
      <c r="C4" s="2244" t="s">
        <v>27</v>
      </c>
      <c r="D4" s="2244"/>
      <c r="E4" s="2244" t="s">
        <v>342</v>
      </c>
      <c r="F4" s="2244"/>
      <c r="G4" s="2244" t="s">
        <v>65</v>
      </c>
      <c r="H4" s="2244"/>
      <c r="I4" s="2244" t="s">
        <v>29</v>
      </c>
      <c r="J4" s="2244"/>
      <c r="K4" s="2245" t="s">
        <v>13</v>
      </c>
      <c r="L4" s="2246"/>
      <c r="M4" s="2245" t="s">
        <v>67</v>
      </c>
      <c r="N4" s="2246"/>
      <c r="O4" s="2245" t="s">
        <v>68</v>
      </c>
      <c r="P4" s="2246"/>
      <c r="Q4" s="2245" t="s">
        <v>114</v>
      </c>
      <c r="R4" s="2246"/>
      <c r="S4" s="2244" t="s">
        <v>35</v>
      </c>
      <c r="T4" s="2244"/>
      <c r="U4" s="2245" t="s">
        <v>17</v>
      </c>
      <c r="V4" s="2246"/>
      <c r="W4" s="2247" t="s">
        <v>36</v>
      </c>
      <c r="X4" s="2248"/>
      <c r="Y4" s="2238" t="s">
        <v>30</v>
      </c>
    </row>
    <row r="5" spans="1:25" s="607" customFormat="1" ht="25.5" customHeight="1" x14ac:dyDescent="0.25">
      <c r="A5" s="2243"/>
      <c r="B5" s="2243"/>
      <c r="C5" s="606" t="s">
        <v>42</v>
      </c>
      <c r="D5" s="606" t="s">
        <v>43</v>
      </c>
      <c r="E5" s="606" t="s">
        <v>42</v>
      </c>
      <c r="F5" s="606" t="s">
        <v>43</v>
      </c>
      <c r="G5" s="606" t="s">
        <v>42</v>
      </c>
      <c r="H5" s="606" t="s">
        <v>43</v>
      </c>
      <c r="I5" s="606" t="s">
        <v>42</v>
      </c>
      <c r="J5" s="606" t="s">
        <v>43</v>
      </c>
      <c r="K5" s="606" t="s">
        <v>42</v>
      </c>
      <c r="L5" s="606" t="s">
        <v>43</v>
      </c>
      <c r="M5" s="606" t="s">
        <v>42</v>
      </c>
      <c r="N5" s="606" t="s">
        <v>43</v>
      </c>
      <c r="O5" s="606" t="s">
        <v>42</v>
      </c>
      <c r="P5" s="606" t="s">
        <v>43</v>
      </c>
      <c r="Q5" s="606" t="s">
        <v>42</v>
      </c>
      <c r="R5" s="606" t="s">
        <v>43</v>
      </c>
      <c r="S5" s="33" t="s">
        <v>42</v>
      </c>
      <c r="T5" s="33" t="s">
        <v>43</v>
      </c>
      <c r="U5" s="30" t="s">
        <v>42</v>
      </c>
      <c r="V5" s="30" t="s">
        <v>43</v>
      </c>
      <c r="W5" s="30" t="s">
        <v>42</v>
      </c>
      <c r="X5" s="30" t="s">
        <v>43</v>
      </c>
      <c r="Y5" s="2239"/>
    </row>
    <row r="6" spans="1:25" ht="34.5" customHeight="1" x14ac:dyDescent="0.25">
      <c r="A6" s="12">
        <v>1409935200</v>
      </c>
      <c r="B6" s="605" t="s">
        <v>71</v>
      </c>
      <c r="C6" s="603">
        <v>37347</v>
      </c>
      <c r="D6" s="602">
        <f>0.9725*C6</f>
        <v>36319.957500000004</v>
      </c>
      <c r="E6" s="603"/>
      <c r="F6" s="603">
        <f>67.1*E6</f>
        <v>0</v>
      </c>
      <c r="G6" s="603">
        <v>130</v>
      </c>
      <c r="H6" s="603">
        <f>28.2*G6</f>
        <v>3666</v>
      </c>
      <c r="I6" s="603">
        <v>280</v>
      </c>
      <c r="J6" s="603">
        <f>18.5*I6</f>
        <v>5180</v>
      </c>
      <c r="K6" s="603"/>
      <c r="L6" s="603">
        <f>19.5*K6</f>
        <v>0</v>
      </c>
      <c r="M6" s="603"/>
      <c r="N6" s="602">
        <f>M6*9.75</f>
        <v>0</v>
      </c>
      <c r="O6" s="603"/>
      <c r="P6" s="602">
        <f>O6*48.62</f>
        <v>0</v>
      </c>
      <c r="Q6" s="602"/>
      <c r="R6" s="602">
        <f>241*Q6</f>
        <v>0</v>
      </c>
      <c r="S6" s="603">
        <v>4</v>
      </c>
      <c r="T6" s="603">
        <f>241*S6</f>
        <v>964</v>
      </c>
      <c r="U6" s="603"/>
      <c r="V6" s="603">
        <f>232*U6</f>
        <v>0</v>
      </c>
      <c r="W6" s="603"/>
      <c r="X6" s="19">
        <f>W6*100</f>
        <v>0</v>
      </c>
      <c r="Y6" s="20">
        <f t="shared" ref="Y6:Y12" si="0">D6+F6+H6+J6+L6+N6+P6+R6+T6+V6+X6</f>
        <v>46129.957500000004</v>
      </c>
    </row>
    <row r="7" spans="1:25" ht="31.5" customHeight="1" x14ac:dyDescent="0.25">
      <c r="A7" s="12">
        <v>1984225578</v>
      </c>
      <c r="B7" s="605" t="s">
        <v>72</v>
      </c>
      <c r="C7" s="603">
        <v>141779</v>
      </c>
      <c r="D7" s="602">
        <f t="shared" ref="D7:D11" si="1">0.9725*C7</f>
        <v>137880.07750000001</v>
      </c>
      <c r="E7" s="603"/>
      <c r="F7" s="603">
        <f t="shared" ref="F7:F11" si="2">67.1*E7</f>
        <v>0</v>
      </c>
      <c r="G7" s="603"/>
      <c r="H7" s="603">
        <f t="shared" ref="H7:H11" si="3">28.2*G7</f>
        <v>0</v>
      </c>
      <c r="I7" s="603">
        <v>500</v>
      </c>
      <c r="J7" s="603">
        <f t="shared" ref="J7:J11" si="4">18.5*I7</f>
        <v>9250</v>
      </c>
      <c r="K7" s="603"/>
      <c r="L7" s="603">
        <f t="shared" ref="L7:L11" si="5">19.5*K7</f>
        <v>0</v>
      </c>
      <c r="M7" s="603"/>
      <c r="N7" s="602">
        <f t="shared" ref="N7:N11" si="6">M7*9.75</f>
        <v>0</v>
      </c>
      <c r="O7" s="603"/>
      <c r="P7" s="602">
        <f t="shared" ref="P7:P11" si="7">O7*48.62</f>
        <v>0</v>
      </c>
      <c r="Q7" s="602"/>
      <c r="R7" s="602">
        <f t="shared" ref="R7:R11" si="8">241*Q7</f>
        <v>0</v>
      </c>
      <c r="S7" s="603"/>
      <c r="T7" s="603">
        <f t="shared" ref="T7:T11" si="9">241*S7</f>
        <v>0</v>
      </c>
      <c r="U7" s="603"/>
      <c r="V7" s="603">
        <f t="shared" ref="V7:V11" si="10">232*U7</f>
        <v>0</v>
      </c>
      <c r="W7" s="603"/>
      <c r="X7" s="19">
        <f t="shared" ref="X7:X11" si="11">W7*100</f>
        <v>0</v>
      </c>
      <c r="Y7" s="20">
        <f t="shared" si="0"/>
        <v>147130.07750000001</v>
      </c>
    </row>
    <row r="8" spans="1:25" ht="35.25" customHeight="1" x14ac:dyDescent="0.25">
      <c r="A8" s="12">
        <v>1967020280</v>
      </c>
      <c r="B8" s="605" t="s">
        <v>73</v>
      </c>
      <c r="C8" s="603">
        <v>101939</v>
      </c>
      <c r="D8" s="602">
        <f t="shared" si="1"/>
        <v>99135.677500000005</v>
      </c>
      <c r="E8" s="603"/>
      <c r="F8" s="603">
        <f t="shared" si="2"/>
        <v>0</v>
      </c>
      <c r="G8" s="603"/>
      <c r="H8" s="603">
        <f t="shared" si="3"/>
        <v>0</v>
      </c>
      <c r="I8" s="603"/>
      <c r="J8" s="603">
        <f t="shared" si="4"/>
        <v>0</v>
      </c>
      <c r="K8" s="603"/>
      <c r="L8" s="603">
        <f t="shared" si="5"/>
        <v>0</v>
      </c>
      <c r="M8" s="603"/>
      <c r="N8" s="602">
        <f t="shared" si="6"/>
        <v>0</v>
      </c>
      <c r="O8" s="603"/>
      <c r="P8" s="602">
        <f t="shared" si="7"/>
        <v>0</v>
      </c>
      <c r="Q8" s="602"/>
      <c r="R8" s="602">
        <f t="shared" si="8"/>
        <v>0</v>
      </c>
      <c r="S8" s="603"/>
      <c r="T8" s="603">
        <f t="shared" si="9"/>
        <v>0</v>
      </c>
      <c r="U8" s="603"/>
      <c r="V8" s="603">
        <f t="shared" si="10"/>
        <v>0</v>
      </c>
      <c r="W8" s="603"/>
      <c r="X8" s="19">
        <f t="shared" si="11"/>
        <v>0</v>
      </c>
      <c r="Y8" s="20">
        <f t="shared" si="0"/>
        <v>99135.677500000005</v>
      </c>
    </row>
    <row r="9" spans="1:25" ht="38.25" customHeight="1" x14ac:dyDescent="0.25">
      <c r="A9" s="12">
        <v>1984225580</v>
      </c>
      <c r="B9" s="605" t="s">
        <v>75</v>
      </c>
      <c r="C9" s="603">
        <v>125995</v>
      </c>
      <c r="D9" s="602">
        <f t="shared" si="1"/>
        <v>122530.1375</v>
      </c>
      <c r="E9" s="603"/>
      <c r="F9" s="603">
        <f t="shared" si="2"/>
        <v>0</v>
      </c>
      <c r="G9" s="603"/>
      <c r="H9" s="603">
        <f t="shared" si="3"/>
        <v>0</v>
      </c>
      <c r="I9" s="603">
        <v>120</v>
      </c>
      <c r="J9" s="603">
        <f t="shared" si="4"/>
        <v>2220</v>
      </c>
      <c r="K9" s="603"/>
      <c r="L9" s="603">
        <f t="shared" si="5"/>
        <v>0</v>
      </c>
      <c r="M9" s="603"/>
      <c r="N9" s="602">
        <f t="shared" si="6"/>
        <v>0</v>
      </c>
      <c r="O9" s="603"/>
      <c r="P9" s="602">
        <f t="shared" si="7"/>
        <v>0</v>
      </c>
      <c r="Q9" s="602"/>
      <c r="R9" s="602">
        <f t="shared" si="8"/>
        <v>0</v>
      </c>
      <c r="S9" s="603"/>
      <c r="T9" s="603">
        <f t="shared" si="9"/>
        <v>0</v>
      </c>
      <c r="U9" s="603"/>
      <c r="V9" s="603">
        <f t="shared" si="10"/>
        <v>0</v>
      </c>
      <c r="W9" s="603"/>
      <c r="X9" s="19">
        <f t="shared" si="11"/>
        <v>0</v>
      </c>
      <c r="Y9" s="20">
        <f t="shared" si="0"/>
        <v>124750.1375</v>
      </c>
    </row>
    <row r="10" spans="1:25" ht="35.25" customHeight="1" x14ac:dyDescent="0.25">
      <c r="A10" s="12">
        <v>1409935199</v>
      </c>
      <c r="C10" s="603"/>
      <c r="D10" s="602">
        <f t="shared" si="1"/>
        <v>0</v>
      </c>
      <c r="E10" s="603"/>
      <c r="F10" s="603">
        <f t="shared" si="2"/>
        <v>0</v>
      </c>
      <c r="G10" s="603"/>
      <c r="H10" s="603">
        <f t="shared" si="3"/>
        <v>0</v>
      </c>
      <c r="I10" s="603"/>
      <c r="J10" s="603">
        <f t="shared" si="4"/>
        <v>0</v>
      </c>
      <c r="K10" s="603"/>
      <c r="L10" s="603">
        <f t="shared" si="5"/>
        <v>0</v>
      </c>
      <c r="M10" s="603"/>
      <c r="N10" s="602">
        <f t="shared" si="6"/>
        <v>0</v>
      </c>
      <c r="O10" s="603"/>
      <c r="P10" s="602">
        <f t="shared" si="7"/>
        <v>0</v>
      </c>
      <c r="Q10" s="602"/>
      <c r="R10" s="602">
        <f t="shared" si="8"/>
        <v>0</v>
      </c>
      <c r="S10" s="603"/>
      <c r="T10" s="603">
        <f t="shared" si="9"/>
        <v>0</v>
      </c>
      <c r="U10" s="603"/>
      <c r="V10" s="603">
        <f t="shared" si="10"/>
        <v>0</v>
      </c>
      <c r="W10" s="603"/>
      <c r="X10" s="19">
        <f t="shared" si="11"/>
        <v>0</v>
      </c>
      <c r="Y10" s="20">
        <f t="shared" si="0"/>
        <v>0</v>
      </c>
    </row>
    <row r="11" spans="1:25" ht="37.5" customHeight="1" x14ac:dyDescent="0.25">
      <c r="A11" s="12"/>
      <c r="B11" s="604"/>
      <c r="C11" s="603"/>
      <c r="D11" s="22">
        <f t="shared" si="1"/>
        <v>0</v>
      </c>
      <c r="E11" s="603"/>
      <c r="F11" s="603">
        <f t="shared" si="2"/>
        <v>0</v>
      </c>
      <c r="G11" s="603"/>
      <c r="H11" s="603">
        <f t="shared" si="3"/>
        <v>0</v>
      </c>
      <c r="I11" s="603"/>
      <c r="J11" s="603">
        <f t="shared" si="4"/>
        <v>0</v>
      </c>
      <c r="K11" s="603"/>
      <c r="L11" s="603">
        <f t="shared" si="5"/>
        <v>0</v>
      </c>
      <c r="M11" s="603"/>
      <c r="N11" s="602">
        <f t="shared" si="6"/>
        <v>0</v>
      </c>
      <c r="O11" s="603"/>
      <c r="P11" s="602">
        <f t="shared" si="7"/>
        <v>0</v>
      </c>
      <c r="Q11" s="602"/>
      <c r="R11" s="602">
        <f t="shared" si="8"/>
        <v>0</v>
      </c>
      <c r="S11" s="603"/>
      <c r="T11" s="603">
        <f t="shared" si="9"/>
        <v>0</v>
      </c>
      <c r="U11" s="603"/>
      <c r="V11" s="603">
        <f t="shared" si="10"/>
        <v>0</v>
      </c>
      <c r="W11" s="603"/>
      <c r="X11" s="19">
        <f t="shared" si="11"/>
        <v>0</v>
      </c>
      <c r="Y11" s="20">
        <f t="shared" si="0"/>
        <v>0</v>
      </c>
    </row>
    <row r="12" spans="1:25" ht="29.25" customHeight="1" x14ac:dyDescent="0.25">
      <c r="A12" s="2235" t="s">
        <v>31</v>
      </c>
      <c r="B12" s="2235"/>
      <c r="C12" s="18">
        <f t="shared" ref="C12:X12" si="12">SUM(C6:C11)</f>
        <v>407060</v>
      </c>
      <c r="D12" s="18">
        <f t="shared" si="12"/>
        <v>395865.85000000003</v>
      </c>
      <c r="E12" s="18">
        <f t="shared" si="12"/>
        <v>0</v>
      </c>
      <c r="F12" s="18">
        <f t="shared" si="12"/>
        <v>0</v>
      </c>
      <c r="G12" s="18">
        <f t="shared" si="12"/>
        <v>130</v>
      </c>
      <c r="H12" s="18">
        <f t="shared" si="12"/>
        <v>3666</v>
      </c>
      <c r="I12" s="18">
        <f t="shared" si="12"/>
        <v>900</v>
      </c>
      <c r="J12" s="18">
        <f t="shared" si="12"/>
        <v>16650</v>
      </c>
      <c r="K12" s="18">
        <f t="shared" si="12"/>
        <v>0</v>
      </c>
      <c r="L12" s="18">
        <f t="shared" si="12"/>
        <v>0</v>
      </c>
      <c r="M12" s="18">
        <f t="shared" si="12"/>
        <v>0</v>
      </c>
      <c r="N12" s="23">
        <f t="shared" si="12"/>
        <v>0</v>
      </c>
      <c r="O12" s="18">
        <f t="shared" si="12"/>
        <v>0</v>
      </c>
      <c r="P12" s="23">
        <f t="shared" si="12"/>
        <v>0</v>
      </c>
      <c r="Q12" s="23">
        <f t="shared" si="12"/>
        <v>0</v>
      </c>
      <c r="R12" s="23">
        <f>SUM(R6:R11)</f>
        <v>0</v>
      </c>
      <c r="S12" s="18">
        <f t="shared" si="12"/>
        <v>4</v>
      </c>
      <c r="T12" s="18">
        <f t="shared" si="12"/>
        <v>964</v>
      </c>
      <c r="U12" s="18">
        <f t="shared" si="12"/>
        <v>0</v>
      </c>
      <c r="V12" s="18">
        <f t="shared" si="12"/>
        <v>0</v>
      </c>
      <c r="W12" s="18">
        <f t="shared" si="12"/>
        <v>0</v>
      </c>
      <c r="X12" s="18">
        <f t="shared" si="12"/>
        <v>0</v>
      </c>
      <c r="Y12" s="20">
        <f t="shared" si="0"/>
        <v>417145.85000000003</v>
      </c>
    </row>
    <row r="14" spans="1:25" ht="41.25" customHeight="1" x14ac:dyDescent="0.25">
      <c r="A14" s="30" t="s">
        <v>32</v>
      </c>
      <c r="B14" s="2236" t="s">
        <v>27</v>
      </c>
      <c r="C14" s="2236"/>
      <c r="D14" s="30" t="s">
        <v>333</v>
      </c>
      <c r="E14" s="30" t="s">
        <v>65</v>
      </c>
      <c r="F14" s="30" t="s">
        <v>34</v>
      </c>
      <c r="G14" s="30" t="s">
        <v>13</v>
      </c>
      <c r="H14" s="469" t="s">
        <v>173</v>
      </c>
      <c r="I14" s="30" t="s">
        <v>17</v>
      </c>
      <c r="J14" s="611" t="s">
        <v>174</v>
      </c>
      <c r="K14" s="30" t="s">
        <v>36</v>
      </c>
      <c r="L14" s="30" t="s">
        <v>175</v>
      </c>
      <c r="M14" s="30" t="s">
        <v>69</v>
      </c>
      <c r="N14" s="30" t="s">
        <v>70</v>
      </c>
      <c r="O14" s="611" t="s">
        <v>114</v>
      </c>
      <c r="P14" s="611" t="s">
        <v>339</v>
      </c>
      <c r="Q14" s="2272"/>
      <c r="R14" s="2272"/>
      <c r="S14" s="611"/>
      <c r="T14" s="2235" t="s">
        <v>46</v>
      </c>
      <c r="U14" s="605" t="s">
        <v>176</v>
      </c>
      <c r="V14" s="2260">
        <v>258451</v>
      </c>
      <c r="W14" s="2268"/>
      <c r="X14" s="2261"/>
    </row>
    <row r="15" spans="1:25" ht="22.5" customHeight="1" x14ac:dyDescent="0.25">
      <c r="A15" s="100" t="s">
        <v>38</v>
      </c>
      <c r="B15" s="2260">
        <v>424936</v>
      </c>
      <c r="C15" s="2261"/>
      <c r="D15" s="608">
        <v>1130</v>
      </c>
      <c r="E15" s="608">
        <v>3520</v>
      </c>
      <c r="F15" s="608">
        <v>1670</v>
      </c>
      <c r="G15" s="608">
        <v>0</v>
      </c>
      <c r="H15" s="608">
        <v>438</v>
      </c>
      <c r="I15" s="608">
        <v>5</v>
      </c>
      <c r="J15" s="608">
        <v>69</v>
      </c>
      <c r="K15" s="608">
        <v>85</v>
      </c>
      <c r="L15" s="608">
        <v>996</v>
      </c>
      <c r="M15" s="608">
        <v>0</v>
      </c>
      <c r="N15" s="608">
        <v>100</v>
      </c>
      <c r="O15" s="608">
        <v>0</v>
      </c>
      <c r="P15" s="608">
        <v>47</v>
      </c>
      <c r="Q15" s="2262"/>
      <c r="R15" s="2262"/>
      <c r="S15" s="605">
        <v>0</v>
      </c>
      <c r="T15" s="2235"/>
      <c r="U15" s="605" t="s">
        <v>64</v>
      </c>
      <c r="V15" s="2262">
        <v>10958</v>
      </c>
      <c r="W15" s="2262"/>
      <c r="X15" s="2262"/>
    </row>
    <row r="16" spans="1:25" ht="24.75" customHeight="1" x14ac:dyDescent="0.25">
      <c r="A16" s="100" t="s">
        <v>39</v>
      </c>
      <c r="B16" s="2260">
        <v>374025</v>
      </c>
      <c r="C16" s="2261"/>
      <c r="D16" s="608"/>
      <c r="E16" s="608"/>
      <c r="F16" s="608"/>
      <c r="G16" s="608"/>
      <c r="H16" s="608"/>
      <c r="I16" s="608"/>
      <c r="J16" s="608"/>
      <c r="K16" s="608"/>
      <c r="L16" s="608">
        <v>16</v>
      </c>
      <c r="M16" s="608"/>
      <c r="N16" s="608"/>
      <c r="O16" s="608"/>
      <c r="P16" s="608"/>
      <c r="Q16" s="2225"/>
      <c r="R16" s="2225"/>
      <c r="S16" s="608"/>
      <c r="T16" s="2254" t="s">
        <v>55</v>
      </c>
      <c r="U16" s="2254"/>
      <c r="V16" s="2267">
        <f>Y12</f>
        <v>417145.85000000003</v>
      </c>
      <c r="W16" s="2267"/>
      <c r="X16" s="2262"/>
    </row>
    <row r="17" spans="1:25" ht="28.5" customHeight="1" x14ac:dyDescent="0.25">
      <c r="A17" s="101" t="s">
        <v>44</v>
      </c>
      <c r="B17" s="2260"/>
      <c r="C17" s="2261"/>
      <c r="D17" s="608"/>
      <c r="E17" s="608"/>
      <c r="F17" s="608"/>
      <c r="G17" s="608"/>
      <c r="H17" s="608"/>
      <c r="I17" s="608"/>
      <c r="J17" s="608"/>
      <c r="K17" s="608"/>
      <c r="L17" s="608"/>
      <c r="M17" s="608"/>
      <c r="N17" s="608"/>
      <c r="O17" s="608"/>
      <c r="P17" s="608"/>
      <c r="Q17" s="2225"/>
      <c r="R17" s="2225"/>
      <c r="S17" s="604"/>
      <c r="T17" s="2294" t="s">
        <v>362</v>
      </c>
      <c r="U17" s="2295"/>
      <c r="V17" s="2296"/>
      <c r="W17" s="2296"/>
      <c r="X17" s="2296"/>
    </row>
    <row r="18" spans="1:25" ht="27" customHeight="1" x14ac:dyDescent="0.25">
      <c r="A18" s="100" t="s">
        <v>40</v>
      </c>
      <c r="B18" s="2264">
        <f>C12</f>
        <v>407060</v>
      </c>
      <c r="C18" s="2261"/>
      <c r="D18" s="610">
        <f>E12</f>
        <v>0</v>
      </c>
      <c r="E18" s="610">
        <f>G12</f>
        <v>130</v>
      </c>
      <c r="F18" s="610">
        <f>I12</f>
        <v>900</v>
      </c>
      <c r="G18" s="610">
        <f>K12</f>
        <v>0</v>
      </c>
      <c r="H18" s="608">
        <v>20</v>
      </c>
      <c r="I18" s="610">
        <f>U12</f>
        <v>0</v>
      </c>
      <c r="J18" s="608"/>
      <c r="K18" s="610">
        <f>W12</f>
        <v>0</v>
      </c>
      <c r="L18" s="608"/>
      <c r="M18" s="610">
        <f>M12</f>
        <v>0</v>
      </c>
      <c r="N18" s="610">
        <f>O12</f>
        <v>0</v>
      </c>
      <c r="O18" s="609">
        <f>Q12</f>
        <v>0</v>
      </c>
      <c r="P18" s="608"/>
      <c r="Q18" s="2262"/>
      <c r="R18" s="2262"/>
      <c r="S18" s="605"/>
      <c r="T18" s="2254" t="s">
        <v>57</v>
      </c>
      <c r="U18" s="2254"/>
      <c r="V18" s="2262">
        <v>5377</v>
      </c>
      <c r="W18" s="2262"/>
      <c r="X18" s="2262"/>
      <c r="Y18" s="2269"/>
    </row>
    <row r="19" spans="1:25" ht="25.5" customHeight="1" x14ac:dyDescent="0.25">
      <c r="A19" s="100" t="s">
        <v>41</v>
      </c>
      <c r="B19" s="2260">
        <f>B15+B16+B17-B18</f>
        <v>391901</v>
      </c>
      <c r="C19" s="2261"/>
      <c r="D19" s="608">
        <f>D15+D16+D17-D18</f>
        <v>1130</v>
      </c>
      <c r="E19" s="608">
        <f t="shared" ref="E19:N19" si="13">E15+E16+E17-E18</f>
        <v>3390</v>
      </c>
      <c r="F19" s="608">
        <f t="shared" si="13"/>
        <v>770</v>
      </c>
      <c r="G19" s="608">
        <f t="shared" si="13"/>
        <v>0</v>
      </c>
      <c r="H19" s="608">
        <f t="shared" si="13"/>
        <v>418</v>
      </c>
      <c r="I19" s="608">
        <f t="shared" si="13"/>
        <v>5</v>
      </c>
      <c r="J19" s="608">
        <f t="shared" si="13"/>
        <v>69</v>
      </c>
      <c r="K19" s="608">
        <f t="shared" si="13"/>
        <v>85</v>
      </c>
      <c r="L19" s="608">
        <f t="shared" si="13"/>
        <v>1012</v>
      </c>
      <c r="M19" s="608">
        <f t="shared" si="13"/>
        <v>0</v>
      </c>
      <c r="N19" s="608">
        <f t="shared" si="13"/>
        <v>100</v>
      </c>
      <c r="O19" s="608">
        <f>O15+O16+O17-O18</f>
        <v>0</v>
      </c>
      <c r="P19" s="608">
        <f>P15+P16+P17-P18</f>
        <v>47</v>
      </c>
      <c r="Q19" s="2260">
        <f t="shared" ref="Q19" si="14">Q15+Q16+Q17-Q18</f>
        <v>0</v>
      </c>
      <c r="R19" s="2261"/>
      <c r="S19" s="605">
        <f>S15+S16-S17-S18</f>
        <v>0</v>
      </c>
      <c r="T19" s="2256" t="s">
        <v>48</v>
      </c>
      <c r="U19" s="49" t="s">
        <v>58</v>
      </c>
      <c r="V19" s="2262">
        <v>400000</v>
      </c>
      <c r="W19" s="2262"/>
      <c r="X19" s="2262"/>
      <c r="Y19" s="2269"/>
    </row>
    <row r="20" spans="1:25" ht="23.25" customHeight="1" x14ac:dyDescent="0.25">
      <c r="A20" s="289" t="s">
        <v>187</v>
      </c>
      <c r="B20" s="2286">
        <f>B19*0.9625</f>
        <v>377204.71250000002</v>
      </c>
      <c r="C20" s="2287"/>
      <c r="D20" s="290">
        <f>D19*66.41</f>
        <v>75043.3</v>
      </c>
      <c r="E20" s="290">
        <f>28.2*E19</f>
        <v>95598</v>
      </c>
      <c r="F20" s="290">
        <f>18.31*F19</f>
        <v>14098.699999999999</v>
      </c>
      <c r="G20" s="290">
        <f>19.3*G19</f>
        <v>0</v>
      </c>
      <c r="H20" s="290">
        <f>241*H19</f>
        <v>100738</v>
      </c>
      <c r="I20" s="290">
        <f>223*I19</f>
        <v>1115</v>
      </c>
      <c r="J20" s="290">
        <f>241*J19</f>
        <v>16629</v>
      </c>
      <c r="K20" s="290">
        <f>K19*100</f>
        <v>8500</v>
      </c>
      <c r="L20" s="290">
        <f>241*L19</f>
        <v>243892</v>
      </c>
      <c r="M20" s="290">
        <f>9.65*M19</f>
        <v>0</v>
      </c>
      <c r="N20" s="290">
        <f>N19*48.2</f>
        <v>4820</v>
      </c>
      <c r="O20" s="290">
        <f>241*O19</f>
        <v>0</v>
      </c>
      <c r="P20" s="290">
        <f>241*P19</f>
        <v>11327</v>
      </c>
      <c r="Q20" s="2286">
        <f>241*Q19</f>
        <v>0</v>
      </c>
      <c r="R20" s="2287"/>
      <c r="S20" s="290">
        <f>241*S19</f>
        <v>0</v>
      </c>
      <c r="T20" s="2257"/>
      <c r="U20" s="49" t="s">
        <v>59</v>
      </c>
      <c r="V20" s="2262"/>
      <c r="W20" s="2262"/>
      <c r="X20" s="2262"/>
      <c r="Y20" s="2269"/>
    </row>
    <row r="21" spans="1:25" ht="32.25" customHeight="1" x14ac:dyDescent="0.25">
      <c r="A21" s="291" t="s">
        <v>186</v>
      </c>
      <c r="B21" s="2293">
        <f>SUM(B20:S20)</f>
        <v>948965.71249999991</v>
      </c>
      <c r="C21" s="2293"/>
      <c r="O21" s="612"/>
      <c r="P21" s="612"/>
      <c r="Q21" s="612"/>
      <c r="R21" s="612"/>
      <c r="T21" s="2294" t="s">
        <v>366</v>
      </c>
      <c r="U21" s="2295"/>
      <c r="V21" s="2297">
        <v>235000</v>
      </c>
      <c r="W21" s="2298"/>
      <c r="X21" s="2299"/>
      <c r="Y21" s="2269"/>
    </row>
    <row r="22" spans="1:25" ht="35.25" customHeight="1" x14ac:dyDescent="0.25">
      <c r="A22" s="15"/>
      <c r="B22" s="2288" t="s">
        <v>49</v>
      </c>
      <c r="C22" s="2291">
        <v>509600</v>
      </c>
      <c r="D22" s="2291">
        <v>400000</v>
      </c>
      <c r="E22" s="2291">
        <v>360000</v>
      </c>
      <c r="F22" s="2291">
        <f>C22-D22+E22</f>
        <v>469600</v>
      </c>
      <c r="G22" s="612"/>
      <c r="Q22" s="612"/>
      <c r="R22" s="612"/>
      <c r="T22" s="2251" t="s">
        <v>83</v>
      </c>
      <c r="U22" s="50" t="s">
        <v>60</v>
      </c>
      <c r="V22" s="2262">
        <v>400000</v>
      </c>
      <c r="W22" s="2262"/>
      <c r="X22" s="2262"/>
      <c r="Y22" s="2269"/>
    </row>
    <row r="23" spans="1:25" ht="39.75" customHeight="1" x14ac:dyDescent="0.25">
      <c r="A23" s="612"/>
      <c r="B23" s="2289"/>
      <c r="C23" s="2292"/>
      <c r="D23" s="2292"/>
      <c r="E23" s="2292"/>
      <c r="F23" s="2292"/>
      <c r="G23" s="612"/>
      <c r="Q23" s="612"/>
      <c r="R23" s="612"/>
      <c r="T23" s="2252"/>
      <c r="U23" s="50" t="s">
        <v>61</v>
      </c>
      <c r="V23" s="2262">
        <v>400000</v>
      </c>
      <c r="W23" s="2262"/>
      <c r="X23" s="2262"/>
      <c r="Y23" s="2269"/>
    </row>
    <row r="24" spans="1:25" ht="48" customHeight="1" x14ac:dyDescent="0.25">
      <c r="A24" s="612"/>
      <c r="B24" s="2290"/>
      <c r="C24" s="290" t="s">
        <v>46</v>
      </c>
      <c r="D24" s="290" t="s">
        <v>50</v>
      </c>
      <c r="E24" s="290" t="s">
        <v>51</v>
      </c>
      <c r="F24" s="290" t="s">
        <v>52</v>
      </c>
      <c r="G24" s="612"/>
      <c r="Q24" s="612"/>
      <c r="R24" s="612"/>
      <c r="T24" s="2235" t="s">
        <v>47</v>
      </c>
      <c r="U24" s="51" t="s">
        <v>62</v>
      </c>
      <c r="V24" s="2263">
        <f>V14+V16+V17-V18-V19-V20-V22+V23-V21</f>
        <v>35219.850000000093</v>
      </c>
      <c r="W24" s="2263"/>
      <c r="X24" s="2263"/>
      <c r="Y24" s="2269"/>
    </row>
    <row r="25" spans="1:25" ht="40.5" customHeight="1" x14ac:dyDescent="0.25">
      <c r="T25" s="2235"/>
      <c r="U25" s="51" t="s">
        <v>63</v>
      </c>
      <c r="V25" s="2262">
        <f>V15+V22-V23</f>
        <v>10958</v>
      </c>
      <c r="W25" s="2262"/>
      <c r="X25" s="2262"/>
    </row>
    <row r="26" spans="1:25" ht="36" customHeight="1" x14ac:dyDescent="0.25">
      <c r="K26" s="314"/>
    </row>
    <row r="28" spans="1:25" x14ac:dyDescent="0.25">
      <c r="J28" s="14" t="s">
        <v>139</v>
      </c>
    </row>
    <row r="32" spans="1:25" x14ac:dyDescent="0.25">
      <c r="I32" s="2280"/>
      <c r="J32" s="2280"/>
      <c r="K32" s="2280"/>
      <c r="L32" s="2280"/>
    </row>
    <row r="33" spans="9:12" x14ac:dyDescent="0.25">
      <c r="I33" s="612"/>
      <c r="J33" s="612"/>
      <c r="K33" s="2280"/>
      <c r="L33" s="2280"/>
    </row>
  </sheetData>
  <mergeCells count="62">
    <mergeCell ref="A1:Y1"/>
    <mergeCell ref="A2:Y2"/>
    <mergeCell ref="T3:Y3"/>
    <mergeCell ref="A4:A5"/>
    <mergeCell ref="B4:B5"/>
    <mergeCell ref="C4:D4"/>
    <mergeCell ref="E4:F4"/>
    <mergeCell ref="G4:H4"/>
    <mergeCell ref="I4:J4"/>
    <mergeCell ref="K4:L4"/>
    <mergeCell ref="Y4:Y5"/>
    <mergeCell ref="M4:N4"/>
    <mergeCell ref="O4:P4"/>
    <mergeCell ref="Q4:R4"/>
    <mergeCell ref="S4:T4"/>
    <mergeCell ref="U4:V4"/>
    <mergeCell ref="W4:X4"/>
    <mergeCell ref="B16:C16"/>
    <mergeCell ref="Q16:R16"/>
    <mergeCell ref="T16:U16"/>
    <mergeCell ref="V16:X16"/>
    <mergeCell ref="A12:B12"/>
    <mergeCell ref="B14:C14"/>
    <mergeCell ref="Q14:R14"/>
    <mergeCell ref="T14:T15"/>
    <mergeCell ref="V14:X14"/>
    <mergeCell ref="B15:C15"/>
    <mergeCell ref="Q15:R15"/>
    <mergeCell ref="V15:X15"/>
    <mergeCell ref="B17:C17"/>
    <mergeCell ref="Q17:R17"/>
    <mergeCell ref="T17:U17"/>
    <mergeCell ref="V17:X17"/>
    <mergeCell ref="B18:C18"/>
    <mergeCell ref="Q18:R18"/>
    <mergeCell ref="T18:U18"/>
    <mergeCell ref="V18:X18"/>
    <mergeCell ref="Y18:Y24"/>
    <mergeCell ref="B19:C19"/>
    <mergeCell ref="Q19:R19"/>
    <mergeCell ref="T19:T20"/>
    <mergeCell ref="V19:X19"/>
    <mergeCell ref="B20:C20"/>
    <mergeCell ref="B22:B24"/>
    <mergeCell ref="C22:C23"/>
    <mergeCell ref="D22:D23"/>
    <mergeCell ref="E22:E23"/>
    <mergeCell ref="F22:F23"/>
    <mergeCell ref="Q20:R20"/>
    <mergeCell ref="V20:X20"/>
    <mergeCell ref="B21:C21"/>
    <mergeCell ref="T21:U21"/>
    <mergeCell ref="V21:X21"/>
    <mergeCell ref="I32:J32"/>
    <mergeCell ref="K32:L32"/>
    <mergeCell ref="K33:L33"/>
    <mergeCell ref="T22:T23"/>
    <mergeCell ref="V22:X22"/>
    <mergeCell ref="V23:X23"/>
    <mergeCell ref="T24:T25"/>
    <mergeCell ref="V24:X24"/>
    <mergeCell ref="V25:X25"/>
  </mergeCells>
  <pageMargins left="0.15748031496063" right="0.15748031496063" top="0" bottom="0" header="0" footer="0"/>
  <pageSetup paperSize="9" scale="47" orientation="landscape" r:id="rId1"/>
</worksheet>
</file>

<file path=xl/worksheets/sheet15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CCFEF72-1603-4DFC-8A2E-C4DF15CB1292}">
  <sheetPr>
    <pageSetUpPr fitToPage="1"/>
  </sheetPr>
  <dimension ref="A1:Y33"/>
  <sheetViews>
    <sheetView topLeftCell="A13" zoomScale="70" zoomScaleNormal="70" zoomScaleSheetLayoutView="100" workbookViewId="0">
      <selection activeCell="K29" sqref="K29"/>
    </sheetView>
  </sheetViews>
  <sheetFormatPr defaultColWidth="9.140625" defaultRowHeight="15" x14ac:dyDescent="0.25"/>
  <cols>
    <col min="1" max="1" width="18.28515625" style="14" customWidth="1"/>
    <col min="2" max="2" width="10.7109375" style="14" customWidth="1"/>
    <col min="3" max="3" width="12.28515625" style="14" customWidth="1"/>
    <col min="4" max="4" width="13.140625" style="14" bestFit="1" customWidth="1"/>
    <col min="5" max="5" width="12" style="14" customWidth="1"/>
    <col min="6" max="6" width="12.5703125" style="14" bestFit="1" customWidth="1"/>
    <col min="7" max="7" width="9.28515625" style="14" bestFit="1" customWidth="1"/>
    <col min="8" max="8" width="10.140625" style="14" bestFit="1" customWidth="1"/>
    <col min="9" max="9" width="10.5703125" style="14" bestFit="1" customWidth="1"/>
    <col min="10" max="10" width="10.5703125" style="14" customWidth="1"/>
    <col min="11" max="11" width="10.28515625" style="14" bestFit="1" customWidth="1"/>
    <col min="12" max="12" width="10.42578125" style="14" bestFit="1" customWidth="1"/>
    <col min="13" max="13" width="9.85546875" style="14" bestFit="1" customWidth="1"/>
    <col min="14" max="14" width="10.140625" style="14" bestFit="1" customWidth="1"/>
    <col min="15" max="15" width="9" style="14" customWidth="1"/>
    <col min="16" max="16" width="12.85546875" style="14" bestFit="1" customWidth="1"/>
    <col min="17" max="18" width="9.42578125" style="14" customWidth="1"/>
    <col min="19" max="19" width="13.7109375" style="14" customWidth="1"/>
    <col min="20" max="20" width="12.140625" style="14" customWidth="1"/>
    <col min="21" max="21" width="19.5703125" style="14" bestFit="1" customWidth="1"/>
    <col min="22" max="22" width="9.85546875" style="14" customWidth="1"/>
    <col min="23" max="23" width="10.140625" style="14" bestFit="1" customWidth="1"/>
    <col min="24" max="24" width="10.28515625" style="14" customWidth="1"/>
    <col min="25" max="25" width="28" style="14" customWidth="1"/>
    <col min="26" max="16384" width="9.140625" style="14"/>
  </cols>
  <sheetData>
    <row r="1" spans="1:25" ht="46.15" customHeight="1" x14ac:dyDescent="0.25">
      <c r="A1" s="2240" t="s">
        <v>148</v>
      </c>
      <c r="B1" s="2240"/>
      <c r="C1" s="2240"/>
      <c r="D1" s="2240"/>
      <c r="E1" s="2240"/>
      <c r="F1" s="2240"/>
      <c r="G1" s="2240"/>
      <c r="H1" s="2240"/>
      <c r="I1" s="2240"/>
      <c r="J1" s="2240"/>
      <c r="K1" s="2240"/>
      <c r="L1" s="2240"/>
      <c r="M1" s="2240"/>
      <c r="N1" s="2240"/>
      <c r="O1" s="2240"/>
      <c r="P1" s="2240"/>
      <c r="Q1" s="2240"/>
      <c r="R1" s="2240"/>
      <c r="S1" s="2240"/>
      <c r="T1" s="2240"/>
      <c r="U1" s="2240"/>
      <c r="V1" s="2240"/>
      <c r="W1" s="2240"/>
      <c r="X1" s="2240"/>
      <c r="Y1" s="2240"/>
    </row>
    <row r="2" spans="1:25" ht="21.6" customHeight="1" x14ac:dyDescent="0.25">
      <c r="A2" s="2241" t="s">
        <v>77</v>
      </c>
      <c r="B2" s="2241"/>
      <c r="C2" s="2241"/>
      <c r="D2" s="2241"/>
      <c r="E2" s="2241"/>
      <c r="F2" s="2241"/>
      <c r="G2" s="2241"/>
      <c r="H2" s="2241"/>
      <c r="I2" s="2241"/>
      <c r="J2" s="2241"/>
      <c r="K2" s="2241"/>
      <c r="L2" s="2241"/>
      <c r="M2" s="2241"/>
      <c r="N2" s="2241"/>
      <c r="O2" s="2241"/>
      <c r="P2" s="2241"/>
      <c r="Q2" s="2241"/>
      <c r="R2" s="2241"/>
      <c r="S2" s="2241"/>
      <c r="T2" s="2241"/>
      <c r="U2" s="2241"/>
      <c r="V2" s="2241"/>
      <c r="W2" s="2241"/>
      <c r="X2" s="2241"/>
      <c r="Y2" s="2241"/>
    </row>
    <row r="3" spans="1:25" ht="21" customHeight="1" x14ac:dyDescent="0.25">
      <c r="A3" s="607"/>
      <c r="B3" s="607"/>
      <c r="C3" s="607"/>
      <c r="D3" s="607"/>
      <c r="E3" s="607"/>
      <c r="F3" s="607"/>
      <c r="G3" s="607"/>
      <c r="H3" s="607"/>
      <c r="I3" s="607"/>
      <c r="J3" s="607"/>
      <c r="K3" s="607"/>
      <c r="L3" s="607"/>
      <c r="M3" s="607"/>
      <c r="N3" s="607"/>
      <c r="O3" s="607"/>
      <c r="P3" s="607"/>
      <c r="Q3" s="607"/>
      <c r="R3" s="607"/>
      <c r="S3" s="607"/>
      <c r="T3" s="2242" t="s">
        <v>367</v>
      </c>
      <c r="U3" s="2242"/>
      <c r="V3" s="2242"/>
      <c r="W3" s="2242"/>
      <c r="X3" s="2242"/>
      <c r="Y3" s="2242"/>
    </row>
    <row r="4" spans="1:25" s="607" customFormat="1" ht="18" customHeight="1" x14ac:dyDescent="0.25">
      <c r="A4" s="2243" t="s">
        <v>25</v>
      </c>
      <c r="B4" s="2243" t="s">
        <v>26</v>
      </c>
      <c r="C4" s="2244" t="s">
        <v>27</v>
      </c>
      <c r="D4" s="2244"/>
      <c r="E4" s="2244" t="s">
        <v>342</v>
      </c>
      <c r="F4" s="2244"/>
      <c r="G4" s="2244" t="s">
        <v>65</v>
      </c>
      <c r="H4" s="2244"/>
      <c r="I4" s="2244" t="s">
        <v>29</v>
      </c>
      <c r="J4" s="2244"/>
      <c r="K4" s="2245" t="s">
        <v>13</v>
      </c>
      <c r="L4" s="2246"/>
      <c r="M4" s="2245" t="s">
        <v>67</v>
      </c>
      <c r="N4" s="2246"/>
      <c r="O4" s="2245" t="s">
        <v>68</v>
      </c>
      <c r="P4" s="2246"/>
      <c r="Q4" s="2245" t="s">
        <v>114</v>
      </c>
      <c r="R4" s="2246"/>
      <c r="S4" s="2244" t="s">
        <v>35</v>
      </c>
      <c r="T4" s="2244"/>
      <c r="U4" s="2245" t="s">
        <v>17</v>
      </c>
      <c r="V4" s="2246"/>
      <c r="W4" s="2247" t="s">
        <v>36</v>
      </c>
      <c r="X4" s="2248"/>
      <c r="Y4" s="2238" t="s">
        <v>30</v>
      </c>
    </row>
    <row r="5" spans="1:25" s="607" customFormat="1" ht="25.5" customHeight="1" x14ac:dyDescent="0.25">
      <c r="A5" s="2243"/>
      <c r="B5" s="2243"/>
      <c r="C5" s="606" t="s">
        <v>42</v>
      </c>
      <c r="D5" s="606" t="s">
        <v>43</v>
      </c>
      <c r="E5" s="606" t="s">
        <v>42</v>
      </c>
      <c r="F5" s="606" t="s">
        <v>43</v>
      </c>
      <c r="G5" s="606" t="s">
        <v>42</v>
      </c>
      <c r="H5" s="606" t="s">
        <v>43</v>
      </c>
      <c r="I5" s="606" t="s">
        <v>42</v>
      </c>
      <c r="J5" s="606" t="s">
        <v>43</v>
      </c>
      <c r="K5" s="606" t="s">
        <v>42</v>
      </c>
      <c r="L5" s="606" t="s">
        <v>43</v>
      </c>
      <c r="M5" s="606" t="s">
        <v>42</v>
      </c>
      <c r="N5" s="606" t="s">
        <v>43</v>
      </c>
      <c r="O5" s="606" t="s">
        <v>42</v>
      </c>
      <c r="P5" s="606" t="s">
        <v>43</v>
      </c>
      <c r="Q5" s="606" t="s">
        <v>42</v>
      </c>
      <c r="R5" s="606" t="s">
        <v>43</v>
      </c>
      <c r="S5" s="33" t="s">
        <v>42</v>
      </c>
      <c r="T5" s="33" t="s">
        <v>43</v>
      </c>
      <c r="U5" s="30" t="s">
        <v>42</v>
      </c>
      <c r="V5" s="30" t="s">
        <v>43</v>
      </c>
      <c r="W5" s="30" t="s">
        <v>42</v>
      </c>
      <c r="X5" s="30" t="s">
        <v>43</v>
      </c>
      <c r="Y5" s="2239"/>
    </row>
    <row r="6" spans="1:25" ht="34.5" customHeight="1" x14ac:dyDescent="0.25">
      <c r="A6" s="12">
        <v>1409935200</v>
      </c>
      <c r="B6" s="605" t="s">
        <v>71</v>
      </c>
      <c r="C6" s="603">
        <v>39863</v>
      </c>
      <c r="D6" s="602">
        <f>0.9725*C6</f>
        <v>38766.767500000002</v>
      </c>
      <c r="E6" s="603"/>
      <c r="F6" s="603">
        <f>67.1*E6</f>
        <v>0</v>
      </c>
      <c r="G6" s="603">
        <v>150</v>
      </c>
      <c r="H6" s="603">
        <f>28.2*G6</f>
        <v>4230</v>
      </c>
      <c r="I6" s="603">
        <v>470</v>
      </c>
      <c r="J6" s="603">
        <f>18.5*I6</f>
        <v>8695</v>
      </c>
      <c r="K6" s="603"/>
      <c r="L6" s="603">
        <f>19.5*K6</f>
        <v>0</v>
      </c>
      <c r="M6" s="603"/>
      <c r="N6" s="602">
        <f>M6*9.75</f>
        <v>0</v>
      </c>
      <c r="O6" s="603"/>
      <c r="P6" s="602">
        <f>O6*48.62</f>
        <v>0</v>
      </c>
      <c r="Q6" s="602"/>
      <c r="R6" s="602">
        <f>241*Q6</f>
        <v>0</v>
      </c>
      <c r="S6" s="603"/>
      <c r="T6" s="603">
        <f>241*S6</f>
        <v>0</v>
      </c>
      <c r="U6" s="603"/>
      <c r="V6" s="603">
        <f>232*U6</f>
        <v>0</v>
      </c>
      <c r="W6" s="603"/>
      <c r="X6" s="19">
        <f>W6*100</f>
        <v>0</v>
      </c>
      <c r="Y6" s="20">
        <f t="shared" ref="Y6:Y12" si="0">D6+F6+H6+J6+L6+N6+P6+R6+T6+V6+X6</f>
        <v>51691.767500000002</v>
      </c>
    </row>
    <row r="7" spans="1:25" ht="31.5" customHeight="1" x14ac:dyDescent="0.25">
      <c r="A7" s="12">
        <v>1984225578</v>
      </c>
      <c r="B7" s="605" t="s">
        <v>72</v>
      </c>
      <c r="C7" s="603">
        <v>7196</v>
      </c>
      <c r="D7" s="602">
        <f t="shared" ref="D7:D11" si="1">0.9725*C7</f>
        <v>6998.1100000000006</v>
      </c>
      <c r="E7" s="603"/>
      <c r="F7" s="603">
        <f t="shared" ref="F7:F11" si="2">67.1*E7</f>
        <v>0</v>
      </c>
      <c r="G7" s="603"/>
      <c r="H7" s="603">
        <f t="shared" ref="H7:H11" si="3">28.2*G7</f>
        <v>0</v>
      </c>
      <c r="I7" s="603"/>
      <c r="J7" s="603">
        <f t="shared" ref="J7:J11" si="4">18.5*I7</f>
        <v>0</v>
      </c>
      <c r="K7" s="603"/>
      <c r="L7" s="603">
        <f t="shared" ref="L7:L11" si="5">19.5*K7</f>
        <v>0</v>
      </c>
      <c r="M7" s="603"/>
      <c r="N7" s="602">
        <f t="shared" ref="N7:N11" si="6">M7*9.75</f>
        <v>0</v>
      </c>
      <c r="O7" s="603"/>
      <c r="P7" s="602">
        <f t="shared" ref="P7:P11" si="7">O7*48.62</f>
        <v>0</v>
      </c>
      <c r="Q7" s="602"/>
      <c r="R7" s="602">
        <f t="shared" ref="R7:R11" si="8">241*Q7</f>
        <v>0</v>
      </c>
      <c r="S7" s="603">
        <v>25</v>
      </c>
      <c r="T7" s="603">
        <f t="shared" ref="T7:T11" si="9">241*S7</f>
        <v>6025</v>
      </c>
      <c r="U7" s="603"/>
      <c r="V7" s="603">
        <f t="shared" ref="V7:V11" si="10">232*U7</f>
        <v>0</v>
      </c>
      <c r="W7" s="603"/>
      <c r="X7" s="19">
        <f t="shared" ref="X7:X11" si="11">W7*100</f>
        <v>0</v>
      </c>
      <c r="Y7" s="20">
        <f t="shared" si="0"/>
        <v>13023.11</v>
      </c>
    </row>
    <row r="8" spans="1:25" ht="35.25" customHeight="1" x14ac:dyDescent="0.25">
      <c r="A8" s="12">
        <v>1967020280</v>
      </c>
      <c r="B8" s="605" t="s">
        <v>73</v>
      </c>
      <c r="C8" s="603">
        <v>4720</v>
      </c>
      <c r="D8" s="602">
        <f t="shared" si="1"/>
        <v>4590.2</v>
      </c>
      <c r="E8" s="603"/>
      <c r="F8" s="603">
        <f t="shared" si="2"/>
        <v>0</v>
      </c>
      <c r="G8" s="603"/>
      <c r="H8" s="603">
        <f t="shared" si="3"/>
        <v>0</v>
      </c>
      <c r="I8" s="603"/>
      <c r="J8" s="603">
        <f t="shared" si="4"/>
        <v>0</v>
      </c>
      <c r="K8" s="603"/>
      <c r="L8" s="603">
        <f t="shared" si="5"/>
        <v>0</v>
      </c>
      <c r="M8" s="603"/>
      <c r="N8" s="602">
        <f t="shared" si="6"/>
        <v>0</v>
      </c>
      <c r="O8" s="603"/>
      <c r="P8" s="602">
        <f t="shared" si="7"/>
        <v>0</v>
      </c>
      <c r="Q8" s="602"/>
      <c r="R8" s="602">
        <f t="shared" si="8"/>
        <v>0</v>
      </c>
      <c r="S8" s="603"/>
      <c r="T8" s="603">
        <f t="shared" si="9"/>
        <v>0</v>
      </c>
      <c r="U8" s="603"/>
      <c r="V8" s="603">
        <f t="shared" si="10"/>
        <v>0</v>
      </c>
      <c r="W8" s="603"/>
      <c r="X8" s="19">
        <f t="shared" si="11"/>
        <v>0</v>
      </c>
      <c r="Y8" s="20">
        <f t="shared" si="0"/>
        <v>4590.2</v>
      </c>
    </row>
    <row r="9" spans="1:25" ht="38.25" customHeight="1" x14ac:dyDescent="0.25">
      <c r="A9" s="12">
        <v>1984225580</v>
      </c>
      <c r="B9" s="605" t="s">
        <v>75</v>
      </c>
      <c r="C9" s="603">
        <v>21576</v>
      </c>
      <c r="D9" s="602">
        <f t="shared" si="1"/>
        <v>20982.66</v>
      </c>
      <c r="E9" s="603"/>
      <c r="F9" s="603">
        <f t="shared" si="2"/>
        <v>0</v>
      </c>
      <c r="G9" s="603">
        <v>10</v>
      </c>
      <c r="H9" s="603">
        <f t="shared" si="3"/>
        <v>282</v>
      </c>
      <c r="I9" s="603"/>
      <c r="J9" s="603">
        <f t="shared" si="4"/>
        <v>0</v>
      </c>
      <c r="K9" s="603"/>
      <c r="L9" s="603">
        <f t="shared" si="5"/>
        <v>0</v>
      </c>
      <c r="M9" s="603"/>
      <c r="N9" s="602">
        <f t="shared" si="6"/>
        <v>0</v>
      </c>
      <c r="O9" s="603"/>
      <c r="P9" s="602">
        <f t="shared" si="7"/>
        <v>0</v>
      </c>
      <c r="Q9" s="602"/>
      <c r="R9" s="602">
        <f t="shared" si="8"/>
        <v>0</v>
      </c>
      <c r="S9" s="603"/>
      <c r="T9" s="603">
        <f t="shared" si="9"/>
        <v>0</v>
      </c>
      <c r="U9" s="603"/>
      <c r="V9" s="603">
        <f t="shared" si="10"/>
        <v>0</v>
      </c>
      <c r="W9" s="603"/>
      <c r="X9" s="19">
        <f t="shared" si="11"/>
        <v>0</v>
      </c>
      <c r="Y9" s="20">
        <f t="shared" si="0"/>
        <v>21264.66</v>
      </c>
    </row>
    <row r="10" spans="1:25" ht="35.25" customHeight="1" x14ac:dyDescent="0.25">
      <c r="A10" s="12">
        <v>1409935199</v>
      </c>
      <c r="C10" s="603"/>
      <c r="D10" s="602">
        <f t="shared" si="1"/>
        <v>0</v>
      </c>
      <c r="E10" s="603"/>
      <c r="F10" s="603">
        <f t="shared" si="2"/>
        <v>0</v>
      </c>
      <c r="G10" s="603"/>
      <c r="H10" s="603">
        <f t="shared" si="3"/>
        <v>0</v>
      </c>
      <c r="I10" s="603"/>
      <c r="J10" s="603">
        <f t="shared" si="4"/>
        <v>0</v>
      </c>
      <c r="K10" s="603"/>
      <c r="L10" s="603">
        <f t="shared" si="5"/>
        <v>0</v>
      </c>
      <c r="M10" s="603"/>
      <c r="N10" s="602">
        <f t="shared" si="6"/>
        <v>0</v>
      </c>
      <c r="O10" s="603"/>
      <c r="P10" s="602">
        <f t="shared" si="7"/>
        <v>0</v>
      </c>
      <c r="Q10" s="602"/>
      <c r="R10" s="602">
        <f t="shared" si="8"/>
        <v>0</v>
      </c>
      <c r="S10" s="603"/>
      <c r="T10" s="603">
        <f t="shared" si="9"/>
        <v>0</v>
      </c>
      <c r="U10" s="603"/>
      <c r="V10" s="603">
        <f t="shared" si="10"/>
        <v>0</v>
      </c>
      <c r="W10" s="603"/>
      <c r="X10" s="19">
        <f t="shared" si="11"/>
        <v>0</v>
      </c>
      <c r="Y10" s="20">
        <f t="shared" si="0"/>
        <v>0</v>
      </c>
    </row>
    <row r="11" spans="1:25" ht="37.5" customHeight="1" x14ac:dyDescent="0.25">
      <c r="A11" s="12"/>
      <c r="B11" s="604"/>
      <c r="C11" s="603"/>
      <c r="D11" s="22">
        <f t="shared" si="1"/>
        <v>0</v>
      </c>
      <c r="E11" s="603"/>
      <c r="F11" s="603">
        <f t="shared" si="2"/>
        <v>0</v>
      </c>
      <c r="G11" s="603"/>
      <c r="H11" s="603">
        <f t="shared" si="3"/>
        <v>0</v>
      </c>
      <c r="I11" s="603"/>
      <c r="J11" s="603">
        <f t="shared" si="4"/>
        <v>0</v>
      </c>
      <c r="K11" s="603"/>
      <c r="L11" s="603">
        <f t="shared" si="5"/>
        <v>0</v>
      </c>
      <c r="M11" s="603"/>
      <c r="N11" s="602">
        <f t="shared" si="6"/>
        <v>0</v>
      </c>
      <c r="O11" s="603"/>
      <c r="P11" s="602">
        <f t="shared" si="7"/>
        <v>0</v>
      </c>
      <c r="Q11" s="602"/>
      <c r="R11" s="602">
        <f t="shared" si="8"/>
        <v>0</v>
      </c>
      <c r="S11" s="603">
        <v>108</v>
      </c>
      <c r="T11" s="603">
        <f t="shared" si="9"/>
        <v>26028</v>
      </c>
      <c r="U11" s="603"/>
      <c r="V11" s="603">
        <f t="shared" si="10"/>
        <v>0</v>
      </c>
      <c r="W11" s="603"/>
      <c r="X11" s="19">
        <f t="shared" si="11"/>
        <v>0</v>
      </c>
      <c r="Y11" s="20">
        <f t="shared" si="0"/>
        <v>26028</v>
      </c>
    </row>
    <row r="12" spans="1:25" ht="29.25" customHeight="1" x14ac:dyDescent="0.25">
      <c r="A12" s="2235" t="s">
        <v>31</v>
      </c>
      <c r="B12" s="2235"/>
      <c r="C12" s="18">
        <f t="shared" ref="C12:X12" si="12">SUM(C6:C11)</f>
        <v>73355</v>
      </c>
      <c r="D12" s="18">
        <f t="shared" si="12"/>
        <v>71337.737500000003</v>
      </c>
      <c r="E12" s="18">
        <f t="shared" si="12"/>
        <v>0</v>
      </c>
      <c r="F12" s="18">
        <f t="shared" si="12"/>
        <v>0</v>
      </c>
      <c r="G12" s="18">
        <f t="shared" si="12"/>
        <v>160</v>
      </c>
      <c r="H12" s="18">
        <f t="shared" si="12"/>
        <v>4512</v>
      </c>
      <c r="I12" s="18">
        <f t="shared" si="12"/>
        <v>470</v>
      </c>
      <c r="J12" s="18">
        <f t="shared" si="12"/>
        <v>8695</v>
      </c>
      <c r="K12" s="18">
        <f t="shared" si="12"/>
        <v>0</v>
      </c>
      <c r="L12" s="18">
        <f t="shared" si="12"/>
        <v>0</v>
      </c>
      <c r="M12" s="18">
        <f t="shared" si="12"/>
        <v>0</v>
      </c>
      <c r="N12" s="23">
        <f t="shared" si="12"/>
        <v>0</v>
      </c>
      <c r="O12" s="18">
        <f t="shared" si="12"/>
        <v>0</v>
      </c>
      <c r="P12" s="23">
        <f t="shared" si="12"/>
        <v>0</v>
      </c>
      <c r="Q12" s="23">
        <f t="shared" si="12"/>
        <v>0</v>
      </c>
      <c r="R12" s="23">
        <f>SUM(R6:R11)</f>
        <v>0</v>
      </c>
      <c r="S12" s="18">
        <f t="shared" si="12"/>
        <v>133</v>
      </c>
      <c r="T12" s="18">
        <f t="shared" si="12"/>
        <v>32053</v>
      </c>
      <c r="U12" s="18">
        <f t="shared" si="12"/>
        <v>0</v>
      </c>
      <c r="V12" s="18">
        <f t="shared" si="12"/>
        <v>0</v>
      </c>
      <c r="W12" s="18">
        <f t="shared" si="12"/>
        <v>0</v>
      </c>
      <c r="X12" s="18">
        <f t="shared" si="12"/>
        <v>0</v>
      </c>
      <c r="Y12" s="20">
        <f t="shared" si="0"/>
        <v>116597.7375</v>
      </c>
    </row>
    <row r="14" spans="1:25" ht="41.25" customHeight="1" x14ac:dyDescent="0.25">
      <c r="A14" s="30" t="s">
        <v>32</v>
      </c>
      <c r="B14" s="2236" t="s">
        <v>27</v>
      </c>
      <c r="C14" s="2236"/>
      <c r="D14" s="30" t="s">
        <v>333</v>
      </c>
      <c r="E14" s="30" t="s">
        <v>65</v>
      </c>
      <c r="F14" s="30" t="s">
        <v>34</v>
      </c>
      <c r="G14" s="30" t="s">
        <v>13</v>
      </c>
      <c r="H14" s="469" t="s">
        <v>173</v>
      </c>
      <c r="I14" s="30" t="s">
        <v>17</v>
      </c>
      <c r="J14" s="611" t="s">
        <v>174</v>
      </c>
      <c r="K14" s="30" t="s">
        <v>36</v>
      </c>
      <c r="L14" s="30" t="s">
        <v>175</v>
      </c>
      <c r="M14" s="30" t="s">
        <v>69</v>
      </c>
      <c r="N14" s="30" t="s">
        <v>70</v>
      </c>
      <c r="O14" s="611" t="s">
        <v>114</v>
      </c>
      <c r="P14" s="611" t="s">
        <v>368</v>
      </c>
      <c r="Q14" s="2300" t="s">
        <v>339</v>
      </c>
      <c r="R14" s="2301"/>
      <c r="S14" s="611"/>
      <c r="T14" s="2235" t="s">
        <v>46</v>
      </c>
      <c r="U14" s="605" t="s">
        <v>176</v>
      </c>
      <c r="V14" s="2260">
        <v>35220</v>
      </c>
      <c r="W14" s="2268"/>
      <c r="X14" s="2261"/>
    </row>
    <row r="15" spans="1:25" ht="22.5" customHeight="1" x14ac:dyDescent="0.25">
      <c r="A15" s="100" t="s">
        <v>38</v>
      </c>
      <c r="B15" s="2260">
        <v>391901</v>
      </c>
      <c r="C15" s="2261"/>
      <c r="D15" s="608">
        <v>1130</v>
      </c>
      <c r="E15" s="608">
        <v>3390</v>
      </c>
      <c r="F15" s="608">
        <v>770</v>
      </c>
      <c r="G15" s="608">
        <v>0</v>
      </c>
      <c r="H15" s="608">
        <v>418</v>
      </c>
      <c r="I15" s="608">
        <v>5</v>
      </c>
      <c r="J15" s="608">
        <v>69</v>
      </c>
      <c r="K15" s="608">
        <v>85</v>
      </c>
      <c r="L15" s="608">
        <v>0</v>
      </c>
      <c r="M15" s="608">
        <v>0</v>
      </c>
      <c r="N15" s="608">
        <v>100</v>
      </c>
      <c r="O15" s="608">
        <v>0</v>
      </c>
      <c r="P15" s="608">
        <v>1012</v>
      </c>
      <c r="Q15" s="2260">
        <v>47</v>
      </c>
      <c r="R15" s="2261"/>
      <c r="S15" s="605">
        <v>0</v>
      </c>
      <c r="T15" s="2235"/>
      <c r="U15" s="605" t="s">
        <v>64</v>
      </c>
      <c r="V15" s="2262">
        <v>10958</v>
      </c>
      <c r="W15" s="2262"/>
      <c r="X15" s="2262"/>
    </row>
    <row r="16" spans="1:25" ht="24.75" customHeight="1" x14ac:dyDescent="0.25">
      <c r="A16" s="100" t="s">
        <v>39</v>
      </c>
      <c r="B16" s="2260"/>
      <c r="C16" s="2261"/>
      <c r="D16" s="608"/>
      <c r="E16" s="608"/>
      <c r="F16" s="608"/>
      <c r="G16" s="608"/>
      <c r="H16" s="608">
        <v>108</v>
      </c>
      <c r="I16" s="608"/>
      <c r="J16" s="608"/>
      <c r="K16" s="608"/>
      <c r="L16" s="608"/>
      <c r="M16" s="608"/>
      <c r="N16" s="608"/>
      <c r="O16" s="608"/>
      <c r="P16" s="608"/>
      <c r="Q16" s="2225"/>
      <c r="R16" s="2225"/>
      <c r="S16" s="608"/>
      <c r="T16" s="2254" t="s">
        <v>55</v>
      </c>
      <c r="U16" s="2254"/>
      <c r="V16" s="2267">
        <f>Y12</f>
        <v>116597.7375</v>
      </c>
      <c r="W16" s="2267"/>
      <c r="X16" s="2262"/>
    </row>
    <row r="17" spans="1:25" ht="28.5" customHeight="1" x14ac:dyDescent="0.25">
      <c r="A17" s="101" t="s">
        <v>44</v>
      </c>
      <c r="B17" s="2260"/>
      <c r="C17" s="2261"/>
      <c r="D17" s="608"/>
      <c r="E17" s="608"/>
      <c r="F17" s="608"/>
      <c r="G17" s="608"/>
      <c r="H17" s="608"/>
      <c r="I17" s="608"/>
      <c r="J17" s="608"/>
      <c r="K17" s="608"/>
      <c r="L17" s="608"/>
      <c r="M17" s="608"/>
      <c r="N17" s="608"/>
      <c r="O17" s="608"/>
      <c r="P17" s="608"/>
      <c r="Q17" s="2225"/>
      <c r="R17" s="2225"/>
      <c r="S17" s="604"/>
      <c r="T17" s="2294" t="s">
        <v>362</v>
      </c>
      <c r="U17" s="2295"/>
      <c r="V17" s="2296"/>
      <c r="W17" s="2296"/>
      <c r="X17" s="2296"/>
    </row>
    <row r="18" spans="1:25" ht="27" customHeight="1" x14ac:dyDescent="0.25">
      <c r="A18" s="100" t="s">
        <v>40</v>
      </c>
      <c r="B18" s="2264">
        <f>C12</f>
        <v>73355</v>
      </c>
      <c r="C18" s="2261"/>
      <c r="D18" s="610">
        <f>E12</f>
        <v>0</v>
      </c>
      <c r="E18" s="610">
        <f>G12</f>
        <v>160</v>
      </c>
      <c r="F18" s="610">
        <f>I12</f>
        <v>470</v>
      </c>
      <c r="G18" s="610">
        <f>K12</f>
        <v>0</v>
      </c>
      <c r="H18" s="608">
        <v>25</v>
      </c>
      <c r="I18" s="610">
        <f>U12</f>
        <v>0</v>
      </c>
      <c r="J18" s="608"/>
      <c r="K18" s="610">
        <f>W12</f>
        <v>0</v>
      </c>
      <c r="L18" s="608"/>
      <c r="M18" s="610">
        <f>M12</f>
        <v>0</v>
      </c>
      <c r="N18" s="610">
        <f>O12</f>
        <v>0</v>
      </c>
      <c r="O18" s="609">
        <f>Q12</f>
        <v>0</v>
      </c>
      <c r="P18" s="608">
        <v>108</v>
      </c>
      <c r="Q18" s="2262"/>
      <c r="R18" s="2262"/>
      <c r="S18" s="605"/>
      <c r="T18" s="2254" t="s">
        <v>57</v>
      </c>
      <c r="U18" s="2254"/>
      <c r="V18" s="2262">
        <v>1385</v>
      </c>
      <c r="W18" s="2262"/>
      <c r="X18" s="2262"/>
      <c r="Y18" s="2269"/>
    </row>
    <row r="19" spans="1:25" ht="25.5" customHeight="1" x14ac:dyDescent="0.25">
      <c r="A19" s="100" t="s">
        <v>41</v>
      </c>
      <c r="B19" s="2260">
        <f>B15+B16+B17-B18</f>
        <v>318546</v>
      </c>
      <c r="C19" s="2261"/>
      <c r="D19" s="608">
        <f>D15+D16+D17-D18</f>
        <v>1130</v>
      </c>
      <c r="E19" s="608">
        <f t="shared" ref="E19:N19" si="13">E15+E16+E17-E18</f>
        <v>3230</v>
      </c>
      <c r="F19" s="608">
        <f t="shared" si="13"/>
        <v>300</v>
      </c>
      <c r="G19" s="608">
        <f t="shared" si="13"/>
        <v>0</v>
      </c>
      <c r="H19" s="608">
        <f t="shared" si="13"/>
        <v>501</v>
      </c>
      <c r="I19" s="608">
        <f t="shared" si="13"/>
        <v>5</v>
      </c>
      <c r="J19" s="608">
        <f t="shared" si="13"/>
        <v>69</v>
      </c>
      <c r="K19" s="608">
        <f t="shared" si="13"/>
        <v>85</v>
      </c>
      <c r="L19" s="608">
        <f t="shared" si="13"/>
        <v>0</v>
      </c>
      <c r="M19" s="608">
        <f t="shared" si="13"/>
        <v>0</v>
      </c>
      <c r="N19" s="608">
        <f t="shared" si="13"/>
        <v>100</v>
      </c>
      <c r="O19" s="608">
        <f>O15+O16+O17-O18</f>
        <v>0</v>
      </c>
      <c r="P19" s="608">
        <f>P15+P16+P17-P18</f>
        <v>904</v>
      </c>
      <c r="Q19" s="2260">
        <f t="shared" ref="Q19" si="14">Q15+Q16+Q17-Q18</f>
        <v>47</v>
      </c>
      <c r="R19" s="2261"/>
      <c r="S19" s="605">
        <f>S15+S16-S17-S18</f>
        <v>0</v>
      </c>
      <c r="T19" s="2256" t="s">
        <v>48</v>
      </c>
      <c r="U19" s="49" t="s">
        <v>58</v>
      </c>
      <c r="V19" s="2262"/>
      <c r="W19" s="2262"/>
      <c r="X19" s="2262"/>
      <c r="Y19" s="2269"/>
    </row>
    <row r="20" spans="1:25" ht="23.25" customHeight="1" x14ac:dyDescent="0.25">
      <c r="A20" s="289" t="s">
        <v>187</v>
      </c>
      <c r="B20" s="2286">
        <f>B19*0.9625</f>
        <v>306600.52500000002</v>
      </c>
      <c r="C20" s="2287"/>
      <c r="D20" s="290">
        <f>D19*66.41</f>
        <v>75043.3</v>
      </c>
      <c r="E20" s="290">
        <f>28.2*E19</f>
        <v>91086</v>
      </c>
      <c r="F20" s="290">
        <f>18.31*F19</f>
        <v>5493</v>
      </c>
      <c r="G20" s="290">
        <f>19.3*G19</f>
        <v>0</v>
      </c>
      <c r="H20" s="290">
        <f>241*H19</f>
        <v>120741</v>
      </c>
      <c r="I20" s="290">
        <f>223*I19</f>
        <v>1115</v>
      </c>
      <c r="J20" s="290">
        <f>241*J19</f>
        <v>16629</v>
      </c>
      <c r="K20" s="290">
        <f>K19*100</f>
        <v>8500</v>
      </c>
      <c r="L20" s="290">
        <f>241*L19</f>
        <v>0</v>
      </c>
      <c r="M20" s="290">
        <f>9.65*M19</f>
        <v>0</v>
      </c>
      <c r="N20" s="290">
        <f>N19*48.2</f>
        <v>4820</v>
      </c>
      <c r="O20" s="290">
        <f>241*O19</f>
        <v>0</v>
      </c>
      <c r="P20" s="290">
        <f>241*P19</f>
        <v>217864</v>
      </c>
      <c r="Q20" s="2286">
        <f>241*Q19</f>
        <v>11327</v>
      </c>
      <c r="R20" s="2287"/>
      <c r="S20" s="290">
        <f>241*S19</f>
        <v>0</v>
      </c>
      <c r="T20" s="2257"/>
      <c r="U20" s="49" t="s">
        <v>59</v>
      </c>
      <c r="V20" s="2262">
        <v>26028</v>
      </c>
      <c r="W20" s="2262"/>
      <c r="X20" s="2262"/>
      <c r="Y20" s="2269"/>
    </row>
    <row r="21" spans="1:25" ht="32.25" customHeight="1" x14ac:dyDescent="0.25">
      <c r="A21" s="291" t="s">
        <v>186</v>
      </c>
      <c r="B21" s="2293">
        <f>SUM(B20:S20)</f>
        <v>859218.82499999995</v>
      </c>
      <c r="C21" s="2293"/>
      <c r="O21" s="612"/>
      <c r="P21" s="612"/>
      <c r="Q21" s="612"/>
      <c r="R21" s="612"/>
      <c r="T21" s="2294" t="s">
        <v>366</v>
      </c>
      <c r="U21" s="2295"/>
      <c r="V21" s="2297"/>
      <c r="W21" s="2298"/>
      <c r="X21" s="2299"/>
      <c r="Y21" s="2269"/>
    </row>
    <row r="22" spans="1:25" ht="35.25" customHeight="1" x14ac:dyDescent="0.25">
      <c r="A22" s="15"/>
      <c r="B22" s="2288" t="s">
        <v>49</v>
      </c>
      <c r="C22" s="2291">
        <v>469600</v>
      </c>
      <c r="D22" s="2291"/>
      <c r="E22" s="2291"/>
      <c r="F22" s="2291">
        <f>C22-D22+E22</f>
        <v>469600</v>
      </c>
      <c r="G22" s="612"/>
      <c r="Q22" s="612"/>
      <c r="R22" s="612"/>
      <c r="T22" s="2251" t="s">
        <v>83</v>
      </c>
      <c r="U22" s="50" t="s">
        <v>60</v>
      </c>
      <c r="V22" s="2262"/>
      <c r="W22" s="2262"/>
      <c r="X22" s="2262"/>
      <c r="Y22" s="2269"/>
    </row>
    <row r="23" spans="1:25" ht="39.75" customHeight="1" x14ac:dyDescent="0.25">
      <c r="A23" s="612"/>
      <c r="B23" s="2289"/>
      <c r="C23" s="2292"/>
      <c r="D23" s="2292"/>
      <c r="E23" s="2292"/>
      <c r="F23" s="2292"/>
      <c r="G23" s="612"/>
      <c r="Q23" s="612"/>
      <c r="R23" s="612"/>
      <c r="T23" s="2252"/>
      <c r="U23" s="50" t="s">
        <v>61</v>
      </c>
      <c r="V23" s="2262"/>
      <c r="W23" s="2262"/>
      <c r="X23" s="2262"/>
      <c r="Y23" s="2269"/>
    </row>
    <row r="24" spans="1:25" ht="48" customHeight="1" x14ac:dyDescent="0.25">
      <c r="A24" s="612"/>
      <c r="B24" s="2290"/>
      <c r="C24" s="290" t="s">
        <v>46</v>
      </c>
      <c r="D24" s="290" t="s">
        <v>50</v>
      </c>
      <c r="E24" s="290" t="s">
        <v>51</v>
      </c>
      <c r="F24" s="290" t="s">
        <v>52</v>
      </c>
      <c r="G24" s="612"/>
      <c r="Q24" s="612"/>
      <c r="R24" s="612"/>
      <c r="T24" s="2235" t="s">
        <v>47</v>
      </c>
      <c r="U24" s="51" t="s">
        <v>62</v>
      </c>
      <c r="V24" s="2263">
        <f>V14+V16+V17-V18-V19-V20-V22+V23-V21</f>
        <v>124404.73749999999</v>
      </c>
      <c r="W24" s="2263"/>
      <c r="X24" s="2263"/>
      <c r="Y24" s="2269"/>
    </row>
    <row r="25" spans="1:25" ht="40.5" customHeight="1" x14ac:dyDescent="0.25">
      <c r="T25" s="2235"/>
      <c r="U25" s="51" t="s">
        <v>63</v>
      </c>
      <c r="V25" s="2262">
        <f>V15+V22-V23</f>
        <v>10958</v>
      </c>
      <c r="W25" s="2262"/>
      <c r="X25" s="2262"/>
    </row>
    <row r="26" spans="1:25" ht="36" customHeight="1" x14ac:dyDescent="0.25">
      <c r="K26" s="314"/>
    </row>
    <row r="28" spans="1:25" x14ac:dyDescent="0.25">
      <c r="J28" s="14" t="s">
        <v>139</v>
      </c>
    </row>
    <row r="32" spans="1:25" x14ac:dyDescent="0.25">
      <c r="I32" s="2280"/>
      <c r="J32" s="2280"/>
      <c r="K32" s="2280"/>
      <c r="L32" s="2280"/>
    </row>
    <row r="33" spans="9:12" x14ac:dyDescent="0.25">
      <c r="I33" s="612"/>
      <c r="J33" s="612"/>
      <c r="K33" s="2280"/>
      <c r="L33" s="2280"/>
    </row>
  </sheetData>
  <mergeCells count="62">
    <mergeCell ref="A1:Y1"/>
    <mergeCell ref="A2:Y2"/>
    <mergeCell ref="T3:Y3"/>
    <mergeCell ref="A4:A5"/>
    <mergeCell ref="B4:B5"/>
    <mergeCell ref="C4:D4"/>
    <mergeCell ref="E4:F4"/>
    <mergeCell ref="G4:H4"/>
    <mergeCell ref="I4:J4"/>
    <mergeCell ref="K4:L4"/>
    <mergeCell ref="Y4:Y5"/>
    <mergeCell ref="M4:N4"/>
    <mergeCell ref="O4:P4"/>
    <mergeCell ref="Q4:R4"/>
    <mergeCell ref="S4:T4"/>
    <mergeCell ref="U4:V4"/>
    <mergeCell ref="W4:X4"/>
    <mergeCell ref="B16:C16"/>
    <mergeCell ref="Q16:R16"/>
    <mergeCell ref="T16:U16"/>
    <mergeCell ref="V16:X16"/>
    <mergeCell ref="A12:B12"/>
    <mergeCell ref="B14:C14"/>
    <mergeCell ref="Q14:R14"/>
    <mergeCell ref="T14:T15"/>
    <mergeCell ref="V14:X14"/>
    <mergeCell ref="B15:C15"/>
    <mergeCell ref="Q15:R15"/>
    <mergeCell ref="V15:X15"/>
    <mergeCell ref="B17:C17"/>
    <mergeCell ref="Q17:R17"/>
    <mergeCell ref="T17:U17"/>
    <mergeCell ref="V17:X17"/>
    <mergeCell ref="B18:C18"/>
    <mergeCell ref="Q18:R18"/>
    <mergeCell ref="T18:U18"/>
    <mergeCell ref="V18:X18"/>
    <mergeCell ref="Y18:Y24"/>
    <mergeCell ref="B19:C19"/>
    <mergeCell ref="Q19:R19"/>
    <mergeCell ref="T19:T20"/>
    <mergeCell ref="V19:X19"/>
    <mergeCell ref="B20:C20"/>
    <mergeCell ref="B22:B24"/>
    <mergeCell ref="C22:C23"/>
    <mergeCell ref="D22:D23"/>
    <mergeCell ref="E22:E23"/>
    <mergeCell ref="F22:F23"/>
    <mergeCell ref="Q20:R20"/>
    <mergeCell ref="V20:X20"/>
    <mergeCell ref="B21:C21"/>
    <mergeCell ref="T21:U21"/>
    <mergeCell ref="V21:X21"/>
    <mergeCell ref="I32:J32"/>
    <mergeCell ref="K32:L32"/>
    <mergeCell ref="K33:L33"/>
    <mergeCell ref="T22:T23"/>
    <mergeCell ref="V22:X22"/>
    <mergeCell ref="V23:X23"/>
    <mergeCell ref="T24:T25"/>
    <mergeCell ref="V24:X24"/>
    <mergeCell ref="V25:X25"/>
  </mergeCells>
  <pageMargins left="0.15748031496063" right="0.15748031496063" top="0" bottom="0" header="0" footer="0"/>
  <pageSetup paperSize="9" scale="47" orientation="landscape" r:id="rId1"/>
</worksheet>
</file>

<file path=xl/worksheets/sheet15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6E91537-425A-48DD-856C-6A2941F21DA4}">
  <sheetPr>
    <pageSetUpPr fitToPage="1"/>
  </sheetPr>
  <dimension ref="A1:Y33"/>
  <sheetViews>
    <sheetView topLeftCell="A7" zoomScale="70" zoomScaleNormal="70" zoomScaleSheetLayoutView="100" workbookViewId="0">
      <selection activeCell="K22" sqref="K22"/>
    </sheetView>
  </sheetViews>
  <sheetFormatPr defaultColWidth="9.140625" defaultRowHeight="15" x14ac:dyDescent="0.25"/>
  <cols>
    <col min="1" max="1" width="18.28515625" style="14" customWidth="1"/>
    <col min="2" max="2" width="10.7109375" style="14" customWidth="1"/>
    <col min="3" max="3" width="12.28515625" style="14" customWidth="1"/>
    <col min="4" max="4" width="13.140625" style="14" bestFit="1" customWidth="1"/>
    <col min="5" max="5" width="12" style="14" customWidth="1"/>
    <col min="6" max="6" width="12.5703125" style="14" bestFit="1" customWidth="1"/>
    <col min="7" max="7" width="9.28515625" style="14" bestFit="1" customWidth="1"/>
    <col min="8" max="8" width="10.140625" style="14" bestFit="1" customWidth="1"/>
    <col min="9" max="9" width="10.5703125" style="14" bestFit="1" customWidth="1"/>
    <col min="10" max="10" width="10.5703125" style="14" customWidth="1"/>
    <col min="11" max="11" width="10.28515625" style="14" bestFit="1" customWidth="1"/>
    <col min="12" max="12" width="10.42578125" style="14" bestFit="1" customWidth="1"/>
    <col min="13" max="13" width="9.85546875" style="14" bestFit="1" customWidth="1"/>
    <col min="14" max="14" width="10.140625" style="14" bestFit="1" customWidth="1"/>
    <col min="15" max="15" width="9" style="14" customWidth="1"/>
    <col min="16" max="16" width="12.85546875" style="14" bestFit="1" customWidth="1"/>
    <col min="17" max="18" width="9.42578125" style="14" customWidth="1"/>
    <col min="19" max="19" width="13.7109375" style="14" customWidth="1"/>
    <col min="20" max="20" width="12.140625" style="14" customWidth="1"/>
    <col min="21" max="21" width="19.5703125" style="14" bestFit="1" customWidth="1"/>
    <col min="22" max="22" width="9.85546875" style="14" customWidth="1"/>
    <col min="23" max="23" width="10.140625" style="14" bestFit="1" customWidth="1"/>
    <col min="24" max="24" width="10.28515625" style="14" customWidth="1"/>
    <col min="25" max="25" width="28" style="14" customWidth="1"/>
    <col min="26" max="16384" width="9.140625" style="14"/>
  </cols>
  <sheetData>
    <row r="1" spans="1:25" ht="46.15" customHeight="1" x14ac:dyDescent="0.25">
      <c r="A1" s="2240" t="s">
        <v>148</v>
      </c>
      <c r="B1" s="2240"/>
      <c r="C1" s="2240"/>
      <c r="D1" s="2240"/>
      <c r="E1" s="2240"/>
      <c r="F1" s="2240"/>
      <c r="G1" s="2240"/>
      <c r="H1" s="2240"/>
      <c r="I1" s="2240"/>
      <c r="J1" s="2240"/>
      <c r="K1" s="2240"/>
      <c r="L1" s="2240"/>
      <c r="M1" s="2240"/>
      <c r="N1" s="2240"/>
      <c r="O1" s="2240"/>
      <c r="P1" s="2240"/>
      <c r="Q1" s="2240"/>
      <c r="R1" s="2240"/>
      <c r="S1" s="2240"/>
      <c r="T1" s="2240"/>
      <c r="U1" s="2240"/>
      <c r="V1" s="2240"/>
      <c r="W1" s="2240"/>
      <c r="X1" s="2240"/>
      <c r="Y1" s="2240"/>
    </row>
    <row r="2" spans="1:25" ht="21.6" customHeight="1" x14ac:dyDescent="0.25">
      <c r="A2" s="2241" t="s">
        <v>77</v>
      </c>
      <c r="B2" s="2241"/>
      <c r="C2" s="2241"/>
      <c r="D2" s="2241"/>
      <c r="E2" s="2241"/>
      <c r="F2" s="2241"/>
      <c r="G2" s="2241"/>
      <c r="H2" s="2241"/>
      <c r="I2" s="2241"/>
      <c r="J2" s="2241"/>
      <c r="K2" s="2241"/>
      <c r="L2" s="2241"/>
      <c r="M2" s="2241"/>
      <c r="N2" s="2241"/>
      <c r="O2" s="2241"/>
      <c r="P2" s="2241"/>
      <c r="Q2" s="2241"/>
      <c r="R2" s="2241"/>
      <c r="S2" s="2241"/>
      <c r="T2" s="2241"/>
      <c r="U2" s="2241"/>
      <c r="V2" s="2241"/>
      <c r="W2" s="2241"/>
      <c r="X2" s="2241"/>
      <c r="Y2" s="2241"/>
    </row>
    <row r="3" spans="1:25" ht="21" customHeight="1" x14ac:dyDescent="0.25">
      <c r="A3" s="613"/>
      <c r="B3" s="613"/>
      <c r="C3" s="613"/>
      <c r="D3" s="613"/>
      <c r="E3" s="613"/>
      <c r="F3" s="613"/>
      <c r="G3" s="613"/>
      <c r="H3" s="613"/>
      <c r="I3" s="613"/>
      <c r="J3" s="613"/>
      <c r="K3" s="613"/>
      <c r="L3" s="613"/>
      <c r="M3" s="613"/>
      <c r="N3" s="613"/>
      <c r="O3" s="613"/>
      <c r="P3" s="613"/>
      <c r="Q3" s="613"/>
      <c r="R3" s="613"/>
      <c r="S3" s="613"/>
      <c r="T3" s="2242" t="s">
        <v>369</v>
      </c>
      <c r="U3" s="2242"/>
      <c r="V3" s="2242"/>
      <c r="W3" s="2242"/>
      <c r="X3" s="2242"/>
      <c r="Y3" s="2242"/>
    </row>
    <row r="4" spans="1:25" s="613" customFormat="1" ht="18" customHeight="1" x14ac:dyDescent="0.25">
      <c r="A4" s="2243" t="s">
        <v>25</v>
      </c>
      <c r="B4" s="2243" t="s">
        <v>26</v>
      </c>
      <c r="C4" s="2244" t="s">
        <v>27</v>
      </c>
      <c r="D4" s="2244"/>
      <c r="E4" s="2244" t="s">
        <v>342</v>
      </c>
      <c r="F4" s="2244"/>
      <c r="G4" s="2244" t="s">
        <v>65</v>
      </c>
      <c r="H4" s="2244"/>
      <c r="I4" s="2244" t="s">
        <v>29</v>
      </c>
      <c r="J4" s="2244"/>
      <c r="K4" s="2245" t="s">
        <v>13</v>
      </c>
      <c r="L4" s="2246"/>
      <c r="M4" s="2245" t="s">
        <v>67</v>
      </c>
      <c r="N4" s="2246"/>
      <c r="O4" s="2245" t="s">
        <v>68</v>
      </c>
      <c r="P4" s="2246"/>
      <c r="Q4" s="2245" t="s">
        <v>114</v>
      </c>
      <c r="R4" s="2246"/>
      <c r="S4" s="2244" t="s">
        <v>35</v>
      </c>
      <c r="T4" s="2244"/>
      <c r="U4" s="2245" t="s">
        <v>17</v>
      </c>
      <c r="V4" s="2246"/>
      <c r="W4" s="2247" t="s">
        <v>36</v>
      </c>
      <c r="X4" s="2248"/>
      <c r="Y4" s="2238" t="s">
        <v>30</v>
      </c>
    </row>
    <row r="5" spans="1:25" s="613" customFormat="1" ht="25.5" customHeight="1" x14ac:dyDescent="0.25">
      <c r="A5" s="2243"/>
      <c r="B5" s="2243"/>
      <c r="C5" s="615" t="s">
        <v>42</v>
      </c>
      <c r="D5" s="615" t="s">
        <v>43</v>
      </c>
      <c r="E5" s="615" t="s">
        <v>42</v>
      </c>
      <c r="F5" s="615" t="s">
        <v>43</v>
      </c>
      <c r="G5" s="615" t="s">
        <v>42</v>
      </c>
      <c r="H5" s="615" t="s">
        <v>43</v>
      </c>
      <c r="I5" s="615" t="s">
        <v>42</v>
      </c>
      <c r="J5" s="615" t="s">
        <v>43</v>
      </c>
      <c r="K5" s="615" t="s">
        <v>42</v>
      </c>
      <c r="L5" s="615" t="s">
        <v>43</v>
      </c>
      <c r="M5" s="615" t="s">
        <v>42</v>
      </c>
      <c r="N5" s="615" t="s">
        <v>43</v>
      </c>
      <c r="O5" s="615" t="s">
        <v>42</v>
      </c>
      <c r="P5" s="615" t="s">
        <v>43</v>
      </c>
      <c r="Q5" s="615" t="s">
        <v>42</v>
      </c>
      <c r="R5" s="615" t="s">
        <v>43</v>
      </c>
      <c r="S5" s="33" t="s">
        <v>42</v>
      </c>
      <c r="T5" s="33" t="s">
        <v>43</v>
      </c>
      <c r="U5" s="30" t="s">
        <v>42</v>
      </c>
      <c r="V5" s="30" t="s">
        <v>43</v>
      </c>
      <c r="W5" s="30" t="s">
        <v>42</v>
      </c>
      <c r="X5" s="30" t="s">
        <v>43</v>
      </c>
      <c r="Y5" s="2239"/>
    </row>
    <row r="6" spans="1:25" ht="34.5" customHeight="1" x14ac:dyDescent="0.25">
      <c r="A6" s="12">
        <v>1409935200</v>
      </c>
      <c r="B6" s="614" t="s">
        <v>71</v>
      </c>
      <c r="C6" s="617">
        <v>22510</v>
      </c>
      <c r="D6" s="618">
        <f>0.9725*C6</f>
        <v>21890.975000000002</v>
      </c>
      <c r="E6" s="617"/>
      <c r="F6" s="617">
        <f>67.1*E6</f>
        <v>0</v>
      </c>
      <c r="G6" s="617">
        <v>30</v>
      </c>
      <c r="H6" s="617">
        <f>28.2*G6</f>
        <v>846</v>
      </c>
      <c r="I6" s="617"/>
      <c r="J6" s="617">
        <f>18.5*I6</f>
        <v>0</v>
      </c>
      <c r="K6" s="617"/>
      <c r="L6" s="617">
        <f>19.5*K6</f>
        <v>0</v>
      </c>
      <c r="M6" s="617"/>
      <c r="N6" s="618">
        <f>M6*9.75</f>
        <v>0</v>
      </c>
      <c r="O6" s="617"/>
      <c r="P6" s="618">
        <f>O6*48.62</f>
        <v>0</v>
      </c>
      <c r="Q6" s="618"/>
      <c r="R6" s="618">
        <f>241*Q6</f>
        <v>0</v>
      </c>
      <c r="S6" s="617"/>
      <c r="T6" s="617">
        <f>241*S6</f>
        <v>0</v>
      </c>
      <c r="U6" s="617"/>
      <c r="V6" s="617">
        <f>232*U6</f>
        <v>0</v>
      </c>
      <c r="W6" s="617"/>
      <c r="X6" s="19">
        <f>W6*100</f>
        <v>0</v>
      </c>
      <c r="Y6" s="20">
        <f t="shared" ref="Y6:Y12" si="0">D6+F6+H6+J6+L6+N6+P6+R6+T6+V6+X6</f>
        <v>22736.975000000002</v>
      </c>
    </row>
    <row r="7" spans="1:25" ht="31.5" customHeight="1" x14ac:dyDescent="0.25">
      <c r="A7" s="12">
        <v>1984225578</v>
      </c>
      <c r="B7" s="614" t="s">
        <v>72</v>
      </c>
      <c r="C7" s="617">
        <v>15963</v>
      </c>
      <c r="D7" s="618">
        <f t="shared" ref="D7:D11" si="1">0.9725*C7</f>
        <v>15524.0175</v>
      </c>
      <c r="E7" s="617"/>
      <c r="F7" s="617">
        <f t="shared" ref="F7:F11" si="2">67.1*E7</f>
        <v>0</v>
      </c>
      <c r="G7" s="617"/>
      <c r="H7" s="617">
        <f t="shared" ref="H7:H11" si="3">28.2*G7</f>
        <v>0</v>
      </c>
      <c r="I7" s="617"/>
      <c r="J7" s="617">
        <f t="shared" ref="J7:J11" si="4">18.5*I7</f>
        <v>0</v>
      </c>
      <c r="K7" s="617"/>
      <c r="L7" s="617">
        <f t="shared" ref="L7:L11" si="5">19.5*K7</f>
        <v>0</v>
      </c>
      <c r="M7" s="617"/>
      <c r="N7" s="618">
        <f t="shared" ref="N7:N11" si="6">M7*9.75</f>
        <v>0</v>
      </c>
      <c r="O7" s="617"/>
      <c r="P7" s="618">
        <f t="shared" ref="P7:P11" si="7">O7*48.62</f>
        <v>0</v>
      </c>
      <c r="Q7" s="618"/>
      <c r="R7" s="618">
        <f t="shared" ref="R7:R11" si="8">241*Q7</f>
        <v>0</v>
      </c>
      <c r="S7" s="617"/>
      <c r="T7" s="617">
        <f t="shared" ref="T7:T11" si="9">241*S7</f>
        <v>0</v>
      </c>
      <c r="U7" s="617"/>
      <c r="V7" s="617">
        <f t="shared" ref="V7:V11" si="10">232*U7</f>
        <v>0</v>
      </c>
      <c r="W7" s="617"/>
      <c r="X7" s="19">
        <f t="shared" ref="X7:X11" si="11">W7*100</f>
        <v>0</v>
      </c>
      <c r="Y7" s="20">
        <f t="shared" si="0"/>
        <v>15524.0175</v>
      </c>
    </row>
    <row r="8" spans="1:25" ht="35.25" customHeight="1" x14ac:dyDescent="0.25">
      <c r="A8" s="12">
        <v>1967020280</v>
      </c>
      <c r="B8" s="614" t="s">
        <v>73</v>
      </c>
      <c r="C8" s="617">
        <v>13667</v>
      </c>
      <c r="D8" s="618">
        <f t="shared" si="1"/>
        <v>13291.157500000001</v>
      </c>
      <c r="E8" s="617"/>
      <c r="F8" s="617">
        <f t="shared" si="2"/>
        <v>0</v>
      </c>
      <c r="G8" s="617"/>
      <c r="H8" s="617">
        <f t="shared" si="3"/>
        <v>0</v>
      </c>
      <c r="I8" s="617"/>
      <c r="J8" s="617">
        <f t="shared" si="4"/>
        <v>0</v>
      </c>
      <c r="K8" s="617"/>
      <c r="L8" s="617">
        <f t="shared" si="5"/>
        <v>0</v>
      </c>
      <c r="M8" s="617"/>
      <c r="N8" s="618">
        <f t="shared" si="6"/>
        <v>0</v>
      </c>
      <c r="O8" s="617"/>
      <c r="P8" s="618">
        <f t="shared" si="7"/>
        <v>0</v>
      </c>
      <c r="Q8" s="618"/>
      <c r="R8" s="618">
        <f t="shared" si="8"/>
        <v>0</v>
      </c>
      <c r="S8" s="617"/>
      <c r="T8" s="617">
        <f t="shared" si="9"/>
        <v>0</v>
      </c>
      <c r="U8" s="617"/>
      <c r="V8" s="617">
        <f t="shared" si="10"/>
        <v>0</v>
      </c>
      <c r="W8" s="617"/>
      <c r="X8" s="19">
        <f t="shared" si="11"/>
        <v>0</v>
      </c>
      <c r="Y8" s="20">
        <f t="shared" si="0"/>
        <v>13291.157500000001</v>
      </c>
    </row>
    <row r="9" spans="1:25" ht="38.25" customHeight="1" x14ac:dyDescent="0.25">
      <c r="A9" s="12">
        <v>1984225580</v>
      </c>
      <c r="B9" s="614" t="s">
        <v>75</v>
      </c>
      <c r="C9" s="617">
        <v>24254</v>
      </c>
      <c r="D9" s="618">
        <f t="shared" si="1"/>
        <v>23587.014999999999</v>
      </c>
      <c r="E9" s="617"/>
      <c r="F9" s="617">
        <f t="shared" si="2"/>
        <v>0</v>
      </c>
      <c r="G9" s="617">
        <v>60</v>
      </c>
      <c r="H9" s="617">
        <f t="shared" si="3"/>
        <v>1692</v>
      </c>
      <c r="I9" s="617"/>
      <c r="J9" s="617">
        <f t="shared" si="4"/>
        <v>0</v>
      </c>
      <c r="K9" s="617"/>
      <c r="L9" s="617">
        <f t="shared" si="5"/>
        <v>0</v>
      </c>
      <c r="M9" s="617"/>
      <c r="N9" s="618">
        <f t="shared" si="6"/>
        <v>0</v>
      </c>
      <c r="O9" s="617"/>
      <c r="P9" s="618">
        <f t="shared" si="7"/>
        <v>0</v>
      </c>
      <c r="Q9" s="618"/>
      <c r="R9" s="618">
        <f t="shared" si="8"/>
        <v>0</v>
      </c>
      <c r="S9" s="617"/>
      <c r="T9" s="617">
        <f t="shared" si="9"/>
        <v>0</v>
      </c>
      <c r="U9" s="617"/>
      <c r="V9" s="617">
        <f t="shared" si="10"/>
        <v>0</v>
      </c>
      <c r="W9" s="617"/>
      <c r="X9" s="19">
        <f t="shared" si="11"/>
        <v>0</v>
      </c>
      <c r="Y9" s="20">
        <f t="shared" si="0"/>
        <v>25279.014999999999</v>
      </c>
    </row>
    <row r="10" spans="1:25" ht="35.25" customHeight="1" x14ac:dyDescent="0.25">
      <c r="A10" s="12">
        <v>1409935199</v>
      </c>
      <c r="C10" s="617"/>
      <c r="D10" s="618">
        <f t="shared" si="1"/>
        <v>0</v>
      </c>
      <c r="E10" s="617"/>
      <c r="F10" s="617">
        <f t="shared" si="2"/>
        <v>0</v>
      </c>
      <c r="G10" s="617"/>
      <c r="H10" s="617">
        <f t="shared" si="3"/>
        <v>0</v>
      </c>
      <c r="I10" s="617"/>
      <c r="J10" s="617">
        <f t="shared" si="4"/>
        <v>0</v>
      </c>
      <c r="K10" s="617"/>
      <c r="L10" s="617">
        <f t="shared" si="5"/>
        <v>0</v>
      </c>
      <c r="M10" s="617"/>
      <c r="N10" s="618">
        <f t="shared" si="6"/>
        <v>0</v>
      </c>
      <c r="O10" s="617"/>
      <c r="P10" s="618">
        <f t="shared" si="7"/>
        <v>0</v>
      </c>
      <c r="Q10" s="618"/>
      <c r="R10" s="618">
        <f t="shared" si="8"/>
        <v>0</v>
      </c>
      <c r="S10" s="617"/>
      <c r="T10" s="617">
        <f t="shared" si="9"/>
        <v>0</v>
      </c>
      <c r="U10" s="617"/>
      <c r="V10" s="617">
        <f t="shared" si="10"/>
        <v>0</v>
      </c>
      <c r="W10" s="617"/>
      <c r="X10" s="19">
        <f t="shared" si="11"/>
        <v>0</v>
      </c>
      <c r="Y10" s="20">
        <f t="shared" si="0"/>
        <v>0</v>
      </c>
    </row>
    <row r="11" spans="1:25" ht="37.5" customHeight="1" x14ac:dyDescent="0.25">
      <c r="A11" s="12"/>
      <c r="B11" s="616"/>
      <c r="C11" s="617"/>
      <c r="D11" s="22">
        <f t="shared" si="1"/>
        <v>0</v>
      </c>
      <c r="E11" s="617"/>
      <c r="F11" s="617">
        <f t="shared" si="2"/>
        <v>0</v>
      </c>
      <c r="G11" s="617"/>
      <c r="H11" s="617">
        <f t="shared" si="3"/>
        <v>0</v>
      </c>
      <c r="I11" s="617"/>
      <c r="J11" s="617">
        <f t="shared" si="4"/>
        <v>0</v>
      </c>
      <c r="K11" s="617"/>
      <c r="L11" s="617">
        <f t="shared" si="5"/>
        <v>0</v>
      </c>
      <c r="M11" s="617"/>
      <c r="N11" s="618">
        <f t="shared" si="6"/>
        <v>0</v>
      </c>
      <c r="O11" s="617"/>
      <c r="P11" s="618">
        <f t="shared" si="7"/>
        <v>0</v>
      </c>
      <c r="Q11" s="618"/>
      <c r="R11" s="618">
        <f t="shared" si="8"/>
        <v>0</v>
      </c>
      <c r="S11" s="617">
        <v>25</v>
      </c>
      <c r="T11" s="617">
        <f t="shared" si="9"/>
        <v>6025</v>
      </c>
      <c r="U11" s="617"/>
      <c r="V11" s="617">
        <f t="shared" si="10"/>
        <v>0</v>
      </c>
      <c r="W11" s="617"/>
      <c r="X11" s="19">
        <f t="shared" si="11"/>
        <v>0</v>
      </c>
      <c r="Y11" s="20">
        <f t="shared" si="0"/>
        <v>6025</v>
      </c>
    </row>
    <row r="12" spans="1:25" ht="29.25" customHeight="1" x14ac:dyDescent="0.25">
      <c r="A12" s="2235" t="s">
        <v>31</v>
      </c>
      <c r="B12" s="2235"/>
      <c r="C12" s="18">
        <f t="shared" ref="C12:X12" si="12">SUM(C6:C11)</f>
        <v>76394</v>
      </c>
      <c r="D12" s="18">
        <f t="shared" si="12"/>
        <v>74293.165000000008</v>
      </c>
      <c r="E12" s="18">
        <f t="shared" si="12"/>
        <v>0</v>
      </c>
      <c r="F12" s="18">
        <f t="shared" si="12"/>
        <v>0</v>
      </c>
      <c r="G12" s="18">
        <f t="shared" si="12"/>
        <v>90</v>
      </c>
      <c r="H12" s="18">
        <f t="shared" si="12"/>
        <v>2538</v>
      </c>
      <c r="I12" s="18">
        <f t="shared" si="12"/>
        <v>0</v>
      </c>
      <c r="J12" s="18">
        <f t="shared" si="12"/>
        <v>0</v>
      </c>
      <c r="K12" s="18">
        <f t="shared" si="12"/>
        <v>0</v>
      </c>
      <c r="L12" s="18">
        <f t="shared" si="12"/>
        <v>0</v>
      </c>
      <c r="M12" s="18">
        <f t="shared" si="12"/>
        <v>0</v>
      </c>
      <c r="N12" s="23">
        <f t="shared" si="12"/>
        <v>0</v>
      </c>
      <c r="O12" s="18">
        <f t="shared" si="12"/>
        <v>0</v>
      </c>
      <c r="P12" s="23">
        <f t="shared" si="12"/>
        <v>0</v>
      </c>
      <c r="Q12" s="23">
        <f t="shared" si="12"/>
        <v>0</v>
      </c>
      <c r="R12" s="23">
        <f>SUM(R6:R11)</f>
        <v>0</v>
      </c>
      <c r="S12" s="18">
        <f t="shared" si="12"/>
        <v>25</v>
      </c>
      <c r="T12" s="18">
        <f t="shared" si="12"/>
        <v>6025</v>
      </c>
      <c r="U12" s="18">
        <f t="shared" si="12"/>
        <v>0</v>
      </c>
      <c r="V12" s="18">
        <f t="shared" si="12"/>
        <v>0</v>
      </c>
      <c r="W12" s="18">
        <f t="shared" si="12"/>
        <v>0</v>
      </c>
      <c r="X12" s="18">
        <f t="shared" si="12"/>
        <v>0</v>
      </c>
      <c r="Y12" s="20">
        <f t="shared" si="0"/>
        <v>82856.165000000008</v>
      </c>
    </row>
    <row r="14" spans="1:25" ht="41.25" customHeight="1" x14ac:dyDescent="0.25">
      <c r="A14" s="30" t="s">
        <v>32</v>
      </c>
      <c r="B14" s="2236" t="s">
        <v>27</v>
      </c>
      <c r="C14" s="2236"/>
      <c r="D14" s="30" t="s">
        <v>333</v>
      </c>
      <c r="E14" s="30" t="s">
        <v>65</v>
      </c>
      <c r="F14" s="30" t="s">
        <v>34</v>
      </c>
      <c r="G14" s="30" t="s">
        <v>13</v>
      </c>
      <c r="H14" s="469" t="s">
        <v>173</v>
      </c>
      <c r="I14" s="30" t="s">
        <v>17</v>
      </c>
      <c r="J14" s="622" t="s">
        <v>174</v>
      </c>
      <c r="K14" s="30" t="s">
        <v>36</v>
      </c>
      <c r="L14" s="30" t="s">
        <v>175</v>
      </c>
      <c r="M14" s="30" t="s">
        <v>69</v>
      </c>
      <c r="N14" s="30" t="s">
        <v>70</v>
      </c>
      <c r="O14" s="622" t="s">
        <v>114</v>
      </c>
      <c r="P14" s="622" t="s">
        <v>368</v>
      </c>
      <c r="Q14" s="2300" t="s">
        <v>339</v>
      </c>
      <c r="R14" s="2301"/>
      <c r="S14" s="622"/>
      <c r="T14" s="2235" t="s">
        <v>46</v>
      </c>
      <c r="U14" s="614" t="s">
        <v>176</v>
      </c>
      <c r="V14" s="2260">
        <v>124405</v>
      </c>
      <c r="W14" s="2268"/>
      <c r="X14" s="2261"/>
    </row>
    <row r="15" spans="1:25" ht="22.5" customHeight="1" x14ac:dyDescent="0.25">
      <c r="A15" s="100" t="s">
        <v>38</v>
      </c>
      <c r="B15" s="2260">
        <v>318546</v>
      </c>
      <c r="C15" s="2261"/>
      <c r="D15" s="619">
        <v>1130</v>
      </c>
      <c r="E15" s="619">
        <v>3230</v>
      </c>
      <c r="F15" s="619">
        <v>300</v>
      </c>
      <c r="G15" s="619">
        <v>0</v>
      </c>
      <c r="H15" s="619">
        <v>501</v>
      </c>
      <c r="I15" s="619">
        <v>5</v>
      </c>
      <c r="J15" s="619">
        <v>69</v>
      </c>
      <c r="K15" s="619">
        <v>85</v>
      </c>
      <c r="L15" s="619">
        <v>0</v>
      </c>
      <c r="M15" s="619">
        <v>0</v>
      </c>
      <c r="N15" s="619">
        <v>100</v>
      </c>
      <c r="O15" s="619">
        <v>0</v>
      </c>
      <c r="P15" s="619">
        <v>904</v>
      </c>
      <c r="Q15" s="2260">
        <v>47</v>
      </c>
      <c r="R15" s="2261"/>
      <c r="S15" s="614">
        <v>0</v>
      </c>
      <c r="T15" s="2235"/>
      <c r="U15" s="614" t="s">
        <v>64</v>
      </c>
      <c r="V15" s="2262">
        <v>10958</v>
      </c>
      <c r="W15" s="2262"/>
      <c r="X15" s="2262"/>
    </row>
    <row r="16" spans="1:25" ht="24.75" customHeight="1" x14ac:dyDescent="0.25">
      <c r="A16" s="100" t="s">
        <v>39</v>
      </c>
      <c r="B16" s="2260">
        <v>103896</v>
      </c>
      <c r="C16" s="2261"/>
      <c r="D16" s="619"/>
      <c r="E16" s="619">
        <v>700</v>
      </c>
      <c r="F16" s="619">
        <v>21000</v>
      </c>
      <c r="G16" s="619"/>
      <c r="H16" s="619"/>
      <c r="I16" s="619"/>
      <c r="J16" s="619"/>
      <c r="K16" s="619"/>
      <c r="L16" s="619">
        <v>86</v>
      </c>
      <c r="M16" s="619">
        <v>500</v>
      </c>
      <c r="N16" s="619"/>
      <c r="O16" s="619"/>
      <c r="P16" s="619"/>
      <c r="Q16" s="2225"/>
      <c r="R16" s="2225"/>
      <c r="S16" s="619"/>
      <c r="T16" s="2254" t="s">
        <v>55</v>
      </c>
      <c r="U16" s="2254"/>
      <c r="V16" s="2267">
        <f>Y12</f>
        <v>82856.165000000008</v>
      </c>
      <c r="W16" s="2267"/>
      <c r="X16" s="2262"/>
    </row>
    <row r="17" spans="1:25" ht="28.5" customHeight="1" x14ac:dyDescent="0.25">
      <c r="A17" s="101" t="s">
        <v>44</v>
      </c>
      <c r="B17" s="2260"/>
      <c r="C17" s="2261"/>
      <c r="D17" s="619"/>
      <c r="E17" s="619"/>
      <c r="F17" s="619"/>
      <c r="G17" s="619"/>
      <c r="H17" s="619"/>
      <c r="I17" s="619"/>
      <c r="J17" s="619"/>
      <c r="K17" s="619"/>
      <c r="L17" s="619"/>
      <c r="M17" s="619"/>
      <c r="N17" s="619"/>
      <c r="O17" s="619"/>
      <c r="P17" s="619"/>
      <c r="Q17" s="2225"/>
      <c r="R17" s="2225"/>
      <c r="S17" s="616"/>
      <c r="T17" s="2294" t="s">
        <v>362</v>
      </c>
      <c r="U17" s="2295"/>
      <c r="V17" s="2296"/>
      <c r="W17" s="2296"/>
      <c r="X17" s="2296"/>
    </row>
    <row r="18" spans="1:25" ht="27" customHeight="1" x14ac:dyDescent="0.25">
      <c r="A18" s="100" t="s">
        <v>40</v>
      </c>
      <c r="B18" s="2264">
        <f>C12</f>
        <v>76394</v>
      </c>
      <c r="C18" s="2261"/>
      <c r="D18" s="620">
        <f>E12</f>
        <v>0</v>
      </c>
      <c r="E18" s="620">
        <f>G12</f>
        <v>90</v>
      </c>
      <c r="F18" s="620">
        <f>I12</f>
        <v>0</v>
      </c>
      <c r="G18" s="620">
        <f>K12</f>
        <v>0</v>
      </c>
      <c r="H18" s="619">
        <v>86</v>
      </c>
      <c r="I18" s="620">
        <f>U12</f>
        <v>0</v>
      </c>
      <c r="J18" s="619"/>
      <c r="K18" s="620">
        <f>W12</f>
        <v>0</v>
      </c>
      <c r="L18" s="619"/>
      <c r="M18" s="620">
        <f>M12</f>
        <v>0</v>
      </c>
      <c r="N18" s="620">
        <f>O12</f>
        <v>0</v>
      </c>
      <c r="O18" s="621">
        <f>Q12</f>
        <v>0</v>
      </c>
      <c r="P18" s="619"/>
      <c r="Q18" s="2262">
        <v>25</v>
      </c>
      <c r="R18" s="2262"/>
      <c r="S18" s="614"/>
      <c r="T18" s="2254" t="s">
        <v>57</v>
      </c>
      <c r="U18" s="2254"/>
      <c r="V18" s="2262">
        <v>520</v>
      </c>
      <c r="W18" s="2262"/>
      <c r="X18" s="2262"/>
      <c r="Y18" s="2269"/>
    </row>
    <row r="19" spans="1:25" ht="25.5" customHeight="1" x14ac:dyDescent="0.25">
      <c r="A19" s="100" t="s">
        <v>41</v>
      </c>
      <c r="B19" s="2260">
        <f>B15+B16+B17-B18</f>
        <v>346048</v>
      </c>
      <c r="C19" s="2261"/>
      <c r="D19" s="619">
        <f>D15+D16+D17-D18</f>
        <v>1130</v>
      </c>
      <c r="E19" s="619">
        <f t="shared" ref="E19:N19" si="13">E15+E16+E17-E18</f>
        <v>3840</v>
      </c>
      <c r="F19" s="619">
        <f t="shared" si="13"/>
        <v>21300</v>
      </c>
      <c r="G19" s="619">
        <f t="shared" si="13"/>
        <v>0</v>
      </c>
      <c r="H19" s="619">
        <f t="shared" si="13"/>
        <v>415</v>
      </c>
      <c r="I19" s="619">
        <f t="shared" si="13"/>
        <v>5</v>
      </c>
      <c r="J19" s="619">
        <f t="shared" si="13"/>
        <v>69</v>
      </c>
      <c r="K19" s="619">
        <f t="shared" si="13"/>
        <v>85</v>
      </c>
      <c r="L19" s="619">
        <f t="shared" si="13"/>
        <v>86</v>
      </c>
      <c r="M19" s="619">
        <f t="shared" si="13"/>
        <v>500</v>
      </c>
      <c r="N19" s="619">
        <f t="shared" si="13"/>
        <v>100</v>
      </c>
      <c r="O19" s="619">
        <f>O15+O16+O17-O18</f>
        <v>0</v>
      </c>
      <c r="P19" s="619">
        <f>P15+P16+P17-P18</f>
        <v>904</v>
      </c>
      <c r="Q19" s="2260">
        <f t="shared" ref="Q19" si="14">Q15+Q16+Q17-Q18</f>
        <v>22</v>
      </c>
      <c r="R19" s="2261"/>
      <c r="S19" s="614">
        <f>S15+S16-S17-S18</f>
        <v>0</v>
      </c>
      <c r="T19" s="2256" t="s">
        <v>48</v>
      </c>
      <c r="U19" s="49" t="s">
        <v>58</v>
      </c>
      <c r="V19" s="2262">
        <v>197000</v>
      </c>
      <c r="W19" s="2262"/>
      <c r="X19" s="2262"/>
      <c r="Y19" s="2269"/>
    </row>
    <row r="20" spans="1:25" ht="23.25" customHeight="1" x14ac:dyDescent="0.25">
      <c r="A20" s="289" t="s">
        <v>187</v>
      </c>
      <c r="B20" s="2286">
        <f>B19*0.9625</f>
        <v>333071.2</v>
      </c>
      <c r="C20" s="2287"/>
      <c r="D20" s="290">
        <f>D19*66.41</f>
        <v>75043.3</v>
      </c>
      <c r="E20" s="290">
        <f>28.2*E19</f>
        <v>108288</v>
      </c>
      <c r="F20" s="290">
        <f>18.31*F19</f>
        <v>390003</v>
      </c>
      <c r="G20" s="290">
        <f>19.3*G19</f>
        <v>0</v>
      </c>
      <c r="H20" s="290">
        <f>241*H19</f>
        <v>100015</v>
      </c>
      <c r="I20" s="290">
        <f>223*I19</f>
        <v>1115</v>
      </c>
      <c r="J20" s="290">
        <f>241*J19</f>
        <v>16629</v>
      </c>
      <c r="K20" s="290">
        <f>K19*100</f>
        <v>8500</v>
      </c>
      <c r="L20" s="290">
        <f>241*L19</f>
        <v>20726</v>
      </c>
      <c r="M20" s="290">
        <f>9.65*M19</f>
        <v>4825</v>
      </c>
      <c r="N20" s="290">
        <f>N19*48.2</f>
        <v>4820</v>
      </c>
      <c r="O20" s="290">
        <f>241*O19</f>
        <v>0</v>
      </c>
      <c r="P20" s="290">
        <f>241*P19</f>
        <v>217864</v>
      </c>
      <c r="Q20" s="2286">
        <f>241*Q19</f>
        <v>5302</v>
      </c>
      <c r="R20" s="2287"/>
      <c r="S20" s="290">
        <f>241*S19</f>
        <v>0</v>
      </c>
      <c r="T20" s="2257"/>
      <c r="U20" s="49" t="s">
        <v>59</v>
      </c>
      <c r="V20" s="2262"/>
      <c r="W20" s="2262"/>
      <c r="X20" s="2262"/>
      <c r="Y20" s="2269"/>
    </row>
    <row r="21" spans="1:25" ht="32.25" customHeight="1" x14ac:dyDescent="0.25">
      <c r="A21" s="291" t="s">
        <v>186</v>
      </c>
      <c r="B21" s="2293">
        <f>SUM(B20:S20)</f>
        <v>1286201.5</v>
      </c>
      <c r="C21" s="2293"/>
      <c r="O21" s="623"/>
      <c r="P21" s="623"/>
      <c r="Q21" s="623"/>
      <c r="R21" s="623"/>
      <c r="T21" s="2294" t="s">
        <v>366</v>
      </c>
      <c r="U21" s="2295"/>
      <c r="V21" s="2297"/>
      <c r="W21" s="2298"/>
      <c r="X21" s="2299"/>
      <c r="Y21" s="2269"/>
    </row>
    <row r="22" spans="1:25" ht="35.25" customHeight="1" x14ac:dyDescent="0.25">
      <c r="A22" s="15"/>
      <c r="B22" s="2288" t="s">
        <v>49</v>
      </c>
      <c r="C22" s="2291">
        <v>469600</v>
      </c>
      <c r="D22" s="2291">
        <v>197000</v>
      </c>
      <c r="E22" s="2291">
        <v>508874</v>
      </c>
      <c r="F22" s="2291">
        <f>C22-D22+E22</f>
        <v>781474</v>
      </c>
      <c r="G22" s="623"/>
      <c r="Q22" s="623"/>
      <c r="R22" s="623"/>
      <c r="T22" s="2251" t="s">
        <v>83</v>
      </c>
      <c r="U22" s="50" t="s">
        <v>60</v>
      </c>
      <c r="V22" s="2262">
        <v>196510</v>
      </c>
      <c r="W22" s="2262"/>
      <c r="X22" s="2262"/>
      <c r="Y22" s="2269"/>
    </row>
    <row r="23" spans="1:25" ht="39.75" customHeight="1" x14ac:dyDescent="0.25">
      <c r="A23" s="623"/>
      <c r="B23" s="2289"/>
      <c r="C23" s="2292"/>
      <c r="D23" s="2292"/>
      <c r="E23" s="2292"/>
      <c r="F23" s="2292"/>
      <c r="G23" s="623"/>
      <c r="Q23" s="623"/>
      <c r="R23" s="623"/>
      <c r="T23" s="2252"/>
      <c r="U23" s="50" t="s">
        <v>61</v>
      </c>
      <c r="V23" s="2262">
        <v>197000</v>
      </c>
      <c r="W23" s="2262"/>
      <c r="X23" s="2262"/>
      <c r="Y23" s="2269"/>
    </row>
    <row r="24" spans="1:25" ht="48" customHeight="1" x14ac:dyDescent="0.25">
      <c r="A24" s="623"/>
      <c r="B24" s="2290"/>
      <c r="C24" s="290" t="s">
        <v>46</v>
      </c>
      <c r="D24" s="290" t="s">
        <v>50</v>
      </c>
      <c r="E24" s="290" t="s">
        <v>51</v>
      </c>
      <c r="F24" s="290" t="s">
        <v>52</v>
      </c>
      <c r="G24" s="623"/>
      <c r="Q24" s="623"/>
      <c r="R24" s="623"/>
      <c r="T24" s="2235" t="s">
        <v>47</v>
      </c>
      <c r="U24" s="51" t="s">
        <v>62</v>
      </c>
      <c r="V24" s="2263">
        <f>V14+V16+V17-V18-V19-V20-V22+V23-V21</f>
        <v>10231.165000000008</v>
      </c>
      <c r="W24" s="2263"/>
      <c r="X24" s="2263"/>
      <c r="Y24" s="2269"/>
    </row>
    <row r="25" spans="1:25" ht="40.5" customHeight="1" x14ac:dyDescent="0.25">
      <c r="T25" s="2235"/>
      <c r="U25" s="51" t="s">
        <v>63</v>
      </c>
      <c r="V25" s="2262">
        <f>V15+V22-V23</f>
        <v>10468</v>
      </c>
      <c r="W25" s="2262"/>
      <c r="X25" s="2262"/>
    </row>
    <row r="26" spans="1:25" ht="36" customHeight="1" x14ac:dyDescent="0.25">
      <c r="K26" s="314"/>
    </row>
    <row r="28" spans="1:25" x14ac:dyDescent="0.25">
      <c r="J28" s="14" t="s">
        <v>139</v>
      </c>
    </row>
    <row r="32" spans="1:25" x14ac:dyDescent="0.25">
      <c r="I32" s="2280"/>
      <c r="J32" s="2280"/>
      <c r="K32" s="2280"/>
      <c r="L32" s="2280"/>
    </row>
    <row r="33" spans="9:12" x14ac:dyDescent="0.25">
      <c r="I33" s="623"/>
      <c r="J33" s="623"/>
      <c r="K33" s="2280"/>
      <c r="L33" s="2280"/>
    </row>
  </sheetData>
  <mergeCells count="62">
    <mergeCell ref="I32:J32"/>
    <mergeCell ref="K32:L32"/>
    <mergeCell ref="K33:L33"/>
    <mergeCell ref="T22:T23"/>
    <mergeCell ref="V22:X22"/>
    <mergeCell ref="V23:X23"/>
    <mergeCell ref="T24:T25"/>
    <mergeCell ref="V24:X24"/>
    <mergeCell ref="V25:X25"/>
    <mergeCell ref="Y18:Y24"/>
    <mergeCell ref="B19:C19"/>
    <mergeCell ref="Q19:R19"/>
    <mergeCell ref="T19:T20"/>
    <mergeCell ref="V19:X19"/>
    <mergeCell ref="B20:C20"/>
    <mergeCell ref="B22:B24"/>
    <mergeCell ref="C22:C23"/>
    <mergeCell ref="D22:D23"/>
    <mergeCell ref="E22:E23"/>
    <mergeCell ref="F22:F23"/>
    <mergeCell ref="Q20:R20"/>
    <mergeCell ref="V20:X20"/>
    <mergeCell ref="B21:C21"/>
    <mergeCell ref="T21:U21"/>
    <mergeCell ref="V21:X21"/>
    <mergeCell ref="B17:C17"/>
    <mergeCell ref="Q17:R17"/>
    <mergeCell ref="T17:U17"/>
    <mergeCell ref="V17:X17"/>
    <mergeCell ref="B18:C18"/>
    <mergeCell ref="Q18:R18"/>
    <mergeCell ref="T18:U18"/>
    <mergeCell ref="V18:X18"/>
    <mergeCell ref="W4:X4"/>
    <mergeCell ref="B16:C16"/>
    <mergeCell ref="Q16:R16"/>
    <mergeCell ref="T16:U16"/>
    <mergeCell ref="V16:X16"/>
    <mergeCell ref="A12:B12"/>
    <mergeCell ref="B14:C14"/>
    <mergeCell ref="Q14:R14"/>
    <mergeCell ref="T14:T15"/>
    <mergeCell ref="V14:X14"/>
    <mergeCell ref="B15:C15"/>
    <mergeCell ref="Q15:R15"/>
    <mergeCell ref="V15:X15"/>
    <mergeCell ref="A1:Y1"/>
    <mergeCell ref="A2:Y2"/>
    <mergeCell ref="T3:Y3"/>
    <mergeCell ref="A4:A5"/>
    <mergeCell ref="B4:B5"/>
    <mergeCell ref="C4:D4"/>
    <mergeCell ref="E4:F4"/>
    <mergeCell ref="G4:H4"/>
    <mergeCell ref="I4:J4"/>
    <mergeCell ref="K4:L4"/>
    <mergeCell ref="Y4:Y5"/>
    <mergeCell ref="M4:N4"/>
    <mergeCell ref="O4:P4"/>
    <mergeCell ref="Q4:R4"/>
    <mergeCell ref="S4:T4"/>
    <mergeCell ref="U4:V4"/>
  </mergeCells>
  <pageMargins left="0.15748031496063" right="0.15748031496063" top="0" bottom="0" header="0" footer="0"/>
  <pageSetup paperSize="9" scale="47" orientation="landscape" r:id="rId1"/>
</worksheet>
</file>

<file path=xl/worksheets/sheet15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A24815C-A2AC-4297-9D0C-3EC4FA1B5DCF}">
  <sheetPr>
    <pageSetUpPr fitToPage="1"/>
  </sheetPr>
  <dimension ref="A1:Y33"/>
  <sheetViews>
    <sheetView topLeftCell="A16" zoomScale="70" zoomScaleNormal="70" zoomScaleSheetLayoutView="100" workbookViewId="0">
      <selection activeCell="K25" sqref="K25"/>
    </sheetView>
  </sheetViews>
  <sheetFormatPr defaultColWidth="9.140625" defaultRowHeight="15" x14ac:dyDescent="0.25"/>
  <cols>
    <col min="1" max="1" width="18.28515625" style="14" customWidth="1"/>
    <col min="2" max="2" width="10.7109375" style="14" customWidth="1"/>
    <col min="3" max="3" width="12.28515625" style="14" customWidth="1"/>
    <col min="4" max="4" width="13.140625" style="14" bestFit="1" customWidth="1"/>
    <col min="5" max="5" width="12" style="14" customWidth="1"/>
    <col min="6" max="6" width="12.5703125" style="14" bestFit="1" customWidth="1"/>
    <col min="7" max="7" width="9.28515625" style="14" bestFit="1" customWidth="1"/>
    <col min="8" max="8" width="10.140625" style="14" bestFit="1" customWidth="1"/>
    <col min="9" max="9" width="10.5703125" style="14" bestFit="1" customWidth="1"/>
    <col min="10" max="10" width="10.5703125" style="14" customWidth="1"/>
    <col min="11" max="11" width="10.28515625" style="14" bestFit="1" customWidth="1"/>
    <col min="12" max="12" width="10.42578125" style="14" bestFit="1" customWidth="1"/>
    <col min="13" max="13" width="9.85546875" style="14" bestFit="1" customWidth="1"/>
    <col min="14" max="14" width="10.140625" style="14" bestFit="1" customWidth="1"/>
    <col min="15" max="15" width="9" style="14" customWidth="1"/>
    <col min="16" max="16" width="12.85546875" style="14" bestFit="1" customWidth="1"/>
    <col min="17" max="18" width="9.42578125" style="14" customWidth="1"/>
    <col min="19" max="19" width="13.7109375" style="14" customWidth="1"/>
    <col min="20" max="20" width="12.140625" style="14" customWidth="1"/>
    <col min="21" max="21" width="19.5703125" style="14" bestFit="1" customWidth="1"/>
    <col min="22" max="22" width="9.85546875" style="14" customWidth="1"/>
    <col min="23" max="23" width="10.140625" style="14" bestFit="1" customWidth="1"/>
    <col min="24" max="24" width="10.28515625" style="14" customWidth="1"/>
    <col min="25" max="25" width="28" style="14" customWidth="1"/>
    <col min="26" max="16384" width="9.140625" style="14"/>
  </cols>
  <sheetData>
    <row r="1" spans="1:25" ht="46.15" customHeight="1" x14ac:dyDescent="0.25">
      <c r="A1" s="2240" t="s">
        <v>148</v>
      </c>
      <c r="B1" s="2240"/>
      <c r="C1" s="2240"/>
      <c r="D1" s="2240"/>
      <c r="E1" s="2240"/>
      <c r="F1" s="2240"/>
      <c r="G1" s="2240"/>
      <c r="H1" s="2240"/>
      <c r="I1" s="2240"/>
      <c r="J1" s="2240"/>
      <c r="K1" s="2240"/>
      <c r="L1" s="2240"/>
      <c r="M1" s="2240"/>
      <c r="N1" s="2240"/>
      <c r="O1" s="2240"/>
      <c r="P1" s="2240"/>
      <c r="Q1" s="2240"/>
      <c r="R1" s="2240"/>
      <c r="S1" s="2240"/>
      <c r="T1" s="2240"/>
      <c r="U1" s="2240"/>
      <c r="V1" s="2240"/>
      <c r="W1" s="2240"/>
      <c r="X1" s="2240"/>
      <c r="Y1" s="2240"/>
    </row>
    <row r="2" spans="1:25" ht="21.6" customHeight="1" x14ac:dyDescent="0.25">
      <c r="A2" s="2241" t="s">
        <v>77</v>
      </c>
      <c r="B2" s="2241"/>
      <c r="C2" s="2241"/>
      <c r="D2" s="2241"/>
      <c r="E2" s="2241"/>
      <c r="F2" s="2241"/>
      <c r="G2" s="2241"/>
      <c r="H2" s="2241"/>
      <c r="I2" s="2241"/>
      <c r="J2" s="2241"/>
      <c r="K2" s="2241"/>
      <c r="L2" s="2241"/>
      <c r="M2" s="2241"/>
      <c r="N2" s="2241"/>
      <c r="O2" s="2241"/>
      <c r="P2" s="2241"/>
      <c r="Q2" s="2241"/>
      <c r="R2" s="2241"/>
      <c r="S2" s="2241"/>
      <c r="T2" s="2241"/>
      <c r="U2" s="2241"/>
      <c r="V2" s="2241"/>
      <c r="W2" s="2241"/>
      <c r="X2" s="2241"/>
      <c r="Y2" s="2241"/>
    </row>
    <row r="3" spans="1:25" ht="21" customHeight="1" x14ac:dyDescent="0.25">
      <c r="A3" s="629"/>
      <c r="B3" s="629"/>
      <c r="C3" s="629"/>
      <c r="D3" s="629"/>
      <c r="E3" s="629"/>
      <c r="F3" s="629"/>
      <c r="G3" s="629"/>
      <c r="H3" s="629"/>
      <c r="I3" s="629"/>
      <c r="J3" s="629"/>
      <c r="K3" s="629"/>
      <c r="L3" s="629"/>
      <c r="M3" s="629"/>
      <c r="N3" s="629"/>
      <c r="O3" s="629"/>
      <c r="P3" s="629"/>
      <c r="Q3" s="629"/>
      <c r="R3" s="629"/>
      <c r="S3" s="629"/>
      <c r="T3" s="2242" t="s">
        <v>370</v>
      </c>
      <c r="U3" s="2242"/>
      <c r="V3" s="2242"/>
      <c r="W3" s="2242"/>
      <c r="X3" s="2242"/>
      <c r="Y3" s="2242"/>
    </row>
    <row r="4" spans="1:25" s="629" customFormat="1" ht="18" customHeight="1" x14ac:dyDescent="0.25">
      <c r="A4" s="2243" t="s">
        <v>25</v>
      </c>
      <c r="B4" s="2243" t="s">
        <v>26</v>
      </c>
      <c r="C4" s="2244" t="s">
        <v>27</v>
      </c>
      <c r="D4" s="2244"/>
      <c r="E4" s="2244" t="s">
        <v>342</v>
      </c>
      <c r="F4" s="2244"/>
      <c r="G4" s="2244" t="s">
        <v>65</v>
      </c>
      <c r="H4" s="2244"/>
      <c r="I4" s="2244" t="s">
        <v>29</v>
      </c>
      <c r="J4" s="2244"/>
      <c r="K4" s="2245" t="s">
        <v>13</v>
      </c>
      <c r="L4" s="2246"/>
      <c r="M4" s="2245" t="s">
        <v>67</v>
      </c>
      <c r="N4" s="2246"/>
      <c r="O4" s="2245" t="s">
        <v>68</v>
      </c>
      <c r="P4" s="2246"/>
      <c r="Q4" s="2245" t="s">
        <v>114</v>
      </c>
      <c r="R4" s="2246"/>
      <c r="S4" s="2244" t="s">
        <v>35</v>
      </c>
      <c r="T4" s="2244"/>
      <c r="U4" s="2245" t="s">
        <v>17</v>
      </c>
      <c r="V4" s="2246"/>
      <c r="W4" s="2247" t="s">
        <v>36</v>
      </c>
      <c r="X4" s="2248"/>
      <c r="Y4" s="2238" t="s">
        <v>30</v>
      </c>
    </row>
    <row r="5" spans="1:25" s="629" customFormat="1" ht="25.5" customHeight="1" x14ac:dyDescent="0.25">
      <c r="A5" s="2243"/>
      <c r="B5" s="2243"/>
      <c r="C5" s="628" t="s">
        <v>42</v>
      </c>
      <c r="D5" s="628" t="s">
        <v>43</v>
      </c>
      <c r="E5" s="628" t="s">
        <v>42</v>
      </c>
      <c r="F5" s="628" t="s">
        <v>43</v>
      </c>
      <c r="G5" s="628" t="s">
        <v>42</v>
      </c>
      <c r="H5" s="628" t="s">
        <v>43</v>
      </c>
      <c r="I5" s="628" t="s">
        <v>42</v>
      </c>
      <c r="J5" s="628" t="s">
        <v>43</v>
      </c>
      <c r="K5" s="628" t="s">
        <v>42</v>
      </c>
      <c r="L5" s="628" t="s">
        <v>43</v>
      </c>
      <c r="M5" s="628" t="s">
        <v>42</v>
      </c>
      <c r="N5" s="628" t="s">
        <v>43</v>
      </c>
      <c r="O5" s="628" t="s">
        <v>42</v>
      </c>
      <c r="P5" s="628" t="s">
        <v>43</v>
      </c>
      <c r="Q5" s="628" t="s">
        <v>42</v>
      </c>
      <c r="R5" s="628" t="s">
        <v>43</v>
      </c>
      <c r="S5" s="33" t="s">
        <v>42</v>
      </c>
      <c r="T5" s="33" t="s">
        <v>43</v>
      </c>
      <c r="U5" s="30" t="s">
        <v>42</v>
      </c>
      <c r="V5" s="30" t="s">
        <v>43</v>
      </c>
      <c r="W5" s="30" t="s">
        <v>42</v>
      </c>
      <c r="X5" s="30" t="s">
        <v>43</v>
      </c>
      <c r="Y5" s="2239"/>
    </row>
    <row r="6" spans="1:25" ht="34.5" customHeight="1" x14ac:dyDescent="0.25">
      <c r="A6" s="12">
        <v>1409935200</v>
      </c>
      <c r="B6" s="627" t="s">
        <v>71</v>
      </c>
      <c r="C6" s="625">
        <v>59906</v>
      </c>
      <c r="D6" s="624">
        <f>0.9725*C6</f>
        <v>58258.584999999999</v>
      </c>
      <c r="E6" s="625"/>
      <c r="F6" s="625">
        <f>67.1*E6</f>
        <v>0</v>
      </c>
      <c r="G6" s="625"/>
      <c r="H6" s="625">
        <f>28.2*G6</f>
        <v>0</v>
      </c>
      <c r="I6" s="625"/>
      <c r="J6" s="625">
        <f>18.5*I6</f>
        <v>0</v>
      </c>
      <c r="K6" s="625"/>
      <c r="L6" s="625">
        <f>19.5*K6</f>
        <v>0</v>
      </c>
      <c r="M6" s="625"/>
      <c r="N6" s="624">
        <f>M6*9.75</f>
        <v>0</v>
      </c>
      <c r="O6" s="625"/>
      <c r="P6" s="624">
        <f>O6*48.62</f>
        <v>0</v>
      </c>
      <c r="Q6" s="624"/>
      <c r="R6" s="624">
        <f>241*Q6</f>
        <v>0</v>
      </c>
      <c r="S6" s="625"/>
      <c r="T6" s="625">
        <f>241*S6</f>
        <v>0</v>
      </c>
      <c r="U6" s="625"/>
      <c r="V6" s="625">
        <f>232*U6</f>
        <v>0</v>
      </c>
      <c r="W6" s="625"/>
      <c r="X6" s="19">
        <f>W6*100</f>
        <v>0</v>
      </c>
      <c r="Y6" s="20">
        <f t="shared" ref="Y6:Y12" si="0">D6+F6+H6+J6+L6+N6+P6+R6+T6+V6+X6</f>
        <v>58258.584999999999</v>
      </c>
    </row>
    <row r="7" spans="1:25" ht="31.5" customHeight="1" x14ac:dyDescent="0.25">
      <c r="A7" s="12">
        <v>1984225578</v>
      </c>
      <c r="B7" s="627" t="s">
        <v>72</v>
      </c>
      <c r="C7" s="625">
        <v>20859</v>
      </c>
      <c r="D7" s="624">
        <f t="shared" ref="D7:D11" si="1">0.9725*C7</f>
        <v>20285.377500000002</v>
      </c>
      <c r="E7" s="625"/>
      <c r="F7" s="625">
        <f t="shared" ref="F7:F11" si="2">67.1*E7</f>
        <v>0</v>
      </c>
      <c r="G7" s="625"/>
      <c r="H7" s="625">
        <f t="shared" ref="H7:H11" si="3">28.2*G7</f>
        <v>0</v>
      </c>
      <c r="I7" s="625"/>
      <c r="J7" s="625">
        <f t="shared" ref="J7:J11" si="4">18.5*I7</f>
        <v>0</v>
      </c>
      <c r="K7" s="625"/>
      <c r="L7" s="625">
        <f t="shared" ref="L7:L11" si="5">19.5*K7</f>
        <v>0</v>
      </c>
      <c r="M7" s="625"/>
      <c r="N7" s="624">
        <f t="shared" ref="N7:N11" si="6">M7*9.75</f>
        <v>0</v>
      </c>
      <c r="O7" s="625"/>
      <c r="P7" s="624">
        <f t="shared" ref="P7:P11" si="7">O7*48.62</f>
        <v>0</v>
      </c>
      <c r="Q7" s="624"/>
      <c r="R7" s="624">
        <f t="shared" ref="R7:R11" si="8">241*Q7</f>
        <v>0</v>
      </c>
      <c r="S7" s="625"/>
      <c r="T7" s="625">
        <f t="shared" ref="T7:T11" si="9">241*S7</f>
        <v>0</v>
      </c>
      <c r="U7" s="625"/>
      <c r="V7" s="625">
        <f t="shared" ref="V7:V11" si="10">232*U7</f>
        <v>0</v>
      </c>
      <c r="W7" s="625"/>
      <c r="X7" s="19">
        <f t="shared" ref="X7:X11" si="11">W7*100</f>
        <v>0</v>
      </c>
      <c r="Y7" s="20">
        <f t="shared" si="0"/>
        <v>20285.377500000002</v>
      </c>
    </row>
    <row r="8" spans="1:25" ht="35.25" customHeight="1" x14ac:dyDescent="0.25">
      <c r="A8" s="12">
        <v>1967020280</v>
      </c>
      <c r="B8" s="627" t="s">
        <v>73</v>
      </c>
      <c r="C8" s="625">
        <v>21267</v>
      </c>
      <c r="D8" s="624">
        <f t="shared" si="1"/>
        <v>20682.157500000001</v>
      </c>
      <c r="E8" s="625"/>
      <c r="F8" s="625">
        <f t="shared" si="2"/>
        <v>0</v>
      </c>
      <c r="G8" s="625"/>
      <c r="H8" s="625">
        <f t="shared" si="3"/>
        <v>0</v>
      </c>
      <c r="I8" s="625"/>
      <c r="J8" s="625">
        <f t="shared" si="4"/>
        <v>0</v>
      </c>
      <c r="K8" s="625"/>
      <c r="L8" s="625">
        <f t="shared" si="5"/>
        <v>0</v>
      </c>
      <c r="M8" s="625"/>
      <c r="N8" s="624">
        <f t="shared" si="6"/>
        <v>0</v>
      </c>
      <c r="O8" s="625"/>
      <c r="P8" s="624">
        <f t="shared" si="7"/>
        <v>0</v>
      </c>
      <c r="Q8" s="624"/>
      <c r="R8" s="624">
        <f t="shared" si="8"/>
        <v>0</v>
      </c>
      <c r="S8" s="625"/>
      <c r="T8" s="625">
        <f t="shared" si="9"/>
        <v>0</v>
      </c>
      <c r="U8" s="625"/>
      <c r="V8" s="625">
        <f t="shared" si="10"/>
        <v>0</v>
      </c>
      <c r="W8" s="625"/>
      <c r="X8" s="19">
        <f t="shared" si="11"/>
        <v>0</v>
      </c>
      <c r="Y8" s="20">
        <f t="shared" si="0"/>
        <v>20682.157500000001</v>
      </c>
    </row>
    <row r="9" spans="1:25" ht="38.25" customHeight="1" x14ac:dyDescent="0.25">
      <c r="A9" s="12">
        <v>1984225580</v>
      </c>
      <c r="B9" s="627" t="s">
        <v>75</v>
      </c>
      <c r="C9" s="625">
        <v>10989</v>
      </c>
      <c r="D9" s="624">
        <f t="shared" si="1"/>
        <v>10686.8025</v>
      </c>
      <c r="E9" s="625"/>
      <c r="F9" s="625">
        <f t="shared" si="2"/>
        <v>0</v>
      </c>
      <c r="G9" s="625"/>
      <c r="H9" s="625">
        <f t="shared" si="3"/>
        <v>0</v>
      </c>
      <c r="I9" s="625"/>
      <c r="J9" s="625">
        <f t="shared" si="4"/>
        <v>0</v>
      </c>
      <c r="K9" s="625"/>
      <c r="L9" s="625">
        <f t="shared" si="5"/>
        <v>0</v>
      </c>
      <c r="M9" s="625"/>
      <c r="N9" s="624">
        <f t="shared" si="6"/>
        <v>0</v>
      </c>
      <c r="O9" s="625"/>
      <c r="P9" s="624">
        <f t="shared" si="7"/>
        <v>0</v>
      </c>
      <c r="Q9" s="624"/>
      <c r="R9" s="624">
        <f t="shared" si="8"/>
        <v>0</v>
      </c>
      <c r="S9" s="625"/>
      <c r="T9" s="625">
        <f t="shared" si="9"/>
        <v>0</v>
      </c>
      <c r="U9" s="625"/>
      <c r="V9" s="625">
        <f t="shared" si="10"/>
        <v>0</v>
      </c>
      <c r="W9" s="625"/>
      <c r="X9" s="19">
        <f t="shared" si="11"/>
        <v>0</v>
      </c>
      <c r="Y9" s="20">
        <f t="shared" si="0"/>
        <v>10686.8025</v>
      </c>
    </row>
    <row r="10" spans="1:25" ht="35.25" customHeight="1" x14ac:dyDescent="0.25">
      <c r="A10" s="12">
        <v>1409935199</v>
      </c>
      <c r="C10" s="625"/>
      <c r="D10" s="624">
        <f t="shared" si="1"/>
        <v>0</v>
      </c>
      <c r="E10" s="625"/>
      <c r="F10" s="625">
        <f t="shared" si="2"/>
        <v>0</v>
      </c>
      <c r="G10" s="625"/>
      <c r="H10" s="625">
        <f t="shared" si="3"/>
        <v>0</v>
      </c>
      <c r="I10" s="625"/>
      <c r="J10" s="625">
        <f t="shared" si="4"/>
        <v>0</v>
      </c>
      <c r="K10" s="625"/>
      <c r="L10" s="625">
        <f t="shared" si="5"/>
        <v>0</v>
      </c>
      <c r="M10" s="625"/>
      <c r="N10" s="624">
        <f t="shared" si="6"/>
        <v>0</v>
      </c>
      <c r="O10" s="625"/>
      <c r="P10" s="624">
        <f t="shared" si="7"/>
        <v>0</v>
      </c>
      <c r="Q10" s="624"/>
      <c r="R10" s="624">
        <f t="shared" si="8"/>
        <v>0</v>
      </c>
      <c r="S10" s="625"/>
      <c r="T10" s="625">
        <f t="shared" si="9"/>
        <v>0</v>
      </c>
      <c r="U10" s="625"/>
      <c r="V10" s="625">
        <f t="shared" si="10"/>
        <v>0</v>
      </c>
      <c r="W10" s="625"/>
      <c r="X10" s="19">
        <f t="shared" si="11"/>
        <v>0</v>
      </c>
      <c r="Y10" s="20">
        <f t="shared" si="0"/>
        <v>0</v>
      </c>
    </row>
    <row r="11" spans="1:25" ht="37.5" customHeight="1" x14ac:dyDescent="0.25">
      <c r="A11" s="12"/>
      <c r="B11" s="626"/>
      <c r="C11" s="625"/>
      <c r="D11" s="22">
        <f t="shared" si="1"/>
        <v>0</v>
      </c>
      <c r="E11" s="625"/>
      <c r="F11" s="625">
        <f t="shared" si="2"/>
        <v>0</v>
      </c>
      <c r="G11" s="625"/>
      <c r="H11" s="625">
        <f t="shared" si="3"/>
        <v>0</v>
      </c>
      <c r="I11" s="625"/>
      <c r="J11" s="625">
        <f t="shared" si="4"/>
        <v>0</v>
      </c>
      <c r="K11" s="625"/>
      <c r="L11" s="625">
        <f t="shared" si="5"/>
        <v>0</v>
      </c>
      <c r="M11" s="625"/>
      <c r="N11" s="624">
        <f t="shared" si="6"/>
        <v>0</v>
      </c>
      <c r="O11" s="625"/>
      <c r="P11" s="624">
        <f t="shared" si="7"/>
        <v>0</v>
      </c>
      <c r="Q11" s="624"/>
      <c r="R11" s="624">
        <f t="shared" si="8"/>
        <v>0</v>
      </c>
      <c r="S11" s="625"/>
      <c r="T11" s="625">
        <f t="shared" si="9"/>
        <v>0</v>
      </c>
      <c r="U11" s="625"/>
      <c r="V11" s="625">
        <f t="shared" si="10"/>
        <v>0</v>
      </c>
      <c r="W11" s="625"/>
      <c r="X11" s="19">
        <f t="shared" si="11"/>
        <v>0</v>
      </c>
      <c r="Y11" s="20">
        <f t="shared" si="0"/>
        <v>0</v>
      </c>
    </row>
    <row r="12" spans="1:25" ht="29.25" customHeight="1" x14ac:dyDescent="0.25">
      <c r="A12" s="2235" t="s">
        <v>31</v>
      </c>
      <c r="B12" s="2235"/>
      <c r="C12" s="18">
        <f t="shared" ref="C12:X12" si="12">SUM(C6:C11)</f>
        <v>113021</v>
      </c>
      <c r="D12" s="18">
        <f t="shared" si="12"/>
        <v>109912.9225</v>
      </c>
      <c r="E12" s="18">
        <f t="shared" si="12"/>
        <v>0</v>
      </c>
      <c r="F12" s="18">
        <f t="shared" si="12"/>
        <v>0</v>
      </c>
      <c r="G12" s="18">
        <f t="shared" si="12"/>
        <v>0</v>
      </c>
      <c r="H12" s="18">
        <f t="shared" si="12"/>
        <v>0</v>
      </c>
      <c r="I12" s="18">
        <f t="shared" si="12"/>
        <v>0</v>
      </c>
      <c r="J12" s="18">
        <f t="shared" si="12"/>
        <v>0</v>
      </c>
      <c r="K12" s="18">
        <f t="shared" si="12"/>
        <v>0</v>
      </c>
      <c r="L12" s="18">
        <f t="shared" si="12"/>
        <v>0</v>
      </c>
      <c r="M12" s="18">
        <f t="shared" si="12"/>
        <v>0</v>
      </c>
      <c r="N12" s="23">
        <f t="shared" si="12"/>
        <v>0</v>
      </c>
      <c r="O12" s="18">
        <f t="shared" si="12"/>
        <v>0</v>
      </c>
      <c r="P12" s="23">
        <f t="shared" si="12"/>
        <v>0</v>
      </c>
      <c r="Q12" s="23">
        <f t="shared" si="12"/>
        <v>0</v>
      </c>
      <c r="R12" s="23">
        <f>SUM(R6:R11)</f>
        <v>0</v>
      </c>
      <c r="S12" s="18">
        <f t="shared" si="12"/>
        <v>0</v>
      </c>
      <c r="T12" s="18">
        <f t="shared" si="12"/>
        <v>0</v>
      </c>
      <c r="U12" s="18">
        <f t="shared" si="12"/>
        <v>0</v>
      </c>
      <c r="V12" s="18">
        <f t="shared" si="12"/>
        <v>0</v>
      </c>
      <c r="W12" s="18">
        <f t="shared" si="12"/>
        <v>0</v>
      </c>
      <c r="X12" s="18">
        <f t="shared" si="12"/>
        <v>0</v>
      </c>
      <c r="Y12" s="20">
        <f t="shared" si="0"/>
        <v>109912.9225</v>
      </c>
    </row>
    <row r="14" spans="1:25" ht="41.25" customHeight="1" x14ac:dyDescent="0.25">
      <c r="A14" s="30" t="s">
        <v>32</v>
      </c>
      <c r="B14" s="2236" t="s">
        <v>27</v>
      </c>
      <c r="C14" s="2236"/>
      <c r="D14" s="30" t="s">
        <v>333</v>
      </c>
      <c r="E14" s="30" t="s">
        <v>65</v>
      </c>
      <c r="F14" s="30" t="s">
        <v>34</v>
      </c>
      <c r="G14" s="30" t="s">
        <v>13</v>
      </c>
      <c r="H14" s="469" t="s">
        <v>173</v>
      </c>
      <c r="I14" s="30" t="s">
        <v>17</v>
      </c>
      <c r="J14" s="633" t="s">
        <v>174</v>
      </c>
      <c r="K14" s="30" t="s">
        <v>36</v>
      </c>
      <c r="L14" s="30" t="s">
        <v>175</v>
      </c>
      <c r="M14" s="30" t="s">
        <v>69</v>
      </c>
      <c r="N14" s="30" t="s">
        <v>70</v>
      </c>
      <c r="O14" s="633" t="s">
        <v>114</v>
      </c>
      <c r="P14" s="633" t="s">
        <v>368</v>
      </c>
      <c r="Q14" s="2300" t="s">
        <v>339</v>
      </c>
      <c r="R14" s="2301"/>
      <c r="S14" s="633"/>
      <c r="T14" s="2235" t="s">
        <v>46</v>
      </c>
      <c r="U14" s="627" t="s">
        <v>176</v>
      </c>
      <c r="V14" s="2260">
        <v>10231</v>
      </c>
      <c r="W14" s="2268"/>
      <c r="X14" s="2261"/>
    </row>
    <row r="15" spans="1:25" ht="22.5" customHeight="1" x14ac:dyDescent="0.25">
      <c r="A15" s="100" t="s">
        <v>38</v>
      </c>
      <c r="B15" s="2260">
        <v>346048</v>
      </c>
      <c r="C15" s="2261"/>
      <c r="D15" s="630">
        <v>1130</v>
      </c>
      <c r="E15" s="630">
        <v>3840</v>
      </c>
      <c r="F15" s="630">
        <v>21300</v>
      </c>
      <c r="G15" s="630">
        <v>0</v>
      </c>
      <c r="H15" s="630">
        <v>415</v>
      </c>
      <c r="I15" s="630">
        <v>5</v>
      </c>
      <c r="J15" s="630">
        <v>69</v>
      </c>
      <c r="K15" s="630">
        <v>85</v>
      </c>
      <c r="L15" s="630">
        <v>86</v>
      </c>
      <c r="M15" s="630">
        <v>500</v>
      </c>
      <c r="N15" s="630">
        <v>100</v>
      </c>
      <c r="O15" s="630">
        <v>0</v>
      </c>
      <c r="P15" s="630">
        <v>904</v>
      </c>
      <c r="Q15" s="2260">
        <v>22</v>
      </c>
      <c r="R15" s="2261"/>
      <c r="S15" s="627">
        <v>0</v>
      </c>
      <c r="T15" s="2235"/>
      <c r="U15" s="627" t="s">
        <v>64</v>
      </c>
      <c r="V15" s="2262">
        <v>10468</v>
      </c>
      <c r="W15" s="2262"/>
      <c r="X15" s="2262"/>
    </row>
    <row r="16" spans="1:25" ht="24.75" customHeight="1" x14ac:dyDescent="0.25">
      <c r="A16" s="100" t="s">
        <v>39</v>
      </c>
      <c r="B16" s="2260"/>
      <c r="C16" s="2261"/>
      <c r="D16" s="630"/>
      <c r="E16" s="630"/>
      <c r="F16" s="630"/>
      <c r="G16" s="630"/>
      <c r="H16" s="630"/>
      <c r="I16" s="630"/>
      <c r="J16" s="630"/>
      <c r="K16" s="630"/>
      <c r="L16" s="630"/>
      <c r="M16" s="630"/>
      <c r="N16" s="630"/>
      <c r="O16" s="630"/>
      <c r="P16" s="630"/>
      <c r="Q16" s="2225"/>
      <c r="R16" s="2225"/>
      <c r="S16" s="630"/>
      <c r="T16" s="2254" t="s">
        <v>55</v>
      </c>
      <c r="U16" s="2254"/>
      <c r="V16" s="2267">
        <f>Y12</f>
        <v>109912.9225</v>
      </c>
      <c r="W16" s="2267"/>
      <c r="X16" s="2262"/>
    </row>
    <row r="17" spans="1:25" ht="28.5" customHeight="1" x14ac:dyDescent="0.25">
      <c r="A17" s="101" t="s">
        <v>44</v>
      </c>
      <c r="B17" s="2260"/>
      <c r="C17" s="2261"/>
      <c r="D17" s="630"/>
      <c r="E17" s="630"/>
      <c r="F17" s="630"/>
      <c r="G17" s="630"/>
      <c r="H17" s="630"/>
      <c r="I17" s="630"/>
      <c r="J17" s="630"/>
      <c r="K17" s="630"/>
      <c r="L17" s="630"/>
      <c r="M17" s="630"/>
      <c r="N17" s="630"/>
      <c r="O17" s="630"/>
      <c r="P17" s="630"/>
      <c r="Q17" s="2225"/>
      <c r="R17" s="2225"/>
      <c r="S17" s="626"/>
      <c r="T17" s="2294" t="s">
        <v>362</v>
      </c>
      <c r="U17" s="2295"/>
      <c r="V17" s="2296"/>
      <c r="W17" s="2296"/>
      <c r="X17" s="2296"/>
    </row>
    <row r="18" spans="1:25" ht="27" customHeight="1" x14ac:dyDescent="0.25">
      <c r="A18" s="100" t="s">
        <v>40</v>
      </c>
      <c r="B18" s="2264">
        <f>C12</f>
        <v>113021</v>
      </c>
      <c r="C18" s="2261"/>
      <c r="D18" s="632">
        <f>E12</f>
        <v>0</v>
      </c>
      <c r="E18" s="632">
        <f>G12</f>
        <v>0</v>
      </c>
      <c r="F18" s="632">
        <f>I12</f>
        <v>0</v>
      </c>
      <c r="G18" s="632">
        <f>K12</f>
        <v>0</v>
      </c>
      <c r="H18" s="630"/>
      <c r="I18" s="632">
        <f>U12</f>
        <v>0</v>
      </c>
      <c r="J18" s="630"/>
      <c r="K18" s="632">
        <f>W12</f>
        <v>0</v>
      </c>
      <c r="L18" s="630"/>
      <c r="M18" s="632">
        <f>M12</f>
        <v>0</v>
      </c>
      <c r="N18" s="632">
        <f>O12</f>
        <v>0</v>
      </c>
      <c r="O18" s="631">
        <f>Q12</f>
        <v>0</v>
      </c>
      <c r="P18" s="630"/>
      <c r="Q18" s="2262"/>
      <c r="R18" s="2262"/>
      <c r="S18" s="627"/>
      <c r="T18" s="2254" t="s">
        <v>57</v>
      </c>
      <c r="U18" s="2254"/>
      <c r="V18" s="2262">
        <v>2470</v>
      </c>
      <c r="W18" s="2262"/>
      <c r="X18" s="2262"/>
      <c r="Y18" s="2269"/>
    </row>
    <row r="19" spans="1:25" ht="25.5" customHeight="1" x14ac:dyDescent="0.25">
      <c r="A19" s="100" t="s">
        <v>41</v>
      </c>
      <c r="B19" s="2260">
        <f>B15+B16+B17-B18</f>
        <v>233027</v>
      </c>
      <c r="C19" s="2261"/>
      <c r="D19" s="630">
        <f>D15+D16+D17-D18</f>
        <v>1130</v>
      </c>
      <c r="E19" s="630">
        <f t="shared" ref="E19:N19" si="13">E15+E16+E17-E18</f>
        <v>3840</v>
      </c>
      <c r="F19" s="630">
        <f t="shared" si="13"/>
        <v>21300</v>
      </c>
      <c r="G19" s="630">
        <f t="shared" si="13"/>
        <v>0</v>
      </c>
      <c r="H19" s="630">
        <f t="shared" si="13"/>
        <v>415</v>
      </c>
      <c r="I19" s="630">
        <f t="shared" si="13"/>
        <v>5</v>
      </c>
      <c r="J19" s="630">
        <f t="shared" si="13"/>
        <v>69</v>
      </c>
      <c r="K19" s="630">
        <f t="shared" si="13"/>
        <v>85</v>
      </c>
      <c r="L19" s="630">
        <f t="shared" si="13"/>
        <v>86</v>
      </c>
      <c r="M19" s="630">
        <f t="shared" si="13"/>
        <v>500</v>
      </c>
      <c r="N19" s="630">
        <f t="shared" si="13"/>
        <v>100</v>
      </c>
      <c r="O19" s="630">
        <f>O15+O16+O17-O18</f>
        <v>0</v>
      </c>
      <c r="P19" s="630">
        <f>P15+P16+P17-P18</f>
        <v>904</v>
      </c>
      <c r="Q19" s="2260">
        <f t="shared" ref="Q19" si="14">Q15+Q16+Q17-Q18</f>
        <v>22</v>
      </c>
      <c r="R19" s="2261"/>
      <c r="S19" s="627">
        <f>S15+S16-S17-S18</f>
        <v>0</v>
      </c>
      <c r="T19" s="2256" t="s">
        <v>48</v>
      </c>
      <c r="U19" s="49" t="s">
        <v>58</v>
      </c>
      <c r="V19" s="2262">
        <v>115000</v>
      </c>
      <c r="W19" s="2262"/>
      <c r="X19" s="2262"/>
      <c r="Y19" s="2269"/>
    </row>
    <row r="20" spans="1:25" ht="23.25" customHeight="1" x14ac:dyDescent="0.25">
      <c r="A20" s="289" t="s">
        <v>187</v>
      </c>
      <c r="B20" s="2286">
        <f>B19*0.9625</f>
        <v>224288.48750000002</v>
      </c>
      <c r="C20" s="2287"/>
      <c r="D20" s="290">
        <f>D19*66.41</f>
        <v>75043.3</v>
      </c>
      <c r="E20" s="290">
        <f>28.2*E19</f>
        <v>108288</v>
      </c>
      <c r="F20" s="290">
        <f>18.31*F19</f>
        <v>390003</v>
      </c>
      <c r="G20" s="290">
        <f>19.3*G19</f>
        <v>0</v>
      </c>
      <c r="H20" s="290">
        <f>241*H19</f>
        <v>100015</v>
      </c>
      <c r="I20" s="290">
        <f>223*I19</f>
        <v>1115</v>
      </c>
      <c r="J20" s="290">
        <f>241*J19</f>
        <v>16629</v>
      </c>
      <c r="K20" s="290">
        <f>K19*100</f>
        <v>8500</v>
      </c>
      <c r="L20" s="290">
        <f>241*L19</f>
        <v>20726</v>
      </c>
      <c r="M20" s="290">
        <f>9.65*M19</f>
        <v>4825</v>
      </c>
      <c r="N20" s="290">
        <f>N19*48.2</f>
        <v>4820</v>
      </c>
      <c r="O20" s="290">
        <f>241*O19</f>
        <v>0</v>
      </c>
      <c r="P20" s="290">
        <f>241*P19</f>
        <v>217864</v>
      </c>
      <c r="Q20" s="2286">
        <f>241*Q19</f>
        <v>5302</v>
      </c>
      <c r="R20" s="2287"/>
      <c r="S20" s="290">
        <f>241*S19</f>
        <v>0</v>
      </c>
      <c r="T20" s="2257"/>
      <c r="U20" s="49" t="s">
        <v>59</v>
      </c>
      <c r="V20" s="2262"/>
      <c r="W20" s="2262"/>
      <c r="X20" s="2262"/>
      <c r="Y20" s="2269"/>
    </row>
    <row r="21" spans="1:25" ht="32.25" customHeight="1" x14ac:dyDescent="0.25">
      <c r="A21" s="291" t="s">
        <v>186</v>
      </c>
      <c r="B21" s="2293">
        <f>SUM(B20:S20)</f>
        <v>1177418.7875000001</v>
      </c>
      <c r="C21" s="2293"/>
      <c r="O21" s="634"/>
      <c r="P21" s="634"/>
      <c r="Q21" s="634"/>
      <c r="R21" s="634"/>
      <c r="T21" s="2294" t="s">
        <v>366</v>
      </c>
      <c r="U21" s="2295"/>
      <c r="V21" s="2297"/>
      <c r="W21" s="2298"/>
      <c r="X21" s="2299"/>
      <c r="Y21" s="2269"/>
    </row>
    <row r="22" spans="1:25" ht="35.25" customHeight="1" x14ac:dyDescent="0.25">
      <c r="A22" s="15"/>
      <c r="B22" s="2288" t="s">
        <v>49</v>
      </c>
      <c r="C22" s="2291">
        <v>781474</v>
      </c>
      <c r="D22" s="2291">
        <v>115000</v>
      </c>
      <c r="E22" s="2291"/>
      <c r="F22" s="2291">
        <f>C22-D22+E22</f>
        <v>666474</v>
      </c>
      <c r="G22" s="634"/>
      <c r="Q22" s="634"/>
      <c r="R22" s="634"/>
      <c r="T22" s="2251" t="s">
        <v>83</v>
      </c>
      <c r="U22" s="50" t="s">
        <v>60</v>
      </c>
      <c r="V22" s="2262">
        <v>114500</v>
      </c>
      <c r="W22" s="2262"/>
      <c r="X22" s="2262"/>
      <c r="Y22" s="2269"/>
    </row>
    <row r="23" spans="1:25" ht="39.75" customHeight="1" x14ac:dyDescent="0.25">
      <c r="A23" s="634"/>
      <c r="B23" s="2289"/>
      <c r="C23" s="2292"/>
      <c r="D23" s="2292"/>
      <c r="E23" s="2292"/>
      <c r="F23" s="2292"/>
      <c r="G23" s="634"/>
      <c r="Q23" s="634"/>
      <c r="R23" s="634"/>
      <c r="T23" s="2252"/>
      <c r="U23" s="50" t="s">
        <v>61</v>
      </c>
      <c r="V23" s="2262">
        <v>115000</v>
      </c>
      <c r="W23" s="2262"/>
      <c r="X23" s="2262"/>
      <c r="Y23" s="2269"/>
    </row>
    <row r="24" spans="1:25" ht="48" customHeight="1" x14ac:dyDescent="0.25">
      <c r="A24" s="634"/>
      <c r="B24" s="2290"/>
      <c r="C24" s="290" t="s">
        <v>46</v>
      </c>
      <c r="D24" s="290" t="s">
        <v>50</v>
      </c>
      <c r="E24" s="290" t="s">
        <v>51</v>
      </c>
      <c r="F24" s="290" t="s">
        <v>52</v>
      </c>
      <c r="G24" s="634"/>
      <c r="Q24" s="634"/>
      <c r="R24" s="634"/>
      <c r="T24" s="2235" t="s">
        <v>47</v>
      </c>
      <c r="U24" s="51" t="s">
        <v>62</v>
      </c>
      <c r="V24" s="2263">
        <f>V14+V16+V17-V18-V19-V20-V22+V23-V21</f>
        <v>3173.9225000000006</v>
      </c>
      <c r="W24" s="2263"/>
      <c r="X24" s="2263"/>
      <c r="Y24" s="2269"/>
    </row>
    <row r="25" spans="1:25" ht="40.5" customHeight="1" x14ac:dyDescent="0.25">
      <c r="T25" s="2235"/>
      <c r="U25" s="51" t="s">
        <v>63</v>
      </c>
      <c r="V25" s="2262">
        <f>V15+V22-V23</f>
        <v>9968</v>
      </c>
      <c r="W25" s="2262"/>
      <c r="X25" s="2262"/>
    </row>
    <row r="26" spans="1:25" ht="36" customHeight="1" x14ac:dyDescent="0.25">
      <c r="K26" s="314"/>
    </row>
    <row r="28" spans="1:25" x14ac:dyDescent="0.25">
      <c r="J28" s="14" t="s">
        <v>139</v>
      </c>
    </row>
    <row r="32" spans="1:25" x14ac:dyDescent="0.25">
      <c r="I32" s="2280"/>
      <c r="J32" s="2280"/>
      <c r="K32" s="2280"/>
      <c r="L32" s="2280"/>
    </row>
    <row r="33" spans="9:12" x14ac:dyDescent="0.25">
      <c r="I33" s="634"/>
      <c r="J33" s="634"/>
      <c r="K33" s="2280"/>
      <c r="L33" s="2280"/>
    </row>
  </sheetData>
  <mergeCells count="62">
    <mergeCell ref="A1:Y1"/>
    <mergeCell ref="A2:Y2"/>
    <mergeCell ref="T3:Y3"/>
    <mergeCell ref="A4:A5"/>
    <mergeCell ref="B4:B5"/>
    <mergeCell ref="C4:D4"/>
    <mergeCell ref="E4:F4"/>
    <mergeCell ref="G4:H4"/>
    <mergeCell ref="I4:J4"/>
    <mergeCell ref="K4:L4"/>
    <mergeCell ref="Y4:Y5"/>
    <mergeCell ref="M4:N4"/>
    <mergeCell ref="O4:P4"/>
    <mergeCell ref="Q4:R4"/>
    <mergeCell ref="S4:T4"/>
    <mergeCell ref="U4:V4"/>
    <mergeCell ref="W4:X4"/>
    <mergeCell ref="B16:C16"/>
    <mergeCell ref="Q16:R16"/>
    <mergeCell ref="T16:U16"/>
    <mergeCell ref="V16:X16"/>
    <mergeCell ref="A12:B12"/>
    <mergeCell ref="B14:C14"/>
    <mergeCell ref="Q14:R14"/>
    <mergeCell ref="T14:T15"/>
    <mergeCell ref="V14:X14"/>
    <mergeCell ref="B15:C15"/>
    <mergeCell ref="Q15:R15"/>
    <mergeCell ref="V15:X15"/>
    <mergeCell ref="B17:C17"/>
    <mergeCell ref="Q17:R17"/>
    <mergeCell ref="T17:U17"/>
    <mergeCell ref="V17:X17"/>
    <mergeCell ref="B18:C18"/>
    <mergeCell ref="Q18:R18"/>
    <mergeCell ref="T18:U18"/>
    <mergeCell ref="V18:X18"/>
    <mergeCell ref="Y18:Y24"/>
    <mergeCell ref="B19:C19"/>
    <mergeCell ref="Q19:R19"/>
    <mergeCell ref="T19:T20"/>
    <mergeCell ref="V19:X19"/>
    <mergeCell ref="B20:C20"/>
    <mergeCell ref="B22:B24"/>
    <mergeCell ref="C22:C23"/>
    <mergeCell ref="D22:D23"/>
    <mergeCell ref="E22:E23"/>
    <mergeCell ref="F22:F23"/>
    <mergeCell ref="Q20:R20"/>
    <mergeCell ref="V20:X20"/>
    <mergeCell ref="B21:C21"/>
    <mergeCell ref="T21:U21"/>
    <mergeCell ref="V21:X21"/>
    <mergeCell ref="I32:J32"/>
    <mergeCell ref="K32:L32"/>
    <mergeCell ref="K33:L33"/>
    <mergeCell ref="T22:T23"/>
    <mergeCell ref="V22:X22"/>
    <mergeCell ref="V23:X23"/>
    <mergeCell ref="T24:T25"/>
    <mergeCell ref="V24:X24"/>
    <mergeCell ref="V25:X25"/>
  </mergeCells>
  <pageMargins left="0.15748031496063" right="0.15748031496063" top="0" bottom="0" header="0" footer="0"/>
  <pageSetup paperSize="9" scale="47" orientation="landscape" r:id="rId1"/>
</worksheet>
</file>

<file path=xl/worksheets/sheet15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54B1889-A82E-44E8-9518-A367B44091E9}">
  <sheetPr>
    <pageSetUpPr fitToPage="1"/>
  </sheetPr>
  <dimension ref="A1:Y33"/>
  <sheetViews>
    <sheetView topLeftCell="A7" zoomScale="70" zoomScaleNormal="70" zoomScaleSheetLayoutView="100" workbookViewId="0">
      <selection activeCell="I26" sqref="I26"/>
    </sheetView>
  </sheetViews>
  <sheetFormatPr defaultColWidth="9.140625" defaultRowHeight="15" x14ac:dyDescent="0.25"/>
  <cols>
    <col min="1" max="1" width="18.28515625" style="14" customWidth="1"/>
    <col min="2" max="2" width="10.7109375" style="14" customWidth="1"/>
    <col min="3" max="3" width="12.28515625" style="14" customWidth="1"/>
    <col min="4" max="4" width="13.140625" style="14" bestFit="1" customWidth="1"/>
    <col min="5" max="5" width="12" style="14" customWidth="1"/>
    <col min="6" max="6" width="12.5703125" style="14" bestFit="1" customWidth="1"/>
    <col min="7" max="7" width="9.28515625" style="14" bestFit="1" customWidth="1"/>
    <col min="8" max="8" width="10.140625" style="14" bestFit="1" customWidth="1"/>
    <col min="9" max="9" width="10.5703125" style="14" bestFit="1" customWidth="1"/>
    <col min="10" max="10" width="10.5703125" style="14" customWidth="1"/>
    <col min="11" max="11" width="10.28515625" style="14" bestFit="1" customWidth="1"/>
    <col min="12" max="12" width="10.42578125" style="14" bestFit="1" customWidth="1"/>
    <col min="13" max="13" width="9.85546875" style="14" bestFit="1" customWidth="1"/>
    <col min="14" max="14" width="10.140625" style="14" bestFit="1" customWidth="1"/>
    <col min="15" max="15" width="9" style="14" customWidth="1"/>
    <col min="16" max="16" width="12.85546875" style="14" bestFit="1" customWidth="1"/>
    <col min="17" max="18" width="9.42578125" style="14" customWidth="1"/>
    <col min="19" max="19" width="13.7109375" style="14" customWidth="1"/>
    <col min="20" max="20" width="12.140625" style="14" customWidth="1"/>
    <col min="21" max="21" width="19.5703125" style="14" bestFit="1" customWidth="1"/>
    <col min="22" max="22" width="9.85546875" style="14" customWidth="1"/>
    <col min="23" max="23" width="10.140625" style="14" bestFit="1" customWidth="1"/>
    <col min="24" max="24" width="10.28515625" style="14" customWidth="1"/>
    <col min="25" max="25" width="28" style="14" customWidth="1"/>
    <col min="26" max="16384" width="9.140625" style="14"/>
  </cols>
  <sheetData>
    <row r="1" spans="1:25" ht="46.15" customHeight="1" x14ac:dyDescent="0.25">
      <c r="A1" s="2240" t="s">
        <v>148</v>
      </c>
      <c r="B1" s="2240"/>
      <c r="C1" s="2240"/>
      <c r="D1" s="2240"/>
      <c r="E1" s="2240"/>
      <c r="F1" s="2240"/>
      <c r="G1" s="2240"/>
      <c r="H1" s="2240"/>
      <c r="I1" s="2240"/>
      <c r="J1" s="2240"/>
      <c r="K1" s="2240"/>
      <c r="L1" s="2240"/>
      <c r="M1" s="2240"/>
      <c r="N1" s="2240"/>
      <c r="O1" s="2240"/>
      <c r="P1" s="2240"/>
      <c r="Q1" s="2240"/>
      <c r="R1" s="2240"/>
      <c r="S1" s="2240"/>
      <c r="T1" s="2240"/>
      <c r="U1" s="2240"/>
      <c r="V1" s="2240"/>
      <c r="W1" s="2240"/>
      <c r="X1" s="2240"/>
      <c r="Y1" s="2240"/>
    </row>
    <row r="2" spans="1:25" ht="21.6" customHeight="1" x14ac:dyDescent="0.25">
      <c r="A2" s="2241" t="s">
        <v>77</v>
      </c>
      <c r="B2" s="2241"/>
      <c r="C2" s="2241"/>
      <c r="D2" s="2241"/>
      <c r="E2" s="2241"/>
      <c r="F2" s="2241"/>
      <c r="G2" s="2241"/>
      <c r="H2" s="2241"/>
      <c r="I2" s="2241"/>
      <c r="J2" s="2241"/>
      <c r="K2" s="2241"/>
      <c r="L2" s="2241"/>
      <c r="M2" s="2241"/>
      <c r="N2" s="2241"/>
      <c r="O2" s="2241"/>
      <c r="P2" s="2241"/>
      <c r="Q2" s="2241"/>
      <c r="R2" s="2241"/>
      <c r="S2" s="2241"/>
      <c r="T2" s="2241"/>
      <c r="U2" s="2241"/>
      <c r="V2" s="2241"/>
      <c r="W2" s="2241"/>
      <c r="X2" s="2241"/>
      <c r="Y2" s="2241"/>
    </row>
    <row r="3" spans="1:25" ht="21" customHeight="1" x14ac:dyDescent="0.25">
      <c r="A3" s="635"/>
      <c r="B3" s="635"/>
      <c r="C3" s="635"/>
      <c r="D3" s="635"/>
      <c r="E3" s="635"/>
      <c r="F3" s="635"/>
      <c r="G3" s="635"/>
      <c r="H3" s="635"/>
      <c r="I3" s="635"/>
      <c r="J3" s="635"/>
      <c r="K3" s="635"/>
      <c r="L3" s="635"/>
      <c r="M3" s="635"/>
      <c r="N3" s="635"/>
      <c r="O3" s="635"/>
      <c r="P3" s="635"/>
      <c r="Q3" s="635"/>
      <c r="R3" s="635"/>
      <c r="S3" s="635"/>
      <c r="T3" s="2242" t="s">
        <v>371</v>
      </c>
      <c r="U3" s="2242"/>
      <c r="V3" s="2242"/>
      <c r="W3" s="2242"/>
      <c r="X3" s="2242"/>
      <c r="Y3" s="2242"/>
    </row>
    <row r="4" spans="1:25" s="635" customFormat="1" ht="18" customHeight="1" x14ac:dyDescent="0.25">
      <c r="A4" s="2243" t="s">
        <v>25</v>
      </c>
      <c r="B4" s="2243" t="s">
        <v>26</v>
      </c>
      <c r="C4" s="2244" t="s">
        <v>27</v>
      </c>
      <c r="D4" s="2244"/>
      <c r="E4" s="2244" t="s">
        <v>342</v>
      </c>
      <c r="F4" s="2244"/>
      <c r="G4" s="2244" t="s">
        <v>65</v>
      </c>
      <c r="H4" s="2244"/>
      <c r="I4" s="2244" t="s">
        <v>29</v>
      </c>
      <c r="J4" s="2244"/>
      <c r="K4" s="2245" t="s">
        <v>13</v>
      </c>
      <c r="L4" s="2246"/>
      <c r="M4" s="2245" t="s">
        <v>67</v>
      </c>
      <c r="N4" s="2246"/>
      <c r="O4" s="2245" t="s">
        <v>68</v>
      </c>
      <c r="P4" s="2246"/>
      <c r="Q4" s="2245" t="s">
        <v>114</v>
      </c>
      <c r="R4" s="2246"/>
      <c r="S4" s="2244" t="s">
        <v>35</v>
      </c>
      <c r="T4" s="2244"/>
      <c r="U4" s="2245" t="s">
        <v>17</v>
      </c>
      <c r="V4" s="2246"/>
      <c r="W4" s="2247" t="s">
        <v>36</v>
      </c>
      <c r="X4" s="2248"/>
      <c r="Y4" s="2238" t="s">
        <v>30</v>
      </c>
    </row>
    <row r="5" spans="1:25" s="635" customFormat="1" ht="25.5" customHeight="1" x14ac:dyDescent="0.25">
      <c r="A5" s="2243"/>
      <c r="B5" s="2243"/>
      <c r="C5" s="637" t="s">
        <v>42</v>
      </c>
      <c r="D5" s="637" t="s">
        <v>43</v>
      </c>
      <c r="E5" s="637" t="s">
        <v>42</v>
      </c>
      <c r="F5" s="637" t="s">
        <v>43</v>
      </c>
      <c r="G5" s="637" t="s">
        <v>42</v>
      </c>
      <c r="H5" s="637" t="s">
        <v>43</v>
      </c>
      <c r="I5" s="637" t="s">
        <v>42</v>
      </c>
      <c r="J5" s="637" t="s">
        <v>43</v>
      </c>
      <c r="K5" s="637" t="s">
        <v>42</v>
      </c>
      <c r="L5" s="637" t="s">
        <v>43</v>
      </c>
      <c r="M5" s="637" t="s">
        <v>42</v>
      </c>
      <c r="N5" s="637" t="s">
        <v>43</v>
      </c>
      <c r="O5" s="637" t="s">
        <v>42</v>
      </c>
      <c r="P5" s="637" t="s">
        <v>43</v>
      </c>
      <c r="Q5" s="637" t="s">
        <v>42</v>
      </c>
      <c r="R5" s="637" t="s">
        <v>43</v>
      </c>
      <c r="S5" s="33" t="s">
        <v>42</v>
      </c>
      <c r="T5" s="33" t="s">
        <v>43</v>
      </c>
      <c r="U5" s="30" t="s">
        <v>42</v>
      </c>
      <c r="V5" s="30" t="s">
        <v>43</v>
      </c>
      <c r="W5" s="30" t="s">
        <v>42</v>
      </c>
      <c r="X5" s="30" t="s">
        <v>43</v>
      </c>
      <c r="Y5" s="2239"/>
    </row>
    <row r="6" spans="1:25" ht="34.5" customHeight="1" x14ac:dyDescent="0.25">
      <c r="A6" s="12">
        <v>1409935200</v>
      </c>
      <c r="B6" s="636" t="s">
        <v>71</v>
      </c>
      <c r="C6" s="639">
        <v>26621</v>
      </c>
      <c r="D6" s="640">
        <f>0.9725*C6</f>
        <v>25888.922500000001</v>
      </c>
      <c r="E6" s="639"/>
      <c r="F6" s="639">
        <f>67.1*E6</f>
        <v>0</v>
      </c>
      <c r="G6" s="639">
        <v>30</v>
      </c>
      <c r="H6" s="639">
        <f>28.2*G6</f>
        <v>846</v>
      </c>
      <c r="I6" s="639">
        <v>1120</v>
      </c>
      <c r="J6" s="639">
        <f>18.5*I6</f>
        <v>20720</v>
      </c>
      <c r="K6" s="639"/>
      <c r="L6" s="639">
        <f>19.5*K6</f>
        <v>0</v>
      </c>
      <c r="M6" s="639"/>
      <c r="N6" s="640">
        <f>M6*9.75</f>
        <v>0</v>
      </c>
      <c r="O6" s="639"/>
      <c r="P6" s="640">
        <f>O6*48.62</f>
        <v>0</v>
      </c>
      <c r="Q6" s="640"/>
      <c r="R6" s="640">
        <f>241*Q6</f>
        <v>0</v>
      </c>
      <c r="S6" s="639"/>
      <c r="T6" s="639">
        <f>241*S6</f>
        <v>0</v>
      </c>
      <c r="U6" s="639"/>
      <c r="V6" s="639">
        <f>232*U6</f>
        <v>0</v>
      </c>
      <c r="W6" s="639">
        <v>3</v>
      </c>
      <c r="X6" s="19">
        <f>W6*100</f>
        <v>300</v>
      </c>
      <c r="Y6" s="20">
        <f t="shared" ref="Y6:Y12" si="0">D6+F6+H6+J6+L6+N6+P6+R6+T6+V6+X6</f>
        <v>47754.922500000001</v>
      </c>
    </row>
    <row r="7" spans="1:25" ht="31.5" customHeight="1" x14ac:dyDescent="0.25">
      <c r="A7" s="12">
        <v>1984225578</v>
      </c>
      <c r="B7" s="636" t="s">
        <v>72</v>
      </c>
      <c r="C7" s="639">
        <v>35722</v>
      </c>
      <c r="D7" s="640">
        <f t="shared" ref="D7:D11" si="1">0.9725*C7</f>
        <v>34739.645000000004</v>
      </c>
      <c r="E7" s="639"/>
      <c r="F7" s="639">
        <f t="shared" ref="F7:F11" si="2">67.1*E7</f>
        <v>0</v>
      </c>
      <c r="G7" s="639"/>
      <c r="H7" s="639">
        <f t="shared" ref="H7:H11" si="3">28.2*G7</f>
        <v>0</v>
      </c>
      <c r="I7" s="639">
        <v>2240</v>
      </c>
      <c r="J7" s="639">
        <f t="shared" ref="J7:J11" si="4">18.5*I7</f>
        <v>41440</v>
      </c>
      <c r="K7" s="639"/>
      <c r="L7" s="639">
        <f t="shared" ref="L7:L11" si="5">19.5*K7</f>
        <v>0</v>
      </c>
      <c r="M7" s="639"/>
      <c r="N7" s="640">
        <f t="shared" ref="N7:N11" si="6">M7*9.75</f>
        <v>0</v>
      </c>
      <c r="O7" s="639"/>
      <c r="P7" s="640">
        <f t="shared" ref="P7:P11" si="7">O7*48.62</f>
        <v>0</v>
      </c>
      <c r="Q7" s="640"/>
      <c r="R7" s="640">
        <f t="shared" ref="R7:R11" si="8">241*Q7</f>
        <v>0</v>
      </c>
      <c r="S7" s="639"/>
      <c r="T7" s="639">
        <f t="shared" ref="T7:T11" si="9">241*S7</f>
        <v>0</v>
      </c>
      <c r="U7" s="639"/>
      <c r="V7" s="639">
        <f t="shared" ref="V7:V11" si="10">232*U7</f>
        <v>0</v>
      </c>
      <c r="W7" s="639"/>
      <c r="X7" s="19">
        <f t="shared" ref="X7:X11" si="11">W7*100</f>
        <v>0</v>
      </c>
      <c r="Y7" s="20">
        <f t="shared" si="0"/>
        <v>76179.645000000004</v>
      </c>
    </row>
    <row r="8" spans="1:25" ht="35.25" customHeight="1" x14ac:dyDescent="0.25">
      <c r="A8" s="12">
        <v>1967020280</v>
      </c>
      <c r="B8" s="636" t="s">
        <v>73</v>
      </c>
      <c r="C8" s="639">
        <v>29394</v>
      </c>
      <c r="D8" s="640">
        <f t="shared" si="1"/>
        <v>28585.665000000001</v>
      </c>
      <c r="E8" s="639"/>
      <c r="F8" s="639">
        <f t="shared" si="2"/>
        <v>0</v>
      </c>
      <c r="G8" s="639">
        <v>100</v>
      </c>
      <c r="H8" s="639">
        <f t="shared" si="3"/>
        <v>2820</v>
      </c>
      <c r="I8" s="639">
        <v>1100</v>
      </c>
      <c r="J8" s="639">
        <f t="shared" si="4"/>
        <v>20350</v>
      </c>
      <c r="K8" s="639"/>
      <c r="L8" s="639">
        <f t="shared" si="5"/>
        <v>0</v>
      </c>
      <c r="M8" s="639"/>
      <c r="N8" s="640">
        <f t="shared" si="6"/>
        <v>0</v>
      </c>
      <c r="O8" s="639"/>
      <c r="P8" s="640">
        <f t="shared" si="7"/>
        <v>0</v>
      </c>
      <c r="Q8" s="640"/>
      <c r="R8" s="640">
        <f t="shared" si="8"/>
        <v>0</v>
      </c>
      <c r="S8" s="639"/>
      <c r="T8" s="639">
        <f t="shared" si="9"/>
        <v>0</v>
      </c>
      <c r="U8" s="639"/>
      <c r="V8" s="639">
        <f t="shared" si="10"/>
        <v>0</v>
      </c>
      <c r="W8" s="639"/>
      <c r="X8" s="19">
        <f t="shared" si="11"/>
        <v>0</v>
      </c>
      <c r="Y8" s="20">
        <f t="shared" si="0"/>
        <v>51755.665000000001</v>
      </c>
    </row>
    <row r="9" spans="1:25" ht="38.25" customHeight="1" x14ac:dyDescent="0.25">
      <c r="A9" s="12">
        <v>1984225580</v>
      </c>
      <c r="B9" s="636" t="s">
        <v>75</v>
      </c>
      <c r="C9" s="639">
        <v>70601</v>
      </c>
      <c r="D9" s="640">
        <f t="shared" si="1"/>
        <v>68659.472500000003</v>
      </c>
      <c r="E9" s="639"/>
      <c r="F9" s="639">
        <f t="shared" si="2"/>
        <v>0</v>
      </c>
      <c r="G9" s="639">
        <v>100</v>
      </c>
      <c r="H9" s="639">
        <f t="shared" si="3"/>
        <v>2820</v>
      </c>
      <c r="I9" s="639">
        <v>2170</v>
      </c>
      <c r="J9" s="639">
        <f t="shared" si="4"/>
        <v>40145</v>
      </c>
      <c r="K9" s="639"/>
      <c r="L9" s="639">
        <f t="shared" si="5"/>
        <v>0</v>
      </c>
      <c r="M9" s="639"/>
      <c r="N9" s="640">
        <f t="shared" si="6"/>
        <v>0</v>
      </c>
      <c r="O9" s="639"/>
      <c r="P9" s="640">
        <f t="shared" si="7"/>
        <v>0</v>
      </c>
      <c r="Q9" s="640"/>
      <c r="R9" s="640">
        <f t="shared" si="8"/>
        <v>0</v>
      </c>
      <c r="S9" s="639">
        <v>31</v>
      </c>
      <c r="T9" s="639">
        <f t="shared" si="9"/>
        <v>7471</v>
      </c>
      <c r="U9" s="639"/>
      <c r="V9" s="639">
        <f t="shared" si="10"/>
        <v>0</v>
      </c>
      <c r="W9" s="639"/>
      <c r="X9" s="19">
        <f t="shared" si="11"/>
        <v>0</v>
      </c>
      <c r="Y9" s="20">
        <f t="shared" si="0"/>
        <v>119095.4725</v>
      </c>
    </row>
    <row r="10" spans="1:25" ht="35.25" customHeight="1" x14ac:dyDescent="0.25">
      <c r="A10" s="12">
        <v>1409935199</v>
      </c>
      <c r="C10" s="639"/>
      <c r="D10" s="640">
        <f t="shared" si="1"/>
        <v>0</v>
      </c>
      <c r="E10" s="639"/>
      <c r="F10" s="639">
        <f t="shared" si="2"/>
        <v>0</v>
      </c>
      <c r="G10" s="639">
        <v>410</v>
      </c>
      <c r="H10" s="639">
        <f t="shared" si="3"/>
        <v>11562</v>
      </c>
      <c r="I10" s="639">
        <v>200</v>
      </c>
      <c r="J10" s="639">
        <f t="shared" si="4"/>
        <v>3700</v>
      </c>
      <c r="K10" s="639"/>
      <c r="L10" s="639">
        <f t="shared" si="5"/>
        <v>0</v>
      </c>
      <c r="M10" s="639"/>
      <c r="N10" s="640">
        <f t="shared" si="6"/>
        <v>0</v>
      </c>
      <c r="O10" s="639"/>
      <c r="P10" s="640">
        <f t="shared" si="7"/>
        <v>0</v>
      </c>
      <c r="Q10" s="640"/>
      <c r="R10" s="640">
        <f t="shared" si="8"/>
        <v>0</v>
      </c>
      <c r="S10" s="639"/>
      <c r="T10" s="639">
        <f t="shared" si="9"/>
        <v>0</v>
      </c>
      <c r="U10" s="639"/>
      <c r="V10" s="639">
        <f t="shared" si="10"/>
        <v>0</v>
      </c>
      <c r="W10" s="639"/>
      <c r="X10" s="19">
        <f t="shared" si="11"/>
        <v>0</v>
      </c>
      <c r="Y10" s="20">
        <f t="shared" si="0"/>
        <v>15262</v>
      </c>
    </row>
    <row r="11" spans="1:25" ht="37.5" customHeight="1" x14ac:dyDescent="0.25">
      <c r="A11" s="12"/>
      <c r="B11" s="638"/>
      <c r="C11" s="639"/>
      <c r="D11" s="22">
        <f t="shared" si="1"/>
        <v>0</v>
      </c>
      <c r="E11" s="639"/>
      <c r="F11" s="639">
        <f t="shared" si="2"/>
        <v>0</v>
      </c>
      <c r="G11" s="639"/>
      <c r="H11" s="639">
        <f t="shared" si="3"/>
        <v>0</v>
      </c>
      <c r="I11" s="639"/>
      <c r="J11" s="639">
        <f t="shared" si="4"/>
        <v>0</v>
      </c>
      <c r="K11" s="639"/>
      <c r="L11" s="639">
        <f t="shared" si="5"/>
        <v>0</v>
      </c>
      <c r="M11" s="639"/>
      <c r="N11" s="640">
        <f t="shared" si="6"/>
        <v>0</v>
      </c>
      <c r="O11" s="639"/>
      <c r="P11" s="640">
        <f t="shared" si="7"/>
        <v>0</v>
      </c>
      <c r="Q11" s="640"/>
      <c r="R11" s="640">
        <f t="shared" si="8"/>
        <v>0</v>
      </c>
      <c r="S11" s="639">
        <v>72</v>
      </c>
      <c r="T11" s="639">
        <f t="shared" si="9"/>
        <v>17352</v>
      </c>
      <c r="U11" s="639">
        <v>5</v>
      </c>
      <c r="V11" s="639">
        <f t="shared" si="10"/>
        <v>1160</v>
      </c>
      <c r="W11" s="639"/>
      <c r="X11" s="19">
        <f t="shared" si="11"/>
        <v>0</v>
      </c>
      <c r="Y11" s="20">
        <f t="shared" si="0"/>
        <v>18512</v>
      </c>
    </row>
    <row r="12" spans="1:25" ht="29.25" customHeight="1" x14ac:dyDescent="0.25">
      <c r="A12" s="2235" t="s">
        <v>31</v>
      </c>
      <c r="B12" s="2235"/>
      <c r="C12" s="18">
        <f t="shared" ref="C12:X12" si="12">SUM(C6:C11)</f>
        <v>162338</v>
      </c>
      <c r="D12" s="18">
        <f t="shared" si="12"/>
        <v>157873.70500000002</v>
      </c>
      <c r="E12" s="18">
        <f t="shared" si="12"/>
        <v>0</v>
      </c>
      <c r="F12" s="18">
        <f t="shared" si="12"/>
        <v>0</v>
      </c>
      <c r="G12" s="18">
        <f t="shared" si="12"/>
        <v>640</v>
      </c>
      <c r="H12" s="18">
        <f t="shared" si="12"/>
        <v>18048</v>
      </c>
      <c r="I12" s="18">
        <f t="shared" si="12"/>
        <v>6830</v>
      </c>
      <c r="J12" s="18">
        <f t="shared" si="12"/>
        <v>126355</v>
      </c>
      <c r="K12" s="18">
        <f t="shared" si="12"/>
        <v>0</v>
      </c>
      <c r="L12" s="18">
        <f t="shared" si="12"/>
        <v>0</v>
      </c>
      <c r="M12" s="18">
        <f t="shared" si="12"/>
        <v>0</v>
      </c>
      <c r="N12" s="23">
        <f t="shared" si="12"/>
        <v>0</v>
      </c>
      <c r="O12" s="18">
        <f t="shared" si="12"/>
        <v>0</v>
      </c>
      <c r="P12" s="23">
        <f t="shared" si="12"/>
        <v>0</v>
      </c>
      <c r="Q12" s="23">
        <f t="shared" si="12"/>
        <v>0</v>
      </c>
      <c r="R12" s="23">
        <f>SUM(R6:R11)</f>
        <v>0</v>
      </c>
      <c r="S12" s="18">
        <f t="shared" si="12"/>
        <v>103</v>
      </c>
      <c r="T12" s="18">
        <f t="shared" si="12"/>
        <v>24823</v>
      </c>
      <c r="U12" s="18">
        <f t="shared" si="12"/>
        <v>5</v>
      </c>
      <c r="V12" s="18">
        <f t="shared" si="12"/>
        <v>1160</v>
      </c>
      <c r="W12" s="18">
        <f t="shared" si="12"/>
        <v>3</v>
      </c>
      <c r="X12" s="18">
        <f t="shared" si="12"/>
        <v>300</v>
      </c>
      <c r="Y12" s="20">
        <f t="shared" si="0"/>
        <v>328559.70500000002</v>
      </c>
    </row>
    <row r="14" spans="1:25" ht="41.25" customHeight="1" x14ac:dyDescent="0.25">
      <c r="A14" s="30" t="s">
        <v>32</v>
      </c>
      <c r="B14" s="2236" t="s">
        <v>27</v>
      </c>
      <c r="C14" s="2236"/>
      <c r="D14" s="30" t="s">
        <v>333</v>
      </c>
      <c r="E14" s="30" t="s">
        <v>65</v>
      </c>
      <c r="F14" s="30" t="s">
        <v>34</v>
      </c>
      <c r="G14" s="30" t="s">
        <v>13</v>
      </c>
      <c r="H14" s="469" t="s">
        <v>173</v>
      </c>
      <c r="I14" s="30" t="s">
        <v>17</v>
      </c>
      <c r="J14" s="644" t="s">
        <v>174</v>
      </c>
      <c r="K14" s="30" t="s">
        <v>36</v>
      </c>
      <c r="L14" s="30" t="s">
        <v>175</v>
      </c>
      <c r="M14" s="30" t="s">
        <v>69</v>
      </c>
      <c r="N14" s="30" t="s">
        <v>70</v>
      </c>
      <c r="O14" s="644" t="s">
        <v>114</v>
      </c>
      <c r="P14" s="644" t="s">
        <v>368</v>
      </c>
      <c r="Q14" s="2300" t="s">
        <v>339</v>
      </c>
      <c r="R14" s="2301"/>
      <c r="S14" s="644"/>
      <c r="T14" s="2235" t="s">
        <v>46</v>
      </c>
      <c r="U14" s="636" t="s">
        <v>176</v>
      </c>
      <c r="V14" s="2260">
        <v>3174</v>
      </c>
      <c r="W14" s="2268"/>
      <c r="X14" s="2261"/>
    </row>
    <row r="15" spans="1:25" ht="22.5" customHeight="1" x14ac:dyDescent="0.25">
      <c r="A15" s="100" t="s">
        <v>38</v>
      </c>
      <c r="B15" s="2260">
        <v>233027</v>
      </c>
      <c r="C15" s="2261"/>
      <c r="D15" s="641">
        <v>1130</v>
      </c>
      <c r="E15" s="641">
        <v>3840</v>
      </c>
      <c r="F15" s="641">
        <v>21300</v>
      </c>
      <c r="G15" s="641">
        <v>0</v>
      </c>
      <c r="H15" s="641">
        <v>415</v>
      </c>
      <c r="I15" s="641">
        <v>5</v>
      </c>
      <c r="J15" s="641">
        <v>69</v>
      </c>
      <c r="K15" s="641">
        <v>85</v>
      </c>
      <c r="L15" s="641">
        <v>86</v>
      </c>
      <c r="M15" s="641">
        <v>500</v>
      </c>
      <c r="N15" s="641">
        <v>100</v>
      </c>
      <c r="O15" s="641">
        <v>0</v>
      </c>
      <c r="P15" s="641">
        <v>904</v>
      </c>
      <c r="Q15" s="2260">
        <v>22</v>
      </c>
      <c r="R15" s="2261"/>
      <c r="S15" s="636">
        <v>0</v>
      </c>
      <c r="T15" s="2235"/>
      <c r="U15" s="636" t="s">
        <v>64</v>
      </c>
      <c r="V15" s="2262">
        <v>9968</v>
      </c>
      <c r="W15" s="2262"/>
      <c r="X15" s="2262"/>
    </row>
    <row r="16" spans="1:25" ht="24.75" customHeight="1" x14ac:dyDescent="0.25">
      <c r="A16" s="100" t="s">
        <v>39</v>
      </c>
      <c r="B16" s="2260">
        <v>362649</v>
      </c>
      <c r="C16" s="2261"/>
      <c r="D16" s="641"/>
      <c r="E16" s="641"/>
      <c r="F16" s="641"/>
      <c r="G16" s="641"/>
      <c r="H16" s="641"/>
      <c r="I16" s="641">
        <v>150</v>
      </c>
      <c r="J16" s="641"/>
      <c r="K16" s="641"/>
      <c r="L16" s="641"/>
      <c r="M16" s="641"/>
      <c r="N16" s="641"/>
      <c r="O16" s="641"/>
      <c r="P16" s="641"/>
      <c r="Q16" s="2225"/>
      <c r="R16" s="2225"/>
      <c r="S16" s="641"/>
      <c r="T16" s="2254" t="s">
        <v>55</v>
      </c>
      <c r="U16" s="2254"/>
      <c r="V16" s="2267">
        <f>Y12</f>
        <v>328559.70500000002</v>
      </c>
      <c r="W16" s="2267"/>
      <c r="X16" s="2262"/>
    </row>
    <row r="17" spans="1:25" ht="28.5" customHeight="1" x14ac:dyDescent="0.25">
      <c r="A17" s="101" t="s">
        <v>44</v>
      </c>
      <c r="B17" s="2260">
        <v>90537</v>
      </c>
      <c r="C17" s="2261"/>
      <c r="D17" s="641"/>
      <c r="E17" s="641"/>
      <c r="F17" s="641"/>
      <c r="G17" s="641"/>
      <c r="H17" s="641"/>
      <c r="I17" s="641"/>
      <c r="J17" s="641"/>
      <c r="K17" s="641"/>
      <c r="L17" s="641"/>
      <c r="M17" s="641"/>
      <c r="N17" s="641"/>
      <c r="O17" s="641"/>
      <c r="P17" s="641"/>
      <c r="Q17" s="2225"/>
      <c r="R17" s="2225"/>
      <c r="S17" s="638"/>
      <c r="T17" s="2294" t="s">
        <v>362</v>
      </c>
      <c r="U17" s="2295"/>
      <c r="V17" s="2296"/>
      <c r="W17" s="2296"/>
      <c r="X17" s="2296"/>
    </row>
    <row r="18" spans="1:25" ht="27" customHeight="1" x14ac:dyDescent="0.25">
      <c r="A18" s="100" t="s">
        <v>40</v>
      </c>
      <c r="B18" s="2264">
        <f>C12</f>
        <v>162338</v>
      </c>
      <c r="C18" s="2261"/>
      <c r="D18" s="642">
        <f>E12</f>
        <v>0</v>
      </c>
      <c r="E18" s="642">
        <f>G12</f>
        <v>640</v>
      </c>
      <c r="F18" s="642">
        <f>I12</f>
        <v>6830</v>
      </c>
      <c r="G18" s="642">
        <f>K12</f>
        <v>0</v>
      </c>
      <c r="H18" s="641">
        <v>31</v>
      </c>
      <c r="I18" s="642">
        <f>U12</f>
        <v>5</v>
      </c>
      <c r="J18" s="641"/>
      <c r="K18" s="642">
        <f>W12</f>
        <v>3</v>
      </c>
      <c r="L18" s="641"/>
      <c r="M18" s="642">
        <f>M12</f>
        <v>0</v>
      </c>
      <c r="N18" s="642">
        <f>O12</f>
        <v>0</v>
      </c>
      <c r="O18" s="643">
        <f>Q12</f>
        <v>0</v>
      </c>
      <c r="P18" s="641">
        <v>50</v>
      </c>
      <c r="Q18" s="2262">
        <v>22</v>
      </c>
      <c r="R18" s="2262"/>
      <c r="S18" s="636"/>
      <c r="T18" s="2254" t="s">
        <v>57</v>
      </c>
      <c r="U18" s="2254"/>
      <c r="V18" s="2262">
        <v>580</v>
      </c>
      <c r="W18" s="2262"/>
      <c r="X18" s="2262"/>
      <c r="Y18" s="2269"/>
    </row>
    <row r="19" spans="1:25" ht="25.5" customHeight="1" x14ac:dyDescent="0.25">
      <c r="A19" s="100" t="s">
        <v>41</v>
      </c>
      <c r="B19" s="2260">
        <f>B15+B16+B17-B18</f>
        <v>523875</v>
      </c>
      <c r="C19" s="2261"/>
      <c r="D19" s="641">
        <f>D15+D16+D17-D18</f>
        <v>1130</v>
      </c>
      <c r="E19" s="641">
        <f t="shared" ref="E19:N19" si="13">E15+E16+E17-E18</f>
        <v>3200</v>
      </c>
      <c r="F19" s="641">
        <f t="shared" si="13"/>
        <v>14470</v>
      </c>
      <c r="G19" s="641">
        <f t="shared" si="13"/>
        <v>0</v>
      </c>
      <c r="H19" s="641">
        <f t="shared" si="13"/>
        <v>384</v>
      </c>
      <c r="I19" s="641">
        <f t="shared" si="13"/>
        <v>150</v>
      </c>
      <c r="J19" s="641">
        <f t="shared" si="13"/>
        <v>69</v>
      </c>
      <c r="K19" s="641">
        <f t="shared" si="13"/>
        <v>82</v>
      </c>
      <c r="L19" s="641">
        <f t="shared" si="13"/>
        <v>86</v>
      </c>
      <c r="M19" s="641">
        <f t="shared" si="13"/>
        <v>500</v>
      </c>
      <c r="N19" s="641">
        <f t="shared" si="13"/>
        <v>100</v>
      </c>
      <c r="O19" s="641">
        <f>O15+O16+O17-O18</f>
        <v>0</v>
      </c>
      <c r="P19" s="641">
        <f>P15+P16+P17-P18</f>
        <v>854</v>
      </c>
      <c r="Q19" s="2260">
        <f t="shared" ref="Q19" si="14">Q15+Q16+Q17-Q18</f>
        <v>0</v>
      </c>
      <c r="R19" s="2261"/>
      <c r="S19" s="636">
        <f>S15+S16-S17-S18</f>
        <v>0</v>
      </c>
      <c r="T19" s="2256" t="s">
        <v>48</v>
      </c>
      <c r="U19" s="49" t="s">
        <v>58</v>
      </c>
      <c r="V19" s="2262">
        <v>148000</v>
      </c>
      <c r="W19" s="2262"/>
      <c r="X19" s="2262"/>
      <c r="Y19" s="2269"/>
    </row>
    <row r="20" spans="1:25" ht="23.25" customHeight="1" x14ac:dyDescent="0.25">
      <c r="A20" s="289" t="s">
        <v>187</v>
      </c>
      <c r="B20" s="2286">
        <f>B19*0.9625</f>
        <v>504229.6875</v>
      </c>
      <c r="C20" s="2287"/>
      <c r="D20" s="290">
        <f>D19*66.41</f>
        <v>75043.3</v>
      </c>
      <c r="E20" s="290">
        <f>28.2*E19</f>
        <v>90240</v>
      </c>
      <c r="F20" s="290">
        <f>18.31*F19</f>
        <v>264945.69999999995</v>
      </c>
      <c r="G20" s="290">
        <f>19.3*G19</f>
        <v>0</v>
      </c>
      <c r="H20" s="290">
        <f>241*H19</f>
        <v>92544</v>
      </c>
      <c r="I20" s="290">
        <f>323*I19</f>
        <v>48450</v>
      </c>
      <c r="J20" s="290">
        <f>241*J19</f>
        <v>16629</v>
      </c>
      <c r="K20" s="290">
        <f>K19*100</f>
        <v>8200</v>
      </c>
      <c r="L20" s="290">
        <f>241*L19</f>
        <v>20726</v>
      </c>
      <c r="M20" s="290">
        <f>9.65*M19</f>
        <v>4825</v>
      </c>
      <c r="N20" s="290">
        <f>N19*48.2</f>
        <v>4820</v>
      </c>
      <c r="O20" s="290">
        <f>241*O19</f>
        <v>0</v>
      </c>
      <c r="P20" s="290">
        <f>241*P19</f>
        <v>205814</v>
      </c>
      <c r="Q20" s="2286">
        <f>241*Q19</f>
        <v>0</v>
      </c>
      <c r="R20" s="2287"/>
      <c r="S20" s="290">
        <f>241*S19</f>
        <v>0</v>
      </c>
      <c r="T20" s="2257"/>
      <c r="U20" s="49" t="s">
        <v>59</v>
      </c>
      <c r="V20" s="2262"/>
      <c r="W20" s="2262"/>
      <c r="X20" s="2262"/>
      <c r="Y20" s="2269"/>
    </row>
    <row r="21" spans="1:25" ht="32.25" customHeight="1" x14ac:dyDescent="0.25">
      <c r="A21" s="291" t="s">
        <v>186</v>
      </c>
      <c r="B21" s="2293">
        <f>SUM(B20:S20)</f>
        <v>1336466.6875</v>
      </c>
      <c r="C21" s="2293"/>
      <c r="O21" s="645"/>
      <c r="P21" s="645"/>
      <c r="Q21" s="645"/>
      <c r="R21" s="645"/>
      <c r="T21" s="2294" t="s">
        <v>366</v>
      </c>
      <c r="U21" s="2295"/>
      <c r="V21" s="2297">
        <v>176000</v>
      </c>
      <c r="W21" s="2298"/>
      <c r="X21" s="2299"/>
      <c r="Y21" s="2269"/>
    </row>
    <row r="22" spans="1:25" ht="35.25" customHeight="1" x14ac:dyDescent="0.25">
      <c r="A22" s="15"/>
      <c r="B22" s="2288" t="s">
        <v>49</v>
      </c>
      <c r="C22" s="2291">
        <v>666474</v>
      </c>
      <c r="D22" s="2291">
        <v>148000</v>
      </c>
      <c r="E22" s="2291">
        <v>397500</v>
      </c>
      <c r="F22" s="2291">
        <f>C22-D22+E22</f>
        <v>915974</v>
      </c>
      <c r="G22" s="645"/>
      <c r="Q22" s="645"/>
      <c r="R22" s="645"/>
      <c r="T22" s="2251" t="s">
        <v>83</v>
      </c>
      <c r="U22" s="50" t="s">
        <v>60</v>
      </c>
      <c r="V22" s="2262">
        <v>145930</v>
      </c>
      <c r="W22" s="2262"/>
      <c r="X22" s="2262"/>
      <c r="Y22" s="2269"/>
    </row>
    <row r="23" spans="1:25" ht="39.75" customHeight="1" x14ac:dyDescent="0.25">
      <c r="A23" s="645"/>
      <c r="B23" s="2289"/>
      <c r="C23" s="2292"/>
      <c r="D23" s="2292"/>
      <c r="E23" s="2292"/>
      <c r="F23" s="2292"/>
      <c r="G23" s="645"/>
      <c r="Q23" s="645"/>
      <c r="R23" s="645"/>
      <c r="T23" s="2252"/>
      <c r="U23" s="50" t="s">
        <v>61</v>
      </c>
      <c r="V23" s="2262">
        <v>148000</v>
      </c>
      <c r="W23" s="2262"/>
      <c r="X23" s="2262"/>
      <c r="Y23" s="2269"/>
    </row>
    <row r="24" spans="1:25" ht="48" customHeight="1" x14ac:dyDescent="0.25">
      <c r="A24" s="645"/>
      <c r="B24" s="2290"/>
      <c r="C24" s="290" t="s">
        <v>46</v>
      </c>
      <c r="D24" s="290" t="s">
        <v>50</v>
      </c>
      <c r="E24" s="290" t="s">
        <v>51</v>
      </c>
      <c r="F24" s="290" t="s">
        <v>52</v>
      </c>
      <c r="G24" s="645"/>
      <c r="Q24" s="645"/>
      <c r="R24" s="645"/>
      <c r="T24" s="2235" t="s">
        <v>47</v>
      </c>
      <c r="U24" s="51" t="s">
        <v>62</v>
      </c>
      <c r="V24" s="2263">
        <f>V14+V16+V17-V18-V19-V20-V22+V23-V21</f>
        <v>9223.7050000000163</v>
      </c>
      <c r="W24" s="2263"/>
      <c r="X24" s="2263"/>
      <c r="Y24" s="2269"/>
    </row>
    <row r="25" spans="1:25" ht="40.5" customHeight="1" x14ac:dyDescent="0.25">
      <c r="T25" s="2235"/>
      <c r="U25" s="51" t="s">
        <v>63</v>
      </c>
      <c r="V25" s="2262">
        <f>V15+V22-V23</f>
        <v>7898</v>
      </c>
      <c r="W25" s="2262"/>
      <c r="X25" s="2262"/>
    </row>
    <row r="26" spans="1:25" ht="36" customHeight="1" x14ac:dyDescent="0.25">
      <c r="K26" s="314"/>
    </row>
    <row r="28" spans="1:25" x14ac:dyDescent="0.25">
      <c r="J28" s="14" t="s">
        <v>139</v>
      </c>
    </row>
    <row r="32" spans="1:25" x14ac:dyDescent="0.25">
      <c r="I32" s="2280"/>
      <c r="J32" s="2280"/>
      <c r="K32" s="2280"/>
      <c r="L32" s="2280"/>
    </row>
    <row r="33" spans="9:12" x14ac:dyDescent="0.25">
      <c r="I33" s="645"/>
      <c r="J33" s="645"/>
      <c r="K33" s="2280"/>
      <c r="L33" s="2280"/>
    </row>
  </sheetData>
  <mergeCells count="62">
    <mergeCell ref="I32:J32"/>
    <mergeCell ref="K32:L32"/>
    <mergeCell ref="K33:L33"/>
    <mergeCell ref="T22:T23"/>
    <mergeCell ref="V22:X22"/>
    <mergeCell ref="V23:X23"/>
    <mergeCell ref="T24:T25"/>
    <mergeCell ref="V24:X24"/>
    <mergeCell ref="V25:X25"/>
    <mergeCell ref="Y18:Y24"/>
    <mergeCell ref="B19:C19"/>
    <mergeCell ref="Q19:R19"/>
    <mergeCell ref="T19:T20"/>
    <mergeCell ref="V19:X19"/>
    <mergeCell ref="B20:C20"/>
    <mergeCell ref="B22:B24"/>
    <mergeCell ref="C22:C23"/>
    <mergeCell ref="D22:D23"/>
    <mergeCell ref="E22:E23"/>
    <mergeCell ref="F22:F23"/>
    <mergeCell ref="Q20:R20"/>
    <mergeCell ref="V20:X20"/>
    <mergeCell ref="B21:C21"/>
    <mergeCell ref="T21:U21"/>
    <mergeCell ref="V21:X21"/>
    <mergeCell ref="B17:C17"/>
    <mergeCell ref="Q17:R17"/>
    <mergeCell ref="T17:U17"/>
    <mergeCell ref="V17:X17"/>
    <mergeCell ref="B18:C18"/>
    <mergeCell ref="Q18:R18"/>
    <mergeCell ref="T18:U18"/>
    <mergeCell ref="V18:X18"/>
    <mergeCell ref="W4:X4"/>
    <mergeCell ref="B16:C16"/>
    <mergeCell ref="Q16:R16"/>
    <mergeCell ref="T16:U16"/>
    <mergeCell ref="V16:X16"/>
    <mergeCell ref="A12:B12"/>
    <mergeCell ref="B14:C14"/>
    <mergeCell ref="Q14:R14"/>
    <mergeCell ref="T14:T15"/>
    <mergeCell ref="V14:X14"/>
    <mergeCell ref="B15:C15"/>
    <mergeCell ref="Q15:R15"/>
    <mergeCell ref="V15:X15"/>
    <mergeCell ref="A1:Y1"/>
    <mergeCell ref="A2:Y2"/>
    <mergeCell ref="T3:Y3"/>
    <mergeCell ref="A4:A5"/>
    <mergeCell ref="B4:B5"/>
    <mergeCell ref="C4:D4"/>
    <mergeCell ref="E4:F4"/>
    <mergeCell ref="G4:H4"/>
    <mergeCell ref="I4:J4"/>
    <mergeCell ref="K4:L4"/>
    <mergeCell ref="Y4:Y5"/>
    <mergeCell ref="M4:N4"/>
    <mergeCell ref="O4:P4"/>
    <mergeCell ref="Q4:R4"/>
    <mergeCell ref="S4:T4"/>
    <mergeCell ref="U4:V4"/>
  </mergeCells>
  <pageMargins left="0.15748031496063" right="0.15748031496063" top="0" bottom="0" header="0" footer="0"/>
  <pageSetup paperSize="9" scale="47" orientation="landscape" r:id="rId1"/>
</worksheet>
</file>

<file path=xl/worksheets/sheet15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FF36CEB-8D2C-4110-812C-3F956E08934A}">
  <sheetPr>
    <pageSetUpPr fitToPage="1"/>
  </sheetPr>
  <dimension ref="A1:Y33"/>
  <sheetViews>
    <sheetView topLeftCell="A14" zoomScale="70" zoomScaleNormal="70" zoomScaleSheetLayoutView="100" workbookViewId="0">
      <selection activeCell="N24" sqref="N24"/>
    </sheetView>
  </sheetViews>
  <sheetFormatPr defaultColWidth="9.140625" defaultRowHeight="15" x14ac:dyDescent="0.25"/>
  <cols>
    <col min="1" max="1" width="18.28515625" style="14" customWidth="1"/>
    <col min="2" max="2" width="10.7109375" style="14" customWidth="1"/>
    <col min="3" max="3" width="12.28515625" style="14" customWidth="1"/>
    <col min="4" max="4" width="13.140625" style="14" bestFit="1" customWidth="1"/>
    <col min="5" max="5" width="12" style="14" customWidth="1"/>
    <col min="6" max="6" width="12.5703125" style="14" bestFit="1" customWidth="1"/>
    <col min="7" max="7" width="9.28515625" style="14" bestFit="1" customWidth="1"/>
    <col min="8" max="8" width="10.140625" style="14" bestFit="1" customWidth="1"/>
    <col min="9" max="9" width="10.5703125" style="14" bestFit="1" customWidth="1"/>
    <col min="10" max="10" width="10.5703125" style="14" customWidth="1"/>
    <col min="11" max="11" width="10.28515625" style="14" bestFit="1" customWidth="1"/>
    <col min="12" max="12" width="10.42578125" style="14" bestFit="1" customWidth="1"/>
    <col min="13" max="13" width="9.85546875" style="14" bestFit="1" customWidth="1"/>
    <col min="14" max="14" width="10.140625" style="14" bestFit="1" customWidth="1"/>
    <col min="15" max="15" width="9" style="14" customWidth="1"/>
    <col min="16" max="16" width="12.85546875" style="14" bestFit="1" customWidth="1"/>
    <col min="17" max="18" width="9.42578125" style="14" customWidth="1"/>
    <col min="19" max="19" width="13.7109375" style="14" customWidth="1"/>
    <col min="20" max="20" width="12.140625" style="14" customWidth="1"/>
    <col min="21" max="21" width="19.5703125" style="14" bestFit="1" customWidth="1"/>
    <col min="22" max="22" width="9.85546875" style="14" customWidth="1"/>
    <col min="23" max="23" width="10.140625" style="14" bestFit="1" customWidth="1"/>
    <col min="24" max="24" width="10.28515625" style="14" customWidth="1"/>
    <col min="25" max="25" width="28" style="14" customWidth="1"/>
    <col min="26" max="16384" width="9.140625" style="14"/>
  </cols>
  <sheetData>
    <row r="1" spans="1:25" ht="46.15" customHeight="1" x14ac:dyDescent="0.25">
      <c r="A1" s="2240" t="s">
        <v>148</v>
      </c>
      <c r="B1" s="2240"/>
      <c r="C1" s="2240"/>
      <c r="D1" s="2240"/>
      <c r="E1" s="2240"/>
      <c r="F1" s="2240"/>
      <c r="G1" s="2240"/>
      <c r="H1" s="2240"/>
      <c r="I1" s="2240"/>
      <c r="J1" s="2240"/>
      <c r="K1" s="2240"/>
      <c r="L1" s="2240"/>
      <c r="M1" s="2240"/>
      <c r="N1" s="2240"/>
      <c r="O1" s="2240"/>
      <c r="P1" s="2240"/>
      <c r="Q1" s="2240"/>
      <c r="R1" s="2240"/>
      <c r="S1" s="2240"/>
      <c r="T1" s="2240"/>
      <c r="U1" s="2240"/>
      <c r="V1" s="2240"/>
      <c r="W1" s="2240"/>
      <c r="X1" s="2240"/>
      <c r="Y1" s="2240"/>
    </row>
    <row r="2" spans="1:25" ht="21.6" customHeight="1" x14ac:dyDescent="0.25">
      <c r="A2" s="2241" t="s">
        <v>77</v>
      </c>
      <c r="B2" s="2241"/>
      <c r="C2" s="2241"/>
      <c r="D2" s="2241"/>
      <c r="E2" s="2241"/>
      <c r="F2" s="2241"/>
      <c r="G2" s="2241"/>
      <c r="H2" s="2241"/>
      <c r="I2" s="2241"/>
      <c r="J2" s="2241"/>
      <c r="K2" s="2241"/>
      <c r="L2" s="2241"/>
      <c r="M2" s="2241"/>
      <c r="N2" s="2241"/>
      <c r="O2" s="2241"/>
      <c r="P2" s="2241"/>
      <c r="Q2" s="2241"/>
      <c r="R2" s="2241"/>
      <c r="S2" s="2241"/>
      <c r="T2" s="2241"/>
      <c r="U2" s="2241"/>
      <c r="V2" s="2241"/>
      <c r="W2" s="2241"/>
      <c r="X2" s="2241"/>
      <c r="Y2" s="2241"/>
    </row>
    <row r="3" spans="1:25" ht="21" customHeight="1" x14ac:dyDescent="0.25">
      <c r="A3" s="635"/>
      <c r="B3" s="635"/>
      <c r="C3" s="635"/>
      <c r="D3" s="635"/>
      <c r="E3" s="635"/>
      <c r="F3" s="635"/>
      <c r="G3" s="635"/>
      <c r="H3" s="635"/>
      <c r="I3" s="635"/>
      <c r="J3" s="635"/>
      <c r="K3" s="635"/>
      <c r="L3" s="635"/>
      <c r="M3" s="635"/>
      <c r="N3" s="635"/>
      <c r="O3" s="635"/>
      <c r="P3" s="635"/>
      <c r="Q3" s="635"/>
      <c r="R3" s="635"/>
      <c r="S3" s="635"/>
      <c r="T3" s="2242" t="s">
        <v>372</v>
      </c>
      <c r="U3" s="2242"/>
      <c r="V3" s="2242"/>
      <c r="W3" s="2242"/>
      <c r="X3" s="2242"/>
      <c r="Y3" s="2242"/>
    </row>
    <row r="4" spans="1:25" s="635" customFormat="1" ht="18" customHeight="1" x14ac:dyDescent="0.25">
      <c r="A4" s="2243" t="s">
        <v>25</v>
      </c>
      <c r="B4" s="2243" t="s">
        <v>26</v>
      </c>
      <c r="C4" s="2244" t="s">
        <v>27</v>
      </c>
      <c r="D4" s="2244"/>
      <c r="E4" s="2244" t="s">
        <v>342</v>
      </c>
      <c r="F4" s="2244"/>
      <c r="G4" s="2244" t="s">
        <v>65</v>
      </c>
      <c r="H4" s="2244"/>
      <c r="I4" s="2244" t="s">
        <v>29</v>
      </c>
      <c r="J4" s="2244"/>
      <c r="K4" s="2245" t="s">
        <v>13</v>
      </c>
      <c r="L4" s="2246"/>
      <c r="M4" s="2245" t="s">
        <v>67</v>
      </c>
      <c r="N4" s="2246"/>
      <c r="O4" s="2245" t="s">
        <v>68</v>
      </c>
      <c r="P4" s="2246"/>
      <c r="Q4" s="2245" t="s">
        <v>114</v>
      </c>
      <c r="R4" s="2246"/>
      <c r="S4" s="2244" t="s">
        <v>35</v>
      </c>
      <c r="T4" s="2244"/>
      <c r="U4" s="2245" t="s">
        <v>17</v>
      </c>
      <c r="V4" s="2246"/>
      <c r="W4" s="2247" t="s">
        <v>36</v>
      </c>
      <c r="X4" s="2248"/>
      <c r="Y4" s="2238" t="s">
        <v>30</v>
      </c>
    </row>
    <row r="5" spans="1:25" s="635" customFormat="1" ht="25.5" customHeight="1" x14ac:dyDescent="0.25">
      <c r="A5" s="2243"/>
      <c r="B5" s="2243"/>
      <c r="C5" s="637" t="s">
        <v>42</v>
      </c>
      <c r="D5" s="637" t="s">
        <v>43</v>
      </c>
      <c r="E5" s="637" t="s">
        <v>42</v>
      </c>
      <c r="F5" s="637" t="s">
        <v>43</v>
      </c>
      <c r="G5" s="637" t="s">
        <v>42</v>
      </c>
      <c r="H5" s="637" t="s">
        <v>43</v>
      </c>
      <c r="I5" s="637" t="s">
        <v>42</v>
      </c>
      <c r="J5" s="637" t="s">
        <v>43</v>
      </c>
      <c r="K5" s="637" t="s">
        <v>42</v>
      </c>
      <c r="L5" s="637" t="s">
        <v>43</v>
      </c>
      <c r="M5" s="637" t="s">
        <v>42</v>
      </c>
      <c r="N5" s="637" t="s">
        <v>43</v>
      </c>
      <c r="O5" s="637" t="s">
        <v>42</v>
      </c>
      <c r="P5" s="637" t="s">
        <v>43</v>
      </c>
      <c r="Q5" s="637" t="s">
        <v>42</v>
      </c>
      <c r="R5" s="637" t="s">
        <v>43</v>
      </c>
      <c r="S5" s="33" t="s">
        <v>42</v>
      </c>
      <c r="T5" s="33" t="s">
        <v>43</v>
      </c>
      <c r="U5" s="30" t="s">
        <v>42</v>
      </c>
      <c r="V5" s="30" t="s">
        <v>43</v>
      </c>
      <c r="W5" s="30" t="s">
        <v>42</v>
      </c>
      <c r="X5" s="30" t="s">
        <v>43</v>
      </c>
      <c r="Y5" s="2239"/>
    </row>
    <row r="6" spans="1:25" ht="34.5" customHeight="1" x14ac:dyDescent="0.25">
      <c r="A6" s="12">
        <v>1409935200</v>
      </c>
      <c r="B6" s="636" t="s">
        <v>71</v>
      </c>
      <c r="C6" s="639">
        <v>47778</v>
      </c>
      <c r="D6" s="640">
        <f>0.9725*C6</f>
        <v>46464.105000000003</v>
      </c>
      <c r="E6" s="639"/>
      <c r="F6" s="639">
        <f>67.1*E6</f>
        <v>0</v>
      </c>
      <c r="G6" s="639">
        <v>60</v>
      </c>
      <c r="H6" s="639">
        <f>28.2*G6</f>
        <v>1692</v>
      </c>
      <c r="I6" s="639">
        <v>1380</v>
      </c>
      <c r="J6" s="639">
        <f>18.5*I6</f>
        <v>25530</v>
      </c>
      <c r="K6" s="639"/>
      <c r="L6" s="639">
        <f>19.5*K6</f>
        <v>0</v>
      </c>
      <c r="M6" s="639"/>
      <c r="N6" s="640">
        <f>M6*9.75</f>
        <v>0</v>
      </c>
      <c r="O6" s="639"/>
      <c r="P6" s="640">
        <f>O6*48.62</f>
        <v>0</v>
      </c>
      <c r="Q6" s="640"/>
      <c r="R6" s="640">
        <f>241*Q6</f>
        <v>0</v>
      </c>
      <c r="S6" s="639"/>
      <c r="T6" s="639">
        <f>241*S6</f>
        <v>0</v>
      </c>
      <c r="U6" s="639"/>
      <c r="V6" s="639">
        <f>232*U6</f>
        <v>0</v>
      </c>
      <c r="W6" s="639"/>
      <c r="X6" s="19">
        <f>W6*100</f>
        <v>0</v>
      </c>
      <c r="Y6" s="20">
        <f t="shared" ref="Y6:Y12" si="0">D6+F6+H6+J6+L6+N6+P6+R6+T6+V6+X6</f>
        <v>73686.10500000001</v>
      </c>
    </row>
    <row r="7" spans="1:25" ht="31.5" customHeight="1" x14ac:dyDescent="0.25">
      <c r="A7" s="12">
        <v>1984225578</v>
      </c>
      <c r="B7" s="636" t="s">
        <v>72</v>
      </c>
      <c r="C7" s="639">
        <v>24766</v>
      </c>
      <c r="D7" s="640">
        <f t="shared" ref="D7:D11" si="1">0.9725*C7</f>
        <v>24084.935000000001</v>
      </c>
      <c r="E7" s="639"/>
      <c r="F7" s="639">
        <f t="shared" ref="F7:F11" si="2">67.1*E7</f>
        <v>0</v>
      </c>
      <c r="G7" s="639"/>
      <c r="H7" s="639">
        <f t="shared" ref="H7:H11" si="3">28.2*G7</f>
        <v>0</v>
      </c>
      <c r="I7" s="639">
        <v>1600</v>
      </c>
      <c r="J7" s="639">
        <f t="shared" ref="J7:J11" si="4">18.5*I7</f>
        <v>29600</v>
      </c>
      <c r="K7" s="639"/>
      <c r="L7" s="639">
        <f t="shared" ref="L7:L11" si="5">19.5*K7</f>
        <v>0</v>
      </c>
      <c r="M7" s="639"/>
      <c r="N7" s="640">
        <f t="shared" ref="N7:N11" si="6">M7*9.75</f>
        <v>0</v>
      </c>
      <c r="O7" s="639"/>
      <c r="P7" s="640">
        <f t="shared" ref="P7:P11" si="7">O7*48.62</f>
        <v>0</v>
      </c>
      <c r="Q7" s="640"/>
      <c r="R7" s="640">
        <f t="shared" ref="R7:R11" si="8">241*Q7</f>
        <v>0</v>
      </c>
      <c r="S7" s="639"/>
      <c r="T7" s="639">
        <f t="shared" ref="T7:T11" si="9">241*S7</f>
        <v>0</v>
      </c>
      <c r="U7" s="639"/>
      <c r="V7" s="639">
        <f t="shared" ref="V7:V11" si="10">232*U7</f>
        <v>0</v>
      </c>
      <c r="W7" s="639"/>
      <c r="X7" s="19">
        <f t="shared" ref="X7:X11" si="11">W7*100</f>
        <v>0</v>
      </c>
      <c r="Y7" s="20">
        <f t="shared" si="0"/>
        <v>53684.934999999998</v>
      </c>
    </row>
    <row r="8" spans="1:25" ht="35.25" customHeight="1" x14ac:dyDescent="0.25">
      <c r="A8" s="12">
        <v>1967020280</v>
      </c>
      <c r="B8" s="636" t="s">
        <v>73</v>
      </c>
      <c r="C8" s="639">
        <v>12435</v>
      </c>
      <c r="D8" s="640">
        <f t="shared" si="1"/>
        <v>12093.0375</v>
      </c>
      <c r="E8" s="639"/>
      <c r="F8" s="639">
        <f t="shared" si="2"/>
        <v>0</v>
      </c>
      <c r="G8" s="639"/>
      <c r="H8" s="639">
        <f t="shared" si="3"/>
        <v>0</v>
      </c>
      <c r="I8" s="639"/>
      <c r="J8" s="639">
        <f t="shared" si="4"/>
        <v>0</v>
      </c>
      <c r="K8" s="639"/>
      <c r="L8" s="639">
        <f t="shared" si="5"/>
        <v>0</v>
      </c>
      <c r="M8" s="639"/>
      <c r="N8" s="640">
        <f t="shared" si="6"/>
        <v>0</v>
      </c>
      <c r="O8" s="639"/>
      <c r="P8" s="640">
        <f t="shared" si="7"/>
        <v>0</v>
      </c>
      <c r="Q8" s="640"/>
      <c r="R8" s="640">
        <f t="shared" si="8"/>
        <v>0</v>
      </c>
      <c r="S8" s="639"/>
      <c r="T8" s="639">
        <f t="shared" si="9"/>
        <v>0</v>
      </c>
      <c r="U8" s="639"/>
      <c r="V8" s="639">
        <f t="shared" si="10"/>
        <v>0</v>
      </c>
      <c r="W8" s="639"/>
      <c r="X8" s="19">
        <f t="shared" si="11"/>
        <v>0</v>
      </c>
      <c r="Y8" s="20">
        <f t="shared" si="0"/>
        <v>12093.0375</v>
      </c>
    </row>
    <row r="9" spans="1:25" ht="38.25" customHeight="1" x14ac:dyDescent="0.25">
      <c r="A9" s="12">
        <v>1984225580</v>
      </c>
      <c r="B9" s="636" t="s">
        <v>75</v>
      </c>
      <c r="C9" s="639">
        <v>34145</v>
      </c>
      <c r="D9" s="640">
        <f t="shared" si="1"/>
        <v>33206.012500000004</v>
      </c>
      <c r="E9" s="639"/>
      <c r="F9" s="639">
        <f t="shared" si="2"/>
        <v>0</v>
      </c>
      <c r="G9" s="639"/>
      <c r="H9" s="639">
        <f t="shared" si="3"/>
        <v>0</v>
      </c>
      <c r="I9" s="639">
        <v>1490</v>
      </c>
      <c r="J9" s="639">
        <f t="shared" si="4"/>
        <v>27565</v>
      </c>
      <c r="K9" s="639"/>
      <c r="L9" s="639">
        <f t="shared" si="5"/>
        <v>0</v>
      </c>
      <c r="M9" s="639"/>
      <c r="N9" s="640">
        <f t="shared" si="6"/>
        <v>0</v>
      </c>
      <c r="O9" s="639"/>
      <c r="P9" s="640">
        <f t="shared" si="7"/>
        <v>0</v>
      </c>
      <c r="Q9" s="640"/>
      <c r="R9" s="640">
        <f t="shared" si="8"/>
        <v>0</v>
      </c>
      <c r="S9" s="639"/>
      <c r="T9" s="639">
        <f t="shared" si="9"/>
        <v>0</v>
      </c>
      <c r="U9" s="639"/>
      <c r="V9" s="639">
        <f t="shared" si="10"/>
        <v>0</v>
      </c>
      <c r="W9" s="639"/>
      <c r="X9" s="19">
        <f t="shared" si="11"/>
        <v>0</v>
      </c>
      <c r="Y9" s="20">
        <f t="shared" si="0"/>
        <v>60771.012500000004</v>
      </c>
    </row>
    <row r="10" spans="1:25" ht="35.25" customHeight="1" x14ac:dyDescent="0.25">
      <c r="A10" s="12">
        <v>1409935199</v>
      </c>
      <c r="C10" s="639"/>
      <c r="D10" s="640">
        <f t="shared" si="1"/>
        <v>0</v>
      </c>
      <c r="E10" s="639"/>
      <c r="F10" s="639">
        <f t="shared" si="2"/>
        <v>0</v>
      </c>
      <c r="G10" s="639"/>
      <c r="H10" s="639">
        <f t="shared" si="3"/>
        <v>0</v>
      </c>
      <c r="I10" s="639"/>
      <c r="J10" s="639">
        <f t="shared" si="4"/>
        <v>0</v>
      </c>
      <c r="K10" s="639"/>
      <c r="L10" s="639">
        <f t="shared" si="5"/>
        <v>0</v>
      </c>
      <c r="M10" s="639"/>
      <c r="N10" s="640">
        <f t="shared" si="6"/>
        <v>0</v>
      </c>
      <c r="O10" s="639"/>
      <c r="P10" s="640">
        <f t="shared" si="7"/>
        <v>0</v>
      </c>
      <c r="Q10" s="640"/>
      <c r="R10" s="640">
        <f t="shared" si="8"/>
        <v>0</v>
      </c>
      <c r="S10" s="639"/>
      <c r="T10" s="639">
        <f t="shared" si="9"/>
        <v>0</v>
      </c>
      <c r="U10" s="639"/>
      <c r="V10" s="639">
        <f t="shared" si="10"/>
        <v>0</v>
      </c>
      <c r="W10" s="639"/>
      <c r="X10" s="19">
        <f t="shared" si="11"/>
        <v>0</v>
      </c>
      <c r="Y10" s="20">
        <f t="shared" si="0"/>
        <v>0</v>
      </c>
    </row>
    <row r="11" spans="1:25" ht="37.5" customHeight="1" x14ac:dyDescent="0.25">
      <c r="A11" s="12"/>
      <c r="B11" s="638"/>
      <c r="C11" s="639"/>
      <c r="D11" s="22">
        <f t="shared" si="1"/>
        <v>0</v>
      </c>
      <c r="E11" s="639"/>
      <c r="F11" s="639">
        <f t="shared" si="2"/>
        <v>0</v>
      </c>
      <c r="G11" s="639"/>
      <c r="H11" s="639">
        <f t="shared" si="3"/>
        <v>0</v>
      </c>
      <c r="I11" s="639"/>
      <c r="J11" s="639">
        <f t="shared" si="4"/>
        <v>0</v>
      </c>
      <c r="K11" s="639"/>
      <c r="L11" s="639">
        <f t="shared" si="5"/>
        <v>0</v>
      </c>
      <c r="M11" s="639"/>
      <c r="N11" s="640">
        <f t="shared" si="6"/>
        <v>0</v>
      </c>
      <c r="O11" s="639"/>
      <c r="P11" s="640">
        <f t="shared" si="7"/>
        <v>0</v>
      </c>
      <c r="Q11" s="640"/>
      <c r="R11" s="640">
        <f t="shared" si="8"/>
        <v>0</v>
      </c>
      <c r="S11" s="639">
        <v>50</v>
      </c>
      <c r="T11" s="639">
        <f t="shared" si="9"/>
        <v>12050</v>
      </c>
      <c r="U11" s="639"/>
      <c r="V11" s="639">
        <f t="shared" si="10"/>
        <v>0</v>
      </c>
      <c r="W11" s="639"/>
      <c r="X11" s="19">
        <f t="shared" si="11"/>
        <v>0</v>
      </c>
      <c r="Y11" s="20">
        <f t="shared" si="0"/>
        <v>12050</v>
      </c>
    </row>
    <row r="12" spans="1:25" ht="29.25" customHeight="1" x14ac:dyDescent="0.25">
      <c r="A12" s="2235" t="s">
        <v>31</v>
      </c>
      <c r="B12" s="2235"/>
      <c r="C12" s="18">
        <f t="shared" ref="C12:X12" si="12">SUM(C6:C11)</f>
        <v>119124</v>
      </c>
      <c r="D12" s="18">
        <f t="shared" si="12"/>
        <v>115848.09000000003</v>
      </c>
      <c r="E12" s="18">
        <f t="shared" si="12"/>
        <v>0</v>
      </c>
      <c r="F12" s="18">
        <f t="shared" si="12"/>
        <v>0</v>
      </c>
      <c r="G12" s="18">
        <f t="shared" si="12"/>
        <v>60</v>
      </c>
      <c r="H12" s="18">
        <f t="shared" si="12"/>
        <v>1692</v>
      </c>
      <c r="I12" s="18">
        <f t="shared" si="12"/>
        <v>4470</v>
      </c>
      <c r="J12" s="18">
        <f t="shared" si="12"/>
        <v>82695</v>
      </c>
      <c r="K12" s="18">
        <f t="shared" si="12"/>
        <v>0</v>
      </c>
      <c r="L12" s="18">
        <f t="shared" si="12"/>
        <v>0</v>
      </c>
      <c r="M12" s="18">
        <f t="shared" si="12"/>
        <v>0</v>
      </c>
      <c r="N12" s="23">
        <f t="shared" si="12"/>
        <v>0</v>
      </c>
      <c r="O12" s="18">
        <f t="shared" si="12"/>
        <v>0</v>
      </c>
      <c r="P12" s="23">
        <f t="shared" si="12"/>
        <v>0</v>
      </c>
      <c r="Q12" s="23">
        <f t="shared" si="12"/>
        <v>0</v>
      </c>
      <c r="R12" s="23">
        <f>SUM(R6:R11)</f>
        <v>0</v>
      </c>
      <c r="S12" s="18">
        <f t="shared" si="12"/>
        <v>50</v>
      </c>
      <c r="T12" s="18">
        <f t="shared" si="12"/>
        <v>12050</v>
      </c>
      <c r="U12" s="18">
        <f t="shared" si="12"/>
        <v>0</v>
      </c>
      <c r="V12" s="18">
        <f t="shared" si="12"/>
        <v>0</v>
      </c>
      <c r="W12" s="18">
        <f t="shared" si="12"/>
        <v>0</v>
      </c>
      <c r="X12" s="18">
        <f t="shared" si="12"/>
        <v>0</v>
      </c>
      <c r="Y12" s="20">
        <f t="shared" si="0"/>
        <v>212285.09000000003</v>
      </c>
    </row>
    <row r="14" spans="1:25" ht="41.25" customHeight="1" x14ac:dyDescent="0.25">
      <c r="A14" s="30" t="s">
        <v>32</v>
      </c>
      <c r="B14" s="2236" t="s">
        <v>27</v>
      </c>
      <c r="C14" s="2236"/>
      <c r="D14" s="30" t="s">
        <v>333</v>
      </c>
      <c r="E14" s="30" t="s">
        <v>65</v>
      </c>
      <c r="F14" s="30" t="s">
        <v>34</v>
      </c>
      <c r="G14" s="30" t="s">
        <v>13</v>
      </c>
      <c r="H14" s="469" t="s">
        <v>173</v>
      </c>
      <c r="I14" s="30" t="s">
        <v>17</v>
      </c>
      <c r="J14" s="644" t="s">
        <v>174</v>
      </c>
      <c r="K14" s="30" t="s">
        <v>36</v>
      </c>
      <c r="L14" s="30" t="s">
        <v>175</v>
      </c>
      <c r="M14" s="30" t="s">
        <v>69</v>
      </c>
      <c r="N14" s="30" t="s">
        <v>70</v>
      </c>
      <c r="O14" s="644" t="s">
        <v>114</v>
      </c>
      <c r="P14" s="644" t="s">
        <v>368</v>
      </c>
      <c r="Q14" s="2300"/>
      <c r="R14" s="2301"/>
      <c r="S14" s="644"/>
      <c r="T14" s="2235" t="s">
        <v>46</v>
      </c>
      <c r="U14" s="636" t="s">
        <v>176</v>
      </c>
      <c r="V14" s="2260">
        <v>9224</v>
      </c>
      <c r="W14" s="2268"/>
      <c r="X14" s="2261"/>
    </row>
    <row r="15" spans="1:25" ht="22.5" customHeight="1" x14ac:dyDescent="0.25">
      <c r="A15" s="100" t="s">
        <v>38</v>
      </c>
      <c r="B15" s="2260">
        <v>523875</v>
      </c>
      <c r="C15" s="2261"/>
      <c r="D15" s="641">
        <v>1130</v>
      </c>
      <c r="E15" s="641">
        <v>3200</v>
      </c>
      <c r="F15" s="641">
        <v>14470</v>
      </c>
      <c r="G15" s="641">
        <v>0</v>
      </c>
      <c r="H15" s="641">
        <v>384</v>
      </c>
      <c r="I15" s="641">
        <v>150</v>
      </c>
      <c r="J15" s="641">
        <v>69</v>
      </c>
      <c r="K15" s="641">
        <v>82</v>
      </c>
      <c r="L15" s="641">
        <v>86</v>
      </c>
      <c r="M15" s="641">
        <v>500</v>
      </c>
      <c r="N15" s="641">
        <v>100</v>
      </c>
      <c r="O15" s="641">
        <v>0</v>
      </c>
      <c r="P15" s="641">
        <v>854</v>
      </c>
      <c r="Q15" s="2260"/>
      <c r="R15" s="2261"/>
      <c r="S15" s="636"/>
      <c r="T15" s="2235"/>
      <c r="U15" s="636" t="s">
        <v>64</v>
      </c>
      <c r="V15" s="2262">
        <v>7898</v>
      </c>
      <c r="W15" s="2262"/>
      <c r="X15" s="2262"/>
    </row>
    <row r="16" spans="1:25" ht="24.75" customHeight="1" x14ac:dyDescent="0.25">
      <c r="A16" s="100" t="s">
        <v>39</v>
      </c>
      <c r="B16" s="2260"/>
      <c r="C16" s="2261"/>
      <c r="D16" s="641"/>
      <c r="E16" s="641"/>
      <c r="F16" s="641"/>
      <c r="G16" s="641"/>
      <c r="H16" s="641"/>
      <c r="I16" s="641"/>
      <c r="J16" s="641"/>
      <c r="K16" s="641"/>
      <c r="L16" s="641"/>
      <c r="M16" s="641"/>
      <c r="N16" s="641"/>
      <c r="O16" s="641"/>
      <c r="P16" s="641"/>
      <c r="Q16" s="2225"/>
      <c r="R16" s="2225"/>
      <c r="S16" s="641"/>
      <c r="T16" s="2254" t="s">
        <v>55</v>
      </c>
      <c r="U16" s="2254"/>
      <c r="V16" s="2267">
        <f>Y12</f>
        <v>212285.09000000003</v>
      </c>
      <c r="W16" s="2267"/>
      <c r="X16" s="2262"/>
    </row>
    <row r="17" spans="1:25" ht="28.5" customHeight="1" x14ac:dyDescent="0.25">
      <c r="A17" s="101" t="s">
        <v>44</v>
      </c>
      <c r="B17" s="2260"/>
      <c r="C17" s="2261"/>
      <c r="D17" s="641"/>
      <c r="E17" s="641"/>
      <c r="F17" s="641"/>
      <c r="G17" s="641"/>
      <c r="H17" s="641"/>
      <c r="I17" s="641"/>
      <c r="J17" s="641"/>
      <c r="K17" s="641"/>
      <c r="L17" s="641"/>
      <c r="M17" s="641"/>
      <c r="N17" s="641"/>
      <c r="O17" s="641"/>
      <c r="P17" s="641"/>
      <c r="Q17" s="2225"/>
      <c r="R17" s="2225"/>
      <c r="S17" s="638"/>
      <c r="T17" s="2294" t="s">
        <v>362</v>
      </c>
      <c r="U17" s="2295"/>
      <c r="V17" s="2296"/>
      <c r="W17" s="2296"/>
      <c r="X17" s="2296"/>
    </row>
    <row r="18" spans="1:25" ht="27" customHeight="1" x14ac:dyDescent="0.25">
      <c r="A18" s="100" t="s">
        <v>40</v>
      </c>
      <c r="B18" s="2264">
        <f>C12</f>
        <v>119124</v>
      </c>
      <c r="C18" s="2261"/>
      <c r="D18" s="642">
        <f>E12</f>
        <v>0</v>
      </c>
      <c r="E18" s="642">
        <f>G12</f>
        <v>60</v>
      </c>
      <c r="F18" s="642">
        <f>I12</f>
        <v>4470</v>
      </c>
      <c r="G18" s="642">
        <f>K12</f>
        <v>0</v>
      </c>
      <c r="H18" s="641"/>
      <c r="I18" s="642">
        <f>U12</f>
        <v>0</v>
      </c>
      <c r="J18" s="641"/>
      <c r="K18" s="642">
        <f>W12</f>
        <v>0</v>
      </c>
      <c r="L18" s="641"/>
      <c r="M18" s="642">
        <f>M12</f>
        <v>0</v>
      </c>
      <c r="N18" s="642">
        <f>O12</f>
        <v>0</v>
      </c>
      <c r="O18" s="643">
        <f>Q12</f>
        <v>0</v>
      </c>
      <c r="P18" s="641">
        <v>50</v>
      </c>
      <c r="Q18" s="2262"/>
      <c r="R18" s="2262"/>
      <c r="S18" s="636"/>
      <c r="T18" s="2254" t="s">
        <v>57</v>
      </c>
      <c r="U18" s="2254"/>
      <c r="V18" s="2262">
        <v>520</v>
      </c>
      <c r="W18" s="2262"/>
      <c r="X18" s="2262"/>
      <c r="Y18" s="2269"/>
    </row>
    <row r="19" spans="1:25" ht="25.5" customHeight="1" x14ac:dyDescent="0.25">
      <c r="A19" s="100" t="s">
        <v>41</v>
      </c>
      <c r="B19" s="2260">
        <f>B15+B16+B17-B18</f>
        <v>404751</v>
      </c>
      <c r="C19" s="2261"/>
      <c r="D19" s="641">
        <f>D15+D16+D17-D18</f>
        <v>1130</v>
      </c>
      <c r="E19" s="641">
        <f t="shared" ref="E19:N19" si="13">E15+E16+E17-E18</f>
        <v>3140</v>
      </c>
      <c r="F19" s="641">
        <f t="shared" si="13"/>
        <v>10000</v>
      </c>
      <c r="G19" s="641">
        <f t="shared" si="13"/>
        <v>0</v>
      </c>
      <c r="H19" s="641">
        <f t="shared" si="13"/>
        <v>384</v>
      </c>
      <c r="I19" s="641">
        <f t="shared" si="13"/>
        <v>150</v>
      </c>
      <c r="J19" s="641">
        <f t="shared" si="13"/>
        <v>69</v>
      </c>
      <c r="K19" s="641">
        <f t="shared" si="13"/>
        <v>82</v>
      </c>
      <c r="L19" s="641">
        <f t="shared" si="13"/>
        <v>86</v>
      </c>
      <c r="M19" s="641">
        <f t="shared" si="13"/>
        <v>500</v>
      </c>
      <c r="N19" s="641">
        <f t="shared" si="13"/>
        <v>100</v>
      </c>
      <c r="O19" s="641">
        <f>O15+O16+O17-O18</f>
        <v>0</v>
      </c>
      <c r="P19" s="641">
        <f>P15+P16+P17-P18</f>
        <v>804</v>
      </c>
      <c r="Q19" s="2260">
        <f t="shared" ref="Q19" si="14">Q15+Q16+Q17-Q18</f>
        <v>0</v>
      </c>
      <c r="R19" s="2261"/>
      <c r="S19" s="636">
        <f>S15+S16-S17-S18</f>
        <v>0</v>
      </c>
      <c r="T19" s="2256" t="s">
        <v>48</v>
      </c>
      <c r="U19" s="49" t="s">
        <v>58</v>
      </c>
      <c r="V19" s="2262"/>
      <c r="W19" s="2262"/>
      <c r="X19" s="2262"/>
      <c r="Y19" s="2269"/>
    </row>
    <row r="20" spans="1:25" ht="23.25" customHeight="1" x14ac:dyDescent="0.25">
      <c r="A20" s="289" t="s">
        <v>187</v>
      </c>
      <c r="B20" s="2286">
        <f>B19*0.9625</f>
        <v>389572.83750000002</v>
      </c>
      <c r="C20" s="2287"/>
      <c r="D20" s="290">
        <f>D19*66.41</f>
        <v>75043.3</v>
      </c>
      <c r="E20" s="290">
        <f>28.2*E19</f>
        <v>88548</v>
      </c>
      <c r="F20" s="290">
        <f>18.31*F19</f>
        <v>183100</v>
      </c>
      <c r="G20" s="290">
        <f>19.3*G19</f>
        <v>0</v>
      </c>
      <c r="H20" s="290">
        <f>241*H19</f>
        <v>92544</v>
      </c>
      <c r="I20" s="290">
        <f>323*I19</f>
        <v>48450</v>
      </c>
      <c r="J20" s="290">
        <f>241*J19</f>
        <v>16629</v>
      </c>
      <c r="K20" s="290">
        <f>K19*100</f>
        <v>8200</v>
      </c>
      <c r="L20" s="290">
        <f>241*L19</f>
        <v>20726</v>
      </c>
      <c r="M20" s="290">
        <f>9.65*M19</f>
        <v>4825</v>
      </c>
      <c r="N20" s="290">
        <f>N19*48.2</f>
        <v>4820</v>
      </c>
      <c r="O20" s="290">
        <f>241*O19</f>
        <v>0</v>
      </c>
      <c r="P20" s="290">
        <f>241*P19</f>
        <v>193764</v>
      </c>
      <c r="Q20" s="2286">
        <f>241*Q19</f>
        <v>0</v>
      </c>
      <c r="R20" s="2287"/>
      <c r="S20" s="290">
        <f>241*S19</f>
        <v>0</v>
      </c>
      <c r="T20" s="2257"/>
      <c r="U20" s="49" t="s">
        <v>59</v>
      </c>
      <c r="V20" s="2262"/>
      <c r="W20" s="2262"/>
      <c r="X20" s="2262"/>
      <c r="Y20" s="2269"/>
    </row>
    <row r="21" spans="1:25" ht="32.25" customHeight="1" x14ac:dyDescent="0.25">
      <c r="A21" s="291" t="s">
        <v>186</v>
      </c>
      <c r="B21" s="2293">
        <f>SUM(B20:S20)</f>
        <v>1126222.1375</v>
      </c>
      <c r="C21" s="2293"/>
      <c r="O21" s="645"/>
      <c r="P21" s="645"/>
      <c r="Q21" s="645"/>
      <c r="R21" s="645"/>
      <c r="T21" s="2294" t="s">
        <v>366</v>
      </c>
      <c r="U21" s="2295"/>
      <c r="V21" s="2297"/>
      <c r="W21" s="2298"/>
      <c r="X21" s="2299"/>
      <c r="Y21" s="2269"/>
    </row>
    <row r="22" spans="1:25" ht="35.25" customHeight="1" x14ac:dyDescent="0.25">
      <c r="A22" s="15"/>
      <c r="B22" s="2288" t="s">
        <v>49</v>
      </c>
      <c r="C22" s="2291">
        <v>915974</v>
      </c>
      <c r="D22" s="2291"/>
      <c r="E22" s="2291"/>
      <c r="F22" s="2291">
        <f>C22-D22+E22</f>
        <v>915974</v>
      </c>
      <c r="G22" s="645"/>
      <c r="Q22" s="645"/>
      <c r="R22" s="645"/>
      <c r="T22" s="2251" t="s">
        <v>83</v>
      </c>
      <c r="U22" s="50" t="s">
        <v>60</v>
      </c>
      <c r="V22" s="2262"/>
      <c r="W22" s="2262"/>
      <c r="X22" s="2262"/>
      <c r="Y22" s="2269"/>
    </row>
    <row r="23" spans="1:25" ht="39.75" customHeight="1" x14ac:dyDescent="0.25">
      <c r="A23" s="645"/>
      <c r="B23" s="2289"/>
      <c r="C23" s="2292"/>
      <c r="D23" s="2292"/>
      <c r="E23" s="2292"/>
      <c r="F23" s="2292"/>
      <c r="G23" s="645"/>
      <c r="Q23" s="645"/>
      <c r="R23" s="645"/>
      <c r="T23" s="2252"/>
      <c r="U23" s="50" t="s">
        <v>61</v>
      </c>
      <c r="V23" s="2262"/>
      <c r="W23" s="2262"/>
      <c r="X23" s="2262"/>
      <c r="Y23" s="2269"/>
    </row>
    <row r="24" spans="1:25" ht="48" customHeight="1" x14ac:dyDescent="0.25">
      <c r="A24" s="645"/>
      <c r="B24" s="2290"/>
      <c r="C24" s="290" t="s">
        <v>46</v>
      </c>
      <c r="D24" s="290" t="s">
        <v>50</v>
      </c>
      <c r="E24" s="290" t="s">
        <v>51</v>
      </c>
      <c r="F24" s="290" t="s">
        <v>52</v>
      </c>
      <c r="G24" s="645"/>
      <c r="Q24" s="645"/>
      <c r="R24" s="645"/>
      <c r="T24" s="2235" t="s">
        <v>47</v>
      </c>
      <c r="U24" s="51" t="s">
        <v>62</v>
      </c>
      <c r="V24" s="2263">
        <f>V14+V16+V17-V18-V19-V20-V22+V23-V21</f>
        <v>220989.09000000003</v>
      </c>
      <c r="W24" s="2263"/>
      <c r="X24" s="2263"/>
      <c r="Y24" s="2269"/>
    </row>
    <row r="25" spans="1:25" ht="40.5" customHeight="1" x14ac:dyDescent="0.25">
      <c r="T25" s="2235"/>
      <c r="U25" s="51" t="s">
        <v>63</v>
      </c>
      <c r="V25" s="2262">
        <f>V15+V22-V23</f>
        <v>7898</v>
      </c>
      <c r="W25" s="2262"/>
      <c r="X25" s="2262"/>
    </row>
    <row r="26" spans="1:25" ht="36" customHeight="1" x14ac:dyDescent="0.25">
      <c r="K26" s="314"/>
    </row>
    <row r="28" spans="1:25" x14ac:dyDescent="0.25">
      <c r="J28" s="14" t="s">
        <v>139</v>
      </c>
    </row>
    <row r="32" spans="1:25" x14ac:dyDescent="0.25">
      <c r="I32" s="2280"/>
      <c r="J32" s="2280"/>
      <c r="K32" s="2280"/>
      <c r="L32" s="2280"/>
    </row>
    <row r="33" spans="9:12" x14ac:dyDescent="0.25">
      <c r="I33" s="645"/>
      <c r="J33" s="645"/>
      <c r="K33" s="2280"/>
      <c r="L33" s="2280"/>
    </row>
  </sheetData>
  <mergeCells count="62">
    <mergeCell ref="I32:J32"/>
    <mergeCell ref="K32:L32"/>
    <mergeCell ref="K33:L33"/>
    <mergeCell ref="T22:T23"/>
    <mergeCell ref="V22:X22"/>
    <mergeCell ref="V23:X23"/>
    <mergeCell ref="T24:T25"/>
    <mergeCell ref="V24:X24"/>
    <mergeCell ref="V25:X25"/>
    <mergeCell ref="Y18:Y24"/>
    <mergeCell ref="B19:C19"/>
    <mergeCell ref="Q19:R19"/>
    <mergeCell ref="T19:T20"/>
    <mergeCell ref="V19:X19"/>
    <mergeCell ref="B20:C20"/>
    <mergeCell ref="B22:B24"/>
    <mergeCell ref="C22:C23"/>
    <mergeCell ref="D22:D23"/>
    <mergeCell ref="E22:E23"/>
    <mergeCell ref="F22:F23"/>
    <mergeCell ref="Q20:R20"/>
    <mergeCell ref="V20:X20"/>
    <mergeCell ref="B21:C21"/>
    <mergeCell ref="T21:U21"/>
    <mergeCell ref="V21:X21"/>
    <mergeCell ref="B17:C17"/>
    <mergeCell ref="Q17:R17"/>
    <mergeCell ref="T17:U17"/>
    <mergeCell ref="V17:X17"/>
    <mergeCell ref="B18:C18"/>
    <mergeCell ref="Q18:R18"/>
    <mergeCell ref="T18:U18"/>
    <mergeCell ref="V18:X18"/>
    <mergeCell ref="W4:X4"/>
    <mergeCell ref="B16:C16"/>
    <mergeCell ref="Q16:R16"/>
    <mergeCell ref="T16:U16"/>
    <mergeCell ref="V16:X16"/>
    <mergeCell ref="A12:B12"/>
    <mergeCell ref="B14:C14"/>
    <mergeCell ref="Q14:R14"/>
    <mergeCell ref="T14:T15"/>
    <mergeCell ref="V14:X14"/>
    <mergeCell ref="B15:C15"/>
    <mergeCell ref="Q15:R15"/>
    <mergeCell ref="V15:X15"/>
    <mergeCell ref="A1:Y1"/>
    <mergeCell ref="A2:Y2"/>
    <mergeCell ref="T3:Y3"/>
    <mergeCell ref="A4:A5"/>
    <mergeCell ref="B4:B5"/>
    <mergeCell ref="C4:D4"/>
    <mergeCell ref="E4:F4"/>
    <mergeCell ref="G4:H4"/>
    <mergeCell ref="I4:J4"/>
    <mergeCell ref="K4:L4"/>
    <mergeCell ref="Y4:Y5"/>
    <mergeCell ref="M4:N4"/>
    <mergeCell ref="O4:P4"/>
    <mergeCell ref="Q4:R4"/>
    <mergeCell ref="S4:T4"/>
    <mergeCell ref="U4:V4"/>
  </mergeCells>
  <pageMargins left="0.15748031496063" right="0.15748031496063" top="0" bottom="0" header="0" footer="0"/>
  <pageSetup paperSize="9" scale="47" orientation="landscape" r:id="rId1"/>
</worksheet>
</file>

<file path=xl/worksheets/sheet15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F93129E-8982-492C-9D83-8F8C1898386B}">
  <sheetPr>
    <pageSetUpPr fitToPage="1"/>
  </sheetPr>
  <dimension ref="A1:Y33"/>
  <sheetViews>
    <sheetView topLeftCell="D14" zoomScale="70" zoomScaleNormal="70" zoomScaleSheetLayoutView="100" workbookViewId="0">
      <selection activeCell="L24" sqref="L24"/>
    </sheetView>
  </sheetViews>
  <sheetFormatPr defaultColWidth="9.140625" defaultRowHeight="15" x14ac:dyDescent="0.25"/>
  <cols>
    <col min="1" max="1" width="18.28515625" style="14" customWidth="1"/>
    <col min="2" max="2" width="10.7109375" style="14" customWidth="1"/>
    <col min="3" max="3" width="12.28515625" style="14" customWidth="1"/>
    <col min="4" max="4" width="13.140625" style="14" bestFit="1" customWidth="1"/>
    <col min="5" max="5" width="12" style="14" customWidth="1"/>
    <col min="6" max="6" width="12.5703125" style="14" bestFit="1" customWidth="1"/>
    <col min="7" max="7" width="9.28515625" style="14" bestFit="1" customWidth="1"/>
    <col min="8" max="8" width="10.140625" style="14" bestFit="1" customWidth="1"/>
    <col min="9" max="9" width="10.5703125" style="14" bestFit="1" customWidth="1"/>
    <col min="10" max="10" width="10.5703125" style="14" customWidth="1"/>
    <col min="11" max="11" width="10.28515625" style="14" bestFit="1" customWidth="1"/>
    <col min="12" max="12" width="10.42578125" style="14" bestFit="1" customWidth="1"/>
    <col min="13" max="13" width="9.85546875" style="14" bestFit="1" customWidth="1"/>
    <col min="14" max="14" width="10.140625" style="14" bestFit="1" customWidth="1"/>
    <col min="15" max="15" width="9" style="14" customWidth="1"/>
    <col min="16" max="16" width="12.85546875" style="14" bestFit="1" customWidth="1"/>
    <col min="17" max="18" width="9.42578125" style="14" customWidth="1"/>
    <col min="19" max="19" width="13.7109375" style="14" customWidth="1"/>
    <col min="20" max="20" width="12.140625" style="14" customWidth="1"/>
    <col min="21" max="21" width="19.5703125" style="14" bestFit="1" customWidth="1"/>
    <col min="22" max="22" width="9.85546875" style="14" customWidth="1"/>
    <col min="23" max="23" width="10.140625" style="14" bestFit="1" customWidth="1"/>
    <col min="24" max="24" width="10.28515625" style="14" customWidth="1"/>
    <col min="25" max="25" width="28" style="14" customWidth="1"/>
    <col min="26" max="16384" width="9.140625" style="14"/>
  </cols>
  <sheetData>
    <row r="1" spans="1:25" ht="46.15" customHeight="1" x14ac:dyDescent="0.25">
      <c r="A1" s="2240" t="s">
        <v>148</v>
      </c>
      <c r="B1" s="2240"/>
      <c r="C1" s="2240"/>
      <c r="D1" s="2240"/>
      <c r="E1" s="2240"/>
      <c r="F1" s="2240"/>
      <c r="G1" s="2240"/>
      <c r="H1" s="2240"/>
      <c r="I1" s="2240"/>
      <c r="J1" s="2240"/>
      <c r="K1" s="2240"/>
      <c r="L1" s="2240"/>
      <c r="M1" s="2240"/>
      <c r="N1" s="2240"/>
      <c r="O1" s="2240"/>
      <c r="P1" s="2240"/>
      <c r="Q1" s="2240"/>
      <c r="R1" s="2240"/>
      <c r="S1" s="2240"/>
      <c r="T1" s="2240"/>
      <c r="U1" s="2240"/>
      <c r="V1" s="2240"/>
      <c r="W1" s="2240"/>
      <c r="X1" s="2240"/>
      <c r="Y1" s="2240"/>
    </row>
    <row r="2" spans="1:25" ht="21.6" customHeight="1" x14ac:dyDescent="0.25">
      <c r="A2" s="2241" t="s">
        <v>77</v>
      </c>
      <c r="B2" s="2241"/>
      <c r="C2" s="2241"/>
      <c r="D2" s="2241"/>
      <c r="E2" s="2241"/>
      <c r="F2" s="2241"/>
      <c r="G2" s="2241"/>
      <c r="H2" s="2241"/>
      <c r="I2" s="2241"/>
      <c r="J2" s="2241"/>
      <c r="K2" s="2241"/>
      <c r="L2" s="2241"/>
      <c r="M2" s="2241"/>
      <c r="N2" s="2241"/>
      <c r="O2" s="2241"/>
      <c r="P2" s="2241"/>
      <c r="Q2" s="2241"/>
      <c r="R2" s="2241"/>
      <c r="S2" s="2241"/>
      <c r="T2" s="2241"/>
      <c r="U2" s="2241"/>
      <c r="V2" s="2241"/>
      <c r="W2" s="2241"/>
      <c r="X2" s="2241"/>
      <c r="Y2" s="2241"/>
    </row>
    <row r="3" spans="1:25" ht="21" customHeight="1" x14ac:dyDescent="0.25">
      <c r="A3" s="635"/>
      <c r="B3" s="635"/>
      <c r="C3" s="635"/>
      <c r="D3" s="635"/>
      <c r="E3" s="635"/>
      <c r="F3" s="635"/>
      <c r="G3" s="635"/>
      <c r="H3" s="635"/>
      <c r="I3" s="635"/>
      <c r="J3" s="635"/>
      <c r="K3" s="635"/>
      <c r="L3" s="635"/>
      <c r="M3" s="635"/>
      <c r="N3" s="635"/>
      <c r="O3" s="635"/>
      <c r="P3" s="635"/>
      <c r="Q3" s="635"/>
      <c r="R3" s="635"/>
      <c r="S3" s="635"/>
      <c r="T3" s="2242" t="s">
        <v>373</v>
      </c>
      <c r="U3" s="2242"/>
      <c r="V3" s="2242"/>
      <c r="W3" s="2242"/>
      <c r="X3" s="2242"/>
      <c r="Y3" s="2242"/>
    </row>
    <row r="4" spans="1:25" s="635" customFormat="1" ht="18" customHeight="1" x14ac:dyDescent="0.25">
      <c r="A4" s="2243" t="s">
        <v>25</v>
      </c>
      <c r="B4" s="2243" t="s">
        <v>26</v>
      </c>
      <c r="C4" s="2244" t="s">
        <v>27</v>
      </c>
      <c r="D4" s="2244"/>
      <c r="E4" s="2244" t="s">
        <v>342</v>
      </c>
      <c r="F4" s="2244"/>
      <c r="G4" s="2244" t="s">
        <v>65</v>
      </c>
      <c r="H4" s="2244"/>
      <c r="I4" s="2244" t="s">
        <v>29</v>
      </c>
      <c r="J4" s="2244"/>
      <c r="K4" s="2245" t="s">
        <v>13</v>
      </c>
      <c r="L4" s="2246"/>
      <c r="M4" s="2245" t="s">
        <v>67</v>
      </c>
      <c r="N4" s="2246"/>
      <c r="O4" s="2245" t="s">
        <v>68</v>
      </c>
      <c r="P4" s="2246"/>
      <c r="Q4" s="2245" t="s">
        <v>114</v>
      </c>
      <c r="R4" s="2246"/>
      <c r="S4" s="2244" t="s">
        <v>35</v>
      </c>
      <c r="T4" s="2244"/>
      <c r="U4" s="2245" t="s">
        <v>17</v>
      </c>
      <c r="V4" s="2246"/>
      <c r="W4" s="2247" t="s">
        <v>36</v>
      </c>
      <c r="X4" s="2248"/>
      <c r="Y4" s="2238" t="s">
        <v>30</v>
      </c>
    </row>
    <row r="5" spans="1:25" s="635" customFormat="1" ht="25.5" customHeight="1" x14ac:dyDescent="0.25">
      <c r="A5" s="2243"/>
      <c r="B5" s="2243"/>
      <c r="C5" s="637" t="s">
        <v>42</v>
      </c>
      <c r="D5" s="637" t="s">
        <v>43</v>
      </c>
      <c r="E5" s="637" t="s">
        <v>42</v>
      </c>
      <c r="F5" s="637" t="s">
        <v>43</v>
      </c>
      <c r="G5" s="637" t="s">
        <v>42</v>
      </c>
      <c r="H5" s="637" t="s">
        <v>43</v>
      </c>
      <c r="I5" s="637" t="s">
        <v>42</v>
      </c>
      <c r="J5" s="637" t="s">
        <v>43</v>
      </c>
      <c r="K5" s="637" t="s">
        <v>42</v>
      </c>
      <c r="L5" s="637" t="s">
        <v>43</v>
      </c>
      <c r="M5" s="637" t="s">
        <v>42</v>
      </c>
      <c r="N5" s="637" t="s">
        <v>43</v>
      </c>
      <c r="O5" s="637" t="s">
        <v>42</v>
      </c>
      <c r="P5" s="637" t="s">
        <v>43</v>
      </c>
      <c r="Q5" s="637" t="s">
        <v>42</v>
      </c>
      <c r="R5" s="637" t="s">
        <v>43</v>
      </c>
      <c r="S5" s="33" t="s">
        <v>42</v>
      </c>
      <c r="T5" s="33" t="s">
        <v>43</v>
      </c>
      <c r="U5" s="30" t="s">
        <v>42</v>
      </c>
      <c r="V5" s="30" t="s">
        <v>43</v>
      </c>
      <c r="W5" s="30" t="s">
        <v>42</v>
      </c>
      <c r="X5" s="30" t="s">
        <v>43</v>
      </c>
      <c r="Y5" s="2239"/>
    </row>
    <row r="6" spans="1:25" ht="34.5" customHeight="1" x14ac:dyDescent="0.25">
      <c r="A6" s="12">
        <v>1409935200</v>
      </c>
      <c r="B6" s="636" t="s">
        <v>71</v>
      </c>
      <c r="C6" s="639">
        <v>28750</v>
      </c>
      <c r="D6" s="640">
        <f>0.9725*C6</f>
        <v>27959.375</v>
      </c>
      <c r="E6" s="639"/>
      <c r="F6" s="639">
        <f>67.1*E6</f>
        <v>0</v>
      </c>
      <c r="G6" s="639">
        <v>60</v>
      </c>
      <c r="H6" s="639">
        <f>28.2*G6</f>
        <v>1692</v>
      </c>
      <c r="I6" s="639">
        <v>1000</v>
      </c>
      <c r="J6" s="639">
        <f>18.5*I6</f>
        <v>18500</v>
      </c>
      <c r="K6" s="639"/>
      <c r="L6" s="639">
        <f>19.5*K6</f>
        <v>0</v>
      </c>
      <c r="M6" s="639"/>
      <c r="N6" s="640">
        <f>M6*9.75</f>
        <v>0</v>
      </c>
      <c r="O6" s="639"/>
      <c r="P6" s="640">
        <f>O6*48.62</f>
        <v>0</v>
      </c>
      <c r="Q6" s="640"/>
      <c r="R6" s="640">
        <f>241*Q6</f>
        <v>0</v>
      </c>
      <c r="S6" s="639"/>
      <c r="T6" s="639">
        <f>241*S6</f>
        <v>0</v>
      </c>
      <c r="U6" s="639"/>
      <c r="V6" s="639">
        <f>332*U6</f>
        <v>0</v>
      </c>
      <c r="W6" s="639">
        <v>1</v>
      </c>
      <c r="X6" s="19">
        <f>W6*100</f>
        <v>100</v>
      </c>
      <c r="Y6" s="20">
        <f t="shared" ref="Y6:Y12" si="0">D6+F6+H6+J6+L6+N6+P6+R6+T6+V6+X6</f>
        <v>48251.375</v>
      </c>
    </row>
    <row r="7" spans="1:25" ht="31.5" customHeight="1" x14ac:dyDescent="0.25">
      <c r="A7" s="12">
        <v>1984225578</v>
      </c>
      <c r="B7" s="636" t="s">
        <v>72</v>
      </c>
      <c r="C7" s="639">
        <v>24142</v>
      </c>
      <c r="D7" s="640">
        <f t="shared" ref="D7:D11" si="1">0.9725*C7</f>
        <v>23478.095000000001</v>
      </c>
      <c r="E7" s="639"/>
      <c r="F7" s="639">
        <f t="shared" ref="F7:F11" si="2">67.1*E7</f>
        <v>0</v>
      </c>
      <c r="G7" s="639">
        <v>510</v>
      </c>
      <c r="H7" s="639">
        <f t="shared" ref="H7:H11" si="3">28.2*G7</f>
        <v>14382</v>
      </c>
      <c r="I7" s="639">
        <v>800</v>
      </c>
      <c r="J7" s="639">
        <f t="shared" ref="J7:J11" si="4">18.5*I7</f>
        <v>14800</v>
      </c>
      <c r="K7" s="639"/>
      <c r="L7" s="639">
        <f t="shared" ref="L7:L11" si="5">19.5*K7</f>
        <v>0</v>
      </c>
      <c r="M7" s="639">
        <v>500</v>
      </c>
      <c r="N7" s="640">
        <f t="shared" ref="N7:N11" si="6">M7*9.75</f>
        <v>4875</v>
      </c>
      <c r="O7" s="639"/>
      <c r="P7" s="640">
        <f t="shared" ref="P7:P11" si="7">O7*48.62</f>
        <v>0</v>
      </c>
      <c r="Q7" s="640"/>
      <c r="R7" s="640">
        <f t="shared" ref="R7:R11" si="8">241*Q7</f>
        <v>0</v>
      </c>
      <c r="S7" s="639"/>
      <c r="T7" s="639">
        <f t="shared" ref="T7:T11" si="9">241*S7</f>
        <v>0</v>
      </c>
      <c r="U7" s="639">
        <v>50</v>
      </c>
      <c r="V7" s="639">
        <f t="shared" ref="V7:V11" si="10">332*U7</f>
        <v>16600</v>
      </c>
      <c r="W7" s="639"/>
      <c r="X7" s="19">
        <f t="shared" ref="X7:X11" si="11">W7*100</f>
        <v>0</v>
      </c>
      <c r="Y7" s="20">
        <f t="shared" si="0"/>
        <v>74135.095000000001</v>
      </c>
    </row>
    <row r="8" spans="1:25" ht="35.25" customHeight="1" x14ac:dyDescent="0.25">
      <c r="A8" s="12">
        <v>1967020280</v>
      </c>
      <c r="B8" s="636" t="s">
        <v>73</v>
      </c>
      <c r="C8" s="639">
        <v>18625</v>
      </c>
      <c r="D8" s="640">
        <f t="shared" si="1"/>
        <v>18112.8125</v>
      </c>
      <c r="E8" s="639"/>
      <c r="F8" s="639">
        <f t="shared" si="2"/>
        <v>0</v>
      </c>
      <c r="G8" s="639">
        <v>30</v>
      </c>
      <c r="H8" s="639">
        <f t="shared" si="3"/>
        <v>846</v>
      </c>
      <c r="I8" s="639">
        <v>870</v>
      </c>
      <c r="J8" s="639">
        <f t="shared" si="4"/>
        <v>16095</v>
      </c>
      <c r="K8" s="639"/>
      <c r="L8" s="639">
        <f t="shared" si="5"/>
        <v>0</v>
      </c>
      <c r="M8" s="639"/>
      <c r="N8" s="640">
        <f t="shared" si="6"/>
        <v>0</v>
      </c>
      <c r="O8" s="639"/>
      <c r="P8" s="640">
        <f t="shared" si="7"/>
        <v>0</v>
      </c>
      <c r="Q8" s="640"/>
      <c r="R8" s="640">
        <f t="shared" si="8"/>
        <v>0</v>
      </c>
      <c r="S8" s="639"/>
      <c r="T8" s="639">
        <f t="shared" si="9"/>
        <v>0</v>
      </c>
      <c r="U8" s="639"/>
      <c r="V8" s="639">
        <f t="shared" si="10"/>
        <v>0</v>
      </c>
      <c r="W8" s="639"/>
      <c r="X8" s="19">
        <f t="shared" si="11"/>
        <v>0</v>
      </c>
      <c r="Y8" s="20">
        <f t="shared" si="0"/>
        <v>35053.8125</v>
      </c>
    </row>
    <row r="9" spans="1:25" ht="38.25" customHeight="1" x14ac:dyDescent="0.25">
      <c r="A9" s="12">
        <v>1984225580</v>
      </c>
      <c r="B9" s="636" t="s">
        <v>75</v>
      </c>
      <c r="C9" s="639">
        <v>39062</v>
      </c>
      <c r="D9" s="640">
        <f t="shared" si="1"/>
        <v>37987.794999999998</v>
      </c>
      <c r="E9" s="639"/>
      <c r="F9" s="639">
        <f t="shared" si="2"/>
        <v>0</v>
      </c>
      <c r="G9" s="639"/>
      <c r="H9" s="639">
        <f t="shared" si="3"/>
        <v>0</v>
      </c>
      <c r="I9" s="639">
        <v>1340</v>
      </c>
      <c r="J9" s="639">
        <f t="shared" si="4"/>
        <v>24790</v>
      </c>
      <c r="K9" s="639"/>
      <c r="L9" s="639">
        <f t="shared" si="5"/>
        <v>0</v>
      </c>
      <c r="M9" s="639"/>
      <c r="N9" s="640">
        <f t="shared" si="6"/>
        <v>0</v>
      </c>
      <c r="O9" s="639"/>
      <c r="P9" s="640">
        <f t="shared" si="7"/>
        <v>0</v>
      </c>
      <c r="Q9" s="640"/>
      <c r="R9" s="640">
        <f t="shared" si="8"/>
        <v>0</v>
      </c>
      <c r="S9" s="639"/>
      <c r="T9" s="639">
        <f t="shared" si="9"/>
        <v>0</v>
      </c>
      <c r="U9" s="639">
        <v>15</v>
      </c>
      <c r="V9" s="639">
        <f t="shared" si="10"/>
        <v>4980</v>
      </c>
      <c r="W9" s="639"/>
      <c r="X9" s="19">
        <f t="shared" si="11"/>
        <v>0</v>
      </c>
      <c r="Y9" s="20">
        <f t="shared" si="0"/>
        <v>67757.794999999998</v>
      </c>
    </row>
    <row r="10" spans="1:25" ht="35.25" customHeight="1" x14ac:dyDescent="0.25">
      <c r="A10" s="12">
        <v>1409935199</v>
      </c>
      <c r="C10" s="639"/>
      <c r="D10" s="640">
        <f t="shared" si="1"/>
        <v>0</v>
      </c>
      <c r="E10" s="639"/>
      <c r="F10" s="639">
        <f t="shared" si="2"/>
        <v>0</v>
      </c>
      <c r="G10" s="639"/>
      <c r="H10" s="639">
        <f t="shared" si="3"/>
        <v>0</v>
      </c>
      <c r="I10" s="639">
        <v>200</v>
      </c>
      <c r="J10" s="639">
        <f t="shared" si="4"/>
        <v>3700</v>
      </c>
      <c r="K10" s="639"/>
      <c r="L10" s="639">
        <f t="shared" si="5"/>
        <v>0</v>
      </c>
      <c r="M10" s="639"/>
      <c r="N10" s="640">
        <f t="shared" si="6"/>
        <v>0</v>
      </c>
      <c r="O10" s="639"/>
      <c r="P10" s="640">
        <f t="shared" si="7"/>
        <v>0</v>
      </c>
      <c r="Q10" s="640"/>
      <c r="R10" s="640">
        <f t="shared" si="8"/>
        <v>0</v>
      </c>
      <c r="S10" s="639"/>
      <c r="T10" s="639">
        <f t="shared" si="9"/>
        <v>0</v>
      </c>
      <c r="U10" s="639"/>
      <c r="V10" s="639">
        <f t="shared" si="10"/>
        <v>0</v>
      </c>
      <c r="W10" s="639"/>
      <c r="X10" s="19">
        <f t="shared" si="11"/>
        <v>0</v>
      </c>
      <c r="Y10" s="20">
        <f t="shared" si="0"/>
        <v>3700</v>
      </c>
    </row>
    <row r="11" spans="1:25" ht="37.5" customHeight="1" x14ac:dyDescent="0.25">
      <c r="A11" s="12"/>
      <c r="B11" s="638"/>
      <c r="C11" s="639"/>
      <c r="D11" s="22">
        <f t="shared" si="1"/>
        <v>0</v>
      </c>
      <c r="E11" s="639"/>
      <c r="F11" s="639">
        <f t="shared" si="2"/>
        <v>0</v>
      </c>
      <c r="G11" s="639"/>
      <c r="H11" s="639">
        <f t="shared" si="3"/>
        <v>0</v>
      </c>
      <c r="I11" s="639"/>
      <c r="J11" s="639">
        <f t="shared" si="4"/>
        <v>0</v>
      </c>
      <c r="K11" s="639"/>
      <c r="L11" s="639">
        <f t="shared" si="5"/>
        <v>0</v>
      </c>
      <c r="M11" s="639"/>
      <c r="N11" s="640">
        <f t="shared" si="6"/>
        <v>0</v>
      </c>
      <c r="O11" s="639"/>
      <c r="P11" s="640">
        <f t="shared" si="7"/>
        <v>0</v>
      </c>
      <c r="Q11" s="640"/>
      <c r="R11" s="640">
        <f t="shared" si="8"/>
        <v>0</v>
      </c>
      <c r="S11" s="639">
        <v>340</v>
      </c>
      <c r="T11" s="639">
        <f t="shared" si="9"/>
        <v>81940</v>
      </c>
      <c r="U11" s="639"/>
      <c r="V11" s="639">
        <f t="shared" si="10"/>
        <v>0</v>
      </c>
      <c r="W11" s="639"/>
      <c r="X11" s="19">
        <f t="shared" si="11"/>
        <v>0</v>
      </c>
      <c r="Y11" s="20">
        <f t="shared" si="0"/>
        <v>81940</v>
      </c>
    </row>
    <row r="12" spans="1:25" ht="29.25" customHeight="1" x14ac:dyDescent="0.25">
      <c r="A12" s="2235" t="s">
        <v>31</v>
      </c>
      <c r="B12" s="2235"/>
      <c r="C12" s="18">
        <f t="shared" ref="C12:X12" si="12">SUM(C6:C11)</f>
        <v>110579</v>
      </c>
      <c r="D12" s="18">
        <f t="shared" si="12"/>
        <v>107538.0775</v>
      </c>
      <c r="E12" s="18">
        <f t="shared" si="12"/>
        <v>0</v>
      </c>
      <c r="F12" s="18">
        <f t="shared" si="12"/>
        <v>0</v>
      </c>
      <c r="G12" s="18">
        <f t="shared" si="12"/>
        <v>600</v>
      </c>
      <c r="H12" s="18">
        <f t="shared" si="12"/>
        <v>16920</v>
      </c>
      <c r="I12" s="18">
        <f t="shared" si="12"/>
        <v>4210</v>
      </c>
      <c r="J12" s="18">
        <f t="shared" si="12"/>
        <v>77885</v>
      </c>
      <c r="K12" s="18">
        <f t="shared" si="12"/>
        <v>0</v>
      </c>
      <c r="L12" s="18">
        <f t="shared" si="12"/>
        <v>0</v>
      </c>
      <c r="M12" s="18">
        <f t="shared" si="12"/>
        <v>500</v>
      </c>
      <c r="N12" s="23">
        <f t="shared" si="12"/>
        <v>4875</v>
      </c>
      <c r="O12" s="18">
        <f t="shared" si="12"/>
        <v>0</v>
      </c>
      <c r="P12" s="23">
        <f t="shared" si="12"/>
        <v>0</v>
      </c>
      <c r="Q12" s="23">
        <f t="shared" si="12"/>
        <v>0</v>
      </c>
      <c r="R12" s="23">
        <f>SUM(R6:R11)</f>
        <v>0</v>
      </c>
      <c r="S12" s="18">
        <f t="shared" si="12"/>
        <v>340</v>
      </c>
      <c r="T12" s="18">
        <f t="shared" si="12"/>
        <v>81940</v>
      </c>
      <c r="U12" s="18">
        <f t="shared" si="12"/>
        <v>65</v>
      </c>
      <c r="V12" s="18">
        <f t="shared" si="12"/>
        <v>21580</v>
      </c>
      <c r="W12" s="18">
        <f t="shared" si="12"/>
        <v>1</v>
      </c>
      <c r="X12" s="18">
        <f t="shared" si="12"/>
        <v>100</v>
      </c>
      <c r="Y12" s="20">
        <f t="shared" si="0"/>
        <v>310838.07750000001</v>
      </c>
    </row>
    <row r="14" spans="1:25" ht="41.25" customHeight="1" x14ac:dyDescent="0.25">
      <c r="A14" s="30" t="s">
        <v>32</v>
      </c>
      <c r="B14" s="2236" t="s">
        <v>27</v>
      </c>
      <c r="C14" s="2236"/>
      <c r="D14" s="30" t="s">
        <v>333</v>
      </c>
      <c r="E14" s="30" t="s">
        <v>65</v>
      </c>
      <c r="F14" s="30" t="s">
        <v>34</v>
      </c>
      <c r="G14" s="30" t="s">
        <v>13</v>
      </c>
      <c r="H14" s="469" t="s">
        <v>173</v>
      </c>
      <c r="I14" s="30" t="s">
        <v>17</v>
      </c>
      <c r="J14" s="644" t="s">
        <v>174</v>
      </c>
      <c r="K14" s="30" t="s">
        <v>36</v>
      </c>
      <c r="L14" s="30" t="s">
        <v>175</v>
      </c>
      <c r="M14" s="30" t="s">
        <v>69</v>
      </c>
      <c r="N14" s="30" t="s">
        <v>70</v>
      </c>
      <c r="O14" s="644" t="s">
        <v>114</v>
      </c>
      <c r="P14" s="644" t="s">
        <v>368</v>
      </c>
      <c r="Q14" s="2300"/>
      <c r="R14" s="2301"/>
      <c r="S14" s="644"/>
      <c r="T14" s="2235" t="s">
        <v>46</v>
      </c>
      <c r="U14" s="636" t="s">
        <v>176</v>
      </c>
      <c r="V14" s="2260">
        <v>220989</v>
      </c>
      <c r="W14" s="2268"/>
      <c r="X14" s="2261"/>
    </row>
    <row r="15" spans="1:25" ht="22.5" customHeight="1" x14ac:dyDescent="0.25">
      <c r="A15" s="100" t="s">
        <v>38</v>
      </c>
      <c r="B15" s="2260">
        <v>404751</v>
      </c>
      <c r="C15" s="2261"/>
      <c r="D15" s="641">
        <v>1130</v>
      </c>
      <c r="E15" s="641">
        <v>3140</v>
      </c>
      <c r="F15" s="641">
        <v>10000</v>
      </c>
      <c r="G15" s="641">
        <v>0</v>
      </c>
      <c r="H15" s="641">
        <v>384</v>
      </c>
      <c r="I15" s="641">
        <v>150</v>
      </c>
      <c r="J15" s="641">
        <v>69</v>
      </c>
      <c r="K15" s="641">
        <v>82</v>
      </c>
      <c r="L15" s="641">
        <v>86</v>
      </c>
      <c r="M15" s="641">
        <v>500</v>
      </c>
      <c r="N15" s="641">
        <v>100</v>
      </c>
      <c r="O15" s="641">
        <v>0</v>
      </c>
      <c r="P15" s="641">
        <v>804</v>
      </c>
      <c r="Q15" s="2260"/>
      <c r="R15" s="2261"/>
      <c r="S15" s="636"/>
      <c r="T15" s="2235"/>
      <c r="U15" s="636" t="s">
        <v>64</v>
      </c>
      <c r="V15" s="2262">
        <v>7898</v>
      </c>
      <c r="W15" s="2262"/>
      <c r="X15" s="2262"/>
    </row>
    <row r="16" spans="1:25" ht="24.75" customHeight="1" x14ac:dyDescent="0.25">
      <c r="A16" s="100" t="s">
        <v>39</v>
      </c>
      <c r="B16" s="2260"/>
      <c r="C16" s="2261"/>
      <c r="D16" s="641"/>
      <c r="E16" s="641"/>
      <c r="F16" s="641"/>
      <c r="G16" s="641"/>
      <c r="H16" s="641"/>
      <c r="I16" s="641"/>
      <c r="J16" s="641"/>
      <c r="K16" s="641"/>
      <c r="L16" s="641"/>
      <c r="M16" s="641"/>
      <c r="N16" s="641"/>
      <c r="O16" s="641"/>
      <c r="P16" s="641"/>
      <c r="Q16" s="2225"/>
      <c r="R16" s="2225"/>
      <c r="S16" s="641"/>
      <c r="T16" s="2254" t="s">
        <v>55</v>
      </c>
      <c r="U16" s="2254"/>
      <c r="V16" s="2267">
        <f>Y12</f>
        <v>310838.07750000001</v>
      </c>
      <c r="W16" s="2267"/>
      <c r="X16" s="2262"/>
    </row>
    <row r="17" spans="1:25" ht="28.5" customHeight="1" x14ac:dyDescent="0.25">
      <c r="A17" s="101" t="s">
        <v>44</v>
      </c>
      <c r="B17" s="2260"/>
      <c r="C17" s="2261"/>
      <c r="D17" s="641"/>
      <c r="E17" s="641"/>
      <c r="F17" s="641"/>
      <c r="G17" s="641"/>
      <c r="H17" s="641"/>
      <c r="I17" s="641"/>
      <c r="J17" s="641"/>
      <c r="K17" s="641"/>
      <c r="L17" s="641"/>
      <c r="M17" s="641"/>
      <c r="N17" s="641"/>
      <c r="O17" s="641"/>
      <c r="P17" s="641"/>
      <c r="Q17" s="2225"/>
      <c r="R17" s="2225"/>
      <c r="S17" s="638"/>
      <c r="T17" s="2294" t="s">
        <v>362</v>
      </c>
      <c r="U17" s="2295"/>
      <c r="V17" s="2296"/>
      <c r="W17" s="2296"/>
      <c r="X17" s="2296"/>
    </row>
    <row r="18" spans="1:25" ht="27" customHeight="1" x14ac:dyDescent="0.25">
      <c r="A18" s="100" t="s">
        <v>40</v>
      </c>
      <c r="B18" s="2264">
        <f>C12</f>
        <v>110579</v>
      </c>
      <c r="C18" s="2261"/>
      <c r="D18" s="642">
        <f>E12</f>
        <v>0</v>
      </c>
      <c r="E18" s="642">
        <f>G12</f>
        <v>600</v>
      </c>
      <c r="F18" s="642">
        <f>I12</f>
        <v>4210</v>
      </c>
      <c r="G18" s="642">
        <f>K12</f>
        <v>0</v>
      </c>
      <c r="H18" s="641"/>
      <c r="I18" s="642">
        <f>U12</f>
        <v>65</v>
      </c>
      <c r="J18" s="641">
        <v>47</v>
      </c>
      <c r="K18" s="642">
        <f>W12</f>
        <v>1</v>
      </c>
      <c r="L18" s="641"/>
      <c r="M18" s="642">
        <f>M12</f>
        <v>500</v>
      </c>
      <c r="N18" s="642">
        <f>O12</f>
        <v>0</v>
      </c>
      <c r="O18" s="643">
        <f>Q12</f>
        <v>0</v>
      </c>
      <c r="P18" s="641">
        <v>293</v>
      </c>
      <c r="Q18" s="2262"/>
      <c r="R18" s="2262"/>
      <c r="S18" s="636"/>
      <c r="T18" s="2254" t="s">
        <v>57</v>
      </c>
      <c r="U18" s="2254"/>
      <c r="V18" s="2262">
        <v>88012</v>
      </c>
      <c r="W18" s="2262"/>
      <c r="X18" s="2262"/>
      <c r="Y18" s="2269"/>
    </row>
    <row r="19" spans="1:25" ht="25.5" customHeight="1" x14ac:dyDescent="0.25">
      <c r="A19" s="100" t="s">
        <v>41</v>
      </c>
      <c r="B19" s="2260">
        <f>B15+B16+B17-B18</f>
        <v>294172</v>
      </c>
      <c r="C19" s="2261"/>
      <c r="D19" s="641">
        <f>D15+D16+D17-D18</f>
        <v>1130</v>
      </c>
      <c r="E19" s="641">
        <f t="shared" ref="E19:N19" si="13">E15+E16+E17-E18</f>
        <v>2540</v>
      </c>
      <c r="F19" s="641">
        <f t="shared" si="13"/>
        <v>5790</v>
      </c>
      <c r="G19" s="641">
        <f t="shared" si="13"/>
        <v>0</v>
      </c>
      <c r="H19" s="641">
        <f t="shared" si="13"/>
        <v>384</v>
      </c>
      <c r="I19" s="641">
        <f t="shared" si="13"/>
        <v>85</v>
      </c>
      <c r="J19" s="641">
        <f t="shared" si="13"/>
        <v>22</v>
      </c>
      <c r="K19" s="641">
        <f t="shared" si="13"/>
        <v>81</v>
      </c>
      <c r="L19" s="641">
        <f t="shared" si="13"/>
        <v>86</v>
      </c>
      <c r="M19" s="641">
        <f t="shared" si="13"/>
        <v>0</v>
      </c>
      <c r="N19" s="641">
        <f t="shared" si="13"/>
        <v>100</v>
      </c>
      <c r="O19" s="641">
        <f>O15+O16+O17-O18</f>
        <v>0</v>
      </c>
      <c r="P19" s="641">
        <f>P15+P16+P17-P18</f>
        <v>511</v>
      </c>
      <c r="Q19" s="2260">
        <f t="shared" ref="Q19" si="14">Q15+Q16+Q17-Q18</f>
        <v>0</v>
      </c>
      <c r="R19" s="2261"/>
      <c r="S19" s="636">
        <f>S15+S16-S17-S18</f>
        <v>0</v>
      </c>
      <c r="T19" s="2256" t="s">
        <v>48</v>
      </c>
      <c r="U19" s="49" t="s">
        <v>58</v>
      </c>
      <c r="V19" s="2262">
        <v>400000</v>
      </c>
      <c r="W19" s="2262"/>
      <c r="X19" s="2262"/>
      <c r="Y19" s="2269"/>
    </row>
    <row r="20" spans="1:25" ht="23.25" customHeight="1" x14ac:dyDescent="0.25">
      <c r="A20" s="289" t="s">
        <v>187</v>
      </c>
      <c r="B20" s="2286">
        <f>B19*0.9625</f>
        <v>283140.55</v>
      </c>
      <c r="C20" s="2287"/>
      <c r="D20" s="290">
        <f>D19*66.41</f>
        <v>75043.3</v>
      </c>
      <c r="E20" s="290">
        <f>28.2*E19</f>
        <v>71628</v>
      </c>
      <c r="F20" s="290">
        <f>18.31*F19</f>
        <v>106014.9</v>
      </c>
      <c r="G20" s="290">
        <f>19.3*G19</f>
        <v>0</v>
      </c>
      <c r="H20" s="290">
        <f>241*H19</f>
        <v>92544</v>
      </c>
      <c r="I20" s="290">
        <f>323*I19</f>
        <v>27455</v>
      </c>
      <c r="J20" s="290">
        <f>241*J19</f>
        <v>5302</v>
      </c>
      <c r="K20" s="290">
        <f>K19*100</f>
        <v>8100</v>
      </c>
      <c r="L20" s="290">
        <f>241*L19</f>
        <v>20726</v>
      </c>
      <c r="M20" s="290">
        <f>9.65*M19</f>
        <v>0</v>
      </c>
      <c r="N20" s="290">
        <f>N19*48.2</f>
        <v>4820</v>
      </c>
      <c r="O20" s="290">
        <f>241*O19</f>
        <v>0</v>
      </c>
      <c r="P20" s="290">
        <f>241*P19</f>
        <v>123151</v>
      </c>
      <c r="Q20" s="2286">
        <f>241*Q19</f>
        <v>0</v>
      </c>
      <c r="R20" s="2287"/>
      <c r="S20" s="290">
        <f>241*S19</f>
        <v>0</v>
      </c>
      <c r="T20" s="2257"/>
      <c r="U20" s="49" t="s">
        <v>59</v>
      </c>
      <c r="V20" s="2262"/>
      <c r="W20" s="2262"/>
      <c r="X20" s="2262"/>
      <c r="Y20" s="2269"/>
    </row>
    <row r="21" spans="1:25" ht="32.25" customHeight="1" x14ac:dyDescent="0.25">
      <c r="A21" s="291" t="s">
        <v>186</v>
      </c>
      <c r="B21" s="2293">
        <f>SUM(B20:S20)</f>
        <v>817924.75</v>
      </c>
      <c r="C21" s="2293"/>
      <c r="O21" s="645"/>
      <c r="P21" s="645"/>
      <c r="Q21" s="645"/>
      <c r="R21" s="645"/>
      <c r="T21" s="2294" t="s">
        <v>366</v>
      </c>
      <c r="U21" s="2295"/>
      <c r="V21" s="2297">
        <v>39000</v>
      </c>
      <c r="W21" s="2298"/>
      <c r="X21" s="2299"/>
      <c r="Y21" s="2269"/>
    </row>
    <row r="22" spans="1:25" ht="35.25" customHeight="1" x14ac:dyDescent="0.25">
      <c r="A22" s="15"/>
      <c r="B22" s="2288" t="s">
        <v>49</v>
      </c>
      <c r="C22" s="2291">
        <v>915974</v>
      </c>
      <c r="D22" s="2291">
        <v>400000</v>
      </c>
      <c r="E22" s="2291"/>
      <c r="F22" s="2291">
        <f>C22-D22+E22</f>
        <v>515974</v>
      </c>
      <c r="G22" s="645"/>
      <c r="Q22" s="645"/>
      <c r="R22" s="645"/>
      <c r="T22" s="2251" t="s">
        <v>83</v>
      </c>
      <c r="U22" s="50" t="s">
        <v>60</v>
      </c>
      <c r="V22" s="2262">
        <v>402690</v>
      </c>
      <c r="W22" s="2262"/>
      <c r="X22" s="2262"/>
      <c r="Y22" s="2269"/>
    </row>
    <row r="23" spans="1:25" ht="39.75" customHeight="1" x14ac:dyDescent="0.25">
      <c r="A23" s="645"/>
      <c r="B23" s="2289"/>
      <c r="C23" s="2292"/>
      <c r="D23" s="2292"/>
      <c r="E23" s="2292"/>
      <c r="F23" s="2292"/>
      <c r="G23" s="645"/>
      <c r="Q23" s="645"/>
      <c r="R23" s="645"/>
      <c r="T23" s="2252"/>
      <c r="U23" s="50" t="s">
        <v>61</v>
      </c>
      <c r="V23" s="2262">
        <v>400000</v>
      </c>
      <c r="W23" s="2262"/>
      <c r="X23" s="2262"/>
      <c r="Y23" s="2269"/>
    </row>
    <row r="24" spans="1:25" ht="48" customHeight="1" x14ac:dyDescent="0.25">
      <c r="A24" s="645"/>
      <c r="B24" s="2290"/>
      <c r="C24" s="290" t="s">
        <v>46</v>
      </c>
      <c r="D24" s="290" t="s">
        <v>50</v>
      </c>
      <c r="E24" s="290" t="s">
        <v>51</v>
      </c>
      <c r="F24" s="290" t="s">
        <v>52</v>
      </c>
      <c r="G24" s="645"/>
      <c r="Q24" s="645"/>
      <c r="R24" s="645"/>
      <c r="T24" s="2235" t="s">
        <v>47</v>
      </c>
      <c r="U24" s="51" t="s">
        <v>62</v>
      </c>
      <c r="V24" s="2263">
        <f>V14+V16+V17-V18-V19-V20-V22+V23-V21</f>
        <v>2125.077500000014</v>
      </c>
      <c r="W24" s="2263"/>
      <c r="X24" s="2263"/>
      <c r="Y24" s="2269"/>
    </row>
    <row r="25" spans="1:25" ht="40.5" customHeight="1" x14ac:dyDescent="0.25">
      <c r="T25" s="2235"/>
      <c r="U25" s="51" t="s">
        <v>63</v>
      </c>
      <c r="V25" s="2262">
        <f>V15+V22-V23</f>
        <v>10588</v>
      </c>
      <c r="W25" s="2262"/>
      <c r="X25" s="2262"/>
    </row>
    <row r="26" spans="1:25" ht="36" customHeight="1" x14ac:dyDescent="0.25">
      <c r="K26" s="314"/>
    </row>
    <row r="28" spans="1:25" x14ac:dyDescent="0.25">
      <c r="J28" s="14" t="s">
        <v>139</v>
      </c>
    </row>
    <row r="32" spans="1:25" x14ac:dyDescent="0.25">
      <c r="I32" s="2280"/>
      <c r="J32" s="2280"/>
      <c r="K32" s="2280"/>
      <c r="L32" s="2280"/>
    </row>
    <row r="33" spans="9:12" x14ac:dyDescent="0.25">
      <c r="I33" s="645"/>
      <c r="J33" s="645"/>
      <c r="K33" s="2280"/>
      <c r="L33" s="2280"/>
    </row>
  </sheetData>
  <mergeCells count="62">
    <mergeCell ref="I32:J32"/>
    <mergeCell ref="K32:L32"/>
    <mergeCell ref="K33:L33"/>
    <mergeCell ref="T22:T23"/>
    <mergeCell ref="V22:X22"/>
    <mergeCell ref="V23:X23"/>
    <mergeCell ref="T24:T25"/>
    <mergeCell ref="V24:X24"/>
    <mergeCell ref="V25:X25"/>
    <mergeCell ref="Y18:Y24"/>
    <mergeCell ref="B19:C19"/>
    <mergeCell ref="Q19:R19"/>
    <mergeCell ref="T19:T20"/>
    <mergeCell ref="V19:X19"/>
    <mergeCell ref="B20:C20"/>
    <mergeCell ref="B22:B24"/>
    <mergeCell ref="C22:C23"/>
    <mergeCell ref="D22:D23"/>
    <mergeCell ref="E22:E23"/>
    <mergeCell ref="F22:F23"/>
    <mergeCell ref="Q20:R20"/>
    <mergeCell ref="V20:X20"/>
    <mergeCell ref="B21:C21"/>
    <mergeCell ref="T21:U21"/>
    <mergeCell ref="V21:X21"/>
    <mergeCell ref="B17:C17"/>
    <mergeCell ref="Q17:R17"/>
    <mergeCell ref="T17:U17"/>
    <mergeCell ref="V17:X17"/>
    <mergeCell ref="B18:C18"/>
    <mergeCell ref="Q18:R18"/>
    <mergeCell ref="T18:U18"/>
    <mergeCell ref="V18:X18"/>
    <mergeCell ref="W4:X4"/>
    <mergeCell ref="B16:C16"/>
    <mergeCell ref="Q16:R16"/>
    <mergeCell ref="T16:U16"/>
    <mergeCell ref="V16:X16"/>
    <mergeCell ref="A12:B12"/>
    <mergeCell ref="B14:C14"/>
    <mergeCell ref="Q14:R14"/>
    <mergeCell ref="T14:T15"/>
    <mergeCell ref="V14:X14"/>
    <mergeCell ref="B15:C15"/>
    <mergeCell ref="Q15:R15"/>
    <mergeCell ref="V15:X15"/>
    <mergeCell ref="A1:Y1"/>
    <mergeCell ref="A2:Y2"/>
    <mergeCell ref="T3:Y3"/>
    <mergeCell ref="A4:A5"/>
    <mergeCell ref="B4:B5"/>
    <mergeCell ref="C4:D4"/>
    <mergeCell ref="E4:F4"/>
    <mergeCell ref="G4:H4"/>
    <mergeCell ref="I4:J4"/>
    <mergeCell ref="K4:L4"/>
    <mergeCell ref="Y4:Y5"/>
    <mergeCell ref="M4:N4"/>
    <mergeCell ref="O4:P4"/>
    <mergeCell ref="Q4:R4"/>
    <mergeCell ref="S4:T4"/>
    <mergeCell ref="U4:V4"/>
  </mergeCells>
  <pageMargins left="0.15748031496063" right="0.15748031496063" top="0" bottom="0" header="0" footer="0"/>
  <pageSetup paperSize="9" scale="47" orientation="landscape" r:id="rId1"/>
</worksheet>
</file>

<file path=xl/worksheets/sheet15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7F4E021-6D3F-485D-8D24-C9177FA0825A}">
  <sheetPr>
    <pageSetUpPr fitToPage="1"/>
  </sheetPr>
  <dimension ref="A1:Y33"/>
  <sheetViews>
    <sheetView topLeftCell="A9" zoomScale="70" zoomScaleNormal="70" zoomScaleSheetLayoutView="100" workbookViewId="0">
      <selection activeCell="M23" sqref="M23"/>
    </sheetView>
  </sheetViews>
  <sheetFormatPr defaultColWidth="9.140625" defaultRowHeight="15" x14ac:dyDescent="0.25"/>
  <cols>
    <col min="1" max="1" width="18.28515625" style="14" customWidth="1"/>
    <col min="2" max="2" width="10.7109375" style="14" customWidth="1"/>
    <col min="3" max="3" width="12.28515625" style="14" customWidth="1"/>
    <col min="4" max="4" width="13.140625" style="14" bestFit="1" customWidth="1"/>
    <col min="5" max="5" width="12" style="14" customWidth="1"/>
    <col min="6" max="6" width="12.5703125" style="14" bestFit="1" customWidth="1"/>
    <col min="7" max="7" width="9.28515625" style="14" bestFit="1" customWidth="1"/>
    <col min="8" max="8" width="10.140625" style="14" bestFit="1" customWidth="1"/>
    <col min="9" max="9" width="10.5703125" style="14" bestFit="1" customWidth="1"/>
    <col min="10" max="10" width="10.5703125" style="14" customWidth="1"/>
    <col min="11" max="11" width="10.28515625" style="14" bestFit="1" customWidth="1"/>
    <col min="12" max="12" width="10.42578125" style="14" bestFit="1" customWidth="1"/>
    <col min="13" max="13" width="9.85546875" style="14" bestFit="1" customWidth="1"/>
    <col min="14" max="14" width="10.140625" style="14" bestFit="1" customWidth="1"/>
    <col min="15" max="15" width="9" style="14" customWidth="1"/>
    <col min="16" max="16" width="12.85546875" style="14" bestFit="1" customWidth="1"/>
    <col min="17" max="18" width="9.42578125" style="14" customWidth="1"/>
    <col min="19" max="19" width="13.7109375" style="14" customWidth="1"/>
    <col min="20" max="20" width="12.140625" style="14" customWidth="1"/>
    <col min="21" max="21" width="19.5703125" style="14" bestFit="1" customWidth="1"/>
    <col min="22" max="22" width="9.85546875" style="14" customWidth="1"/>
    <col min="23" max="23" width="10.140625" style="14" bestFit="1" customWidth="1"/>
    <col min="24" max="24" width="10.28515625" style="14" customWidth="1"/>
    <col min="25" max="25" width="28" style="14" customWidth="1"/>
    <col min="26" max="16384" width="9.140625" style="14"/>
  </cols>
  <sheetData>
    <row r="1" spans="1:25" ht="46.15" customHeight="1" x14ac:dyDescent="0.25">
      <c r="A1" s="2240" t="s">
        <v>148</v>
      </c>
      <c r="B1" s="2240"/>
      <c r="C1" s="2240"/>
      <c r="D1" s="2240"/>
      <c r="E1" s="2240"/>
      <c r="F1" s="2240"/>
      <c r="G1" s="2240"/>
      <c r="H1" s="2240"/>
      <c r="I1" s="2240"/>
      <c r="J1" s="2240"/>
      <c r="K1" s="2240"/>
      <c r="L1" s="2240"/>
      <c r="M1" s="2240"/>
      <c r="N1" s="2240"/>
      <c r="O1" s="2240"/>
      <c r="P1" s="2240"/>
      <c r="Q1" s="2240"/>
      <c r="R1" s="2240"/>
      <c r="S1" s="2240"/>
      <c r="T1" s="2240"/>
      <c r="U1" s="2240"/>
      <c r="V1" s="2240"/>
      <c r="W1" s="2240"/>
      <c r="X1" s="2240"/>
      <c r="Y1" s="2240"/>
    </row>
    <row r="2" spans="1:25" ht="21.6" customHeight="1" x14ac:dyDescent="0.25">
      <c r="A2" s="2241" t="s">
        <v>77</v>
      </c>
      <c r="B2" s="2241"/>
      <c r="C2" s="2241"/>
      <c r="D2" s="2241"/>
      <c r="E2" s="2241"/>
      <c r="F2" s="2241"/>
      <c r="G2" s="2241"/>
      <c r="H2" s="2241"/>
      <c r="I2" s="2241"/>
      <c r="J2" s="2241"/>
      <c r="K2" s="2241"/>
      <c r="L2" s="2241"/>
      <c r="M2" s="2241"/>
      <c r="N2" s="2241"/>
      <c r="O2" s="2241"/>
      <c r="P2" s="2241"/>
      <c r="Q2" s="2241"/>
      <c r="R2" s="2241"/>
      <c r="S2" s="2241"/>
      <c r="T2" s="2241"/>
      <c r="U2" s="2241"/>
      <c r="V2" s="2241"/>
      <c r="W2" s="2241"/>
      <c r="X2" s="2241"/>
      <c r="Y2" s="2241"/>
    </row>
    <row r="3" spans="1:25" ht="21" customHeight="1" x14ac:dyDescent="0.25">
      <c r="A3" s="635"/>
      <c r="B3" s="635"/>
      <c r="C3" s="635"/>
      <c r="D3" s="635"/>
      <c r="E3" s="635"/>
      <c r="F3" s="635"/>
      <c r="G3" s="635"/>
      <c r="H3" s="635"/>
      <c r="I3" s="635"/>
      <c r="J3" s="635"/>
      <c r="K3" s="635"/>
      <c r="L3" s="635"/>
      <c r="M3" s="635"/>
      <c r="N3" s="635"/>
      <c r="O3" s="635"/>
      <c r="P3" s="635"/>
      <c r="Q3" s="635"/>
      <c r="R3" s="635"/>
      <c r="S3" s="635"/>
      <c r="T3" s="2242" t="s">
        <v>374</v>
      </c>
      <c r="U3" s="2242"/>
      <c r="V3" s="2242"/>
      <c r="W3" s="2242"/>
      <c r="X3" s="2242"/>
      <c r="Y3" s="2242"/>
    </row>
    <row r="4" spans="1:25" s="635" customFormat="1" ht="18" customHeight="1" x14ac:dyDescent="0.25">
      <c r="A4" s="2243" t="s">
        <v>25</v>
      </c>
      <c r="B4" s="2243" t="s">
        <v>26</v>
      </c>
      <c r="C4" s="2244" t="s">
        <v>27</v>
      </c>
      <c r="D4" s="2244"/>
      <c r="E4" s="2244" t="s">
        <v>342</v>
      </c>
      <c r="F4" s="2244"/>
      <c r="G4" s="2244" t="s">
        <v>65</v>
      </c>
      <c r="H4" s="2244"/>
      <c r="I4" s="2244" t="s">
        <v>29</v>
      </c>
      <c r="J4" s="2244"/>
      <c r="K4" s="2245" t="s">
        <v>13</v>
      </c>
      <c r="L4" s="2246"/>
      <c r="M4" s="2245" t="s">
        <v>67</v>
      </c>
      <c r="N4" s="2246"/>
      <c r="O4" s="2245" t="s">
        <v>68</v>
      </c>
      <c r="P4" s="2246"/>
      <c r="Q4" s="2245" t="s">
        <v>114</v>
      </c>
      <c r="R4" s="2246"/>
      <c r="S4" s="2244" t="s">
        <v>35</v>
      </c>
      <c r="T4" s="2244"/>
      <c r="U4" s="2245" t="s">
        <v>17</v>
      </c>
      <c r="V4" s="2246"/>
      <c r="W4" s="2247" t="s">
        <v>36</v>
      </c>
      <c r="X4" s="2248"/>
      <c r="Y4" s="2238" t="s">
        <v>30</v>
      </c>
    </row>
    <row r="5" spans="1:25" s="635" customFormat="1" ht="25.5" customHeight="1" x14ac:dyDescent="0.25">
      <c r="A5" s="2243"/>
      <c r="B5" s="2243"/>
      <c r="C5" s="637" t="s">
        <v>42</v>
      </c>
      <c r="D5" s="637" t="s">
        <v>43</v>
      </c>
      <c r="E5" s="637" t="s">
        <v>42</v>
      </c>
      <c r="F5" s="637" t="s">
        <v>43</v>
      </c>
      <c r="G5" s="637" t="s">
        <v>42</v>
      </c>
      <c r="H5" s="637" t="s">
        <v>43</v>
      </c>
      <c r="I5" s="637" t="s">
        <v>42</v>
      </c>
      <c r="J5" s="637" t="s">
        <v>43</v>
      </c>
      <c r="K5" s="637" t="s">
        <v>42</v>
      </c>
      <c r="L5" s="637" t="s">
        <v>43</v>
      </c>
      <c r="M5" s="637" t="s">
        <v>42</v>
      </c>
      <c r="N5" s="637" t="s">
        <v>43</v>
      </c>
      <c r="O5" s="637" t="s">
        <v>42</v>
      </c>
      <c r="P5" s="637" t="s">
        <v>43</v>
      </c>
      <c r="Q5" s="637" t="s">
        <v>42</v>
      </c>
      <c r="R5" s="637" t="s">
        <v>43</v>
      </c>
      <c r="S5" s="33" t="s">
        <v>42</v>
      </c>
      <c r="T5" s="33" t="s">
        <v>43</v>
      </c>
      <c r="U5" s="30" t="s">
        <v>42</v>
      </c>
      <c r="V5" s="30" t="s">
        <v>43</v>
      </c>
      <c r="W5" s="30" t="s">
        <v>42</v>
      </c>
      <c r="X5" s="30" t="s">
        <v>43</v>
      </c>
      <c r="Y5" s="2239"/>
    </row>
    <row r="6" spans="1:25" ht="34.5" customHeight="1" x14ac:dyDescent="0.25">
      <c r="A6" s="12">
        <v>1409935200</v>
      </c>
      <c r="B6" s="636" t="s">
        <v>71</v>
      </c>
      <c r="C6" s="639">
        <v>41430</v>
      </c>
      <c r="D6" s="640">
        <f>0.9725*C6</f>
        <v>40290.675000000003</v>
      </c>
      <c r="E6" s="639"/>
      <c r="F6" s="639">
        <f>67.1*E6</f>
        <v>0</v>
      </c>
      <c r="G6" s="639">
        <v>20</v>
      </c>
      <c r="H6" s="639">
        <f>28.2*G6</f>
        <v>564</v>
      </c>
      <c r="I6" s="639"/>
      <c r="J6" s="639">
        <f>18.5*I6</f>
        <v>0</v>
      </c>
      <c r="K6" s="639"/>
      <c r="L6" s="639">
        <f>19.5*K6</f>
        <v>0</v>
      </c>
      <c r="M6" s="639"/>
      <c r="N6" s="640">
        <f>M6*9.75</f>
        <v>0</v>
      </c>
      <c r="O6" s="639"/>
      <c r="P6" s="640">
        <f>O6*48.62</f>
        <v>0</v>
      </c>
      <c r="Q6" s="640"/>
      <c r="R6" s="640">
        <f>241*Q6</f>
        <v>0</v>
      </c>
      <c r="S6" s="639">
        <v>6</v>
      </c>
      <c r="T6" s="639">
        <f>241*S6</f>
        <v>1446</v>
      </c>
      <c r="U6" s="639"/>
      <c r="V6" s="639">
        <f>332*U6</f>
        <v>0</v>
      </c>
      <c r="W6" s="639"/>
      <c r="X6" s="19">
        <f>W6*100</f>
        <v>0</v>
      </c>
      <c r="Y6" s="20">
        <f t="shared" ref="Y6:Y12" si="0">D6+F6+H6+J6+L6+N6+P6+R6+T6+V6+X6</f>
        <v>42300.675000000003</v>
      </c>
    </row>
    <row r="7" spans="1:25" ht="31.5" customHeight="1" x14ac:dyDescent="0.25">
      <c r="A7" s="12">
        <v>1984225578</v>
      </c>
      <c r="B7" s="636" t="s">
        <v>72</v>
      </c>
      <c r="C7" s="639">
        <v>19250</v>
      </c>
      <c r="D7" s="640">
        <f t="shared" ref="D7:D11" si="1">0.9725*C7</f>
        <v>18720.625</v>
      </c>
      <c r="E7" s="639"/>
      <c r="F7" s="639">
        <f t="shared" ref="F7:F11" si="2">67.1*E7</f>
        <v>0</v>
      </c>
      <c r="G7" s="639"/>
      <c r="H7" s="639">
        <f t="shared" ref="H7:H11" si="3">28.2*G7</f>
        <v>0</v>
      </c>
      <c r="I7" s="639">
        <v>360</v>
      </c>
      <c r="J7" s="639">
        <f t="shared" ref="J7:J11" si="4">18.5*I7</f>
        <v>6660</v>
      </c>
      <c r="K7" s="639"/>
      <c r="L7" s="639">
        <f t="shared" ref="L7:L11" si="5">19.5*K7</f>
        <v>0</v>
      </c>
      <c r="M7" s="639"/>
      <c r="N7" s="640">
        <f t="shared" ref="N7:N11" si="6">M7*9.75</f>
        <v>0</v>
      </c>
      <c r="O7" s="639"/>
      <c r="P7" s="640">
        <f t="shared" ref="P7:P11" si="7">O7*48.62</f>
        <v>0</v>
      </c>
      <c r="Q7" s="640"/>
      <c r="R7" s="640">
        <f t="shared" ref="R7:R11" si="8">241*Q7</f>
        <v>0</v>
      </c>
      <c r="S7" s="639"/>
      <c r="T7" s="639">
        <f t="shared" ref="T7:T11" si="9">241*S7</f>
        <v>0</v>
      </c>
      <c r="U7" s="639">
        <v>50</v>
      </c>
      <c r="V7" s="639">
        <f t="shared" ref="V7:V11" si="10">332*U7</f>
        <v>16600</v>
      </c>
      <c r="W7" s="639"/>
      <c r="X7" s="19">
        <f t="shared" ref="X7:X11" si="11">W7*100</f>
        <v>0</v>
      </c>
      <c r="Y7" s="20">
        <f t="shared" si="0"/>
        <v>41980.625</v>
      </c>
    </row>
    <row r="8" spans="1:25" ht="35.25" customHeight="1" x14ac:dyDescent="0.25">
      <c r="A8" s="12">
        <v>1967020280</v>
      </c>
      <c r="B8" s="636" t="s">
        <v>73</v>
      </c>
      <c r="C8" s="639">
        <v>23535</v>
      </c>
      <c r="D8" s="640">
        <f t="shared" si="1"/>
        <v>22887.787500000002</v>
      </c>
      <c r="E8" s="639"/>
      <c r="F8" s="639">
        <f t="shared" si="2"/>
        <v>0</v>
      </c>
      <c r="G8" s="639"/>
      <c r="H8" s="639">
        <f t="shared" si="3"/>
        <v>0</v>
      </c>
      <c r="I8" s="639">
        <v>2030</v>
      </c>
      <c r="J8" s="639">
        <f t="shared" si="4"/>
        <v>37555</v>
      </c>
      <c r="K8" s="639"/>
      <c r="L8" s="639">
        <f t="shared" si="5"/>
        <v>0</v>
      </c>
      <c r="M8" s="639"/>
      <c r="N8" s="640">
        <f t="shared" si="6"/>
        <v>0</v>
      </c>
      <c r="O8" s="639"/>
      <c r="P8" s="640">
        <f t="shared" si="7"/>
        <v>0</v>
      </c>
      <c r="Q8" s="640"/>
      <c r="R8" s="640">
        <f t="shared" si="8"/>
        <v>0</v>
      </c>
      <c r="S8" s="639"/>
      <c r="T8" s="639">
        <f t="shared" si="9"/>
        <v>0</v>
      </c>
      <c r="U8" s="639"/>
      <c r="V8" s="639">
        <f t="shared" si="10"/>
        <v>0</v>
      </c>
      <c r="W8" s="639"/>
      <c r="X8" s="19">
        <f t="shared" si="11"/>
        <v>0</v>
      </c>
      <c r="Y8" s="20">
        <f t="shared" si="0"/>
        <v>60442.787500000006</v>
      </c>
    </row>
    <row r="9" spans="1:25" ht="38.25" customHeight="1" x14ac:dyDescent="0.25">
      <c r="A9" s="12">
        <v>1984225580</v>
      </c>
      <c r="B9" s="636" t="s">
        <v>75</v>
      </c>
      <c r="C9" s="639">
        <v>35790</v>
      </c>
      <c r="D9" s="640">
        <f t="shared" si="1"/>
        <v>34805.775000000001</v>
      </c>
      <c r="E9" s="639"/>
      <c r="F9" s="639">
        <f t="shared" si="2"/>
        <v>0</v>
      </c>
      <c r="G9" s="639"/>
      <c r="H9" s="639">
        <f t="shared" si="3"/>
        <v>0</v>
      </c>
      <c r="I9" s="639"/>
      <c r="J9" s="639">
        <f t="shared" si="4"/>
        <v>0</v>
      </c>
      <c r="K9" s="639"/>
      <c r="L9" s="639">
        <f t="shared" si="5"/>
        <v>0</v>
      </c>
      <c r="M9" s="639"/>
      <c r="N9" s="640">
        <f t="shared" si="6"/>
        <v>0</v>
      </c>
      <c r="O9" s="639"/>
      <c r="P9" s="640">
        <f t="shared" si="7"/>
        <v>0</v>
      </c>
      <c r="Q9" s="640"/>
      <c r="R9" s="640">
        <f t="shared" si="8"/>
        <v>0</v>
      </c>
      <c r="S9" s="639"/>
      <c r="T9" s="639">
        <f t="shared" si="9"/>
        <v>0</v>
      </c>
      <c r="U9" s="639">
        <v>10</v>
      </c>
      <c r="V9" s="639">
        <f t="shared" si="10"/>
        <v>3320</v>
      </c>
      <c r="W9" s="639"/>
      <c r="X9" s="19">
        <f t="shared" si="11"/>
        <v>0</v>
      </c>
      <c r="Y9" s="20">
        <f t="shared" si="0"/>
        <v>38125.775000000001</v>
      </c>
    </row>
    <row r="10" spans="1:25" ht="35.25" customHeight="1" x14ac:dyDescent="0.25">
      <c r="A10" s="12">
        <v>1409935199</v>
      </c>
      <c r="C10" s="639"/>
      <c r="D10" s="640">
        <f t="shared" si="1"/>
        <v>0</v>
      </c>
      <c r="E10" s="639"/>
      <c r="F10" s="639">
        <f t="shared" si="2"/>
        <v>0</v>
      </c>
      <c r="G10" s="639"/>
      <c r="H10" s="639">
        <f t="shared" si="3"/>
        <v>0</v>
      </c>
      <c r="I10" s="639">
        <v>1300</v>
      </c>
      <c r="J10" s="639">
        <f t="shared" si="4"/>
        <v>24050</v>
      </c>
      <c r="K10" s="639"/>
      <c r="L10" s="639">
        <f t="shared" si="5"/>
        <v>0</v>
      </c>
      <c r="M10" s="639"/>
      <c r="N10" s="640">
        <f t="shared" si="6"/>
        <v>0</v>
      </c>
      <c r="O10" s="639"/>
      <c r="P10" s="640">
        <f t="shared" si="7"/>
        <v>0</v>
      </c>
      <c r="Q10" s="640"/>
      <c r="R10" s="640">
        <f t="shared" si="8"/>
        <v>0</v>
      </c>
      <c r="S10" s="639"/>
      <c r="T10" s="639">
        <f t="shared" si="9"/>
        <v>0</v>
      </c>
      <c r="U10" s="639"/>
      <c r="V10" s="639">
        <f t="shared" si="10"/>
        <v>0</v>
      </c>
      <c r="W10" s="639"/>
      <c r="X10" s="19">
        <f t="shared" si="11"/>
        <v>0</v>
      </c>
      <c r="Y10" s="20">
        <f t="shared" si="0"/>
        <v>24050</v>
      </c>
    </row>
    <row r="11" spans="1:25" ht="37.5" customHeight="1" x14ac:dyDescent="0.25">
      <c r="A11" s="12"/>
      <c r="B11" s="638"/>
      <c r="C11" s="639"/>
      <c r="D11" s="22">
        <f t="shared" si="1"/>
        <v>0</v>
      </c>
      <c r="E11" s="639"/>
      <c r="F11" s="639">
        <f t="shared" si="2"/>
        <v>0</v>
      </c>
      <c r="G11" s="639"/>
      <c r="H11" s="639">
        <f t="shared" si="3"/>
        <v>0</v>
      </c>
      <c r="I11" s="639"/>
      <c r="J11" s="639">
        <f t="shared" si="4"/>
        <v>0</v>
      </c>
      <c r="K11" s="639"/>
      <c r="L11" s="639">
        <f t="shared" si="5"/>
        <v>0</v>
      </c>
      <c r="M11" s="639"/>
      <c r="N11" s="640">
        <f t="shared" si="6"/>
        <v>0</v>
      </c>
      <c r="O11" s="639"/>
      <c r="P11" s="640">
        <f t="shared" si="7"/>
        <v>0</v>
      </c>
      <c r="Q11" s="640"/>
      <c r="R11" s="640">
        <f t="shared" si="8"/>
        <v>0</v>
      </c>
      <c r="S11" s="639"/>
      <c r="T11" s="639">
        <f t="shared" si="9"/>
        <v>0</v>
      </c>
      <c r="U11" s="639"/>
      <c r="V11" s="639">
        <f t="shared" si="10"/>
        <v>0</v>
      </c>
      <c r="W11" s="639"/>
      <c r="X11" s="19">
        <f t="shared" si="11"/>
        <v>0</v>
      </c>
      <c r="Y11" s="20">
        <f t="shared" si="0"/>
        <v>0</v>
      </c>
    </row>
    <row r="12" spans="1:25" ht="29.25" customHeight="1" x14ac:dyDescent="0.25">
      <c r="A12" s="2235" t="s">
        <v>31</v>
      </c>
      <c r="B12" s="2235"/>
      <c r="C12" s="18">
        <f t="shared" ref="C12:X12" si="12">SUM(C6:C11)</f>
        <v>120005</v>
      </c>
      <c r="D12" s="18">
        <f t="shared" si="12"/>
        <v>116704.86250000002</v>
      </c>
      <c r="E12" s="18">
        <f t="shared" si="12"/>
        <v>0</v>
      </c>
      <c r="F12" s="18">
        <f t="shared" si="12"/>
        <v>0</v>
      </c>
      <c r="G12" s="18">
        <f t="shared" si="12"/>
        <v>20</v>
      </c>
      <c r="H12" s="18">
        <f t="shared" si="12"/>
        <v>564</v>
      </c>
      <c r="I12" s="18">
        <f t="shared" si="12"/>
        <v>3690</v>
      </c>
      <c r="J12" s="18">
        <f t="shared" si="12"/>
        <v>68265</v>
      </c>
      <c r="K12" s="18">
        <f t="shared" si="12"/>
        <v>0</v>
      </c>
      <c r="L12" s="18">
        <f t="shared" si="12"/>
        <v>0</v>
      </c>
      <c r="M12" s="18">
        <f t="shared" si="12"/>
        <v>0</v>
      </c>
      <c r="N12" s="23">
        <f t="shared" si="12"/>
        <v>0</v>
      </c>
      <c r="O12" s="18">
        <f t="shared" si="12"/>
        <v>0</v>
      </c>
      <c r="P12" s="23">
        <f t="shared" si="12"/>
        <v>0</v>
      </c>
      <c r="Q12" s="23">
        <f t="shared" si="12"/>
        <v>0</v>
      </c>
      <c r="R12" s="23">
        <f>SUM(R6:R11)</f>
        <v>0</v>
      </c>
      <c r="S12" s="18">
        <f t="shared" si="12"/>
        <v>6</v>
      </c>
      <c r="T12" s="18">
        <f t="shared" si="12"/>
        <v>1446</v>
      </c>
      <c r="U12" s="18">
        <f t="shared" si="12"/>
        <v>60</v>
      </c>
      <c r="V12" s="18">
        <f t="shared" si="12"/>
        <v>19920</v>
      </c>
      <c r="W12" s="18">
        <f t="shared" si="12"/>
        <v>0</v>
      </c>
      <c r="X12" s="18">
        <f t="shared" si="12"/>
        <v>0</v>
      </c>
      <c r="Y12" s="20">
        <f t="shared" si="0"/>
        <v>206899.86250000002</v>
      </c>
    </row>
    <row r="14" spans="1:25" ht="41.25" customHeight="1" x14ac:dyDescent="0.25">
      <c r="A14" s="30" t="s">
        <v>32</v>
      </c>
      <c r="B14" s="2236" t="s">
        <v>27</v>
      </c>
      <c r="C14" s="2236"/>
      <c r="D14" s="30" t="s">
        <v>333</v>
      </c>
      <c r="E14" s="30" t="s">
        <v>65</v>
      </c>
      <c r="F14" s="30" t="s">
        <v>34</v>
      </c>
      <c r="G14" s="30" t="s">
        <v>13</v>
      </c>
      <c r="H14" s="469" t="s">
        <v>173</v>
      </c>
      <c r="I14" s="30" t="s">
        <v>17</v>
      </c>
      <c r="J14" s="644" t="s">
        <v>174</v>
      </c>
      <c r="K14" s="30" t="s">
        <v>36</v>
      </c>
      <c r="L14" s="30" t="s">
        <v>175</v>
      </c>
      <c r="M14" s="30" t="s">
        <v>69</v>
      </c>
      <c r="N14" s="30" t="s">
        <v>70</v>
      </c>
      <c r="O14" s="644" t="s">
        <v>114</v>
      </c>
      <c r="P14" s="644" t="s">
        <v>368</v>
      </c>
      <c r="Q14" s="2300"/>
      <c r="R14" s="2301"/>
      <c r="S14" s="644"/>
      <c r="T14" s="2235" t="s">
        <v>46</v>
      </c>
      <c r="U14" s="636" t="s">
        <v>176</v>
      </c>
      <c r="V14" s="2260">
        <v>2125</v>
      </c>
      <c r="W14" s="2268"/>
      <c r="X14" s="2261"/>
    </row>
    <row r="15" spans="1:25" ht="22.5" customHeight="1" x14ac:dyDescent="0.25">
      <c r="A15" s="100" t="s">
        <v>38</v>
      </c>
      <c r="B15" s="2260">
        <v>294172</v>
      </c>
      <c r="C15" s="2261"/>
      <c r="D15" s="641">
        <v>1130</v>
      </c>
      <c r="E15" s="641">
        <v>2540</v>
      </c>
      <c r="F15" s="641">
        <v>5790</v>
      </c>
      <c r="G15" s="641">
        <v>0</v>
      </c>
      <c r="H15" s="641">
        <v>384</v>
      </c>
      <c r="I15" s="641">
        <v>85</v>
      </c>
      <c r="J15" s="641">
        <v>22</v>
      </c>
      <c r="K15" s="641">
        <v>81</v>
      </c>
      <c r="L15" s="641">
        <v>86</v>
      </c>
      <c r="M15" s="641">
        <v>0</v>
      </c>
      <c r="N15" s="641">
        <v>100</v>
      </c>
      <c r="O15" s="641">
        <v>0</v>
      </c>
      <c r="P15" s="641">
        <v>511</v>
      </c>
      <c r="Q15" s="2260"/>
      <c r="R15" s="2261"/>
      <c r="S15" s="636"/>
      <c r="T15" s="2235"/>
      <c r="U15" s="636" t="s">
        <v>64</v>
      </c>
      <c r="V15" s="2262">
        <v>10588</v>
      </c>
      <c r="W15" s="2262"/>
      <c r="X15" s="2262"/>
    </row>
    <row r="16" spans="1:25" ht="24.75" customHeight="1" x14ac:dyDescent="0.25">
      <c r="A16" s="100" t="s">
        <v>39</v>
      </c>
      <c r="B16" s="2260">
        <v>124675</v>
      </c>
      <c r="C16" s="2261"/>
      <c r="D16" s="641"/>
      <c r="E16" s="641"/>
      <c r="F16" s="641"/>
      <c r="G16" s="641"/>
      <c r="H16" s="641"/>
      <c r="I16" s="641"/>
      <c r="J16" s="641"/>
      <c r="K16" s="641"/>
      <c r="L16" s="641"/>
      <c r="M16" s="641"/>
      <c r="N16" s="641"/>
      <c r="O16" s="641"/>
      <c r="P16" s="641"/>
      <c r="Q16" s="2225"/>
      <c r="R16" s="2225"/>
      <c r="S16" s="641"/>
      <c r="T16" s="2254" t="s">
        <v>55</v>
      </c>
      <c r="U16" s="2254"/>
      <c r="V16" s="2267">
        <f>Y12</f>
        <v>206899.86250000002</v>
      </c>
      <c r="W16" s="2267"/>
      <c r="X16" s="2262"/>
    </row>
    <row r="17" spans="1:25" ht="28.5" customHeight="1" x14ac:dyDescent="0.25">
      <c r="A17" s="101" t="s">
        <v>44</v>
      </c>
      <c r="B17" s="2260"/>
      <c r="C17" s="2261"/>
      <c r="D17" s="641"/>
      <c r="E17" s="641"/>
      <c r="F17" s="641"/>
      <c r="G17" s="641"/>
      <c r="H17" s="641"/>
      <c r="I17" s="641"/>
      <c r="J17" s="641"/>
      <c r="K17" s="641"/>
      <c r="L17" s="641"/>
      <c r="M17" s="641"/>
      <c r="N17" s="641"/>
      <c r="O17" s="641"/>
      <c r="P17" s="641"/>
      <c r="Q17" s="2225"/>
      <c r="R17" s="2225"/>
      <c r="S17" s="638"/>
      <c r="T17" s="2294" t="s">
        <v>362</v>
      </c>
      <c r="U17" s="2295"/>
      <c r="V17" s="2296"/>
      <c r="W17" s="2296"/>
      <c r="X17" s="2296"/>
    </row>
    <row r="18" spans="1:25" ht="27" customHeight="1" x14ac:dyDescent="0.25">
      <c r="A18" s="100" t="s">
        <v>40</v>
      </c>
      <c r="B18" s="2264">
        <f>C12</f>
        <v>120005</v>
      </c>
      <c r="C18" s="2261"/>
      <c r="D18" s="642">
        <f>E12</f>
        <v>0</v>
      </c>
      <c r="E18" s="642">
        <f>G12</f>
        <v>20</v>
      </c>
      <c r="F18" s="642">
        <f>I12</f>
        <v>3690</v>
      </c>
      <c r="G18" s="642">
        <f>K12</f>
        <v>0</v>
      </c>
      <c r="H18" s="641">
        <v>6</v>
      </c>
      <c r="I18" s="642">
        <f>U12</f>
        <v>60</v>
      </c>
      <c r="J18" s="641"/>
      <c r="K18" s="642">
        <f>W12</f>
        <v>0</v>
      </c>
      <c r="L18" s="641"/>
      <c r="M18" s="642">
        <f>M12</f>
        <v>0</v>
      </c>
      <c r="N18" s="642">
        <f>O12</f>
        <v>0</v>
      </c>
      <c r="O18" s="643">
        <f>Q12</f>
        <v>0</v>
      </c>
      <c r="P18" s="641"/>
      <c r="Q18" s="2262"/>
      <c r="R18" s="2262"/>
      <c r="S18" s="636"/>
      <c r="T18" s="2254" t="s">
        <v>57</v>
      </c>
      <c r="U18" s="2254"/>
      <c r="V18" s="2262">
        <v>38720</v>
      </c>
      <c r="W18" s="2262"/>
      <c r="X18" s="2262"/>
      <c r="Y18" s="2269"/>
    </row>
    <row r="19" spans="1:25" ht="25.5" customHeight="1" x14ac:dyDescent="0.25">
      <c r="A19" s="100" t="s">
        <v>41</v>
      </c>
      <c r="B19" s="2260">
        <f>B15+B16+B17-B18</f>
        <v>298842</v>
      </c>
      <c r="C19" s="2261"/>
      <c r="D19" s="641">
        <f>D15+D16+D17-D18</f>
        <v>1130</v>
      </c>
      <c r="E19" s="641">
        <f t="shared" ref="E19:N19" si="13">E15+E16+E17-E18</f>
        <v>2520</v>
      </c>
      <c r="F19" s="641">
        <f t="shared" si="13"/>
        <v>2100</v>
      </c>
      <c r="G19" s="641">
        <f t="shared" si="13"/>
        <v>0</v>
      </c>
      <c r="H19" s="641">
        <f t="shared" si="13"/>
        <v>378</v>
      </c>
      <c r="I19" s="641">
        <f t="shared" si="13"/>
        <v>25</v>
      </c>
      <c r="J19" s="641">
        <f t="shared" si="13"/>
        <v>22</v>
      </c>
      <c r="K19" s="641">
        <f t="shared" si="13"/>
        <v>81</v>
      </c>
      <c r="L19" s="641">
        <f t="shared" si="13"/>
        <v>86</v>
      </c>
      <c r="M19" s="641">
        <f t="shared" si="13"/>
        <v>0</v>
      </c>
      <c r="N19" s="641">
        <f t="shared" si="13"/>
        <v>100</v>
      </c>
      <c r="O19" s="641">
        <f>O15+O16+O17-O18</f>
        <v>0</v>
      </c>
      <c r="P19" s="641">
        <f>P15+P16+P17-P18</f>
        <v>511</v>
      </c>
      <c r="Q19" s="2260">
        <f t="shared" ref="Q19" si="14">Q15+Q16+Q17-Q18</f>
        <v>0</v>
      </c>
      <c r="R19" s="2261"/>
      <c r="S19" s="636">
        <f>S15+S16-S17-S18</f>
        <v>0</v>
      </c>
      <c r="T19" s="2256" t="s">
        <v>48</v>
      </c>
      <c r="U19" s="49" t="s">
        <v>58</v>
      </c>
      <c r="V19" s="2262"/>
      <c r="W19" s="2262"/>
      <c r="X19" s="2262"/>
      <c r="Y19" s="2269"/>
    </row>
    <row r="20" spans="1:25" ht="23.25" customHeight="1" x14ac:dyDescent="0.25">
      <c r="A20" s="289" t="s">
        <v>187</v>
      </c>
      <c r="B20" s="2286">
        <f>B19*0.9625</f>
        <v>287635.42499999999</v>
      </c>
      <c r="C20" s="2287"/>
      <c r="D20" s="290">
        <f>D19*66.41</f>
        <v>75043.3</v>
      </c>
      <c r="E20" s="290">
        <f>28.2*E19</f>
        <v>71064</v>
      </c>
      <c r="F20" s="290">
        <f>18.31*F19</f>
        <v>38451</v>
      </c>
      <c r="G20" s="290">
        <f>19.3*G19</f>
        <v>0</v>
      </c>
      <c r="H20" s="290">
        <f>241*H19</f>
        <v>91098</v>
      </c>
      <c r="I20" s="290">
        <f>323*I19</f>
        <v>8075</v>
      </c>
      <c r="J20" s="290">
        <f>241*J19</f>
        <v>5302</v>
      </c>
      <c r="K20" s="290">
        <f>K19*100</f>
        <v>8100</v>
      </c>
      <c r="L20" s="290">
        <f>241*L19</f>
        <v>20726</v>
      </c>
      <c r="M20" s="290">
        <f>9.65*M19</f>
        <v>0</v>
      </c>
      <c r="N20" s="290">
        <f>N19*48.2</f>
        <v>4820</v>
      </c>
      <c r="O20" s="290">
        <f>241*O19</f>
        <v>0</v>
      </c>
      <c r="P20" s="290">
        <f>241*P19</f>
        <v>123151</v>
      </c>
      <c r="Q20" s="2286">
        <f>241*Q19</f>
        <v>0</v>
      </c>
      <c r="R20" s="2287"/>
      <c r="S20" s="290">
        <f>241*S19</f>
        <v>0</v>
      </c>
      <c r="T20" s="2257"/>
      <c r="U20" s="49" t="s">
        <v>59</v>
      </c>
      <c r="V20" s="2262"/>
      <c r="W20" s="2262"/>
      <c r="X20" s="2262"/>
      <c r="Y20" s="2269"/>
    </row>
    <row r="21" spans="1:25" ht="32.25" customHeight="1" x14ac:dyDescent="0.25">
      <c r="A21" s="291" t="s">
        <v>186</v>
      </c>
      <c r="B21" s="2293">
        <f>SUM(B20:S20)</f>
        <v>733465.72499999998</v>
      </c>
      <c r="C21" s="2293"/>
      <c r="O21" s="645"/>
      <c r="P21" s="645"/>
      <c r="Q21" s="645"/>
      <c r="R21" s="645"/>
      <c r="T21" s="2294" t="s">
        <v>366</v>
      </c>
      <c r="U21" s="2295"/>
      <c r="V21" s="2297"/>
      <c r="W21" s="2298"/>
      <c r="X21" s="2299"/>
      <c r="Y21" s="2269"/>
    </row>
    <row r="22" spans="1:25" ht="35.25" customHeight="1" x14ac:dyDescent="0.25">
      <c r="A22" s="15"/>
      <c r="B22" s="2288" t="s">
        <v>49</v>
      </c>
      <c r="C22" s="2291">
        <v>515974</v>
      </c>
      <c r="D22" s="2291"/>
      <c r="E22" s="2291">
        <v>120000</v>
      </c>
      <c r="F22" s="2291">
        <f>C22-D22+E22</f>
        <v>635974</v>
      </c>
      <c r="G22" s="645"/>
      <c r="Q22" s="645"/>
      <c r="R22" s="645"/>
      <c r="T22" s="2251" t="s">
        <v>83</v>
      </c>
      <c r="U22" s="50" t="s">
        <v>60</v>
      </c>
      <c r="V22" s="2262">
        <v>169680</v>
      </c>
      <c r="W22" s="2262"/>
      <c r="X22" s="2262"/>
      <c r="Y22" s="2269"/>
    </row>
    <row r="23" spans="1:25" ht="39.75" customHeight="1" x14ac:dyDescent="0.25">
      <c r="A23" s="645"/>
      <c r="B23" s="2289"/>
      <c r="C23" s="2292"/>
      <c r="D23" s="2292"/>
      <c r="E23" s="2292"/>
      <c r="F23" s="2292"/>
      <c r="G23" s="645"/>
      <c r="Q23" s="645"/>
      <c r="R23" s="645"/>
      <c r="T23" s="2252"/>
      <c r="U23" s="50" t="s">
        <v>61</v>
      </c>
      <c r="V23" s="2262"/>
      <c r="W23" s="2262"/>
      <c r="X23" s="2262"/>
      <c r="Y23" s="2269"/>
    </row>
    <row r="24" spans="1:25" ht="48" customHeight="1" x14ac:dyDescent="0.25">
      <c r="A24" s="645"/>
      <c r="B24" s="2290"/>
      <c r="C24" s="290" t="s">
        <v>46</v>
      </c>
      <c r="D24" s="290" t="s">
        <v>50</v>
      </c>
      <c r="E24" s="290" t="s">
        <v>51</v>
      </c>
      <c r="F24" s="290" t="s">
        <v>52</v>
      </c>
      <c r="G24" s="645"/>
      <c r="Q24" s="645"/>
      <c r="R24" s="645"/>
      <c r="T24" s="2235" t="s">
        <v>47</v>
      </c>
      <c r="U24" s="51" t="s">
        <v>62</v>
      </c>
      <c r="V24" s="2263">
        <f>V14+V16+V17-V18-V19-V20-V22+V23-V21</f>
        <v>624.86250000001746</v>
      </c>
      <c r="W24" s="2263"/>
      <c r="X24" s="2263"/>
      <c r="Y24" s="2269"/>
    </row>
    <row r="25" spans="1:25" ht="40.5" customHeight="1" x14ac:dyDescent="0.25">
      <c r="T25" s="2235"/>
      <c r="U25" s="51" t="s">
        <v>63</v>
      </c>
      <c r="V25" s="2262">
        <f>V15+V22-V23</f>
        <v>180268</v>
      </c>
      <c r="W25" s="2262"/>
      <c r="X25" s="2262"/>
    </row>
    <row r="26" spans="1:25" ht="36" customHeight="1" x14ac:dyDescent="0.25">
      <c r="K26" s="314"/>
    </row>
    <row r="28" spans="1:25" x14ac:dyDescent="0.25">
      <c r="J28" s="14" t="s">
        <v>139</v>
      </c>
    </row>
    <row r="32" spans="1:25" x14ac:dyDescent="0.25">
      <c r="I32" s="2280"/>
      <c r="J32" s="2280"/>
      <c r="K32" s="2280"/>
      <c r="L32" s="2280"/>
    </row>
    <row r="33" spans="9:12" x14ac:dyDescent="0.25">
      <c r="I33" s="645"/>
      <c r="J33" s="645"/>
      <c r="K33" s="2280"/>
      <c r="L33" s="2280"/>
    </row>
  </sheetData>
  <mergeCells count="62">
    <mergeCell ref="I32:J32"/>
    <mergeCell ref="K32:L32"/>
    <mergeCell ref="K33:L33"/>
    <mergeCell ref="T22:T23"/>
    <mergeCell ref="V22:X22"/>
    <mergeCell ref="V23:X23"/>
    <mergeCell ref="T24:T25"/>
    <mergeCell ref="V24:X24"/>
    <mergeCell ref="V25:X25"/>
    <mergeCell ref="Y18:Y24"/>
    <mergeCell ref="B19:C19"/>
    <mergeCell ref="Q19:R19"/>
    <mergeCell ref="T19:T20"/>
    <mergeCell ref="V19:X19"/>
    <mergeCell ref="B20:C20"/>
    <mergeCell ref="B22:B24"/>
    <mergeCell ref="C22:C23"/>
    <mergeCell ref="D22:D23"/>
    <mergeCell ref="E22:E23"/>
    <mergeCell ref="F22:F23"/>
    <mergeCell ref="Q20:R20"/>
    <mergeCell ref="V20:X20"/>
    <mergeCell ref="B21:C21"/>
    <mergeCell ref="T21:U21"/>
    <mergeCell ref="V21:X21"/>
    <mergeCell ref="B17:C17"/>
    <mergeCell ref="Q17:R17"/>
    <mergeCell ref="T17:U17"/>
    <mergeCell ref="V17:X17"/>
    <mergeCell ref="B18:C18"/>
    <mergeCell ref="Q18:R18"/>
    <mergeCell ref="T18:U18"/>
    <mergeCell ref="V18:X18"/>
    <mergeCell ref="W4:X4"/>
    <mergeCell ref="B16:C16"/>
    <mergeCell ref="Q16:R16"/>
    <mergeCell ref="T16:U16"/>
    <mergeCell ref="V16:X16"/>
    <mergeCell ref="A12:B12"/>
    <mergeCell ref="B14:C14"/>
    <mergeCell ref="Q14:R14"/>
    <mergeCell ref="T14:T15"/>
    <mergeCell ref="V14:X14"/>
    <mergeCell ref="B15:C15"/>
    <mergeCell ref="Q15:R15"/>
    <mergeCell ref="V15:X15"/>
    <mergeCell ref="A1:Y1"/>
    <mergeCell ref="A2:Y2"/>
    <mergeCell ref="T3:Y3"/>
    <mergeCell ref="A4:A5"/>
    <mergeCell ref="B4:B5"/>
    <mergeCell ref="C4:D4"/>
    <mergeCell ref="E4:F4"/>
    <mergeCell ref="G4:H4"/>
    <mergeCell ref="I4:J4"/>
    <mergeCell ref="K4:L4"/>
    <mergeCell ref="Y4:Y5"/>
    <mergeCell ref="M4:N4"/>
    <mergeCell ref="O4:P4"/>
    <mergeCell ref="Q4:R4"/>
    <mergeCell ref="S4:T4"/>
    <mergeCell ref="U4:V4"/>
  </mergeCells>
  <pageMargins left="0.15748031496063" right="0.15748031496063" top="0" bottom="0" header="0" footer="0"/>
  <pageSetup paperSize="9" scale="47" orientation="landscape" r:id="rId1"/>
</worksheet>
</file>

<file path=xl/worksheets/sheet16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B08B093-3B61-47F1-9205-91C397654012}">
  <sheetPr>
    <pageSetUpPr fitToPage="1"/>
  </sheetPr>
  <dimension ref="A1:Y33"/>
  <sheetViews>
    <sheetView topLeftCell="A9" zoomScale="70" zoomScaleNormal="70" zoomScaleSheetLayoutView="100" workbookViewId="0">
      <selection activeCell="K25" sqref="K25"/>
    </sheetView>
  </sheetViews>
  <sheetFormatPr defaultColWidth="9.140625" defaultRowHeight="15" x14ac:dyDescent="0.25"/>
  <cols>
    <col min="1" max="1" width="18.28515625" style="14" customWidth="1"/>
    <col min="2" max="2" width="10.7109375" style="14" customWidth="1"/>
    <col min="3" max="3" width="12.28515625" style="14" customWidth="1"/>
    <col min="4" max="4" width="13.140625" style="14" bestFit="1" customWidth="1"/>
    <col min="5" max="5" width="12" style="14" customWidth="1"/>
    <col min="6" max="6" width="12.5703125" style="14" bestFit="1" customWidth="1"/>
    <col min="7" max="7" width="9.28515625" style="14" bestFit="1" customWidth="1"/>
    <col min="8" max="8" width="10.140625" style="14" bestFit="1" customWidth="1"/>
    <col min="9" max="9" width="10.5703125" style="14" bestFit="1" customWidth="1"/>
    <col min="10" max="10" width="10.5703125" style="14" customWidth="1"/>
    <col min="11" max="11" width="10.28515625" style="14" bestFit="1" customWidth="1"/>
    <col min="12" max="12" width="10.42578125" style="14" bestFit="1" customWidth="1"/>
    <col min="13" max="13" width="9.85546875" style="14" bestFit="1" customWidth="1"/>
    <col min="14" max="14" width="10.140625" style="14" bestFit="1" customWidth="1"/>
    <col min="15" max="15" width="9" style="14" customWidth="1"/>
    <col min="16" max="16" width="12.85546875" style="14" bestFit="1" customWidth="1"/>
    <col min="17" max="18" width="9.42578125" style="14" customWidth="1"/>
    <col min="19" max="19" width="13.7109375" style="14" customWidth="1"/>
    <col min="20" max="20" width="12.140625" style="14" customWidth="1"/>
    <col min="21" max="21" width="19.5703125" style="14" bestFit="1" customWidth="1"/>
    <col min="22" max="22" width="9.85546875" style="14" customWidth="1"/>
    <col min="23" max="23" width="10.140625" style="14" bestFit="1" customWidth="1"/>
    <col min="24" max="24" width="10.28515625" style="14" customWidth="1"/>
    <col min="25" max="25" width="28" style="14" customWidth="1"/>
    <col min="26" max="16384" width="9.140625" style="14"/>
  </cols>
  <sheetData>
    <row r="1" spans="1:25" ht="46.15" customHeight="1" x14ac:dyDescent="0.25">
      <c r="A1" s="2240" t="s">
        <v>148</v>
      </c>
      <c r="B1" s="2240"/>
      <c r="C1" s="2240"/>
      <c r="D1" s="2240"/>
      <c r="E1" s="2240"/>
      <c r="F1" s="2240"/>
      <c r="G1" s="2240"/>
      <c r="H1" s="2240"/>
      <c r="I1" s="2240"/>
      <c r="J1" s="2240"/>
      <c r="K1" s="2240"/>
      <c r="L1" s="2240"/>
      <c r="M1" s="2240"/>
      <c r="N1" s="2240"/>
      <c r="O1" s="2240"/>
      <c r="P1" s="2240"/>
      <c r="Q1" s="2240"/>
      <c r="R1" s="2240"/>
      <c r="S1" s="2240"/>
      <c r="T1" s="2240"/>
      <c r="U1" s="2240"/>
      <c r="V1" s="2240"/>
      <c r="W1" s="2240"/>
      <c r="X1" s="2240"/>
      <c r="Y1" s="2240"/>
    </row>
    <row r="2" spans="1:25" ht="21.6" customHeight="1" x14ac:dyDescent="0.25">
      <c r="A2" s="2241" t="s">
        <v>77</v>
      </c>
      <c r="B2" s="2241"/>
      <c r="C2" s="2241"/>
      <c r="D2" s="2241"/>
      <c r="E2" s="2241"/>
      <c r="F2" s="2241"/>
      <c r="G2" s="2241"/>
      <c r="H2" s="2241"/>
      <c r="I2" s="2241"/>
      <c r="J2" s="2241"/>
      <c r="K2" s="2241"/>
      <c r="L2" s="2241"/>
      <c r="M2" s="2241"/>
      <c r="N2" s="2241"/>
      <c r="O2" s="2241"/>
      <c r="P2" s="2241"/>
      <c r="Q2" s="2241"/>
      <c r="R2" s="2241"/>
      <c r="S2" s="2241"/>
      <c r="T2" s="2241"/>
      <c r="U2" s="2241"/>
      <c r="V2" s="2241"/>
      <c r="W2" s="2241"/>
      <c r="X2" s="2241"/>
      <c r="Y2" s="2241"/>
    </row>
    <row r="3" spans="1:25" ht="21" customHeight="1" x14ac:dyDescent="0.25">
      <c r="A3" s="646"/>
      <c r="B3" s="646"/>
      <c r="C3" s="646"/>
      <c r="D3" s="646"/>
      <c r="E3" s="646"/>
      <c r="F3" s="646"/>
      <c r="G3" s="646"/>
      <c r="H3" s="646"/>
      <c r="I3" s="646"/>
      <c r="J3" s="646"/>
      <c r="K3" s="646"/>
      <c r="L3" s="646"/>
      <c r="M3" s="646"/>
      <c r="N3" s="646"/>
      <c r="O3" s="646"/>
      <c r="P3" s="646"/>
      <c r="Q3" s="646"/>
      <c r="R3" s="646"/>
      <c r="S3" s="646"/>
      <c r="T3" s="2242" t="s">
        <v>375</v>
      </c>
      <c r="U3" s="2242"/>
      <c r="V3" s="2242"/>
      <c r="W3" s="2242"/>
      <c r="X3" s="2242"/>
      <c r="Y3" s="2242"/>
    </row>
    <row r="4" spans="1:25" s="646" customFormat="1" ht="18" customHeight="1" x14ac:dyDescent="0.25">
      <c r="A4" s="2243" t="s">
        <v>25</v>
      </c>
      <c r="B4" s="2243" t="s">
        <v>26</v>
      </c>
      <c r="C4" s="2244" t="s">
        <v>27</v>
      </c>
      <c r="D4" s="2244"/>
      <c r="E4" s="2244" t="s">
        <v>342</v>
      </c>
      <c r="F4" s="2244"/>
      <c r="G4" s="2244" t="s">
        <v>65</v>
      </c>
      <c r="H4" s="2244"/>
      <c r="I4" s="2244" t="s">
        <v>29</v>
      </c>
      <c r="J4" s="2244"/>
      <c r="K4" s="2245" t="s">
        <v>13</v>
      </c>
      <c r="L4" s="2246"/>
      <c r="M4" s="2245" t="s">
        <v>67</v>
      </c>
      <c r="N4" s="2246"/>
      <c r="O4" s="2245" t="s">
        <v>68</v>
      </c>
      <c r="P4" s="2246"/>
      <c r="Q4" s="2245" t="s">
        <v>114</v>
      </c>
      <c r="R4" s="2246"/>
      <c r="S4" s="2244" t="s">
        <v>35</v>
      </c>
      <c r="T4" s="2244"/>
      <c r="U4" s="2245" t="s">
        <v>17</v>
      </c>
      <c r="V4" s="2246"/>
      <c r="W4" s="2247" t="s">
        <v>36</v>
      </c>
      <c r="X4" s="2248"/>
      <c r="Y4" s="2238" t="s">
        <v>30</v>
      </c>
    </row>
    <row r="5" spans="1:25" s="646" customFormat="1" ht="25.5" customHeight="1" x14ac:dyDescent="0.25">
      <c r="A5" s="2243"/>
      <c r="B5" s="2243"/>
      <c r="C5" s="648" t="s">
        <v>42</v>
      </c>
      <c r="D5" s="648" t="s">
        <v>43</v>
      </c>
      <c r="E5" s="648" t="s">
        <v>42</v>
      </c>
      <c r="F5" s="648" t="s">
        <v>43</v>
      </c>
      <c r="G5" s="648" t="s">
        <v>42</v>
      </c>
      <c r="H5" s="648" t="s">
        <v>43</v>
      </c>
      <c r="I5" s="648" t="s">
        <v>42</v>
      </c>
      <c r="J5" s="648" t="s">
        <v>43</v>
      </c>
      <c r="K5" s="648" t="s">
        <v>42</v>
      </c>
      <c r="L5" s="648" t="s">
        <v>43</v>
      </c>
      <c r="M5" s="648" t="s">
        <v>42</v>
      </c>
      <c r="N5" s="648" t="s">
        <v>43</v>
      </c>
      <c r="O5" s="648" t="s">
        <v>42</v>
      </c>
      <c r="P5" s="648" t="s">
        <v>43</v>
      </c>
      <c r="Q5" s="648" t="s">
        <v>42</v>
      </c>
      <c r="R5" s="648" t="s">
        <v>43</v>
      </c>
      <c r="S5" s="33" t="s">
        <v>42</v>
      </c>
      <c r="T5" s="33" t="s">
        <v>43</v>
      </c>
      <c r="U5" s="30" t="s">
        <v>42</v>
      </c>
      <c r="V5" s="30" t="s">
        <v>43</v>
      </c>
      <c r="W5" s="30" t="s">
        <v>42</v>
      </c>
      <c r="X5" s="30" t="s">
        <v>43</v>
      </c>
      <c r="Y5" s="2239"/>
    </row>
    <row r="6" spans="1:25" ht="34.5" customHeight="1" x14ac:dyDescent="0.25">
      <c r="A6" s="12">
        <v>1409935200</v>
      </c>
      <c r="B6" s="647" t="s">
        <v>71</v>
      </c>
      <c r="C6" s="650">
        <v>27378</v>
      </c>
      <c r="D6" s="651">
        <f>0.9725*C6</f>
        <v>26625.105</v>
      </c>
      <c r="E6" s="650"/>
      <c r="F6" s="650">
        <f>67.1*E6</f>
        <v>0</v>
      </c>
      <c r="G6" s="650">
        <v>160</v>
      </c>
      <c r="H6" s="650">
        <f>28.2*G6</f>
        <v>4512</v>
      </c>
      <c r="I6" s="650">
        <v>700</v>
      </c>
      <c r="J6" s="650">
        <f>18.5*I6</f>
        <v>12950</v>
      </c>
      <c r="K6" s="650"/>
      <c r="L6" s="650">
        <f>19.5*K6</f>
        <v>0</v>
      </c>
      <c r="M6" s="650"/>
      <c r="N6" s="651">
        <f>M6*9.75</f>
        <v>0</v>
      </c>
      <c r="O6" s="650"/>
      <c r="P6" s="651">
        <f>O6*48.62</f>
        <v>0</v>
      </c>
      <c r="Q6" s="651"/>
      <c r="R6" s="651">
        <f>241*Q6</f>
        <v>0</v>
      </c>
      <c r="S6" s="650">
        <v>25</v>
      </c>
      <c r="T6" s="650">
        <f>241*S6</f>
        <v>6025</v>
      </c>
      <c r="U6" s="650"/>
      <c r="V6" s="650">
        <f>332*U6</f>
        <v>0</v>
      </c>
      <c r="W6" s="650">
        <v>8</v>
      </c>
      <c r="X6" s="19">
        <f>W6*100</f>
        <v>800</v>
      </c>
      <c r="Y6" s="20">
        <f t="shared" ref="Y6:Y12" si="0">D6+F6+H6+J6+L6+N6+P6+R6+T6+V6+X6</f>
        <v>50912.104999999996</v>
      </c>
    </row>
    <row r="7" spans="1:25" ht="31.5" customHeight="1" x14ac:dyDescent="0.25">
      <c r="A7" s="12">
        <v>1984225578</v>
      </c>
      <c r="B7" s="647" t="s">
        <v>72</v>
      </c>
      <c r="C7" s="650">
        <v>27733</v>
      </c>
      <c r="D7" s="651">
        <f t="shared" ref="D7:D11" si="1">0.9725*C7</f>
        <v>26970.342500000002</v>
      </c>
      <c r="E7" s="650"/>
      <c r="F7" s="650">
        <f t="shared" ref="F7:F11" si="2">67.1*E7</f>
        <v>0</v>
      </c>
      <c r="G7" s="650"/>
      <c r="H7" s="650">
        <f t="shared" ref="H7:H11" si="3">28.2*G7</f>
        <v>0</v>
      </c>
      <c r="I7" s="650"/>
      <c r="J7" s="650">
        <f t="shared" ref="J7:J11" si="4">18.5*I7</f>
        <v>0</v>
      </c>
      <c r="K7" s="650"/>
      <c r="L7" s="650">
        <f t="shared" ref="L7:L11" si="5">19.5*K7</f>
        <v>0</v>
      </c>
      <c r="M7" s="650"/>
      <c r="N7" s="651">
        <f t="shared" ref="N7:N11" si="6">M7*9.75</f>
        <v>0</v>
      </c>
      <c r="O7" s="650"/>
      <c r="P7" s="651">
        <f t="shared" ref="P7:P11" si="7">O7*48.62</f>
        <v>0</v>
      </c>
      <c r="Q7" s="651"/>
      <c r="R7" s="651">
        <f t="shared" ref="R7:R11" si="8">241*Q7</f>
        <v>0</v>
      </c>
      <c r="S7" s="650">
        <v>49</v>
      </c>
      <c r="T7" s="650">
        <f t="shared" ref="T7:T11" si="9">241*S7</f>
        <v>11809</v>
      </c>
      <c r="U7" s="650"/>
      <c r="V7" s="650">
        <f t="shared" ref="V7:V11" si="10">332*U7</f>
        <v>0</v>
      </c>
      <c r="W7" s="650"/>
      <c r="X7" s="19">
        <f t="shared" ref="X7:X11" si="11">W7*100</f>
        <v>0</v>
      </c>
      <c r="Y7" s="20">
        <f t="shared" si="0"/>
        <v>38779.342499999999</v>
      </c>
    </row>
    <row r="8" spans="1:25" ht="35.25" customHeight="1" x14ac:dyDescent="0.25">
      <c r="A8" s="12">
        <v>1967020280</v>
      </c>
      <c r="B8" s="647" t="s">
        <v>73</v>
      </c>
      <c r="C8" s="650">
        <v>23463</v>
      </c>
      <c r="D8" s="651">
        <f t="shared" si="1"/>
        <v>22817.767500000002</v>
      </c>
      <c r="E8" s="650"/>
      <c r="F8" s="650">
        <f t="shared" si="2"/>
        <v>0</v>
      </c>
      <c r="G8" s="650"/>
      <c r="H8" s="650">
        <f t="shared" si="3"/>
        <v>0</v>
      </c>
      <c r="I8" s="650">
        <v>530</v>
      </c>
      <c r="J8" s="650">
        <f t="shared" si="4"/>
        <v>9805</v>
      </c>
      <c r="K8" s="650"/>
      <c r="L8" s="650">
        <f t="shared" si="5"/>
        <v>0</v>
      </c>
      <c r="M8" s="650"/>
      <c r="N8" s="651">
        <f t="shared" si="6"/>
        <v>0</v>
      </c>
      <c r="O8" s="650"/>
      <c r="P8" s="651">
        <f t="shared" si="7"/>
        <v>0</v>
      </c>
      <c r="Q8" s="651"/>
      <c r="R8" s="651">
        <f t="shared" si="8"/>
        <v>0</v>
      </c>
      <c r="S8" s="650">
        <v>30</v>
      </c>
      <c r="T8" s="650">
        <f t="shared" si="9"/>
        <v>7230</v>
      </c>
      <c r="U8" s="650"/>
      <c r="V8" s="650">
        <f t="shared" si="10"/>
        <v>0</v>
      </c>
      <c r="W8" s="650"/>
      <c r="X8" s="19">
        <f t="shared" si="11"/>
        <v>0</v>
      </c>
      <c r="Y8" s="20">
        <f t="shared" si="0"/>
        <v>39852.767500000002</v>
      </c>
    </row>
    <row r="9" spans="1:25" ht="38.25" customHeight="1" x14ac:dyDescent="0.25">
      <c r="A9" s="12">
        <v>1984225580</v>
      </c>
      <c r="B9" s="647" t="s">
        <v>75</v>
      </c>
      <c r="C9" s="650">
        <v>57060</v>
      </c>
      <c r="D9" s="651">
        <f t="shared" si="1"/>
        <v>55490.85</v>
      </c>
      <c r="E9" s="650">
        <v>40</v>
      </c>
      <c r="F9" s="650">
        <f t="shared" si="2"/>
        <v>2684</v>
      </c>
      <c r="G9" s="650"/>
      <c r="H9" s="650">
        <f t="shared" si="3"/>
        <v>0</v>
      </c>
      <c r="I9" s="650">
        <v>70</v>
      </c>
      <c r="J9" s="650">
        <f t="shared" si="4"/>
        <v>1295</v>
      </c>
      <c r="K9" s="650"/>
      <c r="L9" s="650">
        <f t="shared" si="5"/>
        <v>0</v>
      </c>
      <c r="M9" s="650"/>
      <c r="N9" s="651">
        <f t="shared" si="6"/>
        <v>0</v>
      </c>
      <c r="O9" s="650"/>
      <c r="P9" s="651">
        <f t="shared" si="7"/>
        <v>0</v>
      </c>
      <c r="Q9" s="651"/>
      <c r="R9" s="651">
        <f t="shared" si="8"/>
        <v>0</v>
      </c>
      <c r="S9" s="650">
        <v>10</v>
      </c>
      <c r="T9" s="650">
        <f t="shared" si="9"/>
        <v>2410</v>
      </c>
      <c r="U9" s="650">
        <v>15</v>
      </c>
      <c r="V9" s="650">
        <f t="shared" si="10"/>
        <v>4980</v>
      </c>
      <c r="W9" s="650"/>
      <c r="X9" s="19">
        <f t="shared" si="11"/>
        <v>0</v>
      </c>
      <c r="Y9" s="20">
        <f t="shared" si="0"/>
        <v>66859.850000000006</v>
      </c>
    </row>
    <row r="10" spans="1:25" ht="35.25" customHeight="1" x14ac:dyDescent="0.25">
      <c r="A10" s="12">
        <v>1409935199</v>
      </c>
      <c r="C10" s="650"/>
      <c r="D10" s="651">
        <f t="shared" si="1"/>
        <v>0</v>
      </c>
      <c r="E10" s="650"/>
      <c r="F10" s="650">
        <f t="shared" si="2"/>
        <v>0</v>
      </c>
      <c r="G10" s="650"/>
      <c r="H10" s="650">
        <f t="shared" si="3"/>
        <v>0</v>
      </c>
      <c r="I10" s="650"/>
      <c r="J10" s="650">
        <f t="shared" si="4"/>
        <v>0</v>
      </c>
      <c r="K10" s="650"/>
      <c r="L10" s="650">
        <f t="shared" si="5"/>
        <v>0</v>
      </c>
      <c r="M10" s="650"/>
      <c r="N10" s="651">
        <f t="shared" si="6"/>
        <v>0</v>
      </c>
      <c r="O10" s="650"/>
      <c r="P10" s="651">
        <f t="shared" si="7"/>
        <v>0</v>
      </c>
      <c r="Q10" s="651"/>
      <c r="R10" s="651">
        <f t="shared" si="8"/>
        <v>0</v>
      </c>
      <c r="S10" s="650">
        <v>1</v>
      </c>
      <c r="T10" s="650">
        <f t="shared" si="9"/>
        <v>241</v>
      </c>
      <c r="U10" s="650"/>
      <c r="V10" s="650">
        <f t="shared" si="10"/>
        <v>0</v>
      </c>
      <c r="W10" s="650"/>
      <c r="X10" s="19">
        <f t="shared" si="11"/>
        <v>0</v>
      </c>
      <c r="Y10" s="20">
        <f t="shared" si="0"/>
        <v>241</v>
      </c>
    </row>
    <row r="11" spans="1:25" ht="37.5" customHeight="1" x14ac:dyDescent="0.25">
      <c r="A11" s="12"/>
      <c r="B11" s="649"/>
      <c r="C11" s="650"/>
      <c r="D11" s="22">
        <f t="shared" si="1"/>
        <v>0</v>
      </c>
      <c r="E11" s="650"/>
      <c r="F11" s="650">
        <f t="shared" si="2"/>
        <v>0</v>
      </c>
      <c r="G11" s="650"/>
      <c r="H11" s="650">
        <f t="shared" si="3"/>
        <v>0</v>
      </c>
      <c r="I11" s="650"/>
      <c r="J11" s="650">
        <f t="shared" si="4"/>
        <v>0</v>
      </c>
      <c r="K11" s="650"/>
      <c r="L11" s="650">
        <f t="shared" si="5"/>
        <v>0</v>
      </c>
      <c r="M11" s="650"/>
      <c r="N11" s="651">
        <f t="shared" si="6"/>
        <v>0</v>
      </c>
      <c r="O11" s="650"/>
      <c r="P11" s="651">
        <f t="shared" si="7"/>
        <v>0</v>
      </c>
      <c r="Q11" s="651"/>
      <c r="R11" s="651">
        <f t="shared" si="8"/>
        <v>0</v>
      </c>
      <c r="S11" s="650"/>
      <c r="T11" s="650">
        <f t="shared" si="9"/>
        <v>0</v>
      </c>
      <c r="U11" s="650"/>
      <c r="V11" s="650">
        <f t="shared" si="10"/>
        <v>0</v>
      </c>
      <c r="W11" s="650"/>
      <c r="X11" s="19">
        <f t="shared" si="11"/>
        <v>0</v>
      </c>
      <c r="Y11" s="20">
        <f t="shared" si="0"/>
        <v>0</v>
      </c>
    </row>
    <row r="12" spans="1:25" ht="29.25" customHeight="1" x14ac:dyDescent="0.25">
      <c r="A12" s="2235" t="s">
        <v>31</v>
      </c>
      <c r="B12" s="2235"/>
      <c r="C12" s="18">
        <f t="shared" ref="C12:X12" si="12">SUM(C6:C11)</f>
        <v>135634</v>
      </c>
      <c r="D12" s="18">
        <f t="shared" si="12"/>
        <v>131904.065</v>
      </c>
      <c r="E12" s="18">
        <f t="shared" si="12"/>
        <v>40</v>
      </c>
      <c r="F12" s="18">
        <f t="shared" si="12"/>
        <v>2684</v>
      </c>
      <c r="G12" s="18">
        <f t="shared" si="12"/>
        <v>160</v>
      </c>
      <c r="H12" s="18">
        <f t="shared" si="12"/>
        <v>4512</v>
      </c>
      <c r="I12" s="18">
        <f t="shared" si="12"/>
        <v>1300</v>
      </c>
      <c r="J12" s="18">
        <f t="shared" si="12"/>
        <v>24050</v>
      </c>
      <c r="K12" s="18">
        <f t="shared" si="12"/>
        <v>0</v>
      </c>
      <c r="L12" s="18">
        <f t="shared" si="12"/>
        <v>0</v>
      </c>
      <c r="M12" s="18">
        <f t="shared" si="12"/>
        <v>0</v>
      </c>
      <c r="N12" s="23">
        <f t="shared" si="12"/>
        <v>0</v>
      </c>
      <c r="O12" s="18">
        <f t="shared" si="12"/>
        <v>0</v>
      </c>
      <c r="P12" s="23">
        <f t="shared" si="12"/>
        <v>0</v>
      </c>
      <c r="Q12" s="23">
        <f t="shared" si="12"/>
        <v>0</v>
      </c>
      <c r="R12" s="23">
        <f>SUM(R6:R11)</f>
        <v>0</v>
      </c>
      <c r="S12" s="18">
        <f t="shared" si="12"/>
        <v>115</v>
      </c>
      <c r="T12" s="18">
        <f t="shared" si="12"/>
        <v>27715</v>
      </c>
      <c r="U12" s="18">
        <f t="shared" si="12"/>
        <v>15</v>
      </c>
      <c r="V12" s="18">
        <f t="shared" si="12"/>
        <v>4980</v>
      </c>
      <c r="W12" s="18">
        <f t="shared" si="12"/>
        <v>8</v>
      </c>
      <c r="X12" s="18">
        <f t="shared" si="12"/>
        <v>800</v>
      </c>
      <c r="Y12" s="20">
        <f t="shared" si="0"/>
        <v>196645.065</v>
      </c>
    </row>
    <row r="14" spans="1:25" ht="41.25" customHeight="1" x14ac:dyDescent="0.25">
      <c r="A14" s="30" t="s">
        <v>32</v>
      </c>
      <c r="B14" s="2236" t="s">
        <v>27</v>
      </c>
      <c r="C14" s="2236"/>
      <c r="D14" s="30" t="s">
        <v>333</v>
      </c>
      <c r="E14" s="30" t="s">
        <v>65</v>
      </c>
      <c r="F14" s="30" t="s">
        <v>34</v>
      </c>
      <c r="G14" s="30" t="s">
        <v>13</v>
      </c>
      <c r="H14" s="469" t="s">
        <v>173</v>
      </c>
      <c r="I14" s="30" t="s">
        <v>17</v>
      </c>
      <c r="J14" s="655" t="s">
        <v>174</v>
      </c>
      <c r="K14" s="30" t="s">
        <v>36</v>
      </c>
      <c r="L14" s="30" t="s">
        <v>175</v>
      </c>
      <c r="M14" s="30" t="s">
        <v>69</v>
      </c>
      <c r="N14" s="30" t="s">
        <v>70</v>
      </c>
      <c r="O14" s="655" t="s">
        <v>114</v>
      </c>
      <c r="P14" s="655" t="s">
        <v>368</v>
      </c>
      <c r="Q14" s="2300"/>
      <c r="R14" s="2301"/>
      <c r="S14" s="655"/>
      <c r="T14" s="2235" t="s">
        <v>46</v>
      </c>
      <c r="U14" s="647" t="s">
        <v>176</v>
      </c>
      <c r="V14" s="2260">
        <v>625</v>
      </c>
      <c r="W14" s="2268"/>
      <c r="X14" s="2261"/>
    </row>
    <row r="15" spans="1:25" ht="22.5" customHeight="1" x14ac:dyDescent="0.25">
      <c r="A15" s="100" t="s">
        <v>38</v>
      </c>
      <c r="B15" s="2260">
        <v>298842</v>
      </c>
      <c r="C15" s="2261"/>
      <c r="D15" s="652">
        <v>1130</v>
      </c>
      <c r="E15" s="652">
        <v>2520</v>
      </c>
      <c r="F15" s="652">
        <v>2100</v>
      </c>
      <c r="G15" s="652">
        <v>0</v>
      </c>
      <c r="H15" s="652">
        <v>378</v>
      </c>
      <c r="I15" s="652">
        <v>25</v>
      </c>
      <c r="J15" s="652">
        <v>22</v>
      </c>
      <c r="K15" s="652">
        <v>81</v>
      </c>
      <c r="L15" s="652">
        <v>86</v>
      </c>
      <c r="M15" s="652">
        <v>0</v>
      </c>
      <c r="N15" s="652">
        <v>100</v>
      </c>
      <c r="O15" s="652">
        <v>0</v>
      </c>
      <c r="P15" s="652">
        <v>511</v>
      </c>
      <c r="Q15" s="2260"/>
      <c r="R15" s="2261"/>
      <c r="S15" s="647"/>
      <c r="T15" s="2235"/>
      <c r="U15" s="647" t="s">
        <v>64</v>
      </c>
      <c r="V15" s="2262">
        <v>180268</v>
      </c>
      <c r="W15" s="2262"/>
      <c r="X15" s="2262"/>
    </row>
    <row r="16" spans="1:25" ht="24.75" customHeight="1" x14ac:dyDescent="0.25">
      <c r="A16" s="100" t="s">
        <v>39</v>
      </c>
      <c r="B16" s="2260">
        <v>135064</v>
      </c>
      <c r="C16" s="2261"/>
      <c r="D16" s="652"/>
      <c r="E16" s="652"/>
      <c r="F16" s="652"/>
      <c r="G16" s="652"/>
      <c r="H16" s="652"/>
      <c r="I16" s="652"/>
      <c r="J16" s="652"/>
      <c r="K16" s="652"/>
      <c r="L16" s="652"/>
      <c r="M16" s="652"/>
      <c r="N16" s="652"/>
      <c r="O16" s="652"/>
      <c r="P16" s="652"/>
      <c r="Q16" s="2225"/>
      <c r="R16" s="2225"/>
      <c r="S16" s="652"/>
      <c r="T16" s="2254" t="s">
        <v>55</v>
      </c>
      <c r="U16" s="2254"/>
      <c r="V16" s="2267">
        <f>Y12</f>
        <v>196645.065</v>
      </c>
      <c r="W16" s="2267"/>
      <c r="X16" s="2262"/>
    </row>
    <row r="17" spans="1:25" ht="28.5" customHeight="1" x14ac:dyDescent="0.25">
      <c r="A17" s="101" t="s">
        <v>44</v>
      </c>
      <c r="B17" s="2260"/>
      <c r="C17" s="2261"/>
      <c r="D17" s="652"/>
      <c r="E17" s="652"/>
      <c r="F17" s="652"/>
      <c r="G17" s="652"/>
      <c r="H17" s="652"/>
      <c r="I17" s="652"/>
      <c r="J17" s="652"/>
      <c r="K17" s="652"/>
      <c r="L17" s="652"/>
      <c r="M17" s="652"/>
      <c r="N17" s="652"/>
      <c r="O17" s="652"/>
      <c r="P17" s="652"/>
      <c r="Q17" s="2225"/>
      <c r="R17" s="2225"/>
      <c r="S17" s="649"/>
      <c r="T17" s="2294" t="s">
        <v>362</v>
      </c>
      <c r="U17" s="2295"/>
      <c r="V17" s="2296"/>
      <c r="W17" s="2296"/>
      <c r="X17" s="2296"/>
    </row>
    <row r="18" spans="1:25" ht="27" customHeight="1" x14ac:dyDescent="0.25">
      <c r="A18" s="100" t="s">
        <v>40</v>
      </c>
      <c r="B18" s="2264">
        <f>C12</f>
        <v>135634</v>
      </c>
      <c r="C18" s="2261"/>
      <c r="D18" s="653">
        <f>E12</f>
        <v>40</v>
      </c>
      <c r="E18" s="653">
        <f>G12</f>
        <v>160</v>
      </c>
      <c r="F18" s="653">
        <f>I12</f>
        <v>1300</v>
      </c>
      <c r="G18" s="653">
        <f>K12</f>
        <v>0</v>
      </c>
      <c r="H18" s="652">
        <v>115</v>
      </c>
      <c r="I18" s="653">
        <f>U12</f>
        <v>15</v>
      </c>
      <c r="J18" s="652"/>
      <c r="K18" s="653">
        <f>W12</f>
        <v>8</v>
      </c>
      <c r="L18" s="652"/>
      <c r="M18" s="653">
        <f>M12</f>
        <v>0</v>
      </c>
      <c r="N18" s="653">
        <f>O12</f>
        <v>0</v>
      </c>
      <c r="O18" s="654">
        <f>Q12</f>
        <v>0</v>
      </c>
      <c r="P18" s="652"/>
      <c r="Q18" s="2262"/>
      <c r="R18" s="2262"/>
      <c r="S18" s="647"/>
      <c r="T18" s="2254" t="s">
        <v>57</v>
      </c>
      <c r="U18" s="2254"/>
      <c r="V18" s="2262">
        <v>2370</v>
      </c>
      <c r="W18" s="2262"/>
      <c r="X18" s="2262"/>
      <c r="Y18" s="2269"/>
    </row>
    <row r="19" spans="1:25" ht="25.5" customHeight="1" x14ac:dyDescent="0.25">
      <c r="A19" s="100" t="s">
        <v>41</v>
      </c>
      <c r="B19" s="2260">
        <f>B15+B16+B17-B18</f>
        <v>298272</v>
      </c>
      <c r="C19" s="2261"/>
      <c r="D19" s="652">
        <f>D15+D16+D17-D18</f>
        <v>1090</v>
      </c>
      <c r="E19" s="652">
        <f t="shared" ref="E19:N19" si="13">E15+E16+E17-E18</f>
        <v>2360</v>
      </c>
      <c r="F19" s="652">
        <f t="shared" si="13"/>
        <v>800</v>
      </c>
      <c r="G19" s="652">
        <f t="shared" si="13"/>
        <v>0</v>
      </c>
      <c r="H19" s="652">
        <f t="shared" si="13"/>
        <v>263</v>
      </c>
      <c r="I19" s="652">
        <f t="shared" si="13"/>
        <v>10</v>
      </c>
      <c r="J19" s="652">
        <f t="shared" si="13"/>
        <v>22</v>
      </c>
      <c r="K19" s="652">
        <f t="shared" si="13"/>
        <v>73</v>
      </c>
      <c r="L19" s="652">
        <f t="shared" si="13"/>
        <v>86</v>
      </c>
      <c r="M19" s="652">
        <f t="shared" si="13"/>
        <v>0</v>
      </c>
      <c r="N19" s="652">
        <f t="shared" si="13"/>
        <v>100</v>
      </c>
      <c r="O19" s="652">
        <f>O15+O16+O17-O18</f>
        <v>0</v>
      </c>
      <c r="P19" s="652">
        <f>P15+P16+P17-P18</f>
        <v>511</v>
      </c>
      <c r="Q19" s="2260">
        <f t="shared" ref="Q19" si="14">Q15+Q16+Q17-Q18</f>
        <v>0</v>
      </c>
      <c r="R19" s="2261"/>
      <c r="S19" s="647">
        <f>S15+S16-S17-S18</f>
        <v>0</v>
      </c>
      <c r="T19" s="2256" t="s">
        <v>48</v>
      </c>
      <c r="U19" s="49" t="s">
        <v>58</v>
      </c>
      <c r="V19" s="2262">
        <v>120000</v>
      </c>
      <c r="W19" s="2262"/>
      <c r="X19" s="2262"/>
      <c r="Y19" s="2269"/>
    </row>
    <row r="20" spans="1:25" ht="23.25" customHeight="1" x14ac:dyDescent="0.25">
      <c r="A20" s="289" t="s">
        <v>187</v>
      </c>
      <c r="B20" s="2286">
        <f>B19*0.9625</f>
        <v>287086.8</v>
      </c>
      <c r="C20" s="2287"/>
      <c r="D20" s="290">
        <f>D19*66.41</f>
        <v>72386.899999999994</v>
      </c>
      <c r="E20" s="290">
        <f>28.2*E19</f>
        <v>66552</v>
      </c>
      <c r="F20" s="290">
        <f>18.31*F19</f>
        <v>14647.999999999998</v>
      </c>
      <c r="G20" s="290">
        <f>19.3*G19</f>
        <v>0</v>
      </c>
      <c r="H20" s="290">
        <f>241*H19</f>
        <v>63383</v>
      </c>
      <c r="I20" s="290">
        <f>323*I19</f>
        <v>3230</v>
      </c>
      <c r="J20" s="290">
        <f>241*J19</f>
        <v>5302</v>
      </c>
      <c r="K20" s="290">
        <f>K19*100</f>
        <v>7300</v>
      </c>
      <c r="L20" s="290">
        <f>241*L19</f>
        <v>20726</v>
      </c>
      <c r="M20" s="290">
        <f>9.65*M19</f>
        <v>0</v>
      </c>
      <c r="N20" s="290">
        <f>N19*48.2</f>
        <v>4820</v>
      </c>
      <c r="O20" s="290">
        <f>241*O19</f>
        <v>0</v>
      </c>
      <c r="P20" s="290">
        <f>241*P19</f>
        <v>123151</v>
      </c>
      <c r="Q20" s="2286">
        <f>241*Q19</f>
        <v>0</v>
      </c>
      <c r="R20" s="2287"/>
      <c r="S20" s="290">
        <f>241*S19</f>
        <v>0</v>
      </c>
      <c r="T20" s="2257"/>
      <c r="U20" s="49" t="s">
        <v>59</v>
      </c>
      <c r="V20" s="2262"/>
      <c r="W20" s="2262"/>
      <c r="X20" s="2262"/>
      <c r="Y20" s="2269"/>
    </row>
    <row r="21" spans="1:25" ht="32.25" customHeight="1" x14ac:dyDescent="0.25">
      <c r="A21" s="291" t="s">
        <v>186</v>
      </c>
      <c r="B21" s="2293">
        <f>SUM(B20:S20)</f>
        <v>668585.69999999995</v>
      </c>
      <c r="C21" s="2293"/>
      <c r="O21" s="656"/>
      <c r="P21" s="656"/>
      <c r="Q21" s="656"/>
      <c r="R21" s="656"/>
      <c r="T21" s="2294" t="s">
        <v>366</v>
      </c>
      <c r="U21" s="2295"/>
      <c r="V21" s="2297"/>
      <c r="W21" s="2298"/>
      <c r="X21" s="2299"/>
      <c r="Y21" s="2269"/>
    </row>
    <row r="22" spans="1:25" ht="35.25" customHeight="1" x14ac:dyDescent="0.25">
      <c r="A22" s="15"/>
      <c r="B22" s="2288" t="s">
        <v>49</v>
      </c>
      <c r="C22" s="2291">
        <v>635974</v>
      </c>
      <c r="D22" s="2291">
        <v>120000</v>
      </c>
      <c r="E22" s="2291">
        <v>130000</v>
      </c>
      <c r="F22" s="2291">
        <f>C22-D22+E22</f>
        <v>645974</v>
      </c>
      <c r="G22" s="656"/>
      <c r="Q22" s="656"/>
      <c r="R22" s="656"/>
      <c r="T22" s="2251" t="s">
        <v>83</v>
      </c>
      <c r="U22" s="50" t="s">
        <v>60</v>
      </c>
      <c r="V22" s="2262">
        <v>193570</v>
      </c>
      <c r="W22" s="2262"/>
      <c r="X22" s="2262"/>
      <c r="Y22" s="2269"/>
    </row>
    <row r="23" spans="1:25" ht="39.75" customHeight="1" x14ac:dyDescent="0.25">
      <c r="A23" s="656"/>
      <c r="B23" s="2289"/>
      <c r="C23" s="2292"/>
      <c r="D23" s="2292"/>
      <c r="E23" s="2292"/>
      <c r="F23" s="2292"/>
      <c r="G23" s="656"/>
      <c r="Q23" s="656"/>
      <c r="R23" s="656"/>
      <c r="T23" s="2252"/>
      <c r="U23" s="50" t="s">
        <v>61</v>
      </c>
      <c r="V23" s="2262">
        <v>120000</v>
      </c>
      <c r="W23" s="2262"/>
      <c r="X23" s="2262"/>
      <c r="Y23" s="2269"/>
    </row>
    <row r="24" spans="1:25" ht="48" customHeight="1" x14ac:dyDescent="0.25">
      <c r="A24" s="656"/>
      <c r="B24" s="2290"/>
      <c r="C24" s="290" t="s">
        <v>46</v>
      </c>
      <c r="D24" s="290" t="s">
        <v>50</v>
      </c>
      <c r="E24" s="290" t="s">
        <v>51</v>
      </c>
      <c r="F24" s="290" t="s">
        <v>52</v>
      </c>
      <c r="G24" s="656"/>
      <c r="Q24" s="656"/>
      <c r="R24" s="656"/>
      <c r="T24" s="2235" t="s">
        <v>47</v>
      </c>
      <c r="U24" s="51" t="s">
        <v>62</v>
      </c>
      <c r="V24" s="2263">
        <f>V14+V16+V17-V18-V19-V20-V22+V23-V21</f>
        <v>1330.0650000000023</v>
      </c>
      <c r="W24" s="2263"/>
      <c r="X24" s="2263"/>
      <c r="Y24" s="2269"/>
    </row>
    <row r="25" spans="1:25" ht="40.5" customHeight="1" x14ac:dyDescent="0.25">
      <c r="T25" s="2235"/>
      <c r="U25" s="51" t="s">
        <v>63</v>
      </c>
      <c r="V25" s="2262">
        <f>V15+V22-V23</f>
        <v>253838</v>
      </c>
      <c r="W25" s="2262"/>
      <c r="X25" s="2262"/>
    </row>
    <row r="26" spans="1:25" ht="36" customHeight="1" x14ac:dyDescent="0.25">
      <c r="K26" s="314"/>
    </row>
    <row r="28" spans="1:25" x14ac:dyDescent="0.25">
      <c r="J28" s="14" t="s">
        <v>139</v>
      </c>
    </row>
    <row r="32" spans="1:25" x14ac:dyDescent="0.25">
      <c r="I32" s="2280"/>
      <c r="J32" s="2280"/>
      <c r="K32" s="2280"/>
      <c r="L32" s="2280"/>
    </row>
    <row r="33" spans="9:12" x14ac:dyDescent="0.25">
      <c r="I33" s="656"/>
      <c r="J33" s="656"/>
      <c r="K33" s="2280"/>
      <c r="L33" s="2280"/>
    </row>
  </sheetData>
  <mergeCells count="62">
    <mergeCell ref="I32:J32"/>
    <mergeCell ref="K32:L32"/>
    <mergeCell ref="K33:L33"/>
    <mergeCell ref="T22:T23"/>
    <mergeCell ref="V22:X22"/>
    <mergeCell ref="V23:X23"/>
    <mergeCell ref="T24:T25"/>
    <mergeCell ref="V24:X24"/>
    <mergeCell ref="V25:X25"/>
    <mergeCell ref="Y18:Y24"/>
    <mergeCell ref="B19:C19"/>
    <mergeCell ref="Q19:R19"/>
    <mergeCell ref="T19:T20"/>
    <mergeCell ref="V19:X19"/>
    <mergeCell ref="B20:C20"/>
    <mergeCell ref="B22:B24"/>
    <mergeCell ref="C22:C23"/>
    <mergeCell ref="D22:D23"/>
    <mergeCell ref="E22:E23"/>
    <mergeCell ref="F22:F23"/>
    <mergeCell ref="Q20:R20"/>
    <mergeCell ref="V20:X20"/>
    <mergeCell ref="B21:C21"/>
    <mergeCell ref="T21:U21"/>
    <mergeCell ref="V21:X21"/>
    <mergeCell ref="B17:C17"/>
    <mergeCell ref="Q17:R17"/>
    <mergeCell ref="T17:U17"/>
    <mergeCell ref="V17:X17"/>
    <mergeCell ref="B18:C18"/>
    <mergeCell ref="Q18:R18"/>
    <mergeCell ref="T18:U18"/>
    <mergeCell ref="V18:X18"/>
    <mergeCell ref="W4:X4"/>
    <mergeCell ref="B16:C16"/>
    <mergeCell ref="Q16:R16"/>
    <mergeCell ref="T16:U16"/>
    <mergeCell ref="V16:X16"/>
    <mergeCell ref="A12:B12"/>
    <mergeCell ref="B14:C14"/>
    <mergeCell ref="Q14:R14"/>
    <mergeCell ref="T14:T15"/>
    <mergeCell ref="V14:X14"/>
    <mergeCell ref="B15:C15"/>
    <mergeCell ref="Q15:R15"/>
    <mergeCell ref="V15:X15"/>
    <mergeCell ref="A1:Y1"/>
    <mergeCell ref="A2:Y2"/>
    <mergeCell ref="T3:Y3"/>
    <mergeCell ref="A4:A5"/>
    <mergeCell ref="B4:B5"/>
    <mergeCell ref="C4:D4"/>
    <mergeCell ref="E4:F4"/>
    <mergeCell ref="G4:H4"/>
    <mergeCell ref="I4:J4"/>
    <mergeCell ref="K4:L4"/>
    <mergeCell ref="Y4:Y5"/>
    <mergeCell ref="M4:N4"/>
    <mergeCell ref="O4:P4"/>
    <mergeCell ref="Q4:R4"/>
    <mergeCell ref="S4:T4"/>
    <mergeCell ref="U4:V4"/>
  </mergeCells>
  <pageMargins left="0.15748031496063" right="0.15748031496063" top="0" bottom="0" header="0" footer="0"/>
  <pageSetup paperSize="9" scale="47" orientation="landscape" r:id="rId1"/>
</worksheet>
</file>

<file path=xl/worksheets/sheet16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34B7D19-21D0-40BD-8729-CFBA57853020}">
  <sheetPr>
    <pageSetUpPr fitToPage="1"/>
  </sheetPr>
  <dimension ref="A1:Y33"/>
  <sheetViews>
    <sheetView topLeftCell="A9" zoomScale="70" zoomScaleNormal="70" zoomScaleSheetLayoutView="100" workbookViewId="0">
      <selection activeCell="L24" sqref="L24"/>
    </sheetView>
  </sheetViews>
  <sheetFormatPr defaultColWidth="9.140625" defaultRowHeight="15" x14ac:dyDescent="0.25"/>
  <cols>
    <col min="1" max="1" width="18.28515625" style="14" customWidth="1"/>
    <col min="2" max="2" width="10.7109375" style="14" customWidth="1"/>
    <col min="3" max="3" width="12.28515625" style="14" customWidth="1"/>
    <col min="4" max="4" width="13.140625" style="14" bestFit="1" customWidth="1"/>
    <col min="5" max="5" width="12" style="14" customWidth="1"/>
    <col min="6" max="6" width="12.5703125" style="14" bestFit="1" customWidth="1"/>
    <col min="7" max="7" width="9.28515625" style="14" bestFit="1" customWidth="1"/>
    <col min="8" max="8" width="10.140625" style="14" bestFit="1" customWidth="1"/>
    <col min="9" max="9" width="10.5703125" style="14" bestFit="1" customWidth="1"/>
    <col min="10" max="10" width="10.5703125" style="14" customWidth="1"/>
    <col min="11" max="11" width="10.28515625" style="14" bestFit="1" customWidth="1"/>
    <col min="12" max="12" width="10.42578125" style="14" bestFit="1" customWidth="1"/>
    <col min="13" max="13" width="9.85546875" style="14" bestFit="1" customWidth="1"/>
    <col min="14" max="14" width="10.140625" style="14" bestFit="1" customWidth="1"/>
    <col min="15" max="15" width="9" style="14" customWidth="1"/>
    <col min="16" max="16" width="12.85546875" style="14" bestFit="1" customWidth="1"/>
    <col min="17" max="18" width="9.42578125" style="14" customWidth="1"/>
    <col min="19" max="19" width="13.7109375" style="14" customWidth="1"/>
    <col min="20" max="20" width="12.140625" style="14" customWidth="1"/>
    <col min="21" max="21" width="19.5703125" style="14" bestFit="1" customWidth="1"/>
    <col min="22" max="22" width="9.85546875" style="14" customWidth="1"/>
    <col min="23" max="23" width="10.140625" style="14" bestFit="1" customWidth="1"/>
    <col min="24" max="24" width="10.28515625" style="14" customWidth="1"/>
    <col min="25" max="25" width="28" style="14" customWidth="1"/>
    <col min="26" max="16384" width="9.140625" style="14"/>
  </cols>
  <sheetData>
    <row r="1" spans="1:25" ht="46.15" customHeight="1" x14ac:dyDescent="0.25">
      <c r="A1" s="2240" t="s">
        <v>148</v>
      </c>
      <c r="B1" s="2240"/>
      <c r="C1" s="2240"/>
      <c r="D1" s="2240"/>
      <c r="E1" s="2240"/>
      <c r="F1" s="2240"/>
      <c r="G1" s="2240"/>
      <c r="H1" s="2240"/>
      <c r="I1" s="2240"/>
      <c r="J1" s="2240"/>
      <c r="K1" s="2240"/>
      <c r="L1" s="2240"/>
      <c r="M1" s="2240"/>
      <c r="N1" s="2240"/>
      <c r="O1" s="2240"/>
      <c r="P1" s="2240"/>
      <c r="Q1" s="2240"/>
      <c r="R1" s="2240"/>
      <c r="S1" s="2240"/>
      <c r="T1" s="2240"/>
      <c r="U1" s="2240"/>
      <c r="V1" s="2240"/>
      <c r="W1" s="2240"/>
      <c r="X1" s="2240"/>
      <c r="Y1" s="2240"/>
    </row>
    <row r="2" spans="1:25" ht="21.6" customHeight="1" x14ac:dyDescent="0.25">
      <c r="A2" s="2241" t="s">
        <v>77</v>
      </c>
      <c r="B2" s="2241"/>
      <c r="C2" s="2241"/>
      <c r="D2" s="2241"/>
      <c r="E2" s="2241"/>
      <c r="F2" s="2241"/>
      <c r="G2" s="2241"/>
      <c r="H2" s="2241"/>
      <c r="I2" s="2241"/>
      <c r="J2" s="2241"/>
      <c r="K2" s="2241"/>
      <c r="L2" s="2241"/>
      <c r="M2" s="2241"/>
      <c r="N2" s="2241"/>
      <c r="O2" s="2241"/>
      <c r="P2" s="2241"/>
      <c r="Q2" s="2241"/>
      <c r="R2" s="2241"/>
      <c r="S2" s="2241"/>
      <c r="T2" s="2241"/>
      <c r="U2" s="2241"/>
      <c r="V2" s="2241"/>
      <c r="W2" s="2241"/>
      <c r="X2" s="2241"/>
      <c r="Y2" s="2241"/>
    </row>
    <row r="3" spans="1:25" ht="21" customHeight="1" x14ac:dyDescent="0.25">
      <c r="A3" s="662"/>
      <c r="B3" s="662"/>
      <c r="C3" s="662"/>
      <c r="D3" s="662"/>
      <c r="E3" s="662"/>
      <c r="F3" s="662"/>
      <c r="G3" s="662"/>
      <c r="H3" s="662"/>
      <c r="I3" s="662"/>
      <c r="J3" s="662"/>
      <c r="K3" s="662"/>
      <c r="L3" s="662"/>
      <c r="M3" s="662"/>
      <c r="N3" s="662"/>
      <c r="O3" s="662"/>
      <c r="P3" s="662"/>
      <c r="Q3" s="662"/>
      <c r="R3" s="662"/>
      <c r="S3" s="662"/>
      <c r="T3" s="2242" t="s">
        <v>376</v>
      </c>
      <c r="U3" s="2242"/>
      <c r="V3" s="2242"/>
      <c r="W3" s="2242"/>
      <c r="X3" s="2242"/>
      <c r="Y3" s="2242"/>
    </row>
    <row r="4" spans="1:25" s="662" customFormat="1" ht="18" customHeight="1" x14ac:dyDescent="0.25">
      <c r="A4" s="2243" t="s">
        <v>25</v>
      </c>
      <c r="B4" s="2243" t="s">
        <v>26</v>
      </c>
      <c r="C4" s="2244" t="s">
        <v>27</v>
      </c>
      <c r="D4" s="2244"/>
      <c r="E4" s="2244" t="s">
        <v>342</v>
      </c>
      <c r="F4" s="2244"/>
      <c r="G4" s="2244" t="s">
        <v>65</v>
      </c>
      <c r="H4" s="2244"/>
      <c r="I4" s="2244" t="s">
        <v>29</v>
      </c>
      <c r="J4" s="2244"/>
      <c r="K4" s="2245" t="s">
        <v>13</v>
      </c>
      <c r="L4" s="2246"/>
      <c r="M4" s="2245" t="s">
        <v>67</v>
      </c>
      <c r="N4" s="2246"/>
      <c r="O4" s="2245" t="s">
        <v>68</v>
      </c>
      <c r="P4" s="2246"/>
      <c r="Q4" s="2245" t="s">
        <v>114</v>
      </c>
      <c r="R4" s="2246"/>
      <c r="S4" s="2244" t="s">
        <v>35</v>
      </c>
      <c r="T4" s="2244"/>
      <c r="U4" s="2245" t="s">
        <v>17</v>
      </c>
      <c r="V4" s="2246"/>
      <c r="W4" s="2247" t="s">
        <v>36</v>
      </c>
      <c r="X4" s="2248"/>
      <c r="Y4" s="2238" t="s">
        <v>30</v>
      </c>
    </row>
    <row r="5" spans="1:25" s="662" customFormat="1" ht="25.5" customHeight="1" x14ac:dyDescent="0.25">
      <c r="A5" s="2243"/>
      <c r="B5" s="2243"/>
      <c r="C5" s="661" t="s">
        <v>42</v>
      </c>
      <c r="D5" s="661" t="s">
        <v>43</v>
      </c>
      <c r="E5" s="661" t="s">
        <v>42</v>
      </c>
      <c r="F5" s="661" t="s">
        <v>43</v>
      </c>
      <c r="G5" s="661" t="s">
        <v>42</v>
      </c>
      <c r="H5" s="661" t="s">
        <v>43</v>
      </c>
      <c r="I5" s="661" t="s">
        <v>42</v>
      </c>
      <c r="J5" s="661" t="s">
        <v>43</v>
      </c>
      <c r="K5" s="661" t="s">
        <v>42</v>
      </c>
      <c r="L5" s="661" t="s">
        <v>43</v>
      </c>
      <c r="M5" s="661" t="s">
        <v>42</v>
      </c>
      <c r="N5" s="661" t="s">
        <v>43</v>
      </c>
      <c r="O5" s="661" t="s">
        <v>42</v>
      </c>
      <c r="P5" s="661" t="s">
        <v>43</v>
      </c>
      <c r="Q5" s="661" t="s">
        <v>42</v>
      </c>
      <c r="R5" s="661" t="s">
        <v>43</v>
      </c>
      <c r="S5" s="33" t="s">
        <v>42</v>
      </c>
      <c r="T5" s="33" t="s">
        <v>43</v>
      </c>
      <c r="U5" s="30" t="s">
        <v>42</v>
      </c>
      <c r="V5" s="30" t="s">
        <v>43</v>
      </c>
      <c r="W5" s="30" t="s">
        <v>42</v>
      </c>
      <c r="X5" s="30" t="s">
        <v>43</v>
      </c>
      <c r="Y5" s="2239"/>
    </row>
    <row r="6" spans="1:25" ht="34.5" customHeight="1" x14ac:dyDescent="0.25">
      <c r="A6" s="12">
        <v>1409935200</v>
      </c>
      <c r="B6" s="660" t="s">
        <v>71</v>
      </c>
      <c r="C6" s="658">
        <v>55231</v>
      </c>
      <c r="D6" s="657">
        <f>0.9725*C6</f>
        <v>53712.147499999999</v>
      </c>
      <c r="E6" s="658"/>
      <c r="F6" s="658">
        <f>67.1*E6</f>
        <v>0</v>
      </c>
      <c r="G6" s="658">
        <v>20</v>
      </c>
      <c r="H6" s="658">
        <f>28.2*G6</f>
        <v>564</v>
      </c>
      <c r="I6" s="658">
        <v>500</v>
      </c>
      <c r="J6" s="658">
        <f>18.5*I6</f>
        <v>9250</v>
      </c>
      <c r="K6" s="658"/>
      <c r="L6" s="658">
        <f>19.5*K6</f>
        <v>0</v>
      </c>
      <c r="M6" s="658"/>
      <c r="N6" s="657">
        <f>M6*9.75</f>
        <v>0</v>
      </c>
      <c r="O6" s="658"/>
      <c r="P6" s="657">
        <f>O6*48.62</f>
        <v>0</v>
      </c>
      <c r="Q6" s="657"/>
      <c r="R6" s="657">
        <f>241*Q6</f>
        <v>0</v>
      </c>
      <c r="S6" s="658">
        <v>25</v>
      </c>
      <c r="T6" s="658">
        <f>241*S6</f>
        <v>6025</v>
      </c>
      <c r="U6" s="658"/>
      <c r="V6" s="658">
        <f>332*U6</f>
        <v>0</v>
      </c>
      <c r="W6" s="658"/>
      <c r="X6" s="19">
        <f>W6*100</f>
        <v>0</v>
      </c>
      <c r="Y6" s="20">
        <f t="shared" ref="Y6:Y12" si="0">D6+F6+H6+J6+L6+N6+P6+R6+T6+V6+X6</f>
        <v>69551.147499999992</v>
      </c>
    </row>
    <row r="7" spans="1:25" ht="31.5" customHeight="1" x14ac:dyDescent="0.25">
      <c r="A7" s="12">
        <v>1984225578</v>
      </c>
      <c r="B7" s="660" t="s">
        <v>72</v>
      </c>
      <c r="C7" s="658">
        <v>31547</v>
      </c>
      <c r="D7" s="657">
        <f t="shared" ref="D7:D11" si="1">0.9725*C7</f>
        <v>30679.4575</v>
      </c>
      <c r="E7" s="658"/>
      <c r="F7" s="658">
        <f t="shared" ref="F7:F11" si="2">67.1*E7</f>
        <v>0</v>
      </c>
      <c r="G7" s="658"/>
      <c r="H7" s="658">
        <f t="shared" ref="H7:H11" si="3">28.2*G7</f>
        <v>0</v>
      </c>
      <c r="I7" s="658"/>
      <c r="J7" s="658">
        <f t="shared" ref="J7:J11" si="4">18.5*I7</f>
        <v>0</v>
      </c>
      <c r="K7" s="658"/>
      <c r="L7" s="658">
        <f t="shared" ref="L7:L11" si="5">19.5*K7</f>
        <v>0</v>
      </c>
      <c r="M7" s="658"/>
      <c r="N7" s="657">
        <f t="shared" ref="N7:N11" si="6">M7*9.75</f>
        <v>0</v>
      </c>
      <c r="O7" s="658"/>
      <c r="P7" s="657">
        <f t="shared" ref="P7:P11" si="7">O7*48.62</f>
        <v>0</v>
      </c>
      <c r="Q7" s="657"/>
      <c r="R7" s="657">
        <f t="shared" ref="R7:R11" si="8">241*Q7</f>
        <v>0</v>
      </c>
      <c r="S7" s="658">
        <v>17</v>
      </c>
      <c r="T7" s="658">
        <f t="shared" ref="T7:T11" si="9">241*S7</f>
        <v>4097</v>
      </c>
      <c r="U7" s="658"/>
      <c r="V7" s="658">
        <f t="shared" ref="V7:V11" si="10">332*U7</f>
        <v>0</v>
      </c>
      <c r="W7" s="658"/>
      <c r="X7" s="19">
        <f t="shared" ref="X7:X11" si="11">W7*100</f>
        <v>0</v>
      </c>
      <c r="Y7" s="20">
        <f t="shared" si="0"/>
        <v>34776.457500000004</v>
      </c>
    </row>
    <row r="8" spans="1:25" ht="35.25" customHeight="1" x14ac:dyDescent="0.25">
      <c r="A8" s="12">
        <v>1967020280</v>
      </c>
      <c r="B8" s="660" t="s">
        <v>73</v>
      </c>
      <c r="C8" s="658">
        <v>41726</v>
      </c>
      <c r="D8" s="657">
        <f t="shared" si="1"/>
        <v>40578.535000000003</v>
      </c>
      <c r="E8" s="658"/>
      <c r="F8" s="658">
        <f t="shared" si="2"/>
        <v>0</v>
      </c>
      <c r="G8" s="658">
        <v>60</v>
      </c>
      <c r="H8" s="658">
        <f t="shared" si="3"/>
        <v>1692</v>
      </c>
      <c r="I8" s="658"/>
      <c r="J8" s="658">
        <f t="shared" si="4"/>
        <v>0</v>
      </c>
      <c r="K8" s="658"/>
      <c r="L8" s="658">
        <f t="shared" si="5"/>
        <v>0</v>
      </c>
      <c r="M8" s="658"/>
      <c r="N8" s="657">
        <f t="shared" si="6"/>
        <v>0</v>
      </c>
      <c r="O8" s="658"/>
      <c r="P8" s="657">
        <f t="shared" si="7"/>
        <v>0</v>
      </c>
      <c r="Q8" s="657"/>
      <c r="R8" s="657">
        <f t="shared" si="8"/>
        <v>0</v>
      </c>
      <c r="S8" s="658"/>
      <c r="T8" s="658">
        <f t="shared" si="9"/>
        <v>0</v>
      </c>
      <c r="U8" s="658"/>
      <c r="V8" s="658">
        <f t="shared" si="10"/>
        <v>0</v>
      </c>
      <c r="W8" s="658"/>
      <c r="X8" s="19">
        <f t="shared" si="11"/>
        <v>0</v>
      </c>
      <c r="Y8" s="20">
        <f t="shared" si="0"/>
        <v>42270.535000000003</v>
      </c>
    </row>
    <row r="9" spans="1:25" ht="38.25" customHeight="1" x14ac:dyDescent="0.25">
      <c r="A9" s="12">
        <v>1984225580</v>
      </c>
      <c r="B9" s="660" t="s">
        <v>75</v>
      </c>
      <c r="C9" s="658">
        <v>19217</v>
      </c>
      <c r="D9" s="657">
        <f t="shared" si="1"/>
        <v>18688.532500000001</v>
      </c>
      <c r="E9" s="658"/>
      <c r="F9" s="658">
        <f t="shared" si="2"/>
        <v>0</v>
      </c>
      <c r="G9" s="658"/>
      <c r="H9" s="658">
        <f t="shared" si="3"/>
        <v>0</v>
      </c>
      <c r="I9" s="658">
        <v>30</v>
      </c>
      <c r="J9" s="658">
        <f t="shared" si="4"/>
        <v>555</v>
      </c>
      <c r="K9" s="658"/>
      <c r="L9" s="658">
        <f t="shared" si="5"/>
        <v>0</v>
      </c>
      <c r="M9" s="658"/>
      <c r="N9" s="657">
        <f t="shared" si="6"/>
        <v>0</v>
      </c>
      <c r="O9" s="658"/>
      <c r="P9" s="657">
        <f t="shared" si="7"/>
        <v>0</v>
      </c>
      <c r="Q9" s="657"/>
      <c r="R9" s="657">
        <f t="shared" si="8"/>
        <v>0</v>
      </c>
      <c r="S9" s="658"/>
      <c r="T9" s="658">
        <f t="shared" si="9"/>
        <v>0</v>
      </c>
      <c r="U9" s="658"/>
      <c r="V9" s="658">
        <f t="shared" si="10"/>
        <v>0</v>
      </c>
      <c r="W9" s="658">
        <v>1</v>
      </c>
      <c r="X9" s="19">
        <f t="shared" si="11"/>
        <v>100</v>
      </c>
      <c r="Y9" s="20">
        <f t="shared" si="0"/>
        <v>19343.532500000001</v>
      </c>
    </row>
    <row r="10" spans="1:25" ht="35.25" customHeight="1" x14ac:dyDescent="0.25">
      <c r="A10" s="12">
        <v>1409935199</v>
      </c>
      <c r="C10" s="658">
        <v>7116</v>
      </c>
      <c r="D10" s="657">
        <f t="shared" si="1"/>
        <v>6920.31</v>
      </c>
      <c r="E10" s="658">
        <v>1</v>
      </c>
      <c r="F10" s="658">
        <f t="shared" si="2"/>
        <v>67.099999999999994</v>
      </c>
      <c r="G10" s="658"/>
      <c r="H10" s="658">
        <f t="shared" si="3"/>
        <v>0</v>
      </c>
      <c r="I10" s="658"/>
      <c r="J10" s="658">
        <f t="shared" si="4"/>
        <v>0</v>
      </c>
      <c r="K10" s="658"/>
      <c r="L10" s="658">
        <f t="shared" si="5"/>
        <v>0</v>
      </c>
      <c r="M10" s="658"/>
      <c r="N10" s="657">
        <f t="shared" si="6"/>
        <v>0</v>
      </c>
      <c r="O10" s="658"/>
      <c r="P10" s="657">
        <f t="shared" si="7"/>
        <v>0</v>
      </c>
      <c r="Q10" s="657"/>
      <c r="R10" s="657">
        <f t="shared" si="8"/>
        <v>0</v>
      </c>
      <c r="S10" s="658"/>
      <c r="T10" s="658">
        <f t="shared" si="9"/>
        <v>0</v>
      </c>
      <c r="U10" s="658"/>
      <c r="V10" s="658">
        <f t="shared" si="10"/>
        <v>0</v>
      </c>
      <c r="W10" s="658"/>
      <c r="X10" s="19">
        <f t="shared" si="11"/>
        <v>0</v>
      </c>
      <c r="Y10" s="20">
        <f t="shared" si="0"/>
        <v>6987.4100000000008</v>
      </c>
    </row>
    <row r="11" spans="1:25" ht="37.5" customHeight="1" x14ac:dyDescent="0.25">
      <c r="A11" s="12"/>
      <c r="B11" s="659"/>
      <c r="C11" s="658"/>
      <c r="D11" s="22">
        <f t="shared" si="1"/>
        <v>0</v>
      </c>
      <c r="E11" s="658"/>
      <c r="F11" s="658">
        <f t="shared" si="2"/>
        <v>0</v>
      </c>
      <c r="G11" s="658"/>
      <c r="H11" s="658">
        <f t="shared" si="3"/>
        <v>0</v>
      </c>
      <c r="I11" s="658"/>
      <c r="J11" s="658">
        <f t="shared" si="4"/>
        <v>0</v>
      </c>
      <c r="K11" s="658"/>
      <c r="L11" s="658">
        <f t="shared" si="5"/>
        <v>0</v>
      </c>
      <c r="M11" s="658"/>
      <c r="N11" s="657">
        <f t="shared" si="6"/>
        <v>0</v>
      </c>
      <c r="O11" s="658"/>
      <c r="P11" s="657">
        <f t="shared" si="7"/>
        <v>0</v>
      </c>
      <c r="Q11" s="657"/>
      <c r="R11" s="657">
        <f t="shared" si="8"/>
        <v>0</v>
      </c>
      <c r="S11" s="658">
        <v>41</v>
      </c>
      <c r="T11" s="658">
        <f t="shared" si="9"/>
        <v>9881</v>
      </c>
      <c r="U11" s="658"/>
      <c r="V11" s="658">
        <f t="shared" si="10"/>
        <v>0</v>
      </c>
      <c r="W11" s="658"/>
      <c r="X11" s="19">
        <f t="shared" si="11"/>
        <v>0</v>
      </c>
      <c r="Y11" s="20">
        <f t="shared" si="0"/>
        <v>9881</v>
      </c>
    </row>
    <row r="12" spans="1:25" ht="29.25" customHeight="1" x14ac:dyDescent="0.25">
      <c r="A12" s="2235" t="s">
        <v>31</v>
      </c>
      <c r="B12" s="2235"/>
      <c r="C12" s="18">
        <f t="shared" ref="C12:X12" si="12">SUM(C6:C11)</f>
        <v>154837</v>
      </c>
      <c r="D12" s="18">
        <f t="shared" si="12"/>
        <v>150578.98249999998</v>
      </c>
      <c r="E12" s="18">
        <f t="shared" si="12"/>
        <v>1</v>
      </c>
      <c r="F12" s="18">
        <f t="shared" si="12"/>
        <v>67.099999999999994</v>
      </c>
      <c r="G12" s="18">
        <f t="shared" si="12"/>
        <v>80</v>
      </c>
      <c r="H12" s="18">
        <f t="shared" si="12"/>
        <v>2256</v>
      </c>
      <c r="I12" s="18">
        <f t="shared" si="12"/>
        <v>530</v>
      </c>
      <c r="J12" s="18">
        <f t="shared" si="12"/>
        <v>9805</v>
      </c>
      <c r="K12" s="18">
        <f t="shared" si="12"/>
        <v>0</v>
      </c>
      <c r="L12" s="18">
        <f t="shared" si="12"/>
        <v>0</v>
      </c>
      <c r="M12" s="18">
        <f t="shared" si="12"/>
        <v>0</v>
      </c>
      <c r="N12" s="23">
        <f t="shared" si="12"/>
        <v>0</v>
      </c>
      <c r="O12" s="18">
        <f t="shared" si="12"/>
        <v>0</v>
      </c>
      <c r="P12" s="23">
        <f t="shared" si="12"/>
        <v>0</v>
      </c>
      <c r="Q12" s="23">
        <f t="shared" si="12"/>
        <v>0</v>
      </c>
      <c r="R12" s="23">
        <f>SUM(R6:R11)</f>
        <v>0</v>
      </c>
      <c r="S12" s="18">
        <f t="shared" si="12"/>
        <v>83</v>
      </c>
      <c r="T12" s="18">
        <f t="shared" si="12"/>
        <v>20003</v>
      </c>
      <c r="U12" s="18">
        <f t="shared" si="12"/>
        <v>0</v>
      </c>
      <c r="V12" s="18">
        <f t="shared" si="12"/>
        <v>0</v>
      </c>
      <c r="W12" s="18">
        <f t="shared" si="12"/>
        <v>1</v>
      </c>
      <c r="X12" s="18">
        <f t="shared" si="12"/>
        <v>100</v>
      </c>
      <c r="Y12" s="20">
        <f t="shared" si="0"/>
        <v>182810.08249999999</v>
      </c>
    </row>
    <row r="14" spans="1:25" ht="41.25" customHeight="1" x14ac:dyDescent="0.25">
      <c r="A14" s="30" t="s">
        <v>32</v>
      </c>
      <c r="B14" s="2236" t="s">
        <v>27</v>
      </c>
      <c r="C14" s="2236"/>
      <c r="D14" s="30" t="s">
        <v>333</v>
      </c>
      <c r="E14" s="30" t="s">
        <v>65</v>
      </c>
      <c r="F14" s="30" t="s">
        <v>34</v>
      </c>
      <c r="G14" s="30" t="s">
        <v>13</v>
      </c>
      <c r="H14" s="469" t="s">
        <v>173</v>
      </c>
      <c r="I14" s="30" t="s">
        <v>17</v>
      </c>
      <c r="J14" s="666" t="s">
        <v>174</v>
      </c>
      <c r="K14" s="30" t="s">
        <v>36</v>
      </c>
      <c r="L14" s="30" t="s">
        <v>175</v>
      </c>
      <c r="M14" s="30" t="s">
        <v>69</v>
      </c>
      <c r="N14" s="30" t="s">
        <v>70</v>
      </c>
      <c r="O14" s="666" t="s">
        <v>114</v>
      </c>
      <c r="P14" s="666" t="s">
        <v>368</v>
      </c>
      <c r="Q14" s="2300"/>
      <c r="R14" s="2301"/>
      <c r="S14" s="666"/>
      <c r="T14" s="2235" t="s">
        <v>46</v>
      </c>
      <c r="U14" s="660" t="s">
        <v>176</v>
      </c>
      <c r="V14" s="2260">
        <v>1330</v>
      </c>
      <c r="W14" s="2268"/>
      <c r="X14" s="2261"/>
    </row>
    <row r="15" spans="1:25" ht="22.5" customHeight="1" x14ac:dyDescent="0.25">
      <c r="A15" s="100" t="s">
        <v>38</v>
      </c>
      <c r="B15" s="2260">
        <v>298272</v>
      </c>
      <c r="C15" s="2261"/>
      <c r="D15" s="663">
        <v>1090</v>
      </c>
      <c r="E15" s="663">
        <v>2360</v>
      </c>
      <c r="F15" s="663">
        <v>800</v>
      </c>
      <c r="G15" s="663">
        <v>0</v>
      </c>
      <c r="H15" s="663">
        <v>263</v>
      </c>
      <c r="I15" s="663">
        <v>10</v>
      </c>
      <c r="J15" s="663">
        <v>22</v>
      </c>
      <c r="K15" s="663">
        <v>73</v>
      </c>
      <c r="L15" s="663">
        <v>86</v>
      </c>
      <c r="M15" s="663">
        <v>0</v>
      </c>
      <c r="N15" s="663">
        <v>100</v>
      </c>
      <c r="O15" s="663">
        <v>0</v>
      </c>
      <c r="P15" s="663">
        <v>511</v>
      </c>
      <c r="Q15" s="2260"/>
      <c r="R15" s="2261"/>
      <c r="S15" s="660"/>
      <c r="T15" s="2235"/>
      <c r="U15" s="660" t="s">
        <v>64</v>
      </c>
      <c r="V15" s="2262">
        <v>253838</v>
      </c>
      <c r="W15" s="2262"/>
      <c r="X15" s="2262"/>
    </row>
    <row r="16" spans="1:25" ht="24.75" customHeight="1" x14ac:dyDescent="0.25">
      <c r="A16" s="100" t="s">
        <v>39</v>
      </c>
      <c r="B16" s="2260">
        <v>155844</v>
      </c>
      <c r="C16" s="2261"/>
      <c r="D16" s="663">
        <v>100</v>
      </c>
      <c r="E16" s="663">
        <v>500</v>
      </c>
      <c r="F16" s="663"/>
      <c r="G16" s="663"/>
      <c r="H16" s="663">
        <v>41</v>
      </c>
      <c r="I16" s="663"/>
      <c r="J16" s="663">
        <v>25</v>
      </c>
      <c r="K16" s="663"/>
      <c r="L16" s="663"/>
      <c r="M16" s="663"/>
      <c r="N16" s="663"/>
      <c r="O16" s="663"/>
      <c r="P16" s="663"/>
      <c r="Q16" s="2225"/>
      <c r="R16" s="2225"/>
      <c r="S16" s="663"/>
      <c r="T16" s="2254" t="s">
        <v>55</v>
      </c>
      <c r="U16" s="2254"/>
      <c r="V16" s="2267">
        <f>Y12</f>
        <v>182810.08249999999</v>
      </c>
      <c r="W16" s="2267"/>
      <c r="X16" s="2262"/>
    </row>
    <row r="17" spans="1:25" ht="28.5" customHeight="1" x14ac:dyDescent="0.25">
      <c r="A17" s="101" t="s">
        <v>44</v>
      </c>
      <c r="B17" s="2260">
        <v>14663</v>
      </c>
      <c r="C17" s="2261"/>
      <c r="D17" s="663"/>
      <c r="E17" s="663"/>
      <c r="F17" s="663"/>
      <c r="G17" s="663"/>
      <c r="H17" s="663"/>
      <c r="I17" s="663"/>
      <c r="J17" s="663"/>
      <c r="K17" s="663"/>
      <c r="L17" s="663"/>
      <c r="M17" s="663"/>
      <c r="N17" s="663"/>
      <c r="O17" s="663"/>
      <c r="P17" s="663"/>
      <c r="Q17" s="2225"/>
      <c r="R17" s="2225"/>
      <c r="S17" s="659"/>
      <c r="T17" s="2294" t="s">
        <v>362</v>
      </c>
      <c r="U17" s="2295"/>
      <c r="V17" s="2296">
        <v>125000</v>
      </c>
      <c r="W17" s="2296"/>
      <c r="X17" s="2296"/>
    </row>
    <row r="18" spans="1:25" ht="27" customHeight="1" x14ac:dyDescent="0.25">
      <c r="A18" s="100" t="s">
        <v>40</v>
      </c>
      <c r="B18" s="2264">
        <f>C12</f>
        <v>154837</v>
      </c>
      <c r="C18" s="2261"/>
      <c r="D18" s="665">
        <f>E12</f>
        <v>1</v>
      </c>
      <c r="E18" s="665">
        <f>G12</f>
        <v>80</v>
      </c>
      <c r="F18" s="665">
        <f>I12</f>
        <v>530</v>
      </c>
      <c r="G18" s="665">
        <f>K12</f>
        <v>0</v>
      </c>
      <c r="H18" s="663">
        <v>67</v>
      </c>
      <c r="I18" s="665">
        <f>U12</f>
        <v>0</v>
      </c>
      <c r="J18" s="663"/>
      <c r="K18" s="665">
        <f>W12</f>
        <v>1</v>
      </c>
      <c r="L18" s="663">
        <v>41</v>
      </c>
      <c r="M18" s="665">
        <f>M12</f>
        <v>0</v>
      </c>
      <c r="N18" s="665">
        <f>O12</f>
        <v>0</v>
      </c>
      <c r="O18" s="664">
        <f>Q12</f>
        <v>0</v>
      </c>
      <c r="P18" s="663"/>
      <c r="Q18" s="2262"/>
      <c r="R18" s="2262"/>
      <c r="S18" s="660"/>
      <c r="T18" s="2254" t="s">
        <v>57</v>
      </c>
      <c r="U18" s="2254"/>
      <c r="V18" s="2262">
        <v>915</v>
      </c>
      <c r="W18" s="2262"/>
      <c r="X18" s="2262"/>
      <c r="Y18" s="2269"/>
    </row>
    <row r="19" spans="1:25" ht="25.5" customHeight="1" x14ac:dyDescent="0.25">
      <c r="A19" s="100" t="s">
        <v>41</v>
      </c>
      <c r="B19" s="2260">
        <f>B15+B16+B17-B18</f>
        <v>313942</v>
      </c>
      <c r="C19" s="2261"/>
      <c r="D19" s="663">
        <f>D15+D16+D17-D18</f>
        <v>1189</v>
      </c>
      <c r="E19" s="663">
        <f t="shared" ref="E19:N19" si="13">E15+E16+E17-E18</f>
        <v>2780</v>
      </c>
      <c r="F19" s="663">
        <f t="shared" si="13"/>
        <v>270</v>
      </c>
      <c r="G19" s="663">
        <f t="shared" si="13"/>
        <v>0</v>
      </c>
      <c r="H19" s="663">
        <f t="shared" si="13"/>
        <v>237</v>
      </c>
      <c r="I19" s="663">
        <f t="shared" si="13"/>
        <v>10</v>
      </c>
      <c r="J19" s="663">
        <f t="shared" si="13"/>
        <v>47</v>
      </c>
      <c r="K19" s="663">
        <f t="shared" si="13"/>
        <v>72</v>
      </c>
      <c r="L19" s="663">
        <f t="shared" si="13"/>
        <v>45</v>
      </c>
      <c r="M19" s="663">
        <f t="shared" si="13"/>
        <v>0</v>
      </c>
      <c r="N19" s="663">
        <f t="shared" si="13"/>
        <v>100</v>
      </c>
      <c r="O19" s="663">
        <f>O15+O16+O17-O18</f>
        <v>0</v>
      </c>
      <c r="P19" s="663">
        <f>P15+P16+P17-P18</f>
        <v>511</v>
      </c>
      <c r="Q19" s="2260">
        <f t="shared" ref="Q19" si="14">Q15+Q16+Q17-Q18</f>
        <v>0</v>
      </c>
      <c r="R19" s="2261"/>
      <c r="S19" s="660">
        <f>S15+S16-S17-S18</f>
        <v>0</v>
      </c>
      <c r="T19" s="2256" t="s">
        <v>48</v>
      </c>
      <c r="U19" s="49" t="s">
        <v>58</v>
      </c>
      <c r="V19" s="2262">
        <v>538874</v>
      </c>
      <c r="W19" s="2262"/>
      <c r="X19" s="2262"/>
      <c r="Y19" s="2269"/>
    </row>
    <row r="20" spans="1:25" ht="23.25" customHeight="1" x14ac:dyDescent="0.25">
      <c r="A20" s="289" t="s">
        <v>187</v>
      </c>
      <c r="B20" s="2286">
        <f>B19*0.9625</f>
        <v>302169.17499999999</v>
      </c>
      <c r="C20" s="2287"/>
      <c r="D20" s="290">
        <f>D19*66.41</f>
        <v>78961.489999999991</v>
      </c>
      <c r="E20" s="290">
        <f>28.2*E19</f>
        <v>78396</v>
      </c>
      <c r="F20" s="290">
        <f>18.31*F19</f>
        <v>4943.7</v>
      </c>
      <c r="G20" s="290">
        <f>19.3*G19</f>
        <v>0</v>
      </c>
      <c r="H20" s="290">
        <f>241*H19</f>
        <v>57117</v>
      </c>
      <c r="I20" s="290">
        <f>323*I19</f>
        <v>3230</v>
      </c>
      <c r="J20" s="290">
        <f>241*J19</f>
        <v>11327</v>
      </c>
      <c r="K20" s="290">
        <f>K19*100</f>
        <v>7200</v>
      </c>
      <c r="L20" s="290">
        <f>241*L19</f>
        <v>10845</v>
      </c>
      <c r="M20" s="290">
        <f>9.65*M19</f>
        <v>0</v>
      </c>
      <c r="N20" s="290">
        <f>N19*48.2</f>
        <v>4820</v>
      </c>
      <c r="O20" s="290">
        <f>241*O19</f>
        <v>0</v>
      </c>
      <c r="P20" s="290">
        <f>241*P19</f>
        <v>123151</v>
      </c>
      <c r="Q20" s="2286">
        <f>241*Q19</f>
        <v>0</v>
      </c>
      <c r="R20" s="2287"/>
      <c r="S20" s="290">
        <f>241*S19</f>
        <v>0</v>
      </c>
      <c r="T20" s="2257"/>
      <c r="U20" s="49" t="s">
        <v>59</v>
      </c>
      <c r="V20" s="2262">
        <v>9881</v>
      </c>
      <c r="W20" s="2262"/>
      <c r="X20" s="2262"/>
      <c r="Y20" s="2269"/>
    </row>
    <row r="21" spans="1:25" ht="32.25" customHeight="1" x14ac:dyDescent="0.25">
      <c r="A21" s="291" t="s">
        <v>186</v>
      </c>
      <c r="B21" s="2293">
        <f>SUM(B20:S20)</f>
        <v>682160.36499999999</v>
      </c>
      <c r="C21" s="2293"/>
      <c r="O21" s="667"/>
      <c r="P21" s="667"/>
      <c r="Q21" s="667"/>
      <c r="R21" s="667"/>
      <c r="T21" s="2294" t="s">
        <v>366</v>
      </c>
      <c r="U21" s="2295"/>
      <c r="V21" s="2297"/>
      <c r="W21" s="2298"/>
      <c r="X21" s="2299"/>
      <c r="Y21" s="2269"/>
    </row>
    <row r="22" spans="1:25" ht="35.25" customHeight="1" x14ac:dyDescent="0.25">
      <c r="A22" s="15"/>
      <c r="B22" s="2288" t="s">
        <v>49</v>
      </c>
      <c r="C22" s="2291">
        <v>645974</v>
      </c>
      <c r="D22" s="2291">
        <v>538874</v>
      </c>
      <c r="E22" s="2291">
        <v>170597</v>
      </c>
      <c r="F22" s="2291">
        <f>C22-D22+E22</f>
        <v>277697</v>
      </c>
      <c r="G22" s="667"/>
      <c r="Q22" s="667"/>
      <c r="R22" s="667"/>
      <c r="T22" s="2251" t="s">
        <v>83</v>
      </c>
      <c r="U22" s="50" t="s">
        <v>60</v>
      </c>
      <c r="V22" s="2262">
        <v>297350</v>
      </c>
      <c r="W22" s="2262"/>
      <c r="X22" s="2262"/>
      <c r="Y22" s="2269"/>
    </row>
    <row r="23" spans="1:25" ht="39.75" customHeight="1" x14ac:dyDescent="0.25">
      <c r="A23" s="667"/>
      <c r="B23" s="2289"/>
      <c r="C23" s="2292"/>
      <c r="D23" s="2292"/>
      <c r="E23" s="2292"/>
      <c r="F23" s="2292"/>
      <c r="G23" s="667"/>
      <c r="Q23" s="667"/>
      <c r="R23" s="667"/>
      <c r="T23" s="2252"/>
      <c r="U23" s="50" t="s">
        <v>61</v>
      </c>
      <c r="V23" s="2262">
        <v>538874</v>
      </c>
      <c r="W23" s="2262"/>
      <c r="X23" s="2262"/>
      <c r="Y23" s="2269"/>
    </row>
    <row r="24" spans="1:25" ht="48" customHeight="1" x14ac:dyDescent="0.25">
      <c r="A24" s="667"/>
      <c r="B24" s="2290"/>
      <c r="C24" s="290" t="s">
        <v>46</v>
      </c>
      <c r="D24" s="290" t="s">
        <v>50</v>
      </c>
      <c r="E24" s="290" t="s">
        <v>51</v>
      </c>
      <c r="F24" s="290" t="s">
        <v>52</v>
      </c>
      <c r="G24" s="667"/>
      <c r="Q24" s="667"/>
      <c r="R24" s="667"/>
      <c r="T24" s="2235" t="s">
        <v>47</v>
      </c>
      <c r="U24" s="51" t="s">
        <v>62</v>
      </c>
      <c r="V24" s="2263">
        <f>V14+V16+V17-V18-V19-V20-V22+V23-V21</f>
        <v>994.08250000001863</v>
      </c>
      <c r="W24" s="2263"/>
      <c r="X24" s="2263"/>
      <c r="Y24" s="2269"/>
    </row>
    <row r="25" spans="1:25" ht="40.5" customHeight="1" x14ac:dyDescent="0.25">
      <c r="T25" s="2235"/>
      <c r="U25" s="51" t="s">
        <v>63</v>
      </c>
      <c r="V25" s="2262">
        <f>V15+V22-V23</f>
        <v>12314</v>
      </c>
      <c r="W25" s="2262"/>
      <c r="X25" s="2262"/>
    </row>
    <row r="26" spans="1:25" ht="36" customHeight="1" x14ac:dyDescent="0.25">
      <c r="K26" s="314"/>
    </row>
    <row r="28" spans="1:25" x14ac:dyDescent="0.25">
      <c r="J28" s="14" t="s">
        <v>139</v>
      </c>
    </row>
    <row r="32" spans="1:25" x14ac:dyDescent="0.25">
      <c r="I32" s="2280"/>
      <c r="J32" s="2280"/>
      <c r="K32" s="2280"/>
      <c r="L32" s="2280"/>
    </row>
    <row r="33" spans="9:12" x14ac:dyDescent="0.25">
      <c r="I33" s="667"/>
      <c r="J33" s="667"/>
      <c r="K33" s="2280"/>
      <c r="L33" s="2280"/>
    </row>
  </sheetData>
  <mergeCells count="62">
    <mergeCell ref="A1:Y1"/>
    <mergeCell ref="A2:Y2"/>
    <mergeCell ref="T3:Y3"/>
    <mergeCell ref="A4:A5"/>
    <mergeCell ref="B4:B5"/>
    <mergeCell ref="C4:D4"/>
    <mergeCell ref="E4:F4"/>
    <mergeCell ref="G4:H4"/>
    <mergeCell ref="I4:J4"/>
    <mergeCell ref="K4:L4"/>
    <mergeCell ref="Y4:Y5"/>
    <mergeCell ref="M4:N4"/>
    <mergeCell ref="O4:P4"/>
    <mergeCell ref="Q4:R4"/>
    <mergeCell ref="S4:T4"/>
    <mergeCell ref="U4:V4"/>
    <mergeCell ref="W4:X4"/>
    <mergeCell ref="B16:C16"/>
    <mergeCell ref="Q16:R16"/>
    <mergeCell ref="T16:U16"/>
    <mergeCell ref="V16:X16"/>
    <mergeCell ref="A12:B12"/>
    <mergeCell ref="B14:C14"/>
    <mergeCell ref="Q14:R14"/>
    <mergeCell ref="T14:T15"/>
    <mergeCell ref="V14:X14"/>
    <mergeCell ref="B15:C15"/>
    <mergeCell ref="Q15:R15"/>
    <mergeCell ref="V15:X15"/>
    <mergeCell ref="B17:C17"/>
    <mergeCell ref="Q17:R17"/>
    <mergeCell ref="T17:U17"/>
    <mergeCell ref="V17:X17"/>
    <mergeCell ref="B18:C18"/>
    <mergeCell ref="Q18:R18"/>
    <mergeCell ref="T18:U18"/>
    <mergeCell ref="V18:X18"/>
    <mergeCell ref="Y18:Y24"/>
    <mergeCell ref="B19:C19"/>
    <mergeCell ref="Q19:R19"/>
    <mergeCell ref="T19:T20"/>
    <mergeCell ref="V19:X19"/>
    <mergeCell ref="B20:C20"/>
    <mergeCell ref="B22:B24"/>
    <mergeCell ref="C22:C23"/>
    <mergeCell ref="D22:D23"/>
    <mergeCell ref="E22:E23"/>
    <mergeCell ref="F22:F23"/>
    <mergeCell ref="Q20:R20"/>
    <mergeCell ref="V20:X20"/>
    <mergeCell ref="B21:C21"/>
    <mergeCell ref="T21:U21"/>
    <mergeCell ref="V21:X21"/>
    <mergeCell ref="I32:J32"/>
    <mergeCell ref="K32:L32"/>
    <mergeCell ref="K33:L33"/>
    <mergeCell ref="T22:T23"/>
    <mergeCell ref="V22:X22"/>
    <mergeCell ref="V23:X23"/>
    <mergeCell ref="T24:T25"/>
    <mergeCell ref="V24:X24"/>
    <mergeCell ref="V25:X25"/>
  </mergeCells>
  <pageMargins left="0.15748031496063" right="0.15748031496063" top="0" bottom="0" header="0" footer="0"/>
  <pageSetup paperSize="9" scale="47" orientation="landscape" r:id="rId1"/>
</worksheet>
</file>

<file path=xl/worksheets/sheet16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02559B5-18E5-4319-939C-36C2D23D5DAB}">
  <sheetPr>
    <pageSetUpPr fitToPage="1"/>
  </sheetPr>
  <dimension ref="A1:Y33"/>
  <sheetViews>
    <sheetView topLeftCell="A8" zoomScale="70" zoomScaleNormal="70" zoomScaleSheetLayoutView="100" workbookViewId="0">
      <selection activeCell="K25" sqref="K25"/>
    </sheetView>
  </sheetViews>
  <sheetFormatPr defaultColWidth="9.140625" defaultRowHeight="15" x14ac:dyDescent="0.25"/>
  <cols>
    <col min="1" max="1" width="18.28515625" style="14" customWidth="1"/>
    <col min="2" max="2" width="10.7109375" style="14" customWidth="1"/>
    <col min="3" max="3" width="12.28515625" style="14" customWidth="1"/>
    <col min="4" max="4" width="13.140625" style="14" bestFit="1" customWidth="1"/>
    <col min="5" max="5" width="12" style="14" customWidth="1"/>
    <col min="6" max="6" width="12.5703125" style="14" bestFit="1" customWidth="1"/>
    <col min="7" max="7" width="9.28515625" style="14" bestFit="1" customWidth="1"/>
    <col min="8" max="8" width="10.140625" style="14" bestFit="1" customWidth="1"/>
    <col min="9" max="9" width="10.5703125" style="14" bestFit="1" customWidth="1"/>
    <col min="10" max="10" width="10.5703125" style="14" customWidth="1"/>
    <col min="11" max="11" width="10.28515625" style="14" bestFit="1" customWidth="1"/>
    <col min="12" max="12" width="10.42578125" style="14" bestFit="1" customWidth="1"/>
    <col min="13" max="13" width="9.85546875" style="14" bestFit="1" customWidth="1"/>
    <col min="14" max="14" width="10.140625" style="14" bestFit="1" customWidth="1"/>
    <col min="15" max="15" width="9" style="14" customWidth="1"/>
    <col min="16" max="16" width="12.85546875" style="14" bestFit="1" customWidth="1"/>
    <col min="17" max="18" width="9.42578125" style="14" customWidth="1"/>
    <col min="19" max="19" width="13.7109375" style="14" customWidth="1"/>
    <col min="20" max="20" width="12.140625" style="14" customWidth="1"/>
    <col min="21" max="21" width="19.5703125" style="14" bestFit="1" customWidth="1"/>
    <col min="22" max="22" width="9.85546875" style="14" customWidth="1"/>
    <col min="23" max="23" width="10.140625" style="14" bestFit="1" customWidth="1"/>
    <col min="24" max="24" width="10.28515625" style="14" customWidth="1"/>
    <col min="25" max="25" width="28" style="14" customWidth="1"/>
    <col min="26" max="16384" width="9.140625" style="14"/>
  </cols>
  <sheetData>
    <row r="1" spans="1:25" ht="46.15" customHeight="1" x14ac:dyDescent="0.25">
      <c r="A1" s="2240" t="s">
        <v>148</v>
      </c>
      <c r="B1" s="2240"/>
      <c r="C1" s="2240"/>
      <c r="D1" s="2240"/>
      <c r="E1" s="2240"/>
      <c r="F1" s="2240"/>
      <c r="G1" s="2240"/>
      <c r="H1" s="2240"/>
      <c r="I1" s="2240"/>
      <c r="J1" s="2240"/>
      <c r="K1" s="2240"/>
      <c r="L1" s="2240"/>
      <c r="M1" s="2240"/>
      <c r="N1" s="2240"/>
      <c r="O1" s="2240"/>
      <c r="P1" s="2240"/>
      <c r="Q1" s="2240"/>
      <c r="R1" s="2240"/>
      <c r="S1" s="2240"/>
      <c r="T1" s="2240"/>
      <c r="U1" s="2240"/>
      <c r="V1" s="2240"/>
      <c r="W1" s="2240"/>
      <c r="X1" s="2240"/>
      <c r="Y1" s="2240"/>
    </row>
    <row r="2" spans="1:25" ht="21.6" customHeight="1" x14ac:dyDescent="0.25">
      <c r="A2" s="2241" t="s">
        <v>77</v>
      </c>
      <c r="B2" s="2241"/>
      <c r="C2" s="2241"/>
      <c r="D2" s="2241"/>
      <c r="E2" s="2241"/>
      <c r="F2" s="2241"/>
      <c r="G2" s="2241"/>
      <c r="H2" s="2241"/>
      <c r="I2" s="2241"/>
      <c r="J2" s="2241"/>
      <c r="K2" s="2241"/>
      <c r="L2" s="2241"/>
      <c r="M2" s="2241"/>
      <c r="N2" s="2241"/>
      <c r="O2" s="2241"/>
      <c r="P2" s="2241"/>
      <c r="Q2" s="2241"/>
      <c r="R2" s="2241"/>
      <c r="S2" s="2241"/>
      <c r="T2" s="2241"/>
      <c r="U2" s="2241"/>
      <c r="V2" s="2241"/>
      <c r="W2" s="2241"/>
      <c r="X2" s="2241"/>
      <c r="Y2" s="2241"/>
    </row>
    <row r="3" spans="1:25" ht="21" customHeight="1" x14ac:dyDescent="0.25">
      <c r="A3" s="673"/>
      <c r="B3" s="673"/>
      <c r="C3" s="673"/>
      <c r="D3" s="673"/>
      <c r="E3" s="673"/>
      <c r="F3" s="673"/>
      <c r="G3" s="673"/>
      <c r="H3" s="673"/>
      <c r="I3" s="673"/>
      <c r="J3" s="673"/>
      <c r="K3" s="673"/>
      <c r="L3" s="673"/>
      <c r="M3" s="673"/>
      <c r="N3" s="673"/>
      <c r="O3" s="673"/>
      <c r="P3" s="673"/>
      <c r="Q3" s="673"/>
      <c r="R3" s="673"/>
      <c r="S3" s="673"/>
      <c r="T3" s="2242" t="s">
        <v>377</v>
      </c>
      <c r="U3" s="2242"/>
      <c r="V3" s="2242"/>
      <c r="W3" s="2242"/>
      <c r="X3" s="2242"/>
      <c r="Y3" s="2242"/>
    </row>
    <row r="4" spans="1:25" s="673" customFormat="1" ht="18" customHeight="1" x14ac:dyDescent="0.25">
      <c r="A4" s="2243" t="s">
        <v>25</v>
      </c>
      <c r="B4" s="2243" t="s">
        <v>26</v>
      </c>
      <c r="C4" s="2244" t="s">
        <v>27</v>
      </c>
      <c r="D4" s="2244"/>
      <c r="E4" s="2244" t="s">
        <v>342</v>
      </c>
      <c r="F4" s="2244"/>
      <c r="G4" s="2244" t="s">
        <v>65</v>
      </c>
      <c r="H4" s="2244"/>
      <c r="I4" s="2244" t="s">
        <v>29</v>
      </c>
      <c r="J4" s="2244"/>
      <c r="K4" s="2245" t="s">
        <v>13</v>
      </c>
      <c r="L4" s="2246"/>
      <c r="M4" s="2245" t="s">
        <v>67</v>
      </c>
      <c r="N4" s="2246"/>
      <c r="O4" s="2245" t="s">
        <v>68</v>
      </c>
      <c r="P4" s="2246"/>
      <c r="Q4" s="2245" t="s">
        <v>114</v>
      </c>
      <c r="R4" s="2246"/>
      <c r="S4" s="2244" t="s">
        <v>35</v>
      </c>
      <c r="T4" s="2244"/>
      <c r="U4" s="2245" t="s">
        <v>17</v>
      </c>
      <c r="V4" s="2246"/>
      <c r="W4" s="2247" t="s">
        <v>36</v>
      </c>
      <c r="X4" s="2248"/>
      <c r="Y4" s="2238" t="s">
        <v>30</v>
      </c>
    </row>
    <row r="5" spans="1:25" s="673" customFormat="1" ht="25.5" customHeight="1" x14ac:dyDescent="0.25">
      <c r="A5" s="2243"/>
      <c r="B5" s="2243"/>
      <c r="C5" s="672" t="s">
        <v>42</v>
      </c>
      <c r="D5" s="672" t="s">
        <v>43</v>
      </c>
      <c r="E5" s="672" t="s">
        <v>42</v>
      </c>
      <c r="F5" s="672" t="s">
        <v>43</v>
      </c>
      <c r="G5" s="672" t="s">
        <v>42</v>
      </c>
      <c r="H5" s="672" t="s">
        <v>43</v>
      </c>
      <c r="I5" s="672" t="s">
        <v>42</v>
      </c>
      <c r="J5" s="672" t="s">
        <v>43</v>
      </c>
      <c r="K5" s="672" t="s">
        <v>42</v>
      </c>
      <c r="L5" s="672" t="s">
        <v>43</v>
      </c>
      <c r="M5" s="672" t="s">
        <v>42</v>
      </c>
      <c r="N5" s="672" t="s">
        <v>43</v>
      </c>
      <c r="O5" s="672" t="s">
        <v>42</v>
      </c>
      <c r="P5" s="672" t="s">
        <v>43</v>
      </c>
      <c r="Q5" s="672" t="s">
        <v>42</v>
      </c>
      <c r="R5" s="672" t="s">
        <v>43</v>
      </c>
      <c r="S5" s="33" t="s">
        <v>42</v>
      </c>
      <c r="T5" s="33" t="s">
        <v>43</v>
      </c>
      <c r="U5" s="30" t="s">
        <v>42</v>
      </c>
      <c r="V5" s="30" t="s">
        <v>43</v>
      </c>
      <c r="W5" s="30" t="s">
        <v>42</v>
      </c>
      <c r="X5" s="30" t="s">
        <v>43</v>
      </c>
      <c r="Y5" s="2239"/>
    </row>
    <row r="6" spans="1:25" ht="34.5" customHeight="1" x14ac:dyDescent="0.25">
      <c r="A6" s="12">
        <v>1409935200</v>
      </c>
      <c r="B6" s="671" t="s">
        <v>71</v>
      </c>
      <c r="C6" s="669">
        <v>43173</v>
      </c>
      <c r="D6" s="668">
        <f>0.9725*C6</f>
        <v>41985.7425</v>
      </c>
      <c r="E6" s="669">
        <v>160</v>
      </c>
      <c r="F6" s="669">
        <f>67.1*E6</f>
        <v>10736</v>
      </c>
      <c r="G6" s="669">
        <v>500</v>
      </c>
      <c r="H6" s="669">
        <f>28.2*G6</f>
        <v>14100</v>
      </c>
      <c r="I6" s="669"/>
      <c r="J6" s="669">
        <f>18.5*I6</f>
        <v>0</v>
      </c>
      <c r="K6" s="669"/>
      <c r="L6" s="669">
        <f>19.5*K6</f>
        <v>0</v>
      </c>
      <c r="M6" s="669"/>
      <c r="N6" s="668">
        <f>M6*9.75</f>
        <v>0</v>
      </c>
      <c r="O6" s="669"/>
      <c r="P6" s="668">
        <f>O6*48.62</f>
        <v>0</v>
      </c>
      <c r="Q6" s="668"/>
      <c r="R6" s="668">
        <f>241*Q6</f>
        <v>0</v>
      </c>
      <c r="S6" s="669">
        <v>4</v>
      </c>
      <c r="T6" s="669">
        <f>241*S6</f>
        <v>964</v>
      </c>
      <c r="U6" s="669"/>
      <c r="V6" s="669">
        <f>332*U6</f>
        <v>0</v>
      </c>
      <c r="W6" s="669"/>
      <c r="X6" s="19">
        <f>W6*100</f>
        <v>0</v>
      </c>
      <c r="Y6" s="20">
        <f t="shared" ref="Y6:Y12" si="0">D6+F6+H6+J6+L6+N6+P6+R6+T6+V6+X6</f>
        <v>67785.742499999993</v>
      </c>
    </row>
    <row r="7" spans="1:25" ht="31.5" customHeight="1" x14ac:dyDescent="0.25">
      <c r="A7" s="12">
        <v>1984225578</v>
      </c>
      <c r="B7" s="671" t="s">
        <v>72</v>
      </c>
      <c r="C7" s="669">
        <v>42108</v>
      </c>
      <c r="D7" s="668">
        <f t="shared" ref="D7:D11" si="1">0.9725*C7</f>
        <v>40950.03</v>
      </c>
      <c r="E7" s="669">
        <v>90</v>
      </c>
      <c r="F7" s="669">
        <f t="shared" ref="F7:F11" si="2">67.1*E7</f>
        <v>6038.9999999999991</v>
      </c>
      <c r="G7" s="669"/>
      <c r="H7" s="669">
        <f t="shared" ref="H7:H11" si="3">28.2*G7</f>
        <v>0</v>
      </c>
      <c r="I7" s="669"/>
      <c r="J7" s="669">
        <f t="shared" ref="J7:J11" si="4">18.5*I7</f>
        <v>0</v>
      </c>
      <c r="K7" s="669"/>
      <c r="L7" s="669">
        <f t="shared" ref="L7:L11" si="5">19.5*K7</f>
        <v>0</v>
      </c>
      <c r="M7" s="669"/>
      <c r="N7" s="668">
        <f t="shared" ref="N7:N11" si="6">M7*9.75</f>
        <v>0</v>
      </c>
      <c r="O7" s="669"/>
      <c r="P7" s="668">
        <f t="shared" ref="P7:P11" si="7">O7*48.62</f>
        <v>0</v>
      </c>
      <c r="Q7" s="668"/>
      <c r="R7" s="668">
        <f t="shared" ref="R7:R11" si="8">241*Q7</f>
        <v>0</v>
      </c>
      <c r="S7" s="669">
        <v>25</v>
      </c>
      <c r="T7" s="669">
        <f t="shared" ref="T7:T11" si="9">241*S7</f>
        <v>6025</v>
      </c>
      <c r="U7" s="669"/>
      <c r="V7" s="669">
        <f t="shared" ref="V7:V11" si="10">332*U7</f>
        <v>0</v>
      </c>
      <c r="W7" s="669"/>
      <c r="X7" s="19">
        <f t="shared" ref="X7:X11" si="11">W7*100</f>
        <v>0</v>
      </c>
      <c r="Y7" s="20">
        <f t="shared" si="0"/>
        <v>53014.03</v>
      </c>
    </row>
    <row r="8" spans="1:25" ht="35.25" customHeight="1" x14ac:dyDescent="0.25">
      <c r="A8" s="12">
        <v>1967020280</v>
      </c>
      <c r="B8" s="671" t="s">
        <v>73</v>
      </c>
      <c r="C8" s="669">
        <v>43155</v>
      </c>
      <c r="D8" s="668">
        <f t="shared" si="1"/>
        <v>41968.237500000003</v>
      </c>
      <c r="E8" s="669">
        <v>10</v>
      </c>
      <c r="F8" s="669">
        <f t="shared" si="2"/>
        <v>671</v>
      </c>
      <c r="G8" s="669">
        <v>30</v>
      </c>
      <c r="H8" s="669">
        <f t="shared" si="3"/>
        <v>846</v>
      </c>
      <c r="I8" s="669">
        <v>170</v>
      </c>
      <c r="J8" s="669">
        <f t="shared" si="4"/>
        <v>3145</v>
      </c>
      <c r="K8" s="669"/>
      <c r="L8" s="669">
        <f t="shared" si="5"/>
        <v>0</v>
      </c>
      <c r="M8" s="669"/>
      <c r="N8" s="668">
        <f t="shared" si="6"/>
        <v>0</v>
      </c>
      <c r="O8" s="669"/>
      <c r="P8" s="668">
        <f t="shared" si="7"/>
        <v>0</v>
      </c>
      <c r="Q8" s="668"/>
      <c r="R8" s="668">
        <f t="shared" si="8"/>
        <v>0</v>
      </c>
      <c r="S8" s="669"/>
      <c r="T8" s="669">
        <f t="shared" si="9"/>
        <v>0</v>
      </c>
      <c r="U8" s="669"/>
      <c r="V8" s="669">
        <f t="shared" si="10"/>
        <v>0</v>
      </c>
      <c r="W8" s="669"/>
      <c r="X8" s="19">
        <f t="shared" si="11"/>
        <v>0</v>
      </c>
      <c r="Y8" s="20">
        <f t="shared" si="0"/>
        <v>46630.237500000003</v>
      </c>
    </row>
    <row r="9" spans="1:25" ht="38.25" customHeight="1" x14ac:dyDescent="0.25">
      <c r="A9" s="12">
        <v>1984225580</v>
      </c>
      <c r="B9" s="671" t="s">
        <v>75</v>
      </c>
      <c r="C9" s="669">
        <v>88975</v>
      </c>
      <c r="D9" s="668">
        <f t="shared" si="1"/>
        <v>86528.1875</v>
      </c>
      <c r="E9" s="669">
        <v>40</v>
      </c>
      <c r="F9" s="669">
        <f t="shared" si="2"/>
        <v>2684</v>
      </c>
      <c r="G9" s="669">
        <v>170</v>
      </c>
      <c r="H9" s="669">
        <f t="shared" si="3"/>
        <v>4794</v>
      </c>
      <c r="I9" s="669"/>
      <c r="J9" s="669">
        <f t="shared" si="4"/>
        <v>0</v>
      </c>
      <c r="K9" s="669"/>
      <c r="L9" s="669">
        <f t="shared" si="5"/>
        <v>0</v>
      </c>
      <c r="M9" s="669"/>
      <c r="N9" s="668">
        <f t="shared" si="6"/>
        <v>0</v>
      </c>
      <c r="O9" s="669"/>
      <c r="P9" s="668">
        <f t="shared" si="7"/>
        <v>0</v>
      </c>
      <c r="Q9" s="668"/>
      <c r="R9" s="668">
        <f t="shared" si="8"/>
        <v>0</v>
      </c>
      <c r="S9" s="669"/>
      <c r="T9" s="669">
        <f t="shared" si="9"/>
        <v>0</v>
      </c>
      <c r="U9" s="669"/>
      <c r="V9" s="669">
        <f t="shared" si="10"/>
        <v>0</v>
      </c>
      <c r="W9" s="669"/>
      <c r="X9" s="19">
        <f t="shared" si="11"/>
        <v>0</v>
      </c>
      <c r="Y9" s="20">
        <f t="shared" si="0"/>
        <v>94006.1875</v>
      </c>
    </row>
    <row r="10" spans="1:25" ht="35.25" customHeight="1" x14ac:dyDescent="0.25">
      <c r="A10" s="12">
        <v>1409935199</v>
      </c>
      <c r="C10" s="669">
        <v>1028</v>
      </c>
      <c r="D10" s="668">
        <f t="shared" si="1"/>
        <v>999.73</v>
      </c>
      <c r="E10" s="669"/>
      <c r="F10" s="669">
        <f t="shared" si="2"/>
        <v>0</v>
      </c>
      <c r="G10" s="669"/>
      <c r="H10" s="669">
        <f t="shared" si="3"/>
        <v>0</v>
      </c>
      <c r="I10" s="669"/>
      <c r="J10" s="669">
        <f t="shared" si="4"/>
        <v>0</v>
      </c>
      <c r="K10" s="669"/>
      <c r="L10" s="669">
        <f t="shared" si="5"/>
        <v>0</v>
      </c>
      <c r="M10" s="669"/>
      <c r="N10" s="668">
        <f t="shared" si="6"/>
        <v>0</v>
      </c>
      <c r="O10" s="669"/>
      <c r="P10" s="668">
        <f t="shared" si="7"/>
        <v>0</v>
      </c>
      <c r="Q10" s="668"/>
      <c r="R10" s="668">
        <f t="shared" si="8"/>
        <v>0</v>
      </c>
      <c r="S10" s="669"/>
      <c r="T10" s="669">
        <f t="shared" si="9"/>
        <v>0</v>
      </c>
      <c r="U10" s="669"/>
      <c r="V10" s="669">
        <f t="shared" si="10"/>
        <v>0</v>
      </c>
      <c r="W10" s="669"/>
      <c r="X10" s="19">
        <f t="shared" si="11"/>
        <v>0</v>
      </c>
      <c r="Y10" s="20">
        <f t="shared" si="0"/>
        <v>999.73</v>
      </c>
    </row>
    <row r="11" spans="1:25" ht="37.5" customHeight="1" x14ac:dyDescent="0.25">
      <c r="A11" s="12"/>
      <c r="B11" s="670"/>
      <c r="C11" s="669"/>
      <c r="D11" s="22">
        <f t="shared" si="1"/>
        <v>0</v>
      </c>
      <c r="E11" s="669"/>
      <c r="F11" s="669">
        <f t="shared" si="2"/>
        <v>0</v>
      </c>
      <c r="G11" s="669"/>
      <c r="H11" s="669">
        <f t="shared" si="3"/>
        <v>0</v>
      </c>
      <c r="I11" s="669"/>
      <c r="J11" s="669">
        <f t="shared" si="4"/>
        <v>0</v>
      </c>
      <c r="K11" s="669"/>
      <c r="L11" s="669">
        <f t="shared" si="5"/>
        <v>0</v>
      </c>
      <c r="M11" s="669"/>
      <c r="N11" s="668">
        <f t="shared" si="6"/>
        <v>0</v>
      </c>
      <c r="O11" s="669"/>
      <c r="P11" s="668">
        <f t="shared" si="7"/>
        <v>0</v>
      </c>
      <c r="Q11" s="668"/>
      <c r="R11" s="668">
        <f t="shared" si="8"/>
        <v>0</v>
      </c>
      <c r="S11" s="669">
        <v>393</v>
      </c>
      <c r="T11" s="669">
        <f t="shared" si="9"/>
        <v>94713</v>
      </c>
      <c r="U11" s="669"/>
      <c r="V11" s="669">
        <f t="shared" si="10"/>
        <v>0</v>
      </c>
      <c r="W11" s="669"/>
      <c r="X11" s="19">
        <f t="shared" si="11"/>
        <v>0</v>
      </c>
      <c r="Y11" s="20">
        <f t="shared" si="0"/>
        <v>94713</v>
      </c>
    </row>
    <row r="12" spans="1:25" ht="29.25" customHeight="1" x14ac:dyDescent="0.25">
      <c r="A12" s="2235" t="s">
        <v>31</v>
      </c>
      <c r="B12" s="2235"/>
      <c r="C12" s="18">
        <f t="shared" ref="C12:X12" si="12">SUM(C6:C11)</f>
        <v>218439</v>
      </c>
      <c r="D12" s="18">
        <f t="shared" si="12"/>
        <v>212431.92750000002</v>
      </c>
      <c r="E12" s="18">
        <f t="shared" si="12"/>
        <v>300</v>
      </c>
      <c r="F12" s="18">
        <f t="shared" si="12"/>
        <v>20130</v>
      </c>
      <c r="G12" s="18">
        <f t="shared" si="12"/>
        <v>700</v>
      </c>
      <c r="H12" s="18">
        <f t="shared" si="12"/>
        <v>19740</v>
      </c>
      <c r="I12" s="18">
        <f t="shared" si="12"/>
        <v>170</v>
      </c>
      <c r="J12" s="18">
        <f t="shared" si="12"/>
        <v>3145</v>
      </c>
      <c r="K12" s="18">
        <f t="shared" si="12"/>
        <v>0</v>
      </c>
      <c r="L12" s="18">
        <f t="shared" si="12"/>
        <v>0</v>
      </c>
      <c r="M12" s="18">
        <f t="shared" si="12"/>
        <v>0</v>
      </c>
      <c r="N12" s="23">
        <f t="shared" si="12"/>
        <v>0</v>
      </c>
      <c r="O12" s="18">
        <f t="shared" si="12"/>
        <v>0</v>
      </c>
      <c r="P12" s="23">
        <f t="shared" si="12"/>
        <v>0</v>
      </c>
      <c r="Q12" s="23">
        <f t="shared" si="12"/>
        <v>0</v>
      </c>
      <c r="R12" s="23">
        <f>SUM(R6:R11)</f>
        <v>0</v>
      </c>
      <c r="S12" s="18">
        <f t="shared" si="12"/>
        <v>422</v>
      </c>
      <c r="T12" s="18">
        <f t="shared" si="12"/>
        <v>101702</v>
      </c>
      <c r="U12" s="18">
        <f t="shared" si="12"/>
        <v>0</v>
      </c>
      <c r="V12" s="18">
        <f t="shared" si="12"/>
        <v>0</v>
      </c>
      <c r="W12" s="18">
        <f t="shared" si="12"/>
        <v>0</v>
      </c>
      <c r="X12" s="18">
        <f t="shared" si="12"/>
        <v>0</v>
      </c>
      <c r="Y12" s="20">
        <f t="shared" si="0"/>
        <v>357148.92749999999</v>
      </c>
    </row>
    <row r="14" spans="1:25" ht="41.25" customHeight="1" x14ac:dyDescent="0.25">
      <c r="A14" s="30" t="s">
        <v>32</v>
      </c>
      <c r="B14" s="2236" t="s">
        <v>27</v>
      </c>
      <c r="C14" s="2236"/>
      <c r="D14" s="30" t="s">
        <v>333</v>
      </c>
      <c r="E14" s="30" t="s">
        <v>65</v>
      </c>
      <c r="F14" s="30" t="s">
        <v>34</v>
      </c>
      <c r="G14" s="30" t="s">
        <v>13</v>
      </c>
      <c r="H14" s="469" t="s">
        <v>173</v>
      </c>
      <c r="I14" s="30" t="s">
        <v>17</v>
      </c>
      <c r="J14" s="677" t="s">
        <v>174</v>
      </c>
      <c r="K14" s="30" t="s">
        <v>36</v>
      </c>
      <c r="L14" s="30" t="s">
        <v>175</v>
      </c>
      <c r="M14" s="30" t="s">
        <v>69</v>
      </c>
      <c r="N14" s="30" t="s">
        <v>70</v>
      </c>
      <c r="O14" s="677" t="s">
        <v>114</v>
      </c>
      <c r="P14" s="677" t="s">
        <v>368</v>
      </c>
      <c r="Q14" s="2300" t="s">
        <v>378</v>
      </c>
      <c r="R14" s="2301"/>
      <c r="S14" s="677"/>
      <c r="T14" s="2235" t="s">
        <v>46</v>
      </c>
      <c r="U14" s="671" t="s">
        <v>176</v>
      </c>
      <c r="V14" s="2260">
        <v>994</v>
      </c>
      <c r="W14" s="2268"/>
      <c r="X14" s="2261"/>
    </row>
    <row r="15" spans="1:25" ht="22.5" customHeight="1" x14ac:dyDescent="0.25">
      <c r="A15" s="100" t="s">
        <v>38</v>
      </c>
      <c r="B15" s="2260">
        <v>313942</v>
      </c>
      <c r="C15" s="2261"/>
      <c r="D15" s="674">
        <v>1189</v>
      </c>
      <c r="E15" s="674">
        <v>2780</v>
      </c>
      <c r="F15" s="674">
        <v>270</v>
      </c>
      <c r="G15" s="674">
        <v>0</v>
      </c>
      <c r="H15" s="674">
        <v>237</v>
      </c>
      <c r="I15" s="674">
        <v>10</v>
      </c>
      <c r="J15" s="674">
        <v>47</v>
      </c>
      <c r="K15" s="674">
        <v>72</v>
      </c>
      <c r="L15" s="674">
        <v>45</v>
      </c>
      <c r="M15" s="674">
        <v>0</v>
      </c>
      <c r="N15" s="674">
        <v>100</v>
      </c>
      <c r="O15" s="674">
        <v>0</v>
      </c>
      <c r="P15" s="674">
        <v>511</v>
      </c>
      <c r="Q15" s="2260"/>
      <c r="R15" s="2261"/>
      <c r="S15" s="671"/>
      <c r="T15" s="2235"/>
      <c r="U15" s="671" t="s">
        <v>64</v>
      </c>
      <c r="V15" s="2262">
        <v>12314</v>
      </c>
      <c r="W15" s="2262"/>
      <c r="X15" s="2262"/>
    </row>
    <row r="16" spans="1:25" ht="24.75" customHeight="1" x14ac:dyDescent="0.25">
      <c r="A16" s="100" t="s">
        <v>39</v>
      </c>
      <c r="B16" s="2260">
        <v>256379</v>
      </c>
      <c r="C16" s="2261"/>
      <c r="D16" s="674"/>
      <c r="E16" s="674"/>
      <c r="F16" s="674">
        <v>8500</v>
      </c>
      <c r="G16" s="674"/>
      <c r="H16" s="674"/>
      <c r="I16" s="674"/>
      <c r="J16" s="674"/>
      <c r="K16" s="674"/>
      <c r="L16" s="674"/>
      <c r="M16" s="674"/>
      <c r="N16" s="674"/>
      <c r="O16" s="674"/>
      <c r="P16" s="674"/>
      <c r="Q16" s="2225">
        <v>100</v>
      </c>
      <c r="R16" s="2225"/>
      <c r="S16" s="674"/>
      <c r="T16" s="2254" t="s">
        <v>55</v>
      </c>
      <c r="U16" s="2254"/>
      <c r="V16" s="2267">
        <f>Y12</f>
        <v>357148.92749999999</v>
      </c>
      <c r="W16" s="2267"/>
      <c r="X16" s="2262"/>
    </row>
    <row r="17" spans="1:25" ht="28.5" customHeight="1" x14ac:dyDescent="0.25">
      <c r="A17" s="101" t="s">
        <v>44</v>
      </c>
      <c r="B17" s="2260">
        <v>94221</v>
      </c>
      <c r="C17" s="2261"/>
      <c r="D17" s="674"/>
      <c r="E17" s="674"/>
      <c r="F17" s="674"/>
      <c r="G17" s="674"/>
      <c r="H17" s="674"/>
      <c r="I17" s="674"/>
      <c r="J17" s="674"/>
      <c r="K17" s="674"/>
      <c r="L17" s="674"/>
      <c r="M17" s="674"/>
      <c r="N17" s="674"/>
      <c r="O17" s="674"/>
      <c r="P17" s="674"/>
      <c r="Q17" s="2225"/>
      <c r="R17" s="2225"/>
      <c r="S17" s="670"/>
      <c r="T17" s="2294" t="s">
        <v>362</v>
      </c>
      <c r="U17" s="2295"/>
      <c r="V17" s="2296"/>
      <c r="W17" s="2296"/>
      <c r="X17" s="2296"/>
    </row>
    <row r="18" spans="1:25" ht="27" customHeight="1" x14ac:dyDescent="0.25">
      <c r="A18" s="100" t="s">
        <v>40</v>
      </c>
      <c r="B18" s="2264">
        <f>C12</f>
        <v>218439</v>
      </c>
      <c r="C18" s="2261"/>
      <c r="D18" s="676">
        <f>E12</f>
        <v>300</v>
      </c>
      <c r="E18" s="676">
        <f>G12</f>
        <v>700</v>
      </c>
      <c r="F18" s="676">
        <f>I12</f>
        <v>170</v>
      </c>
      <c r="G18" s="676">
        <f>K12</f>
        <v>0</v>
      </c>
      <c r="H18" s="674">
        <v>29</v>
      </c>
      <c r="I18" s="676">
        <f>U12</f>
        <v>0</v>
      </c>
      <c r="J18" s="674">
        <v>21</v>
      </c>
      <c r="K18" s="676">
        <f>W12</f>
        <v>0</v>
      </c>
      <c r="L18" s="674">
        <v>16</v>
      </c>
      <c r="M18" s="676">
        <f>M12</f>
        <v>0</v>
      </c>
      <c r="N18" s="676">
        <f>O12</f>
        <v>0</v>
      </c>
      <c r="O18" s="675">
        <f>Q12</f>
        <v>0</v>
      </c>
      <c r="P18" s="674">
        <v>356</v>
      </c>
      <c r="Q18" s="2262"/>
      <c r="R18" s="2262"/>
      <c r="S18" s="671"/>
      <c r="T18" s="2254" t="s">
        <v>57</v>
      </c>
      <c r="U18" s="2254"/>
      <c r="V18" s="2262">
        <v>105320</v>
      </c>
      <c r="W18" s="2262"/>
      <c r="X18" s="2262"/>
      <c r="Y18" s="2269"/>
    </row>
    <row r="19" spans="1:25" ht="25.5" customHeight="1" x14ac:dyDescent="0.25">
      <c r="A19" s="100" t="s">
        <v>41</v>
      </c>
      <c r="B19" s="2260">
        <f>B15+B16+B17-B18</f>
        <v>446103</v>
      </c>
      <c r="C19" s="2261"/>
      <c r="D19" s="674">
        <f>D15+D16+D17-D18</f>
        <v>889</v>
      </c>
      <c r="E19" s="674">
        <f t="shared" ref="E19:N19" si="13">E15+E16+E17-E18</f>
        <v>2080</v>
      </c>
      <c r="F19" s="674">
        <f t="shared" si="13"/>
        <v>8600</v>
      </c>
      <c r="G19" s="674">
        <f t="shared" si="13"/>
        <v>0</v>
      </c>
      <c r="H19" s="674">
        <f t="shared" si="13"/>
        <v>208</v>
      </c>
      <c r="I19" s="674">
        <f t="shared" si="13"/>
        <v>10</v>
      </c>
      <c r="J19" s="674">
        <f t="shared" si="13"/>
        <v>26</v>
      </c>
      <c r="K19" s="674">
        <f t="shared" si="13"/>
        <v>72</v>
      </c>
      <c r="L19" s="674">
        <f t="shared" si="13"/>
        <v>29</v>
      </c>
      <c r="M19" s="674">
        <f t="shared" si="13"/>
        <v>0</v>
      </c>
      <c r="N19" s="674">
        <f t="shared" si="13"/>
        <v>100</v>
      </c>
      <c r="O19" s="674">
        <f>O15+O16+O17-O18</f>
        <v>0</v>
      </c>
      <c r="P19" s="674">
        <f>P15+P16+P17-P18</f>
        <v>155</v>
      </c>
      <c r="Q19" s="2260">
        <f t="shared" ref="Q19" si="14">Q15+Q16+Q17-Q18</f>
        <v>100</v>
      </c>
      <c r="R19" s="2261"/>
      <c r="S19" s="671">
        <f>S15+S16-S17-S18</f>
        <v>0</v>
      </c>
      <c r="T19" s="2256" t="s">
        <v>48</v>
      </c>
      <c r="U19" s="49" t="s">
        <v>58</v>
      </c>
      <c r="V19" s="2262">
        <v>170597</v>
      </c>
      <c r="W19" s="2262"/>
      <c r="X19" s="2262"/>
      <c r="Y19" s="2269"/>
    </row>
    <row r="20" spans="1:25" ht="23.25" customHeight="1" x14ac:dyDescent="0.25">
      <c r="A20" s="289" t="s">
        <v>187</v>
      </c>
      <c r="B20" s="2286">
        <f>B19*0.9625</f>
        <v>429374.13750000001</v>
      </c>
      <c r="C20" s="2287"/>
      <c r="D20" s="290">
        <f>D19*66.41</f>
        <v>59038.49</v>
      </c>
      <c r="E20" s="290">
        <f>28.2*E19</f>
        <v>58656</v>
      </c>
      <c r="F20" s="290">
        <f>18.31*F19</f>
        <v>157466</v>
      </c>
      <c r="G20" s="290">
        <f>19.3*G19</f>
        <v>0</v>
      </c>
      <c r="H20" s="290">
        <f>241*H19</f>
        <v>50128</v>
      </c>
      <c r="I20" s="290">
        <f>323*I19</f>
        <v>3230</v>
      </c>
      <c r="J20" s="290">
        <f>241*J19</f>
        <v>6266</v>
      </c>
      <c r="K20" s="290">
        <f>K19*100</f>
        <v>7200</v>
      </c>
      <c r="L20" s="290">
        <f>241*L19</f>
        <v>6989</v>
      </c>
      <c r="M20" s="290">
        <f>9.65*M19</f>
        <v>0</v>
      </c>
      <c r="N20" s="290">
        <f>N19*48.2</f>
        <v>4820</v>
      </c>
      <c r="O20" s="290">
        <f>241*O19</f>
        <v>0</v>
      </c>
      <c r="P20" s="290">
        <f>241*P19</f>
        <v>37355</v>
      </c>
      <c r="Q20" s="2286">
        <f>341*Q19</f>
        <v>34100</v>
      </c>
      <c r="R20" s="2287"/>
      <c r="S20" s="290">
        <f>241*S19</f>
        <v>0</v>
      </c>
      <c r="T20" s="2257"/>
      <c r="U20" s="49" t="s">
        <v>59</v>
      </c>
      <c r="V20" s="2262">
        <v>36500</v>
      </c>
      <c r="W20" s="2262"/>
      <c r="X20" s="2262"/>
      <c r="Y20" s="2269"/>
    </row>
    <row r="21" spans="1:25" ht="32.25" customHeight="1" x14ac:dyDescent="0.25">
      <c r="A21" s="291" t="s">
        <v>186</v>
      </c>
      <c r="B21" s="2293">
        <f>SUM(B20:S20)</f>
        <v>854622.62749999994</v>
      </c>
      <c r="C21" s="2293"/>
      <c r="O21" s="678"/>
      <c r="P21" s="678"/>
      <c r="Q21" s="678"/>
      <c r="R21" s="678"/>
      <c r="T21" s="2294" t="s">
        <v>366</v>
      </c>
      <c r="U21" s="2295"/>
      <c r="V21" s="2297">
        <v>50000</v>
      </c>
      <c r="W21" s="2298"/>
      <c r="X21" s="2299"/>
      <c r="Y21" s="2269"/>
    </row>
    <row r="22" spans="1:25" ht="35.25" customHeight="1" x14ac:dyDescent="0.25">
      <c r="A22" s="15"/>
      <c r="B22" s="2288" t="s">
        <v>49</v>
      </c>
      <c r="C22" s="2291">
        <v>277697</v>
      </c>
      <c r="D22" s="2291">
        <v>170597</v>
      </c>
      <c r="E22" s="2291">
        <v>400000</v>
      </c>
      <c r="F22" s="2291">
        <f>C22-D22+E22</f>
        <v>507100</v>
      </c>
      <c r="G22" s="678"/>
      <c r="Q22" s="678"/>
      <c r="R22" s="678"/>
      <c r="T22" s="2251" t="s">
        <v>83</v>
      </c>
      <c r="U22" s="50" t="s">
        <v>60</v>
      </c>
      <c r="V22" s="2262">
        <v>165940</v>
      </c>
      <c r="W22" s="2262"/>
      <c r="X22" s="2262"/>
      <c r="Y22" s="2269"/>
    </row>
    <row r="23" spans="1:25" ht="39.75" customHeight="1" x14ac:dyDescent="0.25">
      <c r="A23" s="678"/>
      <c r="B23" s="2289"/>
      <c r="C23" s="2292"/>
      <c r="D23" s="2292"/>
      <c r="E23" s="2292"/>
      <c r="F23" s="2292"/>
      <c r="G23" s="678"/>
      <c r="Q23" s="678"/>
      <c r="R23" s="678"/>
      <c r="T23" s="2252"/>
      <c r="U23" s="50" t="s">
        <v>61</v>
      </c>
      <c r="V23" s="2262">
        <v>170597</v>
      </c>
      <c r="W23" s="2262"/>
      <c r="X23" s="2262"/>
      <c r="Y23" s="2269"/>
    </row>
    <row r="24" spans="1:25" ht="48" customHeight="1" x14ac:dyDescent="0.25">
      <c r="A24" s="678"/>
      <c r="B24" s="2290"/>
      <c r="C24" s="290" t="s">
        <v>46</v>
      </c>
      <c r="D24" s="290" t="s">
        <v>50</v>
      </c>
      <c r="E24" s="290" t="s">
        <v>51</v>
      </c>
      <c r="F24" s="290" t="s">
        <v>52</v>
      </c>
      <c r="G24" s="678"/>
      <c r="Q24" s="678"/>
      <c r="R24" s="678"/>
      <c r="T24" s="2235" t="s">
        <v>47</v>
      </c>
      <c r="U24" s="51" t="s">
        <v>62</v>
      </c>
      <c r="V24" s="2263">
        <f>V14+V16+V17-V18-V19-V20-V22+V23-V21</f>
        <v>382.92749999999069</v>
      </c>
      <c r="W24" s="2263"/>
      <c r="X24" s="2263"/>
      <c r="Y24" s="2269"/>
    </row>
    <row r="25" spans="1:25" ht="40.5" customHeight="1" x14ac:dyDescent="0.25">
      <c r="T25" s="2235"/>
      <c r="U25" s="51" t="s">
        <v>63</v>
      </c>
      <c r="V25" s="2262">
        <f>V15+V22-V23</f>
        <v>7657</v>
      </c>
      <c r="W25" s="2262"/>
      <c r="X25" s="2262"/>
    </row>
    <row r="26" spans="1:25" ht="36" customHeight="1" x14ac:dyDescent="0.25">
      <c r="K26" s="314"/>
    </row>
    <row r="28" spans="1:25" x14ac:dyDescent="0.25">
      <c r="J28" s="14" t="s">
        <v>139</v>
      </c>
    </row>
    <row r="32" spans="1:25" x14ac:dyDescent="0.25">
      <c r="I32" s="2280"/>
      <c r="J32" s="2280"/>
      <c r="K32" s="2280"/>
      <c r="L32" s="2280"/>
    </row>
    <row r="33" spans="9:12" x14ac:dyDescent="0.25">
      <c r="I33" s="678"/>
      <c r="J33" s="678"/>
      <c r="K33" s="2280"/>
      <c r="L33" s="2280"/>
    </row>
  </sheetData>
  <mergeCells count="62">
    <mergeCell ref="A1:Y1"/>
    <mergeCell ref="A2:Y2"/>
    <mergeCell ref="T3:Y3"/>
    <mergeCell ref="A4:A5"/>
    <mergeCell ref="B4:B5"/>
    <mergeCell ref="C4:D4"/>
    <mergeCell ref="E4:F4"/>
    <mergeCell ref="G4:H4"/>
    <mergeCell ref="I4:J4"/>
    <mergeCell ref="K4:L4"/>
    <mergeCell ref="Y4:Y5"/>
    <mergeCell ref="M4:N4"/>
    <mergeCell ref="O4:P4"/>
    <mergeCell ref="Q4:R4"/>
    <mergeCell ref="S4:T4"/>
    <mergeCell ref="U4:V4"/>
    <mergeCell ref="W4:X4"/>
    <mergeCell ref="B16:C16"/>
    <mergeCell ref="Q16:R16"/>
    <mergeCell ref="T16:U16"/>
    <mergeCell ref="V16:X16"/>
    <mergeCell ref="A12:B12"/>
    <mergeCell ref="B14:C14"/>
    <mergeCell ref="Q14:R14"/>
    <mergeCell ref="T14:T15"/>
    <mergeCell ref="V14:X14"/>
    <mergeCell ref="B15:C15"/>
    <mergeCell ref="Q15:R15"/>
    <mergeCell ref="V15:X15"/>
    <mergeCell ref="B17:C17"/>
    <mergeCell ref="Q17:R17"/>
    <mergeCell ref="T17:U17"/>
    <mergeCell ref="V17:X17"/>
    <mergeCell ref="B18:C18"/>
    <mergeCell ref="Q18:R18"/>
    <mergeCell ref="T18:U18"/>
    <mergeCell ref="V18:X18"/>
    <mergeCell ref="Y18:Y24"/>
    <mergeCell ref="B19:C19"/>
    <mergeCell ref="Q19:R19"/>
    <mergeCell ref="T19:T20"/>
    <mergeCell ref="V19:X19"/>
    <mergeCell ref="B20:C20"/>
    <mergeCell ref="B22:B24"/>
    <mergeCell ref="C22:C23"/>
    <mergeCell ref="D22:D23"/>
    <mergeCell ref="E22:E23"/>
    <mergeCell ref="F22:F23"/>
    <mergeCell ref="Q20:R20"/>
    <mergeCell ref="V20:X20"/>
    <mergeCell ref="B21:C21"/>
    <mergeCell ref="T21:U21"/>
    <mergeCell ref="V21:X21"/>
    <mergeCell ref="I32:J32"/>
    <mergeCell ref="K32:L32"/>
    <mergeCell ref="K33:L33"/>
    <mergeCell ref="T22:T23"/>
    <mergeCell ref="V22:X22"/>
    <mergeCell ref="V23:X23"/>
    <mergeCell ref="T24:T25"/>
    <mergeCell ref="V24:X24"/>
    <mergeCell ref="V25:X25"/>
  </mergeCells>
  <pageMargins left="0.15748031496063" right="0.15748031496063" top="0" bottom="0" header="0" footer="0"/>
  <pageSetup paperSize="9" scale="47" orientation="landscape" r:id="rId1"/>
</worksheet>
</file>

<file path=xl/worksheets/sheet16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F941E69-3E73-45C5-B677-977CA0ED70B3}">
  <sheetPr>
    <pageSetUpPr fitToPage="1"/>
  </sheetPr>
  <dimension ref="A1:Y33"/>
  <sheetViews>
    <sheetView topLeftCell="A10" zoomScale="70" zoomScaleNormal="70" zoomScaleSheetLayoutView="100" workbookViewId="0">
      <selection activeCell="I24" sqref="I24"/>
    </sheetView>
  </sheetViews>
  <sheetFormatPr defaultColWidth="9.140625" defaultRowHeight="15" x14ac:dyDescent="0.25"/>
  <cols>
    <col min="1" max="1" width="18.28515625" style="14" customWidth="1"/>
    <col min="2" max="2" width="10.7109375" style="14" customWidth="1"/>
    <col min="3" max="3" width="12.28515625" style="14" customWidth="1"/>
    <col min="4" max="4" width="13.140625" style="14" bestFit="1" customWidth="1"/>
    <col min="5" max="5" width="12" style="14" customWidth="1"/>
    <col min="6" max="6" width="12.5703125" style="14" bestFit="1" customWidth="1"/>
    <col min="7" max="7" width="9.28515625" style="14" bestFit="1" customWidth="1"/>
    <col min="8" max="8" width="10.140625" style="14" bestFit="1" customWidth="1"/>
    <col min="9" max="9" width="10.5703125" style="14" bestFit="1" customWidth="1"/>
    <col min="10" max="10" width="10.5703125" style="14" customWidth="1"/>
    <col min="11" max="11" width="10.28515625" style="14" bestFit="1" customWidth="1"/>
    <col min="12" max="12" width="10.42578125" style="14" bestFit="1" customWidth="1"/>
    <col min="13" max="13" width="9.85546875" style="14" bestFit="1" customWidth="1"/>
    <col min="14" max="14" width="10.140625" style="14" bestFit="1" customWidth="1"/>
    <col min="15" max="15" width="9" style="14" customWidth="1"/>
    <col min="16" max="16" width="12.85546875" style="14" bestFit="1" customWidth="1"/>
    <col min="17" max="18" width="9.42578125" style="14" customWidth="1"/>
    <col min="19" max="19" width="13.7109375" style="14" customWidth="1"/>
    <col min="20" max="20" width="12.140625" style="14" customWidth="1"/>
    <col min="21" max="21" width="19.5703125" style="14" bestFit="1" customWidth="1"/>
    <col min="22" max="22" width="9.85546875" style="14" customWidth="1"/>
    <col min="23" max="23" width="10.140625" style="14" bestFit="1" customWidth="1"/>
    <col min="24" max="24" width="10.28515625" style="14" customWidth="1"/>
    <col min="25" max="25" width="28" style="14" customWidth="1"/>
    <col min="26" max="16384" width="9.140625" style="14"/>
  </cols>
  <sheetData>
    <row r="1" spans="1:25" ht="46.15" customHeight="1" x14ac:dyDescent="0.25">
      <c r="A1" s="2240" t="s">
        <v>148</v>
      </c>
      <c r="B1" s="2240"/>
      <c r="C1" s="2240"/>
      <c r="D1" s="2240"/>
      <c r="E1" s="2240"/>
      <c r="F1" s="2240"/>
      <c r="G1" s="2240"/>
      <c r="H1" s="2240"/>
      <c r="I1" s="2240"/>
      <c r="J1" s="2240"/>
      <c r="K1" s="2240"/>
      <c r="L1" s="2240"/>
      <c r="M1" s="2240"/>
      <c r="N1" s="2240"/>
      <c r="O1" s="2240"/>
      <c r="P1" s="2240"/>
      <c r="Q1" s="2240"/>
      <c r="R1" s="2240"/>
      <c r="S1" s="2240"/>
      <c r="T1" s="2240"/>
      <c r="U1" s="2240"/>
      <c r="V1" s="2240"/>
      <c r="W1" s="2240"/>
      <c r="X1" s="2240"/>
      <c r="Y1" s="2240"/>
    </row>
    <row r="2" spans="1:25" ht="21.6" customHeight="1" x14ac:dyDescent="0.25">
      <c r="A2" s="2241" t="s">
        <v>77</v>
      </c>
      <c r="B2" s="2241"/>
      <c r="C2" s="2241"/>
      <c r="D2" s="2241"/>
      <c r="E2" s="2241"/>
      <c r="F2" s="2241"/>
      <c r="G2" s="2241"/>
      <c r="H2" s="2241"/>
      <c r="I2" s="2241"/>
      <c r="J2" s="2241"/>
      <c r="K2" s="2241"/>
      <c r="L2" s="2241"/>
      <c r="M2" s="2241"/>
      <c r="N2" s="2241"/>
      <c r="O2" s="2241"/>
      <c r="P2" s="2241"/>
      <c r="Q2" s="2241"/>
      <c r="R2" s="2241"/>
      <c r="S2" s="2241"/>
      <c r="T2" s="2241"/>
      <c r="U2" s="2241"/>
      <c r="V2" s="2241"/>
      <c r="W2" s="2241"/>
      <c r="X2" s="2241"/>
      <c r="Y2" s="2241"/>
    </row>
    <row r="3" spans="1:25" ht="21" customHeight="1" x14ac:dyDescent="0.25">
      <c r="A3" s="679"/>
      <c r="B3" s="679"/>
      <c r="C3" s="679"/>
      <c r="D3" s="679"/>
      <c r="E3" s="679"/>
      <c r="F3" s="679"/>
      <c r="G3" s="679"/>
      <c r="H3" s="679"/>
      <c r="I3" s="679"/>
      <c r="J3" s="679"/>
      <c r="K3" s="679"/>
      <c r="L3" s="679"/>
      <c r="M3" s="679"/>
      <c r="N3" s="679"/>
      <c r="O3" s="679"/>
      <c r="P3" s="679"/>
      <c r="Q3" s="679"/>
      <c r="R3" s="679"/>
      <c r="S3" s="679"/>
      <c r="T3" s="2242" t="s">
        <v>379</v>
      </c>
      <c r="U3" s="2242"/>
      <c r="V3" s="2242"/>
      <c r="W3" s="2242"/>
      <c r="X3" s="2242"/>
      <c r="Y3" s="2242"/>
    </row>
    <row r="4" spans="1:25" s="679" customFormat="1" ht="18" customHeight="1" x14ac:dyDescent="0.25">
      <c r="A4" s="2243" t="s">
        <v>25</v>
      </c>
      <c r="B4" s="2243" t="s">
        <v>26</v>
      </c>
      <c r="C4" s="2244" t="s">
        <v>27</v>
      </c>
      <c r="D4" s="2244"/>
      <c r="E4" s="2244" t="s">
        <v>342</v>
      </c>
      <c r="F4" s="2244"/>
      <c r="G4" s="2244" t="s">
        <v>65</v>
      </c>
      <c r="H4" s="2244"/>
      <c r="I4" s="2244" t="s">
        <v>29</v>
      </c>
      <c r="J4" s="2244"/>
      <c r="K4" s="2245" t="s">
        <v>14</v>
      </c>
      <c r="L4" s="2246"/>
      <c r="M4" s="2245" t="s">
        <v>67</v>
      </c>
      <c r="N4" s="2246"/>
      <c r="O4" s="2245" t="s">
        <v>68</v>
      </c>
      <c r="P4" s="2246"/>
      <c r="Q4" s="2245" t="s">
        <v>114</v>
      </c>
      <c r="R4" s="2246"/>
      <c r="S4" s="2244" t="s">
        <v>35</v>
      </c>
      <c r="T4" s="2244"/>
      <c r="U4" s="2245" t="s">
        <v>17</v>
      </c>
      <c r="V4" s="2246"/>
      <c r="W4" s="2247" t="s">
        <v>36</v>
      </c>
      <c r="X4" s="2248"/>
      <c r="Y4" s="2238" t="s">
        <v>30</v>
      </c>
    </row>
    <row r="5" spans="1:25" s="679" customFormat="1" ht="25.5" customHeight="1" x14ac:dyDescent="0.25">
      <c r="A5" s="2243"/>
      <c r="B5" s="2243"/>
      <c r="C5" s="681" t="s">
        <v>42</v>
      </c>
      <c r="D5" s="681" t="s">
        <v>43</v>
      </c>
      <c r="E5" s="681" t="s">
        <v>42</v>
      </c>
      <c r="F5" s="681" t="s">
        <v>43</v>
      </c>
      <c r="G5" s="681" t="s">
        <v>42</v>
      </c>
      <c r="H5" s="681" t="s">
        <v>43</v>
      </c>
      <c r="I5" s="681" t="s">
        <v>42</v>
      </c>
      <c r="J5" s="681" t="s">
        <v>43</v>
      </c>
      <c r="K5" s="681" t="s">
        <v>42</v>
      </c>
      <c r="L5" s="681" t="s">
        <v>43</v>
      </c>
      <c r="M5" s="681" t="s">
        <v>42</v>
      </c>
      <c r="N5" s="681" t="s">
        <v>43</v>
      </c>
      <c r="O5" s="681" t="s">
        <v>42</v>
      </c>
      <c r="P5" s="681" t="s">
        <v>43</v>
      </c>
      <c r="Q5" s="681" t="s">
        <v>42</v>
      </c>
      <c r="R5" s="681" t="s">
        <v>43</v>
      </c>
      <c r="S5" s="33" t="s">
        <v>42</v>
      </c>
      <c r="T5" s="33" t="s">
        <v>43</v>
      </c>
      <c r="U5" s="30" t="s">
        <v>42</v>
      </c>
      <c r="V5" s="30" t="s">
        <v>43</v>
      </c>
      <c r="W5" s="30" t="s">
        <v>42</v>
      </c>
      <c r="X5" s="30" t="s">
        <v>43</v>
      </c>
      <c r="Y5" s="2239"/>
    </row>
    <row r="6" spans="1:25" ht="34.5" customHeight="1" x14ac:dyDescent="0.25">
      <c r="A6" s="12">
        <v>1409935200</v>
      </c>
      <c r="B6" s="680" t="s">
        <v>71</v>
      </c>
      <c r="C6" s="683">
        <v>31629</v>
      </c>
      <c r="D6" s="684">
        <f>0.9725*C6</f>
        <v>30759.202499999999</v>
      </c>
      <c r="E6" s="683">
        <v>100</v>
      </c>
      <c r="F6" s="683">
        <f>67.1*E6</f>
        <v>6709.9999999999991</v>
      </c>
      <c r="G6" s="683"/>
      <c r="H6" s="683">
        <f>28.2*G6</f>
        <v>0</v>
      </c>
      <c r="I6" s="683">
        <v>1170</v>
      </c>
      <c r="J6" s="683">
        <f>18.5*I6</f>
        <v>21645</v>
      </c>
      <c r="K6" s="683"/>
      <c r="L6" s="683">
        <f>28.2368*K6</f>
        <v>0</v>
      </c>
      <c r="M6" s="683"/>
      <c r="N6" s="684">
        <f>M6*9.75</f>
        <v>0</v>
      </c>
      <c r="O6" s="683"/>
      <c r="P6" s="684">
        <f>O6*48.62</f>
        <v>0</v>
      </c>
      <c r="Q6" s="684"/>
      <c r="R6" s="684">
        <f>241*Q6</f>
        <v>0</v>
      </c>
      <c r="S6" s="683"/>
      <c r="T6" s="683">
        <f>241*S6</f>
        <v>0</v>
      </c>
      <c r="U6" s="683">
        <v>10</v>
      </c>
      <c r="V6" s="683">
        <f>332*U6</f>
        <v>3320</v>
      </c>
      <c r="W6" s="683"/>
      <c r="X6" s="19">
        <f>W6*100</f>
        <v>0</v>
      </c>
      <c r="Y6" s="20">
        <f t="shared" ref="Y6:Y12" si="0">D6+F6+H6+J6+L6+N6+P6+R6+T6+V6+X6</f>
        <v>62434.202499999999</v>
      </c>
    </row>
    <row r="7" spans="1:25" ht="31.5" customHeight="1" x14ac:dyDescent="0.25">
      <c r="A7" s="12">
        <v>1984225578</v>
      </c>
      <c r="B7" s="680" t="s">
        <v>72</v>
      </c>
      <c r="C7" s="683">
        <v>30554</v>
      </c>
      <c r="D7" s="684">
        <f t="shared" ref="D7:D11" si="1">0.9725*C7</f>
        <v>29713.764999999999</v>
      </c>
      <c r="E7" s="683">
        <v>30</v>
      </c>
      <c r="F7" s="683">
        <f t="shared" ref="F7:F11" si="2">67.1*E7</f>
        <v>2012.9999999999998</v>
      </c>
      <c r="G7" s="683"/>
      <c r="H7" s="683">
        <f t="shared" ref="H7:H11" si="3">28.2*G7</f>
        <v>0</v>
      </c>
      <c r="I7" s="683">
        <v>1000</v>
      </c>
      <c r="J7" s="683">
        <f t="shared" ref="J7:J11" si="4">18.5*I7</f>
        <v>18500</v>
      </c>
      <c r="K7" s="683"/>
      <c r="L7" s="683">
        <f t="shared" ref="L7:L11" si="5">28.2368*K7</f>
        <v>0</v>
      </c>
      <c r="M7" s="683"/>
      <c r="N7" s="684">
        <f t="shared" ref="N7:N11" si="6">M7*9.75</f>
        <v>0</v>
      </c>
      <c r="O7" s="683"/>
      <c r="P7" s="684">
        <f t="shared" ref="P7:P11" si="7">O7*48.62</f>
        <v>0</v>
      </c>
      <c r="Q7" s="684"/>
      <c r="R7" s="684">
        <f t="shared" ref="R7:R11" si="8">241*Q7</f>
        <v>0</v>
      </c>
      <c r="S7" s="683"/>
      <c r="T7" s="683">
        <f t="shared" ref="T7:T11" si="9">241*S7</f>
        <v>0</v>
      </c>
      <c r="U7" s="683"/>
      <c r="V7" s="683">
        <f t="shared" ref="V7:V11" si="10">332*U7</f>
        <v>0</v>
      </c>
      <c r="W7" s="683"/>
      <c r="X7" s="19">
        <f t="shared" ref="X7:X11" si="11">W7*100</f>
        <v>0</v>
      </c>
      <c r="Y7" s="20">
        <f t="shared" si="0"/>
        <v>50226.764999999999</v>
      </c>
    </row>
    <row r="8" spans="1:25" ht="35.25" customHeight="1" x14ac:dyDescent="0.25">
      <c r="A8" s="12">
        <v>1967020280</v>
      </c>
      <c r="B8" s="680" t="s">
        <v>73</v>
      </c>
      <c r="C8" s="683">
        <v>25971</v>
      </c>
      <c r="D8" s="684">
        <f t="shared" si="1"/>
        <v>25256.797500000001</v>
      </c>
      <c r="E8" s="683">
        <v>90</v>
      </c>
      <c r="F8" s="683">
        <f t="shared" si="2"/>
        <v>6038.9999999999991</v>
      </c>
      <c r="G8" s="683">
        <v>10</v>
      </c>
      <c r="H8" s="683">
        <f t="shared" si="3"/>
        <v>282</v>
      </c>
      <c r="I8" s="683">
        <v>950</v>
      </c>
      <c r="J8" s="683">
        <f t="shared" si="4"/>
        <v>17575</v>
      </c>
      <c r="K8" s="683">
        <v>400</v>
      </c>
      <c r="L8" s="683">
        <f t="shared" si="5"/>
        <v>11294.72</v>
      </c>
      <c r="M8" s="683"/>
      <c r="N8" s="684">
        <f t="shared" si="6"/>
        <v>0</v>
      </c>
      <c r="O8" s="683"/>
      <c r="P8" s="684">
        <f t="shared" si="7"/>
        <v>0</v>
      </c>
      <c r="Q8" s="684"/>
      <c r="R8" s="684">
        <f t="shared" si="8"/>
        <v>0</v>
      </c>
      <c r="S8" s="683"/>
      <c r="T8" s="683">
        <f t="shared" si="9"/>
        <v>0</v>
      </c>
      <c r="U8" s="683"/>
      <c r="V8" s="683">
        <f t="shared" si="10"/>
        <v>0</v>
      </c>
      <c r="W8" s="683"/>
      <c r="X8" s="19">
        <f t="shared" si="11"/>
        <v>0</v>
      </c>
      <c r="Y8" s="20">
        <f t="shared" si="0"/>
        <v>60447.517500000002</v>
      </c>
    </row>
    <row r="9" spans="1:25" ht="38.25" customHeight="1" x14ac:dyDescent="0.25">
      <c r="A9" s="12">
        <v>1984225580</v>
      </c>
      <c r="B9" s="680" t="s">
        <v>75</v>
      </c>
      <c r="C9" s="683">
        <v>23048</v>
      </c>
      <c r="D9" s="684">
        <f t="shared" si="1"/>
        <v>22414.18</v>
      </c>
      <c r="E9" s="683">
        <v>60</v>
      </c>
      <c r="F9" s="683">
        <f t="shared" si="2"/>
        <v>4025.9999999999995</v>
      </c>
      <c r="G9" s="683">
        <v>100</v>
      </c>
      <c r="H9" s="683">
        <f t="shared" si="3"/>
        <v>2820</v>
      </c>
      <c r="I9" s="683">
        <v>2000</v>
      </c>
      <c r="J9" s="683">
        <f t="shared" si="4"/>
        <v>37000</v>
      </c>
      <c r="K9" s="683"/>
      <c r="L9" s="683">
        <f t="shared" si="5"/>
        <v>0</v>
      </c>
      <c r="M9" s="683"/>
      <c r="N9" s="684">
        <f t="shared" si="6"/>
        <v>0</v>
      </c>
      <c r="O9" s="683"/>
      <c r="P9" s="684">
        <f t="shared" si="7"/>
        <v>0</v>
      </c>
      <c r="Q9" s="684"/>
      <c r="R9" s="684">
        <f t="shared" si="8"/>
        <v>0</v>
      </c>
      <c r="S9" s="683"/>
      <c r="T9" s="683">
        <f t="shared" si="9"/>
        <v>0</v>
      </c>
      <c r="U9" s="683"/>
      <c r="V9" s="683">
        <f t="shared" si="10"/>
        <v>0</v>
      </c>
      <c r="W9" s="683"/>
      <c r="X9" s="19">
        <f t="shared" si="11"/>
        <v>0</v>
      </c>
      <c r="Y9" s="20">
        <f t="shared" si="0"/>
        <v>66260.179999999993</v>
      </c>
    </row>
    <row r="10" spans="1:25" ht="35.25" customHeight="1" x14ac:dyDescent="0.25">
      <c r="A10" s="12">
        <v>1409935199</v>
      </c>
      <c r="C10" s="683"/>
      <c r="D10" s="684">
        <f t="shared" si="1"/>
        <v>0</v>
      </c>
      <c r="E10" s="683"/>
      <c r="F10" s="683">
        <f t="shared" si="2"/>
        <v>0</v>
      </c>
      <c r="G10" s="683"/>
      <c r="H10" s="683">
        <f t="shared" si="3"/>
        <v>0</v>
      </c>
      <c r="I10" s="683"/>
      <c r="J10" s="683">
        <f t="shared" si="4"/>
        <v>0</v>
      </c>
      <c r="K10" s="683"/>
      <c r="L10" s="683">
        <f t="shared" si="5"/>
        <v>0</v>
      </c>
      <c r="M10" s="683"/>
      <c r="N10" s="684">
        <f t="shared" si="6"/>
        <v>0</v>
      </c>
      <c r="O10" s="683"/>
      <c r="P10" s="684">
        <f t="shared" si="7"/>
        <v>0</v>
      </c>
      <c r="Q10" s="684"/>
      <c r="R10" s="684">
        <f t="shared" si="8"/>
        <v>0</v>
      </c>
      <c r="S10" s="683"/>
      <c r="T10" s="683">
        <f t="shared" si="9"/>
        <v>0</v>
      </c>
      <c r="U10" s="683"/>
      <c r="V10" s="683">
        <f t="shared" si="10"/>
        <v>0</v>
      </c>
      <c r="W10" s="683"/>
      <c r="X10" s="19">
        <f t="shared" si="11"/>
        <v>0</v>
      </c>
      <c r="Y10" s="20">
        <f t="shared" si="0"/>
        <v>0</v>
      </c>
    </row>
    <row r="11" spans="1:25" ht="37.5" customHeight="1" x14ac:dyDescent="0.25">
      <c r="A11" s="12"/>
      <c r="B11" s="682"/>
      <c r="C11" s="683"/>
      <c r="D11" s="22">
        <f t="shared" si="1"/>
        <v>0</v>
      </c>
      <c r="E11" s="683"/>
      <c r="F11" s="683">
        <f t="shared" si="2"/>
        <v>0</v>
      </c>
      <c r="G11" s="683">
        <v>500</v>
      </c>
      <c r="H11" s="683">
        <f t="shared" si="3"/>
        <v>14100</v>
      </c>
      <c r="I11" s="683"/>
      <c r="J11" s="683">
        <f t="shared" si="4"/>
        <v>0</v>
      </c>
      <c r="K11" s="683"/>
      <c r="L11" s="683">
        <f t="shared" si="5"/>
        <v>0</v>
      </c>
      <c r="M11" s="683"/>
      <c r="N11" s="684">
        <f t="shared" si="6"/>
        <v>0</v>
      </c>
      <c r="O11" s="683"/>
      <c r="P11" s="684">
        <f t="shared" si="7"/>
        <v>0</v>
      </c>
      <c r="Q11" s="684"/>
      <c r="R11" s="684">
        <f t="shared" si="8"/>
        <v>0</v>
      </c>
      <c r="S11" s="683"/>
      <c r="T11" s="683">
        <f t="shared" si="9"/>
        <v>0</v>
      </c>
      <c r="U11" s="683"/>
      <c r="V11" s="683">
        <f t="shared" si="10"/>
        <v>0</v>
      </c>
      <c r="W11" s="683"/>
      <c r="X11" s="19">
        <f t="shared" si="11"/>
        <v>0</v>
      </c>
      <c r="Y11" s="20">
        <f t="shared" si="0"/>
        <v>14100</v>
      </c>
    </row>
    <row r="12" spans="1:25" ht="29.25" customHeight="1" x14ac:dyDescent="0.25">
      <c r="A12" s="2235" t="s">
        <v>31</v>
      </c>
      <c r="B12" s="2235"/>
      <c r="C12" s="18">
        <f t="shared" ref="C12:X12" si="12">SUM(C6:C11)</f>
        <v>111202</v>
      </c>
      <c r="D12" s="18">
        <f t="shared" si="12"/>
        <v>108143.94500000001</v>
      </c>
      <c r="E12" s="18">
        <f t="shared" si="12"/>
        <v>280</v>
      </c>
      <c r="F12" s="18">
        <f t="shared" si="12"/>
        <v>18787.999999999996</v>
      </c>
      <c r="G12" s="18">
        <f t="shared" si="12"/>
        <v>610</v>
      </c>
      <c r="H12" s="18">
        <f t="shared" si="12"/>
        <v>17202</v>
      </c>
      <c r="I12" s="18">
        <f t="shared" si="12"/>
        <v>5120</v>
      </c>
      <c r="J12" s="18">
        <f t="shared" si="12"/>
        <v>94720</v>
      </c>
      <c r="K12" s="18">
        <f t="shared" si="12"/>
        <v>400</v>
      </c>
      <c r="L12" s="18">
        <f t="shared" si="12"/>
        <v>11294.72</v>
      </c>
      <c r="M12" s="18">
        <f t="shared" si="12"/>
        <v>0</v>
      </c>
      <c r="N12" s="23">
        <f t="shared" si="12"/>
        <v>0</v>
      </c>
      <c r="O12" s="18">
        <f t="shared" si="12"/>
        <v>0</v>
      </c>
      <c r="P12" s="23">
        <f t="shared" si="12"/>
        <v>0</v>
      </c>
      <c r="Q12" s="23">
        <f t="shared" si="12"/>
        <v>0</v>
      </c>
      <c r="R12" s="23">
        <f>SUM(R6:R11)</f>
        <v>0</v>
      </c>
      <c r="S12" s="18">
        <f t="shared" si="12"/>
        <v>0</v>
      </c>
      <c r="T12" s="18">
        <f t="shared" si="12"/>
        <v>0</v>
      </c>
      <c r="U12" s="18">
        <f t="shared" si="12"/>
        <v>10</v>
      </c>
      <c r="V12" s="18">
        <f t="shared" si="12"/>
        <v>3320</v>
      </c>
      <c r="W12" s="18">
        <f t="shared" si="12"/>
        <v>0</v>
      </c>
      <c r="X12" s="18">
        <f t="shared" si="12"/>
        <v>0</v>
      </c>
      <c r="Y12" s="20">
        <f t="shared" si="0"/>
        <v>253468.66500000001</v>
      </c>
    </row>
    <row r="14" spans="1:25" ht="41.25" customHeight="1" x14ac:dyDescent="0.25">
      <c r="A14" s="30" t="s">
        <v>32</v>
      </c>
      <c r="B14" s="2236" t="s">
        <v>27</v>
      </c>
      <c r="C14" s="2236"/>
      <c r="D14" s="30" t="s">
        <v>333</v>
      </c>
      <c r="E14" s="30" t="s">
        <v>65</v>
      </c>
      <c r="F14" s="30" t="s">
        <v>34</v>
      </c>
      <c r="G14" s="30" t="s">
        <v>14</v>
      </c>
      <c r="H14" s="469" t="s">
        <v>173</v>
      </c>
      <c r="I14" s="30" t="s">
        <v>17</v>
      </c>
      <c r="J14" s="688" t="s">
        <v>174</v>
      </c>
      <c r="K14" s="30" t="s">
        <v>36</v>
      </c>
      <c r="L14" s="30" t="s">
        <v>175</v>
      </c>
      <c r="M14" s="30" t="s">
        <v>69</v>
      </c>
      <c r="N14" s="30" t="s">
        <v>70</v>
      </c>
      <c r="O14" s="688" t="s">
        <v>114</v>
      </c>
      <c r="P14" s="688" t="s">
        <v>368</v>
      </c>
      <c r="Q14" s="2300" t="s">
        <v>378</v>
      </c>
      <c r="R14" s="2301"/>
      <c r="S14" s="688"/>
      <c r="T14" s="2235" t="s">
        <v>46</v>
      </c>
      <c r="U14" s="680" t="s">
        <v>176</v>
      </c>
      <c r="V14" s="2260">
        <v>383</v>
      </c>
      <c r="W14" s="2268"/>
      <c r="X14" s="2261"/>
    </row>
    <row r="15" spans="1:25" ht="22.5" customHeight="1" x14ac:dyDescent="0.25">
      <c r="A15" s="100" t="s">
        <v>38</v>
      </c>
      <c r="B15" s="2260">
        <v>446103</v>
      </c>
      <c r="C15" s="2261"/>
      <c r="D15" s="685">
        <v>889</v>
      </c>
      <c r="E15" s="685">
        <v>2080</v>
      </c>
      <c r="F15" s="685">
        <v>8600</v>
      </c>
      <c r="G15" s="685">
        <v>0</v>
      </c>
      <c r="H15" s="685">
        <v>208</v>
      </c>
      <c r="I15" s="685">
        <v>10</v>
      </c>
      <c r="J15" s="685">
        <v>26</v>
      </c>
      <c r="K15" s="685">
        <v>72</v>
      </c>
      <c r="L15" s="685">
        <v>29</v>
      </c>
      <c r="M15" s="685">
        <v>0</v>
      </c>
      <c r="N15" s="685">
        <v>100</v>
      </c>
      <c r="O15" s="685">
        <v>0</v>
      </c>
      <c r="P15" s="685">
        <v>155</v>
      </c>
      <c r="Q15" s="2260">
        <v>100</v>
      </c>
      <c r="R15" s="2261"/>
      <c r="S15" s="680"/>
      <c r="T15" s="2235"/>
      <c r="U15" s="680" t="s">
        <v>64</v>
      </c>
      <c r="V15" s="2262">
        <v>7657</v>
      </c>
      <c r="W15" s="2262"/>
      <c r="X15" s="2262"/>
    </row>
    <row r="16" spans="1:25" ht="24.75" customHeight="1" x14ac:dyDescent="0.25">
      <c r="A16" s="100" t="s">
        <v>39</v>
      </c>
      <c r="B16" s="2260"/>
      <c r="C16" s="2261"/>
      <c r="D16" s="685"/>
      <c r="E16" s="685"/>
      <c r="F16" s="685"/>
      <c r="G16" s="685">
        <v>500</v>
      </c>
      <c r="H16" s="685"/>
      <c r="I16" s="685"/>
      <c r="J16" s="685"/>
      <c r="K16" s="685"/>
      <c r="L16" s="685"/>
      <c r="M16" s="685"/>
      <c r="N16" s="685"/>
      <c r="O16" s="685"/>
      <c r="P16" s="685"/>
      <c r="Q16" s="2225"/>
      <c r="R16" s="2225"/>
      <c r="S16" s="685"/>
      <c r="T16" s="2254" t="s">
        <v>55</v>
      </c>
      <c r="U16" s="2254"/>
      <c r="V16" s="2267">
        <f>Y12</f>
        <v>253468.66500000001</v>
      </c>
      <c r="W16" s="2267"/>
      <c r="X16" s="2262"/>
    </row>
    <row r="17" spans="1:25" ht="28.5" customHeight="1" x14ac:dyDescent="0.25">
      <c r="A17" s="101" t="s">
        <v>44</v>
      </c>
      <c r="B17" s="2260"/>
      <c r="C17" s="2261"/>
      <c r="D17" s="685"/>
      <c r="E17" s="685"/>
      <c r="F17" s="685"/>
      <c r="G17" s="685"/>
      <c r="H17" s="685"/>
      <c r="I17" s="685"/>
      <c r="J17" s="685"/>
      <c r="K17" s="685"/>
      <c r="L17" s="685"/>
      <c r="M17" s="685"/>
      <c r="N17" s="685"/>
      <c r="O17" s="685"/>
      <c r="P17" s="685"/>
      <c r="Q17" s="2225"/>
      <c r="R17" s="2225"/>
      <c r="S17" s="682"/>
      <c r="T17" s="2294" t="s">
        <v>362</v>
      </c>
      <c r="U17" s="2295"/>
      <c r="V17" s="2296"/>
      <c r="W17" s="2296"/>
      <c r="X17" s="2296"/>
    </row>
    <row r="18" spans="1:25" ht="27" customHeight="1" x14ac:dyDescent="0.25">
      <c r="A18" s="100" t="s">
        <v>40</v>
      </c>
      <c r="B18" s="2264">
        <f>C12</f>
        <v>111202</v>
      </c>
      <c r="C18" s="2261"/>
      <c r="D18" s="686">
        <f>E12</f>
        <v>280</v>
      </c>
      <c r="E18" s="686">
        <f>G12</f>
        <v>610</v>
      </c>
      <c r="F18" s="686">
        <f>I12</f>
        <v>5120</v>
      </c>
      <c r="G18" s="686">
        <f>K12</f>
        <v>400</v>
      </c>
      <c r="H18" s="685"/>
      <c r="I18" s="686">
        <f>U12</f>
        <v>10</v>
      </c>
      <c r="J18" s="685"/>
      <c r="K18" s="686">
        <f>W12</f>
        <v>0</v>
      </c>
      <c r="L18" s="685"/>
      <c r="M18" s="686">
        <f>M12</f>
        <v>0</v>
      </c>
      <c r="N18" s="686">
        <f>O12</f>
        <v>0</v>
      </c>
      <c r="O18" s="687">
        <f>Q12</f>
        <v>0</v>
      </c>
      <c r="P18" s="685"/>
      <c r="Q18" s="2262"/>
      <c r="R18" s="2262"/>
      <c r="S18" s="680"/>
      <c r="T18" s="2254" t="s">
        <v>57</v>
      </c>
      <c r="U18" s="2254"/>
      <c r="V18" s="2262">
        <v>852</v>
      </c>
      <c r="W18" s="2262"/>
      <c r="X18" s="2262"/>
      <c r="Y18" s="2269"/>
    </row>
    <row r="19" spans="1:25" ht="25.5" customHeight="1" x14ac:dyDescent="0.25">
      <c r="A19" s="100" t="s">
        <v>41</v>
      </c>
      <c r="B19" s="2260">
        <f>B15+B16+B17-B18</f>
        <v>334901</v>
      </c>
      <c r="C19" s="2261"/>
      <c r="D19" s="685">
        <f>D15+D16+D17-D18</f>
        <v>609</v>
      </c>
      <c r="E19" s="685">
        <f t="shared" ref="E19:N19" si="13">E15+E16+E17-E18</f>
        <v>1470</v>
      </c>
      <c r="F19" s="685">
        <f t="shared" si="13"/>
        <v>3480</v>
      </c>
      <c r="G19" s="685">
        <f t="shared" si="13"/>
        <v>100</v>
      </c>
      <c r="H19" s="685">
        <f t="shared" si="13"/>
        <v>208</v>
      </c>
      <c r="I19" s="685">
        <f t="shared" si="13"/>
        <v>0</v>
      </c>
      <c r="J19" s="685">
        <f t="shared" si="13"/>
        <v>26</v>
      </c>
      <c r="K19" s="685">
        <f t="shared" si="13"/>
        <v>72</v>
      </c>
      <c r="L19" s="685">
        <f t="shared" si="13"/>
        <v>29</v>
      </c>
      <c r="M19" s="685">
        <f t="shared" si="13"/>
        <v>0</v>
      </c>
      <c r="N19" s="685">
        <f t="shared" si="13"/>
        <v>100</v>
      </c>
      <c r="O19" s="685">
        <f>O15+O16+O17-O18</f>
        <v>0</v>
      </c>
      <c r="P19" s="685">
        <f>P15+P16+P17-P18</f>
        <v>155</v>
      </c>
      <c r="Q19" s="2260">
        <f t="shared" ref="Q19" si="14">Q15+Q16+Q17-Q18</f>
        <v>100</v>
      </c>
      <c r="R19" s="2261"/>
      <c r="S19" s="680">
        <f>S15+S16-S17-S18</f>
        <v>0</v>
      </c>
      <c r="T19" s="2256" t="s">
        <v>48</v>
      </c>
      <c r="U19" s="49" t="s">
        <v>58</v>
      </c>
      <c r="V19" s="2262"/>
      <c r="W19" s="2262"/>
      <c r="X19" s="2262"/>
      <c r="Y19" s="2269"/>
    </row>
    <row r="20" spans="1:25" ht="23.25" customHeight="1" x14ac:dyDescent="0.25">
      <c r="A20" s="289" t="s">
        <v>187</v>
      </c>
      <c r="B20" s="2286">
        <f>B19*0.9625</f>
        <v>322342.21250000002</v>
      </c>
      <c r="C20" s="2287"/>
      <c r="D20" s="290">
        <f>D19*66.41</f>
        <v>40443.689999999995</v>
      </c>
      <c r="E20" s="290">
        <f>28.2*E19</f>
        <v>41454</v>
      </c>
      <c r="F20" s="290">
        <f>18.31*F19</f>
        <v>63718.799999999996</v>
      </c>
      <c r="G20" s="290">
        <f>27.9368*G19</f>
        <v>2793.6800000000003</v>
      </c>
      <c r="H20" s="290">
        <f>241*H19</f>
        <v>50128</v>
      </c>
      <c r="I20" s="290">
        <f>323*I19</f>
        <v>0</v>
      </c>
      <c r="J20" s="290">
        <f>241*J19</f>
        <v>6266</v>
      </c>
      <c r="K20" s="290">
        <f>K19*100</f>
        <v>7200</v>
      </c>
      <c r="L20" s="290">
        <f>241*L19</f>
        <v>6989</v>
      </c>
      <c r="M20" s="290">
        <f>9.65*M19</f>
        <v>0</v>
      </c>
      <c r="N20" s="290">
        <f>N19*48.2</f>
        <v>4820</v>
      </c>
      <c r="O20" s="290">
        <f>241*O19</f>
        <v>0</v>
      </c>
      <c r="P20" s="290">
        <f>241*P19</f>
        <v>37355</v>
      </c>
      <c r="Q20" s="2286">
        <f>341*Q19</f>
        <v>34100</v>
      </c>
      <c r="R20" s="2287"/>
      <c r="S20" s="290">
        <f>241*S19</f>
        <v>0</v>
      </c>
      <c r="T20" s="2257"/>
      <c r="U20" s="49" t="s">
        <v>59</v>
      </c>
      <c r="V20" s="2262">
        <v>13968</v>
      </c>
      <c r="W20" s="2262"/>
      <c r="X20" s="2262"/>
      <c r="Y20" s="2269"/>
    </row>
    <row r="21" spans="1:25" ht="32.25" customHeight="1" x14ac:dyDescent="0.25">
      <c r="A21" s="291" t="s">
        <v>186</v>
      </c>
      <c r="B21" s="2293">
        <f>SUM(B20:S20)</f>
        <v>617610.38250000007</v>
      </c>
      <c r="C21" s="2293"/>
      <c r="O21" s="689"/>
      <c r="P21" s="689"/>
      <c r="Q21" s="689"/>
      <c r="R21" s="689"/>
      <c r="T21" s="2294" t="s">
        <v>366</v>
      </c>
      <c r="U21" s="2295"/>
      <c r="V21" s="2297"/>
      <c r="W21" s="2298"/>
      <c r="X21" s="2299"/>
      <c r="Y21" s="2269"/>
    </row>
    <row r="22" spans="1:25" ht="35.25" customHeight="1" x14ac:dyDescent="0.25">
      <c r="A22" s="15"/>
      <c r="B22" s="2288" t="s">
        <v>49</v>
      </c>
      <c r="C22" s="2291">
        <v>507100</v>
      </c>
      <c r="D22" s="2291"/>
      <c r="E22" s="2291">
        <v>13</v>
      </c>
      <c r="F22" s="2291">
        <f>C22-D22+E22</f>
        <v>507113</v>
      </c>
      <c r="G22" s="689"/>
      <c r="Q22" s="689"/>
      <c r="R22" s="689"/>
      <c r="T22" s="2251" t="s">
        <v>83</v>
      </c>
      <c r="U22" s="50" t="s">
        <v>60</v>
      </c>
      <c r="V22" s="2262"/>
      <c r="W22" s="2262"/>
      <c r="X22" s="2262"/>
      <c r="Y22" s="2269"/>
    </row>
    <row r="23" spans="1:25" ht="39.75" customHeight="1" x14ac:dyDescent="0.25">
      <c r="A23" s="689"/>
      <c r="B23" s="2289"/>
      <c r="C23" s="2292"/>
      <c r="D23" s="2292"/>
      <c r="E23" s="2292"/>
      <c r="F23" s="2292"/>
      <c r="G23" s="689"/>
      <c r="Q23" s="689"/>
      <c r="R23" s="689"/>
      <c r="T23" s="2252"/>
      <c r="U23" s="50" t="s">
        <v>61</v>
      </c>
      <c r="V23" s="2262"/>
      <c r="W23" s="2262"/>
      <c r="X23" s="2262"/>
      <c r="Y23" s="2269"/>
    </row>
    <row r="24" spans="1:25" ht="48" customHeight="1" x14ac:dyDescent="0.25">
      <c r="A24" s="689"/>
      <c r="B24" s="2290"/>
      <c r="C24" s="290" t="s">
        <v>46</v>
      </c>
      <c r="D24" s="290" t="s">
        <v>50</v>
      </c>
      <c r="E24" s="290" t="s">
        <v>51</v>
      </c>
      <c r="F24" s="290" t="s">
        <v>52</v>
      </c>
      <c r="G24" s="689"/>
      <c r="Q24" s="689"/>
      <c r="R24" s="689"/>
      <c r="T24" s="2235" t="s">
        <v>47</v>
      </c>
      <c r="U24" s="51" t="s">
        <v>62</v>
      </c>
      <c r="V24" s="2263">
        <f>V14+V16+V17-V18-V19-V20-V22+V23-V21</f>
        <v>239031.66500000001</v>
      </c>
      <c r="W24" s="2263"/>
      <c r="X24" s="2263"/>
      <c r="Y24" s="2269"/>
    </row>
    <row r="25" spans="1:25" ht="40.5" customHeight="1" x14ac:dyDescent="0.25">
      <c r="T25" s="2235"/>
      <c r="U25" s="51" t="s">
        <v>63</v>
      </c>
      <c r="V25" s="2262">
        <f>V15+V22-V23</f>
        <v>7657</v>
      </c>
      <c r="W25" s="2262"/>
      <c r="X25" s="2262"/>
    </row>
    <row r="26" spans="1:25" ht="36" customHeight="1" x14ac:dyDescent="0.25">
      <c r="K26" s="314"/>
    </row>
    <row r="28" spans="1:25" x14ac:dyDescent="0.25">
      <c r="J28" s="14" t="s">
        <v>139</v>
      </c>
    </row>
    <row r="32" spans="1:25" x14ac:dyDescent="0.25">
      <c r="I32" s="2280"/>
      <c r="J32" s="2280"/>
      <c r="K32" s="2280"/>
      <c r="L32" s="2280"/>
    </row>
    <row r="33" spans="9:12" x14ac:dyDescent="0.25">
      <c r="I33" s="689"/>
      <c r="J33" s="689"/>
      <c r="K33" s="2280"/>
      <c r="L33" s="2280"/>
    </row>
  </sheetData>
  <mergeCells count="62">
    <mergeCell ref="I32:J32"/>
    <mergeCell ref="K32:L32"/>
    <mergeCell ref="K33:L33"/>
    <mergeCell ref="T22:T23"/>
    <mergeCell ref="V22:X22"/>
    <mergeCell ref="V23:X23"/>
    <mergeCell ref="T24:T25"/>
    <mergeCell ref="V24:X24"/>
    <mergeCell ref="V25:X25"/>
    <mergeCell ref="Y18:Y24"/>
    <mergeCell ref="B19:C19"/>
    <mergeCell ref="Q19:R19"/>
    <mergeCell ref="T19:T20"/>
    <mergeCell ref="V19:X19"/>
    <mergeCell ref="B20:C20"/>
    <mergeCell ref="B22:B24"/>
    <mergeCell ref="C22:C23"/>
    <mergeCell ref="D22:D23"/>
    <mergeCell ref="E22:E23"/>
    <mergeCell ref="F22:F23"/>
    <mergeCell ref="Q20:R20"/>
    <mergeCell ref="V20:X20"/>
    <mergeCell ref="B21:C21"/>
    <mergeCell ref="T21:U21"/>
    <mergeCell ref="V21:X21"/>
    <mergeCell ref="B17:C17"/>
    <mergeCell ref="Q17:R17"/>
    <mergeCell ref="T17:U17"/>
    <mergeCell ref="V17:X17"/>
    <mergeCell ref="B18:C18"/>
    <mergeCell ref="Q18:R18"/>
    <mergeCell ref="T18:U18"/>
    <mergeCell ref="V18:X18"/>
    <mergeCell ref="W4:X4"/>
    <mergeCell ref="B16:C16"/>
    <mergeCell ref="Q16:R16"/>
    <mergeCell ref="T16:U16"/>
    <mergeCell ref="V16:X16"/>
    <mergeCell ref="A12:B12"/>
    <mergeCell ref="B14:C14"/>
    <mergeCell ref="Q14:R14"/>
    <mergeCell ref="T14:T15"/>
    <mergeCell ref="V14:X14"/>
    <mergeCell ref="B15:C15"/>
    <mergeCell ref="Q15:R15"/>
    <mergeCell ref="V15:X15"/>
    <mergeCell ref="A1:Y1"/>
    <mergeCell ref="A2:Y2"/>
    <mergeCell ref="T3:Y3"/>
    <mergeCell ref="A4:A5"/>
    <mergeCell ref="B4:B5"/>
    <mergeCell ref="C4:D4"/>
    <mergeCell ref="E4:F4"/>
    <mergeCell ref="G4:H4"/>
    <mergeCell ref="I4:J4"/>
    <mergeCell ref="K4:L4"/>
    <mergeCell ref="Y4:Y5"/>
    <mergeCell ref="M4:N4"/>
    <mergeCell ref="O4:P4"/>
    <mergeCell ref="Q4:R4"/>
    <mergeCell ref="S4:T4"/>
    <mergeCell ref="U4:V4"/>
  </mergeCells>
  <pageMargins left="0.15748031496063" right="0.15748031496063" top="0" bottom="0" header="0" footer="0"/>
  <pageSetup paperSize="9" scale="47" orientation="landscape" r:id="rId1"/>
</worksheet>
</file>

<file path=xl/worksheets/sheet16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29D48E2-61BF-4DE5-B6DD-64160AC7B31D}">
  <sheetPr>
    <pageSetUpPr fitToPage="1"/>
  </sheetPr>
  <dimension ref="A1:Y33"/>
  <sheetViews>
    <sheetView topLeftCell="A3" zoomScale="70" zoomScaleNormal="70" zoomScaleSheetLayoutView="100" workbookViewId="0">
      <selection activeCell="J33" sqref="J33"/>
    </sheetView>
  </sheetViews>
  <sheetFormatPr defaultColWidth="9.140625" defaultRowHeight="15" x14ac:dyDescent="0.25"/>
  <cols>
    <col min="1" max="1" width="18.28515625" style="14" customWidth="1"/>
    <col min="2" max="2" width="10.7109375" style="14" customWidth="1"/>
    <col min="3" max="3" width="12.28515625" style="14" customWidth="1"/>
    <col min="4" max="4" width="13.140625" style="14" bestFit="1" customWidth="1"/>
    <col min="5" max="5" width="12" style="14" customWidth="1"/>
    <col min="6" max="6" width="12.5703125" style="14" bestFit="1" customWidth="1"/>
    <col min="7" max="7" width="9.28515625" style="14" bestFit="1" customWidth="1"/>
    <col min="8" max="8" width="10.140625" style="14" bestFit="1" customWidth="1"/>
    <col min="9" max="9" width="10.5703125" style="14" bestFit="1" customWidth="1"/>
    <col min="10" max="10" width="10.5703125" style="14" customWidth="1"/>
    <col min="11" max="11" width="10.28515625" style="14" bestFit="1" customWidth="1"/>
    <col min="12" max="12" width="10.42578125" style="14" bestFit="1" customWidth="1"/>
    <col min="13" max="13" width="9.85546875" style="14" bestFit="1" customWidth="1"/>
    <col min="14" max="14" width="10.140625" style="14" bestFit="1" customWidth="1"/>
    <col min="15" max="15" width="9" style="14" customWidth="1"/>
    <col min="16" max="16" width="12.85546875" style="14" bestFit="1" customWidth="1"/>
    <col min="17" max="18" width="9.42578125" style="14" customWidth="1"/>
    <col min="19" max="19" width="13.7109375" style="14" customWidth="1"/>
    <col min="20" max="20" width="12.140625" style="14" customWidth="1"/>
    <col min="21" max="21" width="19.5703125" style="14" bestFit="1" customWidth="1"/>
    <col min="22" max="22" width="9.85546875" style="14" customWidth="1"/>
    <col min="23" max="23" width="10.140625" style="14" bestFit="1" customWidth="1"/>
    <col min="24" max="24" width="10.28515625" style="14" customWidth="1"/>
    <col min="25" max="25" width="28" style="14" customWidth="1"/>
    <col min="26" max="16384" width="9.140625" style="14"/>
  </cols>
  <sheetData>
    <row r="1" spans="1:25" ht="46.15" customHeight="1" x14ac:dyDescent="0.25">
      <c r="A1" s="2240" t="s">
        <v>148</v>
      </c>
      <c r="B1" s="2240"/>
      <c r="C1" s="2240"/>
      <c r="D1" s="2240"/>
      <c r="E1" s="2240"/>
      <c r="F1" s="2240"/>
      <c r="G1" s="2240"/>
      <c r="H1" s="2240"/>
      <c r="I1" s="2240"/>
      <c r="J1" s="2240"/>
      <c r="K1" s="2240"/>
      <c r="L1" s="2240"/>
      <c r="M1" s="2240"/>
      <c r="N1" s="2240"/>
      <c r="O1" s="2240"/>
      <c r="P1" s="2240"/>
      <c r="Q1" s="2240"/>
      <c r="R1" s="2240"/>
      <c r="S1" s="2240"/>
      <c r="T1" s="2240"/>
      <c r="U1" s="2240"/>
      <c r="V1" s="2240"/>
      <c r="W1" s="2240"/>
      <c r="X1" s="2240"/>
      <c r="Y1" s="2240"/>
    </row>
    <row r="2" spans="1:25" ht="21.6" customHeight="1" x14ac:dyDescent="0.25">
      <c r="A2" s="2241" t="s">
        <v>77</v>
      </c>
      <c r="B2" s="2241"/>
      <c r="C2" s="2241"/>
      <c r="D2" s="2241"/>
      <c r="E2" s="2241"/>
      <c r="F2" s="2241"/>
      <c r="G2" s="2241"/>
      <c r="H2" s="2241"/>
      <c r="I2" s="2241"/>
      <c r="J2" s="2241"/>
      <c r="K2" s="2241"/>
      <c r="L2" s="2241"/>
      <c r="M2" s="2241"/>
      <c r="N2" s="2241"/>
      <c r="O2" s="2241"/>
      <c r="P2" s="2241"/>
      <c r="Q2" s="2241"/>
      <c r="R2" s="2241"/>
      <c r="S2" s="2241"/>
      <c r="T2" s="2241"/>
      <c r="U2" s="2241"/>
      <c r="V2" s="2241"/>
      <c r="W2" s="2241"/>
      <c r="X2" s="2241"/>
      <c r="Y2" s="2241"/>
    </row>
    <row r="3" spans="1:25" ht="21" customHeight="1" x14ac:dyDescent="0.25">
      <c r="A3" s="695"/>
      <c r="B3" s="695"/>
      <c r="C3" s="695"/>
      <c r="D3" s="695"/>
      <c r="E3" s="695"/>
      <c r="F3" s="695"/>
      <c r="G3" s="695"/>
      <c r="H3" s="695"/>
      <c r="I3" s="695"/>
      <c r="J3" s="695"/>
      <c r="K3" s="695"/>
      <c r="L3" s="695"/>
      <c r="M3" s="695"/>
      <c r="N3" s="695"/>
      <c r="O3" s="695"/>
      <c r="P3" s="695"/>
      <c r="Q3" s="695"/>
      <c r="R3" s="695"/>
      <c r="S3" s="695"/>
      <c r="T3" s="2242" t="s">
        <v>380</v>
      </c>
      <c r="U3" s="2242"/>
      <c r="V3" s="2242"/>
      <c r="W3" s="2242"/>
      <c r="X3" s="2242"/>
      <c r="Y3" s="2242"/>
    </row>
    <row r="4" spans="1:25" s="695" customFormat="1" ht="18" customHeight="1" x14ac:dyDescent="0.25">
      <c r="A4" s="2243" t="s">
        <v>25</v>
      </c>
      <c r="B4" s="2243" t="s">
        <v>26</v>
      </c>
      <c r="C4" s="2244" t="s">
        <v>27</v>
      </c>
      <c r="D4" s="2244"/>
      <c r="E4" s="2244" t="s">
        <v>342</v>
      </c>
      <c r="F4" s="2244"/>
      <c r="G4" s="2244" t="s">
        <v>65</v>
      </c>
      <c r="H4" s="2244"/>
      <c r="I4" s="2244" t="s">
        <v>29</v>
      </c>
      <c r="J4" s="2244"/>
      <c r="K4" s="2245" t="s">
        <v>14</v>
      </c>
      <c r="L4" s="2246"/>
      <c r="M4" s="2245" t="s">
        <v>67</v>
      </c>
      <c r="N4" s="2246"/>
      <c r="O4" s="2245" t="s">
        <v>68</v>
      </c>
      <c r="P4" s="2246"/>
      <c r="Q4" s="2245" t="s">
        <v>114</v>
      </c>
      <c r="R4" s="2246"/>
      <c r="S4" s="2244" t="s">
        <v>35</v>
      </c>
      <c r="T4" s="2244"/>
      <c r="U4" s="2245" t="s">
        <v>17</v>
      </c>
      <c r="V4" s="2246"/>
      <c r="W4" s="2247" t="s">
        <v>36</v>
      </c>
      <c r="X4" s="2248"/>
      <c r="Y4" s="2238" t="s">
        <v>30</v>
      </c>
    </row>
    <row r="5" spans="1:25" s="695" customFormat="1" ht="25.5" customHeight="1" x14ac:dyDescent="0.25">
      <c r="A5" s="2243"/>
      <c r="B5" s="2243"/>
      <c r="C5" s="694" t="s">
        <v>42</v>
      </c>
      <c r="D5" s="694" t="s">
        <v>43</v>
      </c>
      <c r="E5" s="694" t="s">
        <v>42</v>
      </c>
      <c r="F5" s="694" t="s">
        <v>43</v>
      </c>
      <c r="G5" s="694" t="s">
        <v>42</v>
      </c>
      <c r="H5" s="694" t="s">
        <v>43</v>
      </c>
      <c r="I5" s="694" t="s">
        <v>42</v>
      </c>
      <c r="J5" s="694" t="s">
        <v>43</v>
      </c>
      <c r="K5" s="694" t="s">
        <v>42</v>
      </c>
      <c r="L5" s="694" t="s">
        <v>43</v>
      </c>
      <c r="M5" s="694" t="s">
        <v>42</v>
      </c>
      <c r="N5" s="694" t="s">
        <v>43</v>
      </c>
      <c r="O5" s="694" t="s">
        <v>42</v>
      </c>
      <c r="P5" s="694" t="s">
        <v>43</v>
      </c>
      <c r="Q5" s="694" t="s">
        <v>42</v>
      </c>
      <c r="R5" s="694" t="s">
        <v>43</v>
      </c>
      <c r="S5" s="33" t="s">
        <v>42</v>
      </c>
      <c r="T5" s="33" t="s">
        <v>43</v>
      </c>
      <c r="U5" s="30" t="s">
        <v>42</v>
      </c>
      <c r="V5" s="30" t="s">
        <v>43</v>
      </c>
      <c r="W5" s="30" t="s">
        <v>42</v>
      </c>
      <c r="X5" s="30" t="s">
        <v>43</v>
      </c>
      <c r="Y5" s="2239"/>
    </row>
    <row r="6" spans="1:25" ht="34.5" customHeight="1" x14ac:dyDescent="0.25">
      <c r="A6" s="12">
        <v>1409935200</v>
      </c>
      <c r="B6" s="693" t="s">
        <v>71</v>
      </c>
      <c r="C6" s="691">
        <v>32289</v>
      </c>
      <c r="D6" s="690">
        <f>0.9725*C6</f>
        <v>31401.052500000002</v>
      </c>
      <c r="E6" s="691"/>
      <c r="F6" s="691">
        <f>67.1*E6</f>
        <v>0</v>
      </c>
      <c r="G6" s="691">
        <v>100</v>
      </c>
      <c r="H6" s="691">
        <f>28.2*G6</f>
        <v>2820</v>
      </c>
      <c r="I6" s="691">
        <v>520</v>
      </c>
      <c r="J6" s="691">
        <f>18.5*I6</f>
        <v>9620</v>
      </c>
      <c r="K6" s="691"/>
      <c r="L6" s="691">
        <f>28.2368*K6</f>
        <v>0</v>
      </c>
      <c r="M6" s="691"/>
      <c r="N6" s="690">
        <f>M6*9.75</f>
        <v>0</v>
      </c>
      <c r="O6" s="691"/>
      <c r="P6" s="690">
        <f>O6*48.62</f>
        <v>0</v>
      </c>
      <c r="Q6" s="690"/>
      <c r="R6" s="690">
        <f>241*Q6</f>
        <v>0</v>
      </c>
      <c r="S6" s="691"/>
      <c r="T6" s="691">
        <f>241*S6</f>
        <v>0</v>
      </c>
      <c r="U6" s="691"/>
      <c r="V6" s="691">
        <f>332*U6</f>
        <v>0</v>
      </c>
      <c r="W6" s="691"/>
      <c r="X6" s="19">
        <f>W6*100</f>
        <v>0</v>
      </c>
      <c r="Y6" s="20">
        <f t="shared" ref="Y6:Y12" si="0">D6+F6+H6+J6+L6+N6+P6+R6+T6+V6+X6</f>
        <v>43841.052500000005</v>
      </c>
    </row>
    <row r="7" spans="1:25" ht="31.5" customHeight="1" x14ac:dyDescent="0.25">
      <c r="A7" s="12">
        <v>1984225578</v>
      </c>
      <c r="B7" s="693" t="s">
        <v>72</v>
      </c>
      <c r="C7" s="691">
        <v>24970</v>
      </c>
      <c r="D7" s="690">
        <f t="shared" ref="D7:D11" si="1">0.9725*C7</f>
        <v>24283.325000000001</v>
      </c>
      <c r="E7" s="691"/>
      <c r="F7" s="691">
        <f t="shared" ref="F7:F11" si="2">67.1*E7</f>
        <v>0</v>
      </c>
      <c r="G7" s="691"/>
      <c r="H7" s="691">
        <f t="shared" ref="H7:H11" si="3">28.2*G7</f>
        <v>0</v>
      </c>
      <c r="I7" s="691"/>
      <c r="J7" s="691">
        <f t="shared" ref="J7:J11" si="4">18.5*I7</f>
        <v>0</v>
      </c>
      <c r="K7" s="691"/>
      <c r="L7" s="691">
        <f t="shared" ref="L7:L11" si="5">28.2368*K7</f>
        <v>0</v>
      </c>
      <c r="M7" s="691"/>
      <c r="N7" s="690">
        <f t="shared" ref="N7:N11" si="6">M7*9.75</f>
        <v>0</v>
      </c>
      <c r="O7" s="691"/>
      <c r="P7" s="690">
        <f t="shared" ref="P7:P11" si="7">O7*48.62</f>
        <v>0</v>
      </c>
      <c r="Q7" s="690"/>
      <c r="R7" s="690">
        <f t="shared" ref="R7:R11" si="8">241*Q7</f>
        <v>0</v>
      </c>
      <c r="S7" s="691"/>
      <c r="T7" s="691">
        <f t="shared" ref="T7:T11" si="9">241*S7</f>
        <v>0</v>
      </c>
      <c r="U7" s="691"/>
      <c r="V7" s="691">
        <f t="shared" ref="V7:V11" si="10">332*U7</f>
        <v>0</v>
      </c>
      <c r="W7" s="691"/>
      <c r="X7" s="19">
        <f t="shared" ref="X7:X11" si="11">W7*100</f>
        <v>0</v>
      </c>
      <c r="Y7" s="20">
        <f t="shared" si="0"/>
        <v>24283.325000000001</v>
      </c>
    </row>
    <row r="8" spans="1:25" ht="35.25" customHeight="1" x14ac:dyDescent="0.25">
      <c r="A8" s="12">
        <v>1967020280</v>
      </c>
      <c r="B8" s="693" t="s">
        <v>73</v>
      </c>
      <c r="C8" s="691">
        <v>20451</v>
      </c>
      <c r="D8" s="690">
        <f t="shared" si="1"/>
        <v>19888.5975</v>
      </c>
      <c r="E8" s="691">
        <v>10</v>
      </c>
      <c r="F8" s="691">
        <f t="shared" si="2"/>
        <v>671</v>
      </c>
      <c r="G8" s="691"/>
      <c r="H8" s="691">
        <f t="shared" si="3"/>
        <v>0</v>
      </c>
      <c r="I8" s="691"/>
      <c r="J8" s="691">
        <f t="shared" si="4"/>
        <v>0</v>
      </c>
      <c r="K8" s="691">
        <v>100</v>
      </c>
      <c r="L8" s="691">
        <f t="shared" si="5"/>
        <v>2823.68</v>
      </c>
      <c r="M8" s="691"/>
      <c r="N8" s="690">
        <f t="shared" si="6"/>
        <v>0</v>
      </c>
      <c r="O8" s="691"/>
      <c r="P8" s="690">
        <f t="shared" si="7"/>
        <v>0</v>
      </c>
      <c r="Q8" s="690"/>
      <c r="R8" s="690">
        <f t="shared" si="8"/>
        <v>0</v>
      </c>
      <c r="S8" s="691">
        <v>10</v>
      </c>
      <c r="T8" s="691">
        <f t="shared" si="9"/>
        <v>2410</v>
      </c>
      <c r="U8" s="691"/>
      <c r="V8" s="691">
        <f t="shared" si="10"/>
        <v>0</v>
      </c>
      <c r="W8" s="691"/>
      <c r="X8" s="19">
        <f t="shared" si="11"/>
        <v>0</v>
      </c>
      <c r="Y8" s="20">
        <f t="shared" si="0"/>
        <v>25793.2775</v>
      </c>
    </row>
    <row r="9" spans="1:25" ht="38.25" customHeight="1" x14ac:dyDescent="0.25">
      <c r="A9" s="12">
        <v>1984225580</v>
      </c>
      <c r="B9" s="693" t="s">
        <v>75</v>
      </c>
      <c r="C9" s="691">
        <v>53249</v>
      </c>
      <c r="D9" s="690">
        <f t="shared" si="1"/>
        <v>51784.652500000004</v>
      </c>
      <c r="E9" s="691"/>
      <c r="F9" s="691">
        <f t="shared" si="2"/>
        <v>0</v>
      </c>
      <c r="G9" s="691"/>
      <c r="H9" s="691">
        <f t="shared" si="3"/>
        <v>0</v>
      </c>
      <c r="I9" s="691"/>
      <c r="J9" s="691">
        <f t="shared" si="4"/>
        <v>0</v>
      </c>
      <c r="K9" s="691"/>
      <c r="L9" s="691">
        <f t="shared" si="5"/>
        <v>0</v>
      </c>
      <c r="M9" s="691"/>
      <c r="N9" s="690">
        <f t="shared" si="6"/>
        <v>0</v>
      </c>
      <c r="O9" s="691"/>
      <c r="P9" s="690">
        <f t="shared" si="7"/>
        <v>0</v>
      </c>
      <c r="Q9" s="690"/>
      <c r="R9" s="690">
        <f t="shared" si="8"/>
        <v>0</v>
      </c>
      <c r="S9" s="691"/>
      <c r="T9" s="691">
        <f t="shared" si="9"/>
        <v>0</v>
      </c>
      <c r="U9" s="691"/>
      <c r="V9" s="691">
        <f t="shared" si="10"/>
        <v>0</v>
      </c>
      <c r="W9" s="691"/>
      <c r="X9" s="19">
        <f t="shared" si="11"/>
        <v>0</v>
      </c>
      <c r="Y9" s="20">
        <f t="shared" si="0"/>
        <v>51784.652500000004</v>
      </c>
    </row>
    <row r="10" spans="1:25" ht="35.25" customHeight="1" x14ac:dyDescent="0.25">
      <c r="A10" s="12">
        <v>1409935199</v>
      </c>
      <c r="C10" s="691"/>
      <c r="D10" s="690">
        <f t="shared" si="1"/>
        <v>0</v>
      </c>
      <c r="E10" s="691"/>
      <c r="F10" s="691">
        <f t="shared" si="2"/>
        <v>0</v>
      </c>
      <c r="G10" s="691"/>
      <c r="H10" s="691">
        <f t="shared" si="3"/>
        <v>0</v>
      </c>
      <c r="I10" s="691">
        <v>2600</v>
      </c>
      <c r="J10" s="691">
        <f t="shared" si="4"/>
        <v>48100</v>
      </c>
      <c r="K10" s="691"/>
      <c r="L10" s="691">
        <f t="shared" si="5"/>
        <v>0</v>
      </c>
      <c r="M10" s="691"/>
      <c r="N10" s="690">
        <f t="shared" si="6"/>
        <v>0</v>
      </c>
      <c r="O10" s="691"/>
      <c r="P10" s="690">
        <f t="shared" si="7"/>
        <v>0</v>
      </c>
      <c r="Q10" s="690"/>
      <c r="R10" s="690">
        <f t="shared" si="8"/>
        <v>0</v>
      </c>
      <c r="S10" s="691"/>
      <c r="T10" s="691">
        <f t="shared" si="9"/>
        <v>0</v>
      </c>
      <c r="U10" s="691"/>
      <c r="V10" s="691">
        <f t="shared" si="10"/>
        <v>0</v>
      </c>
      <c r="W10" s="691"/>
      <c r="X10" s="19">
        <f t="shared" si="11"/>
        <v>0</v>
      </c>
      <c r="Y10" s="20">
        <f t="shared" si="0"/>
        <v>48100</v>
      </c>
    </row>
    <row r="11" spans="1:25" ht="37.5" customHeight="1" x14ac:dyDescent="0.25">
      <c r="A11" s="12"/>
      <c r="B11" s="692"/>
      <c r="C11" s="691"/>
      <c r="D11" s="22">
        <f t="shared" si="1"/>
        <v>0</v>
      </c>
      <c r="E11" s="691"/>
      <c r="F11" s="691">
        <f t="shared" si="2"/>
        <v>0</v>
      </c>
      <c r="G11" s="691"/>
      <c r="H11" s="691">
        <f t="shared" si="3"/>
        <v>0</v>
      </c>
      <c r="I11" s="691"/>
      <c r="J11" s="691">
        <f t="shared" si="4"/>
        <v>0</v>
      </c>
      <c r="K11" s="691"/>
      <c r="L11" s="691">
        <f t="shared" si="5"/>
        <v>0</v>
      </c>
      <c r="M11" s="691"/>
      <c r="N11" s="690">
        <f t="shared" si="6"/>
        <v>0</v>
      </c>
      <c r="O11" s="691"/>
      <c r="P11" s="690">
        <f t="shared" si="7"/>
        <v>0</v>
      </c>
      <c r="Q11" s="690"/>
      <c r="R11" s="690">
        <f t="shared" si="8"/>
        <v>0</v>
      </c>
      <c r="S11" s="691"/>
      <c r="T11" s="691">
        <f t="shared" si="9"/>
        <v>0</v>
      </c>
      <c r="U11" s="691"/>
      <c r="V11" s="691">
        <f t="shared" si="10"/>
        <v>0</v>
      </c>
      <c r="W11" s="691"/>
      <c r="X11" s="19">
        <f t="shared" si="11"/>
        <v>0</v>
      </c>
      <c r="Y11" s="20">
        <f t="shared" si="0"/>
        <v>0</v>
      </c>
    </row>
    <row r="12" spans="1:25" ht="29.25" customHeight="1" x14ac:dyDescent="0.25">
      <c r="A12" s="2235" t="s">
        <v>31</v>
      </c>
      <c r="B12" s="2235"/>
      <c r="C12" s="18">
        <f t="shared" ref="C12:X12" si="12">SUM(C6:C11)</f>
        <v>130959</v>
      </c>
      <c r="D12" s="18">
        <f t="shared" si="12"/>
        <v>127357.6275</v>
      </c>
      <c r="E12" s="18">
        <f t="shared" si="12"/>
        <v>10</v>
      </c>
      <c r="F12" s="18">
        <f t="shared" si="12"/>
        <v>671</v>
      </c>
      <c r="G12" s="18">
        <f t="shared" si="12"/>
        <v>100</v>
      </c>
      <c r="H12" s="18">
        <f t="shared" si="12"/>
        <v>2820</v>
      </c>
      <c r="I12" s="18">
        <f t="shared" si="12"/>
        <v>3120</v>
      </c>
      <c r="J12" s="18">
        <f t="shared" si="12"/>
        <v>57720</v>
      </c>
      <c r="K12" s="18">
        <f t="shared" si="12"/>
        <v>100</v>
      </c>
      <c r="L12" s="18">
        <f t="shared" si="12"/>
        <v>2823.68</v>
      </c>
      <c r="M12" s="18">
        <f t="shared" si="12"/>
        <v>0</v>
      </c>
      <c r="N12" s="23">
        <f t="shared" si="12"/>
        <v>0</v>
      </c>
      <c r="O12" s="18">
        <f t="shared" si="12"/>
        <v>0</v>
      </c>
      <c r="P12" s="23">
        <f t="shared" si="12"/>
        <v>0</v>
      </c>
      <c r="Q12" s="23">
        <f t="shared" si="12"/>
        <v>0</v>
      </c>
      <c r="R12" s="23">
        <f>SUM(R6:R11)</f>
        <v>0</v>
      </c>
      <c r="S12" s="18">
        <f t="shared" si="12"/>
        <v>10</v>
      </c>
      <c r="T12" s="18">
        <f t="shared" si="12"/>
        <v>2410</v>
      </c>
      <c r="U12" s="18">
        <f t="shared" si="12"/>
        <v>0</v>
      </c>
      <c r="V12" s="18">
        <f t="shared" si="12"/>
        <v>0</v>
      </c>
      <c r="W12" s="18">
        <f t="shared" si="12"/>
        <v>0</v>
      </c>
      <c r="X12" s="18">
        <f t="shared" si="12"/>
        <v>0</v>
      </c>
      <c r="Y12" s="20">
        <f t="shared" si="0"/>
        <v>193802.3075</v>
      </c>
    </row>
    <row r="14" spans="1:25" ht="41.25" customHeight="1" x14ac:dyDescent="0.25">
      <c r="A14" s="30" t="s">
        <v>32</v>
      </c>
      <c r="B14" s="2236" t="s">
        <v>27</v>
      </c>
      <c r="C14" s="2236"/>
      <c r="D14" s="30" t="s">
        <v>333</v>
      </c>
      <c r="E14" s="30" t="s">
        <v>65</v>
      </c>
      <c r="F14" s="30" t="s">
        <v>34</v>
      </c>
      <c r="G14" s="30" t="s">
        <v>14</v>
      </c>
      <c r="H14" s="469" t="s">
        <v>173</v>
      </c>
      <c r="I14" s="30" t="s">
        <v>17</v>
      </c>
      <c r="J14" s="699" t="s">
        <v>174</v>
      </c>
      <c r="K14" s="30" t="s">
        <v>36</v>
      </c>
      <c r="L14" s="30" t="s">
        <v>175</v>
      </c>
      <c r="M14" s="30" t="s">
        <v>69</v>
      </c>
      <c r="N14" s="30" t="s">
        <v>70</v>
      </c>
      <c r="O14" s="699" t="s">
        <v>114</v>
      </c>
      <c r="P14" s="699" t="s">
        <v>368</v>
      </c>
      <c r="Q14" s="2300" t="s">
        <v>378</v>
      </c>
      <c r="R14" s="2301"/>
      <c r="S14" s="699"/>
      <c r="T14" s="2235" t="s">
        <v>46</v>
      </c>
      <c r="U14" s="693" t="s">
        <v>176</v>
      </c>
      <c r="V14" s="2260">
        <v>239032</v>
      </c>
      <c r="W14" s="2268"/>
      <c r="X14" s="2261"/>
    </row>
    <row r="15" spans="1:25" ht="22.5" customHeight="1" x14ac:dyDescent="0.25">
      <c r="A15" s="100" t="s">
        <v>38</v>
      </c>
      <c r="B15" s="2260">
        <v>334901</v>
      </c>
      <c r="C15" s="2261"/>
      <c r="D15" s="696">
        <v>609</v>
      </c>
      <c r="E15" s="696">
        <v>1470</v>
      </c>
      <c r="F15" s="696">
        <v>3480</v>
      </c>
      <c r="G15" s="696">
        <v>100</v>
      </c>
      <c r="H15" s="696">
        <v>208</v>
      </c>
      <c r="I15" s="696">
        <v>0</v>
      </c>
      <c r="J15" s="696">
        <v>26</v>
      </c>
      <c r="K15" s="696">
        <v>72</v>
      </c>
      <c r="L15" s="696">
        <v>29</v>
      </c>
      <c r="M15" s="696">
        <v>0</v>
      </c>
      <c r="N15" s="696">
        <v>100</v>
      </c>
      <c r="O15" s="696">
        <v>0</v>
      </c>
      <c r="P15" s="696">
        <v>155</v>
      </c>
      <c r="Q15" s="2260">
        <v>100</v>
      </c>
      <c r="R15" s="2261"/>
      <c r="S15" s="693"/>
      <c r="T15" s="2235"/>
      <c r="U15" s="693" t="s">
        <v>64</v>
      </c>
      <c r="V15" s="2262">
        <v>7657</v>
      </c>
      <c r="W15" s="2262"/>
      <c r="X15" s="2262"/>
    </row>
    <row r="16" spans="1:25" ht="24.75" customHeight="1" x14ac:dyDescent="0.25">
      <c r="A16" s="100" t="s">
        <v>39</v>
      </c>
      <c r="B16" s="2260">
        <v>88311</v>
      </c>
      <c r="C16" s="2261"/>
      <c r="D16" s="696"/>
      <c r="E16" s="696">
        <v>500</v>
      </c>
      <c r="F16" s="696">
        <v>22500</v>
      </c>
      <c r="G16" s="696"/>
      <c r="H16" s="696"/>
      <c r="I16" s="696"/>
      <c r="J16" s="696"/>
      <c r="K16" s="696"/>
      <c r="L16" s="696"/>
      <c r="M16" s="696"/>
      <c r="N16" s="696"/>
      <c r="O16" s="696"/>
      <c r="P16" s="696"/>
      <c r="Q16" s="2225"/>
      <c r="R16" s="2225"/>
      <c r="S16" s="696"/>
      <c r="T16" s="2254" t="s">
        <v>55</v>
      </c>
      <c r="U16" s="2254"/>
      <c r="V16" s="2267">
        <f>Y12</f>
        <v>193802.3075</v>
      </c>
      <c r="W16" s="2267"/>
      <c r="X16" s="2262"/>
    </row>
    <row r="17" spans="1:25" ht="28.5" customHeight="1" x14ac:dyDescent="0.25">
      <c r="A17" s="101" t="s">
        <v>44</v>
      </c>
      <c r="B17" s="2260"/>
      <c r="C17" s="2261"/>
      <c r="D17" s="696"/>
      <c r="E17" s="696"/>
      <c r="F17" s="696"/>
      <c r="G17" s="696"/>
      <c r="H17" s="696"/>
      <c r="I17" s="696"/>
      <c r="J17" s="696"/>
      <c r="K17" s="696"/>
      <c r="L17" s="696"/>
      <c r="M17" s="696"/>
      <c r="N17" s="696"/>
      <c r="O17" s="696"/>
      <c r="P17" s="696"/>
      <c r="Q17" s="2225"/>
      <c r="R17" s="2225"/>
      <c r="S17" s="692"/>
      <c r="T17" s="2294" t="s">
        <v>362</v>
      </c>
      <c r="U17" s="2295"/>
      <c r="V17" s="2296"/>
      <c r="W17" s="2296"/>
      <c r="X17" s="2296"/>
    </row>
    <row r="18" spans="1:25" ht="27" customHeight="1" x14ac:dyDescent="0.25">
      <c r="A18" s="100" t="s">
        <v>40</v>
      </c>
      <c r="B18" s="2264">
        <f>C12</f>
        <v>130959</v>
      </c>
      <c r="C18" s="2261"/>
      <c r="D18" s="698">
        <f>E12</f>
        <v>10</v>
      </c>
      <c r="E18" s="698">
        <f>G12</f>
        <v>100</v>
      </c>
      <c r="F18" s="698">
        <f>I12</f>
        <v>3120</v>
      </c>
      <c r="G18" s="698">
        <f>K12</f>
        <v>100</v>
      </c>
      <c r="H18" s="696">
        <v>10</v>
      </c>
      <c r="I18" s="698">
        <f>U12</f>
        <v>0</v>
      </c>
      <c r="J18" s="696"/>
      <c r="K18" s="698">
        <f>W12</f>
        <v>0</v>
      </c>
      <c r="L18" s="696"/>
      <c r="M18" s="698">
        <f>M12</f>
        <v>0</v>
      </c>
      <c r="N18" s="698">
        <f>O12</f>
        <v>0</v>
      </c>
      <c r="O18" s="697">
        <f>Q12</f>
        <v>0</v>
      </c>
      <c r="P18" s="696"/>
      <c r="Q18" s="2262"/>
      <c r="R18" s="2262"/>
      <c r="S18" s="693"/>
      <c r="T18" s="2254" t="s">
        <v>57</v>
      </c>
      <c r="U18" s="2254"/>
      <c r="V18" s="2262">
        <v>520</v>
      </c>
      <c r="W18" s="2262"/>
      <c r="X18" s="2262"/>
      <c r="Y18" s="2269"/>
    </row>
    <row r="19" spans="1:25" ht="25.5" customHeight="1" x14ac:dyDescent="0.25">
      <c r="A19" s="100" t="s">
        <v>41</v>
      </c>
      <c r="B19" s="2260">
        <f>B15+B16+B17-B18</f>
        <v>292253</v>
      </c>
      <c r="C19" s="2261"/>
      <c r="D19" s="696">
        <f>D15+D16+D17-D18</f>
        <v>599</v>
      </c>
      <c r="E19" s="696">
        <f t="shared" ref="E19:N19" si="13">E15+E16+E17-E18</f>
        <v>1870</v>
      </c>
      <c r="F19" s="696">
        <f t="shared" si="13"/>
        <v>22860</v>
      </c>
      <c r="G19" s="696">
        <f t="shared" si="13"/>
        <v>0</v>
      </c>
      <c r="H19" s="696">
        <f t="shared" si="13"/>
        <v>198</v>
      </c>
      <c r="I19" s="696">
        <f t="shared" si="13"/>
        <v>0</v>
      </c>
      <c r="J19" s="696">
        <f t="shared" si="13"/>
        <v>26</v>
      </c>
      <c r="K19" s="696">
        <f t="shared" si="13"/>
        <v>72</v>
      </c>
      <c r="L19" s="696">
        <f t="shared" si="13"/>
        <v>29</v>
      </c>
      <c r="M19" s="696">
        <f t="shared" si="13"/>
        <v>0</v>
      </c>
      <c r="N19" s="696">
        <f t="shared" si="13"/>
        <v>100</v>
      </c>
      <c r="O19" s="696">
        <f>O15+O16+O17-O18</f>
        <v>0</v>
      </c>
      <c r="P19" s="696">
        <f>P15+P16+P17-P18</f>
        <v>155</v>
      </c>
      <c r="Q19" s="2260">
        <f t="shared" ref="Q19" si="14">Q15+Q16+Q17-Q18</f>
        <v>100</v>
      </c>
      <c r="R19" s="2261"/>
      <c r="S19" s="693">
        <f>S15+S16-S17-S18</f>
        <v>0</v>
      </c>
      <c r="T19" s="2256" t="s">
        <v>48</v>
      </c>
      <c r="U19" s="49" t="s">
        <v>58</v>
      </c>
      <c r="V19" s="2262">
        <v>431250</v>
      </c>
      <c r="W19" s="2262"/>
      <c r="X19" s="2262"/>
      <c r="Y19" s="2269"/>
    </row>
    <row r="20" spans="1:25" ht="23.25" customHeight="1" x14ac:dyDescent="0.25">
      <c r="A20" s="289" t="s">
        <v>187</v>
      </c>
      <c r="B20" s="2286">
        <f>B19*0.9625</f>
        <v>281293.51250000001</v>
      </c>
      <c r="C20" s="2287"/>
      <c r="D20" s="290">
        <f>D19*66.41</f>
        <v>39779.589999999997</v>
      </c>
      <c r="E20" s="290">
        <f>28.2*E19</f>
        <v>52734</v>
      </c>
      <c r="F20" s="290">
        <f>18.31*F19</f>
        <v>418566.6</v>
      </c>
      <c r="G20" s="290">
        <f>27.9368*G19</f>
        <v>0</v>
      </c>
      <c r="H20" s="290">
        <f>241*H19</f>
        <v>47718</v>
      </c>
      <c r="I20" s="290">
        <f>323*I19</f>
        <v>0</v>
      </c>
      <c r="J20" s="290">
        <f>241*J19</f>
        <v>6266</v>
      </c>
      <c r="K20" s="290">
        <f>K19*100</f>
        <v>7200</v>
      </c>
      <c r="L20" s="290">
        <f>241*L19</f>
        <v>6989</v>
      </c>
      <c r="M20" s="290">
        <f>9.65*M19</f>
        <v>0</v>
      </c>
      <c r="N20" s="290">
        <f>N19*48.2</f>
        <v>4820</v>
      </c>
      <c r="O20" s="290">
        <f>241*O19</f>
        <v>0</v>
      </c>
      <c r="P20" s="290">
        <f>241*P19</f>
        <v>37355</v>
      </c>
      <c r="Q20" s="2286">
        <f>341*Q19</f>
        <v>34100</v>
      </c>
      <c r="R20" s="2287"/>
      <c r="S20" s="290">
        <f>241*S19</f>
        <v>0</v>
      </c>
      <c r="T20" s="2257"/>
      <c r="U20" s="49" t="s">
        <v>59</v>
      </c>
      <c r="V20" s="2262"/>
      <c r="W20" s="2262"/>
      <c r="X20" s="2262"/>
      <c r="Y20" s="2269"/>
    </row>
    <row r="21" spans="1:25" ht="32.25" customHeight="1" x14ac:dyDescent="0.25">
      <c r="A21" s="291" t="s">
        <v>186</v>
      </c>
      <c r="B21" s="2293">
        <f>SUM(B20:S20)</f>
        <v>936821.70250000001</v>
      </c>
      <c r="C21" s="2293"/>
      <c r="O21" s="700"/>
      <c r="P21" s="700"/>
      <c r="Q21" s="700"/>
      <c r="R21" s="700"/>
      <c r="T21" s="2294" t="s">
        <v>366</v>
      </c>
      <c r="U21" s="2295"/>
      <c r="V21" s="2297"/>
      <c r="W21" s="2298"/>
      <c r="X21" s="2299"/>
      <c r="Y21" s="2269"/>
    </row>
    <row r="22" spans="1:25" ht="35.25" customHeight="1" x14ac:dyDescent="0.25">
      <c r="A22" s="15"/>
      <c r="B22" s="2288" t="s">
        <v>49</v>
      </c>
      <c r="C22" s="2291">
        <v>507113</v>
      </c>
      <c r="D22" s="2291">
        <v>431250</v>
      </c>
      <c r="E22" s="2291">
        <v>510930</v>
      </c>
      <c r="F22" s="2291">
        <f>C22-D22+E22</f>
        <v>586793</v>
      </c>
      <c r="G22" s="700"/>
      <c r="Q22" s="700"/>
      <c r="R22" s="700"/>
      <c r="T22" s="2251" t="s">
        <v>83</v>
      </c>
      <c r="U22" s="50" t="s">
        <v>60</v>
      </c>
      <c r="V22" s="2262">
        <v>430870</v>
      </c>
      <c r="W22" s="2262"/>
      <c r="X22" s="2262"/>
      <c r="Y22" s="2269"/>
    </row>
    <row r="23" spans="1:25" ht="39.75" customHeight="1" x14ac:dyDescent="0.25">
      <c r="A23" s="700"/>
      <c r="B23" s="2289"/>
      <c r="C23" s="2292"/>
      <c r="D23" s="2292"/>
      <c r="E23" s="2292"/>
      <c r="F23" s="2292"/>
      <c r="G23" s="700"/>
      <c r="Q23" s="700"/>
      <c r="R23" s="700"/>
      <c r="T23" s="2252"/>
      <c r="U23" s="50" t="s">
        <v>61</v>
      </c>
      <c r="V23" s="2262">
        <v>431250</v>
      </c>
      <c r="W23" s="2262"/>
      <c r="X23" s="2262"/>
      <c r="Y23" s="2269"/>
    </row>
    <row r="24" spans="1:25" ht="48" customHeight="1" x14ac:dyDescent="0.25">
      <c r="A24" s="700"/>
      <c r="B24" s="2290"/>
      <c r="C24" s="290" t="s">
        <v>46</v>
      </c>
      <c r="D24" s="290" t="s">
        <v>50</v>
      </c>
      <c r="E24" s="290" t="s">
        <v>51</v>
      </c>
      <c r="F24" s="290" t="s">
        <v>52</v>
      </c>
      <c r="G24" s="700"/>
      <c r="Q24" s="700"/>
      <c r="R24" s="700"/>
      <c r="T24" s="2235" t="s">
        <v>47</v>
      </c>
      <c r="U24" s="51" t="s">
        <v>62</v>
      </c>
      <c r="V24" s="2263">
        <f>V14+V16+V17-V18-V19-V20-V22+V23-V21</f>
        <v>1444.3074999999953</v>
      </c>
      <c r="W24" s="2263"/>
      <c r="X24" s="2263"/>
      <c r="Y24" s="2269"/>
    </row>
    <row r="25" spans="1:25" ht="40.5" customHeight="1" x14ac:dyDescent="0.25">
      <c r="T25" s="2235"/>
      <c r="U25" s="51" t="s">
        <v>63</v>
      </c>
      <c r="V25" s="2262">
        <f>V15+V22-V23</f>
        <v>7277</v>
      </c>
      <c r="W25" s="2262"/>
      <c r="X25" s="2262"/>
    </row>
    <row r="26" spans="1:25" ht="36" customHeight="1" x14ac:dyDescent="0.25">
      <c r="K26" s="314"/>
    </row>
    <row r="28" spans="1:25" x14ac:dyDescent="0.25">
      <c r="J28" s="14" t="s">
        <v>139</v>
      </c>
    </row>
    <row r="32" spans="1:25" x14ac:dyDescent="0.25">
      <c r="I32" s="2280"/>
      <c r="J32" s="2280"/>
      <c r="K32" s="2280"/>
      <c r="L32" s="2280"/>
    </row>
    <row r="33" spans="9:12" x14ac:dyDescent="0.25">
      <c r="I33" s="700"/>
      <c r="J33" s="700"/>
      <c r="K33" s="2280"/>
      <c r="L33" s="2280"/>
    </row>
  </sheetData>
  <mergeCells count="62">
    <mergeCell ref="A1:Y1"/>
    <mergeCell ref="A2:Y2"/>
    <mergeCell ref="T3:Y3"/>
    <mergeCell ref="A4:A5"/>
    <mergeCell ref="B4:B5"/>
    <mergeCell ref="C4:D4"/>
    <mergeCell ref="E4:F4"/>
    <mergeCell ref="G4:H4"/>
    <mergeCell ref="I4:J4"/>
    <mergeCell ref="K4:L4"/>
    <mergeCell ref="Y4:Y5"/>
    <mergeCell ref="M4:N4"/>
    <mergeCell ref="O4:P4"/>
    <mergeCell ref="Q4:R4"/>
    <mergeCell ref="S4:T4"/>
    <mergeCell ref="U4:V4"/>
    <mergeCell ref="W4:X4"/>
    <mergeCell ref="B16:C16"/>
    <mergeCell ref="Q16:R16"/>
    <mergeCell ref="T16:U16"/>
    <mergeCell ref="V16:X16"/>
    <mergeCell ref="A12:B12"/>
    <mergeCell ref="B14:C14"/>
    <mergeCell ref="Q14:R14"/>
    <mergeCell ref="T14:T15"/>
    <mergeCell ref="V14:X14"/>
    <mergeCell ref="B15:C15"/>
    <mergeCell ref="Q15:R15"/>
    <mergeCell ref="V15:X15"/>
    <mergeCell ref="B17:C17"/>
    <mergeCell ref="Q17:R17"/>
    <mergeCell ref="T17:U17"/>
    <mergeCell ref="V17:X17"/>
    <mergeCell ref="B18:C18"/>
    <mergeCell ref="Q18:R18"/>
    <mergeCell ref="T18:U18"/>
    <mergeCell ref="V18:X18"/>
    <mergeCell ref="Y18:Y24"/>
    <mergeCell ref="B19:C19"/>
    <mergeCell ref="Q19:R19"/>
    <mergeCell ref="T19:T20"/>
    <mergeCell ref="V19:X19"/>
    <mergeCell ref="B20:C20"/>
    <mergeCell ref="B22:B24"/>
    <mergeCell ref="C22:C23"/>
    <mergeCell ref="D22:D23"/>
    <mergeCell ref="E22:E23"/>
    <mergeCell ref="F22:F23"/>
    <mergeCell ref="Q20:R20"/>
    <mergeCell ref="V20:X20"/>
    <mergeCell ref="B21:C21"/>
    <mergeCell ref="T21:U21"/>
    <mergeCell ref="V21:X21"/>
    <mergeCell ref="I32:J32"/>
    <mergeCell ref="K32:L32"/>
    <mergeCell ref="K33:L33"/>
    <mergeCell ref="T22:T23"/>
    <mergeCell ref="V22:X22"/>
    <mergeCell ref="V23:X23"/>
    <mergeCell ref="T24:T25"/>
    <mergeCell ref="V24:X24"/>
    <mergeCell ref="V25:X25"/>
  </mergeCells>
  <pageMargins left="0.15748031496063" right="0.15748031496063" top="0" bottom="0" header="0" footer="0"/>
  <pageSetup paperSize="9" scale="47" orientation="landscape" r:id="rId1"/>
</worksheet>
</file>

<file path=xl/worksheets/sheet16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8119D8E-20F8-48BD-B132-9016BD462106}">
  <sheetPr>
    <pageSetUpPr fitToPage="1"/>
  </sheetPr>
  <dimension ref="A1:Y33"/>
  <sheetViews>
    <sheetView topLeftCell="A8" zoomScale="70" zoomScaleNormal="70" zoomScaleSheetLayoutView="100" workbookViewId="0">
      <selection activeCell="J25" sqref="J25"/>
    </sheetView>
  </sheetViews>
  <sheetFormatPr defaultColWidth="9.140625" defaultRowHeight="15" x14ac:dyDescent="0.25"/>
  <cols>
    <col min="1" max="1" width="18.28515625" style="14" customWidth="1"/>
    <col min="2" max="2" width="10.7109375" style="14" customWidth="1"/>
    <col min="3" max="3" width="12.28515625" style="14" customWidth="1"/>
    <col min="4" max="4" width="13.140625" style="14" bestFit="1" customWidth="1"/>
    <col min="5" max="5" width="12" style="14" customWidth="1"/>
    <col min="6" max="6" width="12.5703125" style="14" bestFit="1" customWidth="1"/>
    <col min="7" max="7" width="9.28515625" style="14" bestFit="1" customWidth="1"/>
    <col min="8" max="8" width="10.140625" style="14" bestFit="1" customWidth="1"/>
    <col min="9" max="9" width="10.5703125" style="14" bestFit="1" customWidth="1"/>
    <col min="10" max="10" width="10.5703125" style="14" customWidth="1"/>
    <col min="11" max="11" width="10.28515625" style="14" bestFit="1" customWidth="1"/>
    <col min="12" max="12" width="10.42578125" style="14" bestFit="1" customWidth="1"/>
    <col min="13" max="13" width="9.85546875" style="14" bestFit="1" customWidth="1"/>
    <col min="14" max="14" width="10.140625" style="14" bestFit="1" customWidth="1"/>
    <col min="15" max="15" width="9" style="14" customWidth="1"/>
    <col min="16" max="16" width="12.85546875" style="14" bestFit="1" customWidth="1"/>
    <col min="17" max="18" width="9.42578125" style="14" customWidth="1"/>
    <col min="19" max="19" width="13.7109375" style="14" customWidth="1"/>
    <col min="20" max="20" width="12.140625" style="14" customWidth="1"/>
    <col min="21" max="21" width="19.5703125" style="14" bestFit="1" customWidth="1"/>
    <col min="22" max="22" width="9.85546875" style="14" customWidth="1"/>
    <col min="23" max="23" width="10.140625" style="14" bestFit="1" customWidth="1"/>
    <col min="24" max="24" width="10.28515625" style="14" customWidth="1"/>
    <col min="25" max="25" width="28" style="14" customWidth="1"/>
    <col min="26" max="16384" width="9.140625" style="14"/>
  </cols>
  <sheetData>
    <row r="1" spans="1:25" ht="46.15" customHeight="1" x14ac:dyDescent="0.25">
      <c r="A1" s="2240" t="s">
        <v>148</v>
      </c>
      <c r="B1" s="2240"/>
      <c r="C1" s="2240"/>
      <c r="D1" s="2240"/>
      <c r="E1" s="2240"/>
      <c r="F1" s="2240"/>
      <c r="G1" s="2240"/>
      <c r="H1" s="2240"/>
      <c r="I1" s="2240"/>
      <c r="J1" s="2240"/>
      <c r="K1" s="2240"/>
      <c r="L1" s="2240"/>
      <c r="M1" s="2240"/>
      <c r="N1" s="2240"/>
      <c r="O1" s="2240"/>
      <c r="P1" s="2240"/>
      <c r="Q1" s="2240"/>
      <c r="R1" s="2240"/>
      <c r="S1" s="2240"/>
      <c r="T1" s="2240"/>
      <c r="U1" s="2240"/>
      <c r="V1" s="2240"/>
      <c r="W1" s="2240"/>
      <c r="X1" s="2240"/>
      <c r="Y1" s="2240"/>
    </row>
    <row r="2" spans="1:25" ht="21.6" customHeight="1" x14ac:dyDescent="0.25">
      <c r="A2" s="2241" t="s">
        <v>77</v>
      </c>
      <c r="B2" s="2241"/>
      <c r="C2" s="2241"/>
      <c r="D2" s="2241"/>
      <c r="E2" s="2241"/>
      <c r="F2" s="2241"/>
      <c r="G2" s="2241"/>
      <c r="H2" s="2241"/>
      <c r="I2" s="2241"/>
      <c r="J2" s="2241"/>
      <c r="K2" s="2241"/>
      <c r="L2" s="2241"/>
      <c r="M2" s="2241"/>
      <c r="N2" s="2241"/>
      <c r="O2" s="2241"/>
      <c r="P2" s="2241"/>
      <c r="Q2" s="2241"/>
      <c r="R2" s="2241"/>
      <c r="S2" s="2241"/>
      <c r="T2" s="2241"/>
      <c r="U2" s="2241"/>
      <c r="V2" s="2241"/>
      <c r="W2" s="2241"/>
      <c r="X2" s="2241"/>
      <c r="Y2" s="2241"/>
    </row>
    <row r="3" spans="1:25" ht="21" customHeight="1" x14ac:dyDescent="0.25">
      <c r="A3" s="695"/>
      <c r="B3" s="695"/>
      <c r="C3" s="695"/>
      <c r="D3" s="695"/>
      <c r="E3" s="695"/>
      <c r="F3" s="695"/>
      <c r="G3" s="695"/>
      <c r="H3" s="695"/>
      <c r="I3" s="695"/>
      <c r="J3" s="695"/>
      <c r="K3" s="695"/>
      <c r="L3" s="695"/>
      <c r="M3" s="695"/>
      <c r="N3" s="695"/>
      <c r="O3" s="695"/>
      <c r="P3" s="695"/>
      <c r="Q3" s="695"/>
      <c r="R3" s="695"/>
      <c r="S3" s="695"/>
      <c r="T3" s="2242" t="s">
        <v>381</v>
      </c>
      <c r="U3" s="2242"/>
      <c r="V3" s="2242"/>
      <c r="W3" s="2242"/>
      <c r="X3" s="2242"/>
      <c r="Y3" s="2242"/>
    </row>
    <row r="4" spans="1:25" s="695" customFormat="1" ht="18" customHeight="1" x14ac:dyDescent="0.25">
      <c r="A4" s="2243" t="s">
        <v>25</v>
      </c>
      <c r="B4" s="2243" t="s">
        <v>26</v>
      </c>
      <c r="C4" s="2244" t="s">
        <v>27</v>
      </c>
      <c r="D4" s="2244"/>
      <c r="E4" s="2244" t="s">
        <v>342</v>
      </c>
      <c r="F4" s="2244"/>
      <c r="G4" s="2244" t="s">
        <v>65</v>
      </c>
      <c r="H4" s="2244"/>
      <c r="I4" s="2244" t="s">
        <v>29</v>
      </c>
      <c r="J4" s="2244"/>
      <c r="K4" s="2245" t="s">
        <v>14</v>
      </c>
      <c r="L4" s="2246"/>
      <c r="M4" s="2245" t="s">
        <v>67</v>
      </c>
      <c r="N4" s="2246"/>
      <c r="O4" s="2245" t="s">
        <v>68</v>
      </c>
      <c r="P4" s="2246"/>
      <c r="Q4" s="2245" t="s">
        <v>114</v>
      </c>
      <c r="R4" s="2246"/>
      <c r="S4" s="2244" t="s">
        <v>35</v>
      </c>
      <c r="T4" s="2244"/>
      <c r="U4" s="2245" t="s">
        <v>17</v>
      </c>
      <c r="V4" s="2246"/>
      <c r="W4" s="2247" t="s">
        <v>36</v>
      </c>
      <c r="X4" s="2248"/>
      <c r="Y4" s="2238" t="s">
        <v>30</v>
      </c>
    </row>
    <row r="5" spans="1:25" s="695" customFormat="1" ht="25.5" customHeight="1" x14ac:dyDescent="0.25">
      <c r="A5" s="2243"/>
      <c r="B5" s="2243"/>
      <c r="C5" s="694" t="s">
        <v>42</v>
      </c>
      <c r="D5" s="694" t="s">
        <v>43</v>
      </c>
      <c r="E5" s="694" t="s">
        <v>42</v>
      </c>
      <c r="F5" s="694" t="s">
        <v>43</v>
      </c>
      <c r="G5" s="694" t="s">
        <v>42</v>
      </c>
      <c r="H5" s="694" t="s">
        <v>43</v>
      </c>
      <c r="I5" s="694" t="s">
        <v>42</v>
      </c>
      <c r="J5" s="694" t="s">
        <v>43</v>
      </c>
      <c r="K5" s="694" t="s">
        <v>42</v>
      </c>
      <c r="L5" s="694" t="s">
        <v>43</v>
      </c>
      <c r="M5" s="694" t="s">
        <v>42</v>
      </c>
      <c r="N5" s="694" t="s">
        <v>43</v>
      </c>
      <c r="O5" s="694" t="s">
        <v>42</v>
      </c>
      <c r="P5" s="694" t="s">
        <v>43</v>
      </c>
      <c r="Q5" s="694" t="s">
        <v>42</v>
      </c>
      <c r="R5" s="694" t="s">
        <v>43</v>
      </c>
      <c r="S5" s="33" t="s">
        <v>42</v>
      </c>
      <c r="T5" s="33" t="s">
        <v>43</v>
      </c>
      <c r="U5" s="30" t="s">
        <v>42</v>
      </c>
      <c r="V5" s="30" t="s">
        <v>43</v>
      </c>
      <c r="W5" s="30" t="s">
        <v>42</v>
      </c>
      <c r="X5" s="30" t="s">
        <v>43</v>
      </c>
      <c r="Y5" s="2239"/>
    </row>
    <row r="6" spans="1:25" ht="34.5" customHeight="1" x14ac:dyDescent="0.25">
      <c r="A6" s="12">
        <v>1409935200</v>
      </c>
      <c r="B6" s="693" t="s">
        <v>71</v>
      </c>
      <c r="C6" s="691">
        <v>39099</v>
      </c>
      <c r="D6" s="690">
        <f>0.9725*C6</f>
        <v>38023.777500000004</v>
      </c>
      <c r="E6" s="691"/>
      <c r="F6" s="691">
        <f>67.1*E6</f>
        <v>0</v>
      </c>
      <c r="G6" s="691">
        <v>230</v>
      </c>
      <c r="H6" s="691">
        <f>28.2*G6</f>
        <v>6486</v>
      </c>
      <c r="I6" s="691">
        <v>210</v>
      </c>
      <c r="J6" s="691">
        <f>18.5*I6</f>
        <v>3885</v>
      </c>
      <c r="K6" s="691"/>
      <c r="L6" s="691">
        <f>28.2368*K6</f>
        <v>0</v>
      </c>
      <c r="M6" s="691"/>
      <c r="N6" s="690">
        <f>M6*9.75</f>
        <v>0</v>
      </c>
      <c r="O6" s="691"/>
      <c r="P6" s="690">
        <f>O6*48.62</f>
        <v>0</v>
      </c>
      <c r="Q6" s="690"/>
      <c r="R6" s="690">
        <f>241*Q6</f>
        <v>0</v>
      </c>
      <c r="S6" s="691"/>
      <c r="T6" s="691">
        <f>241*S6</f>
        <v>0</v>
      </c>
      <c r="U6" s="691"/>
      <c r="V6" s="691">
        <f>332*U6</f>
        <v>0</v>
      </c>
      <c r="W6" s="691"/>
      <c r="X6" s="19">
        <f>W6*100</f>
        <v>0</v>
      </c>
      <c r="Y6" s="20">
        <f t="shared" ref="Y6:Y12" si="0">D6+F6+H6+J6+L6+N6+P6+R6+T6+V6+X6</f>
        <v>48394.777500000004</v>
      </c>
    </row>
    <row r="7" spans="1:25" ht="31.5" customHeight="1" x14ac:dyDescent="0.25">
      <c r="A7" s="12">
        <v>1984225578</v>
      </c>
      <c r="B7" s="693" t="s">
        <v>72</v>
      </c>
      <c r="C7" s="691">
        <v>41243</v>
      </c>
      <c r="D7" s="690">
        <f t="shared" ref="D7:D11" si="1">0.9725*C7</f>
        <v>40108.817500000005</v>
      </c>
      <c r="E7" s="691">
        <v>10</v>
      </c>
      <c r="F7" s="691">
        <f t="shared" ref="F7:F11" si="2">67.1*E7</f>
        <v>671</v>
      </c>
      <c r="G7" s="691"/>
      <c r="H7" s="691">
        <f t="shared" ref="H7:H11" si="3">28.2*G7</f>
        <v>0</v>
      </c>
      <c r="I7" s="691"/>
      <c r="J7" s="691">
        <f t="shared" ref="J7:J11" si="4">18.5*I7</f>
        <v>0</v>
      </c>
      <c r="K7" s="691"/>
      <c r="L7" s="691">
        <f t="shared" ref="L7:L11" si="5">28.2368*K7</f>
        <v>0</v>
      </c>
      <c r="M7" s="691"/>
      <c r="N7" s="690">
        <f t="shared" ref="N7:N11" si="6">M7*9.75</f>
        <v>0</v>
      </c>
      <c r="O7" s="691"/>
      <c r="P7" s="690">
        <f t="shared" ref="P7:P11" si="7">O7*48.62</f>
        <v>0</v>
      </c>
      <c r="Q7" s="690"/>
      <c r="R7" s="690">
        <f t="shared" ref="R7:R11" si="8">241*Q7</f>
        <v>0</v>
      </c>
      <c r="S7" s="691">
        <v>25</v>
      </c>
      <c r="T7" s="691">
        <f t="shared" ref="T7:T11" si="9">241*S7</f>
        <v>6025</v>
      </c>
      <c r="U7" s="691"/>
      <c r="V7" s="691">
        <f t="shared" ref="V7:V11" si="10">332*U7</f>
        <v>0</v>
      </c>
      <c r="W7" s="691"/>
      <c r="X7" s="19">
        <f t="shared" ref="X7:X11" si="11">W7*100</f>
        <v>0</v>
      </c>
      <c r="Y7" s="20">
        <f t="shared" si="0"/>
        <v>46804.817500000005</v>
      </c>
    </row>
    <row r="8" spans="1:25" ht="35.25" customHeight="1" x14ac:dyDescent="0.25">
      <c r="A8" s="12">
        <v>1967020280</v>
      </c>
      <c r="B8" s="693" t="s">
        <v>73</v>
      </c>
      <c r="C8" s="691">
        <v>22634</v>
      </c>
      <c r="D8" s="690">
        <f t="shared" si="1"/>
        <v>22011.565000000002</v>
      </c>
      <c r="E8" s="691"/>
      <c r="F8" s="691">
        <f t="shared" si="2"/>
        <v>0</v>
      </c>
      <c r="G8" s="691">
        <v>20</v>
      </c>
      <c r="H8" s="691">
        <f t="shared" si="3"/>
        <v>564</v>
      </c>
      <c r="I8" s="691"/>
      <c r="J8" s="691">
        <f t="shared" si="4"/>
        <v>0</v>
      </c>
      <c r="K8" s="691"/>
      <c r="L8" s="691">
        <f t="shared" si="5"/>
        <v>0</v>
      </c>
      <c r="M8" s="691"/>
      <c r="N8" s="690">
        <f t="shared" si="6"/>
        <v>0</v>
      </c>
      <c r="O8" s="691"/>
      <c r="P8" s="690">
        <f t="shared" si="7"/>
        <v>0</v>
      </c>
      <c r="Q8" s="690"/>
      <c r="R8" s="690">
        <f t="shared" si="8"/>
        <v>0</v>
      </c>
      <c r="S8" s="691"/>
      <c r="T8" s="691">
        <f t="shared" si="9"/>
        <v>0</v>
      </c>
      <c r="U8" s="691"/>
      <c r="V8" s="691">
        <f t="shared" si="10"/>
        <v>0</v>
      </c>
      <c r="W8" s="691"/>
      <c r="X8" s="19">
        <f t="shared" si="11"/>
        <v>0</v>
      </c>
      <c r="Y8" s="20">
        <f t="shared" si="0"/>
        <v>22575.565000000002</v>
      </c>
    </row>
    <row r="9" spans="1:25" ht="38.25" customHeight="1" x14ac:dyDescent="0.25">
      <c r="A9" s="12">
        <v>1984225580</v>
      </c>
      <c r="B9" s="693" t="s">
        <v>75</v>
      </c>
      <c r="C9" s="691">
        <v>23023</v>
      </c>
      <c r="D9" s="690">
        <f t="shared" si="1"/>
        <v>22389.8675</v>
      </c>
      <c r="E9" s="691"/>
      <c r="F9" s="691">
        <f t="shared" si="2"/>
        <v>0</v>
      </c>
      <c r="G9" s="691"/>
      <c r="H9" s="691">
        <f t="shared" si="3"/>
        <v>0</v>
      </c>
      <c r="I9" s="691"/>
      <c r="J9" s="691">
        <f t="shared" si="4"/>
        <v>0</v>
      </c>
      <c r="K9" s="691"/>
      <c r="L9" s="691">
        <f t="shared" si="5"/>
        <v>0</v>
      </c>
      <c r="M9" s="691"/>
      <c r="N9" s="690">
        <f t="shared" si="6"/>
        <v>0</v>
      </c>
      <c r="O9" s="691"/>
      <c r="P9" s="690">
        <f t="shared" si="7"/>
        <v>0</v>
      </c>
      <c r="Q9" s="690"/>
      <c r="R9" s="690">
        <f t="shared" si="8"/>
        <v>0</v>
      </c>
      <c r="S9" s="691"/>
      <c r="T9" s="691">
        <f t="shared" si="9"/>
        <v>0</v>
      </c>
      <c r="U9" s="691"/>
      <c r="V9" s="691">
        <f t="shared" si="10"/>
        <v>0</v>
      </c>
      <c r="W9" s="691"/>
      <c r="X9" s="19">
        <f t="shared" si="11"/>
        <v>0</v>
      </c>
      <c r="Y9" s="20">
        <f t="shared" si="0"/>
        <v>22389.8675</v>
      </c>
    </row>
    <row r="10" spans="1:25" ht="35.25" customHeight="1" x14ac:dyDescent="0.25">
      <c r="A10" s="12">
        <v>1409935199</v>
      </c>
      <c r="C10" s="691"/>
      <c r="D10" s="690">
        <f t="shared" si="1"/>
        <v>0</v>
      </c>
      <c r="E10" s="691"/>
      <c r="F10" s="691">
        <f t="shared" si="2"/>
        <v>0</v>
      </c>
      <c r="G10" s="691"/>
      <c r="H10" s="691">
        <f t="shared" si="3"/>
        <v>0</v>
      </c>
      <c r="I10" s="691"/>
      <c r="J10" s="691">
        <f t="shared" si="4"/>
        <v>0</v>
      </c>
      <c r="K10" s="691"/>
      <c r="L10" s="691">
        <f t="shared" si="5"/>
        <v>0</v>
      </c>
      <c r="M10" s="691"/>
      <c r="N10" s="690">
        <f t="shared" si="6"/>
        <v>0</v>
      </c>
      <c r="O10" s="691"/>
      <c r="P10" s="690">
        <f t="shared" si="7"/>
        <v>0</v>
      </c>
      <c r="Q10" s="690"/>
      <c r="R10" s="690">
        <f t="shared" si="8"/>
        <v>0</v>
      </c>
      <c r="S10" s="691"/>
      <c r="T10" s="691">
        <f t="shared" si="9"/>
        <v>0</v>
      </c>
      <c r="U10" s="691"/>
      <c r="V10" s="691">
        <f t="shared" si="10"/>
        <v>0</v>
      </c>
      <c r="W10" s="691"/>
      <c r="X10" s="19">
        <f t="shared" si="11"/>
        <v>0</v>
      </c>
      <c r="Y10" s="20">
        <f t="shared" si="0"/>
        <v>0</v>
      </c>
    </row>
    <row r="11" spans="1:25" ht="37.5" customHeight="1" x14ac:dyDescent="0.25">
      <c r="A11" s="12"/>
      <c r="B11" s="692"/>
      <c r="C11" s="691"/>
      <c r="D11" s="22">
        <f t="shared" si="1"/>
        <v>0</v>
      </c>
      <c r="E11" s="691"/>
      <c r="F11" s="691">
        <f t="shared" si="2"/>
        <v>0</v>
      </c>
      <c r="G11" s="691"/>
      <c r="H11" s="691">
        <f t="shared" si="3"/>
        <v>0</v>
      </c>
      <c r="I11" s="691"/>
      <c r="J11" s="691">
        <f t="shared" si="4"/>
        <v>0</v>
      </c>
      <c r="K11" s="691"/>
      <c r="L11" s="691">
        <f t="shared" si="5"/>
        <v>0</v>
      </c>
      <c r="M11" s="691"/>
      <c r="N11" s="690">
        <f t="shared" si="6"/>
        <v>0</v>
      </c>
      <c r="O11" s="691"/>
      <c r="P11" s="690">
        <f t="shared" si="7"/>
        <v>0</v>
      </c>
      <c r="Q11" s="690"/>
      <c r="R11" s="690">
        <f t="shared" si="8"/>
        <v>0</v>
      </c>
      <c r="S11" s="691"/>
      <c r="T11" s="691">
        <f t="shared" si="9"/>
        <v>0</v>
      </c>
      <c r="U11" s="691"/>
      <c r="V11" s="691">
        <f t="shared" si="10"/>
        <v>0</v>
      </c>
      <c r="W11" s="691"/>
      <c r="X11" s="19">
        <f t="shared" si="11"/>
        <v>0</v>
      </c>
      <c r="Y11" s="20">
        <f t="shared" si="0"/>
        <v>0</v>
      </c>
    </row>
    <row r="12" spans="1:25" ht="29.25" customHeight="1" x14ac:dyDescent="0.25">
      <c r="A12" s="2235" t="s">
        <v>31</v>
      </c>
      <c r="B12" s="2235"/>
      <c r="C12" s="18">
        <f t="shared" ref="C12:X12" si="12">SUM(C6:C11)</f>
        <v>125999</v>
      </c>
      <c r="D12" s="18">
        <f t="shared" si="12"/>
        <v>122534.0275</v>
      </c>
      <c r="E12" s="18">
        <f t="shared" si="12"/>
        <v>10</v>
      </c>
      <c r="F12" s="18">
        <f t="shared" si="12"/>
        <v>671</v>
      </c>
      <c r="G12" s="18">
        <f t="shared" si="12"/>
        <v>250</v>
      </c>
      <c r="H12" s="18">
        <f t="shared" si="12"/>
        <v>7050</v>
      </c>
      <c r="I12" s="18">
        <f t="shared" si="12"/>
        <v>210</v>
      </c>
      <c r="J12" s="18">
        <f t="shared" si="12"/>
        <v>3885</v>
      </c>
      <c r="K12" s="18">
        <f t="shared" si="12"/>
        <v>0</v>
      </c>
      <c r="L12" s="18">
        <f t="shared" si="12"/>
        <v>0</v>
      </c>
      <c r="M12" s="18">
        <f t="shared" si="12"/>
        <v>0</v>
      </c>
      <c r="N12" s="23">
        <f t="shared" si="12"/>
        <v>0</v>
      </c>
      <c r="O12" s="18">
        <f t="shared" si="12"/>
        <v>0</v>
      </c>
      <c r="P12" s="23">
        <f t="shared" si="12"/>
        <v>0</v>
      </c>
      <c r="Q12" s="23">
        <f t="shared" si="12"/>
        <v>0</v>
      </c>
      <c r="R12" s="23">
        <f>SUM(R6:R11)</f>
        <v>0</v>
      </c>
      <c r="S12" s="18">
        <f t="shared" si="12"/>
        <v>25</v>
      </c>
      <c r="T12" s="18">
        <f t="shared" si="12"/>
        <v>6025</v>
      </c>
      <c r="U12" s="18">
        <f t="shared" si="12"/>
        <v>0</v>
      </c>
      <c r="V12" s="18">
        <f t="shared" si="12"/>
        <v>0</v>
      </c>
      <c r="W12" s="18">
        <f t="shared" si="12"/>
        <v>0</v>
      </c>
      <c r="X12" s="18">
        <f t="shared" si="12"/>
        <v>0</v>
      </c>
      <c r="Y12" s="20">
        <f t="shared" si="0"/>
        <v>140165.0275</v>
      </c>
    </row>
    <row r="14" spans="1:25" ht="41.25" customHeight="1" x14ac:dyDescent="0.25">
      <c r="A14" s="30" t="s">
        <v>32</v>
      </c>
      <c r="B14" s="2236" t="s">
        <v>27</v>
      </c>
      <c r="C14" s="2236"/>
      <c r="D14" s="30" t="s">
        <v>333</v>
      </c>
      <c r="E14" s="30" t="s">
        <v>65</v>
      </c>
      <c r="F14" s="30" t="s">
        <v>34</v>
      </c>
      <c r="G14" s="30" t="s">
        <v>14</v>
      </c>
      <c r="H14" s="469" t="s">
        <v>173</v>
      </c>
      <c r="I14" s="30" t="s">
        <v>17</v>
      </c>
      <c r="J14" s="699" t="s">
        <v>174</v>
      </c>
      <c r="K14" s="30" t="s">
        <v>36</v>
      </c>
      <c r="L14" s="30" t="s">
        <v>175</v>
      </c>
      <c r="M14" s="30" t="s">
        <v>69</v>
      </c>
      <c r="N14" s="30" t="s">
        <v>70</v>
      </c>
      <c r="O14" s="699" t="s">
        <v>114</v>
      </c>
      <c r="P14" s="699" t="s">
        <v>368</v>
      </c>
      <c r="Q14" s="2300" t="s">
        <v>378</v>
      </c>
      <c r="R14" s="2301"/>
      <c r="S14" s="699"/>
      <c r="T14" s="2235" t="s">
        <v>46</v>
      </c>
      <c r="U14" s="693" t="s">
        <v>176</v>
      </c>
      <c r="V14" s="2260">
        <v>1444</v>
      </c>
      <c r="W14" s="2268"/>
      <c r="X14" s="2261"/>
    </row>
    <row r="15" spans="1:25" ht="22.5" customHeight="1" x14ac:dyDescent="0.25">
      <c r="A15" s="100" t="s">
        <v>38</v>
      </c>
      <c r="B15" s="2260">
        <v>292253</v>
      </c>
      <c r="C15" s="2261"/>
      <c r="D15" s="696">
        <v>599</v>
      </c>
      <c r="E15" s="696">
        <v>1870</v>
      </c>
      <c r="F15" s="696">
        <v>22860</v>
      </c>
      <c r="G15" s="696">
        <v>0</v>
      </c>
      <c r="H15" s="696">
        <v>198</v>
      </c>
      <c r="I15" s="696">
        <v>0</v>
      </c>
      <c r="J15" s="696">
        <v>26</v>
      </c>
      <c r="K15" s="696">
        <v>72</v>
      </c>
      <c r="L15" s="696">
        <v>29</v>
      </c>
      <c r="M15" s="696">
        <v>0</v>
      </c>
      <c r="N15" s="696">
        <v>100</v>
      </c>
      <c r="O15" s="696">
        <v>0</v>
      </c>
      <c r="P15" s="696">
        <v>155</v>
      </c>
      <c r="Q15" s="2260">
        <v>100</v>
      </c>
      <c r="R15" s="2261"/>
      <c r="S15" s="693"/>
      <c r="T15" s="2235"/>
      <c r="U15" s="693" t="s">
        <v>64</v>
      </c>
      <c r="V15" s="2262">
        <v>7277</v>
      </c>
      <c r="W15" s="2262"/>
      <c r="X15" s="2262"/>
    </row>
    <row r="16" spans="1:25" ht="24.75" customHeight="1" x14ac:dyDescent="0.25">
      <c r="A16" s="100" t="s">
        <v>39</v>
      </c>
      <c r="B16" s="2260">
        <v>15584</v>
      </c>
      <c r="C16" s="2261"/>
      <c r="D16" s="696"/>
      <c r="E16" s="696"/>
      <c r="F16" s="696"/>
      <c r="G16" s="696"/>
      <c r="H16" s="696"/>
      <c r="I16" s="696"/>
      <c r="J16" s="696"/>
      <c r="K16" s="696"/>
      <c r="L16" s="696"/>
      <c r="M16" s="696"/>
      <c r="N16" s="696"/>
      <c r="O16" s="696"/>
      <c r="P16" s="696"/>
      <c r="Q16" s="2225"/>
      <c r="R16" s="2225"/>
      <c r="S16" s="696"/>
      <c r="T16" s="2254" t="s">
        <v>55</v>
      </c>
      <c r="U16" s="2254"/>
      <c r="V16" s="2267">
        <f>Y12</f>
        <v>140165.0275</v>
      </c>
      <c r="W16" s="2267"/>
      <c r="X16" s="2262"/>
    </row>
    <row r="17" spans="1:25" ht="28.5" customHeight="1" x14ac:dyDescent="0.25">
      <c r="A17" s="101" t="s">
        <v>44</v>
      </c>
      <c r="B17" s="2260">
        <v>113029</v>
      </c>
      <c r="C17" s="2261"/>
      <c r="D17" s="696"/>
      <c r="E17" s="696"/>
      <c r="F17" s="696"/>
      <c r="G17" s="696"/>
      <c r="H17" s="696"/>
      <c r="I17" s="696"/>
      <c r="J17" s="696"/>
      <c r="K17" s="696"/>
      <c r="L17" s="696"/>
      <c r="M17" s="696"/>
      <c r="N17" s="696"/>
      <c r="O17" s="696"/>
      <c r="P17" s="696"/>
      <c r="Q17" s="2225"/>
      <c r="R17" s="2225"/>
      <c r="S17" s="692"/>
      <c r="T17" s="2294" t="s">
        <v>362</v>
      </c>
      <c r="U17" s="2295"/>
      <c r="V17" s="2296"/>
      <c r="W17" s="2296"/>
      <c r="X17" s="2296"/>
    </row>
    <row r="18" spans="1:25" ht="27" customHeight="1" x14ac:dyDescent="0.25">
      <c r="A18" s="100" t="s">
        <v>40</v>
      </c>
      <c r="B18" s="2264">
        <f>C12</f>
        <v>125999</v>
      </c>
      <c r="C18" s="2261"/>
      <c r="D18" s="698">
        <f>E12</f>
        <v>10</v>
      </c>
      <c r="E18" s="698">
        <f>G12</f>
        <v>250</v>
      </c>
      <c r="F18" s="698">
        <f>I12</f>
        <v>210</v>
      </c>
      <c r="G18" s="698">
        <f>K12</f>
        <v>0</v>
      </c>
      <c r="H18" s="696">
        <v>25</v>
      </c>
      <c r="I18" s="698">
        <f>U12</f>
        <v>0</v>
      </c>
      <c r="J18" s="696"/>
      <c r="K18" s="698">
        <f>W12</f>
        <v>0</v>
      </c>
      <c r="L18" s="696"/>
      <c r="M18" s="698">
        <f>M12</f>
        <v>0</v>
      </c>
      <c r="N18" s="698">
        <f>O12</f>
        <v>0</v>
      </c>
      <c r="O18" s="697">
        <f>Q12</f>
        <v>0</v>
      </c>
      <c r="P18" s="696"/>
      <c r="Q18" s="2262"/>
      <c r="R18" s="2262"/>
      <c r="S18" s="693"/>
      <c r="T18" s="2254" t="s">
        <v>57</v>
      </c>
      <c r="U18" s="2254"/>
      <c r="V18" s="2262">
        <v>520</v>
      </c>
      <c r="W18" s="2262"/>
      <c r="X18" s="2262"/>
      <c r="Y18" s="2269"/>
    </row>
    <row r="19" spans="1:25" ht="25.5" customHeight="1" x14ac:dyDescent="0.25">
      <c r="A19" s="100" t="s">
        <v>41</v>
      </c>
      <c r="B19" s="2260">
        <f>B15+B16+B17-B18</f>
        <v>294867</v>
      </c>
      <c r="C19" s="2261"/>
      <c r="D19" s="696">
        <f>D15+D16+D17-D18</f>
        <v>589</v>
      </c>
      <c r="E19" s="696">
        <f t="shared" ref="E19:N19" si="13">E15+E16+E17-E18</f>
        <v>1620</v>
      </c>
      <c r="F19" s="696">
        <f t="shared" si="13"/>
        <v>22650</v>
      </c>
      <c r="G19" s="696">
        <f t="shared" si="13"/>
        <v>0</v>
      </c>
      <c r="H19" s="696">
        <f t="shared" si="13"/>
        <v>173</v>
      </c>
      <c r="I19" s="696">
        <f t="shared" si="13"/>
        <v>0</v>
      </c>
      <c r="J19" s="696">
        <f t="shared" si="13"/>
        <v>26</v>
      </c>
      <c r="K19" s="696">
        <f t="shared" si="13"/>
        <v>72</v>
      </c>
      <c r="L19" s="696">
        <f t="shared" si="13"/>
        <v>29</v>
      </c>
      <c r="M19" s="696">
        <f t="shared" si="13"/>
        <v>0</v>
      </c>
      <c r="N19" s="696">
        <f t="shared" si="13"/>
        <v>100</v>
      </c>
      <c r="O19" s="696">
        <f>O15+O16+O17-O18</f>
        <v>0</v>
      </c>
      <c r="P19" s="696">
        <f>P15+P16+P17-P18</f>
        <v>155</v>
      </c>
      <c r="Q19" s="2260">
        <f t="shared" ref="Q19" si="14">Q15+Q16+Q17-Q18</f>
        <v>100</v>
      </c>
      <c r="R19" s="2261"/>
      <c r="S19" s="693">
        <f>S15+S16-S17-S18</f>
        <v>0</v>
      </c>
      <c r="T19" s="2256" t="s">
        <v>48</v>
      </c>
      <c r="U19" s="49" t="s">
        <v>58</v>
      </c>
      <c r="V19" s="2262">
        <v>138850</v>
      </c>
      <c r="W19" s="2262"/>
      <c r="X19" s="2262"/>
      <c r="Y19" s="2269"/>
    </row>
    <row r="20" spans="1:25" ht="23.25" customHeight="1" x14ac:dyDescent="0.25">
      <c r="A20" s="289" t="s">
        <v>187</v>
      </c>
      <c r="B20" s="2286">
        <f>B19*0.9625</f>
        <v>283809.48749999999</v>
      </c>
      <c r="C20" s="2287"/>
      <c r="D20" s="290">
        <f>D19*66.41</f>
        <v>39115.49</v>
      </c>
      <c r="E20" s="290">
        <f>28.2*E19</f>
        <v>45684</v>
      </c>
      <c r="F20" s="290">
        <f>18.31*F19</f>
        <v>414721.5</v>
      </c>
      <c r="G20" s="290">
        <f>27.9368*G19</f>
        <v>0</v>
      </c>
      <c r="H20" s="290">
        <f>241*H19</f>
        <v>41693</v>
      </c>
      <c r="I20" s="290">
        <f>323*I19</f>
        <v>0</v>
      </c>
      <c r="J20" s="290">
        <f>241*J19</f>
        <v>6266</v>
      </c>
      <c r="K20" s="290">
        <f>K19*100</f>
        <v>7200</v>
      </c>
      <c r="L20" s="290">
        <f>241*L19</f>
        <v>6989</v>
      </c>
      <c r="M20" s="290">
        <f>9.65*M19</f>
        <v>0</v>
      </c>
      <c r="N20" s="290">
        <f>N19*48.2</f>
        <v>4820</v>
      </c>
      <c r="O20" s="290">
        <f>241*O19</f>
        <v>0</v>
      </c>
      <c r="P20" s="290">
        <f>241*P19</f>
        <v>37355</v>
      </c>
      <c r="Q20" s="2286">
        <f>341*Q19</f>
        <v>34100</v>
      </c>
      <c r="R20" s="2287"/>
      <c r="S20" s="290">
        <f>241*S19</f>
        <v>0</v>
      </c>
      <c r="T20" s="2257"/>
      <c r="U20" s="49" t="s">
        <v>59</v>
      </c>
      <c r="V20" s="2262"/>
      <c r="W20" s="2262"/>
      <c r="X20" s="2262"/>
      <c r="Y20" s="2269"/>
    </row>
    <row r="21" spans="1:25" ht="32.25" customHeight="1" x14ac:dyDescent="0.25">
      <c r="A21" s="291" t="s">
        <v>186</v>
      </c>
      <c r="B21" s="2293">
        <f>SUM(B20:S20)</f>
        <v>921753.47750000004</v>
      </c>
      <c r="C21" s="2293"/>
      <c r="O21" s="700"/>
      <c r="P21" s="700"/>
      <c r="Q21" s="700"/>
      <c r="R21" s="700"/>
      <c r="T21" s="2294" t="s">
        <v>366</v>
      </c>
      <c r="U21" s="2295"/>
      <c r="V21" s="2297"/>
      <c r="W21" s="2298"/>
      <c r="X21" s="2299"/>
      <c r="Y21" s="2269"/>
    </row>
    <row r="22" spans="1:25" ht="35.25" customHeight="1" x14ac:dyDescent="0.25">
      <c r="A22" s="15"/>
      <c r="B22" s="2288" t="s">
        <v>49</v>
      </c>
      <c r="C22" s="2291">
        <v>586793</v>
      </c>
      <c r="D22" s="2291">
        <v>138850</v>
      </c>
      <c r="E22" s="2291">
        <v>15000</v>
      </c>
      <c r="F22" s="2291">
        <f>C22-D22+E22</f>
        <v>462943</v>
      </c>
      <c r="G22" s="700"/>
      <c r="Q22" s="700"/>
      <c r="R22" s="700"/>
      <c r="T22" s="2251" t="s">
        <v>83</v>
      </c>
      <c r="U22" s="50" t="s">
        <v>60</v>
      </c>
      <c r="V22" s="2262">
        <v>137955</v>
      </c>
      <c r="W22" s="2262"/>
      <c r="X22" s="2262"/>
      <c r="Y22" s="2269"/>
    </row>
    <row r="23" spans="1:25" ht="39.75" customHeight="1" x14ac:dyDescent="0.25">
      <c r="A23" s="700"/>
      <c r="B23" s="2289"/>
      <c r="C23" s="2292"/>
      <c r="D23" s="2292"/>
      <c r="E23" s="2292"/>
      <c r="F23" s="2292"/>
      <c r="G23" s="700"/>
      <c r="Q23" s="700"/>
      <c r="R23" s="700"/>
      <c r="T23" s="2252"/>
      <c r="U23" s="50" t="s">
        <v>61</v>
      </c>
      <c r="V23" s="2262">
        <v>138850</v>
      </c>
      <c r="W23" s="2262"/>
      <c r="X23" s="2262"/>
      <c r="Y23" s="2269"/>
    </row>
    <row r="24" spans="1:25" ht="48" customHeight="1" x14ac:dyDescent="0.25">
      <c r="A24" s="700"/>
      <c r="B24" s="2290"/>
      <c r="C24" s="290" t="s">
        <v>46</v>
      </c>
      <c r="D24" s="290" t="s">
        <v>50</v>
      </c>
      <c r="E24" s="290" t="s">
        <v>51</v>
      </c>
      <c r="F24" s="290" t="s">
        <v>52</v>
      </c>
      <c r="G24" s="700"/>
      <c r="Q24" s="700"/>
      <c r="R24" s="700"/>
      <c r="T24" s="2235" t="s">
        <v>47</v>
      </c>
      <c r="U24" s="51" t="s">
        <v>62</v>
      </c>
      <c r="V24" s="2263">
        <f>V14+V16+V17-V18-V19-V20-V22+V23-V21</f>
        <v>3134.0274999999965</v>
      </c>
      <c r="W24" s="2263"/>
      <c r="X24" s="2263"/>
      <c r="Y24" s="2269"/>
    </row>
    <row r="25" spans="1:25" ht="40.5" customHeight="1" x14ac:dyDescent="0.25">
      <c r="T25" s="2235"/>
      <c r="U25" s="51" t="s">
        <v>63</v>
      </c>
      <c r="V25" s="2262">
        <f>V15+V22-V23</f>
        <v>6382</v>
      </c>
      <c r="W25" s="2262"/>
      <c r="X25" s="2262"/>
    </row>
    <row r="26" spans="1:25" ht="36" customHeight="1" x14ac:dyDescent="0.25">
      <c r="K26" s="314"/>
    </row>
    <row r="28" spans="1:25" x14ac:dyDescent="0.25">
      <c r="J28" s="14" t="s">
        <v>139</v>
      </c>
    </row>
    <row r="32" spans="1:25" x14ac:dyDescent="0.25">
      <c r="I32" s="2280"/>
      <c r="J32" s="2280"/>
      <c r="K32" s="2280"/>
      <c r="L32" s="2280"/>
    </row>
    <row r="33" spans="9:12" x14ac:dyDescent="0.25">
      <c r="I33" s="700"/>
      <c r="J33" s="700"/>
      <c r="K33" s="2280"/>
      <c r="L33" s="2280"/>
    </row>
  </sheetData>
  <mergeCells count="62">
    <mergeCell ref="A1:Y1"/>
    <mergeCell ref="A2:Y2"/>
    <mergeCell ref="T3:Y3"/>
    <mergeCell ref="A4:A5"/>
    <mergeCell ref="B4:B5"/>
    <mergeCell ref="C4:D4"/>
    <mergeCell ref="E4:F4"/>
    <mergeCell ref="G4:H4"/>
    <mergeCell ref="I4:J4"/>
    <mergeCell ref="K4:L4"/>
    <mergeCell ref="Y4:Y5"/>
    <mergeCell ref="M4:N4"/>
    <mergeCell ref="O4:P4"/>
    <mergeCell ref="Q4:R4"/>
    <mergeCell ref="S4:T4"/>
    <mergeCell ref="U4:V4"/>
    <mergeCell ref="W4:X4"/>
    <mergeCell ref="B16:C16"/>
    <mergeCell ref="Q16:R16"/>
    <mergeCell ref="T16:U16"/>
    <mergeCell ref="V16:X16"/>
    <mergeCell ref="A12:B12"/>
    <mergeCell ref="B14:C14"/>
    <mergeCell ref="Q14:R14"/>
    <mergeCell ref="T14:T15"/>
    <mergeCell ref="V14:X14"/>
    <mergeCell ref="B15:C15"/>
    <mergeCell ref="Q15:R15"/>
    <mergeCell ref="V15:X15"/>
    <mergeCell ref="B17:C17"/>
    <mergeCell ref="Q17:R17"/>
    <mergeCell ref="T17:U17"/>
    <mergeCell ref="V17:X17"/>
    <mergeCell ref="B18:C18"/>
    <mergeCell ref="Q18:R18"/>
    <mergeCell ref="T18:U18"/>
    <mergeCell ref="V18:X18"/>
    <mergeCell ref="Y18:Y24"/>
    <mergeCell ref="B19:C19"/>
    <mergeCell ref="Q19:R19"/>
    <mergeCell ref="T19:T20"/>
    <mergeCell ref="V19:X19"/>
    <mergeCell ref="B20:C20"/>
    <mergeCell ref="B22:B24"/>
    <mergeCell ref="C22:C23"/>
    <mergeCell ref="D22:D23"/>
    <mergeCell ref="E22:E23"/>
    <mergeCell ref="F22:F23"/>
    <mergeCell ref="Q20:R20"/>
    <mergeCell ref="V20:X20"/>
    <mergeCell ref="B21:C21"/>
    <mergeCell ref="T21:U21"/>
    <mergeCell ref="V21:X21"/>
    <mergeCell ref="I32:J32"/>
    <mergeCell ref="K32:L32"/>
    <mergeCell ref="K33:L33"/>
    <mergeCell ref="T22:T23"/>
    <mergeCell ref="V22:X22"/>
    <mergeCell ref="V23:X23"/>
    <mergeCell ref="T24:T25"/>
    <mergeCell ref="V24:X24"/>
    <mergeCell ref="V25:X25"/>
  </mergeCells>
  <pageMargins left="0.15748031496063" right="0.15748031496063" top="0" bottom="0" header="0" footer="0"/>
  <pageSetup paperSize="9" scale="47" orientation="landscape" r:id="rId1"/>
</worksheet>
</file>

<file path=xl/worksheets/sheet16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4BA4AF4-B5EC-4C51-ACF5-4482F23FBB1E}">
  <sheetPr>
    <pageSetUpPr fitToPage="1"/>
  </sheetPr>
  <dimension ref="A1:Y33"/>
  <sheetViews>
    <sheetView topLeftCell="A11" zoomScale="70" zoomScaleNormal="70" zoomScaleSheetLayoutView="100" workbookViewId="0">
      <selection activeCell="M24" sqref="M24"/>
    </sheetView>
  </sheetViews>
  <sheetFormatPr defaultColWidth="9.140625" defaultRowHeight="15" x14ac:dyDescent="0.25"/>
  <cols>
    <col min="1" max="1" width="18.28515625" style="14" customWidth="1"/>
    <col min="2" max="2" width="10.7109375" style="14" customWidth="1"/>
    <col min="3" max="3" width="12.28515625" style="14" customWidth="1"/>
    <col min="4" max="4" width="13.140625" style="14" bestFit="1" customWidth="1"/>
    <col min="5" max="5" width="12" style="14" customWidth="1"/>
    <col min="6" max="6" width="12.5703125" style="14" bestFit="1" customWidth="1"/>
    <col min="7" max="7" width="9.28515625" style="14" bestFit="1" customWidth="1"/>
    <col min="8" max="8" width="10.140625" style="14" bestFit="1" customWidth="1"/>
    <col min="9" max="9" width="10.5703125" style="14" bestFit="1" customWidth="1"/>
    <col min="10" max="10" width="10.5703125" style="14" customWidth="1"/>
    <col min="11" max="11" width="10.28515625" style="14" bestFit="1" customWidth="1"/>
    <col min="12" max="12" width="10.42578125" style="14" bestFit="1" customWidth="1"/>
    <col min="13" max="13" width="9.85546875" style="14" bestFit="1" customWidth="1"/>
    <col min="14" max="14" width="10.140625" style="14" bestFit="1" customWidth="1"/>
    <col min="15" max="15" width="9" style="14" customWidth="1"/>
    <col min="16" max="16" width="12.85546875" style="14" bestFit="1" customWidth="1"/>
    <col min="17" max="18" width="9.42578125" style="14" customWidth="1"/>
    <col min="19" max="19" width="13.7109375" style="14" customWidth="1"/>
    <col min="20" max="20" width="12.140625" style="14" customWidth="1"/>
    <col min="21" max="21" width="19.5703125" style="14" bestFit="1" customWidth="1"/>
    <col min="22" max="22" width="9.85546875" style="14" customWidth="1"/>
    <col min="23" max="23" width="10.140625" style="14" bestFit="1" customWidth="1"/>
    <col min="24" max="24" width="10.28515625" style="14" customWidth="1"/>
    <col min="25" max="25" width="28" style="14" customWidth="1"/>
    <col min="26" max="16384" width="9.140625" style="14"/>
  </cols>
  <sheetData>
    <row r="1" spans="1:25" ht="46.15" customHeight="1" x14ac:dyDescent="0.25">
      <c r="A1" s="2240" t="s">
        <v>148</v>
      </c>
      <c r="B1" s="2240"/>
      <c r="C1" s="2240"/>
      <c r="D1" s="2240"/>
      <c r="E1" s="2240"/>
      <c r="F1" s="2240"/>
      <c r="G1" s="2240"/>
      <c r="H1" s="2240"/>
      <c r="I1" s="2240"/>
      <c r="J1" s="2240"/>
      <c r="K1" s="2240"/>
      <c r="L1" s="2240"/>
      <c r="M1" s="2240"/>
      <c r="N1" s="2240"/>
      <c r="O1" s="2240"/>
      <c r="P1" s="2240"/>
      <c r="Q1" s="2240"/>
      <c r="R1" s="2240"/>
      <c r="S1" s="2240"/>
      <c r="T1" s="2240"/>
      <c r="U1" s="2240"/>
      <c r="V1" s="2240"/>
      <c r="W1" s="2240"/>
      <c r="X1" s="2240"/>
      <c r="Y1" s="2240"/>
    </row>
    <row r="2" spans="1:25" ht="21.6" customHeight="1" x14ac:dyDescent="0.25">
      <c r="A2" s="2241" t="s">
        <v>383</v>
      </c>
      <c r="B2" s="2241"/>
      <c r="C2" s="2241"/>
      <c r="D2" s="2241"/>
      <c r="E2" s="2241"/>
      <c r="F2" s="2241"/>
      <c r="G2" s="2241"/>
      <c r="H2" s="2241"/>
      <c r="I2" s="2241"/>
      <c r="J2" s="2241"/>
      <c r="K2" s="2241"/>
      <c r="L2" s="2241"/>
      <c r="M2" s="2241"/>
      <c r="N2" s="2241"/>
      <c r="O2" s="2241"/>
      <c r="P2" s="2241"/>
      <c r="Q2" s="2241"/>
      <c r="R2" s="2241"/>
      <c r="S2" s="2241"/>
      <c r="T2" s="2241"/>
      <c r="U2" s="2241"/>
      <c r="V2" s="2241"/>
      <c r="W2" s="2241"/>
      <c r="X2" s="2241"/>
      <c r="Y2" s="2241"/>
    </row>
    <row r="3" spans="1:25" ht="21" customHeight="1" x14ac:dyDescent="0.25">
      <c r="A3" s="695"/>
      <c r="B3" s="695"/>
      <c r="C3" s="695"/>
      <c r="D3" s="695"/>
      <c r="E3" s="695"/>
      <c r="F3" s="695"/>
      <c r="G3" s="695"/>
      <c r="H3" s="695"/>
      <c r="I3" s="695"/>
      <c r="J3" s="695"/>
      <c r="K3" s="695"/>
      <c r="L3" s="695"/>
      <c r="M3" s="695"/>
      <c r="N3" s="695"/>
      <c r="O3" s="695"/>
      <c r="P3" s="695"/>
      <c r="Q3" s="695"/>
      <c r="R3" s="695"/>
      <c r="S3" s="695"/>
      <c r="T3" s="2242" t="s">
        <v>382</v>
      </c>
      <c r="U3" s="2242"/>
      <c r="V3" s="2242"/>
      <c r="W3" s="2242"/>
      <c r="X3" s="2242"/>
      <c r="Y3" s="2242"/>
    </row>
    <row r="4" spans="1:25" s="695" customFormat="1" ht="18" customHeight="1" x14ac:dyDescent="0.25">
      <c r="A4" s="2243" t="s">
        <v>25</v>
      </c>
      <c r="B4" s="2243" t="s">
        <v>26</v>
      </c>
      <c r="C4" s="2244" t="s">
        <v>27</v>
      </c>
      <c r="D4" s="2244"/>
      <c r="E4" s="2244" t="s">
        <v>342</v>
      </c>
      <c r="F4" s="2244"/>
      <c r="G4" s="2244" t="s">
        <v>65</v>
      </c>
      <c r="H4" s="2244"/>
      <c r="I4" s="2244" t="s">
        <v>29</v>
      </c>
      <c r="J4" s="2244"/>
      <c r="K4" s="2245" t="s">
        <v>14</v>
      </c>
      <c r="L4" s="2246"/>
      <c r="M4" s="2245" t="s">
        <v>67</v>
      </c>
      <c r="N4" s="2246"/>
      <c r="O4" s="2245" t="s">
        <v>68</v>
      </c>
      <c r="P4" s="2246"/>
      <c r="Q4" s="2245" t="s">
        <v>114</v>
      </c>
      <c r="R4" s="2246"/>
      <c r="S4" s="2244" t="s">
        <v>35</v>
      </c>
      <c r="T4" s="2244"/>
      <c r="U4" s="2245" t="s">
        <v>17</v>
      </c>
      <c r="V4" s="2246"/>
      <c r="W4" s="2247" t="s">
        <v>36</v>
      </c>
      <c r="X4" s="2248"/>
      <c r="Y4" s="2238" t="s">
        <v>30</v>
      </c>
    </row>
    <row r="5" spans="1:25" s="695" customFormat="1" ht="25.5" customHeight="1" x14ac:dyDescent="0.25">
      <c r="A5" s="2243"/>
      <c r="B5" s="2243"/>
      <c r="C5" s="694" t="s">
        <v>42</v>
      </c>
      <c r="D5" s="694" t="s">
        <v>43</v>
      </c>
      <c r="E5" s="694" t="s">
        <v>42</v>
      </c>
      <c r="F5" s="694" t="s">
        <v>43</v>
      </c>
      <c r="G5" s="694" t="s">
        <v>42</v>
      </c>
      <c r="H5" s="694" t="s">
        <v>43</v>
      </c>
      <c r="I5" s="694" t="s">
        <v>42</v>
      </c>
      <c r="J5" s="694" t="s">
        <v>43</v>
      </c>
      <c r="K5" s="694" t="s">
        <v>42</v>
      </c>
      <c r="L5" s="694" t="s">
        <v>43</v>
      </c>
      <c r="M5" s="694" t="s">
        <v>42</v>
      </c>
      <c r="N5" s="694" t="s">
        <v>43</v>
      </c>
      <c r="O5" s="694" t="s">
        <v>42</v>
      </c>
      <c r="P5" s="694" t="s">
        <v>43</v>
      </c>
      <c r="Q5" s="694" t="s">
        <v>42</v>
      </c>
      <c r="R5" s="694" t="s">
        <v>43</v>
      </c>
      <c r="S5" s="33" t="s">
        <v>42</v>
      </c>
      <c r="T5" s="33" t="s">
        <v>43</v>
      </c>
      <c r="U5" s="30" t="s">
        <v>42</v>
      </c>
      <c r="V5" s="30" t="s">
        <v>43</v>
      </c>
      <c r="W5" s="30" t="s">
        <v>42</v>
      </c>
      <c r="X5" s="30" t="s">
        <v>43</v>
      </c>
      <c r="Y5" s="2239"/>
    </row>
    <row r="6" spans="1:25" ht="34.5" customHeight="1" x14ac:dyDescent="0.25">
      <c r="A6" s="12">
        <v>1409935200</v>
      </c>
      <c r="B6" s="693" t="s">
        <v>71</v>
      </c>
      <c r="C6" s="691">
        <v>21740</v>
      </c>
      <c r="D6" s="690">
        <f>0.9725*C6</f>
        <v>21142.15</v>
      </c>
      <c r="E6" s="691">
        <v>20</v>
      </c>
      <c r="F6" s="691">
        <f>67.1*E6</f>
        <v>1342</v>
      </c>
      <c r="G6" s="691">
        <v>300</v>
      </c>
      <c r="H6" s="691">
        <f>28.2*G6</f>
        <v>8460</v>
      </c>
      <c r="I6" s="691">
        <v>180</v>
      </c>
      <c r="J6" s="691">
        <f>18.5*I6</f>
        <v>3330</v>
      </c>
      <c r="K6" s="691"/>
      <c r="L6" s="691">
        <f>28.2368*K6</f>
        <v>0</v>
      </c>
      <c r="M6" s="691"/>
      <c r="N6" s="690">
        <f>M6*9.75</f>
        <v>0</v>
      </c>
      <c r="O6" s="691"/>
      <c r="P6" s="690">
        <f>O6*48.62</f>
        <v>0</v>
      </c>
      <c r="Q6" s="690"/>
      <c r="R6" s="690">
        <f>241*Q6</f>
        <v>0</v>
      </c>
      <c r="S6" s="691">
        <v>5</v>
      </c>
      <c r="T6" s="691">
        <f>241*S6</f>
        <v>1205</v>
      </c>
      <c r="U6" s="691"/>
      <c r="V6" s="691">
        <f>332*U6</f>
        <v>0</v>
      </c>
      <c r="W6" s="691"/>
      <c r="X6" s="19">
        <f>W6*100</f>
        <v>0</v>
      </c>
      <c r="Y6" s="20">
        <f t="shared" ref="Y6:Y12" si="0">D6+F6+H6+J6+L6+N6+P6+R6+T6+V6+X6</f>
        <v>35479.15</v>
      </c>
    </row>
    <row r="7" spans="1:25" ht="31.5" customHeight="1" x14ac:dyDescent="0.25">
      <c r="A7" s="12">
        <v>1984225578</v>
      </c>
      <c r="B7" s="693" t="s">
        <v>72</v>
      </c>
      <c r="C7" s="691">
        <v>30406</v>
      </c>
      <c r="D7" s="690">
        <f t="shared" ref="D7:D11" si="1">0.9725*C7</f>
        <v>29569.834999999999</v>
      </c>
      <c r="E7" s="691"/>
      <c r="F7" s="691">
        <f t="shared" ref="F7:F11" si="2">67.1*E7</f>
        <v>0</v>
      </c>
      <c r="G7" s="691">
        <v>40</v>
      </c>
      <c r="H7" s="691">
        <f t="shared" ref="H7:H11" si="3">28.2*G7</f>
        <v>1128</v>
      </c>
      <c r="I7" s="691">
        <v>2830</v>
      </c>
      <c r="J7" s="691">
        <f t="shared" ref="J7:J11" si="4">18.5*I7</f>
        <v>52355</v>
      </c>
      <c r="K7" s="691"/>
      <c r="L7" s="691">
        <f t="shared" ref="L7:L11" si="5">28.2368*K7</f>
        <v>0</v>
      </c>
      <c r="M7" s="691"/>
      <c r="N7" s="690">
        <f t="shared" ref="N7:N11" si="6">M7*9.75</f>
        <v>0</v>
      </c>
      <c r="O7" s="691"/>
      <c r="P7" s="690">
        <f t="shared" ref="P7:P11" si="7">O7*48.62</f>
        <v>0</v>
      </c>
      <c r="Q7" s="690"/>
      <c r="R7" s="690">
        <f t="shared" ref="R7:R11" si="8">241*Q7</f>
        <v>0</v>
      </c>
      <c r="S7" s="691"/>
      <c r="T7" s="691">
        <f t="shared" ref="T7:T11" si="9">241*S7</f>
        <v>0</v>
      </c>
      <c r="U7" s="691"/>
      <c r="V7" s="691">
        <f t="shared" ref="V7:V11" si="10">332*U7</f>
        <v>0</v>
      </c>
      <c r="W7" s="691"/>
      <c r="X7" s="19">
        <f t="shared" ref="X7:X11" si="11">W7*100</f>
        <v>0</v>
      </c>
      <c r="Y7" s="20">
        <f t="shared" si="0"/>
        <v>83052.834999999992</v>
      </c>
    </row>
    <row r="8" spans="1:25" ht="35.25" customHeight="1" x14ac:dyDescent="0.25">
      <c r="A8" s="12">
        <v>1967020280</v>
      </c>
      <c r="B8" s="693" t="s">
        <v>73</v>
      </c>
      <c r="C8" s="691">
        <v>29550</v>
      </c>
      <c r="D8" s="690">
        <f t="shared" si="1"/>
        <v>28737.375</v>
      </c>
      <c r="E8" s="691">
        <v>15</v>
      </c>
      <c r="F8" s="691">
        <f t="shared" si="2"/>
        <v>1006.4999999999999</v>
      </c>
      <c r="G8" s="691">
        <v>20</v>
      </c>
      <c r="H8" s="691">
        <f t="shared" si="3"/>
        <v>564</v>
      </c>
      <c r="I8" s="691">
        <v>1960</v>
      </c>
      <c r="J8" s="691">
        <f t="shared" si="4"/>
        <v>36260</v>
      </c>
      <c r="K8" s="691"/>
      <c r="L8" s="691">
        <f t="shared" si="5"/>
        <v>0</v>
      </c>
      <c r="M8" s="691"/>
      <c r="N8" s="690">
        <f t="shared" si="6"/>
        <v>0</v>
      </c>
      <c r="O8" s="691"/>
      <c r="P8" s="690">
        <f t="shared" si="7"/>
        <v>0</v>
      </c>
      <c r="Q8" s="690"/>
      <c r="R8" s="690">
        <f t="shared" si="8"/>
        <v>0</v>
      </c>
      <c r="S8" s="691"/>
      <c r="T8" s="691">
        <f t="shared" si="9"/>
        <v>0</v>
      </c>
      <c r="U8" s="691"/>
      <c r="V8" s="691">
        <f t="shared" si="10"/>
        <v>0</v>
      </c>
      <c r="W8" s="691"/>
      <c r="X8" s="19">
        <f t="shared" si="11"/>
        <v>0</v>
      </c>
      <c r="Y8" s="20">
        <f t="shared" si="0"/>
        <v>66567.875</v>
      </c>
    </row>
    <row r="9" spans="1:25" ht="38.25" customHeight="1" x14ac:dyDescent="0.25">
      <c r="A9" s="12">
        <v>1984225580</v>
      </c>
      <c r="B9" s="693" t="s">
        <v>75</v>
      </c>
      <c r="C9" s="691">
        <v>21684</v>
      </c>
      <c r="D9" s="690">
        <f t="shared" si="1"/>
        <v>21087.690000000002</v>
      </c>
      <c r="E9" s="691"/>
      <c r="F9" s="691">
        <f t="shared" si="2"/>
        <v>0</v>
      </c>
      <c r="G9" s="691"/>
      <c r="H9" s="691">
        <f t="shared" si="3"/>
        <v>0</v>
      </c>
      <c r="I9" s="691"/>
      <c r="J9" s="691">
        <f t="shared" si="4"/>
        <v>0</v>
      </c>
      <c r="K9" s="691"/>
      <c r="L9" s="691">
        <f t="shared" si="5"/>
        <v>0</v>
      </c>
      <c r="M9" s="691"/>
      <c r="N9" s="690">
        <f t="shared" si="6"/>
        <v>0</v>
      </c>
      <c r="O9" s="691"/>
      <c r="P9" s="690">
        <f t="shared" si="7"/>
        <v>0</v>
      </c>
      <c r="Q9" s="690"/>
      <c r="R9" s="690">
        <f t="shared" si="8"/>
        <v>0</v>
      </c>
      <c r="S9" s="691"/>
      <c r="T9" s="691">
        <f t="shared" si="9"/>
        <v>0</v>
      </c>
      <c r="U9" s="691"/>
      <c r="V9" s="691">
        <f t="shared" si="10"/>
        <v>0</v>
      </c>
      <c r="W9" s="691"/>
      <c r="X9" s="19">
        <f t="shared" si="11"/>
        <v>0</v>
      </c>
      <c r="Y9" s="20">
        <f t="shared" si="0"/>
        <v>21087.690000000002</v>
      </c>
    </row>
    <row r="10" spans="1:25" ht="35.25" customHeight="1" x14ac:dyDescent="0.25">
      <c r="A10" s="12">
        <v>1409935199</v>
      </c>
      <c r="C10" s="691">
        <v>29829</v>
      </c>
      <c r="D10" s="690">
        <f t="shared" si="1"/>
        <v>29008.702499999999</v>
      </c>
      <c r="E10" s="691"/>
      <c r="F10" s="691">
        <f t="shared" si="2"/>
        <v>0</v>
      </c>
      <c r="G10" s="691"/>
      <c r="H10" s="691">
        <f t="shared" si="3"/>
        <v>0</v>
      </c>
      <c r="I10" s="691"/>
      <c r="J10" s="691">
        <f t="shared" si="4"/>
        <v>0</v>
      </c>
      <c r="K10" s="691"/>
      <c r="L10" s="691">
        <f t="shared" si="5"/>
        <v>0</v>
      </c>
      <c r="M10" s="691"/>
      <c r="N10" s="690">
        <f t="shared" si="6"/>
        <v>0</v>
      </c>
      <c r="O10" s="691"/>
      <c r="P10" s="690">
        <f t="shared" si="7"/>
        <v>0</v>
      </c>
      <c r="Q10" s="690"/>
      <c r="R10" s="690">
        <f t="shared" si="8"/>
        <v>0</v>
      </c>
      <c r="S10" s="691"/>
      <c r="T10" s="691">
        <f t="shared" si="9"/>
        <v>0</v>
      </c>
      <c r="U10" s="691"/>
      <c r="V10" s="691">
        <f t="shared" si="10"/>
        <v>0</v>
      </c>
      <c r="W10" s="691"/>
      <c r="X10" s="19">
        <f t="shared" si="11"/>
        <v>0</v>
      </c>
      <c r="Y10" s="20">
        <f t="shared" si="0"/>
        <v>29008.702499999999</v>
      </c>
    </row>
    <row r="11" spans="1:25" ht="37.5" customHeight="1" x14ac:dyDescent="0.25">
      <c r="A11" s="12"/>
      <c r="B11" s="692"/>
      <c r="C11" s="691"/>
      <c r="D11" s="22">
        <f t="shared" si="1"/>
        <v>0</v>
      </c>
      <c r="E11" s="691"/>
      <c r="F11" s="691">
        <f t="shared" si="2"/>
        <v>0</v>
      </c>
      <c r="G11" s="691"/>
      <c r="H11" s="691">
        <f t="shared" si="3"/>
        <v>0</v>
      </c>
      <c r="I11" s="691"/>
      <c r="J11" s="691">
        <f t="shared" si="4"/>
        <v>0</v>
      </c>
      <c r="K11" s="691"/>
      <c r="L11" s="691">
        <f t="shared" si="5"/>
        <v>0</v>
      </c>
      <c r="M11" s="691"/>
      <c r="N11" s="690">
        <f t="shared" si="6"/>
        <v>0</v>
      </c>
      <c r="O11" s="691"/>
      <c r="P11" s="690">
        <f t="shared" si="7"/>
        <v>0</v>
      </c>
      <c r="Q11" s="690"/>
      <c r="R11" s="690">
        <f t="shared" si="8"/>
        <v>0</v>
      </c>
      <c r="S11" s="691">
        <v>155</v>
      </c>
      <c r="T11" s="691">
        <f t="shared" si="9"/>
        <v>37355</v>
      </c>
      <c r="U11" s="691"/>
      <c r="V11" s="691">
        <f t="shared" si="10"/>
        <v>0</v>
      </c>
      <c r="W11" s="691"/>
      <c r="X11" s="19">
        <f t="shared" si="11"/>
        <v>0</v>
      </c>
      <c r="Y11" s="20">
        <f t="shared" si="0"/>
        <v>37355</v>
      </c>
    </row>
    <row r="12" spans="1:25" ht="29.25" customHeight="1" x14ac:dyDescent="0.25">
      <c r="A12" s="2235" t="s">
        <v>31</v>
      </c>
      <c r="B12" s="2235"/>
      <c r="C12" s="18">
        <f t="shared" ref="C12:X12" si="12">SUM(C6:C11)</f>
        <v>133209</v>
      </c>
      <c r="D12" s="18">
        <f t="shared" si="12"/>
        <v>129545.7525</v>
      </c>
      <c r="E12" s="18">
        <f t="shared" si="12"/>
        <v>35</v>
      </c>
      <c r="F12" s="18">
        <f t="shared" si="12"/>
        <v>2348.5</v>
      </c>
      <c r="G12" s="18">
        <f t="shared" si="12"/>
        <v>360</v>
      </c>
      <c r="H12" s="18">
        <f t="shared" si="12"/>
        <v>10152</v>
      </c>
      <c r="I12" s="18">
        <f t="shared" si="12"/>
        <v>4970</v>
      </c>
      <c r="J12" s="18">
        <f t="shared" si="12"/>
        <v>91945</v>
      </c>
      <c r="K12" s="18">
        <f t="shared" si="12"/>
        <v>0</v>
      </c>
      <c r="L12" s="18">
        <f t="shared" si="12"/>
        <v>0</v>
      </c>
      <c r="M12" s="18">
        <f t="shared" si="12"/>
        <v>0</v>
      </c>
      <c r="N12" s="23">
        <f t="shared" si="12"/>
        <v>0</v>
      </c>
      <c r="O12" s="18">
        <f t="shared" si="12"/>
        <v>0</v>
      </c>
      <c r="P12" s="23">
        <f t="shared" si="12"/>
        <v>0</v>
      </c>
      <c r="Q12" s="23">
        <f t="shared" si="12"/>
        <v>0</v>
      </c>
      <c r="R12" s="23">
        <f>SUM(R6:R11)</f>
        <v>0</v>
      </c>
      <c r="S12" s="18">
        <f t="shared" si="12"/>
        <v>160</v>
      </c>
      <c r="T12" s="18">
        <f t="shared" si="12"/>
        <v>38560</v>
      </c>
      <c r="U12" s="18">
        <f t="shared" si="12"/>
        <v>0</v>
      </c>
      <c r="V12" s="18">
        <f t="shared" si="12"/>
        <v>0</v>
      </c>
      <c r="W12" s="18">
        <f t="shared" si="12"/>
        <v>0</v>
      </c>
      <c r="X12" s="18">
        <f t="shared" si="12"/>
        <v>0</v>
      </c>
      <c r="Y12" s="20">
        <f t="shared" si="0"/>
        <v>272551.2525</v>
      </c>
    </row>
    <row r="14" spans="1:25" ht="41.25" customHeight="1" x14ac:dyDescent="0.25">
      <c r="A14" s="30" t="s">
        <v>32</v>
      </c>
      <c r="B14" s="2236" t="s">
        <v>27</v>
      </c>
      <c r="C14" s="2236"/>
      <c r="D14" s="30" t="s">
        <v>333</v>
      </c>
      <c r="E14" s="30" t="s">
        <v>65</v>
      </c>
      <c r="F14" s="30" t="s">
        <v>34</v>
      </c>
      <c r="G14" s="30" t="s">
        <v>14</v>
      </c>
      <c r="H14" s="469" t="s">
        <v>173</v>
      </c>
      <c r="I14" s="30" t="s">
        <v>17</v>
      </c>
      <c r="J14" s="699" t="s">
        <v>174</v>
      </c>
      <c r="K14" s="30" t="s">
        <v>36</v>
      </c>
      <c r="L14" s="30" t="s">
        <v>175</v>
      </c>
      <c r="M14" s="30" t="s">
        <v>69</v>
      </c>
      <c r="N14" s="30" t="s">
        <v>70</v>
      </c>
      <c r="O14" s="699" t="s">
        <v>114</v>
      </c>
      <c r="P14" s="699" t="s">
        <v>368</v>
      </c>
      <c r="Q14" s="2300" t="s">
        <v>378</v>
      </c>
      <c r="R14" s="2301"/>
      <c r="S14" s="699"/>
      <c r="T14" s="2235" t="s">
        <v>46</v>
      </c>
      <c r="U14" s="693" t="s">
        <v>176</v>
      </c>
      <c r="V14" s="2260">
        <v>3134</v>
      </c>
      <c r="W14" s="2268"/>
      <c r="X14" s="2261"/>
    </row>
    <row r="15" spans="1:25" ht="22.5" customHeight="1" x14ac:dyDescent="0.25">
      <c r="A15" s="100" t="s">
        <v>38</v>
      </c>
      <c r="B15" s="2260">
        <v>294867</v>
      </c>
      <c r="C15" s="2261"/>
      <c r="D15" s="696">
        <v>589</v>
      </c>
      <c r="E15" s="696">
        <v>1620</v>
      </c>
      <c r="F15" s="696">
        <v>22650</v>
      </c>
      <c r="G15" s="696">
        <v>0</v>
      </c>
      <c r="H15" s="696">
        <v>173</v>
      </c>
      <c r="I15" s="696">
        <v>0</v>
      </c>
      <c r="J15" s="696">
        <v>26</v>
      </c>
      <c r="K15" s="696">
        <v>72</v>
      </c>
      <c r="L15" s="696">
        <v>29</v>
      </c>
      <c r="M15" s="696">
        <v>0</v>
      </c>
      <c r="N15" s="696">
        <v>100</v>
      </c>
      <c r="O15" s="696">
        <v>0</v>
      </c>
      <c r="P15" s="696">
        <v>155</v>
      </c>
      <c r="Q15" s="2260">
        <v>100</v>
      </c>
      <c r="R15" s="2261"/>
      <c r="S15" s="693"/>
      <c r="T15" s="2235"/>
      <c r="U15" s="693" t="s">
        <v>64</v>
      </c>
      <c r="V15" s="2262">
        <v>6382</v>
      </c>
      <c r="W15" s="2262"/>
      <c r="X15" s="2262"/>
    </row>
    <row r="16" spans="1:25" ht="24.75" customHeight="1" x14ac:dyDescent="0.25">
      <c r="A16" s="100" t="s">
        <v>39</v>
      </c>
      <c r="B16" s="2260">
        <v>311688</v>
      </c>
      <c r="C16" s="2261"/>
      <c r="D16" s="696"/>
      <c r="E16" s="696"/>
      <c r="F16" s="696"/>
      <c r="G16" s="696">
        <v>2500</v>
      </c>
      <c r="H16" s="696"/>
      <c r="I16" s="696"/>
      <c r="J16" s="696"/>
      <c r="K16" s="696"/>
      <c r="L16" s="696"/>
      <c r="M16" s="696"/>
      <c r="N16" s="696"/>
      <c r="O16" s="696"/>
      <c r="P16" s="696"/>
      <c r="Q16" s="2225"/>
      <c r="R16" s="2225"/>
      <c r="S16" s="696"/>
      <c r="T16" s="2254" t="s">
        <v>55</v>
      </c>
      <c r="U16" s="2254"/>
      <c r="V16" s="2267">
        <f>Y12</f>
        <v>272551.2525</v>
      </c>
      <c r="W16" s="2267"/>
      <c r="X16" s="2262"/>
    </row>
    <row r="17" spans="1:25" ht="28.5" customHeight="1" x14ac:dyDescent="0.25">
      <c r="A17" s="101" t="s">
        <v>44</v>
      </c>
      <c r="B17" s="2260"/>
      <c r="C17" s="2261"/>
      <c r="D17" s="696"/>
      <c r="E17" s="696"/>
      <c r="F17" s="696"/>
      <c r="G17" s="696"/>
      <c r="H17" s="696"/>
      <c r="I17" s="696"/>
      <c r="J17" s="696"/>
      <c r="K17" s="696"/>
      <c r="L17" s="696"/>
      <c r="M17" s="696"/>
      <c r="N17" s="696"/>
      <c r="O17" s="696"/>
      <c r="P17" s="696"/>
      <c r="Q17" s="2225"/>
      <c r="R17" s="2225"/>
      <c r="S17" s="692"/>
      <c r="T17" s="2294" t="s">
        <v>362</v>
      </c>
      <c r="U17" s="2295"/>
      <c r="V17" s="2296"/>
      <c r="W17" s="2296"/>
      <c r="X17" s="2296"/>
    </row>
    <row r="18" spans="1:25" ht="27" customHeight="1" x14ac:dyDescent="0.25">
      <c r="A18" s="100" t="s">
        <v>40</v>
      </c>
      <c r="B18" s="2264">
        <f>C12</f>
        <v>133209</v>
      </c>
      <c r="C18" s="2261"/>
      <c r="D18" s="698">
        <f>E12</f>
        <v>35</v>
      </c>
      <c r="E18" s="698">
        <f>G12</f>
        <v>360</v>
      </c>
      <c r="F18" s="698">
        <f>I12</f>
        <v>4970</v>
      </c>
      <c r="G18" s="698">
        <f>K12</f>
        <v>0</v>
      </c>
      <c r="H18" s="696">
        <v>5</v>
      </c>
      <c r="I18" s="698">
        <f>U12</f>
        <v>0</v>
      </c>
      <c r="J18" s="696"/>
      <c r="K18" s="698">
        <f>W12</f>
        <v>0</v>
      </c>
      <c r="L18" s="696"/>
      <c r="M18" s="698">
        <f>M12</f>
        <v>0</v>
      </c>
      <c r="N18" s="698">
        <f>O12</f>
        <v>0</v>
      </c>
      <c r="O18" s="697">
        <f>Q12</f>
        <v>0</v>
      </c>
      <c r="P18" s="696">
        <v>155</v>
      </c>
      <c r="Q18" s="2262"/>
      <c r="R18" s="2262"/>
      <c r="S18" s="693"/>
      <c r="T18" s="2254" t="s">
        <v>57</v>
      </c>
      <c r="U18" s="2254"/>
      <c r="V18" s="2262">
        <v>91870</v>
      </c>
      <c r="W18" s="2262"/>
      <c r="X18" s="2262"/>
      <c r="Y18" s="2269"/>
    </row>
    <row r="19" spans="1:25" ht="25.5" customHeight="1" x14ac:dyDescent="0.25">
      <c r="A19" s="100" t="s">
        <v>41</v>
      </c>
      <c r="B19" s="2260">
        <f>B15+B16+B17-B18</f>
        <v>473346</v>
      </c>
      <c r="C19" s="2261"/>
      <c r="D19" s="696">
        <f>D15+D16+D17-D18</f>
        <v>554</v>
      </c>
      <c r="E19" s="696">
        <f t="shared" ref="E19:N19" si="13">E15+E16+E17-E18</f>
        <v>1260</v>
      </c>
      <c r="F19" s="696">
        <f t="shared" si="13"/>
        <v>17680</v>
      </c>
      <c r="G19" s="696">
        <f t="shared" si="13"/>
        <v>2500</v>
      </c>
      <c r="H19" s="696">
        <f t="shared" si="13"/>
        <v>168</v>
      </c>
      <c r="I19" s="696">
        <f t="shared" si="13"/>
        <v>0</v>
      </c>
      <c r="J19" s="696">
        <f t="shared" si="13"/>
        <v>26</v>
      </c>
      <c r="K19" s="696">
        <f t="shared" si="13"/>
        <v>72</v>
      </c>
      <c r="L19" s="696">
        <f t="shared" si="13"/>
        <v>29</v>
      </c>
      <c r="M19" s="696">
        <f t="shared" si="13"/>
        <v>0</v>
      </c>
      <c r="N19" s="696">
        <f t="shared" si="13"/>
        <v>100</v>
      </c>
      <c r="O19" s="696">
        <f>O15+O16+O17-O18</f>
        <v>0</v>
      </c>
      <c r="P19" s="696">
        <f>P15+P16+P17-P18</f>
        <v>0</v>
      </c>
      <c r="Q19" s="2260">
        <f t="shared" ref="Q19" si="14">Q15+Q16+Q17-Q18</f>
        <v>100</v>
      </c>
      <c r="R19" s="2261"/>
      <c r="S19" s="693">
        <f>S15+S16-S17-S18</f>
        <v>0</v>
      </c>
      <c r="T19" s="2256" t="s">
        <v>48</v>
      </c>
      <c r="U19" s="49" t="s">
        <v>58</v>
      </c>
      <c r="V19" s="2262">
        <v>37000</v>
      </c>
      <c r="W19" s="2262"/>
      <c r="X19" s="2262"/>
      <c r="Y19" s="2269"/>
    </row>
    <row r="20" spans="1:25" ht="23.25" customHeight="1" x14ac:dyDescent="0.25">
      <c r="A20" s="289" t="s">
        <v>187</v>
      </c>
      <c r="B20" s="2286">
        <f>B19*0.9625</f>
        <v>455595.52500000002</v>
      </c>
      <c r="C20" s="2287"/>
      <c r="D20" s="290">
        <f>D19*66.41</f>
        <v>36791.14</v>
      </c>
      <c r="E20" s="290">
        <f>28.2*E19</f>
        <v>35532</v>
      </c>
      <c r="F20" s="290">
        <f>18.31*F19</f>
        <v>323720.8</v>
      </c>
      <c r="G20" s="290">
        <f>27.9368*G19</f>
        <v>69842</v>
      </c>
      <c r="H20" s="290">
        <f>241*H19</f>
        <v>40488</v>
      </c>
      <c r="I20" s="290">
        <f>323*I19</f>
        <v>0</v>
      </c>
      <c r="J20" s="290">
        <f>241*J19</f>
        <v>6266</v>
      </c>
      <c r="K20" s="290">
        <f>K19*100</f>
        <v>7200</v>
      </c>
      <c r="L20" s="290">
        <f>241*L19</f>
        <v>6989</v>
      </c>
      <c r="M20" s="290">
        <f>9.65*M19</f>
        <v>0</v>
      </c>
      <c r="N20" s="290">
        <f>N19*48.2</f>
        <v>4820</v>
      </c>
      <c r="O20" s="290">
        <f>241*O19</f>
        <v>0</v>
      </c>
      <c r="P20" s="290">
        <f>241*P19</f>
        <v>0</v>
      </c>
      <c r="Q20" s="2286">
        <f>341*Q19</f>
        <v>34100</v>
      </c>
      <c r="R20" s="2287"/>
      <c r="S20" s="290">
        <f>241*S19</f>
        <v>0</v>
      </c>
      <c r="T20" s="2257"/>
      <c r="U20" s="49" t="s">
        <v>59</v>
      </c>
      <c r="V20" s="2262"/>
      <c r="W20" s="2262"/>
      <c r="X20" s="2262"/>
      <c r="Y20" s="2269"/>
    </row>
    <row r="21" spans="1:25" ht="32.25" customHeight="1" x14ac:dyDescent="0.25">
      <c r="A21" s="291" t="s">
        <v>186</v>
      </c>
      <c r="B21" s="2293">
        <f>SUM(B20:S20)</f>
        <v>1021344.4650000001</v>
      </c>
      <c r="C21" s="2293"/>
      <c r="O21" s="700"/>
      <c r="P21" s="700"/>
      <c r="Q21" s="700"/>
      <c r="R21" s="700"/>
      <c r="T21" s="2294" t="s">
        <v>384</v>
      </c>
      <c r="U21" s="2295"/>
      <c r="V21" s="2297">
        <v>75000</v>
      </c>
      <c r="W21" s="2298"/>
      <c r="X21" s="2299"/>
      <c r="Y21" s="2269"/>
    </row>
    <row r="22" spans="1:25" ht="35.25" customHeight="1" x14ac:dyDescent="0.25">
      <c r="A22" s="15"/>
      <c r="B22" s="2288" t="s">
        <v>49</v>
      </c>
      <c r="C22" s="2291">
        <v>462943</v>
      </c>
      <c r="D22" s="2291">
        <v>37000</v>
      </c>
      <c r="E22" s="2291">
        <v>369842</v>
      </c>
      <c r="F22" s="2291">
        <f>C22-D22+E22</f>
        <v>795785</v>
      </c>
      <c r="G22" s="700"/>
      <c r="Q22" s="700"/>
      <c r="R22" s="700"/>
      <c r="T22" s="2251" t="s">
        <v>83</v>
      </c>
      <c r="U22" s="50" t="s">
        <v>60</v>
      </c>
      <c r="V22" s="2262">
        <v>136740</v>
      </c>
      <c r="W22" s="2262"/>
      <c r="X22" s="2262"/>
      <c r="Y22" s="2269"/>
    </row>
    <row r="23" spans="1:25" ht="39.75" customHeight="1" x14ac:dyDescent="0.25">
      <c r="A23" s="700"/>
      <c r="B23" s="2289"/>
      <c r="C23" s="2292"/>
      <c r="D23" s="2292"/>
      <c r="E23" s="2292"/>
      <c r="F23" s="2292"/>
      <c r="G23" s="700"/>
      <c r="Q23" s="700"/>
      <c r="R23" s="700"/>
      <c r="T23" s="2252"/>
      <c r="U23" s="50" t="s">
        <v>61</v>
      </c>
      <c r="V23" s="2262">
        <v>130000</v>
      </c>
      <c r="W23" s="2262"/>
      <c r="X23" s="2262"/>
      <c r="Y23" s="2269"/>
    </row>
    <row r="24" spans="1:25" ht="48" customHeight="1" x14ac:dyDescent="0.25">
      <c r="A24" s="700"/>
      <c r="B24" s="2290"/>
      <c r="C24" s="290" t="s">
        <v>46</v>
      </c>
      <c r="D24" s="290" t="s">
        <v>50</v>
      </c>
      <c r="E24" s="290" t="s">
        <v>51</v>
      </c>
      <c r="F24" s="290" t="s">
        <v>52</v>
      </c>
      <c r="G24" s="700"/>
      <c r="Q24" s="700"/>
      <c r="R24" s="700"/>
      <c r="T24" s="2235" t="s">
        <v>47</v>
      </c>
      <c r="U24" s="51" t="s">
        <v>62</v>
      </c>
      <c r="V24" s="2263">
        <f>V14+V16+V17-V18-V19-V20-V22+V23-V21</f>
        <v>65075.252500000002</v>
      </c>
      <c r="W24" s="2263"/>
      <c r="X24" s="2263"/>
      <c r="Y24" s="2269"/>
    </row>
    <row r="25" spans="1:25" ht="40.5" customHeight="1" x14ac:dyDescent="0.25">
      <c r="T25" s="2235"/>
      <c r="U25" s="51" t="s">
        <v>63</v>
      </c>
      <c r="V25" s="2262">
        <f>V15+V22-V23</f>
        <v>13122</v>
      </c>
      <c r="W25" s="2262"/>
      <c r="X25" s="2262"/>
    </row>
    <row r="26" spans="1:25" ht="36" customHeight="1" x14ac:dyDescent="0.25">
      <c r="K26" s="314"/>
    </row>
    <row r="28" spans="1:25" x14ac:dyDescent="0.25">
      <c r="J28" s="14" t="s">
        <v>139</v>
      </c>
    </row>
    <row r="32" spans="1:25" x14ac:dyDescent="0.25">
      <c r="I32" s="2280"/>
      <c r="J32" s="2280"/>
      <c r="K32" s="2280"/>
      <c r="L32" s="2280"/>
    </row>
    <row r="33" spans="9:12" x14ac:dyDescent="0.25">
      <c r="I33" s="700"/>
      <c r="J33" s="700"/>
      <c r="K33" s="2280"/>
      <c r="L33" s="2280"/>
    </row>
  </sheetData>
  <mergeCells count="62">
    <mergeCell ref="A1:Y1"/>
    <mergeCell ref="A2:Y2"/>
    <mergeCell ref="T3:Y3"/>
    <mergeCell ref="A4:A5"/>
    <mergeCell ref="B4:B5"/>
    <mergeCell ref="C4:D4"/>
    <mergeCell ref="E4:F4"/>
    <mergeCell ref="G4:H4"/>
    <mergeCell ref="I4:J4"/>
    <mergeCell ref="K4:L4"/>
    <mergeCell ref="Y4:Y5"/>
    <mergeCell ref="M4:N4"/>
    <mergeCell ref="O4:P4"/>
    <mergeCell ref="Q4:R4"/>
    <mergeCell ref="S4:T4"/>
    <mergeCell ref="U4:V4"/>
    <mergeCell ref="W4:X4"/>
    <mergeCell ref="B16:C16"/>
    <mergeCell ref="Q16:R16"/>
    <mergeCell ref="T16:U16"/>
    <mergeCell ref="V16:X16"/>
    <mergeCell ref="A12:B12"/>
    <mergeCell ref="B14:C14"/>
    <mergeCell ref="Q14:R14"/>
    <mergeCell ref="T14:T15"/>
    <mergeCell ref="V14:X14"/>
    <mergeCell ref="B15:C15"/>
    <mergeCell ref="Q15:R15"/>
    <mergeCell ref="V15:X15"/>
    <mergeCell ref="B17:C17"/>
    <mergeCell ref="Q17:R17"/>
    <mergeCell ref="T17:U17"/>
    <mergeCell ref="V17:X17"/>
    <mergeCell ref="B18:C18"/>
    <mergeCell ref="Q18:R18"/>
    <mergeCell ref="T18:U18"/>
    <mergeCell ref="V18:X18"/>
    <mergeCell ref="Y18:Y24"/>
    <mergeCell ref="B19:C19"/>
    <mergeCell ref="Q19:R19"/>
    <mergeCell ref="T19:T20"/>
    <mergeCell ref="V19:X19"/>
    <mergeCell ref="B20:C20"/>
    <mergeCell ref="B22:B24"/>
    <mergeCell ref="C22:C23"/>
    <mergeCell ref="D22:D23"/>
    <mergeCell ref="E22:E23"/>
    <mergeCell ref="F22:F23"/>
    <mergeCell ref="Q20:R20"/>
    <mergeCell ref="V20:X20"/>
    <mergeCell ref="B21:C21"/>
    <mergeCell ref="T21:U21"/>
    <mergeCell ref="V21:X21"/>
    <mergeCell ref="I32:J32"/>
    <mergeCell ref="K32:L32"/>
    <mergeCell ref="K33:L33"/>
    <mergeCell ref="T22:T23"/>
    <mergeCell ref="V22:X22"/>
    <mergeCell ref="V23:X23"/>
    <mergeCell ref="T24:T25"/>
    <mergeCell ref="V24:X24"/>
    <mergeCell ref="V25:X25"/>
  </mergeCells>
  <pageMargins left="0.15748031496063" right="0.15748031496063" top="0" bottom="0" header="0" footer="0"/>
  <pageSetup paperSize="9" scale="47" orientation="landscape" r:id="rId1"/>
</worksheet>
</file>

<file path=xl/worksheets/sheet16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E05F3B1-AD94-40EC-B166-B735B8629558}">
  <sheetPr>
    <pageSetUpPr fitToPage="1"/>
  </sheetPr>
  <dimension ref="A1:Y33"/>
  <sheetViews>
    <sheetView topLeftCell="A15" zoomScale="70" zoomScaleNormal="70" zoomScaleSheetLayoutView="100" workbookViewId="0">
      <selection activeCell="K32" sqref="K32:L32"/>
    </sheetView>
  </sheetViews>
  <sheetFormatPr defaultColWidth="9.140625" defaultRowHeight="15" x14ac:dyDescent="0.25"/>
  <cols>
    <col min="1" max="1" width="18.28515625" style="14" customWidth="1"/>
    <col min="2" max="2" width="10.7109375" style="14" customWidth="1"/>
    <col min="3" max="3" width="12.28515625" style="14" customWidth="1"/>
    <col min="4" max="4" width="13.140625" style="14" bestFit="1" customWidth="1"/>
    <col min="5" max="5" width="12" style="14" customWidth="1"/>
    <col min="6" max="6" width="12.5703125" style="14" bestFit="1" customWidth="1"/>
    <col min="7" max="7" width="9.28515625" style="14" bestFit="1" customWidth="1"/>
    <col min="8" max="8" width="10.140625" style="14" bestFit="1" customWidth="1"/>
    <col min="9" max="9" width="10.5703125" style="14" bestFit="1" customWidth="1"/>
    <col min="10" max="10" width="10.5703125" style="14" customWidth="1"/>
    <col min="11" max="11" width="10.28515625" style="14" bestFit="1" customWidth="1"/>
    <col min="12" max="12" width="10.42578125" style="14" bestFit="1" customWidth="1"/>
    <col min="13" max="13" width="9.85546875" style="14" bestFit="1" customWidth="1"/>
    <col min="14" max="14" width="10.140625" style="14" bestFit="1" customWidth="1"/>
    <col min="15" max="15" width="9" style="14" customWidth="1"/>
    <col min="16" max="16" width="12.85546875" style="14" bestFit="1" customWidth="1"/>
    <col min="17" max="18" width="9.42578125" style="14" customWidth="1"/>
    <col min="19" max="19" width="13.7109375" style="14" customWidth="1"/>
    <col min="20" max="20" width="12.140625" style="14" customWidth="1"/>
    <col min="21" max="21" width="21.7109375" style="14" customWidth="1"/>
    <col min="22" max="22" width="9.85546875" style="14" customWidth="1"/>
    <col min="23" max="23" width="10.140625" style="14" bestFit="1" customWidth="1"/>
    <col min="24" max="24" width="10.28515625" style="14" customWidth="1"/>
    <col min="25" max="25" width="28" style="14" customWidth="1"/>
    <col min="26" max="16384" width="9.140625" style="14"/>
  </cols>
  <sheetData>
    <row r="1" spans="1:25" ht="46.15" customHeight="1" x14ac:dyDescent="0.25">
      <c r="A1" s="2240" t="s">
        <v>148</v>
      </c>
      <c r="B1" s="2240"/>
      <c r="C1" s="2240"/>
      <c r="D1" s="2240"/>
      <c r="E1" s="2240"/>
      <c r="F1" s="2240"/>
      <c r="G1" s="2240"/>
      <c r="H1" s="2240"/>
      <c r="I1" s="2240"/>
      <c r="J1" s="2240"/>
      <c r="K1" s="2240"/>
      <c r="L1" s="2240"/>
      <c r="M1" s="2240"/>
      <c r="N1" s="2240"/>
      <c r="O1" s="2240"/>
      <c r="P1" s="2240"/>
      <c r="Q1" s="2240"/>
      <c r="R1" s="2240"/>
      <c r="S1" s="2240"/>
      <c r="T1" s="2240"/>
      <c r="U1" s="2240"/>
      <c r="V1" s="2240"/>
      <c r="W1" s="2240"/>
      <c r="X1" s="2240"/>
      <c r="Y1" s="2240"/>
    </row>
    <row r="2" spans="1:25" ht="21.6" customHeight="1" x14ac:dyDescent="0.25">
      <c r="A2" s="2241" t="s">
        <v>383</v>
      </c>
      <c r="B2" s="2241"/>
      <c r="C2" s="2241"/>
      <c r="D2" s="2241"/>
      <c r="E2" s="2241"/>
      <c r="F2" s="2241"/>
      <c r="G2" s="2241"/>
      <c r="H2" s="2241"/>
      <c r="I2" s="2241"/>
      <c r="J2" s="2241"/>
      <c r="K2" s="2241"/>
      <c r="L2" s="2241"/>
      <c r="M2" s="2241"/>
      <c r="N2" s="2241"/>
      <c r="O2" s="2241"/>
      <c r="P2" s="2241"/>
      <c r="Q2" s="2241"/>
      <c r="R2" s="2241"/>
      <c r="S2" s="2241"/>
      <c r="T2" s="2241"/>
      <c r="U2" s="2241"/>
      <c r="V2" s="2241"/>
      <c r="W2" s="2241"/>
      <c r="X2" s="2241"/>
      <c r="Y2" s="2241"/>
    </row>
    <row r="3" spans="1:25" ht="21" customHeight="1" x14ac:dyDescent="0.25">
      <c r="A3" s="695"/>
      <c r="B3" s="695"/>
      <c r="C3" s="695"/>
      <c r="D3" s="695"/>
      <c r="E3" s="695"/>
      <c r="F3" s="695"/>
      <c r="G3" s="695"/>
      <c r="H3" s="695"/>
      <c r="I3" s="695"/>
      <c r="J3" s="695"/>
      <c r="K3" s="695"/>
      <c r="L3" s="695"/>
      <c r="M3" s="695"/>
      <c r="N3" s="695"/>
      <c r="O3" s="695"/>
      <c r="P3" s="695"/>
      <c r="Q3" s="695"/>
      <c r="R3" s="695"/>
      <c r="S3" s="695"/>
      <c r="T3" s="2242" t="s">
        <v>385</v>
      </c>
      <c r="U3" s="2242"/>
      <c r="V3" s="2242"/>
      <c r="W3" s="2242"/>
      <c r="X3" s="2242"/>
      <c r="Y3" s="2242"/>
    </row>
    <row r="4" spans="1:25" s="695" customFormat="1" ht="18" customHeight="1" x14ac:dyDescent="0.25">
      <c r="A4" s="2243" t="s">
        <v>25</v>
      </c>
      <c r="B4" s="2243" t="s">
        <v>26</v>
      </c>
      <c r="C4" s="2244" t="s">
        <v>27</v>
      </c>
      <c r="D4" s="2244"/>
      <c r="E4" s="2244" t="s">
        <v>342</v>
      </c>
      <c r="F4" s="2244"/>
      <c r="G4" s="2244" t="s">
        <v>65</v>
      </c>
      <c r="H4" s="2244"/>
      <c r="I4" s="2244" t="s">
        <v>29</v>
      </c>
      <c r="J4" s="2244"/>
      <c r="K4" s="2245" t="s">
        <v>14</v>
      </c>
      <c r="L4" s="2246"/>
      <c r="M4" s="2245" t="s">
        <v>67</v>
      </c>
      <c r="N4" s="2246"/>
      <c r="O4" s="2245" t="s">
        <v>68</v>
      </c>
      <c r="P4" s="2246"/>
      <c r="Q4" s="2245" t="s">
        <v>114</v>
      </c>
      <c r="R4" s="2246"/>
      <c r="S4" s="2244" t="s">
        <v>35</v>
      </c>
      <c r="T4" s="2244"/>
      <c r="U4" s="2245" t="s">
        <v>17</v>
      </c>
      <c r="V4" s="2246"/>
      <c r="W4" s="2247" t="s">
        <v>36</v>
      </c>
      <c r="X4" s="2248"/>
      <c r="Y4" s="2238" t="s">
        <v>30</v>
      </c>
    </row>
    <row r="5" spans="1:25" s="695" customFormat="1" ht="25.5" customHeight="1" x14ac:dyDescent="0.25">
      <c r="A5" s="2243"/>
      <c r="B5" s="2243"/>
      <c r="C5" s="694" t="s">
        <v>42</v>
      </c>
      <c r="D5" s="694" t="s">
        <v>43</v>
      </c>
      <c r="E5" s="694" t="s">
        <v>42</v>
      </c>
      <c r="F5" s="694" t="s">
        <v>43</v>
      </c>
      <c r="G5" s="694" t="s">
        <v>42</v>
      </c>
      <c r="H5" s="694" t="s">
        <v>43</v>
      </c>
      <c r="I5" s="694" t="s">
        <v>42</v>
      </c>
      <c r="J5" s="694" t="s">
        <v>43</v>
      </c>
      <c r="K5" s="694" t="s">
        <v>42</v>
      </c>
      <c r="L5" s="694" t="s">
        <v>43</v>
      </c>
      <c r="M5" s="694" t="s">
        <v>42</v>
      </c>
      <c r="N5" s="694" t="s">
        <v>43</v>
      </c>
      <c r="O5" s="694" t="s">
        <v>42</v>
      </c>
      <c r="P5" s="694" t="s">
        <v>43</v>
      </c>
      <c r="Q5" s="694" t="s">
        <v>42</v>
      </c>
      <c r="R5" s="694" t="s">
        <v>43</v>
      </c>
      <c r="S5" s="33" t="s">
        <v>42</v>
      </c>
      <c r="T5" s="33" t="s">
        <v>43</v>
      </c>
      <c r="U5" s="30" t="s">
        <v>42</v>
      </c>
      <c r="V5" s="30" t="s">
        <v>43</v>
      </c>
      <c r="W5" s="30" t="s">
        <v>42</v>
      </c>
      <c r="X5" s="30" t="s">
        <v>43</v>
      </c>
      <c r="Y5" s="2239"/>
    </row>
    <row r="6" spans="1:25" ht="34.5" customHeight="1" x14ac:dyDescent="0.25">
      <c r="A6" s="12">
        <v>1409935200</v>
      </c>
      <c r="B6" s="693" t="s">
        <v>71</v>
      </c>
      <c r="C6" s="691">
        <v>60324</v>
      </c>
      <c r="D6" s="690">
        <f>0.9725*C6</f>
        <v>58665.090000000004</v>
      </c>
      <c r="E6" s="691">
        <v>10</v>
      </c>
      <c r="F6" s="691">
        <f>67.1*E6</f>
        <v>671</v>
      </c>
      <c r="G6" s="691">
        <v>200</v>
      </c>
      <c r="H6" s="691">
        <f>28.2*G6</f>
        <v>5640</v>
      </c>
      <c r="I6" s="691">
        <v>1860</v>
      </c>
      <c r="J6" s="691">
        <f>18.5*I6</f>
        <v>34410</v>
      </c>
      <c r="K6" s="691"/>
      <c r="L6" s="691">
        <f>28.2368*K6</f>
        <v>0</v>
      </c>
      <c r="M6" s="691"/>
      <c r="N6" s="690">
        <f>M6*9.75</f>
        <v>0</v>
      </c>
      <c r="O6" s="691"/>
      <c r="P6" s="690">
        <f>O6*48.62</f>
        <v>0</v>
      </c>
      <c r="Q6" s="690"/>
      <c r="R6" s="690">
        <f>241*Q6</f>
        <v>0</v>
      </c>
      <c r="S6" s="691"/>
      <c r="T6" s="691">
        <f>241*S6</f>
        <v>0</v>
      </c>
      <c r="U6" s="691"/>
      <c r="V6" s="691">
        <f>332*U6</f>
        <v>0</v>
      </c>
      <c r="W6" s="691"/>
      <c r="X6" s="19">
        <f>W6*100</f>
        <v>0</v>
      </c>
      <c r="Y6" s="20">
        <f t="shared" ref="Y6:Y12" si="0">D6+F6+H6+J6+L6+N6+P6+R6+T6+V6+X6</f>
        <v>99386.09</v>
      </c>
    </row>
    <row r="7" spans="1:25" ht="31.5" customHeight="1" x14ac:dyDescent="0.25">
      <c r="A7" s="12">
        <v>1984225578</v>
      </c>
      <c r="B7" s="693" t="s">
        <v>72</v>
      </c>
      <c r="C7" s="691">
        <v>37658</v>
      </c>
      <c r="D7" s="690">
        <f t="shared" ref="D7:D11" si="1">0.9725*C7</f>
        <v>36622.404999999999</v>
      </c>
      <c r="E7" s="691">
        <v>10</v>
      </c>
      <c r="F7" s="691">
        <f t="shared" ref="F7:F11" si="2">67.1*E7</f>
        <v>671</v>
      </c>
      <c r="G7" s="691">
        <v>100</v>
      </c>
      <c r="H7" s="691">
        <f t="shared" ref="H7:H11" si="3">28.2*G7</f>
        <v>2820</v>
      </c>
      <c r="I7" s="691">
        <v>2170</v>
      </c>
      <c r="J7" s="691">
        <f t="shared" ref="J7:J11" si="4">18.5*I7</f>
        <v>40145</v>
      </c>
      <c r="K7" s="691"/>
      <c r="L7" s="691">
        <f t="shared" ref="L7:L11" si="5">28.2368*K7</f>
        <v>0</v>
      </c>
      <c r="M7" s="691"/>
      <c r="N7" s="690">
        <f t="shared" ref="N7:N11" si="6">M7*9.75</f>
        <v>0</v>
      </c>
      <c r="O7" s="691"/>
      <c r="P7" s="690">
        <f t="shared" ref="P7:P11" si="7">O7*48.62</f>
        <v>0</v>
      </c>
      <c r="Q7" s="690"/>
      <c r="R7" s="690">
        <f t="shared" ref="R7:R11" si="8">241*Q7</f>
        <v>0</v>
      </c>
      <c r="S7" s="691">
        <v>25</v>
      </c>
      <c r="T7" s="691">
        <f t="shared" ref="T7:T11" si="9">241*S7</f>
        <v>6025</v>
      </c>
      <c r="U7" s="691"/>
      <c r="V7" s="691">
        <f t="shared" ref="V7:V11" si="10">332*U7</f>
        <v>0</v>
      </c>
      <c r="W7" s="691"/>
      <c r="X7" s="19">
        <f t="shared" ref="X7:X11" si="11">W7*100</f>
        <v>0</v>
      </c>
      <c r="Y7" s="20">
        <f t="shared" si="0"/>
        <v>86283.404999999999</v>
      </c>
    </row>
    <row r="8" spans="1:25" ht="35.25" customHeight="1" x14ac:dyDescent="0.25">
      <c r="A8" s="12">
        <v>1967020280</v>
      </c>
      <c r="B8" s="693" t="s">
        <v>73</v>
      </c>
      <c r="C8" s="691">
        <v>45422</v>
      </c>
      <c r="D8" s="690">
        <f t="shared" si="1"/>
        <v>44172.895000000004</v>
      </c>
      <c r="E8" s="691">
        <v>2</v>
      </c>
      <c r="F8" s="691">
        <f t="shared" si="2"/>
        <v>134.19999999999999</v>
      </c>
      <c r="G8" s="691">
        <v>160</v>
      </c>
      <c r="H8" s="691">
        <f t="shared" si="3"/>
        <v>4512</v>
      </c>
      <c r="I8" s="691">
        <v>3090</v>
      </c>
      <c r="J8" s="691">
        <f t="shared" si="4"/>
        <v>57165</v>
      </c>
      <c r="K8" s="691"/>
      <c r="L8" s="691">
        <f t="shared" si="5"/>
        <v>0</v>
      </c>
      <c r="M8" s="691"/>
      <c r="N8" s="690">
        <f t="shared" si="6"/>
        <v>0</v>
      </c>
      <c r="O8" s="691"/>
      <c r="P8" s="690">
        <f t="shared" si="7"/>
        <v>0</v>
      </c>
      <c r="Q8" s="690"/>
      <c r="R8" s="690">
        <f t="shared" si="8"/>
        <v>0</v>
      </c>
      <c r="S8" s="691">
        <v>5</v>
      </c>
      <c r="T8" s="691">
        <f t="shared" si="9"/>
        <v>1205</v>
      </c>
      <c r="U8" s="691"/>
      <c r="V8" s="691">
        <f t="shared" si="10"/>
        <v>0</v>
      </c>
      <c r="W8" s="691"/>
      <c r="X8" s="19">
        <f t="shared" si="11"/>
        <v>0</v>
      </c>
      <c r="Y8" s="20">
        <f t="shared" si="0"/>
        <v>107189.095</v>
      </c>
    </row>
    <row r="9" spans="1:25" ht="38.25" customHeight="1" x14ac:dyDescent="0.25">
      <c r="A9" s="12">
        <v>1984225580</v>
      </c>
      <c r="B9" s="693" t="s">
        <v>75</v>
      </c>
      <c r="C9" s="691">
        <v>53797</v>
      </c>
      <c r="D9" s="690">
        <f t="shared" si="1"/>
        <v>52317.582500000004</v>
      </c>
      <c r="E9" s="691">
        <v>10</v>
      </c>
      <c r="F9" s="691">
        <f t="shared" si="2"/>
        <v>671</v>
      </c>
      <c r="G9" s="691">
        <v>240</v>
      </c>
      <c r="H9" s="691">
        <f t="shared" si="3"/>
        <v>6768</v>
      </c>
      <c r="I9" s="691">
        <v>1750</v>
      </c>
      <c r="J9" s="691">
        <f t="shared" si="4"/>
        <v>32375</v>
      </c>
      <c r="K9" s="691"/>
      <c r="L9" s="691">
        <f t="shared" si="5"/>
        <v>0</v>
      </c>
      <c r="M9" s="691"/>
      <c r="N9" s="690">
        <f t="shared" si="6"/>
        <v>0</v>
      </c>
      <c r="O9" s="691"/>
      <c r="P9" s="690">
        <f t="shared" si="7"/>
        <v>0</v>
      </c>
      <c r="Q9" s="690"/>
      <c r="R9" s="690">
        <f t="shared" si="8"/>
        <v>0</v>
      </c>
      <c r="S9" s="691"/>
      <c r="T9" s="691">
        <f t="shared" si="9"/>
        <v>0</v>
      </c>
      <c r="U9" s="691"/>
      <c r="V9" s="691">
        <f t="shared" si="10"/>
        <v>0</v>
      </c>
      <c r="W9" s="691"/>
      <c r="X9" s="19">
        <f t="shared" si="11"/>
        <v>0</v>
      </c>
      <c r="Y9" s="20">
        <f t="shared" si="0"/>
        <v>92131.582500000004</v>
      </c>
    </row>
    <row r="10" spans="1:25" ht="35.25" customHeight="1" x14ac:dyDescent="0.25">
      <c r="A10" s="12">
        <v>1409935199</v>
      </c>
      <c r="C10" s="691">
        <v>860</v>
      </c>
      <c r="D10" s="690">
        <f t="shared" si="1"/>
        <v>836.35</v>
      </c>
      <c r="E10" s="691"/>
      <c r="F10" s="691">
        <f t="shared" si="2"/>
        <v>0</v>
      </c>
      <c r="G10" s="691"/>
      <c r="H10" s="691">
        <f t="shared" si="3"/>
        <v>0</v>
      </c>
      <c r="I10" s="691"/>
      <c r="J10" s="691">
        <f t="shared" si="4"/>
        <v>0</v>
      </c>
      <c r="K10" s="691"/>
      <c r="L10" s="691">
        <f t="shared" si="5"/>
        <v>0</v>
      </c>
      <c r="M10" s="691"/>
      <c r="N10" s="690">
        <f t="shared" si="6"/>
        <v>0</v>
      </c>
      <c r="O10" s="691"/>
      <c r="P10" s="690">
        <f t="shared" si="7"/>
        <v>0</v>
      </c>
      <c r="Q10" s="690"/>
      <c r="R10" s="690">
        <f t="shared" si="8"/>
        <v>0</v>
      </c>
      <c r="S10" s="691"/>
      <c r="T10" s="691">
        <f t="shared" si="9"/>
        <v>0</v>
      </c>
      <c r="U10" s="691"/>
      <c r="V10" s="691">
        <f t="shared" si="10"/>
        <v>0</v>
      </c>
      <c r="W10" s="691"/>
      <c r="X10" s="19">
        <f t="shared" si="11"/>
        <v>0</v>
      </c>
      <c r="Y10" s="20">
        <f t="shared" si="0"/>
        <v>836.35</v>
      </c>
    </row>
    <row r="11" spans="1:25" ht="37.5" customHeight="1" x14ac:dyDescent="0.25">
      <c r="A11" s="12"/>
      <c r="B11" s="692"/>
      <c r="C11" s="691"/>
      <c r="D11" s="22">
        <f t="shared" si="1"/>
        <v>0</v>
      </c>
      <c r="E11" s="691"/>
      <c r="F11" s="691">
        <f t="shared" si="2"/>
        <v>0</v>
      </c>
      <c r="G11" s="691"/>
      <c r="H11" s="691">
        <f t="shared" si="3"/>
        <v>0</v>
      </c>
      <c r="I11" s="691"/>
      <c r="J11" s="691">
        <f t="shared" si="4"/>
        <v>0</v>
      </c>
      <c r="K11" s="691"/>
      <c r="L11" s="691">
        <f t="shared" si="5"/>
        <v>0</v>
      </c>
      <c r="M11" s="691"/>
      <c r="N11" s="690">
        <f t="shared" si="6"/>
        <v>0</v>
      </c>
      <c r="O11" s="691"/>
      <c r="P11" s="690">
        <f t="shared" si="7"/>
        <v>0</v>
      </c>
      <c r="Q11" s="690"/>
      <c r="R11" s="690">
        <f t="shared" si="8"/>
        <v>0</v>
      </c>
      <c r="S11" s="691"/>
      <c r="T11" s="691">
        <f t="shared" si="9"/>
        <v>0</v>
      </c>
      <c r="U11" s="691"/>
      <c r="V11" s="691">
        <f t="shared" si="10"/>
        <v>0</v>
      </c>
      <c r="W11" s="691"/>
      <c r="X11" s="19">
        <f t="shared" si="11"/>
        <v>0</v>
      </c>
      <c r="Y11" s="20">
        <f t="shared" si="0"/>
        <v>0</v>
      </c>
    </row>
    <row r="12" spans="1:25" ht="29.25" customHeight="1" x14ac:dyDescent="0.25">
      <c r="A12" s="2235" t="s">
        <v>31</v>
      </c>
      <c r="B12" s="2235"/>
      <c r="C12" s="18">
        <f t="shared" ref="C12:X12" si="12">SUM(C6:C11)</f>
        <v>198061</v>
      </c>
      <c r="D12" s="18">
        <f t="shared" si="12"/>
        <v>192614.32250000004</v>
      </c>
      <c r="E12" s="18">
        <f t="shared" si="12"/>
        <v>32</v>
      </c>
      <c r="F12" s="18">
        <f t="shared" si="12"/>
        <v>2147.1999999999998</v>
      </c>
      <c r="G12" s="18">
        <f t="shared" si="12"/>
        <v>700</v>
      </c>
      <c r="H12" s="18">
        <f t="shared" si="12"/>
        <v>19740</v>
      </c>
      <c r="I12" s="18">
        <f t="shared" si="12"/>
        <v>8870</v>
      </c>
      <c r="J12" s="18">
        <f t="shared" si="12"/>
        <v>164095</v>
      </c>
      <c r="K12" s="18">
        <f t="shared" si="12"/>
        <v>0</v>
      </c>
      <c r="L12" s="18">
        <f t="shared" si="12"/>
        <v>0</v>
      </c>
      <c r="M12" s="18">
        <f t="shared" si="12"/>
        <v>0</v>
      </c>
      <c r="N12" s="23">
        <f t="shared" si="12"/>
        <v>0</v>
      </c>
      <c r="O12" s="18">
        <f t="shared" si="12"/>
        <v>0</v>
      </c>
      <c r="P12" s="23">
        <f t="shared" si="12"/>
        <v>0</v>
      </c>
      <c r="Q12" s="23">
        <f t="shared" si="12"/>
        <v>0</v>
      </c>
      <c r="R12" s="23">
        <f>SUM(R6:R11)</f>
        <v>0</v>
      </c>
      <c r="S12" s="18">
        <f t="shared" si="12"/>
        <v>30</v>
      </c>
      <c r="T12" s="18">
        <f t="shared" si="12"/>
        <v>7230</v>
      </c>
      <c r="U12" s="18">
        <f t="shared" si="12"/>
        <v>0</v>
      </c>
      <c r="V12" s="18">
        <f t="shared" si="12"/>
        <v>0</v>
      </c>
      <c r="W12" s="18">
        <f t="shared" si="12"/>
        <v>0</v>
      </c>
      <c r="X12" s="18">
        <f t="shared" si="12"/>
        <v>0</v>
      </c>
      <c r="Y12" s="20">
        <f t="shared" si="0"/>
        <v>385826.52250000008</v>
      </c>
    </row>
    <row r="14" spans="1:25" ht="41.25" customHeight="1" x14ac:dyDescent="0.25">
      <c r="A14" s="30" t="s">
        <v>32</v>
      </c>
      <c r="B14" s="2236" t="s">
        <v>27</v>
      </c>
      <c r="C14" s="2236"/>
      <c r="D14" s="30" t="s">
        <v>333</v>
      </c>
      <c r="E14" s="30" t="s">
        <v>65</v>
      </c>
      <c r="F14" s="30" t="s">
        <v>34</v>
      </c>
      <c r="G14" s="30" t="s">
        <v>14</v>
      </c>
      <c r="H14" s="469" t="s">
        <v>173</v>
      </c>
      <c r="I14" s="30" t="s">
        <v>17</v>
      </c>
      <c r="J14" s="699" t="s">
        <v>174</v>
      </c>
      <c r="K14" s="30" t="s">
        <v>36</v>
      </c>
      <c r="L14" s="30" t="s">
        <v>175</v>
      </c>
      <c r="M14" s="30" t="s">
        <v>69</v>
      </c>
      <c r="N14" s="30" t="s">
        <v>70</v>
      </c>
      <c r="O14" s="699" t="s">
        <v>114</v>
      </c>
      <c r="P14" s="699" t="s">
        <v>368</v>
      </c>
      <c r="Q14" s="2300" t="s">
        <v>378</v>
      </c>
      <c r="R14" s="2301"/>
      <c r="S14" s="699"/>
      <c r="T14" s="2235" t="s">
        <v>46</v>
      </c>
      <c r="U14" s="693" t="s">
        <v>176</v>
      </c>
      <c r="V14" s="2260">
        <v>65075</v>
      </c>
      <c r="W14" s="2268"/>
      <c r="X14" s="2261"/>
    </row>
    <row r="15" spans="1:25" ht="22.5" customHeight="1" x14ac:dyDescent="0.25">
      <c r="A15" s="100" t="s">
        <v>38</v>
      </c>
      <c r="B15" s="2260">
        <v>473346</v>
      </c>
      <c r="C15" s="2261"/>
      <c r="D15" s="696">
        <v>554</v>
      </c>
      <c r="E15" s="696">
        <v>1260</v>
      </c>
      <c r="F15" s="696">
        <v>17680</v>
      </c>
      <c r="G15" s="696">
        <v>2500</v>
      </c>
      <c r="H15" s="696">
        <v>168</v>
      </c>
      <c r="I15" s="696">
        <v>0</v>
      </c>
      <c r="J15" s="696">
        <v>26</v>
      </c>
      <c r="K15" s="696">
        <v>72</v>
      </c>
      <c r="L15" s="696">
        <v>29</v>
      </c>
      <c r="M15" s="696">
        <v>0</v>
      </c>
      <c r="N15" s="696">
        <v>100</v>
      </c>
      <c r="O15" s="696">
        <v>0</v>
      </c>
      <c r="P15" s="696">
        <v>0</v>
      </c>
      <c r="Q15" s="2260">
        <v>100</v>
      </c>
      <c r="R15" s="2261"/>
      <c r="S15" s="693"/>
      <c r="T15" s="2235"/>
      <c r="U15" s="693" t="s">
        <v>64</v>
      </c>
      <c r="V15" s="2262">
        <v>13122</v>
      </c>
      <c r="W15" s="2262"/>
      <c r="X15" s="2262"/>
    </row>
    <row r="16" spans="1:25" ht="24.75" customHeight="1" x14ac:dyDescent="0.25">
      <c r="A16" s="100" t="s">
        <v>39</v>
      </c>
      <c r="B16" s="2260"/>
      <c r="C16" s="2261"/>
      <c r="D16" s="696"/>
      <c r="E16" s="696"/>
      <c r="F16" s="696"/>
      <c r="G16" s="696"/>
      <c r="H16" s="696"/>
      <c r="I16" s="696"/>
      <c r="J16" s="696"/>
      <c r="K16" s="696"/>
      <c r="L16" s="696"/>
      <c r="M16" s="696"/>
      <c r="N16" s="696"/>
      <c r="O16" s="696"/>
      <c r="P16" s="696"/>
      <c r="Q16" s="2225"/>
      <c r="R16" s="2225"/>
      <c r="S16" s="696"/>
      <c r="T16" s="2254" t="s">
        <v>55</v>
      </c>
      <c r="U16" s="2254"/>
      <c r="V16" s="2267">
        <f>Y12</f>
        <v>385826.52250000008</v>
      </c>
      <c r="W16" s="2267"/>
      <c r="X16" s="2262"/>
    </row>
    <row r="17" spans="1:25" ht="28.5" customHeight="1" x14ac:dyDescent="0.25">
      <c r="A17" s="101" t="s">
        <v>44</v>
      </c>
      <c r="B17" s="2260"/>
      <c r="C17" s="2261"/>
      <c r="D17" s="696"/>
      <c r="E17" s="696"/>
      <c r="F17" s="696"/>
      <c r="G17" s="696"/>
      <c r="H17" s="696"/>
      <c r="I17" s="696"/>
      <c r="J17" s="696"/>
      <c r="K17" s="696"/>
      <c r="L17" s="696"/>
      <c r="M17" s="696"/>
      <c r="N17" s="696"/>
      <c r="O17" s="696"/>
      <c r="P17" s="696"/>
      <c r="Q17" s="2225"/>
      <c r="R17" s="2225"/>
      <c r="S17" s="692"/>
      <c r="T17" s="2294" t="s">
        <v>387</v>
      </c>
      <c r="U17" s="2295"/>
      <c r="V17" s="2296">
        <v>6000</v>
      </c>
      <c r="W17" s="2296"/>
      <c r="X17" s="2296"/>
    </row>
    <row r="18" spans="1:25" ht="27" customHeight="1" x14ac:dyDescent="0.25">
      <c r="A18" s="100" t="s">
        <v>40</v>
      </c>
      <c r="B18" s="2264">
        <f>C12</f>
        <v>198061</v>
      </c>
      <c r="C18" s="2261"/>
      <c r="D18" s="698">
        <f>E12</f>
        <v>32</v>
      </c>
      <c r="E18" s="698">
        <f>G12</f>
        <v>700</v>
      </c>
      <c r="F18" s="698">
        <f>I12</f>
        <v>8870</v>
      </c>
      <c r="G18" s="698">
        <f>K12</f>
        <v>0</v>
      </c>
      <c r="H18" s="696">
        <v>30</v>
      </c>
      <c r="I18" s="698">
        <f>U12</f>
        <v>0</v>
      </c>
      <c r="J18" s="696"/>
      <c r="K18" s="698">
        <f>W12</f>
        <v>0</v>
      </c>
      <c r="L18" s="696"/>
      <c r="M18" s="698">
        <f>M12</f>
        <v>0</v>
      </c>
      <c r="N18" s="698">
        <f>O12</f>
        <v>0</v>
      </c>
      <c r="O18" s="697">
        <f>Q12</f>
        <v>0</v>
      </c>
      <c r="P18" s="696"/>
      <c r="Q18" s="2262"/>
      <c r="R18" s="2262"/>
      <c r="S18" s="693"/>
      <c r="T18" s="2254" t="s">
        <v>57</v>
      </c>
      <c r="U18" s="2254"/>
      <c r="V18" s="2262">
        <v>4390</v>
      </c>
      <c r="W18" s="2262"/>
      <c r="X18" s="2262"/>
      <c r="Y18" s="2269"/>
    </row>
    <row r="19" spans="1:25" ht="25.5" customHeight="1" x14ac:dyDescent="0.25">
      <c r="A19" s="100" t="s">
        <v>41</v>
      </c>
      <c r="B19" s="2260">
        <f>B15+B16+B17-B18</f>
        <v>275285</v>
      </c>
      <c r="C19" s="2261"/>
      <c r="D19" s="696">
        <f>D15+D16+D17-D18</f>
        <v>522</v>
      </c>
      <c r="E19" s="696">
        <f t="shared" ref="E19:N19" si="13">E15+E16+E17-E18</f>
        <v>560</v>
      </c>
      <c r="F19" s="696">
        <f t="shared" si="13"/>
        <v>8810</v>
      </c>
      <c r="G19" s="696">
        <f t="shared" si="13"/>
        <v>2500</v>
      </c>
      <c r="H19" s="696">
        <f t="shared" si="13"/>
        <v>138</v>
      </c>
      <c r="I19" s="696">
        <f t="shared" si="13"/>
        <v>0</v>
      </c>
      <c r="J19" s="696">
        <f t="shared" si="13"/>
        <v>26</v>
      </c>
      <c r="K19" s="696">
        <f t="shared" si="13"/>
        <v>72</v>
      </c>
      <c r="L19" s="696">
        <f t="shared" si="13"/>
        <v>29</v>
      </c>
      <c r="M19" s="696">
        <f t="shared" si="13"/>
        <v>0</v>
      </c>
      <c r="N19" s="696">
        <f t="shared" si="13"/>
        <v>100</v>
      </c>
      <c r="O19" s="696">
        <f>O15+O16+O17-O18</f>
        <v>0</v>
      </c>
      <c r="P19" s="696">
        <f>P15+P16+P17-P18</f>
        <v>0</v>
      </c>
      <c r="Q19" s="2260">
        <f t="shared" ref="Q19" si="14">Q15+Q16+Q17-Q18</f>
        <v>100</v>
      </c>
      <c r="R19" s="2261"/>
      <c r="S19" s="693">
        <f>S15+S16-S17-S18</f>
        <v>0</v>
      </c>
      <c r="T19" s="2256" t="s">
        <v>48</v>
      </c>
      <c r="U19" s="49" t="s">
        <v>58</v>
      </c>
      <c r="V19" s="2262"/>
      <c r="W19" s="2262"/>
      <c r="X19" s="2262"/>
      <c r="Y19" s="2269"/>
    </row>
    <row r="20" spans="1:25" ht="23.25" customHeight="1" x14ac:dyDescent="0.25">
      <c r="A20" s="289" t="s">
        <v>187</v>
      </c>
      <c r="B20" s="2286">
        <f>B19*0.9625</f>
        <v>264961.8125</v>
      </c>
      <c r="C20" s="2287"/>
      <c r="D20" s="290">
        <f>D19*66.41</f>
        <v>34666.019999999997</v>
      </c>
      <c r="E20" s="290">
        <f>28.2*E19</f>
        <v>15792</v>
      </c>
      <c r="F20" s="290">
        <f>18.31*F19</f>
        <v>161311.09999999998</v>
      </c>
      <c r="G20" s="290">
        <f>27.9368*G19</f>
        <v>69842</v>
      </c>
      <c r="H20" s="290">
        <f>241*H19</f>
        <v>33258</v>
      </c>
      <c r="I20" s="290">
        <f>323*I19</f>
        <v>0</v>
      </c>
      <c r="J20" s="290">
        <f>241*J19</f>
        <v>6266</v>
      </c>
      <c r="K20" s="290">
        <f>K19*100</f>
        <v>7200</v>
      </c>
      <c r="L20" s="290">
        <f>241*L19</f>
        <v>6989</v>
      </c>
      <c r="M20" s="290">
        <f>9.65*M19</f>
        <v>0</v>
      </c>
      <c r="N20" s="290">
        <f>N19*48.2</f>
        <v>4820</v>
      </c>
      <c r="O20" s="290">
        <f>241*O19</f>
        <v>0</v>
      </c>
      <c r="P20" s="290">
        <f>241*P19</f>
        <v>0</v>
      </c>
      <c r="Q20" s="2286">
        <f>341*Q19</f>
        <v>34100</v>
      </c>
      <c r="R20" s="2287"/>
      <c r="S20" s="290">
        <f>241*S19</f>
        <v>0</v>
      </c>
      <c r="T20" s="2257"/>
      <c r="U20" s="49" t="s">
        <v>59</v>
      </c>
      <c r="V20" s="2262"/>
      <c r="W20" s="2262"/>
      <c r="X20" s="2262"/>
      <c r="Y20" s="2269"/>
    </row>
    <row r="21" spans="1:25" ht="32.25" customHeight="1" x14ac:dyDescent="0.25">
      <c r="A21" s="291" t="s">
        <v>186</v>
      </c>
      <c r="B21" s="2293">
        <f>SUM(B20:S20)</f>
        <v>639205.9325</v>
      </c>
      <c r="C21" s="2293"/>
      <c r="O21" s="700"/>
      <c r="P21" s="700"/>
      <c r="Q21" s="700"/>
      <c r="R21" s="700"/>
      <c r="T21" s="2294" t="s">
        <v>386</v>
      </c>
      <c r="U21" s="2295"/>
      <c r="V21" s="2297">
        <v>6000</v>
      </c>
      <c r="W21" s="2298"/>
      <c r="X21" s="2299"/>
      <c r="Y21" s="2269"/>
    </row>
    <row r="22" spans="1:25" ht="35.25" customHeight="1" x14ac:dyDescent="0.25">
      <c r="A22" s="15"/>
      <c r="B22" s="2288" t="s">
        <v>49</v>
      </c>
      <c r="C22" s="2291">
        <v>795785</v>
      </c>
      <c r="D22" s="2291"/>
      <c r="E22" s="2291"/>
      <c r="F22" s="2291">
        <f>C22-D22+E22</f>
        <v>795785</v>
      </c>
      <c r="G22" s="700"/>
      <c r="Q22" s="700"/>
      <c r="R22" s="700"/>
      <c r="T22" s="2251" t="s">
        <v>83</v>
      </c>
      <c r="U22" s="50" t="s">
        <v>60</v>
      </c>
      <c r="V22" s="2262"/>
      <c r="W22" s="2262"/>
      <c r="X22" s="2262"/>
      <c r="Y22" s="2269"/>
    </row>
    <row r="23" spans="1:25" ht="39.75" customHeight="1" x14ac:dyDescent="0.25">
      <c r="A23" s="700"/>
      <c r="B23" s="2289"/>
      <c r="C23" s="2292"/>
      <c r="D23" s="2292"/>
      <c r="E23" s="2292"/>
      <c r="F23" s="2292"/>
      <c r="G23" s="700"/>
      <c r="Q23" s="700"/>
      <c r="R23" s="700"/>
      <c r="T23" s="2252"/>
      <c r="U23" s="50" t="s">
        <v>61</v>
      </c>
      <c r="V23" s="2262"/>
      <c r="W23" s="2262"/>
      <c r="X23" s="2262"/>
      <c r="Y23" s="2269"/>
    </row>
    <row r="24" spans="1:25" ht="48" customHeight="1" x14ac:dyDescent="0.25">
      <c r="A24" s="700"/>
      <c r="B24" s="2290"/>
      <c r="C24" s="290" t="s">
        <v>46</v>
      </c>
      <c r="D24" s="290" t="s">
        <v>50</v>
      </c>
      <c r="E24" s="290" t="s">
        <v>51</v>
      </c>
      <c r="F24" s="290" t="s">
        <v>52</v>
      </c>
      <c r="G24" s="700"/>
      <c r="Q24" s="700"/>
      <c r="R24" s="700"/>
      <c r="T24" s="2235" t="s">
        <v>47</v>
      </c>
      <c r="U24" s="51" t="s">
        <v>62</v>
      </c>
      <c r="V24" s="2263">
        <f>V14+V16+V17-V18-V19-V20-V22+V23-V21</f>
        <v>446511.52250000008</v>
      </c>
      <c r="W24" s="2263"/>
      <c r="X24" s="2263"/>
      <c r="Y24" s="2269"/>
    </row>
    <row r="25" spans="1:25" ht="40.5" customHeight="1" x14ac:dyDescent="0.25">
      <c r="T25" s="2235"/>
      <c r="U25" s="51" t="s">
        <v>63</v>
      </c>
      <c r="V25" s="2262">
        <f>V15+V22-V23</f>
        <v>13122</v>
      </c>
      <c r="W25" s="2262"/>
      <c r="X25" s="2262"/>
    </row>
    <row r="26" spans="1:25" ht="36" customHeight="1" x14ac:dyDescent="0.25">
      <c r="K26" s="314"/>
    </row>
    <row r="28" spans="1:25" x14ac:dyDescent="0.25">
      <c r="J28" s="14" t="s">
        <v>139</v>
      </c>
    </row>
    <row r="32" spans="1:25" x14ac:dyDescent="0.25">
      <c r="I32" s="2280"/>
      <c r="J32" s="2280"/>
      <c r="K32" s="2280"/>
      <c r="L32" s="2280"/>
    </row>
    <row r="33" spans="9:12" x14ac:dyDescent="0.25">
      <c r="I33" s="700"/>
      <c r="J33" s="700"/>
      <c r="K33" s="2280"/>
      <c r="L33" s="2280"/>
    </row>
  </sheetData>
  <mergeCells count="62">
    <mergeCell ref="A1:Y1"/>
    <mergeCell ref="A2:Y2"/>
    <mergeCell ref="T3:Y3"/>
    <mergeCell ref="A4:A5"/>
    <mergeCell ref="B4:B5"/>
    <mergeCell ref="C4:D4"/>
    <mergeCell ref="E4:F4"/>
    <mergeCell ref="G4:H4"/>
    <mergeCell ref="I4:J4"/>
    <mergeCell ref="K4:L4"/>
    <mergeCell ref="Y4:Y5"/>
    <mergeCell ref="M4:N4"/>
    <mergeCell ref="O4:P4"/>
    <mergeCell ref="Q4:R4"/>
    <mergeCell ref="S4:T4"/>
    <mergeCell ref="U4:V4"/>
    <mergeCell ref="W4:X4"/>
    <mergeCell ref="B16:C16"/>
    <mergeCell ref="Q16:R16"/>
    <mergeCell ref="T16:U16"/>
    <mergeCell ref="V16:X16"/>
    <mergeCell ref="A12:B12"/>
    <mergeCell ref="B14:C14"/>
    <mergeCell ref="Q14:R14"/>
    <mergeCell ref="T14:T15"/>
    <mergeCell ref="V14:X14"/>
    <mergeCell ref="B15:C15"/>
    <mergeCell ref="Q15:R15"/>
    <mergeCell ref="V15:X15"/>
    <mergeCell ref="B17:C17"/>
    <mergeCell ref="Q17:R17"/>
    <mergeCell ref="T17:U17"/>
    <mergeCell ref="V17:X17"/>
    <mergeCell ref="B18:C18"/>
    <mergeCell ref="Q18:R18"/>
    <mergeCell ref="T18:U18"/>
    <mergeCell ref="V18:X18"/>
    <mergeCell ref="Y18:Y24"/>
    <mergeCell ref="B19:C19"/>
    <mergeCell ref="Q19:R19"/>
    <mergeCell ref="T19:T20"/>
    <mergeCell ref="V19:X19"/>
    <mergeCell ref="B20:C20"/>
    <mergeCell ref="B22:B24"/>
    <mergeCell ref="C22:C23"/>
    <mergeCell ref="D22:D23"/>
    <mergeCell ref="E22:E23"/>
    <mergeCell ref="F22:F23"/>
    <mergeCell ref="Q20:R20"/>
    <mergeCell ref="V20:X20"/>
    <mergeCell ref="B21:C21"/>
    <mergeCell ref="T21:U21"/>
    <mergeCell ref="V21:X21"/>
    <mergeCell ref="I32:J32"/>
    <mergeCell ref="K32:L32"/>
    <mergeCell ref="K33:L33"/>
    <mergeCell ref="T22:T23"/>
    <mergeCell ref="V22:X22"/>
    <mergeCell ref="V23:X23"/>
    <mergeCell ref="T24:T25"/>
    <mergeCell ref="V24:X24"/>
    <mergeCell ref="V25:X25"/>
  </mergeCells>
  <pageMargins left="0.15748031496063" right="0.15748031496063" top="0" bottom="0" header="0" footer="0"/>
  <pageSetup paperSize="9" scale="46" orientation="landscape" r:id="rId1"/>
</worksheet>
</file>

<file path=xl/worksheets/sheet16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854D9B0-A1E3-4271-8DAF-82FF0CF9EEDE}">
  <sheetPr>
    <pageSetUpPr fitToPage="1"/>
  </sheetPr>
  <dimension ref="A1:Y33"/>
  <sheetViews>
    <sheetView topLeftCell="A9" zoomScale="70" zoomScaleNormal="70" zoomScaleSheetLayoutView="100" workbookViewId="0">
      <selection activeCell="J24" sqref="J24"/>
    </sheetView>
  </sheetViews>
  <sheetFormatPr defaultColWidth="9.140625" defaultRowHeight="15" x14ac:dyDescent="0.25"/>
  <cols>
    <col min="1" max="1" width="18.28515625" style="14" customWidth="1"/>
    <col min="2" max="2" width="10.7109375" style="14" customWidth="1"/>
    <col min="3" max="3" width="12.28515625" style="14" customWidth="1"/>
    <col min="4" max="4" width="13.140625" style="14" bestFit="1" customWidth="1"/>
    <col min="5" max="5" width="12" style="14" customWidth="1"/>
    <col min="6" max="6" width="12.5703125" style="14" bestFit="1" customWidth="1"/>
    <col min="7" max="7" width="9.28515625" style="14" bestFit="1" customWidth="1"/>
    <col min="8" max="8" width="10.140625" style="14" bestFit="1" customWidth="1"/>
    <col min="9" max="9" width="10.5703125" style="14" bestFit="1" customWidth="1"/>
    <col min="10" max="10" width="10.5703125" style="14" customWidth="1"/>
    <col min="11" max="11" width="10.28515625" style="14" bestFit="1" customWidth="1"/>
    <col min="12" max="12" width="10.42578125" style="14" bestFit="1" customWidth="1"/>
    <col min="13" max="13" width="9.85546875" style="14" bestFit="1" customWidth="1"/>
    <col min="14" max="14" width="10.140625" style="14" bestFit="1" customWidth="1"/>
    <col min="15" max="15" width="9" style="14" customWidth="1"/>
    <col min="16" max="16" width="12.85546875" style="14" bestFit="1" customWidth="1"/>
    <col min="17" max="18" width="9.42578125" style="14" customWidth="1"/>
    <col min="19" max="19" width="13.7109375" style="14" customWidth="1"/>
    <col min="20" max="20" width="12.140625" style="14" customWidth="1"/>
    <col min="21" max="21" width="21.7109375" style="14" customWidth="1"/>
    <col min="22" max="22" width="9.85546875" style="14" customWidth="1"/>
    <col min="23" max="23" width="10.140625" style="14" bestFit="1" customWidth="1"/>
    <col min="24" max="24" width="10.28515625" style="14" customWidth="1"/>
    <col min="25" max="25" width="28" style="14" customWidth="1"/>
    <col min="26" max="16384" width="9.140625" style="14"/>
  </cols>
  <sheetData>
    <row r="1" spans="1:25" ht="46.15" customHeight="1" x14ac:dyDescent="0.25">
      <c r="A1" s="2240" t="s">
        <v>148</v>
      </c>
      <c r="B1" s="2240"/>
      <c r="C1" s="2240"/>
      <c r="D1" s="2240"/>
      <c r="E1" s="2240"/>
      <c r="F1" s="2240"/>
      <c r="G1" s="2240"/>
      <c r="H1" s="2240"/>
      <c r="I1" s="2240"/>
      <c r="J1" s="2240"/>
      <c r="K1" s="2240"/>
      <c r="L1" s="2240"/>
      <c r="M1" s="2240"/>
      <c r="N1" s="2240"/>
      <c r="O1" s="2240"/>
      <c r="P1" s="2240"/>
      <c r="Q1" s="2240"/>
      <c r="R1" s="2240"/>
      <c r="S1" s="2240"/>
      <c r="T1" s="2240"/>
      <c r="U1" s="2240"/>
      <c r="V1" s="2240"/>
      <c r="W1" s="2240"/>
      <c r="X1" s="2240"/>
      <c r="Y1" s="2240"/>
    </row>
    <row r="2" spans="1:25" ht="21.6" customHeight="1" x14ac:dyDescent="0.25">
      <c r="A2" s="2241" t="s">
        <v>383</v>
      </c>
      <c r="B2" s="2241"/>
      <c r="C2" s="2241"/>
      <c r="D2" s="2241"/>
      <c r="E2" s="2241"/>
      <c r="F2" s="2241"/>
      <c r="G2" s="2241"/>
      <c r="H2" s="2241"/>
      <c r="I2" s="2241"/>
      <c r="J2" s="2241"/>
      <c r="K2" s="2241"/>
      <c r="L2" s="2241"/>
      <c r="M2" s="2241"/>
      <c r="N2" s="2241"/>
      <c r="O2" s="2241"/>
      <c r="P2" s="2241"/>
      <c r="Q2" s="2241"/>
      <c r="R2" s="2241"/>
      <c r="S2" s="2241"/>
      <c r="T2" s="2241"/>
      <c r="U2" s="2241"/>
      <c r="V2" s="2241"/>
      <c r="W2" s="2241"/>
      <c r="X2" s="2241"/>
      <c r="Y2" s="2241"/>
    </row>
    <row r="3" spans="1:25" ht="21" customHeight="1" x14ac:dyDescent="0.25">
      <c r="A3" s="701"/>
      <c r="B3" s="701"/>
      <c r="C3" s="701"/>
      <c r="D3" s="701"/>
      <c r="E3" s="701"/>
      <c r="F3" s="701"/>
      <c r="G3" s="701"/>
      <c r="H3" s="701"/>
      <c r="I3" s="701"/>
      <c r="J3" s="701"/>
      <c r="K3" s="701"/>
      <c r="L3" s="701"/>
      <c r="M3" s="701"/>
      <c r="N3" s="701"/>
      <c r="O3" s="701"/>
      <c r="P3" s="701"/>
      <c r="Q3" s="701"/>
      <c r="R3" s="701"/>
      <c r="S3" s="701"/>
      <c r="T3" s="2242" t="s">
        <v>388</v>
      </c>
      <c r="U3" s="2242"/>
      <c r="V3" s="2242"/>
      <c r="W3" s="2242"/>
      <c r="X3" s="2242"/>
      <c r="Y3" s="2242"/>
    </row>
    <row r="4" spans="1:25" s="701" customFormat="1" ht="18" customHeight="1" x14ac:dyDescent="0.25">
      <c r="A4" s="2243" t="s">
        <v>25</v>
      </c>
      <c r="B4" s="2243" t="s">
        <v>26</v>
      </c>
      <c r="C4" s="2244" t="s">
        <v>27</v>
      </c>
      <c r="D4" s="2244"/>
      <c r="E4" s="2244" t="s">
        <v>342</v>
      </c>
      <c r="F4" s="2244"/>
      <c r="G4" s="2244" t="s">
        <v>65</v>
      </c>
      <c r="H4" s="2244"/>
      <c r="I4" s="2244" t="s">
        <v>29</v>
      </c>
      <c r="J4" s="2244"/>
      <c r="K4" s="2245" t="s">
        <v>14</v>
      </c>
      <c r="L4" s="2246"/>
      <c r="M4" s="2245" t="s">
        <v>67</v>
      </c>
      <c r="N4" s="2246"/>
      <c r="O4" s="2245" t="s">
        <v>68</v>
      </c>
      <c r="P4" s="2246"/>
      <c r="Q4" s="2245" t="s">
        <v>114</v>
      </c>
      <c r="R4" s="2246"/>
      <c r="S4" s="2244" t="s">
        <v>35</v>
      </c>
      <c r="T4" s="2244"/>
      <c r="U4" s="2245" t="s">
        <v>17</v>
      </c>
      <c r="V4" s="2246"/>
      <c r="W4" s="2247" t="s">
        <v>36</v>
      </c>
      <c r="X4" s="2248"/>
      <c r="Y4" s="2238" t="s">
        <v>30</v>
      </c>
    </row>
    <row r="5" spans="1:25" s="701" customFormat="1" ht="25.5" customHeight="1" x14ac:dyDescent="0.25">
      <c r="A5" s="2243"/>
      <c r="B5" s="2243"/>
      <c r="C5" s="703" t="s">
        <v>42</v>
      </c>
      <c r="D5" s="703" t="s">
        <v>43</v>
      </c>
      <c r="E5" s="703" t="s">
        <v>42</v>
      </c>
      <c r="F5" s="703" t="s">
        <v>43</v>
      </c>
      <c r="G5" s="703" t="s">
        <v>42</v>
      </c>
      <c r="H5" s="703" t="s">
        <v>43</v>
      </c>
      <c r="I5" s="703" t="s">
        <v>42</v>
      </c>
      <c r="J5" s="703" t="s">
        <v>43</v>
      </c>
      <c r="K5" s="703" t="s">
        <v>42</v>
      </c>
      <c r="L5" s="703" t="s">
        <v>43</v>
      </c>
      <c r="M5" s="703" t="s">
        <v>42</v>
      </c>
      <c r="N5" s="703" t="s">
        <v>43</v>
      </c>
      <c r="O5" s="703" t="s">
        <v>42</v>
      </c>
      <c r="P5" s="703" t="s">
        <v>43</v>
      </c>
      <c r="Q5" s="703" t="s">
        <v>42</v>
      </c>
      <c r="R5" s="703" t="s">
        <v>43</v>
      </c>
      <c r="S5" s="33" t="s">
        <v>42</v>
      </c>
      <c r="T5" s="33" t="s">
        <v>43</v>
      </c>
      <c r="U5" s="30" t="s">
        <v>42</v>
      </c>
      <c r="V5" s="30" t="s">
        <v>43</v>
      </c>
      <c r="W5" s="30" t="s">
        <v>42</v>
      </c>
      <c r="X5" s="30" t="s">
        <v>43</v>
      </c>
      <c r="Y5" s="2239"/>
    </row>
    <row r="6" spans="1:25" ht="34.5" customHeight="1" x14ac:dyDescent="0.25">
      <c r="A6" s="12">
        <v>1409935200</v>
      </c>
      <c r="B6" s="702" t="s">
        <v>71</v>
      </c>
      <c r="C6" s="705">
        <v>41432</v>
      </c>
      <c r="D6" s="706">
        <f>0.9725*C6</f>
        <v>40292.620000000003</v>
      </c>
      <c r="E6" s="705"/>
      <c r="F6" s="705">
        <f>67.1*E6</f>
        <v>0</v>
      </c>
      <c r="G6" s="705">
        <v>60</v>
      </c>
      <c r="H6" s="705">
        <f>28.2*G6</f>
        <v>1692</v>
      </c>
      <c r="I6" s="705">
        <v>890</v>
      </c>
      <c r="J6" s="705">
        <f>18.5*I6</f>
        <v>16465</v>
      </c>
      <c r="K6" s="705"/>
      <c r="L6" s="705">
        <f>28.2368*K6</f>
        <v>0</v>
      </c>
      <c r="M6" s="705"/>
      <c r="N6" s="706">
        <f>M6*9.75</f>
        <v>0</v>
      </c>
      <c r="O6" s="705"/>
      <c r="P6" s="706">
        <f>O6*48.62</f>
        <v>0</v>
      </c>
      <c r="Q6" s="706"/>
      <c r="R6" s="706">
        <f>241*Q6</f>
        <v>0</v>
      </c>
      <c r="S6" s="705"/>
      <c r="T6" s="705">
        <f>241*S6</f>
        <v>0</v>
      </c>
      <c r="U6" s="705"/>
      <c r="V6" s="705">
        <f>332*U6</f>
        <v>0</v>
      </c>
      <c r="W6" s="705">
        <v>1</v>
      </c>
      <c r="X6" s="19">
        <f>W6*100</f>
        <v>100</v>
      </c>
      <c r="Y6" s="20">
        <f t="shared" ref="Y6:Y12" si="0">D6+F6+H6+J6+L6+N6+P6+R6+T6+V6+X6</f>
        <v>58549.62</v>
      </c>
    </row>
    <row r="7" spans="1:25" ht="31.5" customHeight="1" x14ac:dyDescent="0.25">
      <c r="A7" s="12">
        <v>1984225578</v>
      </c>
      <c r="B7" s="702" t="s">
        <v>72</v>
      </c>
      <c r="C7" s="705">
        <v>37481</v>
      </c>
      <c r="D7" s="706">
        <f t="shared" ref="D7:D11" si="1">0.9725*C7</f>
        <v>36450.272499999999</v>
      </c>
      <c r="E7" s="705"/>
      <c r="F7" s="705">
        <f t="shared" ref="F7:F11" si="2">67.1*E7</f>
        <v>0</v>
      </c>
      <c r="G7" s="705"/>
      <c r="H7" s="705">
        <f t="shared" ref="H7:H11" si="3">28.2*G7</f>
        <v>0</v>
      </c>
      <c r="I7" s="705"/>
      <c r="J7" s="705">
        <f t="shared" ref="J7:J11" si="4">18.5*I7</f>
        <v>0</v>
      </c>
      <c r="K7" s="705"/>
      <c r="L7" s="705">
        <f t="shared" ref="L7:L11" si="5">28.2368*K7</f>
        <v>0</v>
      </c>
      <c r="M7" s="705"/>
      <c r="N7" s="706">
        <f t="shared" ref="N7:N11" si="6">M7*9.75</f>
        <v>0</v>
      </c>
      <c r="O7" s="705"/>
      <c r="P7" s="706">
        <f t="shared" ref="P7:P11" si="7">O7*48.62</f>
        <v>0</v>
      </c>
      <c r="Q7" s="706"/>
      <c r="R7" s="706">
        <f t="shared" ref="R7:R11" si="8">241*Q7</f>
        <v>0</v>
      </c>
      <c r="S7" s="705"/>
      <c r="T7" s="705">
        <f t="shared" ref="T7:T11" si="9">241*S7</f>
        <v>0</v>
      </c>
      <c r="U7" s="705"/>
      <c r="V7" s="705">
        <f t="shared" ref="V7:V11" si="10">332*U7</f>
        <v>0</v>
      </c>
      <c r="W7" s="705"/>
      <c r="X7" s="19">
        <f t="shared" ref="X7:X11" si="11">W7*100</f>
        <v>0</v>
      </c>
      <c r="Y7" s="20">
        <f t="shared" si="0"/>
        <v>36450.272499999999</v>
      </c>
    </row>
    <row r="8" spans="1:25" ht="35.25" customHeight="1" x14ac:dyDescent="0.25">
      <c r="A8" s="12">
        <v>1967020280</v>
      </c>
      <c r="B8" s="702" t="s">
        <v>73</v>
      </c>
      <c r="C8" s="705">
        <v>25807</v>
      </c>
      <c r="D8" s="706">
        <f t="shared" si="1"/>
        <v>25097.307500000003</v>
      </c>
      <c r="E8" s="705"/>
      <c r="F8" s="705">
        <f t="shared" si="2"/>
        <v>0</v>
      </c>
      <c r="G8" s="705"/>
      <c r="H8" s="705">
        <f t="shared" si="3"/>
        <v>0</v>
      </c>
      <c r="I8" s="705">
        <v>500</v>
      </c>
      <c r="J8" s="705">
        <f t="shared" si="4"/>
        <v>9250</v>
      </c>
      <c r="K8" s="705"/>
      <c r="L8" s="705">
        <f t="shared" si="5"/>
        <v>0</v>
      </c>
      <c r="M8" s="705"/>
      <c r="N8" s="706">
        <f t="shared" si="6"/>
        <v>0</v>
      </c>
      <c r="O8" s="705"/>
      <c r="P8" s="706">
        <f t="shared" si="7"/>
        <v>0</v>
      </c>
      <c r="Q8" s="706"/>
      <c r="R8" s="706">
        <f t="shared" si="8"/>
        <v>0</v>
      </c>
      <c r="S8" s="705"/>
      <c r="T8" s="705">
        <f t="shared" si="9"/>
        <v>0</v>
      </c>
      <c r="U8" s="705"/>
      <c r="V8" s="705">
        <f t="shared" si="10"/>
        <v>0</v>
      </c>
      <c r="W8" s="705"/>
      <c r="X8" s="19">
        <f t="shared" si="11"/>
        <v>0</v>
      </c>
      <c r="Y8" s="20">
        <f t="shared" si="0"/>
        <v>34347.307500000003</v>
      </c>
    </row>
    <row r="9" spans="1:25" ht="38.25" customHeight="1" x14ac:dyDescent="0.25">
      <c r="A9" s="12">
        <v>1984225580</v>
      </c>
      <c r="B9" s="702" t="s">
        <v>75</v>
      </c>
      <c r="C9" s="705">
        <v>52453</v>
      </c>
      <c r="D9" s="706">
        <f t="shared" si="1"/>
        <v>51010.542500000003</v>
      </c>
      <c r="E9" s="705"/>
      <c r="F9" s="705">
        <f t="shared" si="2"/>
        <v>0</v>
      </c>
      <c r="G9" s="705"/>
      <c r="H9" s="705">
        <f t="shared" si="3"/>
        <v>0</v>
      </c>
      <c r="I9" s="705">
        <v>1620</v>
      </c>
      <c r="J9" s="705">
        <f t="shared" si="4"/>
        <v>29970</v>
      </c>
      <c r="K9" s="705"/>
      <c r="L9" s="705">
        <f t="shared" si="5"/>
        <v>0</v>
      </c>
      <c r="M9" s="705"/>
      <c r="N9" s="706">
        <f t="shared" si="6"/>
        <v>0</v>
      </c>
      <c r="O9" s="705"/>
      <c r="P9" s="706">
        <f t="shared" si="7"/>
        <v>0</v>
      </c>
      <c r="Q9" s="706"/>
      <c r="R9" s="706">
        <f t="shared" si="8"/>
        <v>0</v>
      </c>
      <c r="S9" s="705"/>
      <c r="T9" s="705">
        <f t="shared" si="9"/>
        <v>0</v>
      </c>
      <c r="U9" s="705"/>
      <c r="V9" s="705">
        <f t="shared" si="10"/>
        <v>0</v>
      </c>
      <c r="W9" s="705"/>
      <c r="X9" s="19">
        <f t="shared" si="11"/>
        <v>0</v>
      </c>
      <c r="Y9" s="20">
        <f t="shared" si="0"/>
        <v>80980.54250000001</v>
      </c>
    </row>
    <row r="10" spans="1:25" ht="35.25" customHeight="1" x14ac:dyDescent="0.25">
      <c r="A10" s="12">
        <v>1409935199</v>
      </c>
      <c r="C10" s="705"/>
      <c r="D10" s="706">
        <f t="shared" si="1"/>
        <v>0</v>
      </c>
      <c r="E10" s="705"/>
      <c r="F10" s="705">
        <f t="shared" si="2"/>
        <v>0</v>
      </c>
      <c r="G10" s="705"/>
      <c r="H10" s="705">
        <f t="shared" si="3"/>
        <v>0</v>
      </c>
      <c r="I10" s="705"/>
      <c r="J10" s="705">
        <f t="shared" si="4"/>
        <v>0</v>
      </c>
      <c r="K10" s="705"/>
      <c r="L10" s="705">
        <f t="shared" si="5"/>
        <v>0</v>
      </c>
      <c r="M10" s="705"/>
      <c r="N10" s="706">
        <f t="shared" si="6"/>
        <v>0</v>
      </c>
      <c r="O10" s="705"/>
      <c r="P10" s="706">
        <f t="shared" si="7"/>
        <v>0</v>
      </c>
      <c r="Q10" s="706"/>
      <c r="R10" s="706">
        <f t="shared" si="8"/>
        <v>0</v>
      </c>
      <c r="S10" s="705"/>
      <c r="T10" s="705">
        <f t="shared" si="9"/>
        <v>0</v>
      </c>
      <c r="U10" s="705"/>
      <c r="V10" s="705">
        <f t="shared" si="10"/>
        <v>0</v>
      </c>
      <c r="W10" s="705"/>
      <c r="X10" s="19">
        <f t="shared" si="11"/>
        <v>0</v>
      </c>
      <c r="Y10" s="20">
        <f t="shared" si="0"/>
        <v>0</v>
      </c>
    </row>
    <row r="11" spans="1:25" ht="37.5" customHeight="1" x14ac:dyDescent="0.25">
      <c r="A11" s="12"/>
      <c r="B11" s="704"/>
      <c r="C11" s="705"/>
      <c r="D11" s="22">
        <f t="shared" si="1"/>
        <v>0</v>
      </c>
      <c r="E11" s="705"/>
      <c r="F11" s="705">
        <f t="shared" si="2"/>
        <v>0</v>
      </c>
      <c r="G11" s="705"/>
      <c r="H11" s="705">
        <f t="shared" si="3"/>
        <v>0</v>
      </c>
      <c r="I11" s="705"/>
      <c r="J11" s="705">
        <f t="shared" si="4"/>
        <v>0</v>
      </c>
      <c r="K11" s="705"/>
      <c r="L11" s="705">
        <f t="shared" si="5"/>
        <v>0</v>
      </c>
      <c r="M11" s="705"/>
      <c r="N11" s="706">
        <f t="shared" si="6"/>
        <v>0</v>
      </c>
      <c r="O11" s="705"/>
      <c r="P11" s="706">
        <f t="shared" si="7"/>
        <v>0</v>
      </c>
      <c r="Q11" s="706"/>
      <c r="R11" s="706">
        <f t="shared" si="8"/>
        <v>0</v>
      </c>
      <c r="S11" s="705"/>
      <c r="T11" s="705">
        <f t="shared" si="9"/>
        <v>0</v>
      </c>
      <c r="U11" s="705"/>
      <c r="V11" s="705">
        <f t="shared" si="10"/>
        <v>0</v>
      </c>
      <c r="W11" s="705"/>
      <c r="X11" s="19">
        <f t="shared" si="11"/>
        <v>0</v>
      </c>
      <c r="Y11" s="20">
        <f t="shared" si="0"/>
        <v>0</v>
      </c>
    </row>
    <row r="12" spans="1:25" ht="29.25" customHeight="1" x14ac:dyDescent="0.25">
      <c r="A12" s="2235" t="s">
        <v>31</v>
      </c>
      <c r="B12" s="2235"/>
      <c r="C12" s="18">
        <f t="shared" ref="C12:X12" si="12">SUM(C6:C11)</f>
        <v>157173</v>
      </c>
      <c r="D12" s="18">
        <f t="shared" si="12"/>
        <v>152850.74250000002</v>
      </c>
      <c r="E12" s="18">
        <f t="shared" si="12"/>
        <v>0</v>
      </c>
      <c r="F12" s="18">
        <f t="shared" si="12"/>
        <v>0</v>
      </c>
      <c r="G12" s="18">
        <f t="shared" si="12"/>
        <v>60</v>
      </c>
      <c r="H12" s="18">
        <f t="shared" si="12"/>
        <v>1692</v>
      </c>
      <c r="I12" s="18">
        <f t="shared" si="12"/>
        <v>3010</v>
      </c>
      <c r="J12" s="18">
        <f t="shared" si="12"/>
        <v>55685</v>
      </c>
      <c r="K12" s="18">
        <f t="shared" si="12"/>
        <v>0</v>
      </c>
      <c r="L12" s="18">
        <f t="shared" si="12"/>
        <v>0</v>
      </c>
      <c r="M12" s="18">
        <f t="shared" si="12"/>
        <v>0</v>
      </c>
      <c r="N12" s="23">
        <f t="shared" si="12"/>
        <v>0</v>
      </c>
      <c r="O12" s="18">
        <f t="shared" si="12"/>
        <v>0</v>
      </c>
      <c r="P12" s="23">
        <f t="shared" si="12"/>
        <v>0</v>
      </c>
      <c r="Q12" s="23">
        <f t="shared" si="12"/>
        <v>0</v>
      </c>
      <c r="R12" s="23">
        <f>SUM(R6:R11)</f>
        <v>0</v>
      </c>
      <c r="S12" s="18">
        <f t="shared" si="12"/>
        <v>0</v>
      </c>
      <c r="T12" s="18">
        <f t="shared" si="12"/>
        <v>0</v>
      </c>
      <c r="U12" s="18">
        <f t="shared" si="12"/>
        <v>0</v>
      </c>
      <c r="V12" s="18">
        <f t="shared" si="12"/>
        <v>0</v>
      </c>
      <c r="W12" s="18">
        <f t="shared" si="12"/>
        <v>1</v>
      </c>
      <c r="X12" s="18">
        <f t="shared" si="12"/>
        <v>100</v>
      </c>
      <c r="Y12" s="20">
        <f t="shared" si="0"/>
        <v>210327.74250000002</v>
      </c>
    </row>
    <row r="14" spans="1:25" ht="41.25" customHeight="1" x14ac:dyDescent="0.25">
      <c r="A14" s="30" t="s">
        <v>32</v>
      </c>
      <c r="B14" s="2236" t="s">
        <v>27</v>
      </c>
      <c r="C14" s="2236"/>
      <c r="D14" s="30" t="s">
        <v>333</v>
      </c>
      <c r="E14" s="30" t="s">
        <v>65</v>
      </c>
      <c r="F14" s="30" t="s">
        <v>34</v>
      </c>
      <c r="G14" s="30" t="s">
        <v>14</v>
      </c>
      <c r="H14" s="469" t="s">
        <v>173</v>
      </c>
      <c r="I14" s="30" t="s">
        <v>17</v>
      </c>
      <c r="J14" s="710" t="s">
        <v>174</v>
      </c>
      <c r="K14" s="30" t="s">
        <v>36</v>
      </c>
      <c r="L14" s="30" t="s">
        <v>175</v>
      </c>
      <c r="M14" s="30" t="s">
        <v>69</v>
      </c>
      <c r="N14" s="30" t="s">
        <v>70</v>
      </c>
      <c r="O14" s="710" t="s">
        <v>114</v>
      </c>
      <c r="P14" s="710"/>
      <c r="Q14" s="2300" t="s">
        <v>378</v>
      </c>
      <c r="R14" s="2301"/>
      <c r="S14" s="710"/>
      <c r="T14" s="2235" t="s">
        <v>46</v>
      </c>
      <c r="U14" s="702" t="s">
        <v>176</v>
      </c>
      <c r="V14" s="2260">
        <v>446512</v>
      </c>
      <c r="W14" s="2268"/>
      <c r="X14" s="2261"/>
    </row>
    <row r="15" spans="1:25" ht="22.5" customHeight="1" x14ac:dyDescent="0.25">
      <c r="A15" s="100" t="s">
        <v>38</v>
      </c>
      <c r="B15" s="2260">
        <v>275285</v>
      </c>
      <c r="C15" s="2261"/>
      <c r="D15" s="707">
        <v>522</v>
      </c>
      <c r="E15" s="707">
        <v>560</v>
      </c>
      <c r="F15" s="707">
        <v>8810</v>
      </c>
      <c r="G15" s="707">
        <v>2500</v>
      </c>
      <c r="H15" s="707">
        <v>138</v>
      </c>
      <c r="I15" s="707">
        <v>0</v>
      </c>
      <c r="J15" s="707">
        <v>26</v>
      </c>
      <c r="K15" s="707">
        <v>72</v>
      </c>
      <c r="L15" s="707">
        <v>29</v>
      </c>
      <c r="M15" s="707">
        <v>0</v>
      </c>
      <c r="N15" s="707">
        <v>100</v>
      </c>
      <c r="O15" s="707">
        <v>0</v>
      </c>
      <c r="P15" s="707"/>
      <c r="Q15" s="2260">
        <v>100</v>
      </c>
      <c r="R15" s="2261"/>
      <c r="S15" s="702"/>
      <c r="T15" s="2235"/>
      <c r="U15" s="702" t="s">
        <v>64</v>
      </c>
      <c r="V15" s="2262">
        <v>13122</v>
      </c>
      <c r="W15" s="2262"/>
      <c r="X15" s="2262"/>
    </row>
    <row r="16" spans="1:25" ht="24.75" customHeight="1" x14ac:dyDescent="0.25">
      <c r="A16" s="100" t="s">
        <v>39</v>
      </c>
      <c r="B16" s="2260">
        <v>353246</v>
      </c>
      <c r="C16" s="2261"/>
      <c r="D16" s="707"/>
      <c r="E16" s="707"/>
      <c r="F16" s="707"/>
      <c r="G16" s="707">
        <v>210</v>
      </c>
      <c r="H16" s="707"/>
      <c r="I16" s="707"/>
      <c r="J16" s="707"/>
      <c r="K16" s="707"/>
      <c r="L16" s="707"/>
      <c r="M16" s="707"/>
      <c r="N16" s="707"/>
      <c r="O16" s="707"/>
      <c r="P16" s="707"/>
      <c r="Q16" s="2225"/>
      <c r="R16" s="2225"/>
      <c r="S16" s="707"/>
      <c r="T16" s="2254" t="s">
        <v>55</v>
      </c>
      <c r="U16" s="2254"/>
      <c r="V16" s="2267">
        <f>Y12</f>
        <v>210327.74250000002</v>
      </c>
      <c r="W16" s="2267"/>
      <c r="X16" s="2262"/>
    </row>
    <row r="17" spans="1:25" ht="28.5" customHeight="1" x14ac:dyDescent="0.25">
      <c r="A17" s="101" t="s">
        <v>44</v>
      </c>
      <c r="B17" s="2260"/>
      <c r="C17" s="2261"/>
      <c r="D17" s="707"/>
      <c r="E17" s="707"/>
      <c r="F17" s="707"/>
      <c r="G17" s="707"/>
      <c r="H17" s="707"/>
      <c r="I17" s="707"/>
      <c r="J17" s="707"/>
      <c r="K17" s="707"/>
      <c r="L17" s="707"/>
      <c r="M17" s="707"/>
      <c r="N17" s="707"/>
      <c r="O17" s="707"/>
      <c r="P17" s="707"/>
      <c r="Q17" s="2225"/>
      <c r="R17" s="2225"/>
      <c r="S17" s="704"/>
      <c r="T17" s="2294" t="s">
        <v>362</v>
      </c>
      <c r="U17" s="2295"/>
      <c r="V17" s="2296"/>
      <c r="W17" s="2296"/>
      <c r="X17" s="2296"/>
    </row>
    <row r="18" spans="1:25" ht="27" customHeight="1" x14ac:dyDescent="0.25">
      <c r="A18" s="100" t="s">
        <v>40</v>
      </c>
      <c r="B18" s="2264">
        <f>C12</f>
        <v>157173</v>
      </c>
      <c r="C18" s="2261"/>
      <c r="D18" s="708">
        <f>E12</f>
        <v>0</v>
      </c>
      <c r="E18" s="708">
        <f>G12</f>
        <v>60</v>
      </c>
      <c r="F18" s="708">
        <f>I12</f>
        <v>3010</v>
      </c>
      <c r="G18" s="708">
        <f>K12</f>
        <v>0</v>
      </c>
      <c r="H18" s="707"/>
      <c r="I18" s="708">
        <f>U12</f>
        <v>0</v>
      </c>
      <c r="J18" s="707"/>
      <c r="K18" s="708">
        <f>W12</f>
        <v>1</v>
      </c>
      <c r="L18" s="707"/>
      <c r="M18" s="708">
        <f>M12</f>
        <v>0</v>
      </c>
      <c r="N18" s="708">
        <f>O12</f>
        <v>0</v>
      </c>
      <c r="O18" s="709">
        <f>Q12</f>
        <v>0</v>
      </c>
      <c r="P18" s="707"/>
      <c r="Q18" s="2262"/>
      <c r="R18" s="2262"/>
      <c r="S18" s="702"/>
      <c r="T18" s="2254" t="s">
        <v>57</v>
      </c>
      <c r="U18" s="2254"/>
      <c r="V18" s="2262">
        <v>1566</v>
      </c>
      <c r="W18" s="2262"/>
      <c r="X18" s="2262"/>
      <c r="Y18" s="2269"/>
    </row>
    <row r="19" spans="1:25" ht="25.5" customHeight="1" x14ac:dyDescent="0.25">
      <c r="A19" s="100" t="s">
        <v>41</v>
      </c>
      <c r="B19" s="2260">
        <f>B15+B16+B17-B18</f>
        <v>471358</v>
      </c>
      <c r="C19" s="2261"/>
      <c r="D19" s="707">
        <f>D15+D16+D17-D18</f>
        <v>522</v>
      </c>
      <c r="E19" s="707">
        <f t="shared" ref="E19:N19" si="13">E15+E16+E17-E18</f>
        <v>500</v>
      </c>
      <c r="F19" s="707">
        <f t="shared" si="13"/>
        <v>5800</v>
      </c>
      <c r="G19" s="707">
        <f t="shared" si="13"/>
        <v>2710</v>
      </c>
      <c r="H19" s="707">
        <f t="shared" si="13"/>
        <v>138</v>
      </c>
      <c r="I19" s="707">
        <f t="shared" si="13"/>
        <v>0</v>
      </c>
      <c r="J19" s="707">
        <f t="shared" si="13"/>
        <v>26</v>
      </c>
      <c r="K19" s="707">
        <f t="shared" si="13"/>
        <v>71</v>
      </c>
      <c r="L19" s="707">
        <f t="shared" si="13"/>
        <v>29</v>
      </c>
      <c r="M19" s="707">
        <f t="shared" si="13"/>
        <v>0</v>
      </c>
      <c r="N19" s="707">
        <f t="shared" si="13"/>
        <v>100</v>
      </c>
      <c r="O19" s="707">
        <f>O15+O16+O17-O18</f>
        <v>0</v>
      </c>
      <c r="P19" s="707">
        <f>P15+P16+P17-P18</f>
        <v>0</v>
      </c>
      <c r="Q19" s="2260">
        <f t="shared" ref="Q19" si="14">Q15+Q16+Q17-Q18</f>
        <v>100</v>
      </c>
      <c r="R19" s="2261"/>
      <c r="S19" s="702">
        <f>S15+S16-S17-S18</f>
        <v>0</v>
      </c>
      <c r="T19" s="2256" t="s">
        <v>48</v>
      </c>
      <c r="U19" s="49" t="s">
        <v>58</v>
      </c>
      <c r="V19" s="2262">
        <v>369842</v>
      </c>
      <c r="W19" s="2262"/>
      <c r="X19" s="2262"/>
      <c r="Y19" s="2269"/>
    </row>
    <row r="20" spans="1:25" ht="23.25" customHeight="1" x14ac:dyDescent="0.25">
      <c r="A20" s="289" t="s">
        <v>187</v>
      </c>
      <c r="B20" s="2286">
        <f>B19*0.9625</f>
        <v>453682.07500000001</v>
      </c>
      <c r="C20" s="2287"/>
      <c r="D20" s="290">
        <f>D19*66.41</f>
        <v>34666.019999999997</v>
      </c>
      <c r="E20" s="290">
        <f>28.2*E19</f>
        <v>14100</v>
      </c>
      <c r="F20" s="290">
        <f>18.31*F19</f>
        <v>106197.99999999999</v>
      </c>
      <c r="G20" s="290">
        <f>27.9368*G19</f>
        <v>75708.728000000003</v>
      </c>
      <c r="H20" s="290">
        <f>241*H19</f>
        <v>33258</v>
      </c>
      <c r="I20" s="290">
        <f>323*I19</f>
        <v>0</v>
      </c>
      <c r="J20" s="290">
        <f>241*J19</f>
        <v>6266</v>
      </c>
      <c r="K20" s="290">
        <f>K19*100</f>
        <v>7100</v>
      </c>
      <c r="L20" s="290">
        <f>241*L19</f>
        <v>6989</v>
      </c>
      <c r="M20" s="290">
        <f>9.65*M19</f>
        <v>0</v>
      </c>
      <c r="N20" s="290">
        <f>N19*48.2</f>
        <v>4820</v>
      </c>
      <c r="O20" s="290">
        <f>241*O19</f>
        <v>0</v>
      </c>
      <c r="P20" s="290">
        <f>241*P19</f>
        <v>0</v>
      </c>
      <c r="Q20" s="2286">
        <f>341*Q19</f>
        <v>34100</v>
      </c>
      <c r="R20" s="2287"/>
      <c r="S20" s="290">
        <f>241*S19</f>
        <v>0</v>
      </c>
      <c r="T20" s="2257"/>
      <c r="U20" s="49" t="s">
        <v>59</v>
      </c>
      <c r="V20" s="2262"/>
      <c r="W20" s="2262"/>
      <c r="X20" s="2262"/>
      <c r="Y20" s="2269"/>
    </row>
    <row r="21" spans="1:25" ht="32.25" customHeight="1" x14ac:dyDescent="0.25">
      <c r="A21" s="291" t="s">
        <v>186</v>
      </c>
      <c r="B21" s="2293">
        <f>SUM(B20:S20)</f>
        <v>776887.82299999997</v>
      </c>
      <c r="C21" s="2293"/>
      <c r="O21" s="711"/>
      <c r="P21" s="711"/>
      <c r="Q21" s="711"/>
      <c r="R21" s="711"/>
      <c r="T21" s="2294" t="s">
        <v>366</v>
      </c>
      <c r="U21" s="2295"/>
      <c r="V21" s="2297"/>
      <c r="W21" s="2298"/>
      <c r="X21" s="2299"/>
      <c r="Y21" s="2269"/>
    </row>
    <row r="22" spans="1:25" ht="35.25" customHeight="1" x14ac:dyDescent="0.25">
      <c r="A22" s="15"/>
      <c r="B22" s="2288" t="s">
        <v>49</v>
      </c>
      <c r="C22" s="2291">
        <v>795785</v>
      </c>
      <c r="D22" s="2291">
        <v>369842</v>
      </c>
      <c r="E22" s="2291">
        <v>345867</v>
      </c>
      <c r="F22" s="2291">
        <f>C22-D22+E22</f>
        <v>771810</v>
      </c>
      <c r="G22" s="711"/>
      <c r="Q22" s="711"/>
      <c r="R22" s="711"/>
      <c r="T22" s="2251" t="s">
        <v>83</v>
      </c>
      <c r="U22" s="50" t="s">
        <v>60</v>
      </c>
      <c r="V22" s="2262">
        <v>636200</v>
      </c>
      <c r="W22" s="2262"/>
      <c r="X22" s="2262"/>
      <c r="Y22" s="2269"/>
    </row>
    <row r="23" spans="1:25" ht="39.75" customHeight="1" x14ac:dyDescent="0.25">
      <c r="A23" s="711"/>
      <c r="B23" s="2289"/>
      <c r="C23" s="2292"/>
      <c r="D23" s="2292"/>
      <c r="E23" s="2292"/>
      <c r="F23" s="2292"/>
      <c r="G23" s="711"/>
      <c r="Q23" s="711"/>
      <c r="R23" s="711"/>
      <c r="T23" s="2252"/>
      <c r="U23" s="50" t="s">
        <v>61</v>
      </c>
      <c r="V23" s="2262">
        <v>369842</v>
      </c>
      <c r="W23" s="2262"/>
      <c r="X23" s="2262"/>
      <c r="Y23" s="2269"/>
    </row>
    <row r="24" spans="1:25" ht="48" customHeight="1" x14ac:dyDescent="0.25">
      <c r="A24" s="711"/>
      <c r="B24" s="2290"/>
      <c r="C24" s="290" t="s">
        <v>46</v>
      </c>
      <c r="D24" s="290" t="s">
        <v>50</v>
      </c>
      <c r="E24" s="290" t="s">
        <v>51</v>
      </c>
      <c r="F24" s="290" t="s">
        <v>52</v>
      </c>
      <c r="G24" s="711"/>
      <c r="Q24" s="711"/>
      <c r="R24" s="711"/>
      <c r="T24" s="2235" t="s">
        <v>47</v>
      </c>
      <c r="U24" s="51" t="s">
        <v>62</v>
      </c>
      <c r="V24" s="2263">
        <f>V14+V16+V17-V18-V19-V20-V22+V23-V21</f>
        <v>19073.742500000051</v>
      </c>
      <c r="W24" s="2263"/>
      <c r="X24" s="2263"/>
      <c r="Y24" s="2269"/>
    </row>
    <row r="25" spans="1:25" ht="40.5" customHeight="1" x14ac:dyDescent="0.25">
      <c r="T25" s="2235"/>
      <c r="U25" s="51" t="s">
        <v>63</v>
      </c>
      <c r="V25" s="2262">
        <f>V15+V22-V23</f>
        <v>279480</v>
      </c>
      <c r="W25" s="2262"/>
      <c r="X25" s="2262"/>
    </row>
    <row r="26" spans="1:25" ht="36" customHeight="1" x14ac:dyDescent="0.25">
      <c r="K26" s="314"/>
    </row>
    <row r="28" spans="1:25" x14ac:dyDescent="0.25">
      <c r="J28" s="14" t="s">
        <v>139</v>
      </c>
    </row>
    <row r="32" spans="1:25" x14ac:dyDescent="0.25">
      <c r="I32" s="2280"/>
      <c r="J32" s="2280"/>
      <c r="K32" s="2280"/>
      <c r="L32" s="2280"/>
    </row>
    <row r="33" spans="9:12" x14ac:dyDescent="0.25">
      <c r="I33" s="711"/>
      <c r="J33" s="711"/>
      <c r="K33" s="2280"/>
      <c r="L33" s="2280"/>
    </row>
  </sheetData>
  <mergeCells count="62">
    <mergeCell ref="I32:J32"/>
    <mergeCell ref="K32:L32"/>
    <mergeCell ref="K33:L33"/>
    <mergeCell ref="T22:T23"/>
    <mergeCell ref="V22:X22"/>
    <mergeCell ref="V23:X23"/>
    <mergeCell ref="T24:T25"/>
    <mergeCell ref="V24:X24"/>
    <mergeCell ref="V25:X25"/>
    <mergeCell ref="Y18:Y24"/>
    <mergeCell ref="B19:C19"/>
    <mergeCell ref="Q19:R19"/>
    <mergeCell ref="T19:T20"/>
    <mergeCell ref="V19:X19"/>
    <mergeCell ref="B20:C20"/>
    <mergeCell ref="B22:B24"/>
    <mergeCell ref="C22:C23"/>
    <mergeCell ref="D22:D23"/>
    <mergeCell ref="E22:E23"/>
    <mergeCell ref="F22:F23"/>
    <mergeCell ref="Q20:R20"/>
    <mergeCell ref="V20:X20"/>
    <mergeCell ref="B21:C21"/>
    <mergeCell ref="T21:U21"/>
    <mergeCell ref="V21:X21"/>
    <mergeCell ref="B17:C17"/>
    <mergeCell ref="Q17:R17"/>
    <mergeCell ref="T17:U17"/>
    <mergeCell ref="V17:X17"/>
    <mergeCell ref="B18:C18"/>
    <mergeCell ref="Q18:R18"/>
    <mergeCell ref="T18:U18"/>
    <mergeCell ref="V18:X18"/>
    <mergeCell ref="W4:X4"/>
    <mergeCell ref="B16:C16"/>
    <mergeCell ref="Q16:R16"/>
    <mergeCell ref="T16:U16"/>
    <mergeCell ref="V16:X16"/>
    <mergeCell ref="A12:B12"/>
    <mergeCell ref="B14:C14"/>
    <mergeCell ref="Q14:R14"/>
    <mergeCell ref="T14:T15"/>
    <mergeCell ref="V14:X14"/>
    <mergeCell ref="B15:C15"/>
    <mergeCell ref="Q15:R15"/>
    <mergeCell ref="V15:X15"/>
    <mergeCell ref="A1:Y1"/>
    <mergeCell ref="A2:Y2"/>
    <mergeCell ref="T3:Y3"/>
    <mergeCell ref="A4:A5"/>
    <mergeCell ref="B4:B5"/>
    <mergeCell ref="C4:D4"/>
    <mergeCell ref="E4:F4"/>
    <mergeCell ref="G4:H4"/>
    <mergeCell ref="I4:J4"/>
    <mergeCell ref="K4:L4"/>
    <mergeCell ref="Y4:Y5"/>
    <mergeCell ref="M4:N4"/>
    <mergeCell ref="O4:P4"/>
    <mergeCell ref="Q4:R4"/>
    <mergeCell ref="S4:T4"/>
    <mergeCell ref="U4:V4"/>
  </mergeCells>
  <pageMargins left="0.15748031496063" right="0.15748031496063" top="0" bottom="0" header="0" footer="0"/>
  <pageSetup paperSize="9" scale="46" orientation="landscape" r:id="rId1"/>
</worksheet>
</file>

<file path=xl/worksheets/sheet16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42F2F1C-E718-412C-8444-38E38B2673DB}">
  <sheetPr>
    <pageSetUpPr fitToPage="1"/>
  </sheetPr>
  <dimension ref="A1:Y33"/>
  <sheetViews>
    <sheetView topLeftCell="A10" zoomScale="70" zoomScaleNormal="70" zoomScaleSheetLayoutView="100" workbookViewId="0">
      <selection activeCell="V18" sqref="V18:X18"/>
    </sheetView>
  </sheetViews>
  <sheetFormatPr defaultColWidth="9.140625" defaultRowHeight="15" x14ac:dyDescent="0.25"/>
  <cols>
    <col min="1" max="1" width="18.28515625" style="14" customWidth="1"/>
    <col min="2" max="2" width="10.7109375" style="14" customWidth="1"/>
    <col min="3" max="3" width="12.28515625" style="14" customWidth="1"/>
    <col min="4" max="4" width="13.140625" style="14" bestFit="1" customWidth="1"/>
    <col min="5" max="5" width="12" style="14" customWidth="1"/>
    <col min="6" max="6" width="12.5703125" style="14" bestFit="1" customWidth="1"/>
    <col min="7" max="7" width="9.28515625" style="14" bestFit="1" customWidth="1"/>
    <col min="8" max="8" width="10.140625" style="14" bestFit="1" customWidth="1"/>
    <col min="9" max="9" width="10.5703125" style="14" bestFit="1" customWidth="1"/>
    <col min="10" max="10" width="10.5703125" style="14" customWidth="1"/>
    <col min="11" max="11" width="10.28515625" style="14" bestFit="1" customWidth="1"/>
    <col min="12" max="12" width="10.42578125" style="14" bestFit="1" customWidth="1"/>
    <col min="13" max="13" width="9.85546875" style="14" bestFit="1" customWidth="1"/>
    <col min="14" max="14" width="10.140625" style="14" bestFit="1" customWidth="1"/>
    <col min="15" max="15" width="9" style="14" customWidth="1"/>
    <col min="16" max="16" width="12.85546875" style="14" bestFit="1" customWidth="1"/>
    <col min="17" max="18" width="9.42578125" style="14" customWidth="1"/>
    <col min="19" max="19" width="13.7109375" style="14" customWidth="1"/>
    <col min="20" max="20" width="12.140625" style="14" customWidth="1"/>
    <col min="21" max="21" width="21.7109375" style="14" customWidth="1"/>
    <col min="22" max="22" width="9.85546875" style="14" customWidth="1"/>
    <col min="23" max="23" width="10.140625" style="14" bestFit="1" customWidth="1"/>
    <col min="24" max="24" width="10.28515625" style="14" customWidth="1"/>
    <col min="25" max="25" width="28" style="14" customWidth="1"/>
    <col min="26" max="16384" width="9.140625" style="14"/>
  </cols>
  <sheetData>
    <row r="1" spans="1:25" ht="46.15" customHeight="1" x14ac:dyDescent="0.25">
      <c r="A1" s="2240" t="s">
        <v>148</v>
      </c>
      <c r="B1" s="2240"/>
      <c r="C1" s="2240"/>
      <c r="D1" s="2240"/>
      <c r="E1" s="2240"/>
      <c r="F1" s="2240"/>
      <c r="G1" s="2240"/>
      <c r="H1" s="2240"/>
      <c r="I1" s="2240"/>
      <c r="J1" s="2240"/>
      <c r="K1" s="2240"/>
      <c r="L1" s="2240"/>
      <c r="M1" s="2240"/>
      <c r="N1" s="2240"/>
      <c r="O1" s="2240"/>
      <c r="P1" s="2240"/>
      <c r="Q1" s="2240"/>
      <c r="R1" s="2240"/>
      <c r="S1" s="2240"/>
      <c r="T1" s="2240"/>
      <c r="U1" s="2240"/>
      <c r="V1" s="2240"/>
      <c r="W1" s="2240"/>
      <c r="X1" s="2240"/>
      <c r="Y1" s="2240"/>
    </row>
    <row r="2" spans="1:25" ht="21.6" customHeight="1" x14ac:dyDescent="0.25">
      <c r="A2" s="2241" t="s">
        <v>383</v>
      </c>
      <c r="B2" s="2241"/>
      <c r="C2" s="2241"/>
      <c r="D2" s="2241"/>
      <c r="E2" s="2241"/>
      <c r="F2" s="2241"/>
      <c r="G2" s="2241"/>
      <c r="H2" s="2241"/>
      <c r="I2" s="2241"/>
      <c r="J2" s="2241"/>
      <c r="K2" s="2241"/>
      <c r="L2" s="2241"/>
      <c r="M2" s="2241"/>
      <c r="N2" s="2241"/>
      <c r="O2" s="2241"/>
      <c r="P2" s="2241"/>
      <c r="Q2" s="2241"/>
      <c r="R2" s="2241"/>
      <c r="S2" s="2241"/>
      <c r="T2" s="2241"/>
      <c r="U2" s="2241"/>
      <c r="V2" s="2241"/>
      <c r="W2" s="2241"/>
      <c r="X2" s="2241"/>
      <c r="Y2" s="2241"/>
    </row>
    <row r="3" spans="1:25" ht="21" customHeight="1" x14ac:dyDescent="0.25">
      <c r="A3" s="717"/>
      <c r="B3" s="717"/>
      <c r="C3" s="717"/>
      <c r="D3" s="717"/>
      <c r="E3" s="717"/>
      <c r="F3" s="717"/>
      <c r="G3" s="717"/>
      <c r="H3" s="717"/>
      <c r="I3" s="717"/>
      <c r="J3" s="717"/>
      <c r="K3" s="717"/>
      <c r="L3" s="717"/>
      <c r="M3" s="717"/>
      <c r="N3" s="717"/>
      <c r="O3" s="717"/>
      <c r="P3" s="717"/>
      <c r="Q3" s="717"/>
      <c r="R3" s="717"/>
      <c r="S3" s="717"/>
      <c r="T3" s="2242" t="s">
        <v>389</v>
      </c>
      <c r="U3" s="2242"/>
      <c r="V3" s="2242"/>
      <c r="W3" s="2242"/>
      <c r="X3" s="2242"/>
      <c r="Y3" s="2242"/>
    </row>
    <row r="4" spans="1:25" s="717" customFormat="1" ht="18" customHeight="1" x14ac:dyDescent="0.25">
      <c r="A4" s="2243" t="s">
        <v>25</v>
      </c>
      <c r="B4" s="2243" t="s">
        <v>26</v>
      </c>
      <c r="C4" s="2244" t="s">
        <v>27</v>
      </c>
      <c r="D4" s="2244"/>
      <c r="E4" s="2244" t="s">
        <v>342</v>
      </c>
      <c r="F4" s="2244"/>
      <c r="G4" s="2244" t="s">
        <v>65</v>
      </c>
      <c r="H4" s="2244"/>
      <c r="I4" s="2244" t="s">
        <v>29</v>
      </c>
      <c r="J4" s="2244"/>
      <c r="K4" s="2245" t="s">
        <v>14</v>
      </c>
      <c r="L4" s="2246"/>
      <c r="M4" s="2245" t="s">
        <v>67</v>
      </c>
      <c r="N4" s="2246"/>
      <c r="O4" s="2245" t="s">
        <v>68</v>
      </c>
      <c r="P4" s="2246"/>
      <c r="Q4" s="2245" t="s">
        <v>114</v>
      </c>
      <c r="R4" s="2246"/>
      <c r="S4" s="2244" t="s">
        <v>35</v>
      </c>
      <c r="T4" s="2244"/>
      <c r="U4" s="2245" t="s">
        <v>17</v>
      </c>
      <c r="V4" s="2246"/>
      <c r="W4" s="2247" t="s">
        <v>36</v>
      </c>
      <c r="X4" s="2248"/>
      <c r="Y4" s="2238" t="s">
        <v>30</v>
      </c>
    </row>
    <row r="5" spans="1:25" s="717" customFormat="1" ht="25.5" customHeight="1" x14ac:dyDescent="0.25">
      <c r="A5" s="2243"/>
      <c r="B5" s="2243"/>
      <c r="C5" s="716" t="s">
        <v>42</v>
      </c>
      <c r="D5" s="716" t="s">
        <v>43</v>
      </c>
      <c r="E5" s="716" t="s">
        <v>42</v>
      </c>
      <c r="F5" s="716" t="s">
        <v>43</v>
      </c>
      <c r="G5" s="716" t="s">
        <v>42</v>
      </c>
      <c r="H5" s="716" t="s">
        <v>43</v>
      </c>
      <c r="I5" s="716" t="s">
        <v>42</v>
      </c>
      <c r="J5" s="716" t="s">
        <v>43</v>
      </c>
      <c r="K5" s="716" t="s">
        <v>42</v>
      </c>
      <c r="L5" s="716" t="s">
        <v>43</v>
      </c>
      <c r="M5" s="716" t="s">
        <v>42</v>
      </c>
      <c r="N5" s="716" t="s">
        <v>43</v>
      </c>
      <c r="O5" s="716" t="s">
        <v>42</v>
      </c>
      <c r="P5" s="716" t="s">
        <v>43</v>
      </c>
      <c r="Q5" s="716" t="s">
        <v>42</v>
      </c>
      <c r="R5" s="716" t="s">
        <v>43</v>
      </c>
      <c r="S5" s="33" t="s">
        <v>42</v>
      </c>
      <c r="T5" s="33" t="s">
        <v>43</v>
      </c>
      <c r="U5" s="30" t="s">
        <v>42</v>
      </c>
      <c r="V5" s="30" t="s">
        <v>43</v>
      </c>
      <c r="W5" s="30" t="s">
        <v>42</v>
      </c>
      <c r="X5" s="30" t="s">
        <v>43</v>
      </c>
      <c r="Y5" s="2239"/>
    </row>
    <row r="6" spans="1:25" ht="34.5" customHeight="1" x14ac:dyDescent="0.25">
      <c r="A6" s="12">
        <v>1409935200</v>
      </c>
      <c r="B6" s="715" t="s">
        <v>71</v>
      </c>
      <c r="C6" s="713">
        <v>61682</v>
      </c>
      <c r="D6" s="712">
        <f>0.9725*C6</f>
        <v>59985.745000000003</v>
      </c>
      <c r="E6" s="713"/>
      <c r="F6" s="713">
        <f>67.1*E6</f>
        <v>0</v>
      </c>
      <c r="G6" s="713"/>
      <c r="H6" s="713">
        <f>28.2*G6</f>
        <v>0</v>
      </c>
      <c r="I6" s="713">
        <v>2070</v>
      </c>
      <c r="J6" s="713">
        <f>18.5*I6</f>
        <v>38295</v>
      </c>
      <c r="K6" s="713">
        <v>500</v>
      </c>
      <c r="L6" s="713">
        <f>28.2368*K6</f>
        <v>14118.4</v>
      </c>
      <c r="M6" s="713"/>
      <c r="N6" s="712">
        <f>M6*9.75</f>
        <v>0</v>
      </c>
      <c r="O6" s="713"/>
      <c r="P6" s="712">
        <f>O6*48.62</f>
        <v>0</v>
      </c>
      <c r="Q6" s="712"/>
      <c r="R6" s="712">
        <f>241*Q6</f>
        <v>0</v>
      </c>
      <c r="S6" s="713"/>
      <c r="T6" s="713">
        <f>241*S6</f>
        <v>0</v>
      </c>
      <c r="U6" s="713"/>
      <c r="V6" s="713">
        <f>332*U6</f>
        <v>0</v>
      </c>
      <c r="W6" s="713"/>
      <c r="X6" s="19">
        <f>W6*100</f>
        <v>0</v>
      </c>
      <c r="Y6" s="20">
        <f t="shared" ref="Y6:Y12" si="0">D6+F6+H6+J6+L6+N6+P6+R6+T6+V6+X6</f>
        <v>112399.14499999999</v>
      </c>
    </row>
    <row r="7" spans="1:25" ht="31.5" customHeight="1" x14ac:dyDescent="0.25">
      <c r="A7" s="12">
        <v>1984225578</v>
      </c>
      <c r="B7" s="715" t="s">
        <v>72</v>
      </c>
      <c r="C7" s="713">
        <v>94504</v>
      </c>
      <c r="D7" s="712">
        <f t="shared" ref="D7:D11" si="1">0.9725*C7</f>
        <v>91905.14</v>
      </c>
      <c r="E7" s="713"/>
      <c r="F7" s="713">
        <f t="shared" ref="F7:F11" si="2">67.1*E7</f>
        <v>0</v>
      </c>
      <c r="G7" s="713"/>
      <c r="H7" s="713">
        <f t="shared" ref="H7:H11" si="3">28.2*G7</f>
        <v>0</v>
      </c>
      <c r="I7" s="713"/>
      <c r="J7" s="713">
        <f t="shared" ref="J7:J11" si="4">18.5*I7</f>
        <v>0</v>
      </c>
      <c r="K7" s="713"/>
      <c r="L7" s="713">
        <f t="shared" ref="L7:L11" si="5">28.2368*K7</f>
        <v>0</v>
      </c>
      <c r="M7" s="713"/>
      <c r="N7" s="712">
        <f t="shared" ref="N7:N11" si="6">M7*9.75</f>
        <v>0</v>
      </c>
      <c r="O7" s="713"/>
      <c r="P7" s="712">
        <f t="shared" ref="P7:P11" si="7">O7*48.62</f>
        <v>0</v>
      </c>
      <c r="Q7" s="712"/>
      <c r="R7" s="712">
        <f t="shared" ref="R7:R11" si="8">241*Q7</f>
        <v>0</v>
      </c>
      <c r="S7" s="713"/>
      <c r="T7" s="713">
        <f t="shared" ref="T7:T11" si="9">241*S7</f>
        <v>0</v>
      </c>
      <c r="U7" s="713"/>
      <c r="V7" s="713">
        <f t="shared" ref="V7:V11" si="10">332*U7</f>
        <v>0</v>
      </c>
      <c r="W7" s="713"/>
      <c r="X7" s="19">
        <f t="shared" ref="X7:X11" si="11">W7*100</f>
        <v>0</v>
      </c>
      <c r="Y7" s="20">
        <f t="shared" si="0"/>
        <v>91905.14</v>
      </c>
    </row>
    <row r="8" spans="1:25" ht="35.25" customHeight="1" x14ac:dyDescent="0.25">
      <c r="A8" s="12">
        <v>1967020280</v>
      </c>
      <c r="B8" s="715" t="s">
        <v>73</v>
      </c>
      <c r="C8" s="713">
        <v>58308</v>
      </c>
      <c r="D8" s="712">
        <f t="shared" si="1"/>
        <v>56704.53</v>
      </c>
      <c r="E8" s="713"/>
      <c r="F8" s="713">
        <f t="shared" si="2"/>
        <v>0</v>
      </c>
      <c r="G8" s="713">
        <v>10</v>
      </c>
      <c r="H8" s="713">
        <f t="shared" si="3"/>
        <v>282</v>
      </c>
      <c r="I8" s="713">
        <v>1970</v>
      </c>
      <c r="J8" s="713">
        <f t="shared" si="4"/>
        <v>36445</v>
      </c>
      <c r="K8" s="713"/>
      <c r="L8" s="713">
        <f t="shared" si="5"/>
        <v>0</v>
      </c>
      <c r="M8" s="713"/>
      <c r="N8" s="712">
        <f t="shared" si="6"/>
        <v>0</v>
      </c>
      <c r="O8" s="713"/>
      <c r="P8" s="712">
        <f t="shared" si="7"/>
        <v>0</v>
      </c>
      <c r="Q8" s="712"/>
      <c r="R8" s="712">
        <f t="shared" si="8"/>
        <v>0</v>
      </c>
      <c r="S8" s="713"/>
      <c r="T8" s="713">
        <f t="shared" si="9"/>
        <v>0</v>
      </c>
      <c r="U8" s="713"/>
      <c r="V8" s="713">
        <f t="shared" si="10"/>
        <v>0</v>
      </c>
      <c r="W8" s="713"/>
      <c r="X8" s="19">
        <f t="shared" si="11"/>
        <v>0</v>
      </c>
      <c r="Y8" s="20">
        <f t="shared" si="0"/>
        <v>93431.53</v>
      </c>
    </row>
    <row r="9" spans="1:25" ht="38.25" customHeight="1" x14ac:dyDescent="0.25">
      <c r="A9" s="12">
        <v>1984225580</v>
      </c>
      <c r="B9" s="715" t="s">
        <v>75</v>
      </c>
      <c r="C9" s="713">
        <v>155161</v>
      </c>
      <c r="D9" s="712">
        <f t="shared" si="1"/>
        <v>150894.07250000001</v>
      </c>
      <c r="E9" s="713"/>
      <c r="F9" s="713">
        <f t="shared" si="2"/>
        <v>0</v>
      </c>
      <c r="G9" s="713"/>
      <c r="H9" s="713">
        <f t="shared" si="3"/>
        <v>0</v>
      </c>
      <c r="I9" s="713">
        <v>1630</v>
      </c>
      <c r="J9" s="713">
        <f t="shared" si="4"/>
        <v>30155</v>
      </c>
      <c r="K9" s="713">
        <v>970</v>
      </c>
      <c r="L9" s="713">
        <f t="shared" si="5"/>
        <v>27389.696</v>
      </c>
      <c r="M9" s="713"/>
      <c r="N9" s="712">
        <f t="shared" si="6"/>
        <v>0</v>
      </c>
      <c r="O9" s="713"/>
      <c r="P9" s="712">
        <f t="shared" si="7"/>
        <v>0</v>
      </c>
      <c r="Q9" s="712"/>
      <c r="R9" s="712">
        <f t="shared" si="8"/>
        <v>0</v>
      </c>
      <c r="S9" s="713"/>
      <c r="T9" s="713">
        <f t="shared" si="9"/>
        <v>0</v>
      </c>
      <c r="U9" s="713"/>
      <c r="V9" s="713">
        <f t="shared" si="10"/>
        <v>0</v>
      </c>
      <c r="W9" s="713"/>
      <c r="X9" s="19">
        <f t="shared" si="11"/>
        <v>0</v>
      </c>
      <c r="Y9" s="20">
        <f t="shared" si="0"/>
        <v>208438.76850000001</v>
      </c>
    </row>
    <row r="10" spans="1:25" ht="35.25" customHeight="1" x14ac:dyDescent="0.25">
      <c r="A10" s="12">
        <v>1409935199</v>
      </c>
      <c r="C10" s="713"/>
      <c r="D10" s="712">
        <f t="shared" si="1"/>
        <v>0</v>
      </c>
      <c r="E10" s="713"/>
      <c r="F10" s="713">
        <f t="shared" si="2"/>
        <v>0</v>
      </c>
      <c r="G10" s="713"/>
      <c r="H10" s="713">
        <f t="shared" si="3"/>
        <v>0</v>
      </c>
      <c r="I10" s="713"/>
      <c r="J10" s="713">
        <f t="shared" si="4"/>
        <v>0</v>
      </c>
      <c r="K10" s="713"/>
      <c r="L10" s="713">
        <f t="shared" si="5"/>
        <v>0</v>
      </c>
      <c r="M10" s="713"/>
      <c r="N10" s="712">
        <f t="shared" si="6"/>
        <v>0</v>
      </c>
      <c r="O10" s="713"/>
      <c r="P10" s="712">
        <f t="shared" si="7"/>
        <v>0</v>
      </c>
      <c r="Q10" s="712"/>
      <c r="R10" s="712">
        <f t="shared" si="8"/>
        <v>0</v>
      </c>
      <c r="S10" s="713"/>
      <c r="T10" s="713">
        <f t="shared" si="9"/>
        <v>0</v>
      </c>
      <c r="U10" s="713"/>
      <c r="V10" s="713">
        <f t="shared" si="10"/>
        <v>0</v>
      </c>
      <c r="W10" s="713"/>
      <c r="X10" s="19">
        <f t="shared" si="11"/>
        <v>0</v>
      </c>
      <c r="Y10" s="20">
        <f t="shared" si="0"/>
        <v>0</v>
      </c>
    </row>
    <row r="11" spans="1:25" ht="37.5" customHeight="1" x14ac:dyDescent="0.25">
      <c r="A11" s="12"/>
      <c r="B11" s="714"/>
      <c r="C11" s="713"/>
      <c r="D11" s="22">
        <f t="shared" si="1"/>
        <v>0</v>
      </c>
      <c r="E11" s="713"/>
      <c r="F11" s="713">
        <f t="shared" si="2"/>
        <v>0</v>
      </c>
      <c r="G11" s="713"/>
      <c r="H11" s="713">
        <f t="shared" si="3"/>
        <v>0</v>
      </c>
      <c r="I11" s="713"/>
      <c r="J11" s="713">
        <f t="shared" si="4"/>
        <v>0</v>
      </c>
      <c r="K11" s="713"/>
      <c r="L11" s="713">
        <f t="shared" si="5"/>
        <v>0</v>
      </c>
      <c r="M11" s="713"/>
      <c r="N11" s="712">
        <f t="shared" si="6"/>
        <v>0</v>
      </c>
      <c r="O11" s="713"/>
      <c r="P11" s="712">
        <f t="shared" si="7"/>
        <v>0</v>
      </c>
      <c r="Q11" s="712"/>
      <c r="R11" s="712">
        <f t="shared" si="8"/>
        <v>0</v>
      </c>
      <c r="S11" s="713"/>
      <c r="T11" s="713">
        <f t="shared" si="9"/>
        <v>0</v>
      </c>
      <c r="U11" s="713"/>
      <c r="V11" s="713">
        <f t="shared" si="10"/>
        <v>0</v>
      </c>
      <c r="W11" s="713"/>
      <c r="X11" s="19">
        <f t="shared" si="11"/>
        <v>0</v>
      </c>
      <c r="Y11" s="20">
        <f t="shared" si="0"/>
        <v>0</v>
      </c>
    </row>
    <row r="12" spans="1:25" ht="29.25" customHeight="1" x14ac:dyDescent="0.25">
      <c r="A12" s="2235" t="s">
        <v>31</v>
      </c>
      <c r="B12" s="2235"/>
      <c r="C12" s="18">
        <f t="shared" ref="C12:X12" si="12">SUM(C6:C11)</f>
        <v>369655</v>
      </c>
      <c r="D12" s="18">
        <f t="shared" si="12"/>
        <v>359489.48750000005</v>
      </c>
      <c r="E12" s="18">
        <f t="shared" si="12"/>
        <v>0</v>
      </c>
      <c r="F12" s="18">
        <f t="shared" si="12"/>
        <v>0</v>
      </c>
      <c r="G12" s="18">
        <f t="shared" si="12"/>
        <v>10</v>
      </c>
      <c r="H12" s="18">
        <f t="shared" si="12"/>
        <v>282</v>
      </c>
      <c r="I12" s="18">
        <f t="shared" si="12"/>
        <v>5670</v>
      </c>
      <c r="J12" s="18">
        <f t="shared" si="12"/>
        <v>104895</v>
      </c>
      <c r="K12" s="18">
        <f t="shared" si="12"/>
        <v>1470</v>
      </c>
      <c r="L12" s="18">
        <f t="shared" si="12"/>
        <v>41508.095999999998</v>
      </c>
      <c r="M12" s="18">
        <f t="shared" si="12"/>
        <v>0</v>
      </c>
      <c r="N12" s="23">
        <f t="shared" si="12"/>
        <v>0</v>
      </c>
      <c r="O12" s="18">
        <f t="shared" si="12"/>
        <v>0</v>
      </c>
      <c r="P12" s="23">
        <f t="shared" si="12"/>
        <v>0</v>
      </c>
      <c r="Q12" s="23">
        <f t="shared" si="12"/>
        <v>0</v>
      </c>
      <c r="R12" s="23">
        <f>SUM(R6:R11)</f>
        <v>0</v>
      </c>
      <c r="S12" s="18">
        <f t="shared" si="12"/>
        <v>0</v>
      </c>
      <c r="T12" s="18">
        <f t="shared" si="12"/>
        <v>0</v>
      </c>
      <c r="U12" s="18">
        <f t="shared" si="12"/>
        <v>0</v>
      </c>
      <c r="V12" s="18">
        <f t="shared" si="12"/>
        <v>0</v>
      </c>
      <c r="W12" s="18">
        <f t="shared" si="12"/>
        <v>0</v>
      </c>
      <c r="X12" s="18">
        <f t="shared" si="12"/>
        <v>0</v>
      </c>
      <c r="Y12" s="20">
        <f t="shared" si="0"/>
        <v>506174.58350000007</v>
      </c>
    </row>
    <row r="14" spans="1:25" ht="41.25" customHeight="1" x14ac:dyDescent="0.25">
      <c r="A14" s="30" t="s">
        <v>32</v>
      </c>
      <c r="B14" s="2236" t="s">
        <v>27</v>
      </c>
      <c r="C14" s="2236"/>
      <c r="D14" s="30" t="s">
        <v>333</v>
      </c>
      <c r="E14" s="30" t="s">
        <v>65</v>
      </c>
      <c r="F14" s="30" t="s">
        <v>34</v>
      </c>
      <c r="G14" s="30" t="s">
        <v>14</v>
      </c>
      <c r="H14" s="469" t="s">
        <v>173</v>
      </c>
      <c r="I14" s="30" t="s">
        <v>17</v>
      </c>
      <c r="J14" s="721" t="s">
        <v>174</v>
      </c>
      <c r="K14" s="30" t="s">
        <v>36</v>
      </c>
      <c r="L14" s="30" t="s">
        <v>175</v>
      </c>
      <c r="M14" s="30" t="s">
        <v>69</v>
      </c>
      <c r="N14" s="30" t="s">
        <v>70</v>
      </c>
      <c r="O14" s="721" t="s">
        <v>114</v>
      </c>
      <c r="P14" s="721"/>
      <c r="Q14" s="2300" t="s">
        <v>378</v>
      </c>
      <c r="R14" s="2301"/>
      <c r="S14" s="721"/>
      <c r="T14" s="2235" t="s">
        <v>46</v>
      </c>
      <c r="U14" s="715" t="s">
        <v>176</v>
      </c>
      <c r="V14" s="2260">
        <v>19074</v>
      </c>
      <c r="W14" s="2268"/>
      <c r="X14" s="2261"/>
    </row>
    <row r="15" spans="1:25" ht="22.5" customHeight="1" x14ac:dyDescent="0.25">
      <c r="A15" s="100" t="s">
        <v>38</v>
      </c>
      <c r="B15" s="2260">
        <v>471358</v>
      </c>
      <c r="C15" s="2261"/>
      <c r="D15" s="718">
        <v>522</v>
      </c>
      <c r="E15" s="718">
        <v>500</v>
      </c>
      <c r="F15" s="718">
        <v>5800</v>
      </c>
      <c r="G15" s="718">
        <v>2710</v>
      </c>
      <c r="H15" s="718">
        <v>138</v>
      </c>
      <c r="I15" s="718">
        <v>0</v>
      </c>
      <c r="J15" s="718">
        <v>26</v>
      </c>
      <c r="K15" s="718">
        <v>71</v>
      </c>
      <c r="L15" s="718">
        <v>29</v>
      </c>
      <c r="M15" s="718">
        <v>0</v>
      </c>
      <c r="N15" s="718">
        <v>100</v>
      </c>
      <c r="O15" s="718">
        <v>0</v>
      </c>
      <c r="P15" s="718"/>
      <c r="Q15" s="2260">
        <v>100</v>
      </c>
      <c r="R15" s="2261"/>
      <c r="S15" s="715"/>
      <c r="T15" s="2235"/>
      <c r="U15" s="715" t="s">
        <v>64</v>
      </c>
      <c r="V15" s="2262">
        <v>279480</v>
      </c>
      <c r="W15" s="2262"/>
      <c r="X15" s="2262"/>
    </row>
    <row r="16" spans="1:25" ht="24.75" customHeight="1" x14ac:dyDescent="0.25">
      <c r="A16" s="100" t="s">
        <v>39</v>
      </c>
      <c r="B16" s="2260">
        <v>385000</v>
      </c>
      <c r="C16" s="2261"/>
      <c r="D16" s="718"/>
      <c r="E16" s="718"/>
      <c r="F16" s="718">
        <v>15000</v>
      </c>
      <c r="G16" s="718">
        <v>290</v>
      </c>
      <c r="H16" s="718"/>
      <c r="I16" s="718"/>
      <c r="J16" s="718"/>
      <c r="K16" s="718"/>
      <c r="L16" s="718"/>
      <c r="M16" s="718"/>
      <c r="N16" s="718"/>
      <c r="O16" s="718"/>
      <c r="P16" s="718"/>
      <c r="Q16" s="2225"/>
      <c r="R16" s="2225"/>
      <c r="S16" s="718"/>
      <c r="T16" s="2254" t="s">
        <v>55</v>
      </c>
      <c r="U16" s="2254"/>
      <c r="V16" s="2267">
        <f>Y12</f>
        <v>506174.58350000007</v>
      </c>
      <c r="W16" s="2267"/>
      <c r="X16" s="2262"/>
    </row>
    <row r="17" spans="1:25" ht="28.5" customHeight="1" x14ac:dyDescent="0.25">
      <c r="A17" s="101" t="s">
        <v>44</v>
      </c>
      <c r="B17" s="2260"/>
      <c r="C17" s="2261"/>
      <c r="D17" s="718"/>
      <c r="E17" s="718"/>
      <c r="F17" s="718"/>
      <c r="G17" s="718"/>
      <c r="H17" s="718"/>
      <c r="I17" s="718"/>
      <c r="J17" s="718"/>
      <c r="K17" s="718"/>
      <c r="L17" s="718"/>
      <c r="M17" s="718"/>
      <c r="N17" s="718"/>
      <c r="O17" s="718"/>
      <c r="P17" s="718"/>
      <c r="Q17" s="2225"/>
      <c r="R17" s="2225"/>
      <c r="S17" s="714"/>
      <c r="T17" s="2294" t="s">
        <v>362</v>
      </c>
      <c r="U17" s="2295"/>
      <c r="V17" s="2296"/>
      <c r="W17" s="2296"/>
      <c r="X17" s="2296"/>
    </row>
    <row r="18" spans="1:25" ht="27" customHeight="1" x14ac:dyDescent="0.25">
      <c r="A18" s="100" t="s">
        <v>40</v>
      </c>
      <c r="B18" s="2264">
        <f>C12</f>
        <v>369655</v>
      </c>
      <c r="C18" s="2261"/>
      <c r="D18" s="720">
        <f>E12</f>
        <v>0</v>
      </c>
      <c r="E18" s="720">
        <f>G12</f>
        <v>10</v>
      </c>
      <c r="F18" s="720">
        <f>I12</f>
        <v>5670</v>
      </c>
      <c r="G18" s="720">
        <f>K12</f>
        <v>1470</v>
      </c>
      <c r="H18" s="718"/>
      <c r="I18" s="720">
        <f>U12</f>
        <v>0</v>
      </c>
      <c r="J18" s="718"/>
      <c r="K18" s="720">
        <f>W12</f>
        <v>0</v>
      </c>
      <c r="L18" s="718"/>
      <c r="M18" s="720">
        <f>M12</f>
        <v>0</v>
      </c>
      <c r="N18" s="720">
        <f>O12</f>
        <v>0</v>
      </c>
      <c r="O18" s="719">
        <f>Q12</f>
        <v>0</v>
      </c>
      <c r="P18" s="718"/>
      <c r="Q18" s="2262"/>
      <c r="R18" s="2262"/>
      <c r="S18" s="715"/>
      <c r="T18" s="2254" t="s">
        <v>57</v>
      </c>
      <c r="U18" s="2254"/>
      <c r="V18" s="2262">
        <v>1320</v>
      </c>
      <c r="W18" s="2262"/>
      <c r="X18" s="2262"/>
      <c r="Y18" s="2269"/>
    </row>
    <row r="19" spans="1:25" ht="25.5" customHeight="1" x14ac:dyDescent="0.25">
      <c r="A19" s="100" t="s">
        <v>41</v>
      </c>
      <c r="B19" s="2260">
        <f>B15+B16+B17-B18</f>
        <v>486703</v>
      </c>
      <c r="C19" s="2261"/>
      <c r="D19" s="718">
        <f>D15+D16+D17-D18</f>
        <v>522</v>
      </c>
      <c r="E19" s="718">
        <f t="shared" ref="E19:N19" si="13">E15+E16+E17-E18</f>
        <v>490</v>
      </c>
      <c r="F19" s="718">
        <f t="shared" si="13"/>
        <v>15130</v>
      </c>
      <c r="G19" s="718">
        <f t="shared" si="13"/>
        <v>1530</v>
      </c>
      <c r="H19" s="718">
        <f t="shared" si="13"/>
        <v>138</v>
      </c>
      <c r="I19" s="718">
        <f t="shared" si="13"/>
        <v>0</v>
      </c>
      <c r="J19" s="718">
        <f t="shared" si="13"/>
        <v>26</v>
      </c>
      <c r="K19" s="718">
        <f t="shared" si="13"/>
        <v>71</v>
      </c>
      <c r="L19" s="718">
        <f t="shared" si="13"/>
        <v>29</v>
      </c>
      <c r="M19" s="718">
        <f t="shared" si="13"/>
        <v>0</v>
      </c>
      <c r="N19" s="718">
        <f t="shared" si="13"/>
        <v>100</v>
      </c>
      <c r="O19" s="718">
        <f>O15+O16+O17-O18</f>
        <v>0</v>
      </c>
      <c r="P19" s="718">
        <f>P15+P16+P17-P18</f>
        <v>0</v>
      </c>
      <c r="Q19" s="2260">
        <f t="shared" ref="Q19" si="14">Q15+Q16+Q17-Q18</f>
        <v>100</v>
      </c>
      <c r="R19" s="2261"/>
      <c r="S19" s="715">
        <f>S15+S16-S17-S18</f>
        <v>0</v>
      </c>
      <c r="T19" s="2256" t="s">
        <v>48</v>
      </c>
      <c r="U19" s="49" t="s">
        <v>58</v>
      </c>
      <c r="V19" s="2262"/>
      <c r="W19" s="2262"/>
      <c r="X19" s="2262"/>
      <c r="Y19" s="2269"/>
    </row>
    <row r="20" spans="1:25" ht="23.25" customHeight="1" x14ac:dyDescent="0.25">
      <c r="A20" s="289" t="s">
        <v>187</v>
      </c>
      <c r="B20" s="2286">
        <f>B19*0.9625</f>
        <v>468451.63750000001</v>
      </c>
      <c r="C20" s="2287"/>
      <c r="D20" s="290">
        <f>D19*66.41</f>
        <v>34666.019999999997</v>
      </c>
      <c r="E20" s="290">
        <f>28.2*E19</f>
        <v>13818</v>
      </c>
      <c r="F20" s="290">
        <f>18.31*F19</f>
        <v>277030.3</v>
      </c>
      <c r="G20" s="290">
        <f>27.9368*G19</f>
        <v>42743.304000000004</v>
      </c>
      <c r="H20" s="290">
        <f>241*H19</f>
        <v>33258</v>
      </c>
      <c r="I20" s="290">
        <f>323*I19</f>
        <v>0</v>
      </c>
      <c r="J20" s="290">
        <f>241*J19</f>
        <v>6266</v>
      </c>
      <c r="K20" s="290">
        <f>K19*100</f>
        <v>7100</v>
      </c>
      <c r="L20" s="290">
        <f>241*L19</f>
        <v>6989</v>
      </c>
      <c r="M20" s="290">
        <f>9.65*M19</f>
        <v>0</v>
      </c>
      <c r="N20" s="290">
        <f>N19*48.2</f>
        <v>4820</v>
      </c>
      <c r="O20" s="290">
        <f>241*O19</f>
        <v>0</v>
      </c>
      <c r="P20" s="290">
        <f>241*P19</f>
        <v>0</v>
      </c>
      <c r="Q20" s="2286">
        <f>341*Q19</f>
        <v>34100</v>
      </c>
      <c r="R20" s="2287"/>
      <c r="S20" s="290">
        <f>241*S19</f>
        <v>0</v>
      </c>
      <c r="T20" s="2257"/>
      <c r="U20" s="49" t="s">
        <v>59</v>
      </c>
      <c r="V20" s="2262"/>
      <c r="W20" s="2262"/>
      <c r="X20" s="2262"/>
      <c r="Y20" s="2269"/>
    </row>
    <row r="21" spans="1:25" ht="32.25" customHeight="1" x14ac:dyDescent="0.25">
      <c r="A21" s="291" t="s">
        <v>186</v>
      </c>
      <c r="B21" s="2293">
        <f>SUM(B20:S20)</f>
        <v>929242.26150000002</v>
      </c>
      <c r="C21" s="2293"/>
      <c r="O21" s="722"/>
      <c r="P21" s="722"/>
      <c r="Q21" s="722"/>
      <c r="R21" s="722"/>
      <c r="T21" s="2294" t="s">
        <v>366</v>
      </c>
      <c r="U21" s="2295"/>
      <c r="V21" s="2297"/>
      <c r="W21" s="2298"/>
      <c r="X21" s="2299"/>
      <c r="Y21" s="2269"/>
    </row>
    <row r="22" spans="1:25" ht="35.25" customHeight="1" x14ac:dyDescent="0.25">
      <c r="A22" s="15"/>
      <c r="B22" s="2288" t="s">
        <v>49</v>
      </c>
      <c r="C22" s="2291">
        <v>771810</v>
      </c>
      <c r="D22" s="2291"/>
      <c r="E22" s="2291">
        <v>653315</v>
      </c>
      <c r="F22" s="2291">
        <f>C22-D22+E22</f>
        <v>1425125</v>
      </c>
      <c r="G22" s="722"/>
      <c r="Q22" s="722"/>
      <c r="R22" s="722"/>
      <c r="T22" s="2251" t="s">
        <v>83</v>
      </c>
      <c r="U22" s="50" t="s">
        <v>60</v>
      </c>
      <c r="V22" s="2262"/>
      <c r="W22" s="2262"/>
      <c r="X22" s="2262"/>
      <c r="Y22" s="2269"/>
    </row>
    <row r="23" spans="1:25" ht="39.75" customHeight="1" x14ac:dyDescent="0.25">
      <c r="A23" s="722"/>
      <c r="B23" s="2289"/>
      <c r="C23" s="2292"/>
      <c r="D23" s="2292"/>
      <c r="E23" s="2292"/>
      <c r="F23" s="2292"/>
      <c r="G23" s="722"/>
      <c r="Q23" s="722"/>
      <c r="R23" s="722"/>
      <c r="T23" s="2252"/>
      <c r="U23" s="50" t="s">
        <v>61</v>
      </c>
      <c r="V23" s="2262"/>
      <c r="W23" s="2262"/>
      <c r="X23" s="2262"/>
      <c r="Y23" s="2269"/>
    </row>
    <row r="24" spans="1:25" ht="48" customHeight="1" x14ac:dyDescent="0.25">
      <c r="A24" s="722"/>
      <c r="B24" s="2290"/>
      <c r="C24" s="290" t="s">
        <v>46</v>
      </c>
      <c r="D24" s="290" t="s">
        <v>50</v>
      </c>
      <c r="E24" s="290" t="s">
        <v>51</v>
      </c>
      <c r="F24" s="290" t="s">
        <v>52</v>
      </c>
      <c r="G24" s="722"/>
      <c r="Q24" s="722"/>
      <c r="R24" s="722"/>
      <c r="T24" s="2235" t="s">
        <v>47</v>
      </c>
      <c r="U24" s="51" t="s">
        <v>62</v>
      </c>
      <c r="V24" s="2263">
        <f>V14+V16+V17-V18-V19-V20-V22+V23-V21</f>
        <v>523928.58350000007</v>
      </c>
      <c r="W24" s="2263"/>
      <c r="X24" s="2263"/>
      <c r="Y24" s="2269"/>
    </row>
    <row r="25" spans="1:25" ht="40.5" customHeight="1" x14ac:dyDescent="0.25">
      <c r="T25" s="2235"/>
      <c r="U25" s="51" t="s">
        <v>63</v>
      </c>
      <c r="V25" s="2262">
        <f>V15+V22-V23</f>
        <v>279480</v>
      </c>
      <c r="W25" s="2262"/>
      <c r="X25" s="2262"/>
    </row>
    <row r="26" spans="1:25" ht="36" customHeight="1" x14ac:dyDescent="0.25">
      <c r="K26" s="314"/>
    </row>
    <row r="28" spans="1:25" x14ac:dyDescent="0.25">
      <c r="J28" s="14" t="s">
        <v>139</v>
      </c>
    </row>
    <row r="32" spans="1:25" x14ac:dyDescent="0.25">
      <c r="I32" s="2280"/>
      <c r="J32" s="2280"/>
      <c r="K32" s="2280"/>
      <c r="L32" s="2280"/>
    </row>
    <row r="33" spans="9:12" x14ac:dyDescent="0.25">
      <c r="I33" s="722"/>
      <c r="J33" s="722"/>
      <c r="K33" s="2280"/>
      <c r="L33" s="2280"/>
    </row>
  </sheetData>
  <mergeCells count="62">
    <mergeCell ref="A1:Y1"/>
    <mergeCell ref="A2:Y2"/>
    <mergeCell ref="T3:Y3"/>
    <mergeCell ref="A4:A5"/>
    <mergeCell ref="B4:B5"/>
    <mergeCell ref="C4:D4"/>
    <mergeCell ref="E4:F4"/>
    <mergeCell ref="G4:H4"/>
    <mergeCell ref="I4:J4"/>
    <mergeCell ref="K4:L4"/>
    <mergeCell ref="Y4:Y5"/>
    <mergeCell ref="M4:N4"/>
    <mergeCell ref="O4:P4"/>
    <mergeCell ref="Q4:R4"/>
    <mergeCell ref="S4:T4"/>
    <mergeCell ref="U4:V4"/>
    <mergeCell ref="W4:X4"/>
    <mergeCell ref="B16:C16"/>
    <mergeCell ref="Q16:R16"/>
    <mergeCell ref="T16:U16"/>
    <mergeCell ref="V16:X16"/>
    <mergeCell ref="A12:B12"/>
    <mergeCell ref="B14:C14"/>
    <mergeCell ref="Q14:R14"/>
    <mergeCell ref="T14:T15"/>
    <mergeCell ref="V14:X14"/>
    <mergeCell ref="B15:C15"/>
    <mergeCell ref="Q15:R15"/>
    <mergeCell ref="V15:X15"/>
    <mergeCell ref="B17:C17"/>
    <mergeCell ref="Q17:R17"/>
    <mergeCell ref="T17:U17"/>
    <mergeCell ref="V17:X17"/>
    <mergeCell ref="B18:C18"/>
    <mergeCell ref="Q18:R18"/>
    <mergeCell ref="T18:U18"/>
    <mergeCell ref="V18:X18"/>
    <mergeCell ref="Y18:Y24"/>
    <mergeCell ref="B19:C19"/>
    <mergeCell ref="Q19:R19"/>
    <mergeCell ref="T19:T20"/>
    <mergeCell ref="V19:X19"/>
    <mergeCell ref="B20:C20"/>
    <mergeCell ref="B22:B24"/>
    <mergeCell ref="C22:C23"/>
    <mergeCell ref="D22:D23"/>
    <mergeCell ref="E22:E23"/>
    <mergeCell ref="F22:F23"/>
    <mergeCell ref="Q20:R20"/>
    <mergeCell ref="V20:X20"/>
    <mergeCell ref="B21:C21"/>
    <mergeCell ref="T21:U21"/>
    <mergeCell ref="V21:X21"/>
    <mergeCell ref="I32:J32"/>
    <mergeCell ref="K32:L32"/>
    <mergeCell ref="K33:L33"/>
    <mergeCell ref="T22:T23"/>
    <mergeCell ref="V22:X22"/>
    <mergeCell ref="V23:X23"/>
    <mergeCell ref="T24:T25"/>
    <mergeCell ref="V24:X24"/>
    <mergeCell ref="V25:X25"/>
  </mergeCells>
  <pageMargins left="0.15748031496063" right="0.15748031496063" top="0" bottom="0" header="0" footer="0"/>
  <pageSetup paperSize="9" scale="46" orientation="landscape" r:id="rId1"/>
</worksheet>
</file>

<file path=xl/worksheets/sheet17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0B69172-524A-4B59-A748-9E53731F5683}">
  <sheetPr>
    <pageSetUpPr fitToPage="1"/>
  </sheetPr>
  <dimension ref="A1:Y33"/>
  <sheetViews>
    <sheetView topLeftCell="A10" zoomScale="70" zoomScaleNormal="70" zoomScaleSheetLayoutView="100" workbookViewId="0">
      <selection activeCell="V22" sqref="V22:X22"/>
    </sheetView>
  </sheetViews>
  <sheetFormatPr defaultColWidth="9.140625" defaultRowHeight="15" x14ac:dyDescent="0.25"/>
  <cols>
    <col min="1" max="1" width="18.28515625" style="14" customWidth="1"/>
    <col min="2" max="2" width="10.7109375" style="14" customWidth="1"/>
    <col min="3" max="3" width="12.28515625" style="14" customWidth="1"/>
    <col min="4" max="4" width="13.140625" style="14" bestFit="1" customWidth="1"/>
    <col min="5" max="5" width="12" style="14" customWidth="1"/>
    <col min="6" max="6" width="12.5703125" style="14" bestFit="1" customWidth="1"/>
    <col min="7" max="7" width="9.28515625" style="14" bestFit="1" customWidth="1"/>
    <col min="8" max="8" width="10.140625" style="14" bestFit="1" customWidth="1"/>
    <col min="9" max="9" width="10.5703125" style="14" bestFit="1" customWidth="1"/>
    <col min="10" max="10" width="10.5703125" style="14" customWidth="1"/>
    <col min="11" max="11" width="10.28515625" style="14" bestFit="1" customWidth="1"/>
    <col min="12" max="12" width="10.42578125" style="14" bestFit="1" customWidth="1"/>
    <col min="13" max="13" width="9.85546875" style="14" bestFit="1" customWidth="1"/>
    <col min="14" max="14" width="10.140625" style="14" bestFit="1" customWidth="1"/>
    <col min="15" max="15" width="9" style="14" customWidth="1"/>
    <col min="16" max="16" width="12.85546875" style="14" bestFit="1" customWidth="1"/>
    <col min="17" max="18" width="9.42578125" style="14" customWidth="1"/>
    <col min="19" max="19" width="13.7109375" style="14" customWidth="1"/>
    <col min="20" max="20" width="12.140625" style="14" customWidth="1"/>
    <col min="21" max="21" width="21.7109375" style="14" customWidth="1"/>
    <col min="22" max="22" width="9.85546875" style="14" customWidth="1"/>
    <col min="23" max="23" width="10.140625" style="14" bestFit="1" customWidth="1"/>
    <col min="24" max="24" width="10.28515625" style="14" customWidth="1"/>
    <col min="25" max="25" width="28" style="14" customWidth="1"/>
    <col min="26" max="16384" width="9.140625" style="14"/>
  </cols>
  <sheetData>
    <row r="1" spans="1:25" ht="46.15" customHeight="1" x14ac:dyDescent="0.25">
      <c r="A1" s="2240" t="s">
        <v>148</v>
      </c>
      <c r="B1" s="2240"/>
      <c r="C1" s="2240"/>
      <c r="D1" s="2240"/>
      <c r="E1" s="2240"/>
      <c r="F1" s="2240"/>
      <c r="G1" s="2240"/>
      <c r="H1" s="2240"/>
      <c r="I1" s="2240"/>
      <c r="J1" s="2240"/>
      <c r="K1" s="2240"/>
      <c r="L1" s="2240"/>
      <c r="M1" s="2240"/>
      <c r="N1" s="2240"/>
      <c r="O1" s="2240"/>
      <c r="P1" s="2240"/>
      <c r="Q1" s="2240"/>
      <c r="R1" s="2240"/>
      <c r="S1" s="2240"/>
      <c r="T1" s="2240"/>
      <c r="U1" s="2240"/>
      <c r="V1" s="2240"/>
      <c r="W1" s="2240"/>
      <c r="X1" s="2240"/>
      <c r="Y1" s="2240"/>
    </row>
    <row r="2" spans="1:25" ht="21.6" customHeight="1" x14ac:dyDescent="0.25">
      <c r="A2" s="2241" t="s">
        <v>383</v>
      </c>
      <c r="B2" s="2241"/>
      <c r="C2" s="2241"/>
      <c r="D2" s="2241"/>
      <c r="E2" s="2241"/>
      <c r="F2" s="2241"/>
      <c r="G2" s="2241"/>
      <c r="H2" s="2241"/>
      <c r="I2" s="2241"/>
      <c r="J2" s="2241"/>
      <c r="K2" s="2241"/>
      <c r="L2" s="2241"/>
      <c r="M2" s="2241"/>
      <c r="N2" s="2241"/>
      <c r="O2" s="2241"/>
      <c r="P2" s="2241"/>
      <c r="Q2" s="2241"/>
      <c r="R2" s="2241"/>
      <c r="S2" s="2241"/>
      <c r="T2" s="2241"/>
      <c r="U2" s="2241"/>
      <c r="V2" s="2241"/>
      <c r="W2" s="2241"/>
      <c r="X2" s="2241"/>
      <c r="Y2" s="2241"/>
    </row>
    <row r="3" spans="1:25" ht="21" customHeight="1" x14ac:dyDescent="0.25">
      <c r="A3" s="723"/>
      <c r="B3" s="723"/>
      <c r="C3" s="723"/>
      <c r="D3" s="723"/>
      <c r="E3" s="723"/>
      <c r="F3" s="723"/>
      <c r="G3" s="723"/>
      <c r="H3" s="723"/>
      <c r="I3" s="723"/>
      <c r="J3" s="723"/>
      <c r="K3" s="723"/>
      <c r="L3" s="723"/>
      <c r="M3" s="723"/>
      <c r="N3" s="723"/>
      <c r="O3" s="723"/>
      <c r="P3" s="723"/>
      <c r="Q3" s="723"/>
      <c r="R3" s="723"/>
      <c r="S3" s="723"/>
      <c r="T3" s="2242" t="s">
        <v>390</v>
      </c>
      <c r="U3" s="2242"/>
      <c r="V3" s="2242"/>
      <c r="W3" s="2242"/>
      <c r="X3" s="2242"/>
      <c r="Y3" s="2242"/>
    </row>
    <row r="4" spans="1:25" s="723" customFormat="1" ht="18" customHeight="1" x14ac:dyDescent="0.25">
      <c r="A4" s="2243" t="s">
        <v>25</v>
      </c>
      <c r="B4" s="2243" t="s">
        <v>26</v>
      </c>
      <c r="C4" s="2244" t="s">
        <v>27</v>
      </c>
      <c r="D4" s="2244"/>
      <c r="E4" s="2244" t="s">
        <v>342</v>
      </c>
      <c r="F4" s="2244"/>
      <c r="G4" s="2244" t="s">
        <v>65</v>
      </c>
      <c r="H4" s="2244"/>
      <c r="I4" s="2244" t="s">
        <v>29</v>
      </c>
      <c r="J4" s="2244"/>
      <c r="K4" s="2245" t="s">
        <v>14</v>
      </c>
      <c r="L4" s="2246"/>
      <c r="M4" s="2245" t="s">
        <v>67</v>
      </c>
      <c r="N4" s="2246"/>
      <c r="O4" s="2245" t="s">
        <v>68</v>
      </c>
      <c r="P4" s="2246"/>
      <c r="Q4" s="2245" t="s">
        <v>114</v>
      </c>
      <c r="R4" s="2246"/>
      <c r="S4" s="2244" t="s">
        <v>35</v>
      </c>
      <c r="T4" s="2244"/>
      <c r="U4" s="2245" t="s">
        <v>17</v>
      </c>
      <c r="V4" s="2246"/>
      <c r="W4" s="2247" t="s">
        <v>36</v>
      </c>
      <c r="X4" s="2248"/>
      <c r="Y4" s="2238" t="s">
        <v>30</v>
      </c>
    </row>
    <row r="5" spans="1:25" s="723" customFormat="1" ht="25.5" customHeight="1" x14ac:dyDescent="0.25">
      <c r="A5" s="2243"/>
      <c r="B5" s="2243"/>
      <c r="C5" s="725" t="s">
        <v>42</v>
      </c>
      <c r="D5" s="725" t="s">
        <v>43</v>
      </c>
      <c r="E5" s="725" t="s">
        <v>42</v>
      </c>
      <c r="F5" s="725" t="s">
        <v>43</v>
      </c>
      <c r="G5" s="725" t="s">
        <v>42</v>
      </c>
      <c r="H5" s="725" t="s">
        <v>43</v>
      </c>
      <c r="I5" s="725" t="s">
        <v>42</v>
      </c>
      <c r="J5" s="725" t="s">
        <v>43</v>
      </c>
      <c r="K5" s="725" t="s">
        <v>42</v>
      </c>
      <c r="L5" s="725" t="s">
        <v>43</v>
      </c>
      <c r="M5" s="725" t="s">
        <v>42</v>
      </c>
      <c r="N5" s="725" t="s">
        <v>43</v>
      </c>
      <c r="O5" s="725" t="s">
        <v>42</v>
      </c>
      <c r="P5" s="725" t="s">
        <v>43</v>
      </c>
      <c r="Q5" s="725" t="s">
        <v>42</v>
      </c>
      <c r="R5" s="725" t="s">
        <v>43</v>
      </c>
      <c r="S5" s="33" t="s">
        <v>42</v>
      </c>
      <c r="T5" s="33" t="s">
        <v>43</v>
      </c>
      <c r="U5" s="30" t="s">
        <v>42</v>
      </c>
      <c r="V5" s="30" t="s">
        <v>43</v>
      </c>
      <c r="W5" s="30" t="s">
        <v>42</v>
      </c>
      <c r="X5" s="30" t="s">
        <v>43</v>
      </c>
      <c r="Y5" s="2239"/>
    </row>
    <row r="6" spans="1:25" ht="34.5" customHeight="1" x14ac:dyDescent="0.25">
      <c r="A6" s="12">
        <v>1409935200</v>
      </c>
      <c r="B6" s="724" t="s">
        <v>71</v>
      </c>
      <c r="C6" s="727">
        <v>36402</v>
      </c>
      <c r="D6" s="728">
        <f>0.9725*C6</f>
        <v>35400.945</v>
      </c>
      <c r="E6" s="727">
        <v>10</v>
      </c>
      <c r="F6" s="727">
        <f>67.1*E6</f>
        <v>671</v>
      </c>
      <c r="G6" s="727"/>
      <c r="H6" s="727">
        <f>28.2*G6</f>
        <v>0</v>
      </c>
      <c r="I6" s="727"/>
      <c r="J6" s="727">
        <f>18.5*I6</f>
        <v>0</v>
      </c>
      <c r="K6" s="727">
        <v>650</v>
      </c>
      <c r="L6" s="727">
        <f>28.2368*K6</f>
        <v>18353.919999999998</v>
      </c>
      <c r="M6" s="727"/>
      <c r="N6" s="728">
        <f>M6*9.75</f>
        <v>0</v>
      </c>
      <c r="O6" s="727"/>
      <c r="P6" s="728">
        <f>O6*48.62</f>
        <v>0</v>
      </c>
      <c r="Q6" s="728"/>
      <c r="R6" s="728">
        <f>241*Q6</f>
        <v>0</v>
      </c>
      <c r="S6" s="727"/>
      <c r="T6" s="727">
        <f>241*S6</f>
        <v>0</v>
      </c>
      <c r="U6" s="727"/>
      <c r="V6" s="727">
        <f>332*U6</f>
        <v>0</v>
      </c>
      <c r="W6" s="727"/>
      <c r="X6" s="19">
        <f>W6*100</f>
        <v>0</v>
      </c>
      <c r="Y6" s="20">
        <f t="shared" ref="Y6:Y12" si="0">D6+F6+H6+J6+L6+N6+P6+R6+T6+V6+X6</f>
        <v>54425.864999999998</v>
      </c>
    </row>
    <row r="7" spans="1:25" ht="31.5" customHeight="1" x14ac:dyDescent="0.25">
      <c r="A7" s="12">
        <v>1984225578</v>
      </c>
      <c r="B7" s="724" t="s">
        <v>72</v>
      </c>
      <c r="C7" s="727">
        <v>11820</v>
      </c>
      <c r="D7" s="728">
        <f t="shared" ref="D7:D11" si="1">0.9725*C7</f>
        <v>11494.95</v>
      </c>
      <c r="E7" s="727"/>
      <c r="F7" s="727">
        <f t="shared" ref="F7:F11" si="2">67.1*E7</f>
        <v>0</v>
      </c>
      <c r="G7" s="727"/>
      <c r="H7" s="727">
        <f t="shared" ref="H7:H11" si="3">28.2*G7</f>
        <v>0</v>
      </c>
      <c r="I7" s="727"/>
      <c r="J7" s="727">
        <f t="shared" ref="J7:J11" si="4">18.5*I7</f>
        <v>0</v>
      </c>
      <c r="K7" s="727"/>
      <c r="L7" s="727">
        <f t="shared" ref="L7:L11" si="5">28.2368*K7</f>
        <v>0</v>
      </c>
      <c r="M7" s="727"/>
      <c r="N7" s="728">
        <f t="shared" ref="N7:N11" si="6">M7*9.75</f>
        <v>0</v>
      </c>
      <c r="O7" s="727"/>
      <c r="P7" s="728">
        <f t="shared" ref="P7:P11" si="7">O7*48.62</f>
        <v>0</v>
      </c>
      <c r="Q7" s="728"/>
      <c r="R7" s="728">
        <f t="shared" ref="R7:R11" si="8">241*Q7</f>
        <v>0</v>
      </c>
      <c r="S7" s="727"/>
      <c r="T7" s="727">
        <f t="shared" ref="T7:T11" si="9">241*S7</f>
        <v>0</v>
      </c>
      <c r="U7" s="727"/>
      <c r="V7" s="727">
        <f t="shared" ref="V7:V11" si="10">332*U7</f>
        <v>0</v>
      </c>
      <c r="W7" s="727"/>
      <c r="X7" s="19">
        <f t="shared" ref="X7:X11" si="11">W7*100</f>
        <v>0</v>
      </c>
      <c r="Y7" s="20">
        <f t="shared" si="0"/>
        <v>11494.95</v>
      </c>
    </row>
    <row r="8" spans="1:25" ht="35.25" customHeight="1" x14ac:dyDescent="0.25">
      <c r="A8" s="12">
        <v>1967020280</v>
      </c>
      <c r="B8" s="724" t="s">
        <v>73</v>
      </c>
      <c r="C8" s="727">
        <v>18396</v>
      </c>
      <c r="D8" s="728">
        <f t="shared" si="1"/>
        <v>17890.11</v>
      </c>
      <c r="E8" s="727"/>
      <c r="F8" s="727">
        <f t="shared" si="2"/>
        <v>0</v>
      </c>
      <c r="G8" s="727"/>
      <c r="H8" s="727">
        <f t="shared" si="3"/>
        <v>0</v>
      </c>
      <c r="I8" s="727">
        <v>30</v>
      </c>
      <c r="J8" s="727">
        <f t="shared" si="4"/>
        <v>555</v>
      </c>
      <c r="K8" s="727"/>
      <c r="L8" s="727">
        <f t="shared" si="5"/>
        <v>0</v>
      </c>
      <c r="M8" s="727"/>
      <c r="N8" s="728">
        <f t="shared" si="6"/>
        <v>0</v>
      </c>
      <c r="O8" s="727"/>
      <c r="P8" s="728">
        <f t="shared" si="7"/>
        <v>0</v>
      </c>
      <c r="Q8" s="728"/>
      <c r="R8" s="728">
        <f t="shared" si="8"/>
        <v>0</v>
      </c>
      <c r="S8" s="727"/>
      <c r="T8" s="727">
        <f t="shared" si="9"/>
        <v>0</v>
      </c>
      <c r="U8" s="727"/>
      <c r="V8" s="727">
        <f t="shared" si="10"/>
        <v>0</v>
      </c>
      <c r="W8" s="727"/>
      <c r="X8" s="19">
        <f t="shared" si="11"/>
        <v>0</v>
      </c>
      <c r="Y8" s="20">
        <f t="shared" si="0"/>
        <v>18445.11</v>
      </c>
    </row>
    <row r="9" spans="1:25" ht="38.25" customHeight="1" x14ac:dyDescent="0.25">
      <c r="A9" s="12">
        <v>1984225580</v>
      </c>
      <c r="B9" s="724" t="s">
        <v>75</v>
      </c>
      <c r="C9" s="727">
        <v>24360</v>
      </c>
      <c r="D9" s="728">
        <f t="shared" si="1"/>
        <v>23690.100000000002</v>
      </c>
      <c r="E9" s="727"/>
      <c r="F9" s="727">
        <f t="shared" si="2"/>
        <v>0</v>
      </c>
      <c r="G9" s="727"/>
      <c r="H9" s="727">
        <f t="shared" si="3"/>
        <v>0</v>
      </c>
      <c r="I9" s="727"/>
      <c r="J9" s="727">
        <f t="shared" si="4"/>
        <v>0</v>
      </c>
      <c r="K9" s="727">
        <v>390</v>
      </c>
      <c r="L9" s="727">
        <f t="shared" si="5"/>
        <v>11012.351999999999</v>
      </c>
      <c r="M9" s="727"/>
      <c r="N9" s="728">
        <f t="shared" si="6"/>
        <v>0</v>
      </c>
      <c r="O9" s="727"/>
      <c r="P9" s="728">
        <f t="shared" si="7"/>
        <v>0</v>
      </c>
      <c r="Q9" s="728"/>
      <c r="R9" s="728">
        <f t="shared" si="8"/>
        <v>0</v>
      </c>
      <c r="S9" s="727"/>
      <c r="T9" s="727">
        <f t="shared" si="9"/>
        <v>0</v>
      </c>
      <c r="U9" s="727"/>
      <c r="V9" s="727">
        <f t="shared" si="10"/>
        <v>0</v>
      </c>
      <c r="W9" s="727"/>
      <c r="X9" s="19">
        <f t="shared" si="11"/>
        <v>0</v>
      </c>
      <c r="Y9" s="20">
        <f t="shared" si="0"/>
        <v>34702.452000000005</v>
      </c>
    </row>
    <row r="10" spans="1:25" ht="35.25" customHeight="1" x14ac:dyDescent="0.25">
      <c r="A10" s="12">
        <v>1409935199</v>
      </c>
      <c r="C10" s="727"/>
      <c r="D10" s="728">
        <f t="shared" si="1"/>
        <v>0</v>
      </c>
      <c r="E10" s="727"/>
      <c r="F10" s="727">
        <f t="shared" si="2"/>
        <v>0</v>
      </c>
      <c r="G10" s="727"/>
      <c r="H10" s="727">
        <f t="shared" si="3"/>
        <v>0</v>
      </c>
      <c r="I10" s="727"/>
      <c r="J10" s="727">
        <f t="shared" si="4"/>
        <v>0</v>
      </c>
      <c r="K10" s="727"/>
      <c r="L10" s="727">
        <f t="shared" si="5"/>
        <v>0</v>
      </c>
      <c r="M10" s="727"/>
      <c r="N10" s="728">
        <f t="shared" si="6"/>
        <v>0</v>
      </c>
      <c r="O10" s="727"/>
      <c r="P10" s="728">
        <f t="shared" si="7"/>
        <v>0</v>
      </c>
      <c r="Q10" s="728"/>
      <c r="R10" s="728">
        <f t="shared" si="8"/>
        <v>0</v>
      </c>
      <c r="S10" s="727"/>
      <c r="T10" s="727">
        <f t="shared" si="9"/>
        <v>0</v>
      </c>
      <c r="U10" s="727"/>
      <c r="V10" s="727">
        <f t="shared" si="10"/>
        <v>0</v>
      </c>
      <c r="W10" s="727"/>
      <c r="X10" s="19">
        <f t="shared" si="11"/>
        <v>0</v>
      </c>
      <c r="Y10" s="20">
        <f t="shared" si="0"/>
        <v>0</v>
      </c>
    </row>
    <row r="11" spans="1:25" ht="37.5" customHeight="1" x14ac:dyDescent="0.25">
      <c r="A11" s="12"/>
      <c r="B11" s="726"/>
      <c r="C11" s="727"/>
      <c r="D11" s="22">
        <f t="shared" si="1"/>
        <v>0</v>
      </c>
      <c r="E11" s="727"/>
      <c r="F11" s="727">
        <f t="shared" si="2"/>
        <v>0</v>
      </c>
      <c r="G11" s="727"/>
      <c r="H11" s="727">
        <f t="shared" si="3"/>
        <v>0</v>
      </c>
      <c r="I11" s="727"/>
      <c r="J11" s="727">
        <f t="shared" si="4"/>
        <v>0</v>
      </c>
      <c r="K11" s="727"/>
      <c r="L11" s="727">
        <f t="shared" si="5"/>
        <v>0</v>
      </c>
      <c r="M11" s="727"/>
      <c r="N11" s="728">
        <f t="shared" si="6"/>
        <v>0</v>
      </c>
      <c r="O11" s="727"/>
      <c r="P11" s="728">
        <f t="shared" si="7"/>
        <v>0</v>
      </c>
      <c r="Q11" s="728"/>
      <c r="R11" s="728">
        <f t="shared" si="8"/>
        <v>0</v>
      </c>
      <c r="S11" s="727"/>
      <c r="T11" s="727">
        <f t="shared" si="9"/>
        <v>0</v>
      </c>
      <c r="U11" s="727"/>
      <c r="V11" s="727">
        <f t="shared" si="10"/>
        <v>0</v>
      </c>
      <c r="W11" s="727"/>
      <c r="X11" s="19">
        <f t="shared" si="11"/>
        <v>0</v>
      </c>
      <c r="Y11" s="20">
        <f t="shared" si="0"/>
        <v>0</v>
      </c>
    </row>
    <row r="12" spans="1:25" ht="29.25" customHeight="1" x14ac:dyDescent="0.25">
      <c r="A12" s="2235" t="s">
        <v>31</v>
      </c>
      <c r="B12" s="2235"/>
      <c r="C12" s="18">
        <f t="shared" ref="C12:X12" si="12">SUM(C6:C11)</f>
        <v>90978</v>
      </c>
      <c r="D12" s="18">
        <f t="shared" si="12"/>
        <v>88476.10500000001</v>
      </c>
      <c r="E12" s="18">
        <f t="shared" si="12"/>
        <v>10</v>
      </c>
      <c r="F12" s="18">
        <f t="shared" si="12"/>
        <v>671</v>
      </c>
      <c r="G12" s="18">
        <f t="shared" si="12"/>
        <v>0</v>
      </c>
      <c r="H12" s="18">
        <f t="shared" si="12"/>
        <v>0</v>
      </c>
      <c r="I12" s="18">
        <f t="shared" si="12"/>
        <v>30</v>
      </c>
      <c r="J12" s="18">
        <f t="shared" si="12"/>
        <v>555</v>
      </c>
      <c r="K12" s="18">
        <f t="shared" si="12"/>
        <v>1040</v>
      </c>
      <c r="L12" s="18">
        <f t="shared" si="12"/>
        <v>29366.271999999997</v>
      </c>
      <c r="M12" s="18">
        <f t="shared" si="12"/>
        <v>0</v>
      </c>
      <c r="N12" s="23">
        <f t="shared" si="12"/>
        <v>0</v>
      </c>
      <c r="O12" s="18">
        <f t="shared" si="12"/>
        <v>0</v>
      </c>
      <c r="P12" s="23">
        <f t="shared" si="12"/>
        <v>0</v>
      </c>
      <c r="Q12" s="23">
        <f t="shared" si="12"/>
        <v>0</v>
      </c>
      <c r="R12" s="23">
        <f>SUM(R6:R11)</f>
        <v>0</v>
      </c>
      <c r="S12" s="18">
        <f t="shared" si="12"/>
        <v>0</v>
      </c>
      <c r="T12" s="18">
        <f t="shared" si="12"/>
        <v>0</v>
      </c>
      <c r="U12" s="18">
        <f t="shared" si="12"/>
        <v>0</v>
      </c>
      <c r="V12" s="18">
        <f t="shared" si="12"/>
        <v>0</v>
      </c>
      <c r="W12" s="18">
        <f t="shared" si="12"/>
        <v>0</v>
      </c>
      <c r="X12" s="18">
        <f t="shared" si="12"/>
        <v>0</v>
      </c>
      <c r="Y12" s="20">
        <f t="shared" si="0"/>
        <v>119068.37700000001</v>
      </c>
    </row>
    <row r="14" spans="1:25" ht="41.25" customHeight="1" x14ac:dyDescent="0.25">
      <c r="A14" s="30" t="s">
        <v>32</v>
      </c>
      <c r="B14" s="2236" t="s">
        <v>27</v>
      </c>
      <c r="C14" s="2236"/>
      <c r="D14" s="30" t="s">
        <v>333</v>
      </c>
      <c r="E14" s="30" t="s">
        <v>65</v>
      </c>
      <c r="F14" s="30" t="s">
        <v>34</v>
      </c>
      <c r="G14" s="30" t="s">
        <v>14</v>
      </c>
      <c r="H14" s="469" t="s">
        <v>173</v>
      </c>
      <c r="I14" s="30" t="s">
        <v>17</v>
      </c>
      <c r="J14" s="732" t="s">
        <v>174</v>
      </c>
      <c r="K14" s="30" t="s">
        <v>36</v>
      </c>
      <c r="L14" s="30" t="s">
        <v>175</v>
      </c>
      <c r="M14" s="30" t="s">
        <v>69</v>
      </c>
      <c r="N14" s="30" t="s">
        <v>70</v>
      </c>
      <c r="O14" s="732" t="s">
        <v>114</v>
      </c>
      <c r="P14" s="732"/>
      <c r="Q14" s="2300" t="s">
        <v>378</v>
      </c>
      <c r="R14" s="2301"/>
      <c r="S14" s="732"/>
      <c r="T14" s="2235" t="s">
        <v>46</v>
      </c>
      <c r="U14" s="724" t="s">
        <v>176</v>
      </c>
      <c r="V14" s="2260">
        <v>523929</v>
      </c>
      <c r="W14" s="2268"/>
      <c r="X14" s="2261"/>
    </row>
    <row r="15" spans="1:25" ht="22.5" customHeight="1" x14ac:dyDescent="0.25">
      <c r="A15" s="100" t="s">
        <v>38</v>
      </c>
      <c r="B15" s="2260">
        <v>486703</v>
      </c>
      <c r="C15" s="2261"/>
      <c r="D15" s="729">
        <v>522</v>
      </c>
      <c r="E15" s="729">
        <v>490</v>
      </c>
      <c r="F15" s="729">
        <v>15130</v>
      </c>
      <c r="G15" s="729">
        <v>1530</v>
      </c>
      <c r="H15" s="729">
        <v>138</v>
      </c>
      <c r="I15" s="729">
        <v>0</v>
      </c>
      <c r="J15" s="729">
        <v>26</v>
      </c>
      <c r="K15" s="729">
        <v>71</v>
      </c>
      <c r="L15" s="729">
        <v>29</v>
      </c>
      <c r="M15" s="729">
        <v>0</v>
      </c>
      <c r="N15" s="729">
        <v>100</v>
      </c>
      <c r="O15" s="729">
        <v>0</v>
      </c>
      <c r="P15" s="729"/>
      <c r="Q15" s="2260">
        <v>100</v>
      </c>
      <c r="R15" s="2261"/>
      <c r="S15" s="724"/>
      <c r="T15" s="2235"/>
      <c r="U15" s="724" t="s">
        <v>64</v>
      </c>
      <c r="V15" s="2262">
        <v>279480</v>
      </c>
      <c r="W15" s="2262"/>
      <c r="X15" s="2262"/>
    </row>
    <row r="16" spans="1:25" ht="24.75" customHeight="1" x14ac:dyDescent="0.25">
      <c r="A16" s="100" t="s">
        <v>39</v>
      </c>
      <c r="B16" s="2260"/>
      <c r="C16" s="2261"/>
      <c r="D16" s="729"/>
      <c r="E16" s="729"/>
      <c r="F16" s="729"/>
      <c r="G16" s="729"/>
      <c r="H16" s="729"/>
      <c r="I16" s="729"/>
      <c r="J16" s="729"/>
      <c r="K16" s="729"/>
      <c r="L16" s="729"/>
      <c r="M16" s="729"/>
      <c r="N16" s="729"/>
      <c r="O16" s="729"/>
      <c r="P16" s="729"/>
      <c r="Q16" s="2225"/>
      <c r="R16" s="2225"/>
      <c r="S16" s="729"/>
      <c r="T16" s="2254" t="s">
        <v>55</v>
      </c>
      <c r="U16" s="2254"/>
      <c r="V16" s="2267">
        <f>Y12</f>
        <v>119068.37700000001</v>
      </c>
      <c r="W16" s="2267"/>
      <c r="X16" s="2262"/>
    </row>
    <row r="17" spans="1:25" ht="28.5" customHeight="1" x14ac:dyDescent="0.25">
      <c r="A17" s="101" t="s">
        <v>44</v>
      </c>
      <c r="B17" s="2260">
        <v>1553</v>
      </c>
      <c r="C17" s="2261"/>
      <c r="D17" s="729"/>
      <c r="E17" s="729"/>
      <c r="F17" s="729"/>
      <c r="G17" s="729"/>
      <c r="H17" s="729"/>
      <c r="I17" s="729"/>
      <c r="J17" s="729"/>
      <c r="K17" s="729"/>
      <c r="L17" s="729"/>
      <c r="M17" s="729"/>
      <c r="N17" s="729"/>
      <c r="O17" s="729"/>
      <c r="P17" s="729"/>
      <c r="Q17" s="2225"/>
      <c r="R17" s="2225"/>
      <c r="S17" s="726"/>
      <c r="T17" s="2294" t="s">
        <v>362</v>
      </c>
      <c r="U17" s="2295"/>
      <c r="V17" s="2296"/>
      <c r="W17" s="2296"/>
      <c r="X17" s="2296"/>
    </row>
    <row r="18" spans="1:25" ht="27" customHeight="1" x14ac:dyDescent="0.25">
      <c r="A18" s="100" t="s">
        <v>40</v>
      </c>
      <c r="B18" s="2264">
        <f>C12</f>
        <v>90978</v>
      </c>
      <c r="C18" s="2261"/>
      <c r="D18" s="730">
        <f>E12</f>
        <v>10</v>
      </c>
      <c r="E18" s="730">
        <f>G12</f>
        <v>0</v>
      </c>
      <c r="F18" s="730">
        <f>I12</f>
        <v>30</v>
      </c>
      <c r="G18" s="730">
        <f>K12</f>
        <v>1040</v>
      </c>
      <c r="H18" s="729"/>
      <c r="I18" s="730">
        <f>U12</f>
        <v>0</v>
      </c>
      <c r="J18" s="729"/>
      <c r="K18" s="730">
        <f>W12</f>
        <v>0</v>
      </c>
      <c r="L18" s="729"/>
      <c r="M18" s="730">
        <f>M12</f>
        <v>0</v>
      </c>
      <c r="N18" s="730">
        <f>O12</f>
        <v>0</v>
      </c>
      <c r="O18" s="731">
        <f>Q12</f>
        <v>0</v>
      </c>
      <c r="P18" s="729"/>
      <c r="Q18" s="2262"/>
      <c r="R18" s="2262"/>
      <c r="S18" s="724"/>
      <c r="T18" s="2254" t="s">
        <v>57</v>
      </c>
      <c r="U18" s="2254"/>
      <c r="V18" s="2262">
        <v>520</v>
      </c>
      <c r="W18" s="2262"/>
      <c r="X18" s="2262"/>
      <c r="Y18" s="2269"/>
    </row>
    <row r="19" spans="1:25" ht="25.5" customHeight="1" x14ac:dyDescent="0.25">
      <c r="A19" s="100" t="s">
        <v>41</v>
      </c>
      <c r="B19" s="2260">
        <f>B15+B16+B17-B18</f>
        <v>397278</v>
      </c>
      <c r="C19" s="2261"/>
      <c r="D19" s="729">
        <f>D15+D16+D17-D18</f>
        <v>512</v>
      </c>
      <c r="E19" s="729">
        <f t="shared" ref="E19:N19" si="13">E15+E16+E17-E18</f>
        <v>490</v>
      </c>
      <c r="F19" s="729">
        <f t="shared" si="13"/>
        <v>15100</v>
      </c>
      <c r="G19" s="729">
        <f t="shared" si="13"/>
        <v>490</v>
      </c>
      <c r="H19" s="729">
        <f t="shared" si="13"/>
        <v>138</v>
      </c>
      <c r="I19" s="729">
        <f t="shared" si="13"/>
        <v>0</v>
      </c>
      <c r="J19" s="729">
        <f t="shared" si="13"/>
        <v>26</v>
      </c>
      <c r="K19" s="729">
        <f t="shared" si="13"/>
        <v>71</v>
      </c>
      <c r="L19" s="729">
        <f t="shared" si="13"/>
        <v>29</v>
      </c>
      <c r="M19" s="729">
        <f t="shared" si="13"/>
        <v>0</v>
      </c>
      <c r="N19" s="729">
        <f t="shared" si="13"/>
        <v>100</v>
      </c>
      <c r="O19" s="729">
        <f>O15+O16+O17-O18</f>
        <v>0</v>
      </c>
      <c r="P19" s="729">
        <f>P15+P16+P17-P18</f>
        <v>0</v>
      </c>
      <c r="Q19" s="2260">
        <f t="shared" ref="Q19" si="14">Q15+Q16+Q17-Q18</f>
        <v>100</v>
      </c>
      <c r="R19" s="2261"/>
      <c r="S19" s="724">
        <f>S15+S16-S17-S18</f>
        <v>0</v>
      </c>
      <c r="T19" s="2256" t="s">
        <v>48</v>
      </c>
      <c r="U19" s="49" t="s">
        <v>58</v>
      </c>
      <c r="V19" s="2262"/>
      <c r="W19" s="2262"/>
      <c r="X19" s="2262"/>
      <c r="Y19" s="2269"/>
    </row>
    <row r="20" spans="1:25" ht="23.25" customHeight="1" x14ac:dyDescent="0.25">
      <c r="A20" s="289" t="s">
        <v>187</v>
      </c>
      <c r="B20" s="2286">
        <f>B19*0.9625</f>
        <v>382380.07500000001</v>
      </c>
      <c r="C20" s="2287"/>
      <c r="D20" s="290">
        <f>D19*66.41</f>
        <v>34001.919999999998</v>
      </c>
      <c r="E20" s="290">
        <f>28.2*E19</f>
        <v>13818</v>
      </c>
      <c r="F20" s="290">
        <f>18.31*F19</f>
        <v>276481</v>
      </c>
      <c r="G20" s="290">
        <f>27.9368*G19</f>
        <v>13689.032000000001</v>
      </c>
      <c r="H20" s="290">
        <f>241*H19</f>
        <v>33258</v>
      </c>
      <c r="I20" s="290">
        <f>323*I19</f>
        <v>0</v>
      </c>
      <c r="J20" s="290">
        <f>241*J19</f>
        <v>6266</v>
      </c>
      <c r="K20" s="290">
        <f>K19*100</f>
        <v>7100</v>
      </c>
      <c r="L20" s="290">
        <f>241*L19</f>
        <v>6989</v>
      </c>
      <c r="M20" s="290">
        <f>9.65*M19</f>
        <v>0</v>
      </c>
      <c r="N20" s="290">
        <f>N19*48.2</f>
        <v>4820</v>
      </c>
      <c r="O20" s="290">
        <f>241*O19</f>
        <v>0</v>
      </c>
      <c r="P20" s="290">
        <f>241*P19</f>
        <v>0</v>
      </c>
      <c r="Q20" s="2286">
        <f>341*Q19</f>
        <v>34100</v>
      </c>
      <c r="R20" s="2287"/>
      <c r="S20" s="290">
        <f>241*S19</f>
        <v>0</v>
      </c>
      <c r="T20" s="2257"/>
      <c r="U20" s="49" t="s">
        <v>59</v>
      </c>
      <c r="V20" s="2262"/>
      <c r="W20" s="2262"/>
      <c r="X20" s="2262"/>
      <c r="Y20" s="2269"/>
    </row>
    <row r="21" spans="1:25" ht="32.25" customHeight="1" x14ac:dyDescent="0.25">
      <c r="A21" s="291" t="s">
        <v>186</v>
      </c>
      <c r="B21" s="2293">
        <f>SUM(B20:S20)</f>
        <v>812903.027</v>
      </c>
      <c r="C21" s="2293"/>
      <c r="O21" s="733"/>
      <c r="P21" s="733"/>
      <c r="Q21" s="733"/>
      <c r="R21" s="733"/>
      <c r="T21" s="2294" t="s">
        <v>366</v>
      </c>
      <c r="U21" s="2295"/>
      <c r="V21" s="2297"/>
      <c r="W21" s="2298"/>
      <c r="X21" s="2299"/>
      <c r="Y21" s="2269"/>
    </row>
    <row r="22" spans="1:25" ht="35.25" customHeight="1" x14ac:dyDescent="0.25">
      <c r="A22" s="15"/>
      <c r="B22" s="2288" t="s">
        <v>49</v>
      </c>
      <c r="C22" s="2291">
        <v>1425125</v>
      </c>
      <c r="D22" s="2291"/>
      <c r="E22" s="2291"/>
      <c r="F22" s="2291">
        <f>C22-D22+E22</f>
        <v>1425125</v>
      </c>
      <c r="G22" s="733"/>
      <c r="Q22" s="733"/>
      <c r="R22" s="733"/>
      <c r="T22" s="2251" t="s">
        <v>83</v>
      </c>
      <c r="U22" s="50" t="s">
        <v>60</v>
      </c>
      <c r="V22" s="2262"/>
      <c r="W22" s="2262"/>
      <c r="X22" s="2262"/>
      <c r="Y22" s="2269"/>
    </row>
    <row r="23" spans="1:25" ht="39.75" customHeight="1" x14ac:dyDescent="0.25">
      <c r="A23" s="733"/>
      <c r="B23" s="2289"/>
      <c r="C23" s="2292"/>
      <c r="D23" s="2292"/>
      <c r="E23" s="2292"/>
      <c r="F23" s="2292"/>
      <c r="G23" s="733"/>
      <c r="Q23" s="733"/>
      <c r="R23" s="733"/>
      <c r="T23" s="2252"/>
      <c r="U23" s="50" t="s">
        <v>61</v>
      </c>
      <c r="V23" s="2262"/>
      <c r="W23" s="2262"/>
      <c r="X23" s="2262"/>
      <c r="Y23" s="2269"/>
    </row>
    <row r="24" spans="1:25" ht="48" customHeight="1" x14ac:dyDescent="0.25">
      <c r="A24" s="733"/>
      <c r="B24" s="2290"/>
      <c r="C24" s="290" t="s">
        <v>46</v>
      </c>
      <c r="D24" s="290" t="s">
        <v>50</v>
      </c>
      <c r="E24" s="290" t="s">
        <v>51</v>
      </c>
      <c r="F24" s="290" t="s">
        <v>52</v>
      </c>
      <c r="G24" s="733"/>
      <c r="Q24" s="733"/>
      <c r="R24" s="733"/>
      <c r="T24" s="2235" t="s">
        <v>47</v>
      </c>
      <c r="U24" s="51" t="s">
        <v>62</v>
      </c>
      <c r="V24" s="2263">
        <f>V14+V16+V17-V18-V19-V20-V22+V23-V21</f>
        <v>642477.37699999998</v>
      </c>
      <c r="W24" s="2263"/>
      <c r="X24" s="2263"/>
      <c r="Y24" s="2269"/>
    </row>
    <row r="25" spans="1:25" ht="40.5" customHeight="1" x14ac:dyDescent="0.25">
      <c r="T25" s="2235"/>
      <c r="U25" s="51" t="s">
        <v>63</v>
      </c>
      <c r="V25" s="2262">
        <f>V15+V22-V23</f>
        <v>279480</v>
      </c>
      <c r="W25" s="2262"/>
      <c r="X25" s="2262"/>
    </row>
    <row r="26" spans="1:25" ht="36" customHeight="1" x14ac:dyDescent="0.25">
      <c r="K26" s="314"/>
    </row>
    <row r="28" spans="1:25" x14ac:dyDescent="0.25">
      <c r="J28" s="14" t="s">
        <v>139</v>
      </c>
    </row>
    <row r="32" spans="1:25" x14ac:dyDescent="0.25">
      <c r="I32" s="2280"/>
      <c r="J32" s="2280"/>
      <c r="K32" s="2280"/>
      <c r="L32" s="2280"/>
    </row>
    <row r="33" spans="9:12" x14ac:dyDescent="0.25">
      <c r="I33" s="733"/>
      <c r="J33" s="733"/>
      <c r="K33" s="2280"/>
      <c r="L33" s="2280"/>
    </row>
  </sheetData>
  <mergeCells count="62">
    <mergeCell ref="I32:J32"/>
    <mergeCell ref="K32:L32"/>
    <mergeCell ref="K33:L33"/>
    <mergeCell ref="T22:T23"/>
    <mergeCell ref="V22:X22"/>
    <mergeCell ref="V23:X23"/>
    <mergeCell ref="T24:T25"/>
    <mergeCell ref="V24:X24"/>
    <mergeCell ref="V25:X25"/>
    <mergeCell ref="Y18:Y24"/>
    <mergeCell ref="B19:C19"/>
    <mergeCell ref="Q19:R19"/>
    <mergeCell ref="T19:T20"/>
    <mergeCell ref="V19:X19"/>
    <mergeCell ref="B20:C20"/>
    <mergeCell ref="B22:B24"/>
    <mergeCell ref="C22:C23"/>
    <mergeCell ref="D22:D23"/>
    <mergeCell ref="E22:E23"/>
    <mergeCell ref="F22:F23"/>
    <mergeCell ref="Q20:R20"/>
    <mergeCell ref="V20:X20"/>
    <mergeCell ref="B21:C21"/>
    <mergeCell ref="T21:U21"/>
    <mergeCell ref="V21:X21"/>
    <mergeCell ref="B17:C17"/>
    <mergeCell ref="Q17:R17"/>
    <mergeCell ref="T17:U17"/>
    <mergeCell ref="V17:X17"/>
    <mergeCell ref="B18:C18"/>
    <mergeCell ref="Q18:R18"/>
    <mergeCell ref="T18:U18"/>
    <mergeCell ref="V18:X18"/>
    <mergeCell ref="W4:X4"/>
    <mergeCell ref="B16:C16"/>
    <mergeCell ref="Q16:R16"/>
    <mergeCell ref="T16:U16"/>
    <mergeCell ref="V16:X16"/>
    <mergeCell ref="A12:B12"/>
    <mergeCell ref="B14:C14"/>
    <mergeCell ref="Q14:R14"/>
    <mergeCell ref="T14:T15"/>
    <mergeCell ref="V14:X14"/>
    <mergeCell ref="B15:C15"/>
    <mergeCell ref="Q15:R15"/>
    <mergeCell ref="V15:X15"/>
    <mergeCell ref="A1:Y1"/>
    <mergeCell ref="A2:Y2"/>
    <mergeCell ref="T3:Y3"/>
    <mergeCell ref="A4:A5"/>
    <mergeCell ref="B4:B5"/>
    <mergeCell ref="C4:D4"/>
    <mergeCell ref="E4:F4"/>
    <mergeCell ref="G4:H4"/>
    <mergeCell ref="I4:J4"/>
    <mergeCell ref="K4:L4"/>
    <mergeCell ref="Y4:Y5"/>
    <mergeCell ref="M4:N4"/>
    <mergeCell ref="O4:P4"/>
    <mergeCell ref="Q4:R4"/>
    <mergeCell ref="S4:T4"/>
    <mergeCell ref="U4:V4"/>
  </mergeCells>
  <pageMargins left="0.15748031496063" right="0.15748031496063" top="0" bottom="0" header="0" footer="0"/>
  <pageSetup paperSize="9" scale="46" orientation="landscape" r:id="rId1"/>
</worksheet>
</file>

<file path=xl/worksheets/sheet17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1BC539E-3C73-42FC-85C3-95CA851CE57B}">
  <sheetPr>
    <pageSetUpPr fitToPage="1"/>
  </sheetPr>
  <dimension ref="A1:Y33"/>
  <sheetViews>
    <sheetView topLeftCell="A13" zoomScale="70" zoomScaleNormal="70" zoomScaleSheetLayoutView="100" workbookViewId="0">
      <selection activeCell="B17" sqref="B17:C17"/>
    </sheetView>
  </sheetViews>
  <sheetFormatPr defaultColWidth="9.140625" defaultRowHeight="15" x14ac:dyDescent="0.25"/>
  <cols>
    <col min="1" max="1" width="18.28515625" style="14" customWidth="1"/>
    <col min="2" max="2" width="10.7109375" style="14" customWidth="1"/>
    <col min="3" max="3" width="12.28515625" style="14" customWidth="1"/>
    <col min="4" max="4" width="13.140625" style="14" bestFit="1" customWidth="1"/>
    <col min="5" max="5" width="12" style="14" customWidth="1"/>
    <col min="6" max="6" width="12.5703125" style="14" bestFit="1" customWidth="1"/>
    <col min="7" max="7" width="9.28515625" style="14" bestFit="1" customWidth="1"/>
    <col min="8" max="8" width="10.140625" style="14" bestFit="1" customWidth="1"/>
    <col min="9" max="9" width="10.5703125" style="14" bestFit="1" customWidth="1"/>
    <col min="10" max="10" width="10.5703125" style="14" customWidth="1"/>
    <col min="11" max="11" width="10.28515625" style="14" bestFit="1" customWidth="1"/>
    <col min="12" max="12" width="10.42578125" style="14" bestFit="1" customWidth="1"/>
    <col min="13" max="13" width="9.85546875" style="14" bestFit="1" customWidth="1"/>
    <col min="14" max="14" width="10.140625" style="14" bestFit="1" customWidth="1"/>
    <col min="15" max="15" width="9" style="14" customWidth="1"/>
    <col min="16" max="16" width="12.85546875" style="14" bestFit="1" customWidth="1"/>
    <col min="17" max="18" width="9.42578125" style="14" customWidth="1"/>
    <col min="19" max="19" width="13.7109375" style="14" customWidth="1"/>
    <col min="20" max="20" width="12.140625" style="14" customWidth="1"/>
    <col min="21" max="21" width="21.7109375" style="14" customWidth="1"/>
    <col min="22" max="22" width="9.85546875" style="14" customWidth="1"/>
    <col min="23" max="23" width="10.140625" style="14" bestFit="1" customWidth="1"/>
    <col min="24" max="24" width="10.28515625" style="14" customWidth="1"/>
    <col min="25" max="25" width="28" style="14" customWidth="1"/>
    <col min="26" max="16384" width="9.140625" style="14"/>
  </cols>
  <sheetData>
    <row r="1" spans="1:25" ht="46.15" customHeight="1" x14ac:dyDescent="0.25">
      <c r="A1" s="2240" t="s">
        <v>148</v>
      </c>
      <c r="B1" s="2240"/>
      <c r="C1" s="2240"/>
      <c r="D1" s="2240"/>
      <c r="E1" s="2240"/>
      <c r="F1" s="2240"/>
      <c r="G1" s="2240"/>
      <c r="H1" s="2240"/>
      <c r="I1" s="2240"/>
      <c r="J1" s="2240"/>
      <c r="K1" s="2240"/>
      <c r="L1" s="2240"/>
      <c r="M1" s="2240"/>
      <c r="N1" s="2240"/>
      <c r="O1" s="2240"/>
      <c r="P1" s="2240"/>
      <c r="Q1" s="2240"/>
      <c r="R1" s="2240"/>
      <c r="S1" s="2240"/>
      <c r="T1" s="2240"/>
      <c r="U1" s="2240"/>
      <c r="V1" s="2240"/>
      <c r="W1" s="2240"/>
      <c r="X1" s="2240"/>
      <c r="Y1" s="2240"/>
    </row>
    <row r="2" spans="1:25" ht="21.6" customHeight="1" x14ac:dyDescent="0.25">
      <c r="A2" s="2241" t="s">
        <v>383</v>
      </c>
      <c r="B2" s="2241"/>
      <c r="C2" s="2241"/>
      <c r="D2" s="2241"/>
      <c r="E2" s="2241"/>
      <c r="F2" s="2241"/>
      <c r="G2" s="2241"/>
      <c r="H2" s="2241"/>
      <c r="I2" s="2241"/>
      <c r="J2" s="2241"/>
      <c r="K2" s="2241"/>
      <c r="L2" s="2241"/>
      <c r="M2" s="2241"/>
      <c r="N2" s="2241"/>
      <c r="O2" s="2241"/>
      <c r="P2" s="2241"/>
      <c r="Q2" s="2241"/>
      <c r="R2" s="2241"/>
      <c r="S2" s="2241"/>
      <c r="T2" s="2241"/>
      <c r="U2" s="2241"/>
      <c r="V2" s="2241"/>
      <c r="W2" s="2241"/>
      <c r="X2" s="2241"/>
      <c r="Y2" s="2241"/>
    </row>
    <row r="3" spans="1:25" ht="21" customHeight="1" x14ac:dyDescent="0.25">
      <c r="A3" s="739"/>
      <c r="B3" s="739"/>
      <c r="C3" s="739"/>
      <c r="D3" s="739"/>
      <c r="E3" s="739"/>
      <c r="F3" s="739"/>
      <c r="G3" s="739"/>
      <c r="H3" s="739"/>
      <c r="I3" s="739"/>
      <c r="J3" s="739"/>
      <c r="K3" s="739"/>
      <c r="L3" s="739"/>
      <c r="M3" s="739"/>
      <c r="N3" s="739"/>
      <c r="O3" s="739"/>
      <c r="P3" s="739"/>
      <c r="Q3" s="739"/>
      <c r="R3" s="739"/>
      <c r="S3" s="739"/>
      <c r="T3" s="2242" t="s">
        <v>391</v>
      </c>
      <c r="U3" s="2242"/>
      <c r="V3" s="2242"/>
      <c r="W3" s="2242"/>
      <c r="X3" s="2242"/>
      <c r="Y3" s="2242"/>
    </row>
    <row r="4" spans="1:25" s="739" customFormat="1" ht="18" customHeight="1" x14ac:dyDescent="0.25">
      <c r="A4" s="2243" t="s">
        <v>25</v>
      </c>
      <c r="B4" s="2243" t="s">
        <v>26</v>
      </c>
      <c r="C4" s="2244" t="s">
        <v>27</v>
      </c>
      <c r="D4" s="2244"/>
      <c r="E4" s="2244" t="s">
        <v>342</v>
      </c>
      <c r="F4" s="2244"/>
      <c r="G4" s="2244" t="s">
        <v>65</v>
      </c>
      <c r="H4" s="2244"/>
      <c r="I4" s="2244" t="s">
        <v>29</v>
      </c>
      <c r="J4" s="2244"/>
      <c r="K4" s="2245" t="s">
        <v>14</v>
      </c>
      <c r="L4" s="2246"/>
      <c r="M4" s="2245" t="s">
        <v>67</v>
      </c>
      <c r="N4" s="2246"/>
      <c r="O4" s="2245" t="s">
        <v>68</v>
      </c>
      <c r="P4" s="2246"/>
      <c r="Q4" s="2245" t="s">
        <v>114</v>
      </c>
      <c r="R4" s="2246"/>
      <c r="S4" s="2244" t="s">
        <v>35</v>
      </c>
      <c r="T4" s="2244"/>
      <c r="U4" s="2245" t="s">
        <v>17</v>
      </c>
      <c r="V4" s="2246"/>
      <c r="W4" s="2247" t="s">
        <v>36</v>
      </c>
      <c r="X4" s="2248"/>
      <c r="Y4" s="2238" t="s">
        <v>30</v>
      </c>
    </row>
    <row r="5" spans="1:25" s="739" customFormat="1" ht="25.5" customHeight="1" x14ac:dyDescent="0.25">
      <c r="A5" s="2243"/>
      <c r="B5" s="2243"/>
      <c r="C5" s="738" t="s">
        <v>42</v>
      </c>
      <c r="D5" s="738" t="s">
        <v>43</v>
      </c>
      <c r="E5" s="738" t="s">
        <v>42</v>
      </c>
      <c r="F5" s="738" t="s">
        <v>43</v>
      </c>
      <c r="G5" s="738" t="s">
        <v>42</v>
      </c>
      <c r="H5" s="738" t="s">
        <v>43</v>
      </c>
      <c r="I5" s="738" t="s">
        <v>42</v>
      </c>
      <c r="J5" s="738" t="s">
        <v>43</v>
      </c>
      <c r="K5" s="738" t="s">
        <v>42</v>
      </c>
      <c r="L5" s="738" t="s">
        <v>43</v>
      </c>
      <c r="M5" s="738" t="s">
        <v>42</v>
      </c>
      <c r="N5" s="738" t="s">
        <v>43</v>
      </c>
      <c r="O5" s="738" t="s">
        <v>42</v>
      </c>
      <c r="P5" s="738" t="s">
        <v>43</v>
      </c>
      <c r="Q5" s="738" t="s">
        <v>42</v>
      </c>
      <c r="R5" s="738" t="s">
        <v>43</v>
      </c>
      <c r="S5" s="33" t="s">
        <v>42</v>
      </c>
      <c r="T5" s="33" t="s">
        <v>43</v>
      </c>
      <c r="U5" s="30" t="s">
        <v>42</v>
      </c>
      <c r="V5" s="30" t="s">
        <v>43</v>
      </c>
      <c r="W5" s="30" t="s">
        <v>42</v>
      </c>
      <c r="X5" s="30" t="s">
        <v>43</v>
      </c>
      <c r="Y5" s="2239"/>
    </row>
    <row r="6" spans="1:25" ht="34.5" customHeight="1" x14ac:dyDescent="0.25">
      <c r="A6" s="12">
        <v>1409935200</v>
      </c>
      <c r="B6" s="737" t="s">
        <v>71</v>
      </c>
      <c r="C6" s="735">
        <v>49858</v>
      </c>
      <c r="D6" s="734">
        <f>0.9725*C6</f>
        <v>48486.904999999999</v>
      </c>
      <c r="E6" s="735"/>
      <c r="F6" s="735">
        <f>67.1*E6</f>
        <v>0</v>
      </c>
      <c r="G6" s="735"/>
      <c r="H6" s="735">
        <f>28.2*G6</f>
        <v>0</v>
      </c>
      <c r="I6" s="735"/>
      <c r="J6" s="735">
        <f>18.5*I6</f>
        <v>0</v>
      </c>
      <c r="K6" s="735">
        <v>380</v>
      </c>
      <c r="L6" s="735">
        <f>28.2368*K6</f>
        <v>10729.984</v>
      </c>
      <c r="M6" s="735"/>
      <c r="N6" s="734">
        <f>M6*9.75</f>
        <v>0</v>
      </c>
      <c r="O6" s="735"/>
      <c r="P6" s="734">
        <f>O6*48.62</f>
        <v>0</v>
      </c>
      <c r="Q6" s="734"/>
      <c r="R6" s="734">
        <f>241*Q6</f>
        <v>0</v>
      </c>
      <c r="S6" s="735"/>
      <c r="T6" s="735">
        <f>241*S6</f>
        <v>0</v>
      </c>
      <c r="U6" s="735"/>
      <c r="V6" s="735">
        <f>332*U6</f>
        <v>0</v>
      </c>
      <c r="W6" s="735"/>
      <c r="X6" s="19">
        <f>W6*100</f>
        <v>0</v>
      </c>
      <c r="Y6" s="20">
        <f t="shared" ref="Y6:Y12" si="0">D6+F6+H6+J6+L6+N6+P6+R6+T6+V6+X6</f>
        <v>59216.888999999996</v>
      </c>
    </row>
    <row r="7" spans="1:25" ht="31.5" customHeight="1" x14ac:dyDescent="0.25">
      <c r="A7" s="12">
        <v>1984225578</v>
      </c>
      <c r="B7" s="737" t="s">
        <v>72</v>
      </c>
      <c r="C7" s="735">
        <v>17060</v>
      </c>
      <c r="D7" s="734">
        <f t="shared" ref="D7:D11" si="1">0.9725*C7</f>
        <v>16590.850000000002</v>
      </c>
      <c r="E7" s="735"/>
      <c r="F7" s="735">
        <f t="shared" ref="F7:F11" si="2">67.1*E7</f>
        <v>0</v>
      </c>
      <c r="G7" s="735"/>
      <c r="H7" s="735">
        <f t="shared" ref="H7:H11" si="3">28.2*G7</f>
        <v>0</v>
      </c>
      <c r="I7" s="735"/>
      <c r="J7" s="735">
        <f t="shared" ref="J7:J11" si="4">18.5*I7</f>
        <v>0</v>
      </c>
      <c r="K7" s="735"/>
      <c r="L7" s="735">
        <f t="shared" ref="L7:L11" si="5">28.2368*K7</f>
        <v>0</v>
      </c>
      <c r="M7" s="735"/>
      <c r="N7" s="734">
        <f t="shared" ref="N7:N11" si="6">M7*9.75</f>
        <v>0</v>
      </c>
      <c r="O7" s="735"/>
      <c r="P7" s="734">
        <f t="shared" ref="P7:P11" si="7">O7*48.62</f>
        <v>0</v>
      </c>
      <c r="Q7" s="734"/>
      <c r="R7" s="734">
        <f t="shared" ref="R7:R11" si="8">241*Q7</f>
        <v>0</v>
      </c>
      <c r="S7" s="735"/>
      <c r="T7" s="735">
        <f t="shared" ref="T7:T11" si="9">241*S7</f>
        <v>0</v>
      </c>
      <c r="U7" s="735"/>
      <c r="V7" s="735">
        <f t="shared" ref="V7:V11" si="10">332*U7</f>
        <v>0</v>
      </c>
      <c r="W7" s="735"/>
      <c r="X7" s="19">
        <f t="shared" ref="X7:X11" si="11">W7*100</f>
        <v>0</v>
      </c>
      <c r="Y7" s="20">
        <f t="shared" si="0"/>
        <v>16590.850000000002</v>
      </c>
    </row>
    <row r="8" spans="1:25" ht="35.25" customHeight="1" x14ac:dyDescent="0.25">
      <c r="A8" s="12">
        <v>1967020280</v>
      </c>
      <c r="B8" s="737" t="s">
        <v>73</v>
      </c>
      <c r="C8" s="735">
        <v>24660</v>
      </c>
      <c r="D8" s="734">
        <f t="shared" si="1"/>
        <v>23981.850000000002</v>
      </c>
      <c r="E8" s="735"/>
      <c r="F8" s="735">
        <f t="shared" si="2"/>
        <v>0</v>
      </c>
      <c r="G8" s="735"/>
      <c r="H8" s="735">
        <f t="shared" si="3"/>
        <v>0</v>
      </c>
      <c r="I8" s="735"/>
      <c r="J8" s="735">
        <f t="shared" si="4"/>
        <v>0</v>
      </c>
      <c r="K8" s="735"/>
      <c r="L8" s="735">
        <f t="shared" si="5"/>
        <v>0</v>
      </c>
      <c r="M8" s="735"/>
      <c r="N8" s="734">
        <f t="shared" si="6"/>
        <v>0</v>
      </c>
      <c r="O8" s="735"/>
      <c r="P8" s="734">
        <f t="shared" si="7"/>
        <v>0</v>
      </c>
      <c r="Q8" s="734"/>
      <c r="R8" s="734">
        <f t="shared" si="8"/>
        <v>0</v>
      </c>
      <c r="S8" s="735"/>
      <c r="T8" s="735">
        <f t="shared" si="9"/>
        <v>0</v>
      </c>
      <c r="U8" s="735"/>
      <c r="V8" s="735">
        <f t="shared" si="10"/>
        <v>0</v>
      </c>
      <c r="W8" s="735"/>
      <c r="X8" s="19">
        <f t="shared" si="11"/>
        <v>0</v>
      </c>
      <c r="Y8" s="20">
        <f t="shared" si="0"/>
        <v>23981.850000000002</v>
      </c>
    </row>
    <row r="9" spans="1:25" ht="38.25" customHeight="1" x14ac:dyDescent="0.25">
      <c r="A9" s="12">
        <v>1984225580</v>
      </c>
      <c r="B9" s="737" t="s">
        <v>75</v>
      </c>
      <c r="C9" s="735">
        <v>27858</v>
      </c>
      <c r="D9" s="734">
        <f t="shared" si="1"/>
        <v>27091.905000000002</v>
      </c>
      <c r="E9" s="735"/>
      <c r="F9" s="735">
        <f t="shared" si="2"/>
        <v>0</v>
      </c>
      <c r="G9" s="735"/>
      <c r="H9" s="735">
        <f t="shared" si="3"/>
        <v>0</v>
      </c>
      <c r="I9" s="735"/>
      <c r="J9" s="735">
        <f t="shared" si="4"/>
        <v>0</v>
      </c>
      <c r="K9" s="735"/>
      <c r="L9" s="735">
        <f t="shared" si="5"/>
        <v>0</v>
      </c>
      <c r="M9" s="735"/>
      <c r="N9" s="734">
        <f t="shared" si="6"/>
        <v>0</v>
      </c>
      <c r="O9" s="735"/>
      <c r="P9" s="734">
        <f t="shared" si="7"/>
        <v>0</v>
      </c>
      <c r="Q9" s="734"/>
      <c r="R9" s="734">
        <f t="shared" si="8"/>
        <v>0</v>
      </c>
      <c r="S9" s="735"/>
      <c r="T9" s="735">
        <f t="shared" si="9"/>
        <v>0</v>
      </c>
      <c r="U9" s="735"/>
      <c r="V9" s="735">
        <f t="shared" si="10"/>
        <v>0</v>
      </c>
      <c r="W9" s="735"/>
      <c r="X9" s="19">
        <f t="shared" si="11"/>
        <v>0</v>
      </c>
      <c r="Y9" s="20">
        <f t="shared" si="0"/>
        <v>27091.905000000002</v>
      </c>
    </row>
    <row r="10" spans="1:25" ht="35.25" customHeight="1" x14ac:dyDescent="0.25">
      <c r="A10" s="12">
        <v>1409935199</v>
      </c>
      <c r="C10" s="735">
        <v>20566</v>
      </c>
      <c r="D10" s="734">
        <f t="shared" si="1"/>
        <v>20000.435000000001</v>
      </c>
      <c r="E10" s="735"/>
      <c r="F10" s="735">
        <f t="shared" si="2"/>
        <v>0</v>
      </c>
      <c r="G10" s="735"/>
      <c r="H10" s="735">
        <f t="shared" si="3"/>
        <v>0</v>
      </c>
      <c r="I10" s="735"/>
      <c r="J10" s="735">
        <f t="shared" si="4"/>
        <v>0</v>
      </c>
      <c r="K10" s="735"/>
      <c r="L10" s="735">
        <f t="shared" si="5"/>
        <v>0</v>
      </c>
      <c r="M10" s="735"/>
      <c r="N10" s="734">
        <f t="shared" si="6"/>
        <v>0</v>
      </c>
      <c r="O10" s="735"/>
      <c r="P10" s="734">
        <f t="shared" si="7"/>
        <v>0</v>
      </c>
      <c r="Q10" s="734"/>
      <c r="R10" s="734">
        <f t="shared" si="8"/>
        <v>0</v>
      </c>
      <c r="S10" s="735"/>
      <c r="T10" s="735">
        <f t="shared" si="9"/>
        <v>0</v>
      </c>
      <c r="U10" s="735"/>
      <c r="V10" s="735">
        <f t="shared" si="10"/>
        <v>0</v>
      </c>
      <c r="W10" s="735"/>
      <c r="X10" s="19">
        <f t="shared" si="11"/>
        <v>0</v>
      </c>
      <c r="Y10" s="20">
        <f t="shared" si="0"/>
        <v>20000.435000000001</v>
      </c>
    </row>
    <row r="11" spans="1:25" ht="37.5" customHeight="1" x14ac:dyDescent="0.25">
      <c r="A11" s="12"/>
      <c r="B11" s="736"/>
      <c r="C11" s="735"/>
      <c r="D11" s="22">
        <f t="shared" si="1"/>
        <v>0</v>
      </c>
      <c r="E11" s="735"/>
      <c r="F11" s="735">
        <f t="shared" si="2"/>
        <v>0</v>
      </c>
      <c r="G11" s="735"/>
      <c r="H11" s="735">
        <f t="shared" si="3"/>
        <v>0</v>
      </c>
      <c r="I11" s="735"/>
      <c r="J11" s="735">
        <f t="shared" si="4"/>
        <v>0</v>
      </c>
      <c r="K11" s="735"/>
      <c r="L11" s="735">
        <f t="shared" si="5"/>
        <v>0</v>
      </c>
      <c r="M11" s="735"/>
      <c r="N11" s="734">
        <f t="shared" si="6"/>
        <v>0</v>
      </c>
      <c r="O11" s="735"/>
      <c r="P11" s="734">
        <f t="shared" si="7"/>
        <v>0</v>
      </c>
      <c r="Q11" s="734"/>
      <c r="R11" s="734">
        <f t="shared" si="8"/>
        <v>0</v>
      </c>
      <c r="S11" s="735"/>
      <c r="T11" s="735">
        <f t="shared" si="9"/>
        <v>0</v>
      </c>
      <c r="U11" s="735"/>
      <c r="V11" s="735">
        <f t="shared" si="10"/>
        <v>0</v>
      </c>
      <c r="W11" s="735"/>
      <c r="X11" s="19">
        <f t="shared" si="11"/>
        <v>0</v>
      </c>
      <c r="Y11" s="20">
        <f t="shared" si="0"/>
        <v>0</v>
      </c>
    </row>
    <row r="12" spans="1:25" ht="29.25" customHeight="1" x14ac:dyDescent="0.25">
      <c r="A12" s="2235" t="s">
        <v>31</v>
      </c>
      <c r="B12" s="2235"/>
      <c r="C12" s="18">
        <f t="shared" ref="C12:X12" si="12">SUM(C6:C11)</f>
        <v>140002</v>
      </c>
      <c r="D12" s="18">
        <f t="shared" si="12"/>
        <v>136151.94500000001</v>
      </c>
      <c r="E12" s="18">
        <f t="shared" si="12"/>
        <v>0</v>
      </c>
      <c r="F12" s="18">
        <f t="shared" si="12"/>
        <v>0</v>
      </c>
      <c r="G12" s="18">
        <f t="shared" si="12"/>
        <v>0</v>
      </c>
      <c r="H12" s="18">
        <f t="shared" si="12"/>
        <v>0</v>
      </c>
      <c r="I12" s="18">
        <f t="shared" si="12"/>
        <v>0</v>
      </c>
      <c r="J12" s="18">
        <f t="shared" si="12"/>
        <v>0</v>
      </c>
      <c r="K12" s="18">
        <f t="shared" si="12"/>
        <v>380</v>
      </c>
      <c r="L12" s="18">
        <f t="shared" si="12"/>
        <v>10729.984</v>
      </c>
      <c r="M12" s="18">
        <f t="shared" si="12"/>
        <v>0</v>
      </c>
      <c r="N12" s="23">
        <f t="shared" si="12"/>
        <v>0</v>
      </c>
      <c r="O12" s="18">
        <f t="shared" si="12"/>
        <v>0</v>
      </c>
      <c r="P12" s="23">
        <f t="shared" si="12"/>
        <v>0</v>
      </c>
      <c r="Q12" s="23">
        <f t="shared" si="12"/>
        <v>0</v>
      </c>
      <c r="R12" s="23">
        <f>SUM(R6:R11)</f>
        <v>0</v>
      </c>
      <c r="S12" s="18">
        <f t="shared" si="12"/>
        <v>0</v>
      </c>
      <c r="T12" s="18">
        <f t="shared" si="12"/>
        <v>0</v>
      </c>
      <c r="U12" s="18">
        <f t="shared" si="12"/>
        <v>0</v>
      </c>
      <c r="V12" s="18">
        <f t="shared" si="12"/>
        <v>0</v>
      </c>
      <c r="W12" s="18">
        <f t="shared" si="12"/>
        <v>0</v>
      </c>
      <c r="X12" s="18">
        <f t="shared" si="12"/>
        <v>0</v>
      </c>
      <c r="Y12" s="20">
        <f t="shared" si="0"/>
        <v>146881.929</v>
      </c>
    </row>
    <row r="14" spans="1:25" ht="41.25" customHeight="1" x14ac:dyDescent="0.25">
      <c r="A14" s="30" t="s">
        <v>32</v>
      </c>
      <c r="B14" s="2236" t="s">
        <v>27</v>
      </c>
      <c r="C14" s="2236"/>
      <c r="D14" s="30" t="s">
        <v>333</v>
      </c>
      <c r="E14" s="30" t="s">
        <v>65</v>
      </c>
      <c r="F14" s="30" t="s">
        <v>34</v>
      </c>
      <c r="G14" s="30" t="s">
        <v>14</v>
      </c>
      <c r="H14" s="469" t="s">
        <v>173</v>
      </c>
      <c r="I14" s="30" t="s">
        <v>17</v>
      </c>
      <c r="J14" s="743" t="s">
        <v>174</v>
      </c>
      <c r="K14" s="30" t="s">
        <v>36</v>
      </c>
      <c r="L14" s="30" t="s">
        <v>175</v>
      </c>
      <c r="M14" s="30" t="s">
        <v>69</v>
      </c>
      <c r="N14" s="30" t="s">
        <v>70</v>
      </c>
      <c r="O14" s="743" t="s">
        <v>114</v>
      </c>
      <c r="P14" s="743"/>
      <c r="Q14" s="2300" t="s">
        <v>378</v>
      </c>
      <c r="R14" s="2301"/>
      <c r="S14" s="743"/>
      <c r="T14" s="2235" t="s">
        <v>46</v>
      </c>
      <c r="U14" s="737" t="s">
        <v>176</v>
      </c>
      <c r="V14" s="2260">
        <v>642477</v>
      </c>
      <c r="W14" s="2268"/>
      <c r="X14" s="2261"/>
    </row>
    <row r="15" spans="1:25" ht="22.5" customHeight="1" x14ac:dyDescent="0.25">
      <c r="A15" s="100" t="s">
        <v>38</v>
      </c>
      <c r="B15" s="2260">
        <v>397278</v>
      </c>
      <c r="C15" s="2261"/>
      <c r="D15" s="740">
        <v>512</v>
      </c>
      <c r="E15" s="740">
        <v>490</v>
      </c>
      <c r="F15" s="740">
        <v>15100</v>
      </c>
      <c r="G15" s="740">
        <v>490</v>
      </c>
      <c r="H15" s="740">
        <v>138</v>
      </c>
      <c r="I15" s="740">
        <v>0</v>
      </c>
      <c r="J15" s="740">
        <v>26</v>
      </c>
      <c r="K15" s="740">
        <v>71</v>
      </c>
      <c r="L15" s="740">
        <v>29</v>
      </c>
      <c r="M15" s="740">
        <v>0</v>
      </c>
      <c r="N15" s="740">
        <v>100</v>
      </c>
      <c r="O15" s="740">
        <v>0</v>
      </c>
      <c r="P15" s="740"/>
      <c r="Q15" s="2260">
        <v>100</v>
      </c>
      <c r="R15" s="2261"/>
      <c r="S15" s="737"/>
      <c r="T15" s="2235"/>
      <c r="U15" s="737" t="s">
        <v>64</v>
      </c>
      <c r="V15" s="2262">
        <v>279480</v>
      </c>
      <c r="W15" s="2262"/>
      <c r="X15" s="2262"/>
    </row>
    <row r="16" spans="1:25" ht="24.75" customHeight="1" x14ac:dyDescent="0.25">
      <c r="A16" s="100" t="s">
        <v>39</v>
      </c>
      <c r="B16" s="2260"/>
      <c r="C16" s="2261"/>
      <c r="D16" s="740"/>
      <c r="E16" s="740"/>
      <c r="F16" s="740"/>
      <c r="G16" s="740"/>
      <c r="H16" s="740"/>
      <c r="I16" s="740"/>
      <c r="J16" s="740"/>
      <c r="K16" s="740"/>
      <c r="L16" s="740"/>
      <c r="M16" s="740"/>
      <c r="N16" s="740"/>
      <c r="O16" s="740"/>
      <c r="P16" s="740"/>
      <c r="Q16" s="2225"/>
      <c r="R16" s="2225"/>
      <c r="S16" s="740"/>
      <c r="T16" s="2254" t="s">
        <v>55</v>
      </c>
      <c r="U16" s="2254"/>
      <c r="V16" s="2267">
        <f>Y12</f>
        <v>146881.929</v>
      </c>
      <c r="W16" s="2267"/>
      <c r="X16" s="2262"/>
    </row>
    <row r="17" spans="1:25" ht="28.5" customHeight="1" x14ac:dyDescent="0.25">
      <c r="A17" s="101" t="s">
        <v>44</v>
      </c>
      <c r="B17" s="2260"/>
      <c r="C17" s="2261"/>
      <c r="D17" s="740"/>
      <c r="E17" s="740"/>
      <c r="F17" s="740"/>
      <c r="G17" s="740"/>
      <c r="H17" s="740"/>
      <c r="I17" s="740"/>
      <c r="J17" s="740"/>
      <c r="K17" s="740"/>
      <c r="L17" s="740"/>
      <c r="M17" s="740"/>
      <c r="N17" s="740"/>
      <c r="O17" s="740"/>
      <c r="P17" s="740"/>
      <c r="Q17" s="2225"/>
      <c r="R17" s="2225"/>
      <c r="S17" s="736"/>
      <c r="T17" s="2294" t="s">
        <v>362</v>
      </c>
      <c r="U17" s="2295"/>
      <c r="V17" s="2296"/>
      <c r="W17" s="2296"/>
      <c r="X17" s="2296"/>
    </row>
    <row r="18" spans="1:25" ht="27" customHeight="1" x14ac:dyDescent="0.25">
      <c r="A18" s="100" t="s">
        <v>40</v>
      </c>
      <c r="B18" s="2264">
        <f>C12</f>
        <v>140002</v>
      </c>
      <c r="C18" s="2261"/>
      <c r="D18" s="742">
        <f>E12</f>
        <v>0</v>
      </c>
      <c r="E18" s="742">
        <f>G12</f>
        <v>0</v>
      </c>
      <c r="F18" s="742">
        <f>I12</f>
        <v>0</v>
      </c>
      <c r="G18" s="742">
        <f>K12</f>
        <v>380</v>
      </c>
      <c r="H18" s="740"/>
      <c r="I18" s="742">
        <f>U12</f>
        <v>0</v>
      </c>
      <c r="J18" s="740"/>
      <c r="K18" s="742">
        <f>W12</f>
        <v>0</v>
      </c>
      <c r="L18" s="740"/>
      <c r="M18" s="742">
        <f>M12</f>
        <v>0</v>
      </c>
      <c r="N18" s="742">
        <f>O12</f>
        <v>0</v>
      </c>
      <c r="O18" s="741">
        <f>Q12</f>
        <v>0</v>
      </c>
      <c r="P18" s="740"/>
      <c r="Q18" s="2262"/>
      <c r="R18" s="2262"/>
      <c r="S18" s="737"/>
      <c r="T18" s="2254" t="s">
        <v>57</v>
      </c>
      <c r="U18" s="2254"/>
      <c r="V18" s="2262">
        <v>1250</v>
      </c>
      <c r="W18" s="2262"/>
      <c r="X18" s="2262"/>
      <c r="Y18" s="2269"/>
    </row>
    <row r="19" spans="1:25" ht="25.5" customHeight="1" x14ac:dyDescent="0.25">
      <c r="A19" s="100" t="s">
        <v>41</v>
      </c>
      <c r="B19" s="2260">
        <f>B15+B16+B17-B18</f>
        <v>257276</v>
      </c>
      <c r="C19" s="2261"/>
      <c r="D19" s="740">
        <f>D15+D16+D17-D18</f>
        <v>512</v>
      </c>
      <c r="E19" s="740">
        <f t="shared" ref="E19:N19" si="13">E15+E16+E17-E18</f>
        <v>490</v>
      </c>
      <c r="F19" s="740">
        <f t="shared" si="13"/>
        <v>15100</v>
      </c>
      <c r="G19" s="740">
        <f t="shared" si="13"/>
        <v>110</v>
      </c>
      <c r="H19" s="740">
        <f t="shared" si="13"/>
        <v>138</v>
      </c>
      <c r="I19" s="740">
        <f t="shared" si="13"/>
        <v>0</v>
      </c>
      <c r="J19" s="740">
        <f t="shared" si="13"/>
        <v>26</v>
      </c>
      <c r="K19" s="740">
        <f t="shared" si="13"/>
        <v>71</v>
      </c>
      <c r="L19" s="740">
        <f t="shared" si="13"/>
        <v>29</v>
      </c>
      <c r="M19" s="740">
        <f t="shared" si="13"/>
        <v>0</v>
      </c>
      <c r="N19" s="740">
        <f t="shared" si="13"/>
        <v>100</v>
      </c>
      <c r="O19" s="740">
        <f>O15+O16+O17-O18</f>
        <v>0</v>
      </c>
      <c r="P19" s="740">
        <f>P15+P16+P17-P18</f>
        <v>0</v>
      </c>
      <c r="Q19" s="2260">
        <f t="shared" ref="Q19" si="14">Q15+Q16+Q17-Q18</f>
        <v>100</v>
      </c>
      <c r="R19" s="2261"/>
      <c r="S19" s="737">
        <f>S15+S16-S17-S18</f>
        <v>0</v>
      </c>
      <c r="T19" s="2256" t="s">
        <v>48</v>
      </c>
      <c r="U19" s="49" t="s">
        <v>58</v>
      </c>
      <c r="V19" s="2262">
        <v>780000</v>
      </c>
      <c r="W19" s="2262"/>
      <c r="X19" s="2262"/>
      <c r="Y19" s="2269"/>
    </row>
    <row r="20" spans="1:25" ht="23.25" customHeight="1" x14ac:dyDescent="0.25">
      <c r="A20" s="289" t="s">
        <v>187</v>
      </c>
      <c r="B20" s="2286">
        <f>B19*0.9625</f>
        <v>247628.15</v>
      </c>
      <c r="C20" s="2287"/>
      <c r="D20" s="290">
        <f>D19*66.41</f>
        <v>34001.919999999998</v>
      </c>
      <c r="E20" s="290">
        <f>28.2*E19</f>
        <v>13818</v>
      </c>
      <c r="F20" s="290">
        <f>18.31*F19</f>
        <v>276481</v>
      </c>
      <c r="G20" s="290">
        <f>27.9368*G19</f>
        <v>3073.0480000000002</v>
      </c>
      <c r="H20" s="290">
        <f>241*H19</f>
        <v>33258</v>
      </c>
      <c r="I20" s="290">
        <f>323*I19</f>
        <v>0</v>
      </c>
      <c r="J20" s="290">
        <f>241*J19</f>
        <v>6266</v>
      </c>
      <c r="K20" s="290">
        <f>K19*100</f>
        <v>7100</v>
      </c>
      <c r="L20" s="290">
        <f>241*L19</f>
        <v>6989</v>
      </c>
      <c r="M20" s="290">
        <f>9.65*M19</f>
        <v>0</v>
      </c>
      <c r="N20" s="290">
        <f>N19*48.2</f>
        <v>4820</v>
      </c>
      <c r="O20" s="290">
        <f>241*O19</f>
        <v>0</v>
      </c>
      <c r="P20" s="290">
        <f>241*P19</f>
        <v>0</v>
      </c>
      <c r="Q20" s="2286">
        <f>341*Q19</f>
        <v>34100</v>
      </c>
      <c r="R20" s="2287"/>
      <c r="S20" s="290">
        <f>241*S19</f>
        <v>0</v>
      </c>
      <c r="T20" s="2257"/>
      <c r="U20" s="49" t="s">
        <v>59</v>
      </c>
      <c r="V20" s="2262"/>
      <c r="W20" s="2262"/>
      <c r="X20" s="2262"/>
      <c r="Y20" s="2269"/>
    </row>
    <row r="21" spans="1:25" ht="32.25" customHeight="1" x14ac:dyDescent="0.25">
      <c r="A21" s="291" t="s">
        <v>186</v>
      </c>
      <c r="B21" s="2293">
        <f>SUM(B20:S20)</f>
        <v>667535.11800000002</v>
      </c>
      <c r="C21" s="2293"/>
      <c r="O21" s="744"/>
      <c r="P21" s="744"/>
      <c r="Q21" s="744"/>
      <c r="R21" s="744"/>
      <c r="T21" s="2294" t="s">
        <v>366</v>
      </c>
      <c r="U21" s="2295"/>
      <c r="V21" s="2297"/>
      <c r="W21" s="2298"/>
      <c r="X21" s="2299"/>
      <c r="Y21" s="2269"/>
    </row>
    <row r="22" spans="1:25" ht="35.25" customHeight="1" x14ac:dyDescent="0.25">
      <c r="A22" s="15"/>
      <c r="B22" s="2288" t="s">
        <v>49</v>
      </c>
      <c r="C22" s="2291">
        <v>1425125</v>
      </c>
      <c r="D22" s="2291">
        <v>780000</v>
      </c>
      <c r="E22" s="2291"/>
      <c r="F22" s="2291">
        <f>C22-D22+E22</f>
        <v>645125</v>
      </c>
      <c r="G22" s="744"/>
      <c r="Q22" s="744"/>
      <c r="R22" s="744"/>
      <c r="T22" s="2251" t="s">
        <v>83</v>
      </c>
      <c r="U22" s="50" t="s">
        <v>60</v>
      </c>
      <c r="V22" s="2262">
        <v>780000</v>
      </c>
      <c r="W22" s="2262"/>
      <c r="X22" s="2262"/>
      <c r="Y22" s="2269"/>
    </row>
    <row r="23" spans="1:25" ht="39.75" customHeight="1" x14ac:dyDescent="0.25">
      <c r="A23" s="744"/>
      <c r="B23" s="2289"/>
      <c r="C23" s="2292"/>
      <c r="D23" s="2292"/>
      <c r="E23" s="2292"/>
      <c r="F23" s="2292"/>
      <c r="G23" s="744"/>
      <c r="Q23" s="744"/>
      <c r="R23" s="744"/>
      <c r="T23" s="2252"/>
      <c r="U23" s="50" t="s">
        <v>61</v>
      </c>
      <c r="V23" s="2262">
        <v>780000</v>
      </c>
      <c r="W23" s="2262"/>
      <c r="X23" s="2262"/>
      <c r="Y23" s="2269"/>
    </row>
    <row r="24" spans="1:25" ht="48" customHeight="1" x14ac:dyDescent="0.25">
      <c r="A24" s="744"/>
      <c r="B24" s="2290"/>
      <c r="C24" s="290" t="s">
        <v>46</v>
      </c>
      <c r="D24" s="290" t="s">
        <v>50</v>
      </c>
      <c r="E24" s="290" t="s">
        <v>51</v>
      </c>
      <c r="F24" s="290" t="s">
        <v>52</v>
      </c>
      <c r="G24" s="744"/>
      <c r="Q24" s="744"/>
      <c r="R24" s="744"/>
      <c r="T24" s="2235" t="s">
        <v>47</v>
      </c>
      <c r="U24" s="51" t="s">
        <v>62</v>
      </c>
      <c r="V24" s="2263">
        <f>V14+V16+V17-V18-V19-V20-V22+V23-V21</f>
        <v>8108.9290000000037</v>
      </c>
      <c r="W24" s="2263"/>
      <c r="X24" s="2263"/>
      <c r="Y24" s="2269"/>
    </row>
    <row r="25" spans="1:25" ht="40.5" customHeight="1" x14ac:dyDescent="0.25">
      <c r="T25" s="2235"/>
      <c r="U25" s="51" t="s">
        <v>63</v>
      </c>
      <c r="V25" s="2262">
        <f>V15+V22-V23</f>
        <v>279480</v>
      </c>
      <c r="W25" s="2262"/>
      <c r="X25" s="2262"/>
    </row>
    <row r="26" spans="1:25" ht="36" customHeight="1" x14ac:dyDescent="0.25">
      <c r="K26" s="314"/>
    </row>
    <row r="28" spans="1:25" x14ac:dyDescent="0.25">
      <c r="J28" s="14" t="s">
        <v>139</v>
      </c>
    </row>
    <row r="32" spans="1:25" x14ac:dyDescent="0.25">
      <c r="I32" s="2280"/>
      <c r="J32" s="2280"/>
      <c r="K32" s="2280"/>
      <c r="L32" s="2280"/>
    </row>
    <row r="33" spans="9:12" x14ac:dyDescent="0.25">
      <c r="I33" s="744"/>
      <c r="J33" s="744"/>
      <c r="K33" s="2280"/>
      <c r="L33" s="2280"/>
    </row>
  </sheetData>
  <mergeCells count="62">
    <mergeCell ref="A1:Y1"/>
    <mergeCell ref="A2:Y2"/>
    <mergeCell ref="T3:Y3"/>
    <mergeCell ref="A4:A5"/>
    <mergeCell ref="B4:B5"/>
    <mergeCell ref="C4:D4"/>
    <mergeCell ref="E4:F4"/>
    <mergeCell ref="G4:H4"/>
    <mergeCell ref="I4:J4"/>
    <mergeCell ref="K4:L4"/>
    <mergeCell ref="Y4:Y5"/>
    <mergeCell ref="M4:N4"/>
    <mergeCell ref="O4:P4"/>
    <mergeCell ref="Q4:R4"/>
    <mergeCell ref="S4:T4"/>
    <mergeCell ref="U4:V4"/>
    <mergeCell ref="W4:X4"/>
    <mergeCell ref="B16:C16"/>
    <mergeCell ref="Q16:R16"/>
    <mergeCell ref="T16:U16"/>
    <mergeCell ref="V16:X16"/>
    <mergeCell ref="A12:B12"/>
    <mergeCell ref="B14:C14"/>
    <mergeCell ref="Q14:R14"/>
    <mergeCell ref="T14:T15"/>
    <mergeCell ref="V14:X14"/>
    <mergeCell ref="B15:C15"/>
    <mergeCell ref="Q15:R15"/>
    <mergeCell ref="V15:X15"/>
    <mergeCell ref="B17:C17"/>
    <mergeCell ref="Q17:R17"/>
    <mergeCell ref="T17:U17"/>
    <mergeCell ref="V17:X17"/>
    <mergeCell ref="B18:C18"/>
    <mergeCell ref="Q18:R18"/>
    <mergeCell ref="T18:U18"/>
    <mergeCell ref="V18:X18"/>
    <mergeCell ref="Y18:Y24"/>
    <mergeCell ref="B19:C19"/>
    <mergeCell ref="Q19:R19"/>
    <mergeCell ref="T19:T20"/>
    <mergeCell ref="V19:X19"/>
    <mergeCell ref="B20:C20"/>
    <mergeCell ref="B22:B24"/>
    <mergeCell ref="C22:C23"/>
    <mergeCell ref="D22:D23"/>
    <mergeCell ref="E22:E23"/>
    <mergeCell ref="F22:F23"/>
    <mergeCell ref="Q20:R20"/>
    <mergeCell ref="V20:X20"/>
    <mergeCell ref="B21:C21"/>
    <mergeCell ref="T21:U21"/>
    <mergeCell ref="V21:X21"/>
    <mergeCell ref="I32:J32"/>
    <mergeCell ref="K32:L32"/>
    <mergeCell ref="K33:L33"/>
    <mergeCell ref="T22:T23"/>
    <mergeCell ref="V22:X22"/>
    <mergeCell ref="V23:X23"/>
    <mergeCell ref="T24:T25"/>
    <mergeCell ref="V24:X24"/>
    <mergeCell ref="V25:X25"/>
  </mergeCells>
  <pageMargins left="0.15748031496063" right="0.15748031496063" top="0" bottom="0" header="0" footer="0"/>
  <pageSetup paperSize="9" scale="46" orientation="landscape" r:id="rId1"/>
</worksheet>
</file>

<file path=xl/worksheets/sheet17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FBA6AF9-8FA6-450C-A170-793508C9D836}">
  <sheetPr>
    <pageSetUpPr fitToPage="1"/>
  </sheetPr>
  <dimension ref="A1:Y33"/>
  <sheetViews>
    <sheetView topLeftCell="A13" zoomScale="70" zoomScaleNormal="70" zoomScaleSheetLayoutView="100" workbookViewId="0">
      <selection activeCell="P22" sqref="P22"/>
    </sheetView>
  </sheetViews>
  <sheetFormatPr defaultColWidth="9.140625" defaultRowHeight="15" x14ac:dyDescent="0.25"/>
  <cols>
    <col min="1" max="1" width="18.28515625" style="14" customWidth="1"/>
    <col min="2" max="2" width="10.7109375" style="14" customWidth="1"/>
    <col min="3" max="3" width="12.28515625" style="14" customWidth="1"/>
    <col min="4" max="4" width="13.140625" style="14" bestFit="1" customWidth="1"/>
    <col min="5" max="5" width="12" style="14" customWidth="1"/>
    <col min="6" max="6" width="12.5703125" style="14" bestFit="1" customWidth="1"/>
    <col min="7" max="7" width="9.28515625" style="14" bestFit="1" customWidth="1"/>
    <col min="8" max="8" width="10.140625" style="14" bestFit="1" customWidth="1"/>
    <col min="9" max="9" width="10.5703125" style="14" bestFit="1" customWidth="1"/>
    <col min="10" max="10" width="10.5703125" style="14" customWidth="1"/>
    <col min="11" max="11" width="10.28515625" style="14" bestFit="1" customWidth="1"/>
    <col min="12" max="12" width="10.42578125" style="14" bestFit="1" customWidth="1"/>
    <col min="13" max="13" width="9.85546875" style="14" bestFit="1" customWidth="1"/>
    <col min="14" max="14" width="10.140625" style="14" bestFit="1" customWidth="1"/>
    <col min="15" max="15" width="9" style="14" customWidth="1"/>
    <col min="16" max="16" width="12.85546875" style="14" bestFit="1" customWidth="1"/>
    <col min="17" max="18" width="9.42578125" style="14" customWidth="1"/>
    <col min="19" max="19" width="13.7109375" style="14" customWidth="1"/>
    <col min="20" max="20" width="12.140625" style="14" customWidth="1"/>
    <col min="21" max="21" width="21.7109375" style="14" customWidth="1"/>
    <col min="22" max="22" width="9.85546875" style="14" customWidth="1"/>
    <col min="23" max="23" width="10.140625" style="14" bestFit="1" customWidth="1"/>
    <col min="24" max="24" width="10.28515625" style="14" customWidth="1"/>
    <col min="25" max="25" width="28" style="14" customWidth="1"/>
    <col min="26" max="16384" width="9.140625" style="14"/>
  </cols>
  <sheetData>
    <row r="1" spans="1:25" ht="46.15" customHeight="1" x14ac:dyDescent="0.25">
      <c r="A1" s="2240" t="s">
        <v>148</v>
      </c>
      <c r="B1" s="2240"/>
      <c r="C1" s="2240"/>
      <c r="D1" s="2240"/>
      <c r="E1" s="2240"/>
      <c r="F1" s="2240"/>
      <c r="G1" s="2240"/>
      <c r="H1" s="2240"/>
      <c r="I1" s="2240"/>
      <c r="J1" s="2240"/>
      <c r="K1" s="2240"/>
      <c r="L1" s="2240"/>
      <c r="M1" s="2240"/>
      <c r="N1" s="2240"/>
      <c r="O1" s="2240"/>
      <c r="P1" s="2240"/>
      <c r="Q1" s="2240"/>
      <c r="R1" s="2240"/>
      <c r="S1" s="2240"/>
      <c r="T1" s="2240"/>
      <c r="U1" s="2240"/>
      <c r="V1" s="2240"/>
      <c r="W1" s="2240"/>
      <c r="X1" s="2240"/>
      <c r="Y1" s="2240"/>
    </row>
    <row r="2" spans="1:25" ht="21.6" customHeight="1" x14ac:dyDescent="0.25">
      <c r="A2" s="2241" t="s">
        <v>383</v>
      </c>
      <c r="B2" s="2241"/>
      <c r="C2" s="2241"/>
      <c r="D2" s="2241"/>
      <c r="E2" s="2241"/>
      <c r="F2" s="2241"/>
      <c r="G2" s="2241"/>
      <c r="H2" s="2241"/>
      <c r="I2" s="2241"/>
      <c r="J2" s="2241"/>
      <c r="K2" s="2241"/>
      <c r="L2" s="2241"/>
      <c r="M2" s="2241"/>
      <c r="N2" s="2241"/>
      <c r="O2" s="2241"/>
      <c r="P2" s="2241"/>
      <c r="Q2" s="2241"/>
      <c r="R2" s="2241"/>
      <c r="S2" s="2241"/>
      <c r="T2" s="2241"/>
      <c r="U2" s="2241"/>
      <c r="V2" s="2241"/>
      <c r="W2" s="2241"/>
      <c r="X2" s="2241"/>
      <c r="Y2" s="2241"/>
    </row>
    <row r="3" spans="1:25" ht="21" customHeight="1" x14ac:dyDescent="0.25">
      <c r="A3" s="745"/>
      <c r="B3" s="745"/>
      <c r="C3" s="745"/>
      <c r="D3" s="745"/>
      <c r="E3" s="745"/>
      <c r="F3" s="745"/>
      <c r="G3" s="745"/>
      <c r="H3" s="745"/>
      <c r="I3" s="745"/>
      <c r="J3" s="745"/>
      <c r="K3" s="745"/>
      <c r="L3" s="745"/>
      <c r="M3" s="745"/>
      <c r="N3" s="745"/>
      <c r="O3" s="745"/>
      <c r="P3" s="745"/>
      <c r="Q3" s="745"/>
      <c r="R3" s="745"/>
      <c r="S3" s="745"/>
      <c r="T3" s="2242" t="s">
        <v>392</v>
      </c>
      <c r="U3" s="2242"/>
      <c r="V3" s="2242"/>
      <c r="W3" s="2242"/>
      <c r="X3" s="2242"/>
      <c r="Y3" s="2242"/>
    </row>
    <row r="4" spans="1:25" s="745" customFormat="1" ht="18" customHeight="1" x14ac:dyDescent="0.25">
      <c r="A4" s="2243" t="s">
        <v>25</v>
      </c>
      <c r="B4" s="2243" t="s">
        <v>26</v>
      </c>
      <c r="C4" s="2244" t="s">
        <v>27</v>
      </c>
      <c r="D4" s="2244"/>
      <c r="E4" s="2244" t="s">
        <v>342</v>
      </c>
      <c r="F4" s="2244"/>
      <c r="G4" s="2244" t="s">
        <v>65</v>
      </c>
      <c r="H4" s="2244"/>
      <c r="I4" s="2244" t="s">
        <v>29</v>
      </c>
      <c r="J4" s="2244"/>
      <c r="K4" s="2245" t="s">
        <v>14</v>
      </c>
      <c r="L4" s="2246"/>
      <c r="M4" s="2245" t="s">
        <v>67</v>
      </c>
      <c r="N4" s="2246"/>
      <c r="O4" s="2245" t="s">
        <v>68</v>
      </c>
      <c r="P4" s="2246"/>
      <c r="Q4" s="2245" t="s">
        <v>114</v>
      </c>
      <c r="R4" s="2246"/>
      <c r="S4" s="2244" t="s">
        <v>35</v>
      </c>
      <c r="T4" s="2244"/>
      <c r="U4" s="2245" t="s">
        <v>17</v>
      </c>
      <c r="V4" s="2246"/>
      <c r="W4" s="2247" t="s">
        <v>36</v>
      </c>
      <c r="X4" s="2248"/>
      <c r="Y4" s="2238" t="s">
        <v>30</v>
      </c>
    </row>
    <row r="5" spans="1:25" s="745" customFormat="1" ht="25.5" customHeight="1" x14ac:dyDescent="0.25">
      <c r="A5" s="2243"/>
      <c r="B5" s="2243"/>
      <c r="C5" s="747" t="s">
        <v>42</v>
      </c>
      <c r="D5" s="747" t="s">
        <v>43</v>
      </c>
      <c r="E5" s="747" t="s">
        <v>42</v>
      </c>
      <c r="F5" s="747" t="s">
        <v>43</v>
      </c>
      <c r="G5" s="747" t="s">
        <v>42</v>
      </c>
      <c r="H5" s="747" t="s">
        <v>43</v>
      </c>
      <c r="I5" s="747" t="s">
        <v>42</v>
      </c>
      <c r="J5" s="747" t="s">
        <v>43</v>
      </c>
      <c r="K5" s="747" t="s">
        <v>42</v>
      </c>
      <c r="L5" s="747" t="s">
        <v>43</v>
      </c>
      <c r="M5" s="747" t="s">
        <v>42</v>
      </c>
      <c r="N5" s="747" t="s">
        <v>43</v>
      </c>
      <c r="O5" s="747" t="s">
        <v>42</v>
      </c>
      <c r="P5" s="747" t="s">
        <v>43</v>
      </c>
      <c r="Q5" s="747" t="s">
        <v>42</v>
      </c>
      <c r="R5" s="747" t="s">
        <v>43</v>
      </c>
      <c r="S5" s="33" t="s">
        <v>42</v>
      </c>
      <c r="T5" s="33" t="s">
        <v>43</v>
      </c>
      <c r="U5" s="30" t="s">
        <v>42</v>
      </c>
      <c r="V5" s="30" t="s">
        <v>43</v>
      </c>
      <c r="W5" s="30" t="s">
        <v>42</v>
      </c>
      <c r="X5" s="30" t="s">
        <v>43</v>
      </c>
      <c r="Y5" s="2239"/>
    </row>
    <row r="6" spans="1:25" ht="34.5" customHeight="1" x14ac:dyDescent="0.25">
      <c r="A6" s="12">
        <v>1409935200</v>
      </c>
      <c r="B6" s="746" t="s">
        <v>71</v>
      </c>
      <c r="C6" s="749">
        <v>38550</v>
      </c>
      <c r="D6" s="750">
        <f>0.9725*C6</f>
        <v>37489.875</v>
      </c>
      <c r="E6" s="749"/>
      <c r="F6" s="749">
        <f>67.1*E6</f>
        <v>0</v>
      </c>
      <c r="G6" s="749"/>
      <c r="H6" s="749">
        <f>28.2*G6</f>
        <v>0</v>
      </c>
      <c r="I6" s="749"/>
      <c r="J6" s="749">
        <f>18.5*I6</f>
        <v>0</v>
      </c>
      <c r="K6" s="749"/>
      <c r="L6" s="749">
        <f>28.2368*K6</f>
        <v>0</v>
      </c>
      <c r="M6" s="749"/>
      <c r="N6" s="750">
        <f>M6*9.75</f>
        <v>0</v>
      </c>
      <c r="O6" s="749"/>
      <c r="P6" s="750">
        <f>O6*48.62</f>
        <v>0</v>
      </c>
      <c r="Q6" s="750"/>
      <c r="R6" s="750">
        <f>241*Q6</f>
        <v>0</v>
      </c>
      <c r="S6" s="749"/>
      <c r="T6" s="749">
        <f>241*S6</f>
        <v>0</v>
      </c>
      <c r="U6" s="749"/>
      <c r="V6" s="749">
        <f>332*U6</f>
        <v>0</v>
      </c>
      <c r="W6" s="749"/>
      <c r="X6" s="19">
        <f>W6*100</f>
        <v>0</v>
      </c>
      <c r="Y6" s="20">
        <f t="shared" ref="Y6:Y12" si="0">D6+F6+H6+J6+L6+N6+P6+R6+T6+V6+X6</f>
        <v>37489.875</v>
      </c>
    </row>
    <row r="7" spans="1:25" ht="31.5" customHeight="1" x14ac:dyDescent="0.25">
      <c r="A7" s="12">
        <v>1984225578</v>
      </c>
      <c r="B7" s="746" t="s">
        <v>72</v>
      </c>
      <c r="C7" s="749">
        <v>49644</v>
      </c>
      <c r="D7" s="750">
        <f t="shared" ref="D7:D11" si="1">0.9725*C7</f>
        <v>48278.79</v>
      </c>
      <c r="E7" s="749"/>
      <c r="F7" s="749">
        <f t="shared" ref="F7:F11" si="2">67.1*E7</f>
        <v>0</v>
      </c>
      <c r="G7" s="749"/>
      <c r="H7" s="749">
        <f t="shared" ref="H7:H11" si="3">28.2*G7</f>
        <v>0</v>
      </c>
      <c r="I7" s="749"/>
      <c r="J7" s="749">
        <f t="shared" ref="J7:J11" si="4">18.5*I7</f>
        <v>0</v>
      </c>
      <c r="K7" s="749"/>
      <c r="L7" s="749">
        <f t="shared" ref="L7:L11" si="5">28.2368*K7</f>
        <v>0</v>
      </c>
      <c r="M7" s="749"/>
      <c r="N7" s="750">
        <f t="shared" ref="N7:N11" si="6">M7*9.75</f>
        <v>0</v>
      </c>
      <c r="O7" s="749"/>
      <c r="P7" s="750">
        <f t="shared" ref="P7:P11" si="7">O7*48.62</f>
        <v>0</v>
      </c>
      <c r="Q7" s="750"/>
      <c r="R7" s="750">
        <f t="shared" ref="R7:R11" si="8">241*Q7</f>
        <v>0</v>
      </c>
      <c r="S7" s="749"/>
      <c r="T7" s="749">
        <f t="shared" ref="T7:T11" si="9">241*S7</f>
        <v>0</v>
      </c>
      <c r="U7" s="749"/>
      <c r="V7" s="749">
        <f t="shared" ref="V7:V11" si="10">332*U7</f>
        <v>0</v>
      </c>
      <c r="W7" s="749"/>
      <c r="X7" s="19">
        <f t="shared" ref="X7:X11" si="11">W7*100</f>
        <v>0</v>
      </c>
      <c r="Y7" s="20">
        <f t="shared" si="0"/>
        <v>48278.79</v>
      </c>
    </row>
    <row r="8" spans="1:25" ht="35.25" customHeight="1" x14ac:dyDescent="0.25">
      <c r="A8" s="12">
        <v>1967020280</v>
      </c>
      <c r="B8" s="746" t="s">
        <v>73</v>
      </c>
      <c r="C8" s="749">
        <v>32353</v>
      </c>
      <c r="D8" s="750">
        <f t="shared" si="1"/>
        <v>31463.2925</v>
      </c>
      <c r="E8" s="749"/>
      <c r="F8" s="749">
        <f t="shared" si="2"/>
        <v>0</v>
      </c>
      <c r="G8" s="749"/>
      <c r="H8" s="749">
        <f t="shared" si="3"/>
        <v>0</v>
      </c>
      <c r="I8" s="749"/>
      <c r="J8" s="749">
        <f t="shared" si="4"/>
        <v>0</v>
      </c>
      <c r="K8" s="749"/>
      <c r="L8" s="749">
        <f t="shared" si="5"/>
        <v>0</v>
      </c>
      <c r="M8" s="749"/>
      <c r="N8" s="750">
        <f t="shared" si="6"/>
        <v>0</v>
      </c>
      <c r="O8" s="749"/>
      <c r="P8" s="750">
        <f t="shared" si="7"/>
        <v>0</v>
      </c>
      <c r="Q8" s="750"/>
      <c r="R8" s="750">
        <f t="shared" si="8"/>
        <v>0</v>
      </c>
      <c r="S8" s="749"/>
      <c r="T8" s="749">
        <f t="shared" si="9"/>
        <v>0</v>
      </c>
      <c r="U8" s="749"/>
      <c r="V8" s="749">
        <f t="shared" si="10"/>
        <v>0</v>
      </c>
      <c r="W8" s="749"/>
      <c r="X8" s="19">
        <f t="shared" si="11"/>
        <v>0</v>
      </c>
      <c r="Y8" s="20">
        <f t="shared" si="0"/>
        <v>31463.2925</v>
      </c>
    </row>
    <row r="9" spans="1:25" ht="38.25" customHeight="1" x14ac:dyDescent="0.25">
      <c r="A9" s="12">
        <v>1984225580</v>
      </c>
      <c r="B9" s="746" t="s">
        <v>75</v>
      </c>
      <c r="C9" s="749">
        <v>27746</v>
      </c>
      <c r="D9" s="750">
        <f t="shared" si="1"/>
        <v>26982.985000000001</v>
      </c>
      <c r="E9" s="749"/>
      <c r="F9" s="749">
        <f t="shared" si="2"/>
        <v>0</v>
      </c>
      <c r="G9" s="749"/>
      <c r="H9" s="749">
        <f t="shared" si="3"/>
        <v>0</v>
      </c>
      <c r="I9" s="749"/>
      <c r="J9" s="749">
        <f t="shared" si="4"/>
        <v>0</v>
      </c>
      <c r="K9" s="749"/>
      <c r="L9" s="749">
        <f t="shared" si="5"/>
        <v>0</v>
      </c>
      <c r="M9" s="749"/>
      <c r="N9" s="750">
        <f t="shared" si="6"/>
        <v>0</v>
      </c>
      <c r="O9" s="749"/>
      <c r="P9" s="750">
        <f t="shared" si="7"/>
        <v>0</v>
      </c>
      <c r="Q9" s="750"/>
      <c r="R9" s="750">
        <f t="shared" si="8"/>
        <v>0</v>
      </c>
      <c r="S9" s="749"/>
      <c r="T9" s="749">
        <f t="shared" si="9"/>
        <v>0</v>
      </c>
      <c r="U9" s="749"/>
      <c r="V9" s="749">
        <f t="shared" si="10"/>
        <v>0</v>
      </c>
      <c r="W9" s="749"/>
      <c r="X9" s="19">
        <f t="shared" si="11"/>
        <v>0</v>
      </c>
      <c r="Y9" s="20">
        <f t="shared" si="0"/>
        <v>26982.985000000001</v>
      </c>
    </row>
    <row r="10" spans="1:25" ht="35.25" customHeight="1" x14ac:dyDescent="0.25">
      <c r="A10" s="12">
        <v>1409935199</v>
      </c>
      <c r="C10" s="749"/>
      <c r="D10" s="750">
        <f t="shared" si="1"/>
        <v>0</v>
      </c>
      <c r="E10" s="749"/>
      <c r="F10" s="749">
        <f t="shared" si="2"/>
        <v>0</v>
      </c>
      <c r="G10" s="749"/>
      <c r="H10" s="749">
        <f t="shared" si="3"/>
        <v>0</v>
      </c>
      <c r="I10" s="749"/>
      <c r="J10" s="749">
        <f t="shared" si="4"/>
        <v>0</v>
      </c>
      <c r="K10" s="749"/>
      <c r="L10" s="749">
        <f t="shared" si="5"/>
        <v>0</v>
      </c>
      <c r="M10" s="749"/>
      <c r="N10" s="750">
        <f t="shared" si="6"/>
        <v>0</v>
      </c>
      <c r="O10" s="749"/>
      <c r="P10" s="750">
        <f t="shared" si="7"/>
        <v>0</v>
      </c>
      <c r="Q10" s="750"/>
      <c r="R10" s="750">
        <f t="shared" si="8"/>
        <v>0</v>
      </c>
      <c r="S10" s="749"/>
      <c r="T10" s="749">
        <f t="shared" si="9"/>
        <v>0</v>
      </c>
      <c r="U10" s="749"/>
      <c r="V10" s="749">
        <f t="shared" si="10"/>
        <v>0</v>
      </c>
      <c r="W10" s="749"/>
      <c r="X10" s="19">
        <f t="shared" si="11"/>
        <v>0</v>
      </c>
      <c r="Y10" s="20">
        <f t="shared" si="0"/>
        <v>0</v>
      </c>
    </row>
    <row r="11" spans="1:25" ht="37.5" customHeight="1" x14ac:dyDescent="0.25">
      <c r="A11" s="12"/>
      <c r="B11" s="748"/>
      <c r="C11" s="749"/>
      <c r="D11" s="22">
        <f t="shared" si="1"/>
        <v>0</v>
      </c>
      <c r="E11" s="749"/>
      <c r="F11" s="749">
        <f t="shared" si="2"/>
        <v>0</v>
      </c>
      <c r="G11" s="749"/>
      <c r="H11" s="749">
        <f t="shared" si="3"/>
        <v>0</v>
      </c>
      <c r="I11" s="749"/>
      <c r="J11" s="749">
        <f t="shared" si="4"/>
        <v>0</v>
      </c>
      <c r="K11" s="749"/>
      <c r="L11" s="749">
        <f t="shared" si="5"/>
        <v>0</v>
      </c>
      <c r="M11" s="749"/>
      <c r="N11" s="750">
        <f t="shared" si="6"/>
        <v>0</v>
      </c>
      <c r="O11" s="749"/>
      <c r="P11" s="750">
        <f t="shared" si="7"/>
        <v>0</v>
      </c>
      <c r="Q11" s="750"/>
      <c r="R11" s="750">
        <f t="shared" si="8"/>
        <v>0</v>
      </c>
      <c r="S11" s="749"/>
      <c r="T11" s="749">
        <f t="shared" si="9"/>
        <v>0</v>
      </c>
      <c r="U11" s="749"/>
      <c r="V11" s="749">
        <f t="shared" si="10"/>
        <v>0</v>
      </c>
      <c r="W11" s="749"/>
      <c r="X11" s="19">
        <f t="shared" si="11"/>
        <v>0</v>
      </c>
      <c r="Y11" s="20">
        <f t="shared" si="0"/>
        <v>0</v>
      </c>
    </row>
    <row r="12" spans="1:25" ht="29.25" customHeight="1" x14ac:dyDescent="0.25">
      <c r="A12" s="2235" t="s">
        <v>31</v>
      </c>
      <c r="B12" s="2235"/>
      <c r="C12" s="18">
        <f t="shared" ref="C12:X12" si="12">SUM(C6:C11)</f>
        <v>148293</v>
      </c>
      <c r="D12" s="18">
        <f t="shared" si="12"/>
        <v>144214.9425</v>
      </c>
      <c r="E12" s="18">
        <f t="shared" si="12"/>
        <v>0</v>
      </c>
      <c r="F12" s="18">
        <f t="shared" si="12"/>
        <v>0</v>
      </c>
      <c r="G12" s="18">
        <f t="shared" si="12"/>
        <v>0</v>
      </c>
      <c r="H12" s="18">
        <f t="shared" si="12"/>
        <v>0</v>
      </c>
      <c r="I12" s="18">
        <f t="shared" si="12"/>
        <v>0</v>
      </c>
      <c r="J12" s="18">
        <f t="shared" si="12"/>
        <v>0</v>
      </c>
      <c r="K12" s="18">
        <f t="shared" si="12"/>
        <v>0</v>
      </c>
      <c r="L12" s="18">
        <f t="shared" si="12"/>
        <v>0</v>
      </c>
      <c r="M12" s="18">
        <f t="shared" si="12"/>
        <v>0</v>
      </c>
      <c r="N12" s="23">
        <f t="shared" si="12"/>
        <v>0</v>
      </c>
      <c r="O12" s="18">
        <f t="shared" si="12"/>
        <v>0</v>
      </c>
      <c r="P12" s="23">
        <f t="shared" si="12"/>
        <v>0</v>
      </c>
      <c r="Q12" s="23">
        <f t="shared" si="12"/>
        <v>0</v>
      </c>
      <c r="R12" s="23">
        <f>SUM(R6:R11)</f>
        <v>0</v>
      </c>
      <c r="S12" s="18">
        <f t="shared" si="12"/>
        <v>0</v>
      </c>
      <c r="T12" s="18">
        <f t="shared" si="12"/>
        <v>0</v>
      </c>
      <c r="U12" s="18">
        <f t="shared" si="12"/>
        <v>0</v>
      </c>
      <c r="V12" s="18">
        <f t="shared" si="12"/>
        <v>0</v>
      </c>
      <c r="W12" s="18">
        <f t="shared" si="12"/>
        <v>0</v>
      </c>
      <c r="X12" s="18">
        <f t="shared" si="12"/>
        <v>0</v>
      </c>
      <c r="Y12" s="20">
        <f t="shared" si="0"/>
        <v>144214.9425</v>
      </c>
    </row>
    <row r="14" spans="1:25" ht="41.25" customHeight="1" x14ac:dyDescent="0.25">
      <c r="A14" s="30" t="s">
        <v>32</v>
      </c>
      <c r="B14" s="2236" t="s">
        <v>27</v>
      </c>
      <c r="C14" s="2236"/>
      <c r="D14" s="30" t="s">
        <v>333</v>
      </c>
      <c r="E14" s="30" t="s">
        <v>65</v>
      </c>
      <c r="F14" s="30" t="s">
        <v>34</v>
      </c>
      <c r="G14" s="30" t="s">
        <v>14</v>
      </c>
      <c r="H14" s="469" t="s">
        <v>173</v>
      </c>
      <c r="I14" s="30" t="s">
        <v>17</v>
      </c>
      <c r="J14" s="754" t="s">
        <v>174</v>
      </c>
      <c r="K14" s="30" t="s">
        <v>36</v>
      </c>
      <c r="L14" s="30" t="s">
        <v>175</v>
      </c>
      <c r="M14" s="30" t="s">
        <v>69</v>
      </c>
      <c r="N14" s="30" t="s">
        <v>70</v>
      </c>
      <c r="O14" s="754" t="s">
        <v>114</v>
      </c>
      <c r="P14" s="754" t="s">
        <v>393</v>
      </c>
      <c r="Q14" s="2300" t="s">
        <v>378</v>
      </c>
      <c r="R14" s="2301"/>
      <c r="S14" s="754"/>
      <c r="T14" s="2235" t="s">
        <v>46</v>
      </c>
      <c r="U14" s="746" t="s">
        <v>176</v>
      </c>
      <c r="V14" s="2260">
        <v>8109</v>
      </c>
      <c r="W14" s="2268"/>
      <c r="X14" s="2261"/>
    </row>
    <row r="15" spans="1:25" ht="22.5" customHeight="1" x14ac:dyDescent="0.25">
      <c r="A15" s="100" t="s">
        <v>38</v>
      </c>
      <c r="B15" s="2260">
        <v>257276</v>
      </c>
      <c r="C15" s="2261"/>
      <c r="D15" s="751">
        <v>512</v>
      </c>
      <c r="E15" s="751">
        <v>490</v>
      </c>
      <c r="F15" s="751">
        <v>15100</v>
      </c>
      <c r="G15" s="751">
        <v>110</v>
      </c>
      <c r="H15" s="751">
        <v>138</v>
      </c>
      <c r="I15" s="751">
        <v>0</v>
      </c>
      <c r="J15" s="751">
        <v>26</v>
      </c>
      <c r="K15" s="751">
        <v>71</v>
      </c>
      <c r="L15" s="751">
        <v>29</v>
      </c>
      <c r="M15" s="751">
        <v>0</v>
      </c>
      <c r="N15" s="751">
        <v>100</v>
      </c>
      <c r="O15" s="751">
        <v>0</v>
      </c>
      <c r="P15" s="751"/>
      <c r="Q15" s="2260">
        <v>100</v>
      </c>
      <c r="R15" s="2261"/>
      <c r="S15" s="746"/>
      <c r="T15" s="2235"/>
      <c r="U15" s="746" t="s">
        <v>64</v>
      </c>
      <c r="V15" s="2262">
        <v>279480</v>
      </c>
      <c r="W15" s="2262"/>
      <c r="X15" s="2262"/>
    </row>
    <row r="16" spans="1:25" ht="24.75" customHeight="1" x14ac:dyDescent="0.25">
      <c r="A16" s="100" t="s">
        <v>39</v>
      </c>
      <c r="B16" s="2260">
        <v>369818</v>
      </c>
      <c r="C16" s="2261"/>
      <c r="D16" s="751"/>
      <c r="E16" s="751"/>
      <c r="F16" s="751"/>
      <c r="G16" s="751"/>
      <c r="H16" s="751"/>
      <c r="I16" s="751"/>
      <c r="J16" s="751"/>
      <c r="K16" s="751"/>
      <c r="L16" s="751"/>
      <c r="M16" s="751"/>
      <c r="N16" s="751"/>
      <c r="O16" s="751"/>
      <c r="P16" s="751">
        <v>5000</v>
      </c>
      <c r="Q16" s="2225"/>
      <c r="R16" s="2225"/>
      <c r="S16" s="751"/>
      <c r="T16" s="2254" t="s">
        <v>55</v>
      </c>
      <c r="U16" s="2254"/>
      <c r="V16" s="2267">
        <f>Y12</f>
        <v>144214.9425</v>
      </c>
      <c r="W16" s="2267"/>
      <c r="X16" s="2262"/>
    </row>
    <row r="17" spans="1:25" ht="28.5" customHeight="1" x14ac:dyDescent="0.25">
      <c r="A17" s="101" t="s">
        <v>44</v>
      </c>
      <c r="B17" s="2260"/>
      <c r="C17" s="2261"/>
      <c r="D17" s="751"/>
      <c r="E17" s="751"/>
      <c r="F17" s="751"/>
      <c r="G17" s="751"/>
      <c r="H17" s="751"/>
      <c r="I17" s="751"/>
      <c r="J17" s="751"/>
      <c r="K17" s="751"/>
      <c r="L17" s="751"/>
      <c r="M17" s="751"/>
      <c r="N17" s="751"/>
      <c r="O17" s="751"/>
      <c r="P17" s="751"/>
      <c r="Q17" s="2225"/>
      <c r="R17" s="2225"/>
      <c r="S17" s="748"/>
      <c r="T17" s="2294" t="s">
        <v>362</v>
      </c>
      <c r="U17" s="2295"/>
      <c r="V17" s="2296"/>
      <c r="W17" s="2296"/>
      <c r="X17" s="2296"/>
    </row>
    <row r="18" spans="1:25" ht="27" customHeight="1" x14ac:dyDescent="0.25">
      <c r="A18" s="100" t="s">
        <v>40</v>
      </c>
      <c r="B18" s="2264">
        <f>C12</f>
        <v>148293</v>
      </c>
      <c r="C18" s="2261"/>
      <c r="D18" s="752">
        <f>E12</f>
        <v>0</v>
      </c>
      <c r="E18" s="752">
        <f>G12</f>
        <v>0</v>
      </c>
      <c r="F18" s="752">
        <f>I12</f>
        <v>0</v>
      </c>
      <c r="G18" s="752">
        <f>K12</f>
        <v>0</v>
      </c>
      <c r="H18" s="751"/>
      <c r="I18" s="752">
        <f>U12</f>
        <v>0</v>
      </c>
      <c r="J18" s="751"/>
      <c r="K18" s="752">
        <f>W12</f>
        <v>0</v>
      </c>
      <c r="L18" s="751"/>
      <c r="M18" s="752">
        <f>M12</f>
        <v>0</v>
      </c>
      <c r="N18" s="752">
        <f>O12</f>
        <v>0</v>
      </c>
      <c r="O18" s="753">
        <f>Q12</f>
        <v>0</v>
      </c>
      <c r="P18" s="751"/>
      <c r="Q18" s="2262"/>
      <c r="R18" s="2262"/>
      <c r="S18" s="746"/>
      <c r="T18" s="2254" t="s">
        <v>57</v>
      </c>
      <c r="U18" s="2254"/>
      <c r="V18" s="2262">
        <v>940</v>
      </c>
      <c r="W18" s="2262"/>
      <c r="X18" s="2262"/>
      <c r="Y18" s="2269"/>
    </row>
    <row r="19" spans="1:25" ht="25.5" customHeight="1" x14ac:dyDescent="0.25">
      <c r="A19" s="100" t="s">
        <v>41</v>
      </c>
      <c r="B19" s="2260">
        <f>B15+B16+B17-B18</f>
        <v>478801</v>
      </c>
      <c r="C19" s="2261"/>
      <c r="D19" s="751">
        <f>D15+D16+D17-D18</f>
        <v>512</v>
      </c>
      <c r="E19" s="751">
        <f t="shared" ref="E19:N19" si="13">E15+E16+E17-E18</f>
        <v>490</v>
      </c>
      <c r="F19" s="751">
        <f t="shared" si="13"/>
        <v>15100</v>
      </c>
      <c r="G19" s="751">
        <f t="shared" si="13"/>
        <v>110</v>
      </c>
      <c r="H19" s="751">
        <f t="shared" si="13"/>
        <v>138</v>
      </c>
      <c r="I19" s="751">
        <f t="shared" si="13"/>
        <v>0</v>
      </c>
      <c r="J19" s="751">
        <f t="shared" si="13"/>
        <v>26</v>
      </c>
      <c r="K19" s="751">
        <f t="shared" si="13"/>
        <v>71</v>
      </c>
      <c r="L19" s="751">
        <f t="shared" si="13"/>
        <v>29</v>
      </c>
      <c r="M19" s="751">
        <f t="shared" si="13"/>
        <v>0</v>
      </c>
      <c r="N19" s="751">
        <f t="shared" si="13"/>
        <v>100</v>
      </c>
      <c r="O19" s="751">
        <f>O15+O16+O17-O18</f>
        <v>0</v>
      </c>
      <c r="P19" s="751">
        <f>P15+P16+P17-P18</f>
        <v>5000</v>
      </c>
      <c r="Q19" s="2260">
        <f t="shared" ref="Q19" si="14">Q15+Q16+Q17-Q18</f>
        <v>100</v>
      </c>
      <c r="R19" s="2261"/>
      <c r="S19" s="746">
        <f>S15+S16-S17-S18</f>
        <v>0</v>
      </c>
      <c r="T19" s="2256" t="s">
        <v>48</v>
      </c>
      <c r="U19" s="49" t="s">
        <v>58</v>
      </c>
      <c r="V19" s="2262">
        <v>370475</v>
      </c>
      <c r="W19" s="2262"/>
      <c r="X19" s="2262"/>
      <c r="Y19" s="2269"/>
    </row>
    <row r="20" spans="1:25" ht="23.25" customHeight="1" x14ac:dyDescent="0.25">
      <c r="A20" s="289" t="s">
        <v>187</v>
      </c>
      <c r="B20" s="2286">
        <f>B19*0.9625</f>
        <v>460845.96250000002</v>
      </c>
      <c r="C20" s="2287"/>
      <c r="D20" s="290">
        <f>D19*66.41</f>
        <v>34001.919999999998</v>
      </c>
      <c r="E20" s="290">
        <f>28.2*E19</f>
        <v>13818</v>
      </c>
      <c r="F20" s="290">
        <f>18.31*F19</f>
        <v>276481</v>
      </c>
      <c r="G20" s="290">
        <f>27.9368*G19</f>
        <v>3073.0480000000002</v>
      </c>
      <c r="H20" s="290">
        <f>241*H19</f>
        <v>33258</v>
      </c>
      <c r="I20" s="290">
        <f>323*I19</f>
        <v>0</v>
      </c>
      <c r="J20" s="290">
        <f>241*J19</f>
        <v>6266</v>
      </c>
      <c r="K20" s="290">
        <f>K19*100</f>
        <v>7100</v>
      </c>
      <c r="L20" s="290">
        <f>241*L19</f>
        <v>6989</v>
      </c>
      <c r="M20" s="290">
        <f>9.65*M19</f>
        <v>0</v>
      </c>
      <c r="N20" s="290">
        <f>N19*48.2</f>
        <v>4820</v>
      </c>
      <c r="O20" s="290">
        <f>241*O19</f>
        <v>0</v>
      </c>
      <c r="P20" s="290">
        <f>8.81*P19</f>
        <v>44050</v>
      </c>
      <c r="Q20" s="2286">
        <f>341*Q19</f>
        <v>34100</v>
      </c>
      <c r="R20" s="2287"/>
      <c r="S20" s="290">
        <f>241*S19</f>
        <v>0</v>
      </c>
      <c r="T20" s="2257"/>
      <c r="U20" s="49" t="s">
        <v>59</v>
      </c>
      <c r="V20" s="2262"/>
      <c r="W20" s="2262"/>
      <c r="X20" s="2262"/>
      <c r="Y20" s="2269"/>
    </row>
    <row r="21" spans="1:25" ht="32.25" customHeight="1" x14ac:dyDescent="0.25">
      <c r="A21" s="291" t="s">
        <v>186</v>
      </c>
      <c r="B21" s="2293">
        <f>SUM(B20:S20)</f>
        <v>924802.93050000002</v>
      </c>
      <c r="C21" s="2293"/>
      <c r="O21" s="755"/>
      <c r="P21" s="755"/>
      <c r="Q21" s="755"/>
      <c r="R21" s="755"/>
      <c r="T21" s="2294" t="s">
        <v>366</v>
      </c>
      <c r="U21" s="2295"/>
      <c r="V21" s="2297"/>
      <c r="W21" s="2298"/>
      <c r="X21" s="2299"/>
      <c r="Y21" s="2269"/>
    </row>
    <row r="22" spans="1:25" ht="35.25" customHeight="1" x14ac:dyDescent="0.25">
      <c r="A22" s="15"/>
      <c r="B22" s="2288" t="s">
        <v>49</v>
      </c>
      <c r="C22" s="2291">
        <v>645125</v>
      </c>
      <c r="D22" s="2291">
        <v>370475</v>
      </c>
      <c r="E22" s="2291">
        <v>400000</v>
      </c>
      <c r="F22" s="2291">
        <f>C22-D22+E22</f>
        <v>674650</v>
      </c>
      <c r="G22" s="755"/>
      <c r="Q22" s="755"/>
      <c r="R22" s="755"/>
      <c r="T22" s="2251" t="s">
        <v>83</v>
      </c>
      <c r="U22" s="50" t="s">
        <v>60</v>
      </c>
      <c r="V22" s="2262">
        <v>100475</v>
      </c>
      <c r="W22" s="2262"/>
      <c r="X22" s="2262"/>
      <c r="Y22" s="2269"/>
    </row>
    <row r="23" spans="1:25" ht="39.75" customHeight="1" x14ac:dyDescent="0.25">
      <c r="A23" s="755"/>
      <c r="B23" s="2289"/>
      <c r="C23" s="2292"/>
      <c r="D23" s="2292"/>
      <c r="E23" s="2292"/>
      <c r="F23" s="2292"/>
      <c r="G23" s="755"/>
      <c r="Q23" s="755"/>
      <c r="R23" s="755"/>
      <c r="T23" s="2252"/>
      <c r="U23" s="50" t="s">
        <v>61</v>
      </c>
      <c r="V23" s="2262">
        <v>370475</v>
      </c>
      <c r="W23" s="2262"/>
      <c r="X23" s="2262"/>
      <c r="Y23" s="2269"/>
    </row>
    <row r="24" spans="1:25" ht="48" customHeight="1" x14ac:dyDescent="0.25">
      <c r="A24" s="755"/>
      <c r="B24" s="2290"/>
      <c r="C24" s="290" t="s">
        <v>46</v>
      </c>
      <c r="D24" s="290" t="s">
        <v>50</v>
      </c>
      <c r="E24" s="290" t="s">
        <v>51</v>
      </c>
      <c r="F24" s="290" t="s">
        <v>52</v>
      </c>
      <c r="G24" s="755"/>
      <c r="Q24" s="755"/>
      <c r="R24" s="755"/>
      <c r="T24" s="2235" t="s">
        <v>47</v>
      </c>
      <c r="U24" s="51" t="s">
        <v>62</v>
      </c>
      <c r="V24" s="2263">
        <f>V14+V16+V17-V18-V19-V20-V22+V23-V21</f>
        <v>50908.942500000005</v>
      </c>
      <c r="W24" s="2263"/>
      <c r="X24" s="2263"/>
      <c r="Y24" s="2269"/>
    </row>
    <row r="25" spans="1:25" ht="40.5" customHeight="1" x14ac:dyDescent="0.25">
      <c r="T25" s="2235"/>
      <c r="U25" s="51" t="s">
        <v>63</v>
      </c>
      <c r="V25" s="2262">
        <f>V15+V22-V23</f>
        <v>9480</v>
      </c>
      <c r="W25" s="2262"/>
      <c r="X25" s="2262"/>
    </row>
    <row r="26" spans="1:25" ht="36" customHeight="1" x14ac:dyDescent="0.25">
      <c r="K26" s="314"/>
    </row>
    <row r="28" spans="1:25" x14ac:dyDescent="0.25">
      <c r="J28" s="14" t="s">
        <v>139</v>
      </c>
    </row>
    <row r="32" spans="1:25" x14ac:dyDescent="0.25">
      <c r="I32" s="2280"/>
      <c r="J32" s="2280"/>
      <c r="K32" s="2280"/>
      <c r="L32" s="2280"/>
    </row>
    <row r="33" spans="9:12" x14ac:dyDescent="0.25">
      <c r="I33" s="755"/>
      <c r="J33" s="755"/>
      <c r="K33" s="2280"/>
      <c r="L33" s="2280"/>
    </row>
  </sheetData>
  <mergeCells count="62">
    <mergeCell ref="I32:J32"/>
    <mergeCell ref="K32:L32"/>
    <mergeCell ref="K33:L33"/>
    <mergeCell ref="T22:T23"/>
    <mergeCell ref="V22:X22"/>
    <mergeCell ref="V23:X23"/>
    <mergeCell ref="T24:T25"/>
    <mergeCell ref="V24:X24"/>
    <mergeCell ref="V25:X25"/>
    <mergeCell ref="Y18:Y24"/>
    <mergeCell ref="B19:C19"/>
    <mergeCell ref="Q19:R19"/>
    <mergeCell ref="T19:T20"/>
    <mergeCell ref="V19:X19"/>
    <mergeCell ref="B20:C20"/>
    <mergeCell ref="B22:B24"/>
    <mergeCell ref="C22:C23"/>
    <mergeCell ref="D22:D23"/>
    <mergeCell ref="E22:E23"/>
    <mergeCell ref="F22:F23"/>
    <mergeCell ref="Q20:R20"/>
    <mergeCell ref="V20:X20"/>
    <mergeCell ref="B21:C21"/>
    <mergeCell ref="T21:U21"/>
    <mergeCell ref="V21:X21"/>
    <mergeCell ref="B17:C17"/>
    <mergeCell ref="Q17:R17"/>
    <mergeCell ref="T17:U17"/>
    <mergeCell ref="V17:X17"/>
    <mergeCell ref="B18:C18"/>
    <mergeCell ref="Q18:R18"/>
    <mergeCell ref="T18:U18"/>
    <mergeCell ref="V18:X18"/>
    <mergeCell ref="W4:X4"/>
    <mergeCell ref="B16:C16"/>
    <mergeCell ref="Q16:R16"/>
    <mergeCell ref="T16:U16"/>
    <mergeCell ref="V16:X16"/>
    <mergeCell ref="A12:B12"/>
    <mergeCell ref="B14:C14"/>
    <mergeCell ref="Q14:R14"/>
    <mergeCell ref="T14:T15"/>
    <mergeCell ref="V14:X14"/>
    <mergeCell ref="B15:C15"/>
    <mergeCell ref="Q15:R15"/>
    <mergeCell ref="V15:X15"/>
    <mergeCell ref="A1:Y1"/>
    <mergeCell ref="A2:Y2"/>
    <mergeCell ref="T3:Y3"/>
    <mergeCell ref="A4:A5"/>
    <mergeCell ref="B4:B5"/>
    <mergeCell ref="C4:D4"/>
    <mergeCell ref="E4:F4"/>
    <mergeCell ref="G4:H4"/>
    <mergeCell ref="I4:J4"/>
    <mergeCell ref="K4:L4"/>
    <mergeCell ref="Y4:Y5"/>
    <mergeCell ref="M4:N4"/>
    <mergeCell ref="O4:P4"/>
    <mergeCell ref="Q4:R4"/>
    <mergeCell ref="S4:T4"/>
    <mergeCell ref="U4:V4"/>
  </mergeCells>
  <pageMargins left="0.15748031496063" right="0.15748031496063" top="0" bottom="0" header="0" footer="0"/>
  <pageSetup paperSize="9" scale="46" orientation="landscape" r:id="rId1"/>
</worksheet>
</file>

<file path=xl/worksheets/sheet17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C0D0620-5B8F-4F21-A8AF-AFED0F3EE36B}">
  <sheetPr>
    <pageSetUpPr fitToPage="1"/>
  </sheetPr>
  <dimension ref="A1:Y33"/>
  <sheetViews>
    <sheetView topLeftCell="A7" zoomScale="70" zoomScaleNormal="70" zoomScaleSheetLayoutView="100" workbookViewId="0">
      <selection activeCell="P19" sqref="P19"/>
    </sheetView>
  </sheetViews>
  <sheetFormatPr defaultColWidth="9.140625" defaultRowHeight="15" x14ac:dyDescent="0.25"/>
  <cols>
    <col min="1" max="1" width="18.28515625" style="14" customWidth="1"/>
    <col min="2" max="2" width="10.7109375" style="14" customWidth="1"/>
    <col min="3" max="3" width="12.28515625" style="14" customWidth="1"/>
    <col min="4" max="4" width="13.140625" style="14" bestFit="1" customWidth="1"/>
    <col min="5" max="5" width="12" style="14" customWidth="1"/>
    <col min="6" max="6" width="12.5703125" style="14" bestFit="1" customWidth="1"/>
    <col min="7" max="7" width="9.28515625" style="14" bestFit="1" customWidth="1"/>
    <col min="8" max="8" width="10.140625" style="14" bestFit="1" customWidth="1"/>
    <col min="9" max="9" width="10.5703125" style="14" bestFit="1" customWidth="1"/>
    <col min="10" max="10" width="10.5703125" style="14" customWidth="1"/>
    <col min="11" max="11" width="10.28515625" style="14" bestFit="1" customWidth="1"/>
    <col min="12" max="12" width="10.42578125" style="14" bestFit="1" customWidth="1"/>
    <col min="13" max="13" width="9.85546875" style="14" bestFit="1" customWidth="1"/>
    <col min="14" max="14" width="10.140625" style="14" bestFit="1" customWidth="1"/>
    <col min="15" max="15" width="9" style="14" customWidth="1"/>
    <col min="16" max="16" width="12.85546875" style="14" bestFit="1" customWidth="1"/>
    <col min="17" max="18" width="9.42578125" style="14" customWidth="1"/>
    <col min="19" max="19" width="13.7109375" style="14" customWidth="1"/>
    <col min="20" max="20" width="12.140625" style="14" customWidth="1"/>
    <col min="21" max="21" width="21.7109375" style="14" customWidth="1"/>
    <col min="22" max="22" width="9.85546875" style="14" customWidth="1"/>
    <col min="23" max="23" width="10.140625" style="14" bestFit="1" customWidth="1"/>
    <col min="24" max="24" width="10.28515625" style="14" customWidth="1"/>
    <col min="25" max="25" width="28" style="14" customWidth="1"/>
    <col min="26" max="16384" width="9.140625" style="14"/>
  </cols>
  <sheetData>
    <row r="1" spans="1:25" ht="46.15" customHeight="1" x14ac:dyDescent="0.25">
      <c r="A1" s="2240" t="s">
        <v>148</v>
      </c>
      <c r="B1" s="2240"/>
      <c r="C1" s="2240"/>
      <c r="D1" s="2240"/>
      <c r="E1" s="2240"/>
      <c r="F1" s="2240"/>
      <c r="G1" s="2240"/>
      <c r="H1" s="2240"/>
      <c r="I1" s="2240"/>
      <c r="J1" s="2240"/>
      <c r="K1" s="2240"/>
      <c r="L1" s="2240"/>
      <c r="M1" s="2240"/>
      <c r="N1" s="2240"/>
      <c r="O1" s="2240"/>
      <c r="P1" s="2240"/>
      <c r="Q1" s="2240"/>
      <c r="R1" s="2240"/>
      <c r="S1" s="2240"/>
      <c r="T1" s="2240"/>
      <c r="U1" s="2240"/>
      <c r="V1" s="2240"/>
      <c r="W1" s="2240"/>
      <c r="X1" s="2240"/>
      <c r="Y1" s="2240"/>
    </row>
    <row r="2" spans="1:25" ht="21.6" customHeight="1" x14ac:dyDescent="0.25">
      <c r="A2" s="2241" t="s">
        <v>383</v>
      </c>
      <c r="B2" s="2241"/>
      <c r="C2" s="2241"/>
      <c r="D2" s="2241"/>
      <c r="E2" s="2241"/>
      <c r="F2" s="2241"/>
      <c r="G2" s="2241"/>
      <c r="H2" s="2241"/>
      <c r="I2" s="2241"/>
      <c r="J2" s="2241"/>
      <c r="K2" s="2241"/>
      <c r="L2" s="2241"/>
      <c r="M2" s="2241"/>
      <c r="N2" s="2241"/>
      <c r="O2" s="2241"/>
      <c r="P2" s="2241"/>
      <c r="Q2" s="2241"/>
      <c r="R2" s="2241"/>
      <c r="S2" s="2241"/>
      <c r="T2" s="2241"/>
      <c r="U2" s="2241"/>
      <c r="V2" s="2241"/>
      <c r="W2" s="2241"/>
      <c r="X2" s="2241"/>
      <c r="Y2" s="2241"/>
    </row>
    <row r="3" spans="1:25" ht="21" customHeight="1" x14ac:dyDescent="0.25">
      <c r="A3" s="756"/>
      <c r="B3" s="756"/>
      <c r="C3" s="756"/>
      <c r="D3" s="756"/>
      <c r="E3" s="756"/>
      <c r="F3" s="756"/>
      <c r="G3" s="756"/>
      <c r="H3" s="756"/>
      <c r="I3" s="756"/>
      <c r="J3" s="756"/>
      <c r="K3" s="756"/>
      <c r="L3" s="756"/>
      <c r="M3" s="756"/>
      <c r="N3" s="756"/>
      <c r="O3" s="756"/>
      <c r="P3" s="756"/>
      <c r="Q3" s="756"/>
      <c r="R3" s="756"/>
      <c r="S3" s="756"/>
      <c r="T3" s="2242" t="s">
        <v>394</v>
      </c>
      <c r="U3" s="2242"/>
      <c r="V3" s="2242"/>
      <c r="W3" s="2242"/>
      <c r="X3" s="2242"/>
      <c r="Y3" s="2242"/>
    </row>
    <row r="4" spans="1:25" s="756" customFormat="1" ht="18" customHeight="1" x14ac:dyDescent="0.25">
      <c r="A4" s="2243" t="s">
        <v>25</v>
      </c>
      <c r="B4" s="2243" t="s">
        <v>26</v>
      </c>
      <c r="C4" s="2244" t="s">
        <v>27</v>
      </c>
      <c r="D4" s="2244"/>
      <c r="E4" s="2244" t="s">
        <v>342</v>
      </c>
      <c r="F4" s="2244"/>
      <c r="G4" s="2244" t="s">
        <v>65</v>
      </c>
      <c r="H4" s="2244"/>
      <c r="I4" s="2244" t="s">
        <v>29</v>
      </c>
      <c r="J4" s="2244"/>
      <c r="K4" s="2245" t="s">
        <v>14</v>
      </c>
      <c r="L4" s="2246"/>
      <c r="M4" s="2245" t="s">
        <v>67</v>
      </c>
      <c r="N4" s="2246"/>
      <c r="O4" s="2245" t="s">
        <v>395</v>
      </c>
      <c r="P4" s="2246"/>
      <c r="Q4" s="2245" t="s">
        <v>114</v>
      </c>
      <c r="R4" s="2246"/>
      <c r="S4" s="2244" t="s">
        <v>35</v>
      </c>
      <c r="T4" s="2244"/>
      <c r="U4" s="2245" t="s">
        <v>17</v>
      </c>
      <c r="V4" s="2246"/>
      <c r="W4" s="2247" t="s">
        <v>36</v>
      </c>
      <c r="X4" s="2248"/>
      <c r="Y4" s="2238" t="s">
        <v>30</v>
      </c>
    </row>
    <row r="5" spans="1:25" s="756" customFormat="1" ht="25.5" customHeight="1" x14ac:dyDescent="0.25">
      <c r="A5" s="2243"/>
      <c r="B5" s="2243"/>
      <c r="C5" s="758" t="s">
        <v>42</v>
      </c>
      <c r="D5" s="758" t="s">
        <v>43</v>
      </c>
      <c r="E5" s="758" t="s">
        <v>42</v>
      </c>
      <c r="F5" s="758" t="s">
        <v>43</v>
      </c>
      <c r="G5" s="758" t="s">
        <v>42</v>
      </c>
      <c r="H5" s="758" t="s">
        <v>43</v>
      </c>
      <c r="I5" s="758" t="s">
        <v>42</v>
      </c>
      <c r="J5" s="758" t="s">
        <v>43</v>
      </c>
      <c r="K5" s="758" t="s">
        <v>42</v>
      </c>
      <c r="L5" s="758" t="s">
        <v>43</v>
      </c>
      <c r="M5" s="758" t="s">
        <v>42</v>
      </c>
      <c r="N5" s="758" t="s">
        <v>43</v>
      </c>
      <c r="O5" s="758" t="s">
        <v>42</v>
      </c>
      <c r="P5" s="758" t="s">
        <v>43</v>
      </c>
      <c r="Q5" s="758" t="s">
        <v>42</v>
      </c>
      <c r="R5" s="758" t="s">
        <v>43</v>
      </c>
      <c r="S5" s="33" t="s">
        <v>42</v>
      </c>
      <c r="T5" s="33" t="s">
        <v>43</v>
      </c>
      <c r="U5" s="30" t="s">
        <v>42</v>
      </c>
      <c r="V5" s="30" t="s">
        <v>43</v>
      </c>
      <c r="W5" s="30" t="s">
        <v>42</v>
      </c>
      <c r="X5" s="30" t="s">
        <v>43</v>
      </c>
      <c r="Y5" s="2239"/>
    </row>
    <row r="6" spans="1:25" ht="34.5" customHeight="1" x14ac:dyDescent="0.25">
      <c r="A6" s="12">
        <v>1409935200</v>
      </c>
      <c r="B6" s="757" t="s">
        <v>71</v>
      </c>
      <c r="C6" s="760">
        <v>29910</v>
      </c>
      <c r="D6" s="761">
        <f>0.9725*C6</f>
        <v>29087.475000000002</v>
      </c>
      <c r="E6" s="760"/>
      <c r="F6" s="760">
        <f>67.1*E6</f>
        <v>0</v>
      </c>
      <c r="G6" s="760"/>
      <c r="H6" s="760">
        <f>28.2*G6</f>
        <v>0</v>
      </c>
      <c r="I6" s="760">
        <v>1000</v>
      </c>
      <c r="J6" s="760">
        <f>18.5*I6</f>
        <v>18500</v>
      </c>
      <c r="K6" s="760"/>
      <c r="L6" s="760">
        <f>28.2368*K6</f>
        <v>0</v>
      </c>
      <c r="M6" s="760"/>
      <c r="N6" s="761">
        <f>M6*9.75</f>
        <v>0</v>
      </c>
      <c r="O6" s="760">
        <v>1000</v>
      </c>
      <c r="P6" s="761">
        <f>O6*8.9</f>
        <v>8900</v>
      </c>
      <c r="Q6" s="761"/>
      <c r="R6" s="761">
        <f>241*Q6</f>
        <v>0</v>
      </c>
      <c r="S6" s="760"/>
      <c r="T6" s="760">
        <f>241*S6</f>
        <v>0</v>
      </c>
      <c r="U6" s="760"/>
      <c r="V6" s="760">
        <f>332*U6</f>
        <v>0</v>
      </c>
      <c r="W6" s="760"/>
      <c r="X6" s="19">
        <f>W6*100</f>
        <v>0</v>
      </c>
      <c r="Y6" s="20">
        <f t="shared" ref="Y6:Y12" si="0">D6+F6+H6+J6+L6+N6+P6+R6+T6+V6+X6</f>
        <v>56487.475000000006</v>
      </c>
    </row>
    <row r="7" spans="1:25" ht="31.5" customHeight="1" x14ac:dyDescent="0.25">
      <c r="A7" s="12">
        <v>1984225578</v>
      </c>
      <c r="B7" s="757" t="s">
        <v>72</v>
      </c>
      <c r="C7" s="760">
        <v>16148</v>
      </c>
      <c r="D7" s="761">
        <f t="shared" ref="D7:D11" si="1">0.9725*C7</f>
        <v>15703.93</v>
      </c>
      <c r="E7" s="760"/>
      <c r="F7" s="760">
        <f t="shared" ref="F7:F11" si="2">67.1*E7</f>
        <v>0</v>
      </c>
      <c r="G7" s="760"/>
      <c r="H7" s="760">
        <f t="shared" ref="H7:H11" si="3">28.2*G7</f>
        <v>0</v>
      </c>
      <c r="I7" s="760">
        <v>3940</v>
      </c>
      <c r="J7" s="760">
        <f t="shared" ref="J7:J11" si="4">18.5*I7</f>
        <v>72890</v>
      </c>
      <c r="K7" s="760">
        <v>110</v>
      </c>
      <c r="L7" s="760">
        <f t="shared" ref="L7:L11" si="5">28.2368*K7</f>
        <v>3106.0479999999998</v>
      </c>
      <c r="M7" s="760"/>
      <c r="N7" s="761">
        <f t="shared" ref="N7:N11" si="6">M7*9.75</f>
        <v>0</v>
      </c>
      <c r="O7" s="760">
        <v>1500</v>
      </c>
      <c r="P7" s="761">
        <f t="shared" ref="P7:P11" si="7">O7*8.9</f>
        <v>13350</v>
      </c>
      <c r="Q7" s="761"/>
      <c r="R7" s="761">
        <f t="shared" ref="R7:R11" si="8">241*Q7</f>
        <v>0</v>
      </c>
      <c r="S7" s="760"/>
      <c r="T7" s="760">
        <f t="shared" ref="T7:T11" si="9">241*S7</f>
        <v>0</v>
      </c>
      <c r="U7" s="760"/>
      <c r="V7" s="760">
        <f t="shared" ref="V7:V11" si="10">332*U7</f>
        <v>0</v>
      </c>
      <c r="W7" s="760"/>
      <c r="X7" s="19">
        <f t="shared" ref="X7:X11" si="11">W7*100</f>
        <v>0</v>
      </c>
      <c r="Y7" s="20">
        <f t="shared" si="0"/>
        <v>105049.97799999999</v>
      </c>
    </row>
    <row r="8" spans="1:25" ht="35.25" customHeight="1" x14ac:dyDescent="0.25">
      <c r="A8" s="12">
        <v>1967020280</v>
      </c>
      <c r="B8" s="757" t="s">
        <v>73</v>
      </c>
      <c r="C8" s="760">
        <v>44833</v>
      </c>
      <c r="D8" s="761">
        <f t="shared" si="1"/>
        <v>43600.092499999999</v>
      </c>
      <c r="E8" s="760"/>
      <c r="F8" s="760">
        <f t="shared" si="2"/>
        <v>0</v>
      </c>
      <c r="G8" s="760">
        <v>20</v>
      </c>
      <c r="H8" s="760">
        <f t="shared" si="3"/>
        <v>564</v>
      </c>
      <c r="I8" s="760">
        <v>3120</v>
      </c>
      <c r="J8" s="760">
        <f t="shared" si="4"/>
        <v>57720</v>
      </c>
      <c r="K8" s="760"/>
      <c r="L8" s="760">
        <f t="shared" si="5"/>
        <v>0</v>
      </c>
      <c r="M8" s="760"/>
      <c r="N8" s="761">
        <f t="shared" si="6"/>
        <v>0</v>
      </c>
      <c r="O8" s="760">
        <v>50</v>
      </c>
      <c r="P8" s="761">
        <f t="shared" si="7"/>
        <v>445</v>
      </c>
      <c r="Q8" s="761"/>
      <c r="R8" s="761">
        <f t="shared" si="8"/>
        <v>0</v>
      </c>
      <c r="S8" s="760"/>
      <c r="T8" s="760">
        <f t="shared" si="9"/>
        <v>0</v>
      </c>
      <c r="U8" s="760"/>
      <c r="V8" s="760">
        <f t="shared" si="10"/>
        <v>0</v>
      </c>
      <c r="W8" s="760"/>
      <c r="X8" s="19">
        <f t="shared" si="11"/>
        <v>0</v>
      </c>
      <c r="Y8" s="20">
        <f t="shared" si="0"/>
        <v>102329.0925</v>
      </c>
    </row>
    <row r="9" spans="1:25" ht="38.25" customHeight="1" x14ac:dyDescent="0.25">
      <c r="A9" s="12">
        <v>1984225580</v>
      </c>
      <c r="B9" s="757" t="s">
        <v>75</v>
      </c>
      <c r="C9" s="760">
        <v>17979</v>
      </c>
      <c r="D9" s="761">
        <f t="shared" si="1"/>
        <v>17484.577499999999</v>
      </c>
      <c r="E9" s="760"/>
      <c r="F9" s="760">
        <f t="shared" si="2"/>
        <v>0</v>
      </c>
      <c r="G9" s="760"/>
      <c r="H9" s="760">
        <f t="shared" si="3"/>
        <v>0</v>
      </c>
      <c r="I9" s="760">
        <v>2560</v>
      </c>
      <c r="J9" s="760">
        <f t="shared" si="4"/>
        <v>47360</v>
      </c>
      <c r="K9" s="760"/>
      <c r="L9" s="760">
        <f t="shared" si="5"/>
        <v>0</v>
      </c>
      <c r="M9" s="760"/>
      <c r="N9" s="761">
        <f t="shared" si="6"/>
        <v>0</v>
      </c>
      <c r="O9" s="760">
        <v>1500</v>
      </c>
      <c r="P9" s="761">
        <f t="shared" si="7"/>
        <v>13350</v>
      </c>
      <c r="Q9" s="761"/>
      <c r="R9" s="761">
        <f t="shared" si="8"/>
        <v>0</v>
      </c>
      <c r="S9" s="760"/>
      <c r="T9" s="760">
        <f t="shared" si="9"/>
        <v>0</v>
      </c>
      <c r="U9" s="760"/>
      <c r="V9" s="760">
        <f t="shared" si="10"/>
        <v>0</v>
      </c>
      <c r="W9" s="760"/>
      <c r="X9" s="19">
        <f t="shared" si="11"/>
        <v>0</v>
      </c>
      <c r="Y9" s="20">
        <f t="shared" si="0"/>
        <v>78194.577499999999</v>
      </c>
    </row>
    <row r="10" spans="1:25" ht="35.25" customHeight="1" x14ac:dyDescent="0.25">
      <c r="A10" s="12">
        <v>1409935199</v>
      </c>
      <c r="C10" s="760"/>
      <c r="D10" s="761">
        <f t="shared" si="1"/>
        <v>0</v>
      </c>
      <c r="E10" s="760"/>
      <c r="F10" s="760">
        <f t="shared" si="2"/>
        <v>0</v>
      </c>
      <c r="G10" s="760"/>
      <c r="H10" s="760">
        <f t="shared" si="3"/>
        <v>0</v>
      </c>
      <c r="I10" s="760"/>
      <c r="J10" s="760">
        <f t="shared" si="4"/>
        <v>0</v>
      </c>
      <c r="K10" s="760"/>
      <c r="L10" s="760">
        <f t="shared" si="5"/>
        <v>0</v>
      </c>
      <c r="M10" s="760"/>
      <c r="N10" s="761">
        <f t="shared" si="6"/>
        <v>0</v>
      </c>
      <c r="O10" s="760"/>
      <c r="P10" s="761">
        <f t="shared" si="7"/>
        <v>0</v>
      </c>
      <c r="Q10" s="761"/>
      <c r="R10" s="761">
        <f t="shared" si="8"/>
        <v>0</v>
      </c>
      <c r="S10" s="760"/>
      <c r="T10" s="760">
        <f t="shared" si="9"/>
        <v>0</v>
      </c>
      <c r="U10" s="760"/>
      <c r="V10" s="760">
        <f t="shared" si="10"/>
        <v>0</v>
      </c>
      <c r="W10" s="760"/>
      <c r="X10" s="19">
        <f t="shared" si="11"/>
        <v>0</v>
      </c>
      <c r="Y10" s="20">
        <f t="shared" si="0"/>
        <v>0</v>
      </c>
    </row>
    <row r="11" spans="1:25" ht="37.5" customHeight="1" x14ac:dyDescent="0.25">
      <c r="A11" s="12"/>
      <c r="B11" s="759"/>
      <c r="C11" s="760"/>
      <c r="D11" s="22">
        <f t="shared" si="1"/>
        <v>0</v>
      </c>
      <c r="E11" s="760"/>
      <c r="F11" s="760">
        <f t="shared" si="2"/>
        <v>0</v>
      </c>
      <c r="G11" s="760"/>
      <c r="H11" s="760">
        <f t="shared" si="3"/>
        <v>0</v>
      </c>
      <c r="I11" s="760"/>
      <c r="J11" s="760">
        <f t="shared" si="4"/>
        <v>0</v>
      </c>
      <c r="K11" s="760"/>
      <c r="L11" s="760">
        <f t="shared" si="5"/>
        <v>0</v>
      </c>
      <c r="M11" s="760"/>
      <c r="N11" s="761">
        <f t="shared" si="6"/>
        <v>0</v>
      </c>
      <c r="O11" s="760"/>
      <c r="P11" s="761">
        <f t="shared" si="7"/>
        <v>0</v>
      </c>
      <c r="Q11" s="761"/>
      <c r="R11" s="761">
        <f t="shared" si="8"/>
        <v>0</v>
      </c>
      <c r="S11" s="760"/>
      <c r="T11" s="760">
        <f t="shared" si="9"/>
        <v>0</v>
      </c>
      <c r="U11" s="760"/>
      <c r="V11" s="760">
        <f t="shared" si="10"/>
        <v>0</v>
      </c>
      <c r="W11" s="760"/>
      <c r="X11" s="19">
        <f t="shared" si="11"/>
        <v>0</v>
      </c>
      <c r="Y11" s="20">
        <f t="shared" si="0"/>
        <v>0</v>
      </c>
    </row>
    <row r="12" spans="1:25" ht="29.25" customHeight="1" x14ac:dyDescent="0.25">
      <c r="A12" s="2235" t="s">
        <v>31</v>
      </c>
      <c r="B12" s="2235"/>
      <c r="C12" s="18">
        <f t="shared" ref="C12:X12" si="12">SUM(C6:C11)</f>
        <v>108870</v>
      </c>
      <c r="D12" s="18">
        <f t="shared" si="12"/>
        <v>105876.075</v>
      </c>
      <c r="E12" s="18">
        <f t="shared" si="12"/>
        <v>0</v>
      </c>
      <c r="F12" s="18">
        <f t="shared" si="12"/>
        <v>0</v>
      </c>
      <c r="G12" s="18">
        <f t="shared" si="12"/>
        <v>20</v>
      </c>
      <c r="H12" s="18">
        <f t="shared" si="12"/>
        <v>564</v>
      </c>
      <c r="I12" s="18">
        <f t="shared" si="12"/>
        <v>10620</v>
      </c>
      <c r="J12" s="18">
        <f t="shared" si="12"/>
        <v>196470</v>
      </c>
      <c r="K12" s="18">
        <f t="shared" si="12"/>
        <v>110</v>
      </c>
      <c r="L12" s="18">
        <f t="shared" si="12"/>
        <v>3106.0479999999998</v>
      </c>
      <c r="M12" s="18">
        <f t="shared" si="12"/>
        <v>0</v>
      </c>
      <c r="N12" s="23">
        <f t="shared" si="12"/>
        <v>0</v>
      </c>
      <c r="O12" s="18">
        <f t="shared" si="12"/>
        <v>4050</v>
      </c>
      <c r="P12" s="23">
        <f t="shared" si="12"/>
        <v>36045</v>
      </c>
      <c r="Q12" s="23">
        <f t="shared" si="12"/>
        <v>0</v>
      </c>
      <c r="R12" s="23">
        <f>SUM(R6:R11)</f>
        <v>0</v>
      </c>
      <c r="S12" s="18">
        <f t="shared" si="12"/>
        <v>0</v>
      </c>
      <c r="T12" s="18">
        <f t="shared" si="12"/>
        <v>0</v>
      </c>
      <c r="U12" s="18">
        <f t="shared" si="12"/>
        <v>0</v>
      </c>
      <c r="V12" s="18">
        <f t="shared" si="12"/>
        <v>0</v>
      </c>
      <c r="W12" s="18">
        <f t="shared" si="12"/>
        <v>0</v>
      </c>
      <c r="X12" s="18">
        <f t="shared" si="12"/>
        <v>0</v>
      </c>
      <c r="Y12" s="20">
        <f t="shared" si="0"/>
        <v>342061.12300000002</v>
      </c>
    </row>
    <row r="14" spans="1:25" ht="41.25" customHeight="1" x14ac:dyDescent="0.25">
      <c r="A14" s="30" t="s">
        <v>32</v>
      </c>
      <c r="B14" s="2236" t="s">
        <v>27</v>
      </c>
      <c r="C14" s="2236"/>
      <c r="D14" s="30" t="s">
        <v>333</v>
      </c>
      <c r="E14" s="30" t="s">
        <v>65</v>
      </c>
      <c r="F14" s="30" t="s">
        <v>34</v>
      </c>
      <c r="G14" s="30" t="s">
        <v>14</v>
      </c>
      <c r="H14" s="469" t="s">
        <v>173</v>
      </c>
      <c r="I14" s="30" t="s">
        <v>17</v>
      </c>
      <c r="J14" s="765" t="s">
        <v>174</v>
      </c>
      <c r="K14" s="30" t="s">
        <v>36</v>
      </c>
      <c r="L14" s="30" t="s">
        <v>175</v>
      </c>
      <c r="M14" s="30" t="s">
        <v>69</v>
      </c>
      <c r="N14" s="30" t="s">
        <v>70</v>
      </c>
      <c r="O14" s="765" t="s">
        <v>114</v>
      </c>
      <c r="P14" s="765" t="s">
        <v>393</v>
      </c>
      <c r="Q14" s="2300" t="s">
        <v>378</v>
      </c>
      <c r="R14" s="2301"/>
      <c r="S14" s="765"/>
      <c r="T14" s="2235" t="s">
        <v>46</v>
      </c>
      <c r="U14" s="757" t="s">
        <v>176</v>
      </c>
      <c r="V14" s="2260">
        <v>50909</v>
      </c>
      <c r="W14" s="2268"/>
      <c r="X14" s="2261"/>
    </row>
    <row r="15" spans="1:25" ht="22.5" customHeight="1" x14ac:dyDescent="0.25">
      <c r="A15" s="100" t="s">
        <v>38</v>
      </c>
      <c r="B15" s="2260">
        <v>478801</v>
      </c>
      <c r="C15" s="2261"/>
      <c r="D15" s="762">
        <v>512</v>
      </c>
      <c r="E15" s="762">
        <v>490</v>
      </c>
      <c r="F15" s="762">
        <v>15100</v>
      </c>
      <c r="G15" s="762">
        <v>110</v>
      </c>
      <c r="H15" s="762">
        <v>138</v>
      </c>
      <c r="I15" s="762">
        <v>0</v>
      </c>
      <c r="J15" s="762">
        <v>26</v>
      </c>
      <c r="K15" s="762">
        <v>71</v>
      </c>
      <c r="L15" s="762">
        <v>29</v>
      </c>
      <c r="M15" s="762">
        <v>0</v>
      </c>
      <c r="N15" s="762">
        <v>100</v>
      </c>
      <c r="O15" s="762">
        <v>0</v>
      </c>
      <c r="P15" s="762">
        <v>5000</v>
      </c>
      <c r="Q15" s="2260">
        <v>100</v>
      </c>
      <c r="R15" s="2261"/>
      <c r="S15" s="757"/>
      <c r="T15" s="2235"/>
      <c r="U15" s="757" t="s">
        <v>64</v>
      </c>
      <c r="V15" s="2262">
        <v>9480</v>
      </c>
      <c r="W15" s="2262"/>
      <c r="X15" s="2262"/>
    </row>
    <row r="16" spans="1:25" ht="24.75" customHeight="1" x14ac:dyDescent="0.25">
      <c r="A16" s="100" t="s">
        <v>39</v>
      </c>
      <c r="B16" s="2260"/>
      <c r="C16" s="2261"/>
      <c r="D16" s="762"/>
      <c r="E16" s="762"/>
      <c r="F16" s="762"/>
      <c r="G16" s="762"/>
      <c r="H16" s="762"/>
      <c r="I16" s="762"/>
      <c r="J16" s="762"/>
      <c r="K16" s="762"/>
      <c r="L16" s="762"/>
      <c r="M16" s="762"/>
      <c r="N16" s="762"/>
      <c r="O16" s="762"/>
      <c r="P16" s="762"/>
      <c r="Q16" s="2225"/>
      <c r="R16" s="2225"/>
      <c r="S16" s="762"/>
      <c r="T16" s="2254" t="s">
        <v>55</v>
      </c>
      <c r="U16" s="2254"/>
      <c r="V16" s="2267">
        <f>Y12</f>
        <v>342061.12300000002</v>
      </c>
      <c r="W16" s="2267"/>
      <c r="X16" s="2262"/>
    </row>
    <row r="17" spans="1:25" ht="28.5" customHeight="1" x14ac:dyDescent="0.25">
      <c r="A17" s="101" t="s">
        <v>44</v>
      </c>
      <c r="B17" s="2260"/>
      <c r="C17" s="2261"/>
      <c r="D17" s="762"/>
      <c r="E17" s="762"/>
      <c r="F17" s="762"/>
      <c r="G17" s="762"/>
      <c r="H17" s="762"/>
      <c r="I17" s="762"/>
      <c r="J17" s="762"/>
      <c r="K17" s="762"/>
      <c r="L17" s="762"/>
      <c r="M17" s="762"/>
      <c r="N17" s="762"/>
      <c r="O17" s="762"/>
      <c r="P17" s="762"/>
      <c r="Q17" s="2225"/>
      <c r="R17" s="2225"/>
      <c r="S17" s="759"/>
      <c r="T17" s="2294" t="s">
        <v>362</v>
      </c>
      <c r="U17" s="2295"/>
      <c r="V17" s="2296"/>
      <c r="W17" s="2296"/>
      <c r="X17" s="2296"/>
    </row>
    <row r="18" spans="1:25" ht="27" customHeight="1" x14ac:dyDescent="0.25">
      <c r="A18" s="100" t="s">
        <v>40</v>
      </c>
      <c r="B18" s="2264">
        <f>C12</f>
        <v>108870</v>
      </c>
      <c r="C18" s="2261"/>
      <c r="D18" s="763">
        <f>E12</f>
        <v>0</v>
      </c>
      <c r="E18" s="763">
        <f>G12</f>
        <v>20</v>
      </c>
      <c r="F18" s="763">
        <f>I12</f>
        <v>10620</v>
      </c>
      <c r="G18" s="763">
        <f>K12</f>
        <v>110</v>
      </c>
      <c r="H18" s="762"/>
      <c r="I18" s="763">
        <f>U12</f>
        <v>0</v>
      </c>
      <c r="J18" s="762"/>
      <c r="K18" s="763">
        <f>W12</f>
        <v>0</v>
      </c>
      <c r="L18" s="762"/>
      <c r="M18" s="763">
        <f>M12</f>
        <v>0</v>
      </c>
      <c r="N18" s="763"/>
      <c r="O18" s="764">
        <f>Q12</f>
        <v>0</v>
      </c>
      <c r="P18" s="763">
        <f>O12</f>
        <v>4050</v>
      </c>
      <c r="Q18" s="2262"/>
      <c r="R18" s="2262"/>
      <c r="S18" s="757"/>
      <c r="T18" s="2254" t="s">
        <v>57</v>
      </c>
      <c r="U18" s="2254"/>
      <c r="V18" s="2262">
        <v>620</v>
      </c>
      <c r="W18" s="2262"/>
      <c r="X18" s="2262"/>
      <c r="Y18" s="2269"/>
    </row>
    <row r="19" spans="1:25" ht="25.5" customHeight="1" x14ac:dyDescent="0.25">
      <c r="A19" s="100" t="s">
        <v>41</v>
      </c>
      <c r="B19" s="2260">
        <f>B15+B16+B17-B18</f>
        <v>369931</v>
      </c>
      <c r="C19" s="2261"/>
      <c r="D19" s="762">
        <f>D15+D16+D17-D18</f>
        <v>512</v>
      </c>
      <c r="E19" s="762">
        <f t="shared" ref="E19:N19" si="13">E15+E16+E17-E18</f>
        <v>470</v>
      </c>
      <c r="F19" s="762">
        <f t="shared" si="13"/>
        <v>4480</v>
      </c>
      <c r="G19" s="762">
        <f t="shared" si="13"/>
        <v>0</v>
      </c>
      <c r="H19" s="762">
        <f t="shared" si="13"/>
        <v>138</v>
      </c>
      <c r="I19" s="762">
        <f t="shared" si="13"/>
        <v>0</v>
      </c>
      <c r="J19" s="762">
        <f t="shared" si="13"/>
        <v>26</v>
      </c>
      <c r="K19" s="762">
        <f t="shared" si="13"/>
        <v>71</v>
      </c>
      <c r="L19" s="762">
        <f t="shared" si="13"/>
        <v>29</v>
      </c>
      <c r="M19" s="762">
        <f t="shared" si="13"/>
        <v>0</v>
      </c>
      <c r="N19" s="762">
        <f t="shared" si="13"/>
        <v>100</v>
      </c>
      <c r="O19" s="762">
        <f>O15+O16+O17-O18</f>
        <v>0</v>
      </c>
      <c r="P19" s="762">
        <f>P15+P16+P17-P18</f>
        <v>950</v>
      </c>
      <c r="Q19" s="2260">
        <f t="shared" ref="Q19" si="14">Q15+Q16+Q17-Q18</f>
        <v>100</v>
      </c>
      <c r="R19" s="2261"/>
      <c r="S19" s="757">
        <f>S15+S16-S17-S18</f>
        <v>0</v>
      </c>
      <c r="T19" s="2256" t="s">
        <v>48</v>
      </c>
      <c r="U19" s="49" t="s">
        <v>58</v>
      </c>
      <c r="V19" s="2262"/>
      <c r="W19" s="2262"/>
      <c r="X19" s="2262"/>
      <c r="Y19" s="2269"/>
    </row>
    <row r="20" spans="1:25" ht="23.25" customHeight="1" x14ac:dyDescent="0.25">
      <c r="A20" s="289" t="s">
        <v>187</v>
      </c>
      <c r="B20" s="2286">
        <f>B19*0.9625</f>
        <v>356058.58750000002</v>
      </c>
      <c r="C20" s="2287"/>
      <c r="D20" s="290">
        <f>D19*66.41</f>
        <v>34001.919999999998</v>
      </c>
      <c r="E20" s="290">
        <f>28.2*E19</f>
        <v>13254</v>
      </c>
      <c r="F20" s="290">
        <f>18.31*F19</f>
        <v>82028.799999999988</v>
      </c>
      <c r="G20" s="290">
        <f>27.9368*G19</f>
        <v>0</v>
      </c>
      <c r="H20" s="290">
        <f>241*H19</f>
        <v>33258</v>
      </c>
      <c r="I20" s="290">
        <f>323*I19</f>
        <v>0</v>
      </c>
      <c r="J20" s="290">
        <f>241*J19</f>
        <v>6266</v>
      </c>
      <c r="K20" s="290">
        <f>K19*100</f>
        <v>7100</v>
      </c>
      <c r="L20" s="290">
        <f>241*L19</f>
        <v>6989</v>
      </c>
      <c r="M20" s="290">
        <f>9.65*M19</f>
        <v>0</v>
      </c>
      <c r="N20" s="290">
        <f>N19*48.2</f>
        <v>4820</v>
      </c>
      <c r="O20" s="290">
        <f>241*O19</f>
        <v>0</v>
      </c>
      <c r="P20" s="290">
        <f>8.81*P19</f>
        <v>8369.5</v>
      </c>
      <c r="Q20" s="2286">
        <f>341*Q19</f>
        <v>34100</v>
      </c>
      <c r="R20" s="2287"/>
      <c r="S20" s="290">
        <f>241*S19</f>
        <v>0</v>
      </c>
      <c r="T20" s="2257"/>
      <c r="U20" s="49" t="s">
        <v>59</v>
      </c>
      <c r="V20" s="2262"/>
      <c r="W20" s="2262"/>
      <c r="X20" s="2262"/>
      <c r="Y20" s="2269"/>
    </row>
    <row r="21" spans="1:25" ht="32.25" customHeight="1" x14ac:dyDescent="0.25">
      <c r="A21" s="291" t="s">
        <v>186</v>
      </c>
      <c r="B21" s="2293">
        <f>SUM(B20:S20)</f>
        <v>586245.8075</v>
      </c>
      <c r="C21" s="2293"/>
      <c r="O21" s="766"/>
      <c r="P21" s="766"/>
      <c r="Q21" s="766"/>
      <c r="R21" s="766"/>
      <c r="T21" s="2294" t="s">
        <v>366</v>
      </c>
      <c r="U21" s="2295"/>
      <c r="V21" s="2297"/>
      <c r="W21" s="2298"/>
      <c r="X21" s="2299"/>
      <c r="Y21" s="2269"/>
    </row>
    <row r="22" spans="1:25" ht="35.25" customHeight="1" x14ac:dyDescent="0.25">
      <c r="A22" s="15"/>
      <c r="B22" s="2288" t="s">
        <v>49</v>
      </c>
      <c r="C22" s="2291">
        <v>674650</v>
      </c>
      <c r="D22" s="2291"/>
      <c r="E22" s="2291"/>
      <c r="F22" s="2291">
        <f>C22-D22+E22</f>
        <v>674650</v>
      </c>
      <c r="G22" s="766"/>
      <c r="Q22" s="766"/>
      <c r="R22" s="766"/>
      <c r="T22" s="2251" t="s">
        <v>83</v>
      </c>
      <c r="U22" s="50" t="s">
        <v>60</v>
      </c>
      <c r="V22" s="2262"/>
      <c r="W22" s="2262"/>
      <c r="X22" s="2262"/>
      <c r="Y22" s="2269"/>
    </row>
    <row r="23" spans="1:25" ht="39.75" customHeight="1" x14ac:dyDescent="0.25">
      <c r="A23" s="766"/>
      <c r="B23" s="2289"/>
      <c r="C23" s="2292"/>
      <c r="D23" s="2292"/>
      <c r="E23" s="2292"/>
      <c r="F23" s="2292"/>
      <c r="G23" s="766"/>
      <c r="Q23" s="766"/>
      <c r="R23" s="766"/>
      <c r="T23" s="2252"/>
      <c r="U23" s="50" t="s">
        <v>61</v>
      </c>
      <c r="V23" s="2262"/>
      <c r="W23" s="2262"/>
      <c r="X23" s="2262"/>
      <c r="Y23" s="2269"/>
    </row>
    <row r="24" spans="1:25" ht="48" customHeight="1" x14ac:dyDescent="0.25">
      <c r="A24" s="766"/>
      <c r="B24" s="2290"/>
      <c r="C24" s="290" t="s">
        <v>46</v>
      </c>
      <c r="D24" s="290" t="s">
        <v>50</v>
      </c>
      <c r="E24" s="290" t="s">
        <v>51</v>
      </c>
      <c r="F24" s="290" t="s">
        <v>52</v>
      </c>
      <c r="G24" s="766"/>
      <c r="Q24" s="766"/>
      <c r="R24" s="766"/>
      <c r="T24" s="2235" t="s">
        <v>47</v>
      </c>
      <c r="U24" s="51" t="s">
        <v>62</v>
      </c>
      <c r="V24" s="2263">
        <f>V14+V16+V17-V18-V19-V20-V22+V23-V21</f>
        <v>392350.12300000002</v>
      </c>
      <c r="W24" s="2263"/>
      <c r="X24" s="2263"/>
      <c r="Y24" s="2269"/>
    </row>
    <row r="25" spans="1:25" ht="40.5" customHeight="1" x14ac:dyDescent="0.25">
      <c r="T25" s="2235"/>
      <c r="U25" s="51" t="s">
        <v>63</v>
      </c>
      <c r="V25" s="2262">
        <f>V15+V22-V23</f>
        <v>9480</v>
      </c>
      <c r="W25" s="2262"/>
      <c r="X25" s="2262"/>
    </row>
    <row r="26" spans="1:25" ht="36" customHeight="1" x14ac:dyDescent="0.25">
      <c r="K26" s="314"/>
    </row>
    <row r="28" spans="1:25" x14ac:dyDescent="0.25">
      <c r="J28" s="14" t="s">
        <v>139</v>
      </c>
    </row>
    <row r="32" spans="1:25" x14ac:dyDescent="0.25">
      <c r="I32" s="2280"/>
      <c r="J32" s="2280"/>
      <c r="K32" s="2280"/>
      <c r="L32" s="2280"/>
    </row>
    <row r="33" spans="9:12" x14ac:dyDescent="0.25">
      <c r="I33" s="766"/>
      <c r="J33" s="766"/>
      <c r="K33" s="2280"/>
      <c r="L33" s="2280"/>
    </row>
  </sheetData>
  <mergeCells count="62">
    <mergeCell ref="I32:J32"/>
    <mergeCell ref="K32:L32"/>
    <mergeCell ref="K33:L33"/>
    <mergeCell ref="T22:T23"/>
    <mergeCell ref="V22:X22"/>
    <mergeCell ref="V23:X23"/>
    <mergeCell ref="T24:T25"/>
    <mergeCell ref="V24:X24"/>
    <mergeCell ref="V25:X25"/>
    <mergeCell ref="Y18:Y24"/>
    <mergeCell ref="B19:C19"/>
    <mergeCell ref="Q19:R19"/>
    <mergeCell ref="T19:T20"/>
    <mergeCell ref="V19:X19"/>
    <mergeCell ref="B20:C20"/>
    <mergeCell ref="B22:B24"/>
    <mergeCell ref="C22:C23"/>
    <mergeCell ref="D22:D23"/>
    <mergeCell ref="E22:E23"/>
    <mergeCell ref="F22:F23"/>
    <mergeCell ref="Q20:R20"/>
    <mergeCell ref="V20:X20"/>
    <mergeCell ref="B21:C21"/>
    <mergeCell ref="T21:U21"/>
    <mergeCell ref="V21:X21"/>
    <mergeCell ref="B17:C17"/>
    <mergeCell ref="Q17:R17"/>
    <mergeCell ref="T17:U17"/>
    <mergeCell ref="V17:X17"/>
    <mergeCell ref="B18:C18"/>
    <mergeCell ref="Q18:R18"/>
    <mergeCell ref="T18:U18"/>
    <mergeCell ref="V18:X18"/>
    <mergeCell ref="W4:X4"/>
    <mergeCell ref="B16:C16"/>
    <mergeCell ref="Q16:R16"/>
    <mergeCell ref="T16:U16"/>
    <mergeCell ref="V16:X16"/>
    <mergeCell ref="A12:B12"/>
    <mergeCell ref="B14:C14"/>
    <mergeCell ref="Q14:R14"/>
    <mergeCell ref="T14:T15"/>
    <mergeCell ref="V14:X14"/>
    <mergeCell ref="B15:C15"/>
    <mergeCell ref="Q15:R15"/>
    <mergeCell ref="V15:X15"/>
    <mergeCell ref="A1:Y1"/>
    <mergeCell ref="A2:Y2"/>
    <mergeCell ref="T3:Y3"/>
    <mergeCell ref="A4:A5"/>
    <mergeCell ref="B4:B5"/>
    <mergeCell ref="C4:D4"/>
    <mergeCell ref="E4:F4"/>
    <mergeCell ref="G4:H4"/>
    <mergeCell ref="I4:J4"/>
    <mergeCell ref="K4:L4"/>
    <mergeCell ref="Y4:Y5"/>
    <mergeCell ref="M4:N4"/>
    <mergeCell ref="O4:P4"/>
    <mergeCell ref="Q4:R4"/>
    <mergeCell ref="S4:T4"/>
    <mergeCell ref="U4:V4"/>
  </mergeCells>
  <pageMargins left="0.15748031496063" right="0.15748031496063" top="0" bottom="0" header="0" footer="0"/>
  <pageSetup paperSize="9" scale="46" orientation="landscape" r:id="rId1"/>
</worksheet>
</file>

<file path=xl/worksheets/sheet17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5612DC7-D11D-4A97-8780-32C3A5772D93}">
  <sheetPr>
    <pageSetUpPr fitToPage="1"/>
  </sheetPr>
  <dimension ref="A1:Y33"/>
  <sheetViews>
    <sheetView topLeftCell="A10" zoomScale="70" zoomScaleNormal="70" zoomScaleSheetLayoutView="100" workbookViewId="0">
      <selection activeCell="C11" sqref="C11"/>
    </sheetView>
  </sheetViews>
  <sheetFormatPr defaultColWidth="9.140625" defaultRowHeight="15" x14ac:dyDescent="0.25"/>
  <cols>
    <col min="1" max="1" width="18.28515625" style="14" customWidth="1"/>
    <col min="2" max="2" width="10.7109375" style="14" customWidth="1"/>
    <col min="3" max="3" width="12.28515625" style="14" customWidth="1"/>
    <col min="4" max="4" width="13.140625" style="14" bestFit="1" customWidth="1"/>
    <col min="5" max="5" width="12" style="14" customWidth="1"/>
    <col min="6" max="6" width="12.5703125" style="14" bestFit="1" customWidth="1"/>
    <col min="7" max="7" width="9.28515625" style="14" bestFit="1" customWidth="1"/>
    <col min="8" max="8" width="10.140625" style="14" bestFit="1" customWidth="1"/>
    <col min="9" max="9" width="10.5703125" style="14" bestFit="1" customWidth="1"/>
    <col min="10" max="10" width="10.5703125" style="14" customWidth="1"/>
    <col min="11" max="11" width="10.28515625" style="14" bestFit="1" customWidth="1"/>
    <col min="12" max="12" width="10.42578125" style="14" bestFit="1" customWidth="1"/>
    <col min="13" max="13" width="9.85546875" style="14" bestFit="1" customWidth="1"/>
    <col min="14" max="14" width="10.140625" style="14" bestFit="1" customWidth="1"/>
    <col min="15" max="15" width="9" style="14" customWidth="1"/>
    <col min="16" max="16" width="12.85546875" style="14" bestFit="1" customWidth="1"/>
    <col min="17" max="18" width="9.42578125" style="14" customWidth="1"/>
    <col min="19" max="19" width="13.7109375" style="14" customWidth="1"/>
    <col min="20" max="20" width="12.140625" style="14" customWidth="1"/>
    <col min="21" max="21" width="21.7109375" style="14" customWidth="1"/>
    <col min="22" max="22" width="9.85546875" style="14" customWidth="1"/>
    <col min="23" max="23" width="10.140625" style="14" bestFit="1" customWidth="1"/>
    <col min="24" max="24" width="10.28515625" style="14" customWidth="1"/>
    <col min="25" max="25" width="28" style="14" customWidth="1"/>
    <col min="26" max="16384" width="9.140625" style="14"/>
  </cols>
  <sheetData>
    <row r="1" spans="1:25" ht="46.15" customHeight="1" x14ac:dyDescent="0.25">
      <c r="A1" s="2240" t="s">
        <v>148</v>
      </c>
      <c r="B1" s="2240"/>
      <c r="C1" s="2240"/>
      <c r="D1" s="2240"/>
      <c r="E1" s="2240"/>
      <c r="F1" s="2240"/>
      <c r="G1" s="2240"/>
      <c r="H1" s="2240"/>
      <c r="I1" s="2240"/>
      <c r="J1" s="2240"/>
      <c r="K1" s="2240"/>
      <c r="L1" s="2240"/>
      <c r="M1" s="2240"/>
      <c r="N1" s="2240"/>
      <c r="O1" s="2240"/>
      <c r="P1" s="2240"/>
      <c r="Q1" s="2240"/>
      <c r="R1" s="2240"/>
      <c r="S1" s="2240"/>
      <c r="T1" s="2240"/>
      <c r="U1" s="2240"/>
      <c r="V1" s="2240"/>
      <c r="W1" s="2240"/>
      <c r="X1" s="2240"/>
      <c r="Y1" s="2240"/>
    </row>
    <row r="2" spans="1:25" ht="21.6" customHeight="1" x14ac:dyDescent="0.25">
      <c r="A2" s="2241" t="s">
        <v>383</v>
      </c>
      <c r="B2" s="2241"/>
      <c r="C2" s="2241"/>
      <c r="D2" s="2241"/>
      <c r="E2" s="2241"/>
      <c r="F2" s="2241"/>
      <c r="G2" s="2241"/>
      <c r="H2" s="2241"/>
      <c r="I2" s="2241"/>
      <c r="J2" s="2241"/>
      <c r="K2" s="2241"/>
      <c r="L2" s="2241"/>
      <c r="M2" s="2241"/>
      <c r="N2" s="2241"/>
      <c r="O2" s="2241"/>
      <c r="P2" s="2241"/>
      <c r="Q2" s="2241"/>
      <c r="R2" s="2241"/>
      <c r="S2" s="2241"/>
      <c r="T2" s="2241"/>
      <c r="U2" s="2241"/>
      <c r="V2" s="2241"/>
      <c r="W2" s="2241"/>
      <c r="X2" s="2241"/>
      <c r="Y2" s="2241"/>
    </row>
    <row r="3" spans="1:25" ht="21" customHeight="1" x14ac:dyDescent="0.25">
      <c r="A3" s="756"/>
      <c r="B3" s="756"/>
      <c r="C3" s="756"/>
      <c r="D3" s="756"/>
      <c r="E3" s="756"/>
      <c r="F3" s="756"/>
      <c r="G3" s="756"/>
      <c r="H3" s="756"/>
      <c r="I3" s="756"/>
      <c r="J3" s="756"/>
      <c r="K3" s="756"/>
      <c r="L3" s="756"/>
      <c r="M3" s="756"/>
      <c r="N3" s="756"/>
      <c r="O3" s="756"/>
      <c r="P3" s="756"/>
      <c r="Q3" s="756"/>
      <c r="R3" s="756"/>
      <c r="S3" s="756"/>
      <c r="T3" s="2242" t="s">
        <v>396</v>
      </c>
      <c r="U3" s="2242"/>
      <c r="V3" s="2242"/>
      <c r="W3" s="2242"/>
      <c r="X3" s="2242"/>
      <c r="Y3" s="2242"/>
    </row>
    <row r="4" spans="1:25" s="756" customFormat="1" ht="18" customHeight="1" x14ac:dyDescent="0.25">
      <c r="A4" s="2243" t="s">
        <v>25</v>
      </c>
      <c r="B4" s="2243" t="s">
        <v>26</v>
      </c>
      <c r="C4" s="2244" t="s">
        <v>27</v>
      </c>
      <c r="D4" s="2244"/>
      <c r="E4" s="2244" t="s">
        <v>342</v>
      </c>
      <c r="F4" s="2244"/>
      <c r="G4" s="2244" t="s">
        <v>65</v>
      </c>
      <c r="H4" s="2244"/>
      <c r="I4" s="2244" t="s">
        <v>29</v>
      </c>
      <c r="J4" s="2244"/>
      <c r="K4" s="2245" t="s">
        <v>14</v>
      </c>
      <c r="L4" s="2246"/>
      <c r="M4" s="2245" t="s">
        <v>67</v>
      </c>
      <c r="N4" s="2246"/>
      <c r="O4" s="2245" t="s">
        <v>395</v>
      </c>
      <c r="P4" s="2246"/>
      <c r="Q4" s="2245" t="s">
        <v>114</v>
      </c>
      <c r="R4" s="2246"/>
      <c r="S4" s="2244" t="s">
        <v>35</v>
      </c>
      <c r="T4" s="2244"/>
      <c r="U4" s="2245" t="s">
        <v>17</v>
      </c>
      <c r="V4" s="2246"/>
      <c r="W4" s="2247" t="s">
        <v>36</v>
      </c>
      <c r="X4" s="2248"/>
      <c r="Y4" s="2238" t="s">
        <v>30</v>
      </c>
    </row>
    <row r="5" spans="1:25" s="756" customFormat="1" ht="25.5" customHeight="1" x14ac:dyDescent="0.25">
      <c r="A5" s="2243"/>
      <c r="B5" s="2243"/>
      <c r="C5" s="758" t="s">
        <v>42</v>
      </c>
      <c r="D5" s="758" t="s">
        <v>43</v>
      </c>
      <c r="E5" s="758" t="s">
        <v>42</v>
      </c>
      <c r="F5" s="758" t="s">
        <v>43</v>
      </c>
      <c r="G5" s="758" t="s">
        <v>42</v>
      </c>
      <c r="H5" s="758" t="s">
        <v>43</v>
      </c>
      <c r="I5" s="758" t="s">
        <v>42</v>
      </c>
      <c r="J5" s="758" t="s">
        <v>43</v>
      </c>
      <c r="K5" s="758" t="s">
        <v>42</v>
      </c>
      <c r="L5" s="758" t="s">
        <v>43</v>
      </c>
      <c r="M5" s="758" t="s">
        <v>42</v>
      </c>
      <c r="N5" s="758" t="s">
        <v>43</v>
      </c>
      <c r="O5" s="758" t="s">
        <v>42</v>
      </c>
      <c r="P5" s="758" t="s">
        <v>43</v>
      </c>
      <c r="Q5" s="758" t="s">
        <v>42</v>
      </c>
      <c r="R5" s="758" t="s">
        <v>43</v>
      </c>
      <c r="S5" s="33" t="s">
        <v>42</v>
      </c>
      <c r="T5" s="33" t="s">
        <v>43</v>
      </c>
      <c r="U5" s="30" t="s">
        <v>42</v>
      </c>
      <c r="V5" s="30" t="s">
        <v>43</v>
      </c>
      <c r="W5" s="30" t="s">
        <v>42</v>
      </c>
      <c r="X5" s="30" t="s">
        <v>43</v>
      </c>
      <c r="Y5" s="2239"/>
    </row>
    <row r="6" spans="1:25" ht="34.5" customHeight="1" x14ac:dyDescent="0.25">
      <c r="A6" s="12">
        <v>1409935200</v>
      </c>
      <c r="B6" s="757" t="s">
        <v>71</v>
      </c>
      <c r="C6" s="760">
        <v>23792</v>
      </c>
      <c r="D6" s="761">
        <f>0.9725*C6</f>
        <v>23137.72</v>
      </c>
      <c r="E6" s="760"/>
      <c r="F6" s="760">
        <f>67.1*E6</f>
        <v>0</v>
      </c>
      <c r="G6" s="760"/>
      <c r="H6" s="760">
        <f>28.2*G6</f>
        <v>0</v>
      </c>
      <c r="I6" s="760">
        <v>2000</v>
      </c>
      <c r="J6" s="760">
        <f>18.5*I6</f>
        <v>37000</v>
      </c>
      <c r="K6" s="760"/>
      <c r="L6" s="760">
        <f>28.2368*K6</f>
        <v>0</v>
      </c>
      <c r="M6" s="760"/>
      <c r="N6" s="761">
        <f>M6*9.75</f>
        <v>0</v>
      </c>
      <c r="O6" s="760"/>
      <c r="P6" s="761">
        <f>O6*8.9</f>
        <v>0</v>
      </c>
      <c r="Q6" s="761"/>
      <c r="R6" s="761">
        <f>241*Q6</f>
        <v>0</v>
      </c>
      <c r="S6" s="760"/>
      <c r="T6" s="760">
        <f>241*S6</f>
        <v>0</v>
      </c>
      <c r="U6" s="760"/>
      <c r="V6" s="760">
        <f>332*U6</f>
        <v>0</v>
      </c>
      <c r="W6" s="760"/>
      <c r="X6" s="19">
        <f>W6*100</f>
        <v>0</v>
      </c>
      <c r="Y6" s="20">
        <f t="shared" ref="Y6:Y12" si="0">D6+F6+H6+J6+L6+N6+P6+R6+T6+V6+X6</f>
        <v>60137.72</v>
      </c>
    </row>
    <row r="7" spans="1:25" ht="31.5" customHeight="1" x14ac:dyDescent="0.25">
      <c r="A7" s="12">
        <v>1984225578</v>
      </c>
      <c r="B7" s="757" t="s">
        <v>72</v>
      </c>
      <c r="C7" s="760">
        <v>23634</v>
      </c>
      <c r="D7" s="761">
        <f t="shared" ref="D7:D11" si="1">0.9725*C7</f>
        <v>22984.065000000002</v>
      </c>
      <c r="E7" s="760"/>
      <c r="F7" s="760">
        <f t="shared" ref="F7:F11" si="2">67.1*E7</f>
        <v>0</v>
      </c>
      <c r="G7" s="760"/>
      <c r="H7" s="760">
        <f t="shared" ref="H7:H11" si="3">28.2*G7</f>
        <v>0</v>
      </c>
      <c r="I7" s="760">
        <v>60</v>
      </c>
      <c r="J7" s="760">
        <f t="shared" ref="J7:J11" si="4">18.5*I7</f>
        <v>1110</v>
      </c>
      <c r="K7" s="760"/>
      <c r="L7" s="760">
        <f t="shared" ref="L7:L11" si="5">28.2368*K7</f>
        <v>0</v>
      </c>
      <c r="M7" s="760"/>
      <c r="N7" s="761">
        <f t="shared" ref="N7:N11" si="6">M7*9.75</f>
        <v>0</v>
      </c>
      <c r="O7" s="760"/>
      <c r="P7" s="761">
        <f t="shared" ref="P7:P11" si="7">O7*8.9</f>
        <v>0</v>
      </c>
      <c r="Q7" s="761"/>
      <c r="R7" s="761">
        <f t="shared" ref="R7:R11" si="8">241*Q7</f>
        <v>0</v>
      </c>
      <c r="S7" s="760"/>
      <c r="T7" s="760">
        <f t="shared" ref="T7:T11" si="9">241*S7</f>
        <v>0</v>
      </c>
      <c r="U7" s="760"/>
      <c r="V7" s="760">
        <f t="shared" ref="V7:V11" si="10">332*U7</f>
        <v>0</v>
      </c>
      <c r="W7" s="760"/>
      <c r="X7" s="19">
        <f t="shared" ref="X7:X11" si="11">W7*100</f>
        <v>0</v>
      </c>
      <c r="Y7" s="20">
        <f t="shared" si="0"/>
        <v>24094.065000000002</v>
      </c>
    </row>
    <row r="8" spans="1:25" ht="35.25" customHeight="1" x14ac:dyDescent="0.25">
      <c r="A8" s="12">
        <v>1967020280</v>
      </c>
      <c r="B8" s="757" t="s">
        <v>73</v>
      </c>
      <c r="C8" s="760">
        <v>32944</v>
      </c>
      <c r="D8" s="761">
        <f t="shared" si="1"/>
        <v>32038.04</v>
      </c>
      <c r="E8" s="760"/>
      <c r="F8" s="760">
        <f t="shared" si="2"/>
        <v>0</v>
      </c>
      <c r="G8" s="760"/>
      <c r="H8" s="760">
        <f t="shared" si="3"/>
        <v>0</v>
      </c>
      <c r="I8" s="760">
        <v>880</v>
      </c>
      <c r="J8" s="760">
        <f t="shared" si="4"/>
        <v>16280</v>
      </c>
      <c r="K8" s="760"/>
      <c r="L8" s="760">
        <f t="shared" si="5"/>
        <v>0</v>
      </c>
      <c r="M8" s="760"/>
      <c r="N8" s="761">
        <f t="shared" si="6"/>
        <v>0</v>
      </c>
      <c r="O8" s="760">
        <v>950</v>
      </c>
      <c r="P8" s="761">
        <f t="shared" si="7"/>
        <v>8455</v>
      </c>
      <c r="Q8" s="761"/>
      <c r="R8" s="761">
        <f t="shared" si="8"/>
        <v>0</v>
      </c>
      <c r="S8" s="760"/>
      <c r="T8" s="760">
        <f t="shared" si="9"/>
        <v>0</v>
      </c>
      <c r="U8" s="760"/>
      <c r="V8" s="760">
        <f t="shared" si="10"/>
        <v>0</v>
      </c>
      <c r="W8" s="760"/>
      <c r="X8" s="19">
        <f t="shared" si="11"/>
        <v>0</v>
      </c>
      <c r="Y8" s="20">
        <f t="shared" si="0"/>
        <v>56773.04</v>
      </c>
    </row>
    <row r="9" spans="1:25" ht="38.25" customHeight="1" x14ac:dyDescent="0.25">
      <c r="A9" s="12">
        <v>1984225580</v>
      </c>
      <c r="B9" s="757" t="s">
        <v>75</v>
      </c>
      <c r="C9" s="760">
        <v>30464</v>
      </c>
      <c r="D9" s="761">
        <f t="shared" si="1"/>
        <v>29626.240000000002</v>
      </c>
      <c r="E9" s="760"/>
      <c r="F9" s="760">
        <f t="shared" si="2"/>
        <v>0</v>
      </c>
      <c r="G9" s="760"/>
      <c r="H9" s="760">
        <f t="shared" si="3"/>
        <v>0</v>
      </c>
      <c r="I9" s="760">
        <v>1440</v>
      </c>
      <c r="J9" s="760">
        <f t="shared" si="4"/>
        <v>26640</v>
      </c>
      <c r="K9" s="760"/>
      <c r="L9" s="760">
        <f t="shared" si="5"/>
        <v>0</v>
      </c>
      <c r="M9" s="760"/>
      <c r="N9" s="761">
        <f t="shared" si="6"/>
        <v>0</v>
      </c>
      <c r="O9" s="760"/>
      <c r="P9" s="761">
        <f t="shared" si="7"/>
        <v>0</v>
      </c>
      <c r="Q9" s="761"/>
      <c r="R9" s="761">
        <f t="shared" si="8"/>
        <v>0</v>
      </c>
      <c r="S9" s="760"/>
      <c r="T9" s="760">
        <f t="shared" si="9"/>
        <v>0</v>
      </c>
      <c r="U9" s="760"/>
      <c r="V9" s="760">
        <f t="shared" si="10"/>
        <v>0</v>
      </c>
      <c r="W9" s="760"/>
      <c r="X9" s="19">
        <f t="shared" si="11"/>
        <v>0</v>
      </c>
      <c r="Y9" s="20">
        <f t="shared" si="0"/>
        <v>56266.240000000005</v>
      </c>
    </row>
    <row r="10" spans="1:25" ht="35.25" customHeight="1" x14ac:dyDescent="0.25">
      <c r="A10" s="12">
        <v>1409935199</v>
      </c>
      <c r="C10" s="760">
        <v>10283</v>
      </c>
      <c r="D10" s="761">
        <f t="shared" si="1"/>
        <v>10000.217500000001</v>
      </c>
      <c r="E10" s="760"/>
      <c r="F10" s="760">
        <f t="shared" si="2"/>
        <v>0</v>
      </c>
      <c r="G10" s="760"/>
      <c r="H10" s="760">
        <f t="shared" si="3"/>
        <v>0</v>
      </c>
      <c r="I10" s="760"/>
      <c r="J10" s="760">
        <f t="shared" si="4"/>
        <v>0</v>
      </c>
      <c r="K10" s="760"/>
      <c r="L10" s="760">
        <f t="shared" si="5"/>
        <v>0</v>
      </c>
      <c r="M10" s="760"/>
      <c r="N10" s="761">
        <f t="shared" si="6"/>
        <v>0</v>
      </c>
      <c r="O10" s="760"/>
      <c r="P10" s="761">
        <f t="shared" si="7"/>
        <v>0</v>
      </c>
      <c r="Q10" s="761"/>
      <c r="R10" s="761">
        <f t="shared" si="8"/>
        <v>0</v>
      </c>
      <c r="S10" s="760"/>
      <c r="T10" s="760">
        <f t="shared" si="9"/>
        <v>0</v>
      </c>
      <c r="U10" s="760"/>
      <c r="V10" s="760">
        <f t="shared" si="10"/>
        <v>0</v>
      </c>
      <c r="W10" s="760"/>
      <c r="X10" s="19">
        <f t="shared" si="11"/>
        <v>0</v>
      </c>
      <c r="Y10" s="20">
        <f t="shared" si="0"/>
        <v>10000.217500000001</v>
      </c>
    </row>
    <row r="11" spans="1:25" ht="37.5" customHeight="1" x14ac:dyDescent="0.25">
      <c r="A11" s="12"/>
      <c r="B11" s="759"/>
      <c r="C11" s="760"/>
      <c r="D11" s="22">
        <f t="shared" si="1"/>
        <v>0</v>
      </c>
      <c r="E11" s="760"/>
      <c r="F11" s="760">
        <f t="shared" si="2"/>
        <v>0</v>
      </c>
      <c r="G11" s="760"/>
      <c r="H11" s="760">
        <f t="shared" si="3"/>
        <v>0</v>
      </c>
      <c r="I11" s="760"/>
      <c r="J11" s="760">
        <f t="shared" si="4"/>
        <v>0</v>
      </c>
      <c r="K11" s="760"/>
      <c r="L11" s="760">
        <f t="shared" si="5"/>
        <v>0</v>
      </c>
      <c r="M11" s="760"/>
      <c r="N11" s="761">
        <f t="shared" si="6"/>
        <v>0</v>
      </c>
      <c r="O11" s="760"/>
      <c r="P11" s="761">
        <f t="shared" si="7"/>
        <v>0</v>
      </c>
      <c r="Q11" s="761"/>
      <c r="R11" s="761">
        <f t="shared" si="8"/>
        <v>0</v>
      </c>
      <c r="S11" s="760"/>
      <c r="T11" s="760">
        <f t="shared" si="9"/>
        <v>0</v>
      </c>
      <c r="U11" s="760"/>
      <c r="V11" s="760">
        <f t="shared" si="10"/>
        <v>0</v>
      </c>
      <c r="W11" s="760"/>
      <c r="X11" s="19">
        <f t="shared" si="11"/>
        <v>0</v>
      </c>
      <c r="Y11" s="20">
        <f t="shared" si="0"/>
        <v>0</v>
      </c>
    </row>
    <row r="12" spans="1:25" ht="29.25" customHeight="1" x14ac:dyDescent="0.25">
      <c r="A12" s="2235" t="s">
        <v>31</v>
      </c>
      <c r="B12" s="2235"/>
      <c r="C12" s="18">
        <f t="shared" ref="C12:X12" si="12">SUM(C6:C11)</f>
        <v>121117</v>
      </c>
      <c r="D12" s="18">
        <f t="shared" si="12"/>
        <v>117786.28250000002</v>
      </c>
      <c r="E12" s="18">
        <f t="shared" si="12"/>
        <v>0</v>
      </c>
      <c r="F12" s="18">
        <f t="shared" si="12"/>
        <v>0</v>
      </c>
      <c r="G12" s="18">
        <f t="shared" si="12"/>
        <v>0</v>
      </c>
      <c r="H12" s="18">
        <f t="shared" si="12"/>
        <v>0</v>
      </c>
      <c r="I12" s="18">
        <f t="shared" si="12"/>
        <v>4380</v>
      </c>
      <c r="J12" s="18">
        <f t="shared" si="12"/>
        <v>81030</v>
      </c>
      <c r="K12" s="18">
        <f t="shared" si="12"/>
        <v>0</v>
      </c>
      <c r="L12" s="18">
        <f t="shared" si="12"/>
        <v>0</v>
      </c>
      <c r="M12" s="18">
        <f t="shared" si="12"/>
        <v>0</v>
      </c>
      <c r="N12" s="23">
        <f t="shared" si="12"/>
        <v>0</v>
      </c>
      <c r="O12" s="18">
        <f t="shared" si="12"/>
        <v>950</v>
      </c>
      <c r="P12" s="23">
        <f t="shared" si="12"/>
        <v>8455</v>
      </c>
      <c r="Q12" s="23">
        <f t="shared" si="12"/>
        <v>0</v>
      </c>
      <c r="R12" s="23">
        <f>SUM(R6:R11)</f>
        <v>0</v>
      </c>
      <c r="S12" s="18">
        <f t="shared" si="12"/>
        <v>0</v>
      </c>
      <c r="T12" s="18">
        <f t="shared" si="12"/>
        <v>0</v>
      </c>
      <c r="U12" s="18">
        <f t="shared" si="12"/>
        <v>0</v>
      </c>
      <c r="V12" s="18">
        <f t="shared" si="12"/>
        <v>0</v>
      </c>
      <c r="W12" s="18">
        <f t="shared" si="12"/>
        <v>0</v>
      </c>
      <c r="X12" s="18">
        <f t="shared" si="12"/>
        <v>0</v>
      </c>
      <c r="Y12" s="20">
        <f t="shared" si="0"/>
        <v>207271.28250000003</v>
      </c>
    </row>
    <row r="14" spans="1:25" ht="41.25" customHeight="1" x14ac:dyDescent="0.25">
      <c r="A14" s="30" t="s">
        <v>32</v>
      </c>
      <c r="B14" s="2236" t="s">
        <v>27</v>
      </c>
      <c r="C14" s="2236"/>
      <c r="D14" s="30" t="s">
        <v>333</v>
      </c>
      <c r="E14" s="30" t="s">
        <v>65</v>
      </c>
      <c r="F14" s="30" t="s">
        <v>34</v>
      </c>
      <c r="G14" s="30" t="s">
        <v>14</v>
      </c>
      <c r="H14" s="469" t="s">
        <v>173</v>
      </c>
      <c r="I14" s="30" t="s">
        <v>17</v>
      </c>
      <c r="J14" s="765" t="s">
        <v>174</v>
      </c>
      <c r="K14" s="30" t="s">
        <v>36</v>
      </c>
      <c r="L14" s="30" t="s">
        <v>175</v>
      </c>
      <c r="M14" s="30" t="s">
        <v>69</v>
      </c>
      <c r="N14" s="30" t="s">
        <v>70</v>
      </c>
      <c r="O14" s="765" t="s">
        <v>114</v>
      </c>
      <c r="P14" s="765" t="s">
        <v>393</v>
      </c>
      <c r="Q14" s="2300" t="s">
        <v>378</v>
      </c>
      <c r="R14" s="2301"/>
      <c r="S14" s="765"/>
      <c r="T14" s="2235" t="s">
        <v>46</v>
      </c>
      <c r="U14" s="757" t="s">
        <v>176</v>
      </c>
      <c r="V14" s="2260">
        <v>392350</v>
      </c>
      <c r="W14" s="2268"/>
      <c r="X14" s="2261"/>
    </row>
    <row r="15" spans="1:25" ht="22.5" customHeight="1" x14ac:dyDescent="0.25">
      <c r="A15" s="100" t="s">
        <v>38</v>
      </c>
      <c r="B15" s="2260">
        <v>369931</v>
      </c>
      <c r="C15" s="2261"/>
      <c r="D15" s="762">
        <v>512</v>
      </c>
      <c r="E15" s="762">
        <v>470</v>
      </c>
      <c r="F15" s="762">
        <v>4480</v>
      </c>
      <c r="G15" s="762">
        <v>0</v>
      </c>
      <c r="H15" s="762">
        <v>138</v>
      </c>
      <c r="I15" s="762">
        <v>0</v>
      </c>
      <c r="J15" s="762">
        <v>26</v>
      </c>
      <c r="K15" s="762">
        <v>71</v>
      </c>
      <c r="L15" s="762">
        <v>29</v>
      </c>
      <c r="M15" s="762">
        <v>0</v>
      </c>
      <c r="N15" s="762">
        <v>100</v>
      </c>
      <c r="O15" s="762">
        <v>0</v>
      </c>
      <c r="P15" s="762">
        <v>950</v>
      </c>
      <c r="Q15" s="2260">
        <v>100</v>
      </c>
      <c r="R15" s="2261"/>
      <c r="S15" s="757"/>
      <c r="T15" s="2235"/>
      <c r="U15" s="757" t="s">
        <v>64</v>
      </c>
      <c r="V15" s="2262">
        <v>9480</v>
      </c>
      <c r="W15" s="2262"/>
      <c r="X15" s="2262"/>
    </row>
    <row r="16" spans="1:25" ht="24.75" customHeight="1" x14ac:dyDescent="0.25">
      <c r="A16" s="100" t="s">
        <v>39</v>
      </c>
      <c r="B16" s="2260"/>
      <c r="C16" s="2261"/>
      <c r="D16" s="762"/>
      <c r="E16" s="762"/>
      <c r="F16" s="762"/>
      <c r="G16" s="762"/>
      <c r="H16" s="762"/>
      <c r="I16" s="762"/>
      <c r="J16" s="762"/>
      <c r="K16" s="762"/>
      <c r="L16" s="762"/>
      <c r="M16" s="762"/>
      <c r="N16" s="762"/>
      <c r="O16" s="762"/>
      <c r="P16" s="762"/>
      <c r="Q16" s="2225"/>
      <c r="R16" s="2225"/>
      <c r="S16" s="762"/>
      <c r="T16" s="2254" t="s">
        <v>55</v>
      </c>
      <c r="U16" s="2254"/>
      <c r="V16" s="2267">
        <f>Y12</f>
        <v>207271.28250000003</v>
      </c>
      <c r="W16" s="2267"/>
      <c r="X16" s="2262"/>
    </row>
    <row r="17" spans="1:25" ht="28.5" customHeight="1" x14ac:dyDescent="0.25">
      <c r="A17" s="101" t="s">
        <v>44</v>
      </c>
      <c r="B17" s="2260">
        <v>282</v>
      </c>
      <c r="C17" s="2261"/>
      <c r="D17" s="762"/>
      <c r="E17" s="762"/>
      <c r="F17" s="762"/>
      <c r="G17" s="762"/>
      <c r="H17" s="762"/>
      <c r="I17" s="762"/>
      <c r="J17" s="762"/>
      <c r="K17" s="762"/>
      <c r="L17" s="762"/>
      <c r="M17" s="762"/>
      <c r="N17" s="762"/>
      <c r="O17" s="762"/>
      <c r="P17" s="762"/>
      <c r="Q17" s="2225"/>
      <c r="R17" s="2225"/>
      <c r="S17" s="759"/>
      <c r="T17" s="2294" t="s">
        <v>362</v>
      </c>
      <c r="U17" s="2295"/>
      <c r="V17" s="2296"/>
      <c r="W17" s="2296"/>
      <c r="X17" s="2296"/>
    </row>
    <row r="18" spans="1:25" ht="27" customHeight="1" x14ac:dyDescent="0.25">
      <c r="A18" s="100" t="s">
        <v>40</v>
      </c>
      <c r="B18" s="2264">
        <f>C12</f>
        <v>121117</v>
      </c>
      <c r="C18" s="2261"/>
      <c r="D18" s="763">
        <f>E12</f>
        <v>0</v>
      </c>
      <c r="E18" s="763">
        <f>G12</f>
        <v>0</v>
      </c>
      <c r="F18" s="763">
        <f>I12</f>
        <v>4380</v>
      </c>
      <c r="G18" s="763">
        <f>K12</f>
        <v>0</v>
      </c>
      <c r="H18" s="762"/>
      <c r="I18" s="763">
        <f>U12</f>
        <v>0</v>
      </c>
      <c r="J18" s="762"/>
      <c r="K18" s="763">
        <f>W12</f>
        <v>0</v>
      </c>
      <c r="L18" s="762"/>
      <c r="M18" s="763">
        <f>M12</f>
        <v>0</v>
      </c>
      <c r="N18" s="763"/>
      <c r="O18" s="764">
        <f>Q12</f>
        <v>0</v>
      </c>
      <c r="P18" s="763">
        <f>O12</f>
        <v>950</v>
      </c>
      <c r="Q18" s="2262"/>
      <c r="R18" s="2262"/>
      <c r="S18" s="757"/>
      <c r="T18" s="2254" t="s">
        <v>57</v>
      </c>
      <c r="U18" s="2254"/>
      <c r="V18" s="2262">
        <v>2470</v>
      </c>
      <c r="W18" s="2262"/>
      <c r="X18" s="2262"/>
      <c r="Y18" s="2269"/>
    </row>
    <row r="19" spans="1:25" ht="25.5" customHeight="1" x14ac:dyDescent="0.25">
      <c r="A19" s="100" t="s">
        <v>41</v>
      </c>
      <c r="B19" s="2260">
        <f>B15+B16+B17-B18</f>
        <v>249096</v>
      </c>
      <c r="C19" s="2261"/>
      <c r="D19" s="762">
        <f>D15+D16+D17-D18</f>
        <v>512</v>
      </c>
      <c r="E19" s="762">
        <f t="shared" ref="E19:N19" si="13">E15+E16+E17-E18</f>
        <v>470</v>
      </c>
      <c r="F19" s="762">
        <f t="shared" si="13"/>
        <v>100</v>
      </c>
      <c r="G19" s="762">
        <f t="shared" si="13"/>
        <v>0</v>
      </c>
      <c r="H19" s="762">
        <f t="shared" si="13"/>
        <v>138</v>
      </c>
      <c r="I19" s="762">
        <f t="shared" si="13"/>
        <v>0</v>
      </c>
      <c r="J19" s="762">
        <f t="shared" si="13"/>
        <v>26</v>
      </c>
      <c r="K19" s="762">
        <f t="shared" si="13"/>
        <v>71</v>
      </c>
      <c r="L19" s="762">
        <f t="shared" si="13"/>
        <v>29</v>
      </c>
      <c r="M19" s="762">
        <f t="shared" si="13"/>
        <v>0</v>
      </c>
      <c r="N19" s="762">
        <f t="shared" si="13"/>
        <v>100</v>
      </c>
      <c r="O19" s="762">
        <f>O15+O16+O17-O18</f>
        <v>0</v>
      </c>
      <c r="P19" s="762">
        <f>P15+P16+P17-P18</f>
        <v>0</v>
      </c>
      <c r="Q19" s="2260">
        <f t="shared" ref="Q19" si="14">Q15+Q16+Q17-Q18</f>
        <v>100</v>
      </c>
      <c r="R19" s="2261"/>
      <c r="S19" s="757">
        <f>S15+S16-S17-S18</f>
        <v>0</v>
      </c>
      <c r="T19" s="2256" t="s">
        <v>48</v>
      </c>
      <c r="U19" s="49" t="s">
        <v>58</v>
      </c>
      <c r="V19" s="2262">
        <v>570000</v>
      </c>
      <c r="W19" s="2262"/>
      <c r="X19" s="2262"/>
      <c r="Y19" s="2269"/>
    </row>
    <row r="20" spans="1:25" ht="23.25" customHeight="1" x14ac:dyDescent="0.25">
      <c r="A20" s="289" t="s">
        <v>187</v>
      </c>
      <c r="B20" s="2286">
        <f>B19*0.9625</f>
        <v>239754.9</v>
      </c>
      <c r="C20" s="2287"/>
      <c r="D20" s="290">
        <f>D19*66.41</f>
        <v>34001.919999999998</v>
      </c>
      <c r="E20" s="290">
        <f>28.2*E19</f>
        <v>13254</v>
      </c>
      <c r="F20" s="290">
        <f>18.31*F19</f>
        <v>1830.9999999999998</v>
      </c>
      <c r="G20" s="290">
        <f>27.9368*G19</f>
        <v>0</v>
      </c>
      <c r="H20" s="290">
        <f>241*H19</f>
        <v>33258</v>
      </c>
      <c r="I20" s="290">
        <f>323*I19</f>
        <v>0</v>
      </c>
      <c r="J20" s="290">
        <f>241*J19</f>
        <v>6266</v>
      </c>
      <c r="K20" s="290">
        <f>K19*100</f>
        <v>7100</v>
      </c>
      <c r="L20" s="290">
        <f>241*L19</f>
        <v>6989</v>
      </c>
      <c r="M20" s="290">
        <f>9.65*M19</f>
        <v>0</v>
      </c>
      <c r="N20" s="290">
        <f>N19*48.2</f>
        <v>4820</v>
      </c>
      <c r="O20" s="290">
        <f>241*O19</f>
        <v>0</v>
      </c>
      <c r="P20" s="290">
        <f>8.81*P19</f>
        <v>0</v>
      </c>
      <c r="Q20" s="2286">
        <f>341*Q19</f>
        <v>34100</v>
      </c>
      <c r="R20" s="2287"/>
      <c r="S20" s="290">
        <f>241*S19</f>
        <v>0</v>
      </c>
      <c r="T20" s="2257"/>
      <c r="U20" s="49" t="s">
        <v>59</v>
      </c>
      <c r="V20" s="2262"/>
      <c r="W20" s="2262"/>
      <c r="X20" s="2262"/>
      <c r="Y20" s="2269"/>
    </row>
    <row r="21" spans="1:25" ht="32.25" customHeight="1" x14ac:dyDescent="0.25">
      <c r="A21" s="291" t="s">
        <v>186</v>
      </c>
      <c r="B21" s="2293">
        <f>SUM(B20:S20)</f>
        <v>381374.82</v>
      </c>
      <c r="C21" s="2293"/>
      <c r="O21" s="766"/>
      <c r="P21" s="766"/>
      <c r="Q21" s="766"/>
      <c r="R21" s="766"/>
      <c r="T21" s="2294" t="s">
        <v>366</v>
      </c>
      <c r="U21" s="2295"/>
      <c r="V21" s="2297"/>
      <c r="W21" s="2298"/>
      <c r="X21" s="2299"/>
      <c r="Y21" s="2269"/>
    </row>
    <row r="22" spans="1:25" ht="35.25" customHeight="1" x14ac:dyDescent="0.25">
      <c r="A22" s="15"/>
      <c r="B22" s="2288" t="s">
        <v>49</v>
      </c>
      <c r="C22" s="2291">
        <v>674650</v>
      </c>
      <c r="D22" s="2291">
        <v>570000</v>
      </c>
      <c r="E22" s="2291"/>
      <c r="F22" s="2291">
        <f>C22-D22+E22</f>
        <v>104650</v>
      </c>
      <c r="G22" s="766"/>
      <c r="Q22" s="766"/>
      <c r="R22" s="766"/>
      <c r="T22" s="2251" t="s">
        <v>83</v>
      </c>
      <c r="U22" s="50" t="s">
        <v>60</v>
      </c>
      <c r="V22" s="2262">
        <v>569860</v>
      </c>
      <c r="W22" s="2262"/>
      <c r="X22" s="2262"/>
      <c r="Y22" s="2269"/>
    </row>
    <row r="23" spans="1:25" ht="39.75" customHeight="1" x14ac:dyDescent="0.25">
      <c r="A23" s="766"/>
      <c r="B23" s="2289"/>
      <c r="C23" s="2292"/>
      <c r="D23" s="2292"/>
      <c r="E23" s="2292"/>
      <c r="F23" s="2292"/>
      <c r="G23" s="766"/>
      <c r="Q23" s="766"/>
      <c r="R23" s="766"/>
      <c r="T23" s="2252"/>
      <c r="U23" s="50" t="s">
        <v>61</v>
      </c>
      <c r="V23" s="2262">
        <v>570000</v>
      </c>
      <c r="W23" s="2262"/>
      <c r="X23" s="2262"/>
      <c r="Y23" s="2269"/>
    </row>
    <row r="24" spans="1:25" ht="48" customHeight="1" x14ac:dyDescent="0.25">
      <c r="A24" s="766"/>
      <c r="B24" s="2290"/>
      <c r="C24" s="290" t="s">
        <v>46</v>
      </c>
      <c r="D24" s="290" t="s">
        <v>50</v>
      </c>
      <c r="E24" s="290" t="s">
        <v>51</v>
      </c>
      <c r="F24" s="290" t="s">
        <v>52</v>
      </c>
      <c r="G24" s="766"/>
      <c r="Q24" s="766"/>
      <c r="R24" s="766"/>
      <c r="T24" s="2235" t="s">
        <v>47</v>
      </c>
      <c r="U24" s="51" t="s">
        <v>62</v>
      </c>
      <c r="V24" s="2263">
        <f>V14+V16+V17-V18-V19-V20-V22+V23-V21</f>
        <v>27291.282499999972</v>
      </c>
      <c r="W24" s="2263"/>
      <c r="X24" s="2263"/>
      <c r="Y24" s="2269"/>
    </row>
    <row r="25" spans="1:25" ht="40.5" customHeight="1" x14ac:dyDescent="0.25">
      <c r="T25" s="2235"/>
      <c r="U25" s="51" t="s">
        <v>63</v>
      </c>
      <c r="V25" s="2262">
        <f>V15+V22-V23</f>
        <v>9340</v>
      </c>
      <c r="W25" s="2262"/>
      <c r="X25" s="2262"/>
    </row>
    <row r="26" spans="1:25" ht="36" customHeight="1" x14ac:dyDescent="0.25">
      <c r="K26" s="314"/>
    </row>
    <row r="28" spans="1:25" x14ac:dyDescent="0.25">
      <c r="J28" s="14" t="s">
        <v>139</v>
      </c>
    </row>
    <row r="32" spans="1:25" x14ac:dyDescent="0.25">
      <c r="I32" s="2280"/>
      <c r="J32" s="2280"/>
      <c r="K32" s="2280"/>
      <c r="L32" s="2280"/>
    </row>
    <row r="33" spans="9:12" x14ac:dyDescent="0.25">
      <c r="I33" s="766"/>
      <c r="J33" s="766"/>
      <c r="K33" s="2280"/>
      <c r="L33" s="2280"/>
    </row>
  </sheetData>
  <mergeCells count="62">
    <mergeCell ref="I32:J32"/>
    <mergeCell ref="K32:L32"/>
    <mergeCell ref="K33:L33"/>
    <mergeCell ref="T22:T23"/>
    <mergeCell ref="V22:X22"/>
    <mergeCell ref="V23:X23"/>
    <mergeCell ref="T24:T25"/>
    <mergeCell ref="V24:X24"/>
    <mergeCell ref="V25:X25"/>
    <mergeCell ref="Y18:Y24"/>
    <mergeCell ref="B19:C19"/>
    <mergeCell ref="Q19:R19"/>
    <mergeCell ref="T19:T20"/>
    <mergeCell ref="V19:X19"/>
    <mergeCell ref="B20:C20"/>
    <mergeCell ref="B22:B24"/>
    <mergeCell ref="C22:C23"/>
    <mergeCell ref="D22:D23"/>
    <mergeCell ref="E22:E23"/>
    <mergeCell ref="F22:F23"/>
    <mergeCell ref="Q20:R20"/>
    <mergeCell ref="V20:X20"/>
    <mergeCell ref="B21:C21"/>
    <mergeCell ref="T21:U21"/>
    <mergeCell ref="V21:X21"/>
    <mergeCell ref="B17:C17"/>
    <mergeCell ref="Q17:R17"/>
    <mergeCell ref="T17:U17"/>
    <mergeCell ref="V17:X17"/>
    <mergeCell ref="B18:C18"/>
    <mergeCell ref="Q18:R18"/>
    <mergeCell ref="T18:U18"/>
    <mergeCell ref="V18:X18"/>
    <mergeCell ref="W4:X4"/>
    <mergeCell ref="B16:C16"/>
    <mergeCell ref="Q16:R16"/>
    <mergeCell ref="T16:U16"/>
    <mergeCell ref="V16:X16"/>
    <mergeCell ref="A12:B12"/>
    <mergeCell ref="B14:C14"/>
    <mergeCell ref="Q14:R14"/>
    <mergeCell ref="T14:T15"/>
    <mergeCell ref="V14:X14"/>
    <mergeCell ref="B15:C15"/>
    <mergeCell ref="Q15:R15"/>
    <mergeCell ref="V15:X15"/>
    <mergeCell ref="A1:Y1"/>
    <mergeCell ref="A2:Y2"/>
    <mergeCell ref="T3:Y3"/>
    <mergeCell ref="A4:A5"/>
    <mergeCell ref="B4:B5"/>
    <mergeCell ref="C4:D4"/>
    <mergeCell ref="E4:F4"/>
    <mergeCell ref="G4:H4"/>
    <mergeCell ref="I4:J4"/>
    <mergeCell ref="K4:L4"/>
    <mergeCell ref="Y4:Y5"/>
    <mergeCell ref="M4:N4"/>
    <mergeCell ref="O4:P4"/>
    <mergeCell ref="Q4:R4"/>
    <mergeCell ref="S4:T4"/>
    <mergeCell ref="U4:V4"/>
  </mergeCells>
  <pageMargins left="0.15748031496063" right="0.15748031496063" top="0" bottom="0" header="0" footer="0"/>
  <pageSetup paperSize="9" scale="46" orientation="landscape" r:id="rId1"/>
</worksheet>
</file>

<file path=xl/worksheets/sheet17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82960D9-4701-4244-9B5B-18701D92FFF9}">
  <sheetPr>
    <pageSetUpPr fitToPage="1"/>
  </sheetPr>
  <dimension ref="A1:Y33"/>
  <sheetViews>
    <sheetView topLeftCell="A10" zoomScale="70" zoomScaleNormal="70" zoomScaleSheetLayoutView="100" workbookViewId="0">
      <selection activeCell="D24" sqref="D24"/>
    </sheetView>
  </sheetViews>
  <sheetFormatPr defaultColWidth="9.140625" defaultRowHeight="15" x14ac:dyDescent="0.25"/>
  <cols>
    <col min="1" max="1" width="18.28515625" style="14" customWidth="1"/>
    <col min="2" max="2" width="10.7109375" style="14" customWidth="1"/>
    <col min="3" max="3" width="12.28515625" style="14" customWidth="1"/>
    <col min="4" max="4" width="13.140625" style="14" bestFit="1" customWidth="1"/>
    <col min="5" max="5" width="12" style="14" customWidth="1"/>
    <col min="6" max="6" width="12.5703125" style="14" bestFit="1" customWidth="1"/>
    <col min="7" max="7" width="9.28515625" style="14" bestFit="1" customWidth="1"/>
    <col min="8" max="8" width="10.140625" style="14" bestFit="1" customWidth="1"/>
    <col min="9" max="9" width="10.5703125" style="14" bestFit="1" customWidth="1"/>
    <col min="10" max="10" width="10.5703125" style="14" customWidth="1"/>
    <col min="11" max="11" width="10.28515625" style="14" bestFit="1" customWidth="1"/>
    <col min="12" max="12" width="10.42578125" style="14" bestFit="1" customWidth="1"/>
    <col min="13" max="13" width="9.85546875" style="14" bestFit="1" customWidth="1"/>
    <col min="14" max="14" width="10.140625" style="14" bestFit="1" customWidth="1"/>
    <col min="15" max="15" width="9" style="14" customWidth="1"/>
    <col min="16" max="16" width="12.85546875" style="14" bestFit="1" customWidth="1"/>
    <col min="17" max="18" width="9.42578125" style="14" customWidth="1"/>
    <col min="19" max="19" width="13.7109375" style="14" customWidth="1"/>
    <col min="20" max="20" width="12.140625" style="14" customWidth="1"/>
    <col min="21" max="21" width="21.7109375" style="14" customWidth="1"/>
    <col min="22" max="22" width="9.85546875" style="14" customWidth="1"/>
    <col min="23" max="23" width="10.140625" style="14" bestFit="1" customWidth="1"/>
    <col min="24" max="24" width="10.28515625" style="14" customWidth="1"/>
    <col min="25" max="25" width="28" style="14" customWidth="1"/>
    <col min="26" max="16384" width="9.140625" style="14"/>
  </cols>
  <sheetData>
    <row r="1" spans="1:25" ht="46.15" customHeight="1" x14ac:dyDescent="0.25">
      <c r="A1" s="2240" t="s">
        <v>148</v>
      </c>
      <c r="B1" s="2240"/>
      <c r="C1" s="2240"/>
      <c r="D1" s="2240"/>
      <c r="E1" s="2240"/>
      <c r="F1" s="2240"/>
      <c r="G1" s="2240"/>
      <c r="H1" s="2240"/>
      <c r="I1" s="2240"/>
      <c r="J1" s="2240"/>
      <c r="K1" s="2240"/>
      <c r="L1" s="2240"/>
      <c r="M1" s="2240"/>
      <c r="N1" s="2240"/>
      <c r="O1" s="2240"/>
      <c r="P1" s="2240"/>
      <c r="Q1" s="2240"/>
      <c r="R1" s="2240"/>
      <c r="S1" s="2240"/>
      <c r="T1" s="2240"/>
      <c r="U1" s="2240"/>
      <c r="V1" s="2240"/>
      <c r="W1" s="2240"/>
      <c r="X1" s="2240"/>
      <c r="Y1" s="2240"/>
    </row>
    <row r="2" spans="1:25" ht="21.6" customHeight="1" x14ac:dyDescent="0.25">
      <c r="A2" s="2241" t="s">
        <v>383</v>
      </c>
      <c r="B2" s="2241"/>
      <c r="C2" s="2241"/>
      <c r="D2" s="2241"/>
      <c r="E2" s="2241"/>
      <c r="F2" s="2241"/>
      <c r="G2" s="2241"/>
      <c r="H2" s="2241"/>
      <c r="I2" s="2241"/>
      <c r="J2" s="2241"/>
      <c r="K2" s="2241"/>
      <c r="L2" s="2241"/>
      <c r="M2" s="2241"/>
      <c r="N2" s="2241"/>
      <c r="O2" s="2241"/>
      <c r="P2" s="2241"/>
      <c r="Q2" s="2241"/>
      <c r="R2" s="2241"/>
      <c r="S2" s="2241"/>
      <c r="T2" s="2241"/>
      <c r="U2" s="2241"/>
      <c r="V2" s="2241"/>
      <c r="W2" s="2241"/>
      <c r="X2" s="2241"/>
      <c r="Y2" s="2241"/>
    </row>
    <row r="3" spans="1:25" ht="21" customHeight="1" x14ac:dyDescent="0.25">
      <c r="A3" s="772"/>
      <c r="B3" s="772"/>
      <c r="C3" s="772"/>
      <c r="D3" s="772"/>
      <c r="E3" s="772"/>
      <c r="F3" s="772"/>
      <c r="G3" s="772"/>
      <c r="H3" s="772"/>
      <c r="I3" s="772"/>
      <c r="J3" s="772"/>
      <c r="K3" s="772"/>
      <c r="L3" s="772"/>
      <c r="M3" s="772"/>
      <c r="N3" s="772"/>
      <c r="O3" s="772"/>
      <c r="P3" s="772"/>
      <c r="Q3" s="772"/>
      <c r="R3" s="772"/>
      <c r="S3" s="772"/>
      <c r="T3" s="2242" t="s">
        <v>398</v>
      </c>
      <c r="U3" s="2242"/>
      <c r="V3" s="2242"/>
      <c r="W3" s="2242"/>
      <c r="X3" s="2242"/>
      <c r="Y3" s="2242"/>
    </row>
    <row r="4" spans="1:25" s="772" customFormat="1" ht="18" customHeight="1" x14ac:dyDescent="0.25">
      <c r="A4" s="2243" t="s">
        <v>25</v>
      </c>
      <c r="B4" s="2243" t="s">
        <v>26</v>
      </c>
      <c r="C4" s="2244" t="s">
        <v>27</v>
      </c>
      <c r="D4" s="2244"/>
      <c r="E4" s="2244" t="s">
        <v>342</v>
      </c>
      <c r="F4" s="2244"/>
      <c r="G4" s="2244" t="s">
        <v>65</v>
      </c>
      <c r="H4" s="2244"/>
      <c r="I4" s="2244" t="s">
        <v>29</v>
      </c>
      <c r="J4" s="2244"/>
      <c r="K4" s="2245" t="s">
        <v>14</v>
      </c>
      <c r="L4" s="2246"/>
      <c r="M4" s="2245" t="s">
        <v>67</v>
      </c>
      <c r="N4" s="2246"/>
      <c r="O4" s="2245" t="s">
        <v>395</v>
      </c>
      <c r="P4" s="2246"/>
      <c r="Q4" s="2245" t="s">
        <v>114</v>
      </c>
      <c r="R4" s="2246"/>
      <c r="S4" s="2244" t="s">
        <v>35</v>
      </c>
      <c r="T4" s="2244"/>
      <c r="U4" s="2245" t="s">
        <v>17</v>
      </c>
      <c r="V4" s="2246"/>
      <c r="W4" s="2247" t="s">
        <v>36</v>
      </c>
      <c r="X4" s="2248"/>
      <c r="Y4" s="2238" t="s">
        <v>30</v>
      </c>
    </row>
    <row r="5" spans="1:25" s="772" customFormat="1" ht="25.5" customHeight="1" x14ac:dyDescent="0.25">
      <c r="A5" s="2243"/>
      <c r="B5" s="2243"/>
      <c r="C5" s="771" t="s">
        <v>42</v>
      </c>
      <c r="D5" s="771" t="s">
        <v>43</v>
      </c>
      <c r="E5" s="771" t="s">
        <v>42</v>
      </c>
      <c r="F5" s="771" t="s">
        <v>43</v>
      </c>
      <c r="G5" s="771" t="s">
        <v>42</v>
      </c>
      <c r="H5" s="771" t="s">
        <v>43</v>
      </c>
      <c r="I5" s="771" t="s">
        <v>42</v>
      </c>
      <c r="J5" s="771" t="s">
        <v>43</v>
      </c>
      <c r="K5" s="771" t="s">
        <v>42</v>
      </c>
      <c r="L5" s="771" t="s">
        <v>43</v>
      </c>
      <c r="M5" s="771" t="s">
        <v>42</v>
      </c>
      <c r="N5" s="771" t="s">
        <v>43</v>
      </c>
      <c r="O5" s="771" t="s">
        <v>42</v>
      </c>
      <c r="P5" s="771" t="s">
        <v>43</v>
      </c>
      <c r="Q5" s="771" t="s">
        <v>42</v>
      </c>
      <c r="R5" s="771" t="s">
        <v>43</v>
      </c>
      <c r="S5" s="33" t="s">
        <v>42</v>
      </c>
      <c r="T5" s="33" t="s">
        <v>43</v>
      </c>
      <c r="U5" s="30" t="s">
        <v>42</v>
      </c>
      <c r="V5" s="30" t="s">
        <v>43</v>
      </c>
      <c r="W5" s="30" t="s">
        <v>42</v>
      </c>
      <c r="X5" s="30" t="s">
        <v>43</v>
      </c>
      <c r="Y5" s="2239"/>
    </row>
    <row r="6" spans="1:25" ht="34.5" customHeight="1" x14ac:dyDescent="0.25">
      <c r="A6" s="12">
        <v>1409935200</v>
      </c>
      <c r="B6" s="770" t="s">
        <v>71</v>
      </c>
      <c r="C6" s="768">
        <v>33373</v>
      </c>
      <c r="D6" s="767">
        <f>0.9725*C6</f>
        <v>32455.2425</v>
      </c>
      <c r="E6" s="768"/>
      <c r="F6" s="768">
        <f>67.1*E6</f>
        <v>0</v>
      </c>
      <c r="G6" s="768"/>
      <c r="H6" s="768">
        <f>28.2*G6</f>
        <v>0</v>
      </c>
      <c r="I6" s="768"/>
      <c r="J6" s="768">
        <f>18.5*I6</f>
        <v>0</v>
      </c>
      <c r="K6" s="768"/>
      <c r="L6" s="768">
        <f>28.2368*K6</f>
        <v>0</v>
      </c>
      <c r="M6" s="768"/>
      <c r="N6" s="767">
        <f>M6*9.75</f>
        <v>0</v>
      </c>
      <c r="O6" s="768"/>
      <c r="P6" s="767">
        <f>O6*8.9</f>
        <v>0</v>
      </c>
      <c r="Q6" s="767"/>
      <c r="R6" s="767">
        <f>241*Q6</f>
        <v>0</v>
      </c>
      <c r="S6" s="768"/>
      <c r="T6" s="768">
        <f>241*S6</f>
        <v>0</v>
      </c>
      <c r="U6" s="768"/>
      <c r="V6" s="768">
        <f>332*U6</f>
        <v>0</v>
      </c>
      <c r="W6" s="768"/>
      <c r="X6" s="19">
        <f>W6*100</f>
        <v>0</v>
      </c>
      <c r="Y6" s="20">
        <f t="shared" ref="Y6:Y12" si="0">D6+F6+H6+J6+L6+N6+P6+R6+T6+V6+X6</f>
        <v>32455.2425</v>
      </c>
    </row>
    <row r="7" spans="1:25" ht="31.5" customHeight="1" x14ac:dyDescent="0.25">
      <c r="A7" s="12">
        <v>1984225578</v>
      </c>
      <c r="B7" s="770" t="s">
        <v>72</v>
      </c>
      <c r="C7" s="768">
        <v>18492</v>
      </c>
      <c r="D7" s="767">
        <f t="shared" ref="D7:D11" si="1">0.9725*C7</f>
        <v>17983.47</v>
      </c>
      <c r="E7" s="768"/>
      <c r="F7" s="768">
        <f t="shared" ref="F7:F11" si="2">67.1*E7</f>
        <v>0</v>
      </c>
      <c r="G7" s="768"/>
      <c r="H7" s="768">
        <f t="shared" ref="H7:H11" si="3">28.2*G7</f>
        <v>0</v>
      </c>
      <c r="I7" s="768"/>
      <c r="J7" s="768">
        <f t="shared" ref="J7:J11" si="4">18.5*I7</f>
        <v>0</v>
      </c>
      <c r="K7" s="768"/>
      <c r="L7" s="768">
        <f t="shared" ref="L7:L11" si="5">28.2368*K7</f>
        <v>0</v>
      </c>
      <c r="M7" s="768"/>
      <c r="N7" s="767">
        <f t="shared" ref="N7:N11" si="6">M7*9.75</f>
        <v>0</v>
      </c>
      <c r="O7" s="768"/>
      <c r="P7" s="767">
        <f t="shared" ref="P7:P11" si="7">O7*8.9</f>
        <v>0</v>
      </c>
      <c r="Q7" s="767"/>
      <c r="R7" s="767">
        <f t="shared" ref="R7:R11" si="8">241*Q7</f>
        <v>0</v>
      </c>
      <c r="S7" s="768"/>
      <c r="T7" s="768">
        <f t="shared" ref="T7:T11" si="9">241*S7</f>
        <v>0</v>
      </c>
      <c r="U7" s="768"/>
      <c r="V7" s="768">
        <f t="shared" ref="V7:V11" si="10">332*U7</f>
        <v>0</v>
      </c>
      <c r="W7" s="768"/>
      <c r="X7" s="19">
        <f t="shared" ref="X7:X11" si="11">W7*100</f>
        <v>0</v>
      </c>
      <c r="Y7" s="20">
        <f t="shared" si="0"/>
        <v>17983.47</v>
      </c>
    </row>
    <row r="8" spans="1:25" ht="35.25" customHeight="1" x14ac:dyDescent="0.25">
      <c r="A8" s="12">
        <v>1967020280</v>
      </c>
      <c r="B8" s="770" t="s">
        <v>73</v>
      </c>
      <c r="C8" s="768">
        <v>72891</v>
      </c>
      <c r="D8" s="767">
        <f t="shared" si="1"/>
        <v>70886.497499999998</v>
      </c>
      <c r="E8" s="768"/>
      <c r="F8" s="768">
        <f t="shared" si="2"/>
        <v>0</v>
      </c>
      <c r="G8" s="768"/>
      <c r="H8" s="768">
        <f t="shared" si="3"/>
        <v>0</v>
      </c>
      <c r="I8" s="768"/>
      <c r="J8" s="768">
        <f t="shared" si="4"/>
        <v>0</v>
      </c>
      <c r="K8" s="768"/>
      <c r="L8" s="768">
        <f t="shared" si="5"/>
        <v>0</v>
      </c>
      <c r="M8" s="768"/>
      <c r="N8" s="767">
        <f t="shared" si="6"/>
        <v>0</v>
      </c>
      <c r="O8" s="768"/>
      <c r="P8" s="767">
        <f t="shared" si="7"/>
        <v>0</v>
      </c>
      <c r="Q8" s="767"/>
      <c r="R8" s="767">
        <f t="shared" si="8"/>
        <v>0</v>
      </c>
      <c r="S8" s="768"/>
      <c r="T8" s="768">
        <f t="shared" si="9"/>
        <v>0</v>
      </c>
      <c r="U8" s="768"/>
      <c r="V8" s="768">
        <f t="shared" si="10"/>
        <v>0</v>
      </c>
      <c r="W8" s="768"/>
      <c r="X8" s="19">
        <f t="shared" si="11"/>
        <v>0</v>
      </c>
      <c r="Y8" s="20">
        <f t="shared" si="0"/>
        <v>70886.497499999998</v>
      </c>
    </row>
    <row r="9" spans="1:25" ht="38.25" customHeight="1" x14ac:dyDescent="0.25">
      <c r="A9" s="12">
        <v>1984225580</v>
      </c>
      <c r="B9" s="770" t="s">
        <v>75</v>
      </c>
      <c r="C9" s="768">
        <v>32996</v>
      </c>
      <c r="D9" s="767">
        <f t="shared" si="1"/>
        <v>32088.61</v>
      </c>
      <c r="E9" s="768"/>
      <c r="F9" s="768">
        <f t="shared" si="2"/>
        <v>0</v>
      </c>
      <c r="G9" s="768"/>
      <c r="H9" s="768">
        <f t="shared" si="3"/>
        <v>0</v>
      </c>
      <c r="I9" s="768"/>
      <c r="J9" s="768">
        <f t="shared" si="4"/>
        <v>0</v>
      </c>
      <c r="K9" s="768"/>
      <c r="L9" s="768">
        <f t="shared" si="5"/>
        <v>0</v>
      </c>
      <c r="M9" s="768"/>
      <c r="N9" s="767">
        <f t="shared" si="6"/>
        <v>0</v>
      </c>
      <c r="O9" s="768"/>
      <c r="P9" s="767">
        <f t="shared" si="7"/>
        <v>0</v>
      </c>
      <c r="Q9" s="767"/>
      <c r="R9" s="767">
        <f t="shared" si="8"/>
        <v>0</v>
      </c>
      <c r="S9" s="768"/>
      <c r="T9" s="768">
        <f t="shared" si="9"/>
        <v>0</v>
      </c>
      <c r="U9" s="768"/>
      <c r="V9" s="768">
        <f t="shared" si="10"/>
        <v>0</v>
      </c>
      <c r="W9" s="768"/>
      <c r="X9" s="19">
        <f t="shared" si="11"/>
        <v>0</v>
      </c>
      <c r="Y9" s="20">
        <f t="shared" si="0"/>
        <v>32088.61</v>
      </c>
    </row>
    <row r="10" spans="1:25" ht="35.25" customHeight="1" x14ac:dyDescent="0.25">
      <c r="A10" s="12">
        <v>1409935199</v>
      </c>
      <c r="C10" s="768"/>
      <c r="D10" s="767">
        <f t="shared" si="1"/>
        <v>0</v>
      </c>
      <c r="E10" s="768"/>
      <c r="F10" s="768">
        <f t="shared" si="2"/>
        <v>0</v>
      </c>
      <c r="G10" s="768"/>
      <c r="H10" s="768">
        <f t="shared" si="3"/>
        <v>0</v>
      </c>
      <c r="I10" s="768"/>
      <c r="J10" s="768">
        <f t="shared" si="4"/>
        <v>0</v>
      </c>
      <c r="K10" s="768"/>
      <c r="L10" s="768">
        <f t="shared" si="5"/>
        <v>0</v>
      </c>
      <c r="M10" s="768"/>
      <c r="N10" s="767">
        <f t="shared" si="6"/>
        <v>0</v>
      </c>
      <c r="O10" s="768"/>
      <c r="P10" s="767">
        <f t="shared" si="7"/>
        <v>0</v>
      </c>
      <c r="Q10" s="767"/>
      <c r="R10" s="767">
        <f t="shared" si="8"/>
        <v>0</v>
      </c>
      <c r="S10" s="768"/>
      <c r="T10" s="768">
        <f t="shared" si="9"/>
        <v>0</v>
      </c>
      <c r="U10" s="768"/>
      <c r="V10" s="768">
        <f t="shared" si="10"/>
        <v>0</v>
      </c>
      <c r="W10" s="768"/>
      <c r="X10" s="19">
        <f t="shared" si="11"/>
        <v>0</v>
      </c>
      <c r="Y10" s="20">
        <f t="shared" si="0"/>
        <v>0</v>
      </c>
    </row>
    <row r="11" spans="1:25" ht="37.5" customHeight="1" x14ac:dyDescent="0.25">
      <c r="A11" s="12"/>
      <c r="B11" s="769"/>
      <c r="C11" s="768"/>
      <c r="D11" s="22">
        <f t="shared" si="1"/>
        <v>0</v>
      </c>
      <c r="E11" s="768"/>
      <c r="F11" s="768">
        <f t="shared" si="2"/>
        <v>0</v>
      </c>
      <c r="G11" s="768"/>
      <c r="H11" s="768">
        <f t="shared" si="3"/>
        <v>0</v>
      </c>
      <c r="I11" s="768"/>
      <c r="J11" s="768">
        <f t="shared" si="4"/>
        <v>0</v>
      </c>
      <c r="K11" s="768"/>
      <c r="L11" s="768">
        <f t="shared" si="5"/>
        <v>0</v>
      </c>
      <c r="M11" s="768"/>
      <c r="N11" s="767">
        <f t="shared" si="6"/>
        <v>0</v>
      </c>
      <c r="O11" s="768"/>
      <c r="P11" s="767">
        <f t="shared" si="7"/>
        <v>0</v>
      </c>
      <c r="Q11" s="767"/>
      <c r="R11" s="767">
        <f t="shared" si="8"/>
        <v>0</v>
      </c>
      <c r="S11" s="768"/>
      <c r="T11" s="768">
        <f t="shared" si="9"/>
        <v>0</v>
      </c>
      <c r="U11" s="768"/>
      <c r="V11" s="768">
        <f t="shared" si="10"/>
        <v>0</v>
      </c>
      <c r="W11" s="768"/>
      <c r="X11" s="19">
        <f t="shared" si="11"/>
        <v>0</v>
      </c>
      <c r="Y11" s="20">
        <f t="shared" si="0"/>
        <v>0</v>
      </c>
    </row>
    <row r="12" spans="1:25" ht="29.25" customHeight="1" x14ac:dyDescent="0.25">
      <c r="A12" s="2235" t="s">
        <v>31</v>
      </c>
      <c r="B12" s="2235"/>
      <c r="C12" s="18">
        <f t="shared" ref="C12:X12" si="12">SUM(C6:C11)</f>
        <v>157752</v>
      </c>
      <c r="D12" s="18">
        <f t="shared" si="12"/>
        <v>153413.82</v>
      </c>
      <c r="E12" s="18">
        <f t="shared" si="12"/>
        <v>0</v>
      </c>
      <c r="F12" s="18">
        <f t="shared" si="12"/>
        <v>0</v>
      </c>
      <c r="G12" s="18">
        <f t="shared" si="12"/>
        <v>0</v>
      </c>
      <c r="H12" s="18">
        <f t="shared" si="12"/>
        <v>0</v>
      </c>
      <c r="I12" s="18">
        <f t="shared" si="12"/>
        <v>0</v>
      </c>
      <c r="J12" s="18">
        <f t="shared" si="12"/>
        <v>0</v>
      </c>
      <c r="K12" s="18">
        <f t="shared" si="12"/>
        <v>0</v>
      </c>
      <c r="L12" s="18">
        <f t="shared" si="12"/>
        <v>0</v>
      </c>
      <c r="M12" s="18">
        <f t="shared" si="12"/>
        <v>0</v>
      </c>
      <c r="N12" s="23">
        <f t="shared" si="12"/>
        <v>0</v>
      </c>
      <c r="O12" s="18">
        <f t="shared" si="12"/>
        <v>0</v>
      </c>
      <c r="P12" s="23">
        <f t="shared" si="12"/>
        <v>0</v>
      </c>
      <c r="Q12" s="23">
        <f t="shared" si="12"/>
        <v>0</v>
      </c>
      <c r="R12" s="23">
        <f>SUM(R6:R11)</f>
        <v>0</v>
      </c>
      <c r="S12" s="18">
        <f t="shared" si="12"/>
        <v>0</v>
      </c>
      <c r="T12" s="18">
        <f t="shared" si="12"/>
        <v>0</v>
      </c>
      <c r="U12" s="18">
        <f t="shared" si="12"/>
        <v>0</v>
      </c>
      <c r="V12" s="18">
        <f t="shared" si="12"/>
        <v>0</v>
      </c>
      <c r="W12" s="18">
        <f t="shared" si="12"/>
        <v>0</v>
      </c>
      <c r="X12" s="18">
        <f t="shared" si="12"/>
        <v>0</v>
      </c>
      <c r="Y12" s="20">
        <f t="shared" si="0"/>
        <v>153413.82</v>
      </c>
    </row>
    <row r="14" spans="1:25" ht="41.25" customHeight="1" x14ac:dyDescent="0.25">
      <c r="A14" s="30" t="s">
        <v>32</v>
      </c>
      <c r="B14" s="2236" t="s">
        <v>27</v>
      </c>
      <c r="C14" s="2236"/>
      <c r="D14" s="30" t="s">
        <v>333</v>
      </c>
      <c r="E14" s="30" t="s">
        <v>65</v>
      </c>
      <c r="F14" s="30" t="s">
        <v>34</v>
      </c>
      <c r="G14" s="30" t="s">
        <v>14</v>
      </c>
      <c r="H14" s="469" t="s">
        <v>173</v>
      </c>
      <c r="I14" s="30" t="s">
        <v>17</v>
      </c>
      <c r="J14" s="776" t="s">
        <v>174</v>
      </c>
      <c r="K14" s="30" t="s">
        <v>36</v>
      </c>
      <c r="L14" s="30" t="s">
        <v>175</v>
      </c>
      <c r="M14" s="30" t="s">
        <v>69</v>
      </c>
      <c r="N14" s="30" t="s">
        <v>70</v>
      </c>
      <c r="O14" s="776" t="s">
        <v>114</v>
      </c>
      <c r="P14" s="776" t="s">
        <v>393</v>
      </c>
      <c r="Q14" s="2300" t="s">
        <v>378</v>
      </c>
      <c r="R14" s="2301"/>
      <c r="S14" s="776"/>
      <c r="T14" s="2235" t="s">
        <v>46</v>
      </c>
      <c r="U14" s="770" t="s">
        <v>176</v>
      </c>
      <c r="V14" s="2260">
        <v>27291</v>
      </c>
      <c r="W14" s="2268"/>
      <c r="X14" s="2261"/>
    </row>
    <row r="15" spans="1:25" ht="22.5" customHeight="1" x14ac:dyDescent="0.25">
      <c r="A15" s="100" t="s">
        <v>38</v>
      </c>
      <c r="B15" s="2260">
        <v>249096</v>
      </c>
      <c r="C15" s="2261"/>
      <c r="D15" s="773">
        <v>512</v>
      </c>
      <c r="E15" s="773">
        <v>470</v>
      </c>
      <c r="F15" s="773">
        <v>100</v>
      </c>
      <c r="G15" s="773">
        <v>0</v>
      </c>
      <c r="H15" s="773">
        <v>138</v>
      </c>
      <c r="I15" s="773">
        <v>0</v>
      </c>
      <c r="J15" s="773">
        <v>26</v>
      </c>
      <c r="K15" s="773">
        <v>71</v>
      </c>
      <c r="L15" s="773">
        <v>29</v>
      </c>
      <c r="M15" s="773">
        <v>0</v>
      </c>
      <c r="N15" s="773">
        <v>100</v>
      </c>
      <c r="O15" s="773">
        <v>0</v>
      </c>
      <c r="P15" s="773">
        <v>0</v>
      </c>
      <c r="Q15" s="2260">
        <v>100</v>
      </c>
      <c r="R15" s="2261"/>
      <c r="S15" s="770"/>
      <c r="T15" s="2235"/>
      <c r="U15" s="770" t="s">
        <v>64</v>
      </c>
      <c r="V15" s="2262">
        <v>9340</v>
      </c>
      <c r="W15" s="2262"/>
      <c r="X15" s="2262"/>
    </row>
    <row r="16" spans="1:25" ht="24.75" customHeight="1" x14ac:dyDescent="0.25">
      <c r="A16" s="100" t="s">
        <v>39</v>
      </c>
      <c r="B16" s="2260">
        <v>206190</v>
      </c>
      <c r="C16" s="2261"/>
      <c r="D16" s="773"/>
      <c r="E16" s="773"/>
      <c r="F16" s="773">
        <v>10000</v>
      </c>
      <c r="G16" s="773">
        <v>2500</v>
      </c>
      <c r="H16" s="773"/>
      <c r="I16" s="773"/>
      <c r="J16" s="773"/>
      <c r="K16" s="773"/>
      <c r="L16" s="773"/>
      <c r="M16" s="773"/>
      <c r="N16" s="773"/>
      <c r="O16" s="773"/>
      <c r="P16" s="773"/>
      <c r="Q16" s="2225"/>
      <c r="R16" s="2225"/>
      <c r="S16" s="773"/>
      <c r="T16" s="2254" t="s">
        <v>55</v>
      </c>
      <c r="U16" s="2254"/>
      <c r="V16" s="2267">
        <f>Y12</f>
        <v>153413.82</v>
      </c>
      <c r="W16" s="2267"/>
      <c r="X16" s="2262"/>
    </row>
    <row r="17" spans="1:25" ht="28.5" customHeight="1" x14ac:dyDescent="0.25">
      <c r="A17" s="101" t="s">
        <v>44</v>
      </c>
      <c r="B17" s="2260"/>
      <c r="C17" s="2261"/>
      <c r="D17" s="773"/>
      <c r="E17" s="773"/>
      <c r="F17" s="773"/>
      <c r="G17" s="773"/>
      <c r="H17" s="773"/>
      <c r="I17" s="773"/>
      <c r="J17" s="773"/>
      <c r="K17" s="773"/>
      <c r="L17" s="773"/>
      <c r="M17" s="773"/>
      <c r="N17" s="773"/>
      <c r="O17" s="773"/>
      <c r="P17" s="773"/>
      <c r="Q17" s="2225"/>
      <c r="R17" s="2225"/>
      <c r="S17" s="769"/>
      <c r="T17" s="2294" t="s">
        <v>362</v>
      </c>
      <c r="U17" s="2295"/>
      <c r="V17" s="2296"/>
      <c r="W17" s="2296"/>
      <c r="X17" s="2296"/>
    </row>
    <row r="18" spans="1:25" ht="27" customHeight="1" x14ac:dyDescent="0.25">
      <c r="A18" s="100" t="s">
        <v>40</v>
      </c>
      <c r="B18" s="2264">
        <f>C12</f>
        <v>157752</v>
      </c>
      <c r="C18" s="2261"/>
      <c r="D18" s="775">
        <f>E12</f>
        <v>0</v>
      </c>
      <c r="E18" s="775">
        <f>G12</f>
        <v>0</v>
      </c>
      <c r="F18" s="775">
        <f>I12</f>
        <v>0</v>
      </c>
      <c r="G18" s="775">
        <f>K12</f>
        <v>0</v>
      </c>
      <c r="H18" s="773"/>
      <c r="I18" s="775">
        <f>U12</f>
        <v>0</v>
      </c>
      <c r="J18" s="773"/>
      <c r="K18" s="775">
        <f>W12</f>
        <v>0</v>
      </c>
      <c r="L18" s="773"/>
      <c r="M18" s="775">
        <f>M12</f>
        <v>0</v>
      </c>
      <c r="N18" s="775"/>
      <c r="O18" s="774">
        <f>Q12</f>
        <v>0</v>
      </c>
      <c r="P18" s="775">
        <f>O12</f>
        <v>0</v>
      </c>
      <c r="Q18" s="2262"/>
      <c r="R18" s="2262"/>
      <c r="S18" s="770"/>
      <c r="T18" s="2254" t="s">
        <v>57</v>
      </c>
      <c r="U18" s="2254"/>
      <c r="V18" s="2262">
        <v>1415</v>
      </c>
      <c r="W18" s="2262"/>
      <c r="X18" s="2262"/>
      <c r="Y18" s="2269"/>
    </row>
    <row r="19" spans="1:25" ht="25.5" customHeight="1" x14ac:dyDescent="0.25">
      <c r="A19" s="100" t="s">
        <v>41</v>
      </c>
      <c r="B19" s="2260">
        <f>B15+B16+B17-B18</f>
        <v>297534</v>
      </c>
      <c r="C19" s="2261"/>
      <c r="D19" s="773">
        <f>D15+D16+D17-D18</f>
        <v>512</v>
      </c>
      <c r="E19" s="773">
        <f t="shared" ref="E19:N19" si="13">E15+E16+E17-E18</f>
        <v>470</v>
      </c>
      <c r="F19" s="773">
        <f t="shared" si="13"/>
        <v>10100</v>
      </c>
      <c r="G19" s="773">
        <f t="shared" si="13"/>
        <v>2500</v>
      </c>
      <c r="H19" s="773">
        <f t="shared" si="13"/>
        <v>138</v>
      </c>
      <c r="I19" s="773">
        <f t="shared" si="13"/>
        <v>0</v>
      </c>
      <c r="J19" s="773">
        <f t="shared" si="13"/>
        <v>26</v>
      </c>
      <c r="K19" s="773">
        <f t="shared" si="13"/>
        <v>71</v>
      </c>
      <c r="L19" s="773">
        <f t="shared" si="13"/>
        <v>29</v>
      </c>
      <c r="M19" s="773">
        <f t="shared" si="13"/>
        <v>0</v>
      </c>
      <c r="N19" s="773">
        <f t="shared" si="13"/>
        <v>100</v>
      </c>
      <c r="O19" s="773">
        <f>O15+O16+O17-O18</f>
        <v>0</v>
      </c>
      <c r="P19" s="773">
        <f>P15+P16+P17-P18</f>
        <v>0</v>
      </c>
      <c r="Q19" s="2260">
        <f t="shared" ref="Q19" si="14">Q15+Q16+Q17-Q18</f>
        <v>100</v>
      </c>
      <c r="R19" s="2261"/>
      <c r="S19" s="770">
        <f>S15+S16-S17-S18</f>
        <v>0</v>
      </c>
      <c r="T19" s="2256" t="s">
        <v>48</v>
      </c>
      <c r="U19" s="49" t="s">
        <v>58</v>
      </c>
      <c r="V19" s="2262">
        <v>104650</v>
      </c>
      <c r="W19" s="2262"/>
      <c r="X19" s="2262"/>
      <c r="Y19" s="2269"/>
    </row>
    <row r="20" spans="1:25" ht="23.25" customHeight="1" x14ac:dyDescent="0.25">
      <c r="A20" s="289" t="s">
        <v>187</v>
      </c>
      <c r="B20" s="2286">
        <f>B19*0.9625</f>
        <v>286376.47500000003</v>
      </c>
      <c r="C20" s="2287"/>
      <c r="D20" s="290">
        <f>D19*66.41</f>
        <v>34001.919999999998</v>
      </c>
      <c r="E20" s="290">
        <f>28.2*E19</f>
        <v>13254</v>
      </c>
      <c r="F20" s="290">
        <f>18.31*F19</f>
        <v>184931</v>
      </c>
      <c r="G20" s="290">
        <f>27.9368*G19</f>
        <v>69842</v>
      </c>
      <c r="H20" s="290">
        <f>241*H19</f>
        <v>33258</v>
      </c>
      <c r="I20" s="290">
        <f>323*I19</f>
        <v>0</v>
      </c>
      <c r="J20" s="290">
        <f>241*J19</f>
        <v>6266</v>
      </c>
      <c r="K20" s="290">
        <f>K19*100</f>
        <v>7100</v>
      </c>
      <c r="L20" s="290">
        <f>241*L19</f>
        <v>6989</v>
      </c>
      <c r="M20" s="290">
        <f>9.65*M19</f>
        <v>0</v>
      </c>
      <c r="N20" s="290">
        <f>N19*48.2</f>
        <v>4820</v>
      </c>
      <c r="O20" s="290">
        <f>241*O19</f>
        <v>0</v>
      </c>
      <c r="P20" s="290">
        <f>8.81*P19</f>
        <v>0</v>
      </c>
      <c r="Q20" s="2286">
        <f>341*Q19</f>
        <v>34100</v>
      </c>
      <c r="R20" s="2287"/>
      <c r="S20" s="290">
        <f>241*S19</f>
        <v>0</v>
      </c>
      <c r="T20" s="2257"/>
      <c r="U20" s="49" t="s">
        <v>59</v>
      </c>
      <c r="V20" s="2262">
        <v>51400</v>
      </c>
      <c r="W20" s="2262"/>
      <c r="X20" s="2262"/>
      <c r="Y20" s="2269"/>
    </row>
    <row r="21" spans="1:25" ht="32.25" customHeight="1" x14ac:dyDescent="0.25">
      <c r="A21" s="291" t="s">
        <v>186</v>
      </c>
      <c r="B21" s="2293">
        <f>SUM(B20:S20)</f>
        <v>680938.39500000002</v>
      </c>
      <c r="C21" s="2293"/>
      <c r="O21" s="777"/>
      <c r="P21" s="777"/>
      <c r="Q21" s="777"/>
      <c r="R21" s="777"/>
      <c r="T21" s="2294" t="s">
        <v>366</v>
      </c>
      <c r="U21" s="2295"/>
      <c r="V21" s="2297"/>
      <c r="W21" s="2298"/>
      <c r="X21" s="2299"/>
      <c r="Y21" s="2269"/>
    </row>
    <row r="22" spans="1:25" ht="35.25" customHeight="1" x14ac:dyDescent="0.25">
      <c r="A22" s="15"/>
      <c r="B22" s="2288" t="s">
        <v>49</v>
      </c>
      <c r="C22" s="2291">
        <v>104650</v>
      </c>
      <c r="D22" s="2291">
        <v>104650</v>
      </c>
      <c r="E22" s="2291">
        <v>400000</v>
      </c>
      <c r="F22" s="2291">
        <f>C22-D22+E22</f>
        <v>400000</v>
      </c>
      <c r="G22" s="777"/>
      <c r="Q22" s="777"/>
      <c r="R22" s="777"/>
      <c r="T22" s="2251" t="s">
        <v>83</v>
      </c>
      <c r="U22" s="50" t="s">
        <v>60</v>
      </c>
      <c r="V22" s="2262">
        <v>156100</v>
      </c>
      <c r="W22" s="2262"/>
      <c r="X22" s="2262"/>
      <c r="Y22" s="2269"/>
    </row>
    <row r="23" spans="1:25" ht="39.75" customHeight="1" x14ac:dyDescent="0.25">
      <c r="A23" s="777"/>
      <c r="B23" s="2289"/>
      <c r="C23" s="2292"/>
      <c r="D23" s="2292"/>
      <c r="E23" s="2292"/>
      <c r="F23" s="2292"/>
      <c r="G23" s="777"/>
      <c r="Q23" s="777"/>
      <c r="R23" s="777"/>
      <c r="T23" s="2252"/>
      <c r="U23" s="50" t="s">
        <v>61</v>
      </c>
      <c r="V23" s="2262">
        <v>156050</v>
      </c>
      <c r="W23" s="2262"/>
      <c r="X23" s="2262"/>
      <c r="Y23" s="2269"/>
    </row>
    <row r="24" spans="1:25" ht="48" customHeight="1" x14ac:dyDescent="0.25">
      <c r="A24" s="777"/>
      <c r="B24" s="2290"/>
      <c r="C24" s="290" t="s">
        <v>46</v>
      </c>
      <c r="D24" s="290" t="s">
        <v>50</v>
      </c>
      <c r="E24" s="290" t="s">
        <v>51</v>
      </c>
      <c r="F24" s="290" t="s">
        <v>52</v>
      </c>
      <c r="G24" s="777"/>
      <c r="Q24" s="777"/>
      <c r="R24" s="777"/>
      <c r="T24" s="2235" t="s">
        <v>47</v>
      </c>
      <c r="U24" s="51" t="s">
        <v>62</v>
      </c>
      <c r="V24" s="2263">
        <f>V14+V16+V17-V18-V19-V20-V22+V23-V21</f>
        <v>23189.820000000007</v>
      </c>
      <c r="W24" s="2263"/>
      <c r="X24" s="2263"/>
      <c r="Y24" s="2269"/>
    </row>
    <row r="25" spans="1:25" ht="40.5" customHeight="1" x14ac:dyDescent="0.25">
      <c r="T25" s="2235"/>
      <c r="U25" s="51" t="s">
        <v>63</v>
      </c>
      <c r="V25" s="2262">
        <f>V15+V22-V23</f>
        <v>9390</v>
      </c>
      <c r="W25" s="2262"/>
      <c r="X25" s="2262"/>
    </row>
    <row r="26" spans="1:25" ht="36" customHeight="1" x14ac:dyDescent="0.25">
      <c r="K26" s="314"/>
    </row>
    <row r="28" spans="1:25" x14ac:dyDescent="0.25">
      <c r="J28" s="14" t="s">
        <v>139</v>
      </c>
    </row>
    <row r="32" spans="1:25" x14ac:dyDescent="0.25">
      <c r="I32" s="2280"/>
      <c r="J32" s="2280"/>
      <c r="K32" s="2280"/>
      <c r="L32" s="2280"/>
    </row>
    <row r="33" spans="9:12" x14ac:dyDescent="0.25">
      <c r="I33" s="777"/>
      <c r="J33" s="777"/>
      <c r="K33" s="2280"/>
      <c r="L33" s="2280"/>
    </row>
  </sheetData>
  <mergeCells count="62">
    <mergeCell ref="A1:Y1"/>
    <mergeCell ref="A2:Y2"/>
    <mergeCell ref="T3:Y3"/>
    <mergeCell ref="A4:A5"/>
    <mergeCell ref="B4:B5"/>
    <mergeCell ref="C4:D4"/>
    <mergeCell ref="E4:F4"/>
    <mergeCell ref="G4:H4"/>
    <mergeCell ref="I4:J4"/>
    <mergeCell ref="K4:L4"/>
    <mergeCell ref="Y4:Y5"/>
    <mergeCell ref="M4:N4"/>
    <mergeCell ref="O4:P4"/>
    <mergeCell ref="Q4:R4"/>
    <mergeCell ref="S4:T4"/>
    <mergeCell ref="U4:V4"/>
    <mergeCell ref="W4:X4"/>
    <mergeCell ref="B16:C16"/>
    <mergeCell ref="Q16:R16"/>
    <mergeCell ref="T16:U16"/>
    <mergeCell ref="V16:X16"/>
    <mergeCell ref="A12:B12"/>
    <mergeCell ref="B14:C14"/>
    <mergeCell ref="Q14:R14"/>
    <mergeCell ref="T14:T15"/>
    <mergeCell ref="V14:X14"/>
    <mergeCell ref="B15:C15"/>
    <mergeCell ref="Q15:R15"/>
    <mergeCell ref="V15:X15"/>
    <mergeCell ref="B17:C17"/>
    <mergeCell ref="Q17:R17"/>
    <mergeCell ref="T17:U17"/>
    <mergeCell ref="V17:X17"/>
    <mergeCell ref="B18:C18"/>
    <mergeCell ref="Q18:R18"/>
    <mergeCell ref="T18:U18"/>
    <mergeCell ref="V18:X18"/>
    <mergeCell ref="Y18:Y24"/>
    <mergeCell ref="B19:C19"/>
    <mergeCell ref="Q19:R19"/>
    <mergeCell ref="T19:T20"/>
    <mergeCell ref="V19:X19"/>
    <mergeCell ref="B20:C20"/>
    <mergeCell ref="B22:B24"/>
    <mergeCell ref="C22:C23"/>
    <mergeCell ref="D22:D23"/>
    <mergeCell ref="E22:E23"/>
    <mergeCell ref="F22:F23"/>
    <mergeCell ref="Q20:R20"/>
    <mergeCell ref="V20:X20"/>
    <mergeCell ref="B21:C21"/>
    <mergeCell ref="T21:U21"/>
    <mergeCell ref="V21:X21"/>
    <mergeCell ref="I32:J32"/>
    <mergeCell ref="K32:L32"/>
    <mergeCell ref="K33:L33"/>
    <mergeCell ref="T22:T23"/>
    <mergeCell ref="V22:X22"/>
    <mergeCell ref="V23:X23"/>
    <mergeCell ref="T24:T25"/>
    <mergeCell ref="V24:X24"/>
    <mergeCell ref="V25:X25"/>
  </mergeCells>
  <pageMargins left="0.15748031496063" right="0.15748031496063" top="0" bottom="0" header="0" footer="0"/>
  <pageSetup paperSize="9" scale="46" orientation="landscape" r:id="rId1"/>
</worksheet>
</file>

<file path=xl/worksheets/sheet17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05379AE-DA50-4B30-A242-0A42604CBEB6}">
  <sheetPr>
    <pageSetUpPr fitToPage="1"/>
  </sheetPr>
  <dimension ref="A1:Y33"/>
  <sheetViews>
    <sheetView topLeftCell="A10" zoomScale="70" zoomScaleNormal="70" zoomScaleSheetLayoutView="100" workbookViewId="0">
      <selection activeCell="H26" sqref="H26"/>
    </sheetView>
  </sheetViews>
  <sheetFormatPr defaultColWidth="9.140625" defaultRowHeight="15" x14ac:dyDescent="0.25"/>
  <cols>
    <col min="1" max="1" width="18.28515625" style="14" customWidth="1"/>
    <col min="2" max="2" width="10.7109375" style="14" customWidth="1"/>
    <col min="3" max="3" width="12.28515625" style="14" customWidth="1"/>
    <col min="4" max="4" width="13.140625" style="14" bestFit="1" customWidth="1"/>
    <col min="5" max="5" width="12" style="14" customWidth="1"/>
    <col min="6" max="6" width="12.5703125" style="14" bestFit="1" customWidth="1"/>
    <col min="7" max="7" width="9.28515625" style="14" bestFit="1" customWidth="1"/>
    <col min="8" max="8" width="10.140625" style="14" bestFit="1" customWidth="1"/>
    <col min="9" max="9" width="10.5703125" style="14" bestFit="1" customWidth="1"/>
    <col min="10" max="10" width="10.5703125" style="14" customWidth="1"/>
    <col min="11" max="11" width="10.28515625" style="14" bestFit="1" customWidth="1"/>
    <col min="12" max="12" width="10.42578125" style="14" bestFit="1" customWidth="1"/>
    <col min="13" max="13" width="9.85546875" style="14" bestFit="1" customWidth="1"/>
    <col min="14" max="14" width="10.140625" style="14" bestFit="1" customWidth="1"/>
    <col min="15" max="15" width="9" style="14" customWidth="1"/>
    <col min="16" max="16" width="12.85546875" style="14" bestFit="1" customWidth="1"/>
    <col min="17" max="18" width="9.42578125" style="14" customWidth="1"/>
    <col min="19" max="19" width="13.7109375" style="14" customWidth="1"/>
    <col min="20" max="20" width="12.140625" style="14" customWidth="1"/>
    <col min="21" max="21" width="21.7109375" style="14" customWidth="1"/>
    <col min="22" max="22" width="9.85546875" style="14" customWidth="1"/>
    <col min="23" max="23" width="10.140625" style="14" bestFit="1" customWidth="1"/>
    <col min="24" max="24" width="10.28515625" style="14" customWidth="1"/>
    <col min="25" max="25" width="28" style="14" customWidth="1"/>
    <col min="26" max="16384" width="9.140625" style="14"/>
  </cols>
  <sheetData>
    <row r="1" spans="1:25" ht="46.15" customHeight="1" x14ac:dyDescent="0.25">
      <c r="A1" s="2240" t="s">
        <v>148</v>
      </c>
      <c r="B1" s="2240"/>
      <c r="C1" s="2240"/>
      <c r="D1" s="2240"/>
      <c r="E1" s="2240"/>
      <c r="F1" s="2240"/>
      <c r="G1" s="2240"/>
      <c r="H1" s="2240"/>
      <c r="I1" s="2240"/>
      <c r="J1" s="2240"/>
      <c r="K1" s="2240"/>
      <c r="L1" s="2240"/>
      <c r="M1" s="2240"/>
      <c r="N1" s="2240"/>
      <c r="O1" s="2240"/>
      <c r="P1" s="2240"/>
      <c r="Q1" s="2240"/>
      <c r="R1" s="2240"/>
      <c r="S1" s="2240"/>
      <c r="T1" s="2240"/>
      <c r="U1" s="2240"/>
      <c r="V1" s="2240"/>
      <c r="W1" s="2240"/>
      <c r="X1" s="2240"/>
      <c r="Y1" s="2240"/>
    </row>
    <row r="2" spans="1:25" ht="21.6" customHeight="1" x14ac:dyDescent="0.25">
      <c r="A2" s="2241" t="s">
        <v>383</v>
      </c>
      <c r="B2" s="2241"/>
      <c r="C2" s="2241"/>
      <c r="D2" s="2241"/>
      <c r="E2" s="2241"/>
      <c r="F2" s="2241"/>
      <c r="G2" s="2241"/>
      <c r="H2" s="2241"/>
      <c r="I2" s="2241"/>
      <c r="J2" s="2241"/>
      <c r="K2" s="2241"/>
      <c r="L2" s="2241"/>
      <c r="M2" s="2241"/>
      <c r="N2" s="2241"/>
      <c r="O2" s="2241"/>
      <c r="P2" s="2241"/>
      <c r="Q2" s="2241"/>
      <c r="R2" s="2241"/>
      <c r="S2" s="2241"/>
      <c r="T2" s="2241"/>
      <c r="U2" s="2241"/>
      <c r="V2" s="2241"/>
      <c r="W2" s="2241"/>
      <c r="X2" s="2241"/>
      <c r="Y2" s="2241"/>
    </row>
    <row r="3" spans="1:25" ht="21" customHeight="1" x14ac:dyDescent="0.25">
      <c r="A3" s="772"/>
      <c r="B3" s="772"/>
      <c r="C3" s="772"/>
      <c r="D3" s="772"/>
      <c r="E3" s="772"/>
      <c r="F3" s="772"/>
      <c r="G3" s="772"/>
      <c r="H3" s="772"/>
      <c r="I3" s="772"/>
      <c r="J3" s="772"/>
      <c r="K3" s="772"/>
      <c r="L3" s="772"/>
      <c r="M3" s="772"/>
      <c r="N3" s="772"/>
      <c r="O3" s="772"/>
      <c r="P3" s="772"/>
      <c r="Q3" s="772"/>
      <c r="R3" s="772"/>
      <c r="S3" s="772"/>
      <c r="T3" s="2242" t="s">
        <v>397</v>
      </c>
      <c r="U3" s="2242"/>
      <c r="V3" s="2242"/>
      <c r="W3" s="2242"/>
      <c r="X3" s="2242"/>
      <c r="Y3" s="2242"/>
    </row>
    <row r="4" spans="1:25" s="772" customFormat="1" ht="18" customHeight="1" x14ac:dyDescent="0.25">
      <c r="A4" s="2243" t="s">
        <v>25</v>
      </c>
      <c r="B4" s="2243" t="s">
        <v>26</v>
      </c>
      <c r="C4" s="2244" t="s">
        <v>27</v>
      </c>
      <c r="D4" s="2244"/>
      <c r="E4" s="2244" t="s">
        <v>342</v>
      </c>
      <c r="F4" s="2244"/>
      <c r="G4" s="2244" t="s">
        <v>65</v>
      </c>
      <c r="H4" s="2244"/>
      <c r="I4" s="2244" t="s">
        <v>29</v>
      </c>
      <c r="J4" s="2244"/>
      <c r="K4" s="2245" t="s">
        <v>14</v>
      </c>
      <c r="L4" s="2246"/>
      <c r="M4" s="2245" t="s">
        <v>67</v>
      </c>
      <c r="N4" s="2246"/>
      <c r="O4" s="2245" t="s">
        <v>395</v>
      </c>
      <c r="P4" s="2246"/>
      <c r="Q4" s="2245" t="s">
        <v>114</v>
      </c>
      <c r="R4" s="2246"/>
      <c r="S4" s="2244" t="s">
        <v>35</v>
      </c>
      <c r="T4" s="2244"/>
      <c r="U4" s="2245" t="s">
        <v>17</v>
      </c>
      <c r="V4" s="2246"/>
      <c r="W4" s="2247" t="s">
        <v>36</v>
      </c>
      <c r="X4" s="2248"/>
      <c r="Y4" s="2238" t="s">
        <v>30</v>
      </c>
    </row>
    <row r="5" spans="1:25" s="772" customFormat="1" ht="25.5" customHeight="1" x14ac:dyDescent="0.25">
      <c r="A5" s="2243"/>
      <c r="B5" s="2243"/>
      <c r="C5" s="771" t="s">
        <v>42</v>
      </c>
      <c r="D5" s="771" t="s">
        <v>43</v>
      </c>
      <c r="E5" s="771" t="s">
        <v>42</v>
      </c>
      <c r="F5" s="771" t="s">
        <v>43</v>
      </c>
      <c r="G5" s="771" t="s">
        <v>42</v>
      </c>
      <c r="H5" s="771" t="s">
        <v>43</v>
      </c>
      <c r="I5" s="771" t="s">
        <v>42</v>
      </c>
      <c r="J5" s="771" t="s">
        <v>43</v>
      </c>
      <c r="K5" s="771" t="s">
        <v>42</v>
      </c>
      <c r="L5" s="771" t="s">
        <v>43</v>
      </c>
      <c r="M5" s="771" t="s">
        <v>42</v>
      </c>
      <c r="N5" s="771" t="s">
        <v>43</v>
      </c>
      <c r="O5" s="771" t="s">
        <v>42</v>
      </c>
      <c r="P5" s="771" t="s">
        <v>43</v>
      </c>
      <c r="Q5" s="771" t="s">
        <v>42</v>
      </c>
      <c r="R5" s="771" t="s">
        <v>43</v>
      </c>
      <c r="S5" s="33" t="s">
        <v>42</v>
      </c>
      <c r="T5" s="33" t="s">
        <v>43</v>
      </c>
      <c r="U5" s="30" t="s">
        <v>42</v>
      </c>
      <c r="V5" s="30" t="s">
        <v>43</v>
      </c>
      <c r="W5" s="30" t="s">
        <v>42</v>
      </c>
      <c r="X5" s="30" t="s">
        <v>43</v>
      </c>
      <c r="Y5" s="2239"/>
    </row>
    <row r="6" spans="1:25" ht="34.5" customHeight="1" x14ac:dyDescent="0.25">
      <c r="A6" s="12">
        <v>1409935200</v>
      </c>
      <c r="B6" s="770" t="s">
        <v>71</v>
      </c>
      <c r="C6" s="768">
        <v>52725</v>
      </c>
      <c r="D6" s="767">
        <f>0.9725*C6</f>
        <v>51275.0625</v>
      </c>
      <c r="E6" s="768"/>
      <c r="F6" s="768">
        <f>67.1*E6</f>
        <v>0</v>
      </c>
      <c r="G6" s="768"/>
      <c r="H6" s="768">
        <f>28.2*G6</f>
        <v>0</v>
      </c>
      <c r="I6" s="768"/>
      <c r="J6" s="768">
        <f>18.5*I6</f>
        <v>0</v>
      </c>
      <c r="K6" s="768"/>
      <c r="L6" s="768">
        <f>28.2368*K6</f>
        <v>0</v>
      </c>
      <c r="M6" s="768"/>
      <c r="N6" s="767">
        <f>M6*9.75</f>
        <v>0</v>
      </c>
      <c r="O6" s="768"/>
      <c r="P6" s="767">
        <f>O6*8.9</f>
        <v>0</v>
      </c>
      <c r="Q6" s="767"/>
      <c r="R6" s="767">
        <f>241*Q6</f>
        <v>0</v>
      </c>
      <c r="S6" s="768"/>
      <c r="T6" s="768">
        <f>241*S6</f>
        <v>0</v>
      </c>
      <c r="U6" s="768"/>
      <c r="V6" s="768">
        <f>332*U6</f>
        <v>0</v>
      </c>
      <c r="W6" s="768"/>
      <c r="X6" s="19">
        <f>W6*100</f>
        <v>0</v>
      </c>
      <c r="Y6" s="20">
        <f t="shared" ref="Y6:Y12" si="0">D6+F6+H6+J6+L6+N6+P6+R6+T6+V6+X6</f>
        <v>51275.0625</v>
      </c>
    </row>
    <row r="7" spans="1:25" ht="31.5" customHeight="1" x14ac:dyDescent="0.25">
      <c r="A7" s="12">
        <v>1984225578</v>
      </c>
      <c r="B7" s="770" t="s">
        <v>72</v>
      </c>
      <c r="C7" s="768">
        <v>27229</v>
      </c>
      <c r="D7" s="767">
        <f t="shared" ref="D7:D11" si="1">0.9725*C7</f>
        <v>26480.202499999999</v>
      </c>
      <c r="E7" s="768"/>
      <c r="F7" s="768">
        <f t="shared" ref="F7:F11" si="2">67.1*E7</f>
        <v>0</v>
      </c>
      <c r="G7" s="768"/>
      <c r="H7" s="768">
        <f t="shared" ref="H7:H11" si="3">28.2*G7</f>
        <v>0</v>
      </c>
      <c r="I7" s="768"/>
      <c r="J7" s="768">
        <f t="shared" ref="J7:J11" si="4">18.5*I7</f>
        <v>0</v>
      </c>
      <c r="K7" s="768"/>
      <c r="L7" s="768">
        <f t="shared" ref="L7:L11" si="5">28.2368*K7</f>
        <v>0</v>
      </c>
      <c r="M7" s="768"/>
      <c r="N7" s="767">
        <f t="shared" ref="N7:N11" si="6">M7*9.75</f>
        <v>0</v>
      </c>
      <c r="O7" s="768"/>
      <c r="P7" s="767">
        <f t="shared" ref="P7:P11" si="7">O7*8.9</f>
        <v>0</v>
      </c>
      <c r="Q7" s="767"/>
      <c r="R7" s="767">
        <f t="shared" ref="R7:R11" si="8">241*Q7</f>
        <v>0</v>
      </c>
      <c r="S7" s="768"/>
      <c r="T7" s="768">
        <f t="shared" ref="T7:T11" si="9">241*S7</f>
        <v>0</v>
      </c>
      <c r="U7" s="768"/>
      <c r="V7" s="768">
        <f t="shared" ref="V7:V11" si="10">332*U7</f>
        <v>0</v>
      </c>
      <c r="W7" s="768"/>
      <c r="X7" s="19">
        <f t="shared" ref="X7:X11" si="11">W7*100</f>
        <v>0</v>
      </c>
      <c r="Y7" s="20">
        <f t="shared" si="0"/>
        <v>26480.202499999999</v>
      </c>
    </row>
    <row r="8" spans="1:25" ht="35.25" customHeight="1" x14ac:dyDescent="0.25">
      <c r="A8" s="12">
        <v>1967020280</v>
      </c>
      <c r="B8" s="770" t="s">
        <v>73</v>
      </c>
      <c r="C8" s="768">
        <v>64967</v>
      </c>
      <c r="D8" s="767">
        <f t="shared" si="1"/>
        <v>63180.407500000001</v>
      </c>
      <c r="E8" s="768"/>
      <c r="F8" s="768">
        <f t="shared" si="2"/>
        <v>0</v>
      </c>
      <c r="G8" s="768"/>
      <c r="H8" s="768">
        <f t="shared" si="3"/>
        <v>0</v>
      </c>
      <c r="I8" s="768"/>
      <c r="J8" s="768">
        <f t="shared" si="4"/>
        <v>0</v>
      </c>
      <c r="K8" s="768"/>
      <c r="L8" s="768">
        <f t="shared" si="5"/>
        <v>0</v>
      </c>
      <c r="M8" s="768"/>
      <c r="N8" s="767">
        <f t="shared" si="6"/>
        <v>0</v>
      </c>
      <c r="O8" s="768"/>
      <c r="P8" s="767">
        <f t="shared" si="7"/>
        <v>0</v>
      </c>
      <c r="Q8" s="767"/>
      <c r="R8" s="767">
        <f t="shared" si="8"/>
        <v>0</v>
      </c>
      <c r="S8" s="768"/>
      <c r="T8" s="768">
        <f t="shared" si="9"/>
        <v>0</v>
      </c>
      <c r="U8" s="768"/>
      <c r="V8" s="768">
        <f t="shared" si="10"/>
        <v>0</v>
      </c>
      <c r="W8" s="768"/>
      <c r="X8" s="19">
        <f t="shared" si="11"/>
        <v>0</v>
      </c>
      <c r="Y8" s="20">
        <f t="shared" si="0"/>
        <v>63180.407500000001</v>
      </c>
    </row>
    <row r="9" spans="1:25" ht="38.25" customHeight="1" x14ac:dyDescent="0.25">
      <c r="A9" s="12">
        <v>1984225580</v>
      </c>
      <c r="B9" s="770" t="s">
        <v>75</v>
      </c>
      <c r="C9" s="768">
        <v>32293</v>
      </c>
      <c r="D9" s="767">
        <f t="shared" si="1"/>
        <v>31404.942500000001</v>
      </c>
      <c r="E9" s="768"/>
      <c r="F9" s="768">
        <f t="shared" si="2"/>
        <v>0</v>
      </c>
      <c r="G9" s="768"/>
      <c r="H9" s="768">
        <f t="shared" si="3"/>
        <v>0</v>
      </c>
      <c r="I9" s="768"/>
      <c r="J9" s="768">
        <f t="shared" si="4"/>
        <v>0</v>
      </c>
      <c r="K9" s="768"/>
      <c r="L9" s="768">
        <f t="shared" si="5"/>
        <v>0</v>
      </c>
      <c r="M9" s="768"/>
      <c r="N9" s="767">
        <f t="shared" si="6"/>
        <v>0</v>
      </c>
      <c r="O9" s="768"/>
      <c r="P9" s="767">
        <f t="shared" si="7"/>
        <v>0</v>
      </c>
      <c r="Q9" s="767"/>
      <c r="R9" s="767">
        <f t="shared" si="8"/>
        <v>0</v>
      </c>
      <c r="S9" s="768"/>
      <c r="T9" s="768">
        <f t="shared" si="9"/>
        <v>0</v>
      </c>
      <c r="U9" s="768"/>
      <c r="V9" s="768">
        <f t="shared" si="10"/>
        <v>0</v>
      </c>
      <c r="W9" s="768"/>
      <c r="X9" s="19">
        <f t="shared" si="11"/>
        <v>0</v>
      </c>
      <c r="Y9" s="20">
        <f t="shared" si="0"/>
        <v>31404.942500000001</v>
      </c>
    </row>
    <row r="10" spans="1:25" ht="35.25" customHeight="1" x14ac:dyDescent="0.25">
      <c r="A10" s="12">
        <v>1409935199</v>
      </c>
      <c r="C10" s="768"/>
      <c r="D10" s="767">
        <f t="shared" si="1"/>
        <v>0</v>
      </c>
      <c r="E10" s="768"/>
      <c r="F10" s="768">
        <f t="shared" si="2"/>
        <v>0</v>
      </c>
      <c r="G10" s="768"/>
      <c r="H10" s="768">
        <f t="shared" si="3"/>
        <v>0</v>
      </c>
      <c r="I10" s="768"/>
      <c r="J10" s="768">
        <f t="shared" si="4"/>
        <v>0</v>
      </c>
      <c r="K10" s="768"/>
      <c r="L10" s="768">
        <f t="shared" si="5"/>
        <v>0</v>
      </c>
      <c r="M10" s="768"/>
      <c r="N10" s="767">
        <f t="shared" si="6"/>
        <v>0</v>
      </c>
      <c r="O10" s="768"/>
      <c r="P10" s="767">
        <f t="shared" si="7"/>
        <v>0</v>
      </c>
      <c r="Q10" s="767"/>
      <c r="R10" s="767">
        <f t="shared" si="8"/>
        <v>0</v>
      </c>
      <c r="S10" s="768"/>
      <c r="T10" s="768">
        <f t="shared" si="9"/>
        <v>0</v>
      </c>
      <c r="U10" s="768"/>
      <c r="V10" s="768">
        <f t="shared" si="10"/>
        <v>0</v>
      </c>
      <c r="W10" s="768"/>
      <c r="X10" s="19">
        <f t="shared" si="11"/>
        <v>0</v>
      </c>
      <c r="Y10" s="20">
        <f t="shared" si="0"/>
        <v>0</v>
      </c>
    </row>
    <row r="11" spans="1:25" ht="37.5" customHeight="1" x14ac:dyDescent="0.25">
      <c r="A11" s="12"/>
      <c r="B11" s="769"/>
      <c r="C11" s="768"/>
      <c r="D11" s="22">
        <f t="shared" si="1"/>
        <v>0</v>
      </c>
      <c r="E11" s="768"/>
      <c r="F11" s="768">
        <f t="shared" si="2"/>
        <v>0</v>
      </c>
      <c r="G11" s="768"/>
      <c r="H11" s="768">
        <f t="shared" si="3"/>
        <v>0</v>
      </c>
      <c r="I11" s="768"/>
      <c r="J11" s="768">
        <f t="shared" si="4"/>
        <v>0</v>
      </c>
      <c r="K11" s="768"/>
      <c r="L11" s="768">
        <f t="shared" si="5"/>
        <v>0</v>
      </c>
      <c r="M11" s="768"/>
      <c r="N11" s="767">
        <f t="shared" si="6"/>
        <v>0</v>
      </c>
      <c r="O11" s="768"/>
      <c r="P11" s="767">
        <f t="shared" si="7"/>
        <v>0</v>
      </c>
      <c r="Q11" s="767"/>
      <c r="R11" s="767">
        <f t="shared" si="8"/>
        <v>0</v>
      </c>
      <c r="S11" s="768"/>
      <c r="T11" s="768">
        <f t="shared" si="9"/>
        <v>0</v>
      </c>
      <c r="U11" s="768"/>
      <c r="V11" s="768">
        <f t="shared" si="10"/>
        <v>0</v>
      </c>
      <c r="W11" s="768"/>
      <c r="X11" s="19">
        <f t="shared" si="11"/>
        <v>0</v>
      </c>
      <c r="Y11" s="20">
        <f t="shared" si="0"/>
        <v>0</v>
      </c>
    </row>
    <row r="12" spans="1:25" ht="29.25" customHeight="1" x14ac:dyDescent="0.25">
      <c r="A12" s="2235" t="s">
        <v>31</v>
      </c>
      <c r="B12" s="2235"/>
      <c r="C12" s="18">
        <f t="shared" ref="C12:X12" si="12">SUM(C6:C11)</f>
        <v>177214</v>
      </c>
      <c r="D12" s="18">
        <f t="shared" si="12"/>
        <v>172340.61499999999</v>
      </c>
      <c r="E12" s="18">
        <f t="shared" si="12"/>
        <v>0</v>
      </c>
      <c r="F12" s="18">
        <f t="shared" si="12"/>
        <v>0</v>
      </c>
      <c r="G12" s="18">
        <f t="shared" si="12"/>
        <v>0</v>
      </c>
      <c r="H12" s="18">
        <f t="shared" si="12"/>
        <v>0</v>
      </c>
      <c r="I12" s="18">
        <f t="shared" si="12"/>
        <v>0</v>
      </c>
      <c r="J12" s="18">
        <f t="shared" si="12"/>
        <v>0</v>
      </c>
      <c r="K12" s="18">
        <f t="shared" si="12"/>
        <v>0</v>
      </c>
      <c r="L12" s="18">
        <f t="shared" si="12"/>
        <v>0</v>
      </c>
      <c r="M12" s="18">
        <f t="shared" si="12"/>
        <v>0</v>
      </c>
      <c r="N12" s="23">
        <f t="shared" si="12"/>
        <v>0</v>
      </c>
      <c r="O12" s="18">
        <f t="shared" si="12"/>
        <v>0</v>
      </c>
      <c r="P12" s="23">
        <f t="shared" si="12"/>
        <v>0</v>
      </c>
      <c r="Q12" s="23">
        <f t="shared" si="12"/>
        <v>0</v>
      </c>
      <c r="R12" s="23">
        <f>SUM(R6:R11)</f>
        <v>0</v>
      </c>
      <c r="S12" s="18">
        <f t="shared" si="12"/>
        <v>0</v>
      </c>
      <c r="T12" s="18">
        <f t="shared" si="12"/>
        <v>0</v>
      </c>
      <c r="U12" s="18">
        <f t="shared" si="12"/>
        <v>0</v>
      </c>
      <c r="V12" s="18">
        <f t="shared" si="12"/>
        <v>0</v>
      </c>
      <c r="W12" s="18">
        <f t="shared" si="12"/>
        <v>0</v>
      </c>
      <c r="X12" s="18">
        <f t="shared" si="12"/>
        <v>0</v>
      </c>
      <c r="Y12" s="20">
        <f t="shared" si="0"/>
        <v>172340.61499999999</v>
      </c>
    </row>
    <row r="14" spans="1:25" ht="41.25" customHeight="1" x14ac:dyDescent="0.25">
      <c r="A14" s="30" t="s">
        <v>32</v>
      </c>
      <c r="B14" s="2236" t="s">
        <v>27</v>
      </c>
      <c r="C14" s="2236"/>
      <c r="D14" s="30" t="s">
        <v>333</v>
      </c>
      <c r="E14" s="30" t="s">
        <v>65</v>
      </c>
      <c r="F14" s="30" t="s">
        <v>34</v>
      </c>
      <c r="G14" s="30" t="s">
        <v>14</v>
      </c>
      <c r="H14" s="469" t="s">
        <v>173</v>
      </c>
      <c r="I14" s="30" t="s">
        <v>17</v>
      </c>
      <c r="J14" s="776" t="s">
        <v>174</v>
      </c>
      <c r="K14" s="30" t="s">
        <v>36</v>
      </c>
      <c r="L14" s="30" t="s">
        <v>175</v>
      </c>
      <c r="M14" s="30" t="s">
        <v>69</v>
      </c>
      <c r="N14" s="30" t="s">
        <v>70</v>
      </c>
      <c r="O14" s="776" t="s">
        <v>114</v>
      </c>
      <c r="P14" s="776" t="s">
        <v>393</v>
      </c>
      <c r="Q14" s="2300" t="s">
        <v>378</v>
      </c>
      <c r="R14" s="2301"/>
      <c r="S14" s="776"/>
      <c r="T14" s="2235" t="s">
        <v>46</v>
      </c>
      <c r="U14" s="770" t="s">
        <v>176</v>
      </c>
      <c r="V14" s="2260">
        <v>23190</v>
      </c>
      <c r="W14" s="2268"/>
      <c r="X14" s="2261"/>
    </row>
    <row r="15" spans="1:25" ht="22.5" customHeight="1" x14ac:dyDescent="0.25">
      <c r="A15" s="100" t="s">
        <v>38</v>
      </c>
      <c r="B15" s="2260">
        <v>297534</v>
      </c>
      <c r="C15" s="2261"/>
      <c r="D15" s="773">
        <v>512</v>
      </c>
      <c r="E15" s="773">
        <v>470</v>
      </c>
      <c r="F15" s="773">
        <v>10100</v>
      </c>
      <c r="G15" s="773">
        <v>2500</v>
      </c>
      <c r="H15" s="773">
        <v>138</v>
      </c>
      <c r="I15" s="773">
        <v>0</v>
      </c>
      <c r="J15" s="773">
        <v>26</v>
      </c>
      <c r="K15" s="773">
        <v>71</v>
      </c>
      <c r="L15" s="773">
        <v>29</v>
      </c>
      <c r="M15" s="773">
        <v>0</v>
      </c>
      <c r="N15" s="773">
        <v>100</v>
      </c>
      <c r="O15" s="773">
        <v>0</v>
      </c>
      <c r="P15" s="773">
        <v>0</v>
      </c>
      <c r="Q15" s="2260">
        <v>100</v>
      </c>
      <c r="R15" s="2261"/>
      <c r="S15" s="770"/>
      <c r="T15" s="2235"/>
      <c r="U15" s="770" t="s">
        <v>64</v>
      </c>
      <c r="V15" s="2262">
        <v>9390</v>
      </c>
      <c r="W15" s="2262"/>
      <c r="X15" s="2262"/>
    </row>
    <row r="16" spans="1:25" ht="24.75" customHeight="1" x14ac:dyDescent="0.25">
      <c r="A16" s="100" t="s">
        <v>39</v>
      </c>
      <c r="B16" s="2260">
        <v>179740</v>
      </c>
      <c r="C16" s="2261"/>
      <c r="D16" s="773"/>
      <c r="E16" s="773"/>
      <c r="F16" s="773"/>
      <c r="G16" s="773"/>
      <c r="H16" s="773"/>
      <c r="I16" s="773"/>
      <c r="J16" s="773"/>
      <c r="K16" s="773"/>
      <c r="L16" s="773"/>
      <c r="M16" s="773"/>
      <c r="N16" s="773"/>
      <c r="O16" s="773"/>
      <c r="P16" s="773"/>
      <c r="Q16" s="2225"/>
      <c r="R16" s="2225"/>
      <c r="S16" s="773"/>
      <c r="T16" s="2254" t="s">
        <v>55</v>
      </c>
      <c r="U16" s="2254"/>
      <c r="V16" s="2267">
        <f>Y12</f>
        <v>172340.61499999999</v>
      </c>
      <c r="W16" s="2267"/>
      <c r="X16" s="2262"/>
    </row>
    <row r="17" spans="1:25" ht="28.5" customHeight="1" x14ac:dyDescent="0.25">
      <c r="A17" s="101" t="s">
        <v>44</v>
      </c>
      <c r="B17" s="2260"/>
      <c r="C17" s="2261"/>
      <c r="D17" s="773"/>
      <c r="E17" s="773"/>
      <c r="F17" s="773"/>
      <c r="G17" s="773"/>
      <c r="H17" s="773"/>
      <c r="I17" s="773"/>
      <c r="J17" s="773"/>
      <c r="K17" s="773"/>
      <c r="L17" s="773"/>
      <c r="M17" s="773"/>
      <c r="N17" s="773"/>
      <c r="O17" s="773"/>
      <c r="P17" s="773"/>
      <c r="Q17" s="2225"/>
      <c r="R17" s="2225"/>
      <c r="S17" s="769"/>
      <c r="T17" s="2294" t="s">
        <v>362</v>
      </c>
      <c r="U17" s="2295"/>
      <c r="V17" s="2296"/>
      <c r="W17" s="2296"/>
      <c r="X17" s="2296"/>
    </row>
    <row r="18" spans="1:25" ht="27" customHeight="1" x14ac:dyDescent="0.25">
      <c r="A18" s="100" t="s">
        <v>40</v>
      </c>
      <c r="B18" s="2264">
        <f>C12</f>
        <v>177214</v>
      </c>
      <c r="C18" s="2261"/>
      <c r="D18" s="775">
        <f>E12</f>
        <v>0</v>
      </c>
      <c r="E18" s="775">
        <f>G12</f>
        <v>0</v>
      </c>
      <c r="F18" s="775">
        <f>I12</f>
        <v>0</v>
      </c>
      <c r="G18" s="775">
        <f>K12</f>
        <v>0</v>
      </c>
      <c r="H18" s="773"/>
      <c r="I18" s="775">
        <f>U12</f>
        <v>0</v>
      </c>
      <c r="J18" s="773"/>
      <c r="K18" s="775">
        <f>W12</f>
        <v>0</v>
      </c>
      <c r="L18" s="773"/>
      <c r="M18" s="775">
        <f>M12</f>
        <v>0</v>
      </c>
      <c r="N18" s="775"/>
      <c r="O18" s="774">
        <f>Q12</f>
        <v>0</v>
      </c>
      <c r="P18" s="775">
        <f>O12</f>
        <v>0</v>
      </c>
      <c r="Q18" s="2262"/>
      <c r="R18" s="2262"/>
      <c r="S18" s="770"/>
      <c r="T18" s="2254" t="s">
        <v>57</v>
      </c>
      <c r="U18" s="2254"/>
      <c r="V18" s="2262">
        <v>720</v>
      </c>
      <c r="W18" s="2262"/>
      <c r="X18" s="2262"/>
      <c r="Y18" s="2269"/>
    </row>
    <row r="19" spans="1:25" ht="25.5" customHeight="1" x14ac:dyDescent="0.25">
      <c r="A19" s="100" t="s">
        <v>41</v>
      </c>
      <c r="B19" s="2260">
        <f>B15+B16+B17-B18</f>
        <v>300060</v>
      </c>
      <c r="C19" s="2261"/>
      <c r="D19" s="773">
        <f>D15+D16+D17-D18</f>
        <v>512</v>
      </c>
      <c r="E19" s="773">
        <f t="shared" ref="E19:N19" si="13">E15+E16+E17-E18</f>
        <v>470</v>
      </c>
      <c r="F19" s="773">
        <f t="shared" si="13"/>
        <v>10100</v>
      </c>
      <c r="G19" s="773">
        <f t="shared" si="13"/>
        <v>2500</v>
      </c>
      <c r="H19" s="773">
        <f t="shared" si="13"/>
        <v>138</v>
      </c>
      <c r="I19" s="773">
        <f t="shared" si="13"/>
        <v>0</v>
      </c>
      <c r="J19" s="773">
        <f t="shared" si="13"/>
        <v>26</v>
      </c>
      <c r="K19" s="773">
        <f t="shared" si="13"/>
        <v>71</v>
      </c>
      <c r="L19" s="773">
        <f t="shared" si="13"/>
        <v>29</v>
      </c>
      <c r="M19" s="773">
        <f t="shared" si="13"/>
        <v>0</v>
      </c>
      <c r="N19" s="773">
        <f t="shared" si="13"/>
        <v>100</v>
      </c>
      <c r="O19" s="773">
        <f>O15+O16+O17-O18</f>
        <v>0</v>
      </c>
      <c r="P19" s="773">
        <f>P15+P16+P17-P18</f>
        <v>0</v>
      </c>
      <c r="Q19" s="2260">
        <f t="shared" ref="Q19" si="14">Q15+Q16+Q17-Q18</f>
        <v>100</v>
      </c>
      <c r="R19" s="2261"/>
      <c r="S19" s="770">
        <f>S15+S16-S17-S18</f>
        <v>0</v>
      </c>
      <c r="T19" s="2256" t="s">
        <v>48</v>
      </c>
      <c r="U19" s="49" t="s">
        <v>58</v>
      </c>
      <c r="V19" s="2262">
        <v>173000</v>
      </c>
      <c r="W19" s="2262"/>
      <c r="X19" s="2262"/>
      <c r="Y19" s="2269"/>
    </row>
    <row r="20" spans="1:25" ht="23.25" customHeight="1" x14ac:dyDescent="0.25">
      <c r="A20" s="289" t="s">
        <v>187</v>
      </c>
      <c r="B20" s="2286">
        <f>B19*0.9625</f>
        <v>288807.75</v>
      </c>
      <c r="C20" s="2287"/>
      <c r="D20" s="290">
        <f>D19*66.41</f>
        <v>34001.919999999998</v>
      </c>
      <c r="E20" s="290">
        <f>28.2*E19</f>
        <v>13254</v>
      </c>
      <c r="F20" s="290">
        <f>18.31*F19</f>
        <v>184931</v>
      </c>
      <c r="G20" s="290">
        <f>27.9368*G19</f>
        <v>69842</v>
      </c>
      <c r="H20" s="290">
        <f>241*H19</f>
        <v>33258</v>
      </c>
      <c r="I20" s="290">
        <f>323*I19</f>
        <v>0</v>
      </c>
      <c r="J20" s="290">
        <f>241*J19</f>
        <v>6266</v>
      </c>
      <c r="K20" s="290">
        <f>K19*100</f>
        <v>7100</v>
      </c>
      <c r="L20" s="290">
        <f>241*L19</f>
        <v>6989</v>
      </c>
      <c r="M20" s="290">
        <f>9.65*M19</f>
        <v>0</v>
      </c>
      <c r="N20" s="290">
        <f>N19*48.2</f>
        <v>4820</v>
      </c>
      <c r="O20" s="290">
        <f>241*O19</f>
        <v>0</v>
      </c>
      <c r="P20" s="290">
        <f>8.81*P19</f>
        <v>0</v>
      </c>
      <c r="Q20" s="2286">
        <f>341*Q19</f>
        <v>34100</v>
      </c>
      <c r="R20" s="2287"/>
      <c r="S20" s="290">
        <f>241*S19</f>
        <v>0</v>
      </c>
      <c r="T20" s="2257"/>
      <c r="U20" s="49" t="s">
        <v>59</v>
      </c>
      <c r="V20" s="2262"/>
      <c r="W20" s="2262"/>
      <c r="X20" s="2262"/>
      <c r="Y20" s="2269"/>
    </row>
    <row r="21" spans="1:25" ht="32.25" customHeight="1" x14ac:dyDescent="0.25">
      <c r="A21" s="291" t="s">
        <v>186</v>
      </c>
      <c r="B21" s="2293">
        <f>SUM(B20:S20)</f>
        <v>683369.66999999993</v>
      </c>
      <c r="C21" s="2293"/>
      <c r="O21" s="777"/>
      <c r="P21" s="777"/>
      <c r="Q21" s="777"/>
      <c r="R21" s="777"/>
      <c r="T21" s="2294" t="s">
        <v>366</v>
      </c>
      <c r="U21" s="2295"/>
      <c r="V21" s="2297"/>
      <c r="W21" s="2298"/>
      <c r="X21" s="2299"/>
      <c r="Y21" s="2269"/>
    </row>
    <row r="22" spans="1:25" ht="35.25" customHeight="1" x14ac:dyDescent="0.25">
      <c r="A22" s="15"/>
      <c r="B22" s="2288" t="s">
        <v>49</v>
      </c>
      <c r="C22" s="2291">
        <v>400000</v>
      </c>
      <c r="D22" s="2291">
        <v>173000</v>
      </c>
      <c r="E22" s="2291">
        <v>173000</v>
      </c>
      <c r="F22" s="2291">
        <f>C22-D22+E22</f>
        <v>400000</v>
      </c>
      <c r="G22" s="777"/>
      <c r="Q22" s="777"/>
      <c r="R22" s="777"/>
      <c r="T22" s="2251" t="s">
        <v>83</v>
      </c>
      <c r="U22" s="50" t="s">
        <v>60</v>
      </c>
      <c r="V22" s="2262">
        <v>172470</v>
      </c>
      <c r="W22" s="2262"/>
      <c r="X22" s="2262"/>
      <c r="Y22" s="2269"/>
    </row>
    <row r="23" spans="1:25" ht="39.75" customHeight="1" x14ac:dyDescent="0.25">
      <c r="A23" s="777"/>
      <c r="B23" s="2289"/>
      <c r="C23" s="2292"/>
      <c r="D23" s="2292"/>
      <c r="E23" s="2292"/>
      <c r="F23" s="2292"/>
      <c r="G23" s="777"/>
      <c r="Q23" s="777"/>
      <c r="R23" s="777"/>
      <c r="T23" s="2252"/>
      <c r="U23" s="50" t="s">
        <v>61</v>
      </c>
      <c r="V23" s="2262">
        <v>173000</v>
      </c>
      <c r="W23" s="2262"/>
      <c r="X23" s="2262"/>
      <c r="Y23" s="2269"/>
    </row>
    <row r="24" spans="1:25" ht="48" customHeight="1" x14ac:dyDescent="0.25">
      <c r="A24" s="777"/>
      <c r="B24" s="2290"/>
      <c r="C24" s="290" t="s">
        <v>46</v>
      </c>
      <c r="D24" s="290" t="s">
        <v>50</v>
      </c>
      <c r="E24" s="290" t="s">
        <v>51</v>
      </c>
      <c r="F24" s="290" t="s">
        <v>52</v>
      </c>
      <c r="G24" s="777"/>
      <c r="Q24" s="777"/>
      <c r="R24" s="777"/>
      <c r="T24" s="2235" t="s">
        <v>47</v>
      </c>
      <c r="U24" s="51" t="s">
        <v>62</v>
      </c>
      <c r="V24" s="2263">
        <f>V14+V16+V17-V18-V19-V20-V22+V23-V21</f>
        <v>22340.614999999991</v>
      </c>
      <c r="W24" s="2263"/>
      <c r="X24" s="2263"/>
      <c r="Y24" s="2269"/>
    </row>
    <row r="25" spans="1:25" ht="40.5" customHeight="1" x14ac:dyDescent="0.25">
      <c r="T25" s="2235"/>
      <c r="U25" s="51" t="s">
        <v>63</v>
      </c>
      <c r="V25" s="2262">
        <f>V15+V22-V23</f>
        <v>8860</v>
      </c>
      <c r="W25" s="2262"/>
      <c r="X25" s="2262"/>
    </row>
    <row r="26" spans="1:25" ht="36" customHeight="1" x14ac:dyDescent="0.25">
      <c r="K26" s="314"/>
    </row>
    <row r="28" spans="1:25" x14ac:dyDescent="0.25">
      <c r="J28" s="14" t="s">
        <v>139</v>
      </c>
    </row>
    <row r="32" spans="1:25" x14ac:dyDescent="0.25">
      <c r="I32" s="2280"/>
      <c r="J32" s="2280"/>
      <c r="K32" s="2280"/>
      <c r="L32" s="2280"/>
    </row>
    <row r="33" spans="9:12" x14ac:dyDescent="0.25">
      <c r="I33" s="777"/>
      <c r="J33" s="777"/>
      <c r="K33" s="2280"/>
      <c r="L33" s="2280"/>
    </row>
  </sheetData>
  <mergeCells count="62">
    <mergeCell ref="A1:Y1"/>
    <mergeCell ref="A2:Y2"/>
    <mergeCell ref="T3:Y3"/>
    <mergeCell ref="A4:A5"/>
    <mergeCell ref="B4:B5"/>
    <mergeCell ref="C4:D4"/>
    <mergeCell ref="E4:F4"/>
    <mergeCell ref="G4:H4"/>
    <mergeCell ref="I4:J4"/>
    <mergeCell ref="K4:L4"/>
    <mergeCell ref="Y4:Y5"/>
    <mergeCell ref="M4:N4"/>
    <mergeCell ref="O4:P4"/>
    <mergeCell ref="Q4:R4"/>
    <mergeCell ref="S4:T4"/>
    <mergeCell ref="U4:V4"/>
    <mergeCell ref="W4:X4"/>
    <mergeCell ref="B16:C16"/>
    <mergeCell ref="Q16:R16"/>
    <mergeCell ref="T16:U16"/>
    <mergeCell ref="V16:X16"/>
    <mergeCell ref="A12:B12"/>
    <mergeCell ref="B14:C14"/>
    <mergeCell ref="Q14:R14"/>
    <mergeCell ref="T14:T15"/>
    <mergeCell ref="V14:X14"/>
    <mergeCell ref="B15:C15"/>
    <mergeCell ref="Q15:R15"/>
    <mergeCell ref="V15:X15"/>
    <mergeCell ref="B17:C17"/>
    <mergeCell ref="Q17:R17"/>
    <mergeCell ref="T17:U17"/>
    <mergeCell ref="V17:X17"/>
    <mergeCell ref="B18:C18"/>
    <mergeCell ref="Q18:R18"/>
    <mergeCell ref="T18:U18"/>
    <mergeCell ref="V18:X18"/>
    <mergeCell ref="Y18:Y24"/>
    <mergeCell ref="B19:C19"/>
    <mergeCell ref="Q19:R19"/>
    <mergeCell ref="T19:T20"/>
    <mergeCell ref="V19:X19"/>
    <mergeCell ref="B20:C20"/>
    <mergeCell ref="B22:B24"/>
    <mergeCell ref="C22:C23"/>
    <mergeCell ref="D22:D23"/>
    <mergeCell ref="E22:E23"/>
    <mergeCell ref="F22:F23"/>
    <mergeCell ref="Q20:R20"/>
    <mergeCell ref="V20:X20"/>
    <mergeCell ref="B21:C21"/>
    <mergeCell ref="T21:U21"/>
    <mergeCell ref="V21:X21"/>
    <mergeCell ref="I32:J32"/>
    <mergeCell ref="K32:L32"/>
    <mergeCell ref="K33:L33"/>
    <mergeCell ref="T22:T23"/>
    <mergeCell ref="V22:X22"/>
    <mergeCell ref="V23:X23"/>
    <mergeCell ref="T24:T25"/>
    <mergeCell ref="V24:X24"/>
    <mergeCell ref="V25:X25"/>
  </mergeCells>
  <pageMargins left="0.15748031496063" right="0.15748031496063" top="0" bottom="0" header="0" footer="0"/>
  <pageSetup paperSize="9" scale="46" orientation="landscape" r:id="rId1"/>
</worksheet>
</file>

<file path=xl/worksheets/sheet17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8B047A7-B1AB-4A22-82B8-025CC589761D}">
  <sheetPr>
    <pageSetUpPr fitToPage="1"/>
  </sheetPr>
  <dimension ref="A1:Y33"/>
  <sheetViews>
    <sheetView topLeftCell="A13" zoomScale="70" zoomScaleNormal="70" zoomScaleSheetLayoutView="100" workbookViewId="0">
      <selection activeCell="H24" sqref="H24"/>
    </sheetView>
  </sheetViews>
  <sheetFormatPr defaultColWidth="9.140625" defaultRowHeight="15" x14ac:dyDescent="0.25"/>
  <cols>
    <col min="1" max="1" width="18.28515625" style="14" customWidth="1"/>
    <col min="2" max="2" width="10.7109375" style="14" customWidth="1"/>
    <col min="3" max="3" width="12.28515625" style="14" customWidth="1"/>
    <col min="4" max="4" width="13.140625" style="14" bestFit="1" customWidth="1"/>
    <col min="5" max="5" width="12" style="14" customWidth="1"/>
    <col min="6" max="6" width="12.5703125" style="14" bestFit="1" customWidth="1"/>
    <col min="7" max="7" width="9.28515625" style="14" bestFit="1" customWidth="1"/>
    <col min="8" max="8" width="10.140625" style="14" bestFit="1" customWidth="1"/>
    <col min="9" max="9" width="10.5703125" style="14" bestFit="1" customWidth="1"/>
    <col min="10" max="10" width="10.5703125" style="14" customWidth="1"/>
    <col min="11" max="11" width="10.28515625" style="14" bestFit="1" customWidth="1"/>
    <col min="12" max="12" width="10.42578125" style="14" bestFit="1" customWidth="1"/>
    <col min="13" max="13" width="9.85546875" style="14" bestFit="1" customWidth="1"/>
    <col min="14" max="14" width="10.140625" style="14" bestFit="1" customWidth="1"/>
    <col min="15" max="15" width="9" style="14" customWidth="1"/>
    <col min="16" max="16" width="12.85546875" style="14" bestFit="1" customWidth="1"/>
    <col min="17" max="18" width="9.42578125" style="14" customWidth="1"/>
    <col min="19" max="19" width="13.7109375" style="14" customWidth="1"/>
    <col min="20" max="20" width="12.140625" style="14" customWidth="1"/>
    <col min="21" max="21" width="21.7109375" style="14" customWidth="1"/>
    <col min="22" max="22" width="9.85546875" style="14" customWidth="1"/>
    <col min="23" max="23" width="10.140625" style="14" bestFit="1" customWidth="1"/>
    <col min="24" max="24" width="10.28515625" style="14" customWidth="1"/>
    <col min="25" max="25" width="28" style="14" customWidth="1"/>
    <col min="26" max="16384" width="9.140625" style="14"/>
  </cols>
  <sheetData>
    <row r="1" spans="1:25" ht="46.15" customHeight="1" x14ac:dyDescent="0.25">
      <c r="A1" s="2240" t="s">
        <v>148</v>
      </c>
      <c r="B1" s="2240"/>
      <c r="C1" s="2240"/>
      <c r="D1" s="2240"/>
      <c r="E1" s="2240"/>
      <c r="F1" s="2240"/>
      <c r="G1" s="2240"/>
      <c r="H1" s="2240"/>
      <c r="I1" s="2240"/>
      <c r="J1" s="2240"/>
      <c r="K1" s="2240"/>
      <c r="L1" s="2240"/>
      <c r="M1" s="2240"/>
      <c r="N1" s="2240"/>
      <c r="O1" s="2240"/>
      <c r="P1" s="2240"/>
      <c r="Q1" s="2240"/>
      <c r="R1" s="2240"/>
      <c r="S1" s="2240"/>
      <c r="T1" s="2240"/>
      <c r="U1" s="2240"/>
      <c r="V1" s="2240"/>
      <c r="W1" s="2240"/>
      <c r="X1" s="2240"/>
      <c r="Y1" s="2240"/>
    </row>
    <row r="2" spans="1:25" ht="21.6" customHeight="1" x14ac:dyDescent="0.25">
      <c r="A2" s="2241" t="s">
        <v>383</v>
      </c>
      <c r="B2" s="2241"/>
      <c r="C2" s="2241"/>
      <c r="D2" s="2241"/>
      <c r="E2" s="2241"/>
      <c r="F2" s="2241"/>
      <c r="G2" s="2241"/>
      <c r="H2" s="2241"/>
      <c r="I2" s="2241"/>
      <c r="J2" s="2241"/>
      <c r="K2" s="2241"/>
      <c r="L2" s="2241"/>
      <c r="M2" s="2241"/>
      <c r="N2" s="2241"/>
      <c r="O2" s="2241"/>
      <c r="P2" s="2241"/>
      <c r="Q2" s="2241"/>
      <c r="R2" s="2241"/>
      <c r="S2" s="2241"/>
      <c r="T2" s="2241"/>
      <c r="U2" s="2241"/>
      <c r="V2" s="2241"/>
      <c r="W2" s="2241"/>
      <c r="X2" s="2241"/>
      <c r="Y2" s="2241"/>
    </row>
    <row r="3" spans="1:25" ht="21" customHeight="1" x14ac:dyDescent="0.25">
      <c r="A3" s="778"/>
      <c r="B3" s="778"/>
      <c r="C3" s="778"/>
      <c r="D3" s="778"/>
      <c r="E3" s="778"/>
      <c r="F3" s="778"/>
      <c r="G3" s="778"/>
      <c r="H3" s="778"/>
      <c r="I3" s="778"/>
      <c r="J3" s="778"/>
      <c r="K3" s="778"/>
      <c r="L3" s="778"/>
      <c r="M3" s="778"/>
      <c r="N3" s="778"/>
      <c r="O3" s="778"/>
      <c r="P3" s="778"/>
      <c r="Q3" s="778"/>
      <c r="R3" s="778"/>
      <c r="S3" s="778"/>
      <c r="T3" s="2242" t="s">
        <v>399</v>
      </c>
      <c r="U3" s="2242"/>
      <c r="V3" s="2242"/>
      <c r="W3" s="2242"/>
      <c r="X3" s="2242"/>
      <c r="Y3" s="2242"/>
    </row>
    <row r="4" spans="1:25" s="778" customFormat="1" ht="18" customHeight="1" x14ac:dyDescent="0.25">
      <c r="A4" s="2243" t="s">
        <v>25</v>
      </c>
      <c r="B4" s="2243" t="s">
        <v>26</v>
      </c>
      <c r="C4" s="2244" t="s">
        <v>27</v>
      </c>
      <c r="D4" s="2244"/>
      <c r="E4" s="2244" t="s">
        <v>342</v>
      </c>
      <c r="F4" s="2244"/>
      <c r="G4" s="2244" t="s">
        <v>65</v>
      </c>
      <c r="H4" s="2244"/>
      <c r="I4" s="2244" t="s">
        <v>29</v>
      </c>
      <c r="J4" s="2244"/>
      <c r="K4" s="2245" t="s">
        <v>14</v>
      </c>
      <c r="L4" s="2246"/>
      <c r="M4" s="2245" t="s">
        <v>67</v>
      </c>
      <c r="N4" s="2246"/>
      <c r="O4" s="2245" t="s">
        <v>395</v>
      </c>
      <c r="P4" s="2246"/>
      <c r="Q4" s="2245" t="s">
        <v>114</v>
      </c>
      <c r="R4" s="2246"/>
      <c r="S4" s="2244" t="s">
        <v>35</v>
      </c>
      <c r="T4" s="2244"/>
      <c r="U4" s="2245" t="s">
        <v>17</v>
      </c>
      <c r="V4" s="2246"/>
      <c r="W4" s="2247" t="s">
        <v>36</v>
      </c>
      <c r="X4" s="2248"/>
      <c r="Y4" s="2238" t="s">
        <v>30</v>
      </c>
    </row>
    <row r="5" spans="1:25" s="778" customFormat="1" ht="25.5" customHeight="1" x14ac:dyDescent="0.25">
      <c r="A5" s="2243"/>
      <c r="B5" s="2243"/>
      <c r="C5" s="780" t="s">
        <v>42</v>
      </c>
      <c r="D5" s="780" t="s">
        <v>43</v>
      </c>
      <c r="E5" s="780" t="s">
        <v>42</v>
      </c>
      <c r="F5" s="780" t="s">
        <v>43</v>
      </c>
      <c r="G5" s="780" t="s">
        <v>42</v>
      </c>
      <c r="H5" s="780" t="s">
        <v>43</v>
      </c>
      <c r="I5" s="780" t="s">
        <v>42</v>
      </c>
      <c r="J5" s="780" t="s">
        <v>43</v>
      </c>
      <c r="K5" s="780" t="s">
        <v>42</v>
      </c>
      <c r="L5" s="780" t="s">
        <v>43</v>
      </c>
      <c r="M5" s="780" t="s">
        <v>42</v>
      </c>
      <c r="N5" s="780" t="s">
        <v>43</v>
      </c>
      <c r="O5" s="780" t="s">
        <v>42</v>
      </c>
      <c r="P5" s="780" t="s">
        <v>43</v>
      </c>
      <c r="Q5" s="780" t="s">
        <v>42</v>
      </c>
      <c r="R5" s="780" t="s">
        <v>43</v>
      </c>
      <c r="S5" s="33" t="s">
        <v>42</v>
      </c>
      <c r="T5" s="33" t="s">
        <v>43</v>
      </c>
      <c r="U5" s="30" t="s">
        <v>42</v>
      </c>
      <c r="V5" s="30" t="s">
        <v>43</v>
      </c>
      <c r="W5" s="30" t="s">
        <v>42</v>
      </c>
      <c r="X5" s="30" t="s">
        <v>43</v>
      </c>
      <c r="Y5" s="2239"/>
    </row>
    <row r="6" spans="1:25" ht="34.5" customHeight="1" x14ac:dyDescent="0.25">
      <c r="A6" s="12">
        <v>1409935200</v>
      </c>
      <c r="B6" s="779" t="s">
        <v>71</v>
      </c>
      <c r="C6" s="782">
        <v>80699</v>
      </c>
      <c r="D6" s="783">
        <f>0.9725*C6</f>
        <v>78479.777499999997</v>
      </c>
      <c r="E6" s="782"/>
      <c r="F6" s="782">
        <f>67.1*E6</f>
        <v>0</v>
      </c>
      <c r="G6" s="782"/>
      <c r="H6" s="782">
        <f>28.2*G6</f>
        <v>0</v>
      </c>
      <c r="I6" s="782"/>
      <c r="J6" s="782">
        <f>18.5*I6</f>
        <v>0</v>
      </c>
      <c r="K6" s="782">
        <v>920</v>
      </c>
      <c r="L6" s="782">
        <f>28.2368*K6</f>
        <v>25977.856</v>
      </c>
      <c r="M6" s="782"/>
      <c r="N6" s="783">
        <f>M6*9.75</f>
        <v>0</v>
      </c>
      <c r="O6" s="782"/>
      <c r="P6" s="783">
        <f>O6*8.9</f>
        <v>0</v>
      </c>
      <c r="Q6" s="783"/>
      <c r="R6" s="783">
        <f>241*Q6</f>
        <v>0</v>
      </c>
      <c r="S6" s="782"/>
      <c r="T6" s="782">
        <f>241*S6</f>
        <v>0</v>
      </c>
      <c r="U6" s="782"/>
      <c r="V6" s="782">
        <f>332*U6</f>
        <v>0</v>
      </c>
      <c r="W6" s="782"/>
      <c r="X6" s="19">
        <f>W6*100</f>
        <v>0</v>
      </c>
      <c r="Y6" s="20">
        <f t="shared" ref="Y6:Y12" si="0">D6+F6+H6+J6+L6+N6+P6+R6+T6+V6+X6</f>
        <v>104457.6335</v>
      </c>
    </row>
    <row r="7" spans="1:25" ht="31.5" customHeight="1" x14ac:dyDescent="0.25">
      <c r="A7" s="12">
        <v>1984225578</v>
      </c>
      <c r="B7" s="779" t="s">
        <v>72</v>
      </c>
      <c r="C7" s="782">
        <v>162000</v>
      </c>
      <c r="D7" s="783">
        <f t="shared" ref="D7:D11" si="1">0.9725*C7</f>
        <v>157545</v>
      </c>
      <c r="E7" s="782"/>
      <c r="F7" s="782">
        <f t="shared" ref="F7:F11" si="2">67.1*E7</f>
        <v>0</v>
      </c>
      <c r="G7" s="782"/>
      <c r="H7" s="782">
        <f t="shared" ref="H7:H11" si="3">28.2*G7</f>
        <v>0</v>
      </c>
      <c r="I7" s="782">
        <v>2000</v>
      </c>
      <c r="J7" s="782">
        <f t="shared" ref="J7:J11" si="4">18.5*I7</f>
        <v>37000</v>
      </c>
      <c r="K7" s="782"/>
      <c r="L7" s="782">
        <f t="shared" ref="L7:L11" si="5">28.2368*K7</f>
        <v>0</v>
      </c>
      <c r="M7" s="782"/>
      <c r="N7" s="783">
        <f t="shared" ref="N7:N11" si="6">M7*9.75</f>
        <v>0</v>
      </c>
      <c r="O7" s="782"/>
      <c r="P7" s="783">
        <f t="shared" ref="P7:P11" si="7">O7*8.9</f>
        <v>0</v>
      </c>
      <c r="Q7" s="783"/>
      <c r="R7" s="783">
        <f t="shared" ref="R7:R11" si="8">241*Q7</f>
        <v>0</v>
      </c>
      <c r="S7" s="782"/>
      <c r="T7" s="782">
        <f t="shared" ref="T7:T11" si="9">241*S7</f>
        <v>0</v>
      </c>
      <c r="U7" s="782"/>
      <c r="V7" s="782">
        <f t="shared" ref="V7:V11" si="10">332*U7</f>
        <v>0</v>
      </c>
      <c r="W7" s="782"/>
      <c r="X7" s="19">
        <f t="shared" ref="X7:X11" si="11">W7*100</f>
        <v>0</v>
      </c>
      <c r="Y7" s="20">
        <f t="shared" si="0"/>
        <v>194545</v>
      </c>
    </row>
    <row r="8" spans="1:25" ht="35.25" customHeight="1" x14ac:dyDescent="0.25">
      <c r="A8" s="12">
        <v>1967020280</v>
      </c>
      <c r="B8" s="779" t="s">
        <v>73</v>
      </c>
      <c r="C8" s="782">
        <v>70417</v>
      </c>
      <c r="D8" s="783">
        <f t="shared" si="1"/>
        <v>68480.532500000001</v>
      </c>
      <c r="E8" s="782"/>
      <c r="F8" s="782">
        <f t="shared" si="2"/>
        <v>0</v>
      </c>
      <c r="G8" s="782"/>
      <c r="H8" s="782">
        <f t="shared" si="3"/>
        <v>0</v>
      </c>
      <c r="I8" s="782">
        <v>2010</v>
      </c>
      <c r="J8" s="782">
        <f t="shared" si="4"/>
        <v>37185</v>
      </c>
      <c r="K8" s="782">
        <v>350</v>
      </c>
      <c r="L8" s="782">
        <f t="shared" si="5"/>
        <v>9882.8799999999992</v>
      </c>
      <c r="M8" s="782"/>
      <c r="N8" s="783">
        <f t="shared" si="6"/>
        <v>0</v>
      </c>
      <c r="O8" s="782"/>
      <c r="P8" s="783">
        <f t="shared" si="7"/>
        <v>0</v>
      </c>
      <c r="Q8" s="783"/>
      <c r="R8" s="783">
        <f t="shared" si="8"/>
        <v>0</v>
      </c>
      <c r="S8" s="782"/>
      <c r="T8" s="782">
        <f t="shared" si="9"/>
        <v>0</v>
      </c>
      <c r="U8" s="782"/>
      <c r="V8" s="782">
        <f t="shared" si="10"/>
        <v>0</v>
      </c>
      <c r="W8" s="782"/>
      <c r="X8" s="19">
        <f t="shared" si="11"/>
        <v>0</v>
      </c>
      <c r="Y8" s="20">
        <f t="shared" si="0"/>
        <v>115548.41250000001</v>
      </c>
    </row>
    <row r="9" spans="1:25" ht="38.25" customHeight="1" x14ac:dyDescent="0.25">
      <c r="A9" s="12">
        <v>1984225580</v>
      </c>
      <c r="B9" s="779" t="s">
        <v>75</v>
      </c>
      <c r="C9" s="782">
        <v>80047</v>
      </c>
      <c r="D9" s="783">
        <f t="shared" si="1"/>
        <v>77845.707500000004</v>
      </c>
      <c r="E9" s="782"/>
      <c r="F9" s="782">
        <f t="shared" si="2"/>
        <v>0</v>
      </c>
      <c r="G9" s="782"/>
      <c r="H9" s="782">
        <f t="shared" si="3"/>
        <v>0</v>
      </c>
      <c r="I9" s="782">
        <v>3400</v>
      </c>
      <c r="J9" s="782">
        <f t="shared" si="4"/>
        <v>62900</v>
      </c>
      <c r="K9" s="782"/>
      <c r="L9" s="782">
        <f t="shared" si="5"/>
        <v>0</v>
      </c>
      <c r="M9" s="782"/>
      <c r="N9" s="783">
        <f t="shared" si="6"/>
        <v>0</v>
      </c>
      <c r="O9" s="782"/>
      <c r="P9" s="783">
        <f t="shared" si="7"/>
        <v>0</v>
      </c>
      <c r="Q9" s="783"/>
      <c r="R9" s="783">
        <f t="shared" si="8"/>
        <v>0</v>
      </c>
      <c r="S9" s="782"/>
      <c r="T9" s="782">
        <f t="shared" si="9"/>
        <v>0</v>
      </c>
      <c r="U9" s="782"/>
      <c r="V9" s="782">
        <f t="shared" si="10"/>
        <v>0</v>
      </c>
      <c r="W9" s="782"/>
      <c r="X9" s="19">
        <f t="shared" si="11"/>
        <v>0</v>
      </c>
      <c r="Y9" s="20">
        <f t="shared" si="0"/>
        <v>140745.70750000002</v>
      </c>
    </row>
    <row r="10" spans="1:25" ht="35.25" customHeight="1" x14ac:dyDescent="0.25">
      <c r="A10" s="12">
        <v>1409935199</v>
      </c>
      <c r="C10" s="782"/>
      <c r="D10" s="783">
        <f t="shared" si="1"/>
        <v>0</v>
      </c>
      <c r="E10" s="782"/>
      <c r="F10" s="782">
        <f t="shared" si="2"/>
        <v>0</v>
      </c>
      <c r="G10" s="782"/>
      <c r="H10" s="782">
        <f t="shared" si="3"/>
        <v>0</v>
      </c>
      <c r="I10" s="782"/>
      <c r="J10" s="782">
        <f t="shared" si="4"/>
        <v>0</v>
      </c>
      <c r="K10" s="782"/>
      <c r="L10" s="782">
        <f t="shared" si="5"/>
        <v>0</v>
      </c>
      <c r="M10" s="782"/>
      <c r="N10" s="783">
        <f t="shared" si="6"/>
        <v>0</v>
      </c>
      <c r="O10" s="782"/>
      <c r="P10" s="783">
        <f t="shared" si="7"/>
        <v>0</v>
      </c>
      <c r="Q10" s="783"/>
      <c r="R10" s="783">
        <f t="shared" si="8"/>
        <v>0</v>
      </c>
      <c r="S10" s="782"/>
      <c r="T10" s="782">
        <f t="shared" si="9"/>
        <v>0</v>
      </c>
      <c r="U10" s="782"/>
      <c r="V10" s="782">
        <f t="shared" si="10"/>
        <v>0</v>
      </c>
      <c r="W10" s="782"/>
      <c r="X10" s="19">
        <f t="shared" si="11"/>
        <v>0</v>
      </c>
      <c r="Y10" s="20">
        <f t="shared" si="0"/>
        <v>0</v>
      </c>
    </row>
    <row r="11" spans="1:25" ht="37.5" customHeight="1" x14ac:dyDescent="0.25">
      <c r="A11" s="12"/>
      <c r="B11" s="781"/>
      <c r="C11" s="782"/>
      <c r="D11" s="22">
        <f t="shared" si="1"/>
        <v>0</v>
      </c>
      <c r="E11" s="782"/>
      <c r="F11" s="782">
        <f t="shared" si="2"/>
        <v>0</v>
      </c>
      <c r="G11" s="782"/>
      <c r="H11" s="782">
        <f t="shared" si="3"/>
        <v>0</v>
      </c>
      <c r="I11" s="782">
        <v>2000</v>
      </c>
      <c r="J11" s="782">
        <f t="shared" si="4"/>
        <v>37000</v>
      </c>
      <c r="K11" s="782"/>
      <c r="L11" s="782">
        <f t="shared" si="5"/>
        <v>0</v>
      </c>
      <c r="M11" s="782"/>
      <c r="N11" s="783">
        <f t="shared" si="6"/>
        <v>0</v>
      </c>
      <c r="O11" s="782"/>
      <c r="P11" s="783">
        <f t="shared" si="7"/>
        <v>0</v>
      </c>
      <c r="Q11" s="783"/>
      <c r="R11" s="783">
        <f t="shared" si="8"/>
        <v>0</v>
      </c>
      <c r="S11" s="782"/>
      <c r="T11" s="782">
        <f t="shared" si="9"/>
        <v>0</v>
      </c>
      <c r="U11" s="782"/>
      <c r="V11" s="782">
        <f t="shared" si="10"/>
        <v>0</v>
      </c>
      <c r="W11" s="782"/>
      <c r="X11" s="19">
        <f t="shared" si="11"/>
        <v>0</v>
      </c>
      <c r="Y11" s="20">
        <f t="shared" si="0"/>
        <v>37000</v>
      </c>
    </row>
    <row r="12" spans="1:25" ht="29.25" customHeight="1" x14ac:dyDescent="0.25">
      <c r="A12" s="2235" t="s">
        <v>31</v>
      </c>
      <c r="B12" s="2235"/>
      <c r="C12" s="18">
        <f t="shared" ref="C12:X12" si="12">SUM(C6:C11)</f>
        <v>393163</v>
      </c>
      <c r="D12" s="18">
        <f t="shared" si="12"/>
        <v>382351.01750000002</v>
      </c>
      <c r="E12" s="18">
        <f t="shared" si="12"/>
        <v>0</v>
      </c>
      <c r="F12" s="18">
        <f t="shared" si="12"/>
        <v>0</v>
      </c>
      <c r="G12" s="18">
        <f t="shared" si="12"/>
        <v>0</v>
      </c>
      <c r="H12" s="18">
        <f t="shared" si="12"/>
        <v>0</v>
      </c>
      <c r="I12" s="18">
        <f t="shared" si="12"/>
        <v>9410</v>
      </c>
      <c r="J12" s="18">
        <f t="shared" si="12"/>
        <v>174085</v>
      </c>
      <c r="K12" s="18">
        <f t="shared" si="12"/>
        <v>1270</v>
      </c>
      <c r="L12" s="18">
        <f t="shared" si="12"/>
        <v>35860.735999999997</v>
      </c>
      <c r="M12" s="18">
        <f t="shared" si="12"/>
        <v>0</v>
      </c>
      <c r="N12" s="23">
        <f t="shared" si="12"/>
        <v>0</v>
      </c>
      <c r="O12" s="18">
        <f t="shared" si="12"/>
        <v>0</v>
      </c>
      <c r="P12" s="23">
        <f t="shared" si="12"/>
        <v>0</v>
      </c>
      <c r="Q12" s="23">
        <f t="shared" si="12"/>
        <v>0</v>
      </c>
      <c r="R12" s="23">
        <f>SUM(R6:R11)</f>
        <v>0</v>
      </c>
      <c r="S12" s="18">
        <f t="shared" si="12"/>
        <v>0</v>
      </c>
      <c r="T12" s="18">
        <f t="shared" si="12"/>
        <v>0</v>
      </c>
      <c r="U12" s="18">
        <f t="shared" si="12"/>
        <v>0</v>
      </c>
      <c r="V12" s="18">
        <f t="shared" si="12"/>
        <v>0</v>
      </c>
      <c r="W12" s="18">
        <f t="shared" si="12"/>
        <v>0</v>
      </c>
      <c r="X12" s="18">
        <f t="shared" si="12"/>
        <v>0</v>
      </c>
      <c r="Y12" s="20">
        <f t="shared" si="0"/>
        <v>592296.75350000011</v>
      </c>
    </row>
    <row r="14" spans="1:25" ht="41.25" customHeight="1" x14ac:dyDescent="0.25">
      <c r="A14" s="30" t="s">
        <v>32</v>
      </c>
      <c r="B14" s="2236" t="s">
        <v>27</v>
      </c>
      <c r="C14" s="2236"/>
      <c r="D14" s="30" t="s">
        <v>333</v>
      </c>
      <c r="E14" s="30" t="s">
        <v>65</v>
      </c>
      <c r="F14" s="30" t="s">
        <v>34</v>
      </c>
      <c r="G14" s="30" t="s">
        <v>14</v>
      </c>
      <c r="H14" s="469" t="s">
        <v>173</v>
      </c>
      <c r="I14" s="30" t="s">
        <v>17</v>
      </c>
      <c r="J14" s="787" t="s">
        <v>174</v>
      </c>
      <c r="K14" s="30" t="s">
        <v>36</v>
      </c>
      <c r="L14" s="30" t="s">
        <v>175</v>
      </c>
      <c r="M14" s="30" t="s">
        <v>69</v>
      </c>
      <c r="N14" s="30" t="s">
        <v>70</v>
      </c>
      <c r="O14" s="787" t="s">
        <v>114</v>
      </c>
      <c r="P14" s="787" t="s">
        <v>393</v>
      </c>
      <c r="Q14" s="2300" t="s">
        <v>378</v>
      </c>
      <c r="R14" s="2301"/>
      <c r="S14" s="787"/>
      <c r="T14" s="2235" t="s">
        <v>46</v>
      </c>
      <c r="U14" s="779" t="s">
        <v>176</v>
      </c>
      <c r="V14" s="2260">
        <v>22341</v>
      </c>
      <c r="W14" s="2268"/>
      <c r="X14" s="2261"/>
    </row>
    <row r="15" spans="1:25" ht="22.5" customHeight="1" x14ac:dyDescent="0.25">
      <c r="A15" s="100" t="s">
        <v>38</v>
      </c>
      <c r="B15" s="2260">
        <v>300060</v>
      </c>
      <c r="C15" s="2261"/>
      <c r="D15" s="784">
        <v>512</v>
      </c>
      <c r="E15" s="784">
        <v>470</v>
      </c>
      <c r="F15" s="784">
        <v>10100</v>
      </c>
      <c r="G15" s="784">
        <v>2500</v>
      </c>
      <c r="H15" s="784">
        <v>138</v>
      </c>
      <c r="I15" s="784">
        <v>0</v>
      </c>
      <c r="J15" s="784">
        <v>26</v>
      </c>
      <c r="K15" s="784">
        <v>71</v>
      </c>
      <c r="L15" s="784">
        <v>29</v>
      </c>
      <c r="M15" s="784">
        <v>0</v>
      </c>
      <c r="N15" s="784">
        <v>100</v>
      </c>
      <c r="O15" s="784">
        <v>0</v>
      </c>
      <c r="P15" s="784">
        <v>0</v>
      </c>
      <c r="Q15" s="2260">
        <v>100</v>
      </c>
      <c r="R15" s="2261"/>
      <c r="S15" s="779"/>
      <c r="T15" s="2235"/>
      <c r="U15" s="779" t="s">
        <v>64</v>
      </c>
      <c r="V15" s="2262">
        <v>8860</v>
      </c>
      <c r="W15" s="2262"/>
      <c r="X15" s="2262"/>
    </row>
    <row r="16" spans="1:25" ht="24.75" customHeight="1" x14ac:dyDescent="0.25">
      <c r="A16" s="100" t="s">
        <v>39</v>
      </c>
      <c r="B16" s="2260">
        <v>400936</v>
      </c>
      <c r="C16" s="2261"/>
      <c r="D16" s="784"/>
      <c r="E16" s="784"/>
      <c r="F16" s="784">
        <v>12000</v>
      </c>
      <c r="G16" s="784"/>
      <c r="H16" s="784"/>
      <c r="I16" s="784"/>
      <c r="J16" s="784"/>
      <c r="K16" s="784"/>
      <c r="L16" s="784"/>
      <c r="M16" s="784"/>
      <c r="N16" s="784"/>
      <c r="O16" s="784"/>
      <c r="P16" s="784"/>
      <c r="Q16" s="2225"/>
      <c r="R16" s="2225"/>
      <c r="S16" s="784"/>
      <c r="T16" s="2254" t="s">
        <v>55</v>
      </c>
      <c r="U16" s="2254"/>
      <c r="V16" s="2267">
        <f>Y12</f>
        <v>592296.75350000011</v>
      </c>
      <c r="W16" s="2267"/>
      <c r="X16" s="2262"/>
    </row>
    <row r="17" spans="1:25" ht="28.5" customHeight="1" x14ac:dyDescent="0.25">
      <c r="A17" s="101" t="s">
        <v>44</v>
      </c>
      <c r="B17" s="2260">
        <v>18587</v>
      </c>
      <c r="C17" s="2261"/>
      <c r="D17" s="784"/>
      <c r="E17" s="784"/>
      <c r="F17" s="784"/>
      <c r="G17" s="784"/>
      <c r="H17" s="784"/>
      <c r="I17" s="784"/>
      <c r="J17" s="784"/>
      <c r="K17" s="784"/>
      <c r="L17" s="784"/>
      <c r="M17" s="784"/>
      <c r="N17" s="784"/>
      <c r="O17" s="784"/>
      <c r="P17" s="784"/>
      <c r="Q17" s="2225"/>
      <c r="R17" s="2225"/>
      <c r="S17" s="781"/>
      <c r="T17" s="2294" t="s">
        <v>362</v>
      </c>
      <c r="U17" s="2295"/>
      <c r="V17" s="2296"/>
      <c r="W17" s="2296"/>
      <c r="X17" s="2296"/>
    </row>
    <row r="18" spans="1:25" ht="27" customHeight="1" x14ac:dyDescent="0.25">
      <c r="A18" s="100" t="s">
        <v>40</v>
      </c>
      <c r="B18" s="2264">
        <f>C12</f>
        <v>393163</v>
      </c>
      <c r="C18" s="2261"/>
      <c r="D18" s="785">
        <f>E12</f>
        <v>0</v>
      </c>
      <c r="E18" s="785">
        <f>G12</f>
        <v>0</v>
      </c>
      <c r="F18" s="785">
        <f>I12</f>
        <v>9410</v>
      </c>
      <c r="G18" s="785">
        <f>K12</f>
        <v>1270</v>
      </c>
      <c r="H18" s="784"/>
      <c r="I18" s="785">
        <f>U12</f>
        <v>0</v>
      </c>
      <c r="J18" s="784"/>
      <c r="K18" s="785">
        <f>W12</f>
        <v>0</v>
      </c>
      <c r="L18" s="784"/>
      <c r="M18" s="785">
        <f>M12</f>
        <v>0</v>
      </c>
      <c r="N18" s="785"/>
      <c r="O18" s="786">
        <f>Q12</f>
        <v>0</v>
      </c>
      <c r="P18" s="785">
        <f>O12</f>
        <v>0</v>
      </c>
      <c r="Q18" s="2262"/>
      <c r="R18" s="2262"/>
      <c r="S18" s="779"/>
      <c r="T18" s="2254" t="s">
        <v>57</v>
      </c>
      <c r="U18" s="2254"/>
      <c r="V18" s="2262">
        <v>6920</v>
      </c>
      <c r="W18" s="2262"/>
      <c r="X18" s="2262"/>
      <c r="Y18" s="2269"/>
    </row>
    <row r="19" spans="1:25" ht="25.5" customHeight="1" x14ac:dyDescent="0.25">
      <c r="A19" s="100" t="s">
        <v>41</v>
      </c>
      <c r="B19" s="2260">
        <f>B15+B16+B17-B18</f>
        <v>326420</v>
      </c>
      <c r="C19" s="2261"/>
      <c r="D19" s="784">
        <f>D15+D16+D17-D18</f>
        <v>512</v>
      </c>
      <c r="E19" s="784">
        <f t="shared" ref="E19:N19" si="13">E15+E16+E17-E18</f>
        <v>470</v>
      </c>
      <c r="F19" s="784">
        <f t="shared" si="13"/>
        <v>12690</v>
      </c>
      <c r="G19" s="784">
        <f t="shared" si="13"/>
        <v>1230</v>
      </c>
      <c r="H19" s="784">
        <f t="shared" si="13"/>
        <v>138</v>
      </c>
      <c r="I19" s="784">
        <f t="shared" si="13"/>
        <v>0</v>
      </c>
      <c r="J19" s="784">
        <f t="shared" si="13"/>
        <v>26</v>
      </c>
      <c r="K19" s="784">
        <f t="shared" si="13"/>
        <v>71</v>
      </c>
      <c r="L19" s="784">
        <f t="shared" si="13"/>
        <v>29</v>
      </c>
      <c r="M19" s="784">
        <f t="shared" si="13"/>
        <v>0</v>
      </c>
      <c r="N19" s="784">
        <f t="shared" si="13"/>
        <v>100</v>
      </c>
      <c r="O19" s="784">
        <f>O15+O16+O17-O18</f>
        <v>0</v>
      </c>
      <c r="P19" s="784">
        <f>P15+P16+P17-P18</f>
        <v>0</v>
      </c>
      <c r="Q19" s="2260">
        <f t="shared" ref="Q19" si="14">Q15+Q16+Q17-Q18</f>
        <v>100</v>
      </c>
      <c r="R19" s="2261"/>
      <c r="S19" s="779">
        <f>S15+S16-S17-S18</f>
        <v>0</v>
      </c>
      <c r="T19" s="2256" t="s">
        <v>48</v>
      </c>
      <c r="U19" s="49" t="s">
        <v>58</v>
      </c>
      <c r="V19" s="2262">
        <v>400000</v>
      </c>
      <c r="W19" s="2262"/>
      <c r="X19" s="2262"/>
      <c r="Y19" s="2269"/>
    </row>
    <row r="20" spans="1:25" ht="23.25" customHeight="1" x14ac:dyDescent="0.25">
      <c r="A20" s="289" t="s">
        <v>187</v>
      </c>
      <c r="B20" s="2286">
        <f>B19*0.9625</f>
        <v>314179.25</v>
      </c>
      <c r="C20" s="2287"/>
      <c r="D20" s="290">
        <f>D19*66.41</f>
        <v>34001.919999999998</v>
      </c>
      <c r="E20" s="290">
        <f>28.2*E19</f>
        <v>13254</v>
      </c>
      <c r="F20" s="290">
        <f>18.31*F19</f>
        <v>232353.9</v>
      </c>
      <c r="G20" s="290">
        <f>27.9368*G19</f>
        <v>34362.264000000003</v>
      </c>
      <c r="H20" s="290">
        <f>241*H19</f>
        <v>33258</v>
      </c>
      <c r="I20" s="290">
        <f>323*I19</f>
        <v>0</v>
      </c>
      <c r="J20" s="290">
        <f>241*J19</f>
        <v>6266</v>
      </c>
      <c r="K20" s="290">
        <f>K19*100</f>
        <v>7100</v>
      </c>
      <c r="L20" s="290">
        <f>241*L19</f>
        <v>6989</v>
      </c>
      <c r="M20" s="290">
        <f>9.65*M19</f>
        <v>0</v>
      </c>
      <c r="N20" s="290">
        <f>N19*48.2</f>
        <v>4820</v>
      </c>
      <c r="O20" s="290">
        <f>241*O19</f>
        <v>0</v>
      </c>
      <c r="P20" s="290">
        <f>8.81*P19</f>
        <v>0</v>
      </c>
      <c r="Q20" s="2286">
        <f>341*Q19</f>
        <v>34100</v>
      </c>
      <c r="R20" s="2287"/>
      <c r="S20" s="290">
        <f>241*S19</f>
        <v>0</v>
      </c>
      <c r="T20" s="2257"/>
      <c r="U20" s="49" t="s">
        <v>59</v>
      </c>
      <c r="V20" s="2262">
        <v>205620</v>
      </c>
      <c r="W20" s="2262"/>
      <c r="X20" s="2262"/>
      <c r="Y20" s="2269"/>
    </row>
    <row r="21" spans="1:25" ht="32.25" customHeight="1" x14ac:dyDescent="0.25">
      <c r="A21" s="291" t="s">
        <v>186</v>
      </c>
      <c r="B21" s="2293">
        <f>SUM(B20:S20)</f>
        <v>720684.33399999992</v>
      </c>
      <c r="C21" s="2293"/>
      <c r="O21" s="788"/>
      <c r="P21" s="788"/>
      <c r="Q21" s="788"/>
      <c r="R21" s="788"/>
      <c r="T21" s="2294" t="s">
        <v>366</v>
      </c>
      <c r="U21" s="2295"/>
      <c r="V21" s="2297"/>
      <c r="W21" s="2298"/>
      <c r="X21" s="2299"/>
      <c r="Y21" s="2269"/>
    </row>
    <row r="22" spans="1:25" ht="35.25" customHeight="1" x14ac:dyDescent="0.25">
      <c r="A22" s="15"/>
      <c r="B22" s="2288" t="s">
        <v>49</v>
      </c>
      <c r="C22" s="2291">
        <v>400000</v>
      </c>
      <c r="D22" s="2291">
        <v>400000</v>
      </c>
      <c r="E22" s="2291">
        <v>400000</v>
      </c>
      <c r="F22" s="2291">
        <f>C22-D22+E22</f>
        <v>400000</v>
      </c>
      <c r="G22" s="788"/>
      <c r="Q22" s="788"/>
      <c r="R22" s="788"/>
      <c r="T22" s="2251" t="s">
        <v>83</v>
      </c>
      <c r="U22" s="50" t="s">
        <v>60</v>
      </c>
      <c r="V22" s="2262">
        <v>605620</v>
      </c>
      <c r="W22" s="2262"/>
      <c r="X22" s="2262"/>
      <c r="Y22" s="2269"/>
    </row>
    <row r="23" spans="1:25" ht="39.75" customHeight="1" x14ac:dyDescent="0.25">
      <c r="A23" s="788"/>
      <c r="B23" s="2289"/>
      <c r="C23" s="2292"/>
      <c r="D23" s="2292"/>
      <c r="E23" s="2292"/>
      <c r="F23" s="2292"/>
      <c r="G23" s="788"/>
      <c r="Q23" s="788"/>
      <c r="R23" s="788"/>
      <c r="T23" s="2252"/>
      <c r="U23" s="50" t="s">
        <v>61</v>
      </c>
      <c r="V23" s="2262">
        <v>605620</v>
      </c>
      <c r="W23" s="2262"/>
      <c r="X23" s="2262"/>
      <c r="Y23" s="2269"/>
    </row>
    <row r="24" spans="1:25" ht="48" customHeight="1" x14ac:dyDescent="0.25">
      <c r="A24" s="788"/>
      <c r="B24" s="2290"/>
      <c r="C24" s="290" t="s">
        <v>46</v>
      </c>
      <c r="D24" s="290" t="s">
        <v>50</v>
      </c>
      <c r="E24" s="290" t="s">
        <v>51</v>
      </c>
      <c r="F24" s="290" t="s">
        <v>52</v>
      </c>
      <c r="G24" s="788"/>
      <c r="Q24" s="788"/>
      <c r="R24" s="788"/>
      <c r="T24" s="2235" t="s">
        <v>47</v>
      </c>
      <c r="U24" s="51" t="s">
        <v>62</v>
      </c>
      <c r="V24" s="2263">
        <f>V14+V16+V17-V18-V19-V20-V22+V23-V21</f>
        <v>2097.753500000108</v>
      </c>
      <c r="W24" s="2263"/>
      <c r="X24" s="2263"/>
      <c r="Y24" s="2269"/>
    </row>
    <row r="25" spans="1:25" ht="40.5" customHeight="1" x14ac:dyDescent="0.25">
      <c r="T25" s="2235"/>
      <c r="U25" s="51" t="s">
        <v>63</v>
      </c>
      <c r="V25" s="2262">
        <f>V15+V22-V23</f>
        <v>8860</v>
      </c>
      <c r="W25" s="2262"/>
      <c r="X25" s="2262"/>
    </row>
    <row r="26" spans="1:25" ht="36" customHeight="1" x14ac:dyDescent="0.25">
      <c r="K26" s="314"/>
    </row>
    <row r="28" spans="1:25" x14ac:dyDescent="0.25">
      <c r="J28" s="14" t="s">
        <v>139</v>
      </c>
    </row>
    <row r="32" spans="1:25" x14ac:dyDescent="0.25">
      <c r="I32" s="2280"/>
      <c r="J32" s="2280"/>
      <c r="K32" s="2280"/>
      <c r="L32" s="2280"/>
    </row>
    <row r="33" spans="9:12" x14ac:dyDescent="0.25">
      <c r="I33" s="788"/>
      <c r="J33" s="788"/>
      <c r="K33" s="2280"/>
      <c r="L33" s="2280"/>
    </row>
  </sheetData>
  <mergeCells count="62">
    <mergeCell ref="I32:J32"/>
    <mergeCell ref="K32:L32"/>
    <mergeCell ref="K33:L33"/>
    <mergeCell ref="T22:T23"/>
    <mergeCell ref="V22:X22"/>
    <mergeCell ref="V23:X23"/>
    <mergeCell ref="T24:T25"/>
    <mergeCell ref="V24:X24"/>
    <mergeCell ref="V25:X25"/>
    <mergeCell ref="Y18:Y24"/>
    <mergeCell ref="B19:C19"/>
    <mergeCell ref="Q19:R19"/>
    <mergeCell ref="T19:T20"/>
    <mergeCell ref="V19:X19"/>
    <mergeCell ref="B20:C20"/>
    <mergeCell ref="B22:B24"/>
    <mergeCell ref="C22:C23"/>
    <mergeCell ref="D22:D23"/>
    <mergeCell ref="E22:E23"/>
    <mergeCell ref="F22:F23"/>
    <mergeCell ref="Q20:R20"/>
    <mergeCell ref="V20:X20"/>
    <mergeCell ref="B21:C21"/>
    <mergeCell ref="T21:U21"/>
    <mergeCell ref="V21:X21"/>
    <mergeCell ref="B17:C17"/>
    <mergeCell ref="Q17:R17"/>
    <mergeCell ref="T17:U17"/>
    <mergeCell ref="V17:X17"/>
    <mergeCell ref="B18:C18"/>
    <mergeCell ref="Q18:R18"/>
    <mergeCell ref="T18:U18"/>
    <mergeCell ref="V18:X18"/>
    <mergeCell ref="W4:X4"/>
    <mergeCell ref="B16:C16"/>
    <mergeCell ref="Q16:R16"/>
    <mergeCell ref="T16:U16"/>
    <mergeCell ref="V16:X16"/>
    <mergeCell ref="A12:B12"/>
    <mergeCell ref="B14:C14"/>
    <mergeCell ref="Q14:R14"/>
    <mergeCell ref="T14:T15"/>
    <mergeCell ref="V14:X14"/>
    <mergeCell ref="B15:C15"/>
    <mergeCell ref="Q15:R15"/>
    <mergeCell ref="V15:X15"/>
    <mergeCell ref="A1:Y1"/>
    <mergeCell ref="A2:Y2"/>
    <mergeCell ref="T3:Y3"/>
    <mergeCell ref="A4:A5"/>
    <mergeCell ref="B4:B5"/>
    <mergeCell ref="C4:D4"/>
    <mergeCell ref="E4:F4"/>
    <mergeCell ref="G4:H4"/>
    <mergeCell ref="I4:J4"/>
    <mergeCell ref="K4:L4"/>
    <mergeCell ref="Y4:Y5"/>
    <mergeCell ref="M4:N4"/>
    <mergeCell ref="O4:P4"/>
    <mergeCell ref="Q4:R4"/>
    <mergeCell ref="S4:T4"/>
    <mergeCell ref="U4:V4"/>
  </mergeCells>
  <pageMargins left="0.15748031496063" right="0.15748031496063" top="0" bottom="0" header="0" footer="0"/>
  <pageSetup paperSize="9" scale="46" orientation="landscape" r:id="rId1"/>
</worksheet>
</file>

<file path=xl/worksheets/sheet17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AC2F0AE-C389-45EC-9AED-2A43A3406306}">
  <sheetPr>
    <pageSetUpPr fitToPage="1"/>
  </sheetPr>
  <dimension ref="A1:Y33"/>
  <sheetViews>
    <sheetView topLeftCell="A5" zoomScale="70" zoomScaleNormal="70" zoomScaleSheetLayoutView="100" workbookViewId="0">
      <selection activeCell="M10" sqref="M10"/>
    </sheetView>
  </sheetViews>
  <sheetFormatPr defaultColWidth="9.140625" defaultRowHeight="15" x14ac:dyDescent="0.25"/>
  <cols>
    <col min="1" max="1" width="18.28515625" style="14" customWidth="1"/>
    <col min="2" max="2" width="10.7109375" style="14" customWidth="1"/>
    <col min="3" max="3" width="12.28515625" style="14" customWidth="1"/>
    <col min="4" max="4" width="13.140625" style="14" bestFit="1" customWidth="1"/>
    <col min="5" max="5" width="12" style="14" customWidth="1"/>
    <col min="6" max="6" width="12.5703125" style="14" bestFit="1" customWidth="1"/>
    <col min="7" max="7" width="16" style="14" bestFit="1" customWidth="1"/>
    <col min="8" max="8" width="10.140625" style="14" bestFit="1" customWidth="1"/>
    <col min="9" max="9" width="10.5703125" style="14" bestFit="1" customWidth="1"/>
    <col min="10" max="10" width="10.5703125" style="14" customWidth="1"/>
    <col min="11" max="11" width="10.28515625" style="14" bestFit="1" customWidth="1"/>
    <col min="12" max="12" width="10.42578125" style="14" bestFit="1" customWidth="1"/>
    <col min="13" max="13" width="9.85546875" style="14" bestFit="1" customWidth="1"/>
    <col min="14" max="14" width="10.140625" style="14" bestFit="1" customWidth="1"/>
    <col min="15" max="15" width="9" style="14" customWidth="1"/>
    <col min="16" max="16" width="12.85546875" style="14" bestFit="1" customWidth="1"/>
    <col min="17" max="18" width="9.42578125" style="14" customWidth="1"/>
    <col min="19" max="19" width="13.7109375" style="14" customWidth="1"/>
    <col min="20" max="20" width="12.140625" style="14" customWidth="1"/>
    <col min="21" max="21" width="21.7109375" style="14" customWidth="1"/>
    <col min="22" max="22" width="9.85546875" style="14" customWidth="1"/>
    <col min="23" max="23" width="10.140625" style="14" bestFit="1" customWidth="1"/>
    <col min="24" max="24" width="10.28515625" style="14" customWidth="1"/>
    <col min="25" max="25" width="28" style="14" customWidth="1"/>
    <col min="26" max="16384" width="9.140625" style="14"/>
  </cols>
  <sheetData>
    <row r="1" spans="1:25" ht="46.15" customHeight="1" x14ac:dyDescent="0.25">
      <c r="A1" s="2240" t="s">
        <v>148</v>
      </c>
      <c r="B1" s="2240"/>
      <c r="C1" s="2240"/>
      <c r="D1" s="2240"/>
      <c r="E1" s="2240"/>
      <c r="F1" s="2240"/>
      <c r="G1" s="2240"/>
      <c r="H1" s="2240"/>
      <c r="I1" s="2240"/>
      <c r="J1" s="2240"/>
      <c r="K1" s="2240"/>
      <c r="L1" s="2240"/>
      <c r="M1" s="2240"/>
      <c r="N1" s="2240"/>
      <c r="O1" s="2240"/>
      <c r="P1" s="2240"/>
      <c r="Q1" s="2240"/>
      <c r="R1" s="2240"/>
      <c r="S1" s="2240"/>
      <c r="T1" s="2240"/>
      <c r="U1" s="2240"/>
      <c r="V1" s="2240"/>
      <c r="W1" s="2240"/>
      <c r="X1" s="2240"/>
      <c r="Y1" s="2240"/>
    </row>
    <row r="2" spans="1:25" ht="21.6" customHeight="1" x14ac:dyDescent="0.25">
      <c r="A2" s="2241" t="s">
        <v>383</v>
      </c>
      <c r="B2" s="2241"/>
      <c r="C2" s="2241"/>
      <c r="D2" s="2241"/>
      <c r="E2" s="2241"/>
      <c r="F2" s="2241"/>
      <c r="G2" s="2241"/>
      <c r="H2" s="2241"/>
      <c r="I2" s="2241"/>
      <c r="J2" s="2241"/>
      <c r="K2" s="2241"/>
      <c r="L2" s="2241"/>
      <c r="M2" s="2241"/>
      <c r="N2" s="2241"/>
      <c r="O2" s="2241"/>
      <c r="P2" s="2241"/>
      <c r="Q2" s="2241"/>
      <c r="R2" s="2241"/>
      <c r="S2" s="2241"/>
      <c r="T2" s="2241"/>
      <c r="U2" s="2241"/>
      <c r="V2" s="2241"/>
      <c r="W2" s="2241"/>
      <c r="X2" s="2241"/>
      <c r="Y2" s="2241"/>
    </row>
    <row r="3" spans="1:25" ht="21" customHeight="1" x14ac:dyDescent="0.25">
      <c r="A3" s="794"/>
      <c r="B3" s="794"/>
      <c r="C3" s="794"/>
      <c r="D3" s="794"/>
      <c r="E3" s="794"/>
      <c r="F3" s="794"/>
      <c r="G3" s="794"/>
      <c r="H3" s="794"/>
      <c r="I3" s="794"/>
      <c r="J3" s="794"/>
      <c r="K3" s="794"/>
      <c r="L3" s="794"/>
      <c r="M3" s="794"/>
      <c r="N3" s="794"/>
      <c r="O3" s="794"/>
      <c r="P3" s="794"/>
      <c r="Q3" s="794"/>
      <c r="R3" s="794"/>
      <c r="S3" s="794"/>
      <c r="T3" s="2242" t="s">
        <v>400</v>
      </c>
      <c r="U3" s="2242"/>
      <c r="V3" s="2242"/>
      <c r="W3" s="2242"/>
      <c r="X3" s="2242"/>
      <c r="Y3" s="2242"/>
    </row>
    <row r="4" spans="1:25" s="794" customFormat="1" ht="18" customHeight="1" x14ac:dyDescent="0.25">
      <c r="A4" s="2243" t="s">
        <v>25</v>
      </c>
      <c r="B4" s="2243" t="s">
        <v>26</v>
      </c>
      <c r="C4" s="2244" t="s">
        <v>27</v>
      </c>
      <c r="D4" s="2244"/>
      <c r="E4" s="2244" t="s">
        <v>342</v>
      </c>
      <c r="F4" s="2244"/>
      <c r="G4" s="2244" t="s">
        <v>65</v>
      </c>
      <c r="H4" s="2244"/>
      <c r="I4" s="2244" t="s">
        <v>29</v>
      </c>
      <c r="J4" s="2244"/>
      <c r="K4" s="2245" t="s">
        <v>14</v>
      </c>
      <c r="L4" s="2246"/>
      <c r="M4" s="2245" t="s">
        <v>67</v>
      </c>
      <c r="N4" s="2246"/>
      <c r="O4" s="2245" t="s">
        <v>68</v>
      </c>
      <c r="P4" s="2246"/>
      <c r="Q4" s="2245" t="s">
        <v>114</v>
      </c>
      <c r="R4" s="2246"/>
      <c r="S4" s="2244" t="s">
        <v>35</v>
      </c>
      <c r="T4" s="2244"/>
      <c r="U4" s="2245" t="s">
        <v>17</v>
      </c>
      <c r="V4" s="2246"/>
      <c r="W4" s="2247" t="s">
        <v>36</v>
      </c>
      <c r="X4" s="2248"/>
      <c r="Y4" s="2238" t="s">
        <v>30</v>
      </c>
    </row>
    <row r="5" spans="1:25" s="794" customFormat="1" ht="25.5" customHeight="1" x14ac:dyDescent="0.25">
      <c r="A5" s="2243"/>
      <c r="B5" s="2243"/>
      <c r="C5" s="793" t="s">
        <v>42</v>
      </c>
      <c r="D5" s="793" t="s">
        <v>43</v>
      </c>
      <c r="E5" s="793" t="s">
        <v>42</v>
      </c>
      <c r="F5" s="793" t="s">
        <v>43</v>
      </c>
      <c r="G5" s="793" t="s">
        <v>42</v>
      </c>
      <c r="H5" s="793" t="s">
        <v>43</v>
      </c>
      <c r="I5" s="793" t="s">
        <v>42</v>
      </c>
      <c r="J5" s="793" t="s">
        <v>43</v>
      </c>
      <c r="K5" s="793" t="s">
        <v>42</v>
      </c>
      <c r="L5" s="793" t="s">
        <v>43</v>
      </c>
      <c r="M5" s="793" t="s">
        <v>42</v>
      </c>
      <c r="N5" s="793" t="s">
        <v>43</v>
      </c>
      <c r="O5" s="793" t="s">
        <v>42</v>
      </c>
      <c r="P5" s="793" t="s">
        <v>43</v>
      </c>
      <c r="Q5" s="793" t="s">
        <v>42</v>
      </c>
      <c r="R5" s="793" t="s">
        <v>43</v>
      </c>
      <c r="S5" s="33" t="s">
        <v>42</v>
      </c>
      <c r="T5" s="33" t="s">
        <v>43</v>
      </c>
      <c r="U5" s="30" t="s">
        <v>42</v>
      </c>
      <c r="V5" s="30" t="s">
        <v>43</v>
      </c>
      <c r="W5" s="30" t="s">
        <v>42</v>
      </c>
      <c r="X5" s="30" t="s">
        <v>43</v>
      </c>
      <c r="Y5" s="2239"/>
    </row>
    <row r="6" spans="1:25" ht="34.5" customHeight="1" x14ac:dyDescent="0.25">
      <c r="A6" s="12">
        <v>1409935200</v>
      </c>
      <c r="B6" s="792" t="s">
        <v>71</v>
      </c>
      <c r="C6" s="790">
        <v>26161</v>
      </c>
      <c r="D6" s="789">
        <f>0.9725*C6</f>
        <v>25441.572500000002</v>
      </c>
      <c r="E6" s="790"/>
      <c r="F6" s="790">
        <f>67.1*E6</f>
        <v>0</v>
      </c>
      <c r="G6" s="790">
        <v>20</v>
      </c>
      <c r="H6" s="790">
        <f>28.2*G6</f>
        <v>564</v>
      </c>
      <c r="I6" s="790">
        <v>530</v>
      </c>
      <c r="J6" s="790">
        <f>18.5*I6</f>
        <v>9805</v>
      </c>
      <c r="K6" s="790">
        <v>240</v>
      </c>
      <c r="L6" s="790">
        <f>28.2368*K6</f>
        <v>6776.8319999999994</v>
      </c>
      <c r="M6" s="790"/>
      <c r="N6" s="789">
        <f>M6*9.75</f>
        <v>0</v>
      </c>
      <c r="O6" s="790"/>
      <c r="P6" s="789">
        <f>O6*48.7</f>
        <v>0</v>
      </c>
      <c r="Q6" s="789"/>
      <c r="R6" s="789">
        <f>241*Q6</f>
        <v>0</v>
      </c>
      <c r="S6" s="790"/>
      <c r="T6" s="790">
        <f>241*S6</f>
        <v>0</v>
      </c>
      <c r="U6" s="790"/>
      <c r="V6" s="790">
        <f>332*U6</f>
        <v>0</v>
      </c>
      <c r="W6" s="790"/>
      <c r="X6" s="19">
        <f>W6*100</f>
        <v>0</v>
      </c>
      <c r="Y6" s="20">
        <f t="shared" ref="Y6:Y12" si="0">D6+F6+H6+J6+L6+N6+P6+R6+T6+V6+X6</f>
        <v>42587.404500000004</v>
      </c>
    </row>
    <row r="7" spans="1:25" ht="31.5" customHeight="1" x14ac:dyDescent="0.25">
      <c r="A7" s="12">
        <v>1984225578</v>
      </c>
      <c r="B7" s="792" t="s">
        <v>72</v>
      </c>
      <c r="C7" s="790">
        <v>18343</v>
      </c>
      <c r="D7" s="789">
        <f t="shared" ref="D7:D11" si="1">0.9725*C7</f>
        <v>17838.567500000001</v>
      </c>
      <c r="E7" s="790">
        <v>10</v>
      </c>
      <c r="F7" s="790">
        <f t="shared" ref="F7:F11" si="2">67.1*E7</f>
        <v>671</v>
      </c>
      <c r="G7" s="790"/>
      <c r="H7" s="790">
        <f t="shared" ref="H7:H11" si="3">28.2*G7</f>
        <v>0</v>
      </c>
      <c r="I7" s="790">
        <v>1590</v>
      </c>
      <c r="J7" s="790">
        <f t="shared" ref="J7:J11" si="4">18.5*I7</f>
        <v>29415</v>
      </c>
      <c r="K7" s="790"/>
      <c r="L7" s="790">
        <f t="shared" ref="L7:L11" si="5">28.2368*K7</f>
        <v>0</v>
      </c>
      <c r="M7" s="790"/>
      <c r="N7" s="789">
        <f t="shared" ref="N7:N11" si="6">M7*9.75</f>
        <v>0</v>
      </c>
      <c r="O7" s="790"/>
      <c r="P7" s="789">
        <f t="shared" ref="P7:P11" si="7">O7*48.7</f>
        <v>0</v>
      </c>
      <c r="Q7" s="789"/>
      <c r="R7" s="789">
        <f t="shared" ref="R7:R11" si="8">241*Q7</f>
        <v>0</v>
      </c>
      <c r="S7" s="790"/>
      <c r="T7" s="790">
        <f t="shared" ref="T7:T11" si="9">241*S7</f>
        <v>0</v>
      </c>
      <c r="U7" s="790"/>
      <c r="V7" s="790">
        <f t="shared" ref="V7:V11" si="10">332*U7</f>
        <v>0</v>
      </c>
      <c r="W7" s="790"/>
      <c r="X7" s="19">
        <f t="shared" ref="X7:X11" si="11">W7*100</f>
        <v>0</v>
      </c>
      <c r="Y7" s="20">
        <f t="shared" si="0"/>
        <v>47924.567500000005</v>
      </c>
    </row>
    <row r="8" spans="1:25" ht="35.25" customHeight="1" x14ac:dyDescent="0.25">
      <c r="A8" s="12">
        <v>1967020280</v>
      </c>
      <c r="B8" s="792" t="s">
        <v>73</v>
      </c>
      <c r="C8" s="790">
        <v>18440</v>
      </c>
      <c r="D8" s="789">
        <f t="shared" si="1"/>
        <v>17932.900000000001</v>
      </c>
      <c r="E8" s="790"/>
      <c r="F8" s="790">
        <f t="shared" si="2"/>
        <v>0</v>
      </c>
      <c r="G8" s="790"/>
      <c r="H8" s="790">
        <f t="shared" si="3"/>
        <v>0</v>
      </c>
      <c r="I8" s="790">
        <v>660</v>
      </c>
      <c r="J8" s="790">
        <f t="shared" si="4"/>
        <v>12210</v>
      </c>
      <c r="K8" s="790"/>
      <c r="L8" s="790">
        <f t="shared" si="5"/>
        <v>0</v>
      </c>
      <c r="M8" s="790"/>
      <c r="N8" s="789">
        <f t="shared" si="6"/>
        <v>0</v>
      </c>
      <c r="O8" s="790"/>
      <c r="P8" s="789">
        <f t="shared" si="7"/>
        <v>0</v>
      </c>
      <c r="Q8" s="789"/>
      <c r="R8" s="789">
        <f t="shared" si="8"/>
        <v>0</v>
      </c>
      <c r="S8" s="790"/>
      <c r="T8" s="790">
        <f t="shared" si="9"/>
        <v>0</v>
      </c>
      <c r="U8" s="790"/>
      <c r="V8" s="790">
        <f t="shared" si="10"/>
        <v>0</v>
      </c>
      <c r="W8" s="790"/>
      <c r="X8" s="19">
        <f t="shared" si="11"/>
        <v>0</v>
      </c>
      <c r="Y8" s="20">
        <f t="shared" si="0"/>
        <v>30142.9</v>
      </c>
    </row>
    <row r="9" spans="1:25" ht="38.25" customHeight="1" x14ac:dyDescent="0.25">
      <c r="A9" s="12">
        <v>1984225580</v>
      </c>
      <c r="B9" s="792" t="s">
        <v>75</v>
      </c>
      <c r="C9" s="790">
        <v>53159</v>
      </c>
      <c r="D9" s="789">
        <f t="shared" si="1"/>
        <v>51697.127500000002</v>
      </c>
      <c r="E9" s="790"/>
      <c r="F9" s="790">
        <f t="shared" si="2"/>
        <v>0</v>
      </c>
      <c r="G9" s="790"/>
      <c r="H9" s="790">
        <f t="shared" si="3"/>
        <v>0</v>
      </c>
      <c r="I9" s="790">
        <v>1320</v>
      </c>
      <c r="J9" s="790">
        <f t="shared" si="4"/>
        <v>24420</v>
      </c>
      <c r="K9" s="790"/>
      <c r="L9" s="790">
        <f t="shared" si="5"/>
        <v>0</v>
      </c>
      <c r="M9" s="790"/>
      <c r="N9" s="789">
        <f t="shared" si="6"/>
        <v>0</v>
      </c>
      <c r="O9" s="790"/>
      <c r="P9" s="789">
        <f t="shared" si="7"/>
        <v>0</v>
      </c>
      <c r="Q9" s="789"/>
      <c r="R9" s="789">
        <f t="shared" si="8"/>
        <v>0</v>
      </c>
      <c r="S9" s="790"/>
      <c r="T9" s="790">
        <f t="shared" si="9"/>
        <v>0</v>
      </c>
      <c r="U9" s="790"/>
      <c r="V9" s="790">
        <f t="shared" si="10"/>
        <v>0</v>
      </c>
      <c r="W9" s="790"/>
      <c r="X9" s="19">
        <f t="shared" si="11"/>
        <v>0</v>
      </c>
      <c r="Y9" s="20">
        <f t="shared" si="0"/>
        <v>76117.127500000002</v>
      </c>
    </row>
    <row r="10" spans="1:25" ht="35.25" customHeight="1" x14ac:dyDescent="0.25">
      <c r="A10" s="12">
        <v>1409935199</v>
      </c>
      <c r="C10" s="790"/>
      <c r="D10" s="789">
        <f t="shared" si="1"/>
        <v>0</v>
      </c>
      <c r="E10" s="790"/>
      <c r="F10" s="790">
        <f t="shared" si="2"/>
        <v>0</v>
      </c>
      <c r="G10" s="790"/>
      <c r="H10" s="790">
        <f t="shared" si="3"/>
        <v>0</v>
      </c>
      <c r="I10" s="790"/>
      <c r="J10" s="790">
        <f t="shared" si="4"/>
        <v>0</v>
      </c>
      <c r="K10" s="790"/>
      <c r="L10" s="790">
        <f t="shared" si="5"/>
        <v>0</v>
      </c>
      <c r="M10" s="790"/>
      <c r="N10" s="789">
        <f t="shared" si="6"/>
        <v>0</v>
      </c>
      <c r="O10" s="790"/>
      <c r="P10" s="789">
        <f t="shared" si="7"/>
        <v>0</v>
      </c>
      <c r="Q10" s="789"/>
      <c r="R10" s="789">
        <f t="shared" si="8"/>
        <v>0</v>
      </c>
      <c r="S10" s="790"/>
      <c r="T10" s="790">
        <f t="shared" si="9"/>
        <v>0</v>
      </c>
      <c r="U10" s="790"/>
      <c r="V10" s="790">
        <f t="shared" si="10"/>
        <v>0</v>
      </c>
      <c r="W10" s="790"/>
      <c r="X10" s="19">
        <f t="shared" si="11"/>
        <v>0</v>
      </c>
      <c r="Y10" s="20">
        <f t="shared" si="0"/>
        <v>0</v>
      </c>
    </row>
    <row r="11" spans="1:25" ht="37.5" customHeight="1" x14ac:dyDescent="0.25">
      <c r="A11" s="12"/>
      <c r="B11" s="791"/>
      <c r="C11" s="790"/>
      <c r="D11" s="22">
        <f t="shared" si="1"/>
        <v>0</v>
      </c>
      <c r="E11" s="790"/>
      <c r="F11" s="790">
        <f t="shared" si="2"/>
        <v>0</v>
      </c>
      <c r="G11" s="790"/>
      <c r="H11" s="790">
        <f t="shared" si="3"/>
        <v>0</v>
      </c>
      <c r="I11" s="790"/>
      <c r="J11" s="790">
        <f t="shared" si="4"/>
        <v>0</v>
      </c>
      <c r="K11" s="790"/>
      <c r="L11" s="790">
        <f t="shared" si="5"/>
        <v>0</v>
      </c>
      <c r="M11" s="790"/>
      <c r="N11" s="789">
        <f t="shared" si="6"/>
        <v>0</v>
      </c>
      <c r="O11" s="790"/>
      <c r="P11" s="789">
        <f t="shared" si="7"/>
        <v>0</v>
      </c>
      <c r="Q11" s="789"/>
      <c r="R11" s="789">
        <f t="shared" si="8"/>
        <v>0</v>
      </c>
      <c r="S11" s="790"/>
      <c r="T11" s="790">
        <f t="shared" si="9"/>
        <v>0</v>
      </c>
      <c r="U11" s="790"/>
      <c r="V11" s="790">
        <f t="shared" si="10"/>
        <v>0</v>
      </c>
      <c r="W11" s="790"/>
      <c r="X11" s="19">
        <f t="shared" si="11"/>
        <v>0</v>
      </c>
      <c r="Y11" s="20">
        <f t="shared" si="0"/>
        <v>0</v>
      </c>
    </row>
    <row r="12" spans="1:25" ht="29.25" customHeight="1" x14ac:dyDescent="0.25">
      <c r="A12" s="2235" t="s">
        <v>31</v>
      </c>
      <c r="B12" s="2235"/>
      <c r="C12" s="18">
        <f t="shared" ref="C12:X12" si="12">SUM(C6:C11)</f>
        <v>116103</v>
      </c>
      <c r="D12" s="18">
        <f t="shared" si="12"/>
        <v>112910.16750000001</v>
      </c>
      <c r="E12" s="18">
        <f t="shared" si="12"/>
        <v>10</v>
      </c>
      <c r="F12" s="18">
        <f t="shared" si="12"/>
        <v>671</v>
      </c>
      <c r="G12" s="18">
        <f t="shared" si="12"/>
        <v>20</v>
      </c>
      <c r="H12" s="18">
        <f t="shared" si="12"/>
        <v>564</v>
      </c>
      <c r="I12" s="18">
        <f t="shared" si="12"/>
        <v>4100</v>
      </c>
      <c r="J12" s="18">
        <f t="shared" si="12"/>
        <v>75850</v>
      </c>
      <c r="K12" s="18">
        <f t="shared" si="12"/>
        <v>240</v>
      </c>
      <c r="L12" s="18">
        <f t="shared" si="12"/>
        <v>6776.8319999999994</v>
      </c>
      <c r="M12" s="18">
        <f t="shared" si="12"/>
        <v>0</v>
      </c>
      <c r="N12" s="23">
        <f t="shared" si="12"/>
        <v>0</v>
      </c>
      <c r="O12" s="18">
        <f t="shared" si="12"/>
        <v>0</v>
      </c>
      <c r="P12" s="23">
        <f t="shared" si="12"/>
        <v>0</v>
      </c>
      <c r="Q12" s="23">
        <f t="shared" si="12"/>
        <v>0</v>
      </c>
      <c r="R12" s="23">
        <f>SUM(R6:R11)</f>
        <v>0</v>
      </c>
      <c r="S12" s="18">
        <f t="shared" si="12"/>
        <v>0</v>
      </c>
      <c r="T12" s="18">
        <f t="shared" si="12"/>
        <v>0</v>
      </c>
      <c r="U12" s="18">
        <f t="shared" si="12"/>
        <v>0</v>
      </c>
      <c r="V12" s="18">
        <f t="shared" si="12"/>
        <v>0</v>
      </c>
      <c r="W12" s="18">
        <f t="shared" si="12"/>
        <v>0</v>
      </c>
      <c r="X12" s="18">
        <f t="shared" si="12"/>
        <v>0</v>
      </c>
      <c r="Y12" s="20">
        <f t="shared" si="0"/>
        <v>196771.99950000001</v>
      </c>
    </row>
    <row r="14" spans="1:25" ht="43.5" customHeight="1" x14ac:dyDescent="0.25">
      <c r="A14" s="30" t="s">
        <v>32</v>
      </c>
      <c r="B14" s="2236" t="s">
        <v>27</v>
      </c>
      <c r="C14" s="2236"/>
      <c r="D14" s="30" t="s">
        <v>333</v>
      </c>
      <c r="E14" s="30" t="s">
        <v>65</v>
      </c>
      <c r="F14" s="30" t="s">
        <v>34</v>
      </c>
      <c r="G14" s="30" t="s">
        <v>14</v>
      </c>
      <c r="H14" s="469" t="s">
        <v>173</v>
      </c>
      <c r="I14" s="30" t="s">
        <v>17</v>
      </c>
      <c r="J14" s="798" t="s">
        <v>174</v>
      </c>
      <c r="K14" s="30" t="s">
        <v>36</v>
      </c>
      <c r="L14" s="798" t="s">
        <v>403</v>
      </c>
      <c r="M14" s="30" t="s">
        <v>69</v>
      </c>
      <c r="N14" s="30" t="s">
        <v>70</v>
      </c>
      <c r="O14" s="798" t="s">
        <v>114</v>
      </c>
      <c r="P14" s="798" t="s">
        <v>402</v>
      </c>
      <c r="Q14" s="2300" t="s">
        <v>378</v>
      </c>
      <c r="R14" s="2301"/>
      <c r="S14" s="798" t="s">
        <v>401</v>
      </c>
      <c r="T14" s="2235" t="s">
        <v>46</v>
      </c>
      <c r="U14" s="792" t="s">
        <v>176</v>
      </c>
      <c r="V14" s="2260">
        <v>2098</v>
      </c>
      <c r="W14" s="2268"/>
      <c r="X14" s="2261"/>
    </row>
    <row r="15" spans="1:25" ht="22.5" customHeight="1" x14ac:dyDescent="0.25">
      <c r="A15" s="100" t="s">
        <v>38</v>
      </c>
      <c r="B15" s="2260">
        <v>326420</v>
      </c>
      <c r="C15" s="2261"/>
      <c r="D15" s="795">
        <v>512</v>
      </c>
      <c r="E15" s="795">
        <v>470</v>
      </c>
      <c r="F15" s="795">
        <v>12690</v>
      </c>
      <c r="G15" s="795">
        <v>1230</v>
      </c>
      <c r="H15" s="795">
        <v>138</v>
      </c>
      <c r="I15" s="795">
        <v>0</v>
      </c>
      <c r="J15" s="795">
        <v>26</v>
      </c>
      <c r="K15" s="795">
        <v>71</v>
      </c>
      <c r="L15" s="795">
        <v>0</v>
      </c>
      <c r="M15" s="795">
        <v>0</v>
      </c>
      <c r="N15" s="795">
        <v>100</v>
      </c>
      <c r="O15" s="795">
        <v>0</v>
      </c>
      <c r="P15" s="795">
        <v>29</v>
      </c>
      <c r="Q15" s="2260">
        <v>0</v>
      </c>
      <c r="R15" s="2261"/>
      <c r="S15" s="792">
        <v>100</v>
      </c>
      <c r="T15" s="2235"/>
      <c r="U15" s="792" t="s">
        <v>64</v>
      </c>
      <c r="V15" s="2262">
        <v>8860</v>
      </c>
      <c r="W15" s="2262"/>
      <c r="X15" s="2262"/>
    </row>
    <row r="16" spans="1:25" ht="24.75" customHeight="1" x14ac:dyDescent="0.25">
      <c r="A16" s="100" t="s">
        <v>39</v>
      </c>
      <c r="B16" s="2260"/>
      <c r="C16" s="2261"/>
      <c r="D16" s="795"/>
      <c r="E16" s="795">
        <v>500</v>
      </c>
      <c r="F16" s="795">
        <v>15000</v>
      </c>
      <c r="G16" s="795">
        <v>4000</v>
      </c>
      <c r="H16" s="795"/>
      <c r="I16" s="795"/>
      <c r="J16" s="795"/>
      <c r="K16" s="795"/>
      <c r="L16" s="795"/>
      <c r="M16" s="795"/>
      <c r="N16" s="795"/>
      <c r="O16" s="795"/>
      <c r="P16" s="795">
        <v>13</v>
      </c>
      <c r="Q16" s="2225"/>
      <c r="R16" s="2225"/>
      <c r="S16" s="795"/>
      <c r="T16" s="2254" t="s">
        <v>55</v>
      </c>
      <c r="U16" s="2254"/>
      <c r="V16" s="2267">
        <f>Y12</f>
        <v>196771.99950000001</v>
      </c>
      <c r="W16" s="2267"/>
      <c r="X16" s="2262"/>
    </row>
    <row r="17" spans="1:25" ht="28.5" customHeight="1" x14ac:dyDescent="0.25">
      <c r="A17" s="101" t="s">
        <v>44</v>
      </c>
      <c r="B17" s="2260"/>
      <c r="C17" s="2261"/>
      <c r="D17" s="795"/>
      <c r="E17" s="795"/>
      <c r="F17" s="795"/>
      <c r="G17" s="795"/>
      <c r="H17" s="795"/>
      <c r="I17" s="795"/>
      <c r="J17" s="795"/>
      <c r="K17" s="795"/>
      <c r="L17" s="795"/>
      <c r="M17" s="795"/>
      <c r="N17" s="795"/>
      <c r="O17" s="795"/>
      <c r="P17" s="795"/>
      <c r="Q17" s="2225"/>
      <c r="R17" s="2225"/>
      <c r="S17" s="791"/>
      <c r="T17" s="2294" t="s">
        <v>362</v>
      </c>
      <c r="U17" s="2295"/>
      <c r="V17" s="2296"/>
      <c r="W17" s="2296"/>
      <c r="X17" s="2296"/>
    </row>
    <row r="18" spans="1:25" ht="27" customHeight="1" x14ac:dyDescent="0.25">
      <c r="A18" s="100" t="s">
        <v>40</v>
      </c>
      <c r="B18" s="2264">
        <f>C12</f>
        <v>116103</v>
      </c>
      <c r="C18" s="2261"/>
      <c r="D18" s="797">
        <f>E12</f>
        <v>10</v>
      </c>
      <c r="E18" s="797">
        <f>G12</f>
        <v>20</v>
      </c>
      <c r="F18" s="797">
        <f>I12</f>
        <v>4100</v>
      </c>
      <c r="G18" s="797">
        <f>K12</f>
        <v>240</v>
      </c>
      <c r="H18" s="795">
        <v>13</v>
      </c>
      <c r="I18" s="797">
        <f>U12</f>
        <v>0</v>
      </c>
      <c r="J18" s="795"/>
      <c r="K18" s="797">
        <f>W12</f>
        <v>0</v>
      </c>
      <c r="L18" s="795"/>
      <c r="M18" s="797">
        <f>M12</f>
        <v>0</v>
      </c>
      <c r="N18" s="797"/>
      <c r="O18" s="796">
        <f>Q12</f>
        <v>0</v>
      </c>
      <c r="P18" s="797">
        <f>O12</f>
        <v>0</v>
      </c>
      <c r="Q18" s="2262"/>
      <c r="R18" s="2262"/>
      <c r="S18" s="792"/>
      <c r="T18" s="2254" t="s">
        <v>57</v>
      </c>
      <c r="U18" s="2254"/>
      <c r="V18" s="2262">
        <v>620</v>
      </c>
      <c r="W18" s="2262"/>
      <c r="X18" s="2262"/>
      <c r="Y18" s="2269"/>
    </row>
    <row r="19" spans="1:25" ht="25.5" customHeight="1" x14ac:dyDescent="0.25">
      <c r="A19" s="100" t="s">
        <v>41</v>
      </c>
      <c r="B19" s="2260">
        <f>B15+B16+B17-B18</f>
        <v>210317</v>
      </c>
      <c r="C19" s="2261"/>
      <c r="D19" s="795">
        <f>D15+D16+D17-D18</f>
        <v>502</v>
      </c>
      <c r="E19" s="795">
        <f t="shared" ref="E19:N19" si="13">E15+E16+E17-E18</f>
        <v>950</v>
      </c>
      <c r="F19" s="795">
        <f t="shared" si="13"/>
        <v>23590</v>
      </c>
      <c r="G19" s="795">
        <f t="shared" si="13"/>
        <v>4990</v>
      </c>
      <c r="H19" s="795">
        <f t="shared" si="13"/>
        <v>125</v>
      </c>
      <c r="I19" s="795">
        <f t="shared" si="13"/>
        <v>0</v>
      </c>
      <c r="J19" s="795">
        <f t="shared" si="13"/>
        <v>26</v>
      </c>
      <c r="K19" s="795">
        <f t="shared" si="13"/>
        <v>71</v>
      </c>
      <c r="L19" s="795">
        <f t="shared" si="13"/>
        <v>0</v>
      </c>
      <c r="M19" s="795">
        <f t="shared" si="13"/>
        <v>0</v>
      </c>
      <c r="N19" s="795">
        <f t="shared" si="13"/>
        <v>100</v>
      </c>
      <c r="O19" s="795">
        <f>O15+O16+O17-O18</f>
        <v>0</v>
      </c>
      <c r="P19" s="795">
        <f>P15+P16+P17-P18</f>
        <v>42</v>
      </c>
      <c r="Q19" s="2260">
        <f t="shared" ref="Q19" si="14">Q15+Q16+Q17-Q18</f>
        <v>0</v>
      </c>
      <c r="R19" s="2261"/>
      <c r="S19" s="792">
        <f>S15+S16-S17-S18</f>
        <v>100</v>
      </c>
      <c r="T19" s="2256" t="s">
        <v>48</v>
      </c>
      <c r="U19" s="49" t="s">
        <v>58</v>
      </c>
      <c r="V19" s="2262"/>
      <c r="W19" s="2262"/>
      <c r="X19" s="2262"/>
      <c r="Y19" s="2269"/>
    </row>
    <row r="20" spans="1:25" ht="23.25" customHeight="1" x14ac:dyDescent="0.25">
      <c r="A20" s="289" t="s">
        <v>187</v>
      </c>
      <c r="B20" s="2286">
        <f>B19*0.9625</f>
        <v>202430.11250000002</v>
      </c>
      <c r="C20" s="2287"/>
      <c r="D20" s="290">
        <f>D19*66.41</f>
        <v>33337.82</v>
      </c>
      <c r="E20" s="290">
        <f>27.9368*E19</f>
        <v>26539.960000000003</v>
      </c>
      <c r="F20" s="290">
        <f>18.31*F19</f>
        <v>431932.89999999997</v>
      </c>
      <c r="G20" s="290">
        <f>27.9368*G19</f>
        <v>139404.63200000001</v>
      </c>
      <c r="H20" s="290">
        <f>241*H19</f>
        <v>30125</v>
      </c>
      <c r="I20" s="290">
        <f>323*I19</f>
        <v>0</v>
      </c>
      <c r="J20" s="290">
        <f>241*J19</f>
        <v>6266</v>
      </c>
      <c r="K20" s="290">
        <f>K19*100</f>
        <v>7100</v>
      </c>
      <c r="L20" s="290">
        <f>241*L19</f>
        <v>0</v>
      </c>
      <c r="M20" s="290">
        <f>9.65*M19</f>
        <v>0</v>
      </c>
      <c r="N20" s="290">
        <f>N19*48.2</f>
        <v>4820</v>
      </c>
      <c r="O20" s="290">
        <f>241*O19</f>
        <v>0</v>
      </c>
      <c r="P20" s="290">
        <f>241*P19</f>
        <v>10122</v>
      </c>
      <c r="Q20" s="2286">
        <f>341*Q19</f>
        <v>0</v>
      </c>
      <c r="R20" s="2287"/>
      <c r="S20" s="290">
        <f>241*S19</f>
        <v>24100</v>
      </c>
      <c r="T20" s="2257"/>
      <c r="U20" s="49" t="s">
        <v>59</v>
      </c>
      <c r="V20" s="2262"/>
      <c r="W20" s="2262"/>
      <c r="X20" s="2262"/>
      <c r="Y20" s="2269"/>
    </row>
    <row r="21" spans="1:25" ht="32.25" customHeight="1" x14ac:dyDescent="0.25">
      <c r="A21" s="291" t="s">
        <v>186</v>
      </c>
      <c r="B21" s="2293">
        <f>SUM(B20:S20)</f>
        <v>916178.42449999996</v>
      </c>
      <c r="C21" s="2293"/>
      <c r="O21" s="799"/>
      <c r="P21" s="799"/>
      <c r="Q21" s="799"/>
      <c r="R21" s="799"/>
      <c r="T21" s="2294" t="s">
        <v>366</v>
      </c>
      <c r="U21" s="2295"/>
      <c r="V21" s="2297"/>
      <c r="W21" s="2298"/>
      <c r="X21" s="2299"/>
      <c r="Y21" s="2269"/>
    </row>
    <row r="22" spans="1:25" ht="35.25" customHeight="1" x14ac:dyDescent="0.25">
      <c r="A22" s="15"/>
      <c r="B22" s="2288" t="s">
        <v>49</v>
      </c>
      <c r="C22" s="2291">
        <v>400000</v>
      </c>
      <c r="D22" s="2291"/>
      <c r="E22" s="2291">
        <v>400366</v>
      </c>
      <c r="F22" s="2291">
        <f>C22-D22+E22</f>
        <v>800366</v>
      </c>
      <c r="G22" s="799"/>
      <c r="Q22" s="799"/>
      <c r="R22" s="799"/>
      <c r="T22" s="2251" t="s">
        <v>83</v>
      </c>
      <c r="U22" s="50" t="s">
        <v>60</v>
      </c>
      <c r="V22" s="2262"/>
      <c r="W22" s="2262"/>
      <c r="X22" s="2262"/>
      <c r="Y22" s="2269"/>
    </row>
    <row r="23" spans="1:25" ht="39.75" customHeight="1" x14ac:dyDescent="0.25">
      <c r="A23" s="799"/>
      <c r="B23" s="2289"/>
      <c r="C23" s="2292"/>
      <c r="D23" s="2292"/>
      <c r="E23" s="2292"/>
      <c r="F23" s="2292"/>
      <c r="G23" s="799"/>
      <c r="Q23" s="799"/>
      <c r="R23" s="799"/>
      <c r="T23" s="2252"/>
      <c r="U23" s="50" t="s">
        <v>61</v>
      </c>
      <c r="V23" s="2262"/>
      <c r="W23" s="2262"/>
      <c r="X23" s="2262"/>
      <c r="Y23" s="2269"/>
    </row>
    <row r="24" spans="1:25" ht="48" customHeight="1" x14ac:dyDescent="0.25">
      <c r="A24" s="799"/>
      <c r="B24" s="2290"/>
      <c r="C24" s="290" t="s">
        <v>46</v>
      </c>
      <c r="D24" s="290" t="s">
        <v>50</v>
      </c>
      <c r="E24" s="290" t="s">
        <v>51</v>
      </c>
      <c r="F24" s="290" t="s">
        <v>52</v>
      </c>
      <c r="G24" s="799"/>
      <c r="Q24" s="799"/>
      <c r="R24" s="799"/>
      <c r="T24" s="2235" t="s">
        <v>47</v>
      </c>
      <c r="U24" s="51" t="s">
        <v>62</v>
      </c>
      <c r="V24" s="2263">
        <f>V14+V16+V17-V18-V19-V20-V22+V23-V21</f>
        <v>198249.99950000001</v>
      </c>
      <c r="W24" s="2263"/>
      <c r="X24" s="2263"/>
      <c r="Y24" s="2269"/>
    </row>
    <row r="25" spans="1:25" ht="40.5" customHeight="1" x14ac:dyDescent="0.25">
      <c r="T25" s="2235"/>
      <c r="U25" s="51" t="s">
        <v>63</v>
      </c>
      <c r="V25" s="2262">
        <f>V15+V22-V23</f>
        <v>8860</v>
      </c>
      <c r="W25" s="2262"/>
      <c r="X25" s="2262"/>
    </row>
    <row r="26" spans="1:25" ht="36" customHeight="1" x14ac:dyDescent="0.25">
      <c r="K26" s="314"/>
    </row>
    <row r="28" spans="1:25" x14ac:dyDescent="0.25">
      <c r="J28" s="14" t="s">
        <v>139</v>
      </c>
    </row>
    <row r="32" spans="1:25" x14ac:dyDescent="0.25">
      <c r="I32" s="2280"/>
      <c r="J32" s="2280"/>
      <c r="K32" s="2280"/>
      <c r="L32" s="2280"/>
    </row>
    <row r="33" spans="9:12" x14ac:dyDescent="0.25">
      <c r="I33" s="799"/>
      <c r="J33" s="799"/>
      <c r="K33" s="2280"/>
      <c r="L33" s="2280"/>
    </row>
  </sheetData>
  <mergeCells count="62">
    <mergeCell ref="A1:Y1"/>
    <mergeCell ref="A2:Y2"/>
    <mergeCell ref="T3:Y3"/>
    <mergeCell ref="A4:A5"/>
    <mergeCell ref="B4:B5"/>
    <mergeCell ref="C4:D4"/>
    <mergeCell ref="E4:F4"/>
    <mergeCell ref="G4:H4"/>
    <mergeCell ref="I4:J4"/>
    <mergeCell ref="K4:L4"/>
    <mergeCell ref="Y4:Y5"/>
    <mergeCell ref="M4:N4"/>
    <mergeCell ref="O4:P4"/>
    <mergeCell ref="Q4:R4"/>
    <mergeCell ref="S4:T4"/>
    <mergeCell ref="U4:V4"/>
    <mergeCell ref="W4:X4"/>
    <mergeCell ref="B16:C16"/>
    <mergeCell ref="Q16:R16"/>
    <mergeCell ref="T16:U16"/>
    <mergeCell ref="V16:X16"/>
    <mergeCell ref="A12:B12"/>
    <mergeCell ref="B14:C14"/>
    <mergeCell ref="Q14:R14"/>
    <mergeCell ref="T14:T15"/>
    <mergeCell ref="V14:X14"/>
    <mergeCell ref="B15:C15"/>
    <mergeCell ref="Q15:R15"/>
    <mergeCell ref="V15:X15"/>
    <mergeCell ref="B17:C17"/>
    <mergeCell ref="Q17:R17"/>
    <mergeCell ref="T17:U17"/>
    <mergeCell ref="V17:X17"/>
    <mergeCell ref="B18:C18"/>
    <mergeCell ref="Q18:R18"/>
    <mergeCell ref="T18:U18"/>
    <mergeCell ref="V18:X18"/>
    <mergeCell ref="Y18:Y24"/>
    <mergeCell ref="B19:C19"/>
    <mergeCell ref="Q19:R19"/>
    <mergeCell ref="T19:T20"/>
    <mergeCell ref="V19:X19"/>
    <mergeCell ref="B20:C20"/>
    <mergeCell ref="B22:B24"/>
    <mergeCell ref="C22:C23"/>
    <mergeCell ref="D22:D23"/>
    <mergeCell ref="E22:E23"/>
    <mergeCell ref="F22:F23"/>
    <mergeCell ref="Q20:R20"/>
    <mergeCell ref="V20:X20"/>
    <mergeCell ref="B21:C21"/>
    <mergeCell ref="T21:U21"/>
    <mergeCell ref="V21:X21"/>
    <mergeCell ref="I32:J32"/>
    <mergeCell ref="K32:L32"/>
    <mergeCell ref="K33:L33"/>
    <mergeCell ref="T22:T23"/>
    <mergeCell ref="V22:X22"/>
    <mergeCell ref="V23:X23"/>
    <mergeCell ref="T24:T25"/>
    <mergeCell ref="V24:X24"/>
    <mergeCell ref="V25:X25"/>
  </mergeCells>
  <pageMargins left="0.15748031496063" right="0.15748031496063" top="0" bottom="0" header="0" footer="0"/>
  <pageSetup paperSize="9" scale="45" orientation="landscape" r:id="rId1"/>
</worksheet>
</file>

<file path=xl/worksheets/sheet17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D60AC4D-88C3-4FB0-889D-CE9EB054904E}">
  <sheetPr>
    <pageSetUpPr fitToPage="1"/>
  </sheetPr>
  <dimension ref="A1:Y33"/>
  <sheetViews>
    <sheetView topLeftCell="A9" zoomScale="70" zoomScaleNormal="70" zoomScaleSheetLayoutView="100" workbookViewId="0">
      <selection activeCell="M23" sqref="M23"/>
    </sheetView>
  </sheetViews>
  <sheetFormatPr defaultColWidth="9.140625" defaultRowHeight="15" x14ac:dyDescent="0.25"/>
  <cols>
    <col min="1" max="1" width="18.28515625" style="14" customWidth="1"/>
    <col min="2" max="2" width="10.7109375" style="14" customWidth="1"/>
    <col min="3" max="3" width="12.28515625" style="14" customWidth="1"/>
    <col min="4" max="4" width="13.140625" style="14" bestFit="1" customWidth="1"/>
    <col min="5" max="5" width="12" style="14" customWidth="1"/>
    <col min="6" max="6" width="12.5703125" style="14" bestFit="1" customWidth="1"/>
    <col min="7" max="7" width="16" style="14" bestFit="1" customWidth="1"/>
    <col min="8" max="8" width="10.140625" style="14" bestFit="1" customWidth="1"/>
    <col min="9" max="9" width="10.5703125" style="14" bestFit="1" customWidth="1"/>
    <col min="10" max="10" width="10.5703125" style="14" customWidth="1"/>
    <col min="11" max="11" width="10.28515625" style="14" bestFit="1" customWidth="1"/>
    <col min="12" max="12" width="10.42578125" style="14" bestFit="1" customWidth="1"/>
    <col min="13" max="13" width="9.85546875" style="14" bestFit="1" customWidth="1"/>
    <col min="14" max="14" width="10.140625" style="14" bestFit="1" customWidth="1"/>
    <col min="15" max="15" width="9" style="14" customWidth="1"/>
    <col min="16" max="16" width="12.85546875" style="14" bestFit="1" customWidth="1"/>
    <col min="17" max="18" width="9.42578125" style="14" customWidth="1"/>
    <col min="19" max="19" width="13.7109375" style="14" customWidth="1"/>
    <col min="20" max="20" width="12.140625" style="14" customWidth="1"/>
    <col min="21" max="21" width="21.7109375" style="14" customWidth="1"/>
    <col min="22" max="22" width="9.85546875" style="14" customWidth="1"/>
    <col min="23" max="23" width="10.140625" style="14" bestFit="1" customWidth="1"/>
    <col min="24" max="24" width="10.28515625" style="14" customWidth="1"/>
    <col min="25" max="25" width="28" style="14" customWidth="1"/>
    <col min="26" max="16384" width="9.140625" style="14"/>
  </cols>
  <sheetData>
    <row r="1" spans="1:25" ht="46.15" customHeight="1" x14ac:dyDescent="0.25">
      <c r="A1" s="2240" t="s">
        <v>148</v>
      </c>
      <c r="B1" s="2240"/>
      <c r="C1" s="2240"/>
      <c r="D1" s="2240"/>
      <c r="E1" s="2240"/>
      <c r="F1" s="2240"/>
      <c r="G1" s="2240"/>
      <c r="H1" s="2240"/>
      <c r="I1" s="2240"/>
      <c r="J1" s="2240"/>
      <c r="K1" s="2240"/>
      <c r="L1" s="2240"/>
      <c r="M1" s="2240"/>
      <c r="N1" s="2240"/>
      <c r="O1" s="2240"/>
      <c r="P1" s="2240"/>
      <c r="Q1" s="2240"/>
      <c r="R1" s="2240"/>
      <c r="S1" s="2240"/>
      <c r="T1" s="2240"/>
      <c r="U1" s="2240"/>
      <c r="V1" s="2240"/>
      <c r="W1" s="2240"/>
      <c r="X1" s="2240"/>
      <c r="Y1" s="2240"/>
    </row>
    <row r="2" spans="1:25" ht="21.6" customHeight="1" x14ac:dyDescent="0.25">
      <c r="A2" s="2241" t="s">
        <v>383</v>
      </c>
      <c r="B2" s="2241"/>
      <c r="C2" s="2241"/>
      <c r="D2" s="2241"/>
      <c r="E2" s="2241"/>
      <c r="F2" s="2241"/>
      <c r="G2" s="2241"/>
      <c r="H2" s="2241"/>
      <c r="I2" s="2241"/>
      <c r="J2" s="2241"/>
      <c r="K2" s="2241"/>
      <c r="L2" s="2241"/>
      <c r="M2" s="2241"/>
      <c r="N2" s="2241"/>
      <c r="O2" s="2241"/>
      <c r="P2" s="2241"/>
      <c r="Q2" s="2241"/>
      <c r="R2" s="2241"/>
      <c r="S2" s="2241"/>
      <c r="T2" s="2241"/>
      <c r="U2" s="2241"/>
      <c r="V2" s="2241"/>
      <c r="W2" s="2241"/>
      <c r="X2" s="2241"/>
      <c r="Y2" s="2241"/>
    </row>
    <row r="3" spans="1:25" ht="21" customHeight="1" x14ac:dyDescent="0.25">
      <c r="A3" s="805"/>
      <c r="B3" s="805"/>
      <c r="C3" s="805"/>
      <c r="D3" s="805"/>
      <c r="E3" s="805"/>
      <c r="F3" s="805"/>
      <c r="G3" s="805"/>
      <c r="H3" s="805"/>
      <c r="I3" s="805"/>
      <c r="J3" s="805"/>
      <c r="K3" s="805"/>
      <c r="L3" s="805"/>
      <c r="M3" s="805"/>
      <c r="N3" s="805"/>
      <c r="O3" s="805"/>
      <c r="P3" s="805"/>
      <c r="Q3" s="805"/>
      <c r="R3" s="805"/>
      <c r="S3" s="805"/>
      <c r="T3" s="2242" t="s">
        <v>404</v>
      </c>
      <c r="U3" s="2242"/>
      <c r="V3" s="2242"/>
      <c r="W3" s="2242"/>
      <c r="X3" s="2242"/>
      <c r="Y3" s="2242"/>
    </row>
    <row r="4" spans="1:25" s="805" customFormat="1" ht="18" customHeight="1" x14ac:dyDescent="0.25">
      <c r="A4" s="2243" t="s">
        <v>25</v>
      </c>
      <c r="B4" s="2243" t="s">
        <v>26</v>
      </c>
      <c r="C4" s="2244" t="s">
        <v>27</v>
      </c>
      <c r="D4" s="2244"/>
      <c r="E4" s="2244" t="s">
        <v>342</v>
      </c>
      <c r="F4" s="2244"/>
      <c r="G4" s="2244" t="s">
        <v>65</v>
      </c>
      <c r="H4" s="2244"/>
      <c r="I4" s="2244" t="s">
        <v>29</v>
      </c>
      <c r="J4" s="2244"/>
      <c r="K4" s="2245" t="s">
        <v>14</v>
      </c>
      <c r="L4" s="2246"/>
      <c r="M4" s="2245" t="s">
        <v>67</v>
      </c>
      <c r="N4" s="2246"/>
      <c r="O4" s="2245" t="s">
        <v>68</v>
      </c>
      <c r="P4" s="2246"/>
      <c r="Q4" s="2245" t="s">
        <v>114</v>
      </c>
      <c r="R4" s="2246"/>
      <c r="S4" s="2244" t="s">
        <v>35</v>
      </c>
      <c r="T4" s="2244"/>
      <c r="U4" s="2245" t="s">
        <v>17</v>
      </c>
      <c r="V4" s="2246"/>
      <c r="W4" s="2247" t="s">
        <v>36</v>
      </c>
      <c r="X4" s="2248"/>
      <c r="Y4" s="2238" t="s">
        <v>30</v>
      </c>
    </row>
    <row r="5" spans="1:25" s="805" customFormat="1" ht="25.5" customHeight="1" x14ac:dyDescent="0.25">
      <c r="A5" s="2243"/>
      <c r="B5" s="2243"/>
      <c r="C5" s="804" t="s">
        <v>42</v>
      </c>
      <c r="D5" s="804" t="s">
        <v>43</v>
      </c>
      <c r="E5" s="804" t="s">
        <v>42</v>
      </c>
      <c r="F5" s="804" t="s">
        <v>43</v>
      </c>
      <c r="G5" s="804" t="s">
        <v>42</v>
      </c>
      <c r="H5" s="804" t="s">
        <v>43</v>
      </c>
      <c r="I5" s="804" t="s">
        <v>42</v>
      </c>
      <c r="J5" s="804" t="s">
        <v>43</v>
      </c>
      <c r="K5" s="804" t="s">
        <v>42</v>
      </c>
      <c r="L5" s="804" t="s">
        <v>43</v>
      </c>
      <c r="M5" s="804" t="s">
        <v>42</v>
      </c>
      <c r="N5" s="804" t="s">
        <v>43</v>
      </c>
      <c r="O5" s="804" t="s">
        <v>42</v>
      </c>
      <c r="P5" s="804" t="s">
        <v>43</v>
      </c>
      <c r="Q5" s="804" t="s">
        <v>42</v>
      </c>
      <c r="R5" s="804" t="s">
        <v>43</v>
      </c>
      <c r="S5" s="33" t="s">
        <v>42</v>
      </c>
      <c r="T5" s="33" t="s">
        <v>43</v>
      </c>
      <c r="U5" s="30" t="s">
        <v>42</v>
      </c>
      <c r="V5" s="30" t="s">
        <v>43</v>
      </c>
      <c r="W5" s="30" t="s">
        <v>42</v>
      </c>
      <c r="X5" s="30" t="s">
        <v>43</v>
      </c>
      <c r="Y5" s="2239"/>
    </row>
    <row r="6" spans="1:25" ht="34.5" customHeight="1" x14ac:dyDescent="0.25">
      <c r="A6" s="12">
        <v>1409935200</v>
      </c>
      <c r="B6" s="803" t="s">
        <v>71</v>
      </c>
      <c r="C6" s="801">
        <v>33199</v>
      </c>
      <c r="D6" s="800">
        <f>0.9725*C6</f>
        <v>32286.0275</v>
      </c>
      <c r="E6" s="801"/>
      <c r="F6" s="801">
        <f>67.1*E6</f>
        <v>0</v>
      </c>
      <c r="G6" s="801">
        <v>10</v>
      </c>
      <c r="H6" s="801">
        <f>28.2*G6</f>
        <v>282</v>
      </c>
      <c r="I6" s="801">
        <v>2080</v>
      </c>
      <c r="J6" s="801">
        <f>18.5*I6</f>
        <v>38480</v>
      </c>
      <c r="K6" s="801">
        <v>210</v>
      </c>
      <c r="L6" s="801">
        <f>28.2368*K6</f>
        <v>5929.7280000000001</v>
      </c>
      <c r="M6" s="801"/>
      <c r="N6" s="800">
        <f>M6*9.75</f>
        <v>0</v>
      </c>
      <c r="O6" s="801"/>
      <c r="P6" s="800">
        <f>O6*48.7</f>
        <v>0</v>
      </c>
      <c r="Q6" s="800"/>
      <c r="R6" s="800">
        <f>241*Q6</f>
        <v>0</v>
      </c>
      <c r="S6" s="801"/>
      <c r="T6" s="801">
        <f>241*S6</f>
        <v>0</v>
      </c>
      <c r="U6" s="801"/>
      <c r="V6" s="801">
        <f>332*U6</f>
        <v>0</v>
      </c>
      <c r="W6" s="801"/>
      <c r="X6" s="19">
        <f>W6*100</f>
        <v>0</v>
      </c>
      <c r="Y6" s="20">
        <f t="shared" ref="Y6:Y12" si="0">D6+F6+H6+J6+L6+N6+P6+R6+T6+V6+X6</f>
        <v>76977.755499999999</v>
      </c>
    </row>
    <row r="7" spans="1:25" ht="31.5" customHeight="1" x14ac:dyDescent="0.25">
      <c r="A7" s="12">
        <v>1984225578</v>
      </c>
      <c r="B7" s="803" t="s">
        <v>72</v>
      </c>
      <c r="C7" s="801">
        <v>19935</v>
      </c>
      <c r="D7" s="800">
        <f t="shared" ref="D7:D11" si="1">0.9725*C7</f>
        <v>19386.787500000002</v>
      </c>
      <c r="E7" s="801"/>
      <c r="F7" s="801">
        <f t="shared" ref="F7:F11" si="2">67.1*E7</f>
        <v>0</v>
      </c>
      <c r="G7" s="801"/>
      <c r="H7" s="801">
        <f t="shared" ref="H7:H11" si="3">28.2*G7</f>
        <v>0</v>
      </c>
      <c r="I7" s="801">
        <v>1810</v>
      </c>
      <c r="J7" s="801">
        <f t="shared" ref="J7:J11" si="4">18.5*I7</f>
        <v>33485</v>
      </c>
      <c r="K7" s="801"/>
      <c r="L7" s="801">
        <f t="shared" ref="L7:L11" si="5">28.2368*K7</f>
        <v>0</v>
      </c>
      <c r="M7" s="801"/>
      <c r="N7" s="800">
        <f t="shared" ref="N7:N11" si="6">M7*9.75</f>
        <v>0</v>
      </c>
      <c r="O7" s="801"/>
      <c r="P7" s="800">
        <f t="shared" ref="P7:P11" si="7">O7*48.7</f>
        <v>0</v>
      </c>
      <c r="Q7" s="800"/>
      <c r="R7" s="800">
        <f t="shared" ref="R7:R11" si="8">241*Q7</f>
        <v>0</v>
      </c>
      <c r="S7" s="801">
        <v>22</v>
      </c>
      <c r="T7" s="801">
        <f t="shared" ref="T7:T11" si="9">241*S7</f>
        <v>5302</v>
      </c>
      <c r="U7" s="801"/>
      <c r="V7" s="801">
        <f t="shared" ref="V7:V11" si="10">332*U7</f>
        <v>0</v>
      </c>
      <c r="W7" s="801"/>
      <c r="X7" s="19">
        <f t="shared" ref="X7:X11" si="11">W7*100</f>
        <v>0</v>
      </c>
      <c r="Y7" s="20">
        <f t="shared" si="0"/>
        <v>58173.787500000006</v>
      </c>
    </row>
    <row r="8" spans="1:25" ht="35.25" customHeight="1" x14ac:dyDescent="0.25">
      <c r="A8" s="12">
        <v>1967020280</v>
      </c>
      <c r="B8" s="803" t="s">
        <v>73</v>
      </c>
      <c r="C8" s="801">
        <v>17329</v>
      </c>
      <c r="D8" s="800">
        <f t="shared" si="1"/>
        <v>16852.452499999999</v>
      </c>
      <c r="E8" s="801"/>
      <c r="F8" s="801">
        <f t="shared" si="2"/>
        <v>0</v>
      </c>
      <c r="G8" s="801"/>
      <c r="H8" s="801">
        <f t="shared" si="3"/>
        <v>0</v>
      </c>
      <c r="I8" s="801">
        <v>1710</v>
      </c>
      <c r="J8" s="801">
        <f t="shared" si="4"/>
        <v>31635</v>
      </c>
      <c r="K8" s="801">
        <v>650</v>
      </c>
      <c r="L8" s="801">
        <f t="shared" si="5"/>
        <v>18353.919999999998</v>
      </c>
      <c r="M8" s="801"/>
      <c r="N8" s="800">
        <f t="shared" si="6"/>
        <v>0</v>
      </c>
      <c r="O8" s="801"/>
      <c r="P8" s="800">
        <f t="shared" si="7"/>
        <v>0</v>
      </c>
      <c r="Q8" s="800"/>
      <c r="R8" s="800">
        <f t="shared" si="8"/>
        <v>0</v>
      </c>
      <c r="S8" s="801"/>
      <c r="T8" s="801">
        <f t="shared" si="9"/>
        <v>0</v>
      </c>
      <c r="U8" s="801"/>
      <c r="V8" s="801">
        <f t="shared" si="10"/>
        <v>0</v>
      </c>
      <c r="W8" s="801"/>
      <c r="X8" s="19">
        <f t="shared" si="11"/>
        <v>0</v>
      </c>
      <c r="Y8" s="20">
        <f t="shared" si="0"/>
        <v>66841.372499999998</v>
      </c>
    </row>
    <row r="9" spans="1:25" ht="38.25" customHeight="1" x14ac:dyDescent="0.25">
      <c r="A9" s="12">
        <v>1984225580</v>
      </c>
      <c r="B9" s="803" t="s">
        <v>75</v>
      </c>
      <c r="C9" s="801">
        <v>44409</v>
      </c>
      <c r="D9" s="800">
        <f t="shared" si="1"/>
        <v>43187.752500000002</v>
      </c>
      <c r="E9" s="801"/>
      <c r="F9" s="801">
        <f t="shared" si="2"/>
        <v>0</v>
      </c>
      <c r="G9" s="801"/>
      <c r="H9" s="801">
        <f t="shared" si="3"/>
        <v>0</v>
      </c>
      <c r="I9" s="801">
        <v>780</v>
      </c>
      <c r="J9" s="801">
        <f t="shared" si="4"/>
        <v>14430</v>
      </c>
      <c r="K9" s="801"/>
      <c r="L9" s="801">
        <f t="shared" si="5"/>
        <v>0</v>
      </c>
      <c r="M9" s="801"/>
      <c r="N9" s="800">
        <f t="shared" si="6"/>
        <v>0</v>
      </c>
      <c r="O9" s="801"/>
      <c r="P9" s="800">
        <f t="shared" si="7"/>
        <v>0</v>
      </c>
      <c r="Q9" s="800"/>
      <c r="R9" s="800">
        <f t="shared" si="8"/>
        <v>0</v>
      </c>
      <c r="S9" s="801"/>
      <c r="T9" s="801">
        <f t="shared" si="9"/>
        <v>0</v>
      </c>
      <c r="U9" s="801"/>
      <c r="V9" s="801">
        <f t="shared" si="10"/>
        <v>0</v>
      </c>
      <c r="W9" s="801"/>
      <c r="X9" s="19">
        <f t="shared" si="11"/>
        <v>0</v>
      </c>
      <c r="Y9" s="20">
        <f t="shared" si="0"/>
        <v>57617.752500000002</v>
      </c>
    </row>
    <row r="10" spans="1:25" ht="35.25" customHeight="1" x14ac:dyDescent="0.25">
      <c r="A10" s="12">
        <v>1409935199</v>
      </c>
      <c r="C10" s="801"/>
      <c r="D10" s="800">
        <f t="shared" si="1"/>
        <v>0</v>
      </c>
      <c r="E10" s="801"/>
      <c r="F10" s="801">
        <f t="shared" si="2"/>
        <v>0</v>
      </c>
      <c r="G10" s="801"/>
      <c r="H10" s="801">
        <f t="shared" si="3"/>
        <v>0</v>
      </c>
      <c r="I10" s="801"/>
      <c r="J10" s="801">
        <f t="shared" si="4"/>
        <v>0</v>
      </c>
      <c r="K10" s="801"/>
      <c r="L10" s="801">
        <f t="shared" si="5"/>
        <v>0</v>
      </c>
      <c r="M10" s="801"/>
      <c r="N10" s="800">
        <f t="shared" si="6"/>
        <v>0</v>
      </c>
      <c r="O10" s="801"/>
      <c r="P10" s="800">
        <f t="shared" si="7"/>
        <v>0</v>
      </c>
      <c r="Q10" s="800"/>
      <c r="R10" s="800">
        <f t="shared" si="8"/>
        <v>0</v>
      </c>
      <c r="S10" s="801"/>
      <c r="T10" s="801">
        <f t="shared" si="9"/>
        <v>0</v>
      </c>
      <c r="U10" s="801"/>
      <c r="V10" s="801">
        <f t="shared" si="10"/>
        <v>0</v>
      </c>
      <c r="W10" s="801"/>
      <c r="X10" s="19">
        <f t="shared" si="11"/>
        <v>0</v>
      </c>
      <c r="Y10" s="20">
        <f t="shared" si="0"/>
        <v>0</v>
      </c>
    </row>
    <row r="11" spans="1:25" ht="37.5" customHeight="1" x14ac:dyDescent="0.25">
      <c r="A11" s="12"/>
      <c r="B11" s="802"/>
      <c r="C11" s="801"/>
      <c r="D11" s="22">
        <f t="shared" si="1"/>
        <v>0</v>
      </c>
      <c r="E11" s="801"/>
      <c r="F11" s="801">
        <f t="shared" si="2"/>
        <v>0</v>
      </c>
      <c r="G11" s="801"/>
      <c r="H11" s="801">
        <f t="shared" si="3"/>
        <v>0</v>
      </c>
      <c r="I11" s="801"/>
      <c r="J11" s="801">
        <f t="shared" si="4"/>
        <v>0</v>
      </c>
      <c r="K11" s="801"/>
      <c r="L11" s="801">
        <f t="shared" si="5"/>
        <v>0</v>
      </c>
      <c r="M11" s="801"/>
      <c r="N11" s="800">
        <f t="shared" si="6"/>
        <v>0</v>
      </c>
      <c r="O11" s="801"/>
      <c r="P11" s="800">
        <f t="shared" si="7"/>
        <v>0</v>
      </c>
      <c r="Q11" s="800"/>
      <c r="R11" s="800">
        <f t="shared" si="8"/>
        <v>0</v>
      </c>
      <c r="S11" s="801"/>
      <c r="T11" s="801">
        <f t="shared" si="9"/>
        <v>0</v>
      </c>
      <c r="U11" s="801"/>
      <c r="V11" s="801">
        <f t="shared" si="10"/>
        <v>0</v>
      </c>
      <c r="W11" s="801"/>
      <c r="X11" s="19">
        <f t="shared" si="11"/>
        <v>0</v>
      </c>
      <c r="Y11" s="20">
        <f t="shared" si="0"/>
        <v>0</v>
      </c>
    </row>
    <row r="12" spans="1:25" ht="29.25" customHeight="1" x14ac:dyDescent="0.25">
      <c r="A12" s="2235" t="s">
        <v>31</v>
      </c>
      <c r="B12" s="2235"/>
      <c r="C12" s="18">
        <f t="shared" ref="C12:X12" si="12">SUM(C6:C11)</f>
        <v>114872</v>
      </c>
      <c r="D12" s="18">
        <f t="shared" si="12"/>
        <v>111713.02</v>
      </c>
      <c r="E12" s="18">
        <f t="shared" si="12"/>
        <v>0</v>
      </c>
      <c r="F12" s="18">
        <f t="shared" si="12"/>
        <v>0</v>
      </c>
      <c r="G12" s="18">
        <f t="shared" si="12"/>
        <v>10</v>
      </c>
      <c r="H12" s="18">
        <f t="shared" si="12"/>
        <v>282</v>
      </c>
      <c r="I12" s="18">
        <f t="shared" si="12"/>
        <v>6380</v>
      </c>
      <c r="J12" s="18">
        <f t="shared" si="12"/>
        <v>118030</v>
      </c>
      <c r="K12" s="18">
        <f t="shared" si="12"/>
        <v>860</v>
      </c>
      <c r="L12" s="18">
        <f t="shared" si="12"/>
        <v>24283.647999999997</v>
      </c>
      <c r="M12" s="18">
        <f t="shared" si="12"/>
        <v>0</v>
      </c>
      <c r="N12" s="23">
        <f t="shared" si="12"/>
        <v>0</v>
      </c>
      <c r="O12" s="18">
        <f t="shared" si="12"/>
        <v>0</v>
      </c>
      <c r="P12" s="23">
        <f t="shared" si="12"/>
        <v>0</v>
      </c>
      <c r="Q12" s="23">
        <f t="shared" si="12"/>
        <v>0</v>
      </c>
      <c r="R12" s="23">
        <f>SUM(R6:R11)</f>
        <v>0</v>
      </c>
      <c r="S12" s="18">
        <f t="shared" si="12"/>
        <v>22</v>
      </c>
      <c r="T12" s="18">
        <f t="shared" si="12"/>
        <v>5302</v>
      </c>
      <c r="U12" s="18">
        <f t="shared" si="12"/>
        <v>0</v>
      </c>
      <c r="V12" s="18">
        <f t="shared" si="12"/>
        <v>0</v>
      </c>
      <c r="W12" s="18">
        <f t="shared" si="12"/>
        <v>0</v>
      </c>
      <c r="X12" s="18">
        <f t="shared" si="12"/>
        <v>0</v>
      </c>
      <c r="Y12" s="20">
        <f t="shared" si="0"/>
        <v>259610.66800000001</v>
      </c>
    </row>
    <row r="14" spans="1:25" ht="43.5" customHeight="1" x14ac:dyDescent="0.25">
      <c r="A14" s="30" t="s">
        <v>32</v>
      </c>
      <c r="B14" s="2236" t="s">
        <v>27</v>
      </c>
      <c r="C14" s="2236"/>
      <c r="D14" s="30" t="s">
        <v>333</v>
      </c>
      <c r="E14" s="30" t="s">
        <v>65</v>
      </c>
      <c r="F14" s="30" t="s">
        <v>34</v>
      </c>
      <c r="G14" s="30" t="s">
        <v>14</v>
      </c>
      <c r="H14" s="469" t="s">
        <v>173</v>
      </c>
      <c r="I14" s="30" t="s">
        <v>17</v>
      </c>
      <c r="J14" s="809" t="s">
        <v>174</v>
      </c>
      <c r="K14" s="30" t="s">
        <v>36</v>
      </c>
      <c r="L14" s="809" t="s">
        <v>403</v>
      </c>
      <c r="M14" s="30" t="s">
        <v>69</v>
      </c>
      <c r="N14" s="30" t="s">
        <v>70</v>
      </c>
      <c r="O14" s="809" t="s">
        <v>114</v>
      </c>
      <c r="P14" s="809" t="s">
        <v>402</v>
      </c>
      <c r="Q14" s="2300" t="s">
        <v>378</v>
      </c>
      <c r="R14" s="2301"/>
      <c r="S14" s="809" t="s">
        <v>401</v>
      </c>
      <c r="T14" s="2235" t="s">
        <v>46</v>
      </c>
      <c r="U14" s="803" t="s">
        <v>176</v>
      </c>
      <c r="V14" s="2260">
        <v>198250</v>
      </c>
      <c r="W14" s="2268"/>
      <c r="X14" s="2261"/>
    </row>
    <row r="15" spans="1:25" ht="22.5" customHeight="1" x14ac:dyDescent="0.25">
      <c r="A15" s="100" t="s">
        <v>38</v>
      </c>
      <c r="B15" s="2260">
        <v>210317</v>
      </c>
      <c r="C15" s="2261"/>
      <c r="D15" s="806">
        <v>502</v>
      </c>
      <c r="E15" s="806">
        <v>950</v>
      </c>
      <c r="F15" s="806">
        <v>23590</v>
      </c>
      <c r="G15" s="806">
        <v>4990</v>
      </c>
      <c r="H15" s="806">
        <v>125</v>
      </c>
      <c r="I15" s="806">
        <v>0</v>
      </c>
      <c r="J15" s="806">
        <v>26</v>
      </c>
      <c r="K15" s="806">
        <v>71</v>
      </c>
      <c r="L15" s="806">
        <v>0</v>
      </c>
      <c r="M15" s="806">
        <v>0</v>
      </c>
      <c r="N15" s="806">
        <v>100</v>
      </c>
      <c r="O15" s="806">
        <v>0</v>
      </c>
      <c r="P15" s="806">
        <v>42</v>
      </c>
      <c r="Q15" s="2260">
        <v>0</v>
      </c>
      <c r="R15" s="2261"/>
      <c r="S15" s="803">
        <v>100</v>
      </c>
      <c r="T15" s="2235"/>
      <c r="U15" s="803" t="s">
        <v>64</v>
      </c>
      <c r="V15" s="2262">
        <v>8860</v>
      </c>
      <c r="W15" s="2262"/>
      <c r="X15" s="2262"/>
    </row>
    <row r="16" spans="1:25" ht="24.75" customHeight="1" x14ac:dyDescent="0.25">
      <c r="A16" s="100" t="s">
        <v>39</v>
      </c>
      <c r="B16" s="2260">
        <v>207792</v>
      </c>
      <c r="C16" s="2261"/>
      <c r="D16" s="806"/>
      <c r="E16" s="806"/>
      <c r="F16" s="806"/>
      <c r="G16" s="806"/>
      <c r="H16" s="806"/>
      <c r="I16" s="806"/>
      <c r="J16" s="806"/>
      <c r="K16" s="806"/>
      <c r="L16" s="806"/>
      <c r="M16" s="806"/>
      <c r="N16" s="806"/>
      <c r="O16" s="806"/>
      <c r="P16" s="806"/>
      <c r="Q16" s="2225"/>
      <c r="R16" s="2225"/>
      <c r="S16" s="806"/>
      <c r="T16" s="2254" t="s">
        <v>55</v>
      </c>
      <c r="U16" s="2254"/>
      <c r="V16" s="2267">
        <f>Y12</f>
        <v>259610.66800000001</v>
      </c>
      <c r="W16" s="2267"/>
      <c r="X16" s="2262"/>
    </row>
    <row r="17" spans="1:25" ht="28.5" customHeight="1" x14ac:dyDescent="0.25">
      <c r="A17" s="101" t="s">
        <v>44</v>
      </c>
      <c r="B17" s="2260"/>
      <c r="C17" s="2261"/>
      <c r="D17" s="806"/>
      <c r="E17" s="806"/>
      <c r="F17" s="806"/>
      <c r="G17" s="806"/>
      <c r="H17" s="806"/>
      <c r="I17" s="806"/>
      <c r="J17" s="806"/>
      <c r="K17" s="806"/>
      <c r="L17" s="806"/>
      <c r="M17" s="806"/>
      <c r="N17" s="806"/>
      <c r="O17" s="806"/>
      <c r="P17" s="806"/>
      <c r="Q17" s="2225"/>
      <c r="R17" s="2225"/>
      <c r="S17" s="802"/>
      <c r="T17" s="2294" t="s">
        <v>362</v>
      </c>
      <c r="U17" s="2295"/>
      <c r="V17" s="2296"/>
      <c r="W17" s="2296"/>
      <c r="X17" s="2296"/>
    </row>
    <row r="18" spans="1:25" ht="27" customHeight="1" x14ac:dyDescent="0.25">
      <c r="A18" s="100" t="s">
        <v>40</v>
      </c>
      <c r="B18" s="2264">
        <f>C12</f>
        <v>114872</v>
      </c>
      <c r="C18" s="2261"/>
      <c r="D18" s="808">
        <f>E12</f>
        <v>0</v>
      </c>
      <c r="E18" s="808">
        <f>G12</f>
        <v>10</v>
      </c>
      <c r="F18" s="808">
        <f>I12</f>
        <v>6380</v>
      </c>
      <c r="G18" s="808">
        <f>K12</f>
        <v>860</v>
      </c>
      <c r="H18" s="806">
        <v>22</v>
      </c>
      <c r="I18" s="808">
        <f>U12</f>
        <v>0</v>
      </c>
      <c r="J18" s="806"/>
      <c r="K18" s="808">
        <f>W12</f>
        <v>0</v>
      </c>
      <c r="L18" s="806"/>
      <c r="M18" s="808">
        <f>M12</f>
        <v>0</v>
      </c>
      <c r="N18" s="808"/>
      <c r="O18" s="807">
        <f>Q12</f>
        <v>0</v>
      </c>
      <c r="P18" s="808">
        <f>O12</f>
        <v>0</v>
      </c>
      <c r="Q18" s="2262"/>
      <c r="R18" s="2262"/>
      <c r="S18" s="803"/>
      <c r="T18" s="2254" t="s">
        <v>57</v>
      </c>
      <c r="U18" s="2254"/>
      <c r="V18" s="2262">
        <v>840</v>
      </c>
      <c r="W18" s="2262"/>
      <c r="X18" s="2262"/>
      <c r="Y18" s="2269"/>
    </row>
    <row r="19" spans="1:25" ht="25.5" customHeight="1" x14ac:dyDescent="0.25">
      <c r="A19" s="100" t="s">
        <v>41</v>
      </c>
      <c r="B19" s="2260">
        <f>B15+B16+B17-B18</f>
        <v>303237</v>
      </c>
      <c r="C19" s="2261"/>
      <c r="D19" s="806">
        <f>D15+D16+D17-D18</f>
        <v>502</v>
      </c>
      <c r="E19" s="806">
        <f t="shared" ref="E19:N19" si="13">E15+E16+E17-E18</f>
        <v>940</v>
      </c>
      <c r="F19" s="806">
        <f t="shared" si="13"/>
        <v>17210</v>
      </c>
      <c r="G19" s="806">
        <f t="shared" si="13"/>
        <v>4130</v>
      </c>
      <c r="H19" s="806">
        <f t="shared" si="13"/>
        <v>103</v>
      </c>
      <c r="I19" s="806">
        <f t="shared" si="13"/>
        <v>0</v>
      </c>
      <c r="J19" s="806">
        <f t="shared" si="13"/>
        <v>26</v>
      </c>
      <c r="K19" s="806">
        <f t="shared" si="13"/>
        <v>71</v>
      </c>
      <c r="L19" s="806">
        <f t="shared" si="13"/>
        <v>0</v>
      </c>
      <c r="M19" s="806">
        <f t="shared" si="13"/>
        <v>0</v>
      </c>
      <c r="N19" s="806">
        <f t="shared" si="13"/>
        <v>100</v>
      </c>
      <c r="O19" s="806">
        <f>O15+O16+O17-O18</f>
        <v>0</v>
      </c>
      <c r="P19" s="806">
        <f>P15+P16+P17-P18</f>
        <v>42</v>
      </c>
      <c r="Q19" s="2260">
        <f t="shared" ref="Q19" si="14">Q15+Q16+Q17-Q18</f>
        <v>0</v>
      </c>
      <c r="R19" s="2261"/>
      <c r="S19" s="803">
        <f>S15+S16-S17-S18</f>
        <v>100</v>
      </c>
      <c r="T19" s="2256" t="s">
        <v>48</v>
      </c>
      <c r="U19" s="49" t="s">
        <v>58</v>
      </c>
      <c r="V19" s="2262">
        <v>400000</v>
      </c>
      <c r="W19" s="2262"/>
      <c r="X19" s="2262"/>
      <c r="Y19" s="2269"/>
    </row>
    <row r="20" spans="1:25" ht="23.25" customHeight="1" x14ac:dyDescent="0.25">
      <c r="A20" s="289" t="s">
        <v>187</v>
      </c>
      <c r="B20" s="2286">
        <f>B19*0.9625</f>
        <v>291865.61249999999</v>
      </c>
      <c r="C20" s="2287"/>
      <c r="D20" s="290">
        <f>D19*66.41</f>
        <v>33337.82</v>
      </c>
      <c r="E20" s="290">
        <f>27.9368*E19</f>
        <v>26260.592000000001</v>
      </c>
      <c r="F20" s="290">
        <f>18.31*F19</f>
        <v>315115.09999999998</v>
      </c>
      <c r="G20" s="290">
        <f>27.9368*G19</f>
        <v>115378.98400000001</v>
      </c>
      <c r="H20" s="290">
        <f>241*H19</f>
        <v>24823</v>
      </c>
      <c r="I20" s="290">
        <f>323*I19</f>
        <v>0</v>
      </c>
      <c r="J20" s="290">
        <f>241*J19</f>
        <v>6266</v>
      </c>
      <c r="K20" s="290">
        <f>K19*100</f>
        <v>7100</v>
      </c>
      <c r="L20" s="290">
        <f>241*L19</f>
        <v>0</v>
      </c>
      <c r="M20" s="290">
        <f>9.65*M19</f>
        <v>0</v>
      </c>
      <c r="N20" s="290">
        <f>N19*48.2</f>
        <v>4820</v>
      </c>
      <c r="O20" s="290">
        <f>241*O19</f>
        <v>0</v>
      </c>
      <c r="P20" s="290">
        <f>241*P19</f>
        <v>10122</v>
      </c>
      <c r="Q20" s="2286">
        <f>341*Q19</f>
        <v>0</v>
      </c>
      <c r="R20" s="2287"/>
      <c r="S20" s="290">
        <f>241*S19</f>
        <v>24100</v>
      </c>
      <c r="T20" s="2257"/>
      <c r="U20" s="49" t="s">
        <v>59</v>
      </c>
      <c r="V20" s="2262"/>
      <c r="W20" s="2262"/>
      <c r="X20" s="2262"/>
      <c r="Y20" s="2269"/>
    </row>
    <row r="21" spans="1:25" ht="32.25" customHeight="1" x14ac:dyDescent="0.25">
      <c r="A21" s="291" t="s">
        <v>186</v>
      </c>
      <c r="B21" s="2293">
        <f>SUM(B20:S20)</f>
        <v>859189.10849999997</v>
      </c>
      <c r="C21" s="2293"/>
      <c r="O21" s="810"/>
      <c r="P21" s="810"/>
      <c r="Q21" s="810"/>
      <c r="R21" s="810"/>
      <c r="T21" s="2294" t="s">
        <v>366</v>
      </c>
      <c r="U21" s="2295"/>
      <c r="V21" s="2297"/>
      <c r="W21" s="2298"/>
      <c r="X21" s="2299"/>
      <c r="Y21" s="2269"/>
    </row>
    <row r="22" spans="1:25" ht="35.25" customHeight="1" x14ac:dyDescent="0.25">
      <c r="A22" s="15"/>
      <c r="B22" s="2288" t="s">
        <v>49</v>
      </c>
      <c r="C22" s="2291">
        <v>800366</v>
      </c>
      <c r="D22" s="2291">
        <v>400000</v>
      </c>
      <c r="E22" s="2291">
        <v>200000</v>
      </c>
      <c r="F22" s="2291">
        <f>C22-D22+E22</f>
        <v>600366</v>
      </c>
      <c r="G22" s="810"/>
      <c r="Q22" s="810"/>
      <c r="R22" s="810"/>
      <c r="T22" s="2251" t="s">
        <v>83</v>
      </c>
      <c r="U22" s="50" t="s">
        <v>60</v>
      </c>
      <c r="V22" s="2262">
        <v>403400</v>
      </c>
      <c r="W22" s="2262"/>
      <c r="X22" s="2262"/>
      <c r="Y22" s="2269"/>
    </row>
    <row r="23" spans="1:25" ht="39.75" customHeight="1" x14ac:dyDescent="0.25">
      <c r="A23" s="810"/>
      <c r="B23" s="2289"/>
      <c r="C23" s="2292"/>
      <c r="D23" s="2292"/>
      <c r="E23" s="2292"/>
      <c r="F23" s="2292"/>
      <c r="G23" s="810"/>
      <c r="Q23" s="810"/>
      <c r="R23" s="810"/>
      <c r="T23" s="2252"/>
      <c r="U23" s="50" t="s">
        <v>61</v>
      </c>
      <c r="V23" s="2262">
        <v>400000</v>
      </c>
      <c r="W23" s="2262"/>
      <c r="X23" s="2262"/>
      <c r="Y23" s="2269"/>
    </row>
    <row r="24" spans="1:25" ht="48" customHeight="1" x14ac:dyDescent="0.25">
      <c r="A24" s="810"/>
      <c r="B24" s="2290"/>
      <c r="C24" s="290" t="s">
        <v>46</v>
      </c>
      <c r="D24" s="290" t="s">
        <v>50</v>
      </c>
      <c r="E24" s="290" t="s">
        <v>51</v>
      </c>
      <c r="F24" s="290" t="s">
        <v>52</v>
      </c>
      <c r="G24" s="810"/>
      <c r="Q24" s="810"/>
      <c r="R24" s="810"/>
      <c r="T24" s="2235" t="s">
        <v>47</v>
      </c>
      <c r="U24" s="51" t="s">
        <v>62</v>
      </c>
      <c r="V24" s="2263">
        <f>V14+V16+V17-V18-V19-V20-V22+V23-V21</f>
        <v>53620.668000000005</v>
      </c>
      <c r="W24" s="2263"/>
      <c r="X24" s="2263"/>
      <c r="Y24" s="2269"/>
    </row>
    <row r="25" spans="1:25" ht="40.5" customHeight="1" x14ac:dyDescent="0.25">
      <c r="T25" s="2235"/>
      <c r="U25" s="51" t="s">
        <v>63</v>
      </c>
      <c r="V25" s="2262">
        <f>V15+V22-V23</f>
        <v>12260</v>
      </c>
      <c r="W25" s="2262"/>
      <c r="X25" s="2262"/>
    </row>
    <row r="26" spans="1:25" ht="36" customHeight="1" x14ac:dyDescent="0.25">
      <c r="K26" s="314"/>
    </row>
    <row r="28" spans="1:25" x14ac:dyDescent="0.25">
      <c r="J28" s="14" t="s">
        <v>139</v>
      </c>
    </row>
    <row r="32" spans="1:25" x14ac:dyDescent="0.25">
      <c r="I32" s="2280"/>
      <c r="J32" s="2280"/>
      <c r="K32" s="2280"/>
      <c r="L32" s="2280"/>
    </row>
    <row r="33" spans="9:12" x14ac:dyDescent="0.25">
      <c r="I33" s="810"/>
      <c r="J33" s="810"/>
      <c r="K33" s="2280"/>
      <c r="L33" s="2280"/>
    </row>
  </sheetData>
  <mergeCells count="62">
    <mergeCell ref="A1:Y1"/>
    <mergeCell ref="A2:Y2"/>
    <mergeCell ref="T3:Y3"/>
    <mergeCell ref="A4:A5"/>
    <mergeCell ref="B4:B5"/>
    <mergeCell ref="C4:D4"/>
    <mergeCell ref="E4:F4"/>
    <mergeCell ref="G4:H4"/>
    <mergeCell ref="I4:J4"/>
    <mergeCell ref="K4:L4"/>
    <mergeCell ref="Y4:Y5"/>
    <mergeCell ref="M4:N4"/>
    <mergeCell ref="O4:P4"/>
    <mergeCell ref="Q4:R4"/>
    <mergeCell ref="S4:T4"/>
    <mergeCell ref="U4:V4"/>
    <mergeCell ref="W4:X4"/>
    <mergeCell ref="B16:C16"/>
    <mergeCell ref="Q16:R16"/>
    <mergeCell ref="T16:U16"/>
    <mergeCell ref="V16:X16"/>
    <mergeCell ref="A12:B12"/>
    <mergeCell ref="B14:C14"/>
    <mergeCell ref="Q14:R14"/>
    <mergeCell ref="T14:T15"/>
    <mergeCell ref="V14:X14"/>
    <mergeCell ref="B15:C15"/>
    <mergeCell ref="Q15:R15"/>
    <mergeCell ref="V15:X15"/>
    <mergeCell ref="B17:C17"/>
    <mergeCell ref="Q17:R17"/>
    <mergeCell ref="T17:U17"/>
    <mergeCell ref="V17:X17"/>
    <mergeCell ref="B18:C18"/>
    <mergeCell ref="Q18:R18"/>
    <mergeCell ref="T18:U18"/>
    <mergeCell ref="V18:X18"/>
    <mergeCell ref="Y18:Y24"/>
    <mergeCell ref="B19:C19"/>
    <mergeCell ref="Q19:R19"/>
    <mergeCell ref="T19:T20"/>
    <mergeCell ref="V19:X19"/>
    <mergeCell ref="B20:C20"/>
    <mergeCell ref="B22:B24"/>
    <mergeCell ref="C22:C23"/>
    <mergeCell ref="D22:D23"/>
    <mergeCell ref="E22:E23"/>
    <mergeCell ref="F22:F23"/>
    <mergeCell ref="Q20:R20"/>
    <mergeCell ref="V20:X20"/>
    <mergeCell ref="B21:C21"/>
    <mergeCell ref="T21:U21"/>
    <mergeCell ref="V21:X21"/>
    <mergeCell ref="I32:J32"/>
    <mergeCell ref="K32:L32"/>
    <mergeCell ref="K33:L33"/>
    <mergeCell ref="T22:T23"/>
    <mergeCell ref="V22:X22"/>
    <mergeCell ref="V23:X23"/>
    <mergeCell ref="T24:T25"/>
    <mergeCell ref="V24:X24"/>
    <mergeCell ref="V25:X25"/>
  </mergeCells>
  <pageMargins left="0.15748031496063" right="0.15748031496063" top="0" bottom="0" header="0" footer="0"/>
  <pageSetup paperSize="9" scale="45" orientation="landscape" r:id="rId1"/>
</worksheet>
</file>

<file path=xl/worksheets/sheet18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3D8FD93-E239-45D2-82D9-95A0705994D3}">
  <sheetPr>
    <pageSetUpPr fitToPage="1"/>
  </sheetPr>
  <dimension ref="A1:Y33"/>
  <sheetViews>
    <sheetView topLeftCell="A9" zoomScale="70" zoomScaleNormal="70" zoomScaleSheetLayoutView="100" workbookViewId="0">
      <selection activeCell="J24" sqref="J24"/>
    </sheetView>
  </sheetViews>
  <sheetFormatPr defaultColWidth="9.140625" defaultRowHeight="15" x14ac:dyDescent="0.25"/>
  <cols>
    <col min="1" max="1" width="18.28515625" style="14" customWidth="1"/>
    <col min="2" max="2" width="10.7109375" style="14" customWidth="1"/>
    <col min="3" max="3" width="12.28515625" style="14" customWidth="1"/>
    <col min="4" max="4" width="13.140625" style="14" bestFit="1" customWidth="1"/>
    <col min="5" max="5" width="12" style="14" customWidth="1"/>
    <col min="6" max="6" width="12.5703125" style="14" bestFit="1" customWidth="1"/>
    <col min="7" max="7" width="16" style="14" bestFit="1" customWidth="1"/>
    <col min="8" max="8" width="10.140625" style="14" bestFit="1" customWidth="1"/>
    <col min="9" max="9" width="10.5703125" style="14" bestFit="1" customWidth="1"/>
    <col min="10" max="10" width="10.5703125" style="14" customWidth="1"/>
    <col min="11" max="11" width="10.28515625" style="14" bestFit="1" customWidth="1"/>
    <col min="12" max="12" width="10.42578125" style="14" bestFit="1" customWidth="1"/>
    <col min="13" max="13" width="9.85546875" style="14" bestFit="1" customWidth="1"/>
    <col min="14" max="14" width="10.140625" style="14" bestFit="1" customWidth="1"/>
    <col min="15" max="15" width="9" style="14" customWidth="1"/>
    <col min="16" max="16" width="12.85546875" style="14" bestFit="1" customWidth="1"/>
    <col min="17" max="18" width="9.42578125" style="14" customWidth="1"/>
    <col min="19" max="19" width="13.7109375" style="14" customWidth="1"/>
    <col min="20" max="20" width="12.140625" style="14" customWidth="1"/>
    <col min="21" max="21" width="21.7109375" style="14" customWidth="1"/>
    <col min="22" max="22" width="9.85546875" style="14" customWidth="1"/>
    <col min="23" max="23" width="10.140625" style="14" bestFit="1" customWidth="1"/>
    <col min="24" max="24" width="10.28515625" style="14" customWidth="1"/>
    <col min="25" max="25" width="28" style="14" customWidth="1"/>
    <col min="26" max="16384" width="9.140625" style="14"/>
  </cols>
  <sheetData>
    <row r="1" spans="1:25" ht="46.15" customHeight="1" x14ac:dyDescent="0.25">
      <c r="A1" s="2240" t="s">
        <v>148</v>
      </c>
      <c r="B1" s="2240"/>
      <c r="C1" s="2240"/>
      <c r="D1" s="2240"/>
      <c r="E1" s="2240"/>
      <c r="F1" s="2240"/>
      <c r="G1" s="2240"/>
      <c r="H1" s="2240"/>
      <c r="I1" s="2240"/>
      <c r="J1" s="2240"/>
      <c r="K1" s="2240"/>
      <c r="L1" s="2240"/>
      <c r="M1" s="2240"/>
      <c r="N1" s="2240"/>
      <c r="O1" s="2240"/>
      <c r="P1" s="2240"/>
      <c r="Q1" s="2240"/>
      <c r="R1" s="2240"/>
      <c r="S1" s="2240"/>
      <c r="T1" s="2240"/>
      <c r="U1" s="2240"/>
      <c r="V1" s="2240"/>
      <c r="W1" s="2240"/>
      <c r="X1" s="2240"/>
      <c r="Y1" s="2240"/>
    </row>
    <row r="2" spans="1:25" ht="21.6" customHeight="1" x14ac:dyDescent="0.25">
      <c r="A2" s="2241" t="s">
        <v>383</v>
      </c>
      <c r="B2" s="2241"/>
      <c r="C2" s="2241"/>
      <c r="D2" s="2241"/>
      <c r="E2" s="2241"/>
      <c r="F2" s="2241"/>
      <c r="G2" s="2241"/>
      <c r="H2" s="2241"/>
      <c r="I2" s="2241"/>
      <c r="J2" s="2241"/>
      <c r="K2" s="2241"/>
      <c r="L2" s="2241"/>
      <c r="M2" s="2241"/>
      <c r="N2" s="2241"/>
      <c r="O2" s="2241"/>
      <c r="P2" s="2241"/>
      <c r="Q2" s="2241"/>
      <c r="R2" s="2241"/>
      <c r="S2" s="2241"/>
      <c r="T2" s="2241"/>
      <c r="U2" s="2241"/>
      <c r="V2" s="2241"/>
      <c r="W2" s="2241"/>
      <c r="X2" s="2241"/>
      <c r="Y2" s="2241"/>
    </row>
    <row r="3" spans="1:25" ht="21" customHeight="1" x14ac:dyDescent="0.25">
      <c r="A3" s="811"/>
      <c r="B3" s="811"/>
      <c r="C3" s="811"/>
      <c r="D3" s="811"/>
      <c r="E3" s="811"/>
      <c r="F3" s="811"/>
      <c r="G3" s="811"/>
      <c r="H3" s="811"/>
      <c r="I3" s="811"/>
      <c r="J3" s="811"/>
      <c r="K3" s="811"/>
      <c r="L3" s="811"/>
      <c r="M3" s="811"/>
      <c r="N3" s="811"/>
      <c r="O3" s="811"/>
      <c r="P3" s="811"/>
      <c r="Q3" s="811"/>
      <c r="R3" s="811"/>
      <c r="S3" s="811"/>
      <c r="T3" s="2242" t="s">
        <v>405</v>
      </c>
      <c r="U3" s="2242"/>
      <c r="V3" s="2242"/>
      <c r="W3" s="2242"/>
      <c r="X3" s="2242"/>
      <c r="Y3" s="2242"/>
    </row>
    <row r="4" spans="1:25" s="811" customFormat="1" ht="18" customHeight="1" x14ac:dyDescent="0.25">
      <c r="A4" s="2243" t="s">
        <v>25</v>
      </c>
      <c r="B4" s="2243" t="s">
        <v>26</v>
      </c>
      <c r="C4" s="2244" t="s">
        <v>27</v>
      </c>
      <c r="D4" s="2244"/>
      <c r="E4" s="2244" t="s">
        <v>342</v>
      </c>
      <c r="F4" s="2244"/>
      <c r="G4" s="2244" t="s">
        <v>65</v>
      </c>
      <c r="H4" s="2244"/>
      <c r="I4" s="2244" t="s">
        <v>29</v>
      </c>
      <c r="J4" s="2244"/>
      <c r="K4" s="2245" t="s">
        <v>14</v>
      </c>
      <c r="L4" s="2246"/>
      <c r="M4" s="2245" t="s">
        <v>67</v>
      </c>
      <c r="N4" s="2246"/>
      <c r="O4" s="2245" t="s">
        <v>68</v>
      </c>
      <c r="P4" s="2246"/>
      <c r="Q4" s="2245" t="s">
        <v>114</v>
      </c>
      <c r="R4" s="2246"/>
      <c r="S4" s="2244" t="s">
        <v>35</v>
      </c>
      <c r="T4" s="2244"/>
      <c r="U4" s="2245" t="s">
        <v>17</v>
      </c>
      <c r="V4" s="2246"/>
      <c r="W4" s="2247" t="s">
        <v>36</v>
      </c>
      <c r="X4" s="2248"/>
      <c r="Y4" s="2238" t="s">
        <v>30</v>
      </c>
    </row>
    <row r="5" spans="1:25" s="811" customFormat="1" ht="25.5" customHeight="1" x14ac:dyDescent="0.25">
      <c r="A5" s="2243"/>
      <c r="B5" s="2243"/>
      <c r="C5" s="813" t="s">
        <v>42</v>
      </c>
      <c r="D5" s="813" t="s">
        <v>43</v>
      </c>
      <c r="E5" s="813" t="s">
        <v>42</v>
      </c>
      <c r="F5" s="813" t="s">
        <v>43</v>
      </c>
      <c r="G5" s="813" t="s">
        <v>42</v>
      </c>
      <c r="H5" s="813" t="s">
        <v>43</v>
      </c>
      <c r="I5" s="813" t="s">
        <v>42</v>
      </c>
      <c r="J5" s="813" t="s">
        <v>43</v>
      </c>
      <c r="K5" s="813" t="s">
        <v>42</v>
      </c>
      <c r="L5" s="813" t="s">
        <v>43</v>
      </c>
      <c r="M5" s="813" t="s">
        <v>42</v>
      </c>
      <c r="N5" s="813" t="s">
        <v>43</v>
      </c>
      <c r="O5" s="813" t="s">
        <v>42</v>
      </c>
      <c r="P5" s="813" t="s">
        <v>43</v>
      </c>
      <c r="Q5" s="813" t="s">
        <v>42</v>
      </c>
      <c r="R5" s="813" t="s">
        <v>43</v>
      </c>
      <c r="S5" s="33" t="s">
        <v>42</v>
      </c>
      <c r="T5" s="33" t="s">
        <v>43</v>
      </c>
      <c r="U5" s="30" t="s">
        <v>42</v>
      </c>
      <c r="V5" s="30" t="s">
        <v>43</v>
      </c>
      <c r="W5" s="30" t="s">
        <v>42</v>
      </c>
      <c r="X5" s="30" t="s">
        <v>43</v>
      </c>
      <c r="Y5" s="2239"/>
    </row>
    <row r="6" spans="1:25" ht="34.5" customHeight="1" x14ac:dyDescent="0.25">
      <c r="A6" s="12">
        <v>1409935200</v>
      </c>
      <c r="B6" s="812" t="s">
        <v>71</v>
      </c>
      <c r="C6" s="815">
        <v>95810</v>
      </c>
      <c r="D6" s="816">
        <f>0.9725*C6</f>
        <v>93175.225000000006</v>
      </c>
      <c r="E6" s="815"/>
      <c r="F6" s="815">
        <f>67.1*E6</f>
        <v>0</v>
      </c>
      <c r="G6" s="815"/>
      <c r="H6" s="815">
        <f>28.2*G6</f>
        <v>0</v>
      </c>
      <c r="I6" s="815">
        <v>390</v>
      </c>
      <c r="J6" s="815">
        <f>18.5*I6</f>
        <v>7215</v>
      </c>
      <c r="K6" s="815">
        <v>130</v>
      </c>
      <c r="L6" s="815">
        <f>28.2368*K6</f>
        <v>3670.7839999999997</v>
      </c>
      <c r="M6" s="815"/>
      <c r="N6" s="816">
        <f>M6*9.75</f>
        <v>0</v>
      </c>
      <c r="O6" s="815"/>
      <c r="P6" s="816">
        <f>O6*48.7</f>
        <v>0</v>
      </c>
      <c r="Q6" s="816"/>
      <c r="R6" s="816">
        <f>241*Q6</f>
        <v>0</v>
      </c>
      <c r="S6" s="815"/>
      <c r="T6" s="815">
        <f>241*S6</f>
        <v>0</v>
      </c>
      <c r="U6" s="815"/>
      <c r="V6" s="815">
        <f>332*U6</f>
        <v>0</v>
      </c>
      <c r="W6" s="815"/>
      <c r="X6" s="19">
        <f>W6*100</f>
        <v>0</v>
      </c>
      <c r="Y6" s="20">
        <f t="shared" ref="Y6:Y12" si="0">D6+F6+H6+J6+L6+N6+P6+R6+T6+V6+X6</f>
        <v>104061.00900000001</v>
      </c>
    </row>
    <row r="7" spans="1:25" ht="31.5" customHeight="1" x14ac:dyDescent="0.25">
      <c r="A7" s="12">
        <v>1984225578</v>
      </c>
      <c r="B7" s="812" t="s">
        <v>72</v>
      </c>
      <c r="C7" s="815">
        <v>65140</v>
      </c>
      <c r="D7" s="816">
        <f t="shared" ref="D7:D11" si="1">0.9725*C7</f>
        <v>63348.65</v>
      </c>
      <c r="E7" s="815"/>
      <c r="F7" s="815">
        <f t="shared" ref="F7:F11" si="2">67.1*E7</f>
        <v>0</v>
      </c>
      <c r="G7" s="815"/>
      <c r="H7" s="815">
        <f t="shared" ref="H7:H11" si="3">28.2*G7</f>
        <v>0</v>
      </c>
      <c r="I7" s="815">
        <v>400</v>
      </c>
      <c r="J7" s="815">
        <f t="shared" ref="J7:J11" si="4">18.5*I7</f>
        <v>7400</v>
      </c>
      <c r="K7" s="815"/>
      <c r="L7" s="815">
        <f t="shared" ref="L7:L11" si="5">28.2368*K7</f>
        <v>0</v>
      </c>
      <c r="M7" s="815"/>
      <c r="N7" s="816">
        <f t="shared" ref="N7:N11" si="6">M7*9.75</f>
        <v>0</v>
      </c>
      <c r="O7" s="815"/>
      <c r="P7" s="816">
        <f t="shared" ref="P7:P11" si="7">O7*48.7</f>
        <v>0</v>
      </c>
      <c r="Q7" s="816"/>
      <c r="R7" s="816">
        <f t="shared" ref="R7:R11" si="8">241*Q7</f>
        <v>0</v>
      </c>
      <c r="S7" s="815"/>
      <c r="T7" s="815">
        <f t="shared" ref="T7:T11" si="9">241*S7</f>
        <v>0</v>
      </c>
      <c r="U7" s="815"/>
      <c r="V7" s="815">
        <f t="shared" ref="V7:V11" si="10">332*U7</f>
        <v>0</v>
      </c>
      <c r="W7" s="815"/>
      <c r="X7" s="19">
        <f t="shared" ref="X7:X11" si="11">W7*100</f>
        <v>0</v>
      </c>
      <c r="Y7" s="20">
        <f t="shared" si="0"/>
        <v>70748.649999999994</v>
      </c>
    </row>
    <row r="8" spans="1:25" ht="35.25" customHeight="1" x14ac:dyDescent="0.25">
      <c r="A8" s="12">
        <v>1967020280</v>
      </c>
      <c r="B8" s="812" t="s">
        <v>73</v>
      </c>
      <c r="C8" s="815">
        <v>45114</v>
      </c>
      <c r="D8" s="816">
        <f t="shared" si="1"/>
        <v>43873.364999999998</v>
      </c>
      <c r="E8" s="815"/>
      <c r="F8" s="815">
        <f t="shared" si="2"/>
        <v>0</v>
      </c>
      <c r="G8" s="815"/>
      <c r="H8" s="815">
        <f t="shared" si="3"/>
        <v>0</v>
      </c>
      <c r="I8" s="815">
        <v>120</v>
      </c>
      <c r="J8" s="815">
        <f t="shared" si="4"/>
        <v>2220</v>
      </c>
      <c r="K8" s="815"/>
      <c r="L8" s="815">
        <f t="shared" si="5"/>
        <v>0</v>
      </c>
      <c r="M8" s="815"/>
      <c r="N8" s="816">
        <f t="shared" si="6"/>
        <v>0</v>
      </c>
      <c r="O8" s="815"/>
      <c r="P8" s="816">
        <f t="shared" si="7"/>
        <v>0</v>
      </c>
      <c r="Q8" s="816"/>
      <c r="R8" s="816">
        <f t="shared" si="8"/>
        <v>0</v>
      </c>
      <c r="S8" s="815">
        <v>3</v>
      </c>
      <c r="T8" s="815">
        <f t="shared" si="9"/>
        <v>723</v>
      </c>
      <c r="U8" s="815"/>
      <c r="V8" s="815">
        <f t="shared" si="10"/>
        <v>0</v>
      </c>
      <c r="W8" s="815"/>
      <c r="X8" s="19">
        <f t="shared" si="11"/>
        <v>0</v>
      </c>
      <c r="Y8" s="20">
        <f t="shared" si="0"/>
        <v>46816.364999999998</v>
      </c>
    </row>
    <row r="9" spans="1:25" ht="38.25" customHeight="1" x14ac:dyDescent="0.25">
      <c r="A9" s="12">
        <v>1984225580</v>
      </c>
      <c r="B9" s="812" t="s">
        <v>75</v>
      </c>
      <c r="C9" s="815">
        <v>67744</v>
      </c>
      <c r="D9" s="816">
        <f t="shared" si="1"/>
        <v>65881.040000000008</v>
      </c>
      <c r="E9" s="815"/>
      <c r="F9" s="815">
        <f t="shared" si="2"/>
        <v>0</v>
      </c>
      <c r="G9" s="815"/>
      <c r="H9" s="815">
        <f t="shared" si="3"/>
        <v>0</v>
      </c>
      <c r="I9" s="815"/>
      <c r="J9" s="815">
        <f t="shared" si="4"/>
        <v>0</v>
      </c>
      <c r="K9" s="815"/>
      <c r="L9" s="815">
        <f t="shared" si="5"/>
        <v>0</v>
      </c>
      <c r="M9" s="815"/>
      <c r="N9" s="816">
        <f t="shared" si="6"/>
        <v>0</v>
      </c>
      <c r="O9" s="815"/>
      <c r="P9" s="816">
        <f t="shared" si="7"/>
        <v>0</v>
      </c>
      <c r="Q9" s="816"/>
      <c r="R9" s="816">
        <f t="shared" si="8"/>
        <v>0</v>
      </c>
      <c r="S9" s="815"/>
      <c r="T9" s="815">
        <f t="shared" si="9"/>
        <v>0</v>
      </c>
      <c r="U9" s="815"/>
      <c r="V9" s="815">
        <f t="shared" si="10"/>
        <v>0</v>
      </c>
      <c r="W9" s="815"/>
      <c r="X9" s="19">
        <f t="shared" si="11"/>
        <v>0</v>
      </c>
      <c r="Y9" s="20">
        <f t="shared" si="0"/>
        <v>65881.040000000008</v>
      </c>
    </row>
    <row r="10" spans="1:25" ht="35.25" customHeight="1" x14ac:dyDescent="0.25">
      <c r="A10" s="12">
        <v>1409935199</v>
      </c>
      <c r="C10" s="815"/>
      <c r="D10" s="816">
        <f t="shared" si="1"/>
        <v>0</v>
      </c>
      <c r="E10" s="815"/>
      <c r="F10" s="815">
        <f t="shared" si="2"/>
        <v>0</v>
      </c>
      <c r="G10" s="815"/>
      <c r="H10" s="815">
        <f t="shared" si="3"/>
        <v>0</v>
      </c>
      <c r="I10" s="815"/>
      <c r="J10" s="815">
        <f t="shared" si="4"/>
        <v>0</v>
      </c>
      <c r="K10" s="815"/>
      <c r="L10" s="815">
        <f t="shared" si="5"/>
        <v>0</v>
      </c>
      <c r="M10" s="815"/>
      <c r="N10" s="816">
        <f t="shared" si="6"/>
        <v>0</v>
      </c>
      <c r="O10" s="815"/>
      <c r="P10" s="816">
        <f t="shared" si="7"/>
        <v>0</v>
      </c>
      <c r="Q10" s="816"/>
      <c r="R10" s="816">
        <f t="shared" si="8"/>
        <v>0</v>
      </c>
      <c r="S10" s="815"/>
      <c r="T10" s="815">
        <f t="shared" si="9"/>
        <v>0</v>
      </c>
      <c r="U10" s="815"/>
      <c r="V10" s="815">
        <f t="shared" si="10"/>
        <v>0</v>
      </c>
      <c r="W10" s="815"/>
      <c r="X10" s="19">
        <f t="shared" si="11"/>
        <v>0</v>
      </c>
      <c r="Y10" s="20">
        <f t="shared" si="0"/>
        <v>0</v>
      </c>
    </row>
    <row r="11" spans="1:25" ht="37.5" customHeight="1" x14ac:dyDescent="0.25">
      <c r="A11" s="12"/>
      <c r="B11" s="814"/>
      <c r="C11" s="815"/>
      <c r="D11" s="22">
        <f t="shared" si="1"/>
        <v>0</v>
      </c>
      <c r="E11" s="815"/>
      <c r="F11" s="815">
        <f t="shared" si="2"/>
        <v>0</v>
      </c>
      <c r="G11" s="815"/>
      <c r="H11" s="815">
        <f t="shared" si="3"/>
        <v>0</v>
      </c>
      <c r="I11" s="815"/>
      <c r="J11" s="815">
        <f t="shared" si="4"/>
        <v>0</v>
      </c>
      <c r="K11" s="815"/>
      <c r="L11" s="815">
        <f t="shared" si="5"/>
        <v>0</v>
      </c>
      <c r="M11" s="815"/>
      <c r="N11" s="816">
        <f t="shared" si="6"/>
        <v>0</v>
      </c>
      <c r="O11" s="815"/>
      <c r="P11" s="816">
        <f t="shared" si="7"/>
        <v>0</v>
      </c>
      <c r="Q11" s="816"/>
      <c r="R11" s="816">
        <f t="shared" si="8"/>
        <v>0</v>
      </c>
      <c r="S11" s="815"/>
      <c r="T11" s="815">
        <f t="shared" si="9"/>
        <v>0</v>
      </c>
      <c r="U11" s="815"/>
      <c r="V11" s="815">
        <f t="shared" si="10"/>
        <v>0</v>
      </c>
      <c r="W11" s="815"/>
      <c r="X11" s="19">
        <f t="shared" si="11"/>
        <v>0</v>
      </c>
      <c r="Y11" s="20">
        <f t="shared" si="0"/>
        <v>0</v>
      </c>
    </row>
    <row r="12" spans="1:25" ht="29.25" customHeight="1" x14ac:dyDescent="0.25">
      <c r="A12" s="2235" t="s">
        <v>31</v>
      </c>
      <c r="B12" s="2235"/>
      <c r="C12" s="18">
        <f t="shared" ref="C12:X12" si="12">SUM(C6:C11)</f>
        <v>273808</v>
      </c>
      <c r="D12" s="18">
        <f t="shared" si="12"/>
        <v>266278.28000000003</v>
      </c>
      <c r="E12" s="18">
        <f t="shared" si="12"/>
        <v>0</v>
      </c>
      <c r="F12" s="18">
        <f t="shared" si="12"/>
        <v>0</v>
      </c>
      <c r="G12" s="18">
        <f t="shared" si="12"/>
        <v>0</v>
      </c>
      <c r="H12" s="18">
        <f t="shared" si="12"/>
        <v>0</v>
      </c>
      <c r="I12" s="18">
        <f t="shared" si="12"/>
        <v>910</v>
      </c>
      <c r="J12" s="18">
        <f t="shared" si="12"/>
        <v>16835</v>
      </c>
      <c r="K12" s="18">
        <f t="shared" si="12"/>
        <v>130</v>
      </c>
      <c r="L12" s="18">
        <f t="shared" si="12"/>
        <v>3670.7839999999997</v>
      </c>
      <c r="M12" s="18">
        <f t="shared" si="12"/>
        <v>0</v>
      </c>
      <c r="N12" s="23">
        <f t="shared" si="12"/>
        <v>0</v>
      </c>
      <c r="O12" s="18">
        <f t="shared" si="12"/>
        <v>0</v>
      </c>
      <c r="P12" s="23">
        <f t="shared" si="12"/>
        <v>0</v>
      </c>
      <c r="Q12" s="23">
        <f t="shared" si="12"/>
        <v>0</v>
      </c>
      <c r="R12" s="23">
        <f>SUM(R6:R11)</f>
        <v>0</v>
      </c>
      <c r="S12" s="18">
        <f t="shared" si="12"/>
        <v>3</v>
      </c>
      <c r="T12" s="18">
        <f t="shared" si="12"/>
        <v>723</v>
      </c>
      <c r="U12" s="18">
        <f t="shared" si="12"/>
        <v>0</v>
      </c>
      <c r="V12" s="18">
        <f t="shared" si="12"/>
        <v>0</v>
      </c>
      <c r="W12" s="18">
        <f t="shared" si="12"/>
        <v>0</v>
      </c>
      <c r="X12" s="18">
        <f t="shared" si="12"/>
        <v>0</v>
      </c>
      <c r="Y12" s="20">
        <f t="shared" si="0"/>
        <v>287507.06400000001</v>
      </c>
    </row>
    <row r="14" spans="1:25" ht="43.5" customHeight="1" x14ac:dyDescent="0.25">
      <c r="A14" s="30" t="s">
        <v>32</v>
      </c>
      <c r="B14" s="2236" t="s">
        <v>27</v>
      </c>
      <c r="C14" s="2236"/>
      <c r="D14" s="30" t="s">
        <v>333</v>
      </c>
      <c r="E14" s="30" t="s">
        <v>65</v>
      </c>
      <c r="F14" s="30" t="s">
        <v>34</v>
      </c>
      <c r="G14" s="30" t="s">
        <v>14</v>
      </c>
      <c r="H14" s="469" t="s">
        <v>173</v>
      </c>
      <c r="I14" s="30" t="s">
        <v>17</v>
      </c>
      <c r="J14" s="820" t="s">
        <v>174</v>
      </c>
      <c r="K14" s="30" t="s">
        <v>36</v>
      </c>
      <c r="L14" s="820" t="s">
        <v>403</v>
      </c>
      <c r="M14" s="30" t="s">
        <v>69</v>
      </c>
      <c r="N14" s="30" t="s">
        <v>70</v>
      </c>
      <c r="O14" s="820" t="s">
        <v>114</v>
      </c>
      <c r="P14" s="820" t="s">
        <v>402</v>
      </c>
      <c r="Q14" s="2300" t="s">
        <v>378</v>
      </c>
      <c r="R14" s="2301"/>
      <c r="S14" s="820" t="s">
        <v>401</v>
      </c>
      <c r="T14" s="2235" t="s">
        <v>46</v>
      </c>
      <c r="U14" s="812" t="s">
        <v>176</v>
      </c>
      <c r="V14" s="2260">
        <v>53621</v>
      </c>
      <c r="W14" s="2268"/>
      <c r="X14" s="2261"/>
    </row>
    <row r="15" spans="1:25" ht="22.5" customHeight="1" x14ac:dyDescent="0.25">
      <c r="A15" s="100" t="s">
        <v>38</v>
      </c>
      <c r="B15" s="2260">
        <v>303237</v>
      </c>
      <c r="C15" s="2261"/>
      <c r="D15" s="817">
        <v>502</v>
      </c>
      <c r="E15" s="817">
        <v>940</v>
      </c>
      <c r="F15" s="817">
        <v>17210</v>
      </c>
      <c r="G15" s="817">
        <v>4130</v>
      </c>
      <c r="H15" s="817">
        <v>103</v>
      </c>
      <c r="I15" s="817">
        <v>0</v>
      </c>
      <c r="J15" s="817">
        <v>26</v>
      </c>
      <c r="K15" s="817">
        <v>71</v>
      </c>
      <c r="L15" s="817">
        <v>0</v>
      </c>
      <c r="M15" s="817">
        <v>0</v>
      </c>
      <c r="N15" s="817">
        <v>100</v>
      </c>
      <c r="O15" s="817">
        <v>0</v>
      </c>
      <c r="P15" s="817">
        <v>42</v>
      </c>
      <c r="Q15" s="2260">
        <v>0</v>
      </c>
      <c r="R15" s="2261"/>
      <c r="S15" s="812">
        <v>100</v>
      </c>
      <c r="T15" s="2235"/>
      <c r="U15" s="812" t="s">
        <v>64</v>
      </c>
      <c r="V15" s="2262">
        <v>12260</v>
      </c>
      <c r="W15" s="2262"/>
      <c r="X15" s="2262"/>
    </row>
    <row r="16" spans="1:25" ht="24.75" customHeight="1" x14ac:dyDescent="0.25">
      <c r="A16" s="100" t="s">
        <v>39</v>
      </c>
      <c r="B16" s="2260">
        <v>270130</v>
      </c>
      <c r="C16" s="2261"/>
      <c r="D16" s="817"/>
      <c r="E16" s="817"/>
      <c r="F16" s="817"/>
      <c r="G16" s="817"/>
      <c r="H16" s="817"/>
      <c r="I16" s="817"/>
      <c r="J16" s="817"/>
      <c r="K16" s="817"/>
      <c r="L16" s="817"/>
      <c r="M16" s="817"/>
      <c r="N16" s="817"/>
      <c r="O16" s="817"/>
      <c r="P16" s="817"/>
      <c r="Q16" s="2225"/>
      <c r="R16" s="2225"/>
      <c r="S16" s="817"/>
      <c r="T16" s="2254" t="s">
        <v>55</v>
      </c>
      <c r="U16" s="2254"/>
      <c r="V16" s="2267">
        <f>Y12</f>
        <v>287507.06400000001</v>
      </c>
      <c r="W16" s="2267"/>
      <c r="X16" s="2262"/>
    </row>
    <row r="17" spans="1:25" ht="28.5" customHeight="1" x14ac:dyDescent="0.25">
      <c r="A17" s="101" t="s">
        <v>44</v>
      </c>
      <c r="B17" s="2260"/>
      <c r="C17" s="2261"/>
      <c r="D17" s="817"/>
      <c r="E17" s="817"/>
      <c r="F17" s="817"/>
      <c r="G17" s="817"/>
      <c r="H17" s="817"/>
      <c r="I17" s="817"/>
      <c r="J17" s="817"/>
      <c r="K17" s="817"/>
      <c r="L17" s="817"/>
      <c r="M17" s="817"/>
      <c r="N17" s="817"/>
      <c r="O17" s="817"/>
      <c r="P17" s="817"/>
      <c r="Q17" s="2225"/>
      <c r="R17" s="2225"/>
      <c r="S17" s="814"/>
      <c r="T17" s="2294" t="s">
        <v>362</v>
      </c>
      <c r="U17" s="2295"/>
      <c r="V17" s="2296"/>
      <c r="W17" s="2296"/>
      <c r="X17" s="2296"/>
    </row>
    <row r="18" spans="1:25" ht="27" customHeight="1" x14ac:dyDescent="0.25">
      <c r="A18" s="100" t="s">
        <v>40</v>
      </c>
      <c r="B18" s="2264">
        <f>C12</f>
        <v>273808</v>
      </c>
      <c r="C18" s="2261"/>
      <c r="D18" s="818">
        <f>E12</f>
        <v>0</v>
      </c>
      <c r="E18" s="818">
        <f>G12</f>
        <v>0</v>
      </c>
      <c r="F18" s="818">
        <f>I12</f>
        <v>910</v>
      </c>
      <c r="G18" s="818">
        <f>K12</f>
        <v>130</v>
      </c>
      <c r="H18" s="817">
        <v>3</v>
      </c>
      <c r="I18" s="818">
        <f>U12</f>
        <v>0</v>
      </c>
      <c r="J18" s="817"/>
      <c r="K18" s="818">
        <f>W12</f>
        <v>0</v>
      </c>
      <c r="L18" s="817"/>
      <c r="M18" s="818">
        <f>M12</f>
        <v>0</v>
      </c>
      <c r="N18" s="818"/>
      <c r="O18" s="819">
        <f>Q12</f>
        <v>0</v>
      </c>
      <c r="P18" s="818">
        <f>O12</f>
        <v>0</v>
      </c>
      <c r="Q18" s="2262"/>
      <c r="R18" s="2262"/>
      <c r="S18" s="812"/>
      <c r="T18" s="2254" t="s">
        <v>57</v>
      </c>
      <c r="U18" s="2254"/>
      <c r="V18" s="2262">
        <v>920</v>
      </c>
      <c r="W18" s="2262"/>
      <c r="X18" s="2262"/>
      <c r="Y18" s="2269"/>
    </row>
    <row r="19" spans="1:25" ht="25.5" customHeight="1" x14ac:dyDescent="0.25">
      <c r="A19" s="100" t="s">
        <v>41</v>
      </c>
      <c r="B19" s="2260">
        <f>B15+B16+B17-B18</f>
        <v>299559</v>
      </c>
      <c r="C19" s="2261"/>
      <c r="D19" s="817">
        <f>D15+D16+D17-D18</f>
        <v>502</v>
      </c>
      <c r="E19" s="817">
        <f t="shared" ref="E19:N19" si="13">E15+E16+E17-E18</f>
        <v>940</v>
      </c>
      <c r="F19" s="817">
        <f t="shared" si="13"/>
        <v>16300</v>
      </c>
      <c r="G19" s="817">
        <f t="shared" si="13"/>
        <v>4000</v>
      </c>
      <c r="H19" s="817">
        <f t="shared" si="13"/>
        <v>100</v>
      </c>
      <c r="I19" s="817">
        <f t="shared" si="13"/>
        <v>0</v>
      </c>
      <c r="J19" s="817">
        <f t="shared" si="13"/>
        <v>26</v>
      </c>
      <c r="K19" s="817">
        <f t="shared" si="13"/>
        <v>71</v>
      </c>
      <c r="L19" s="817">
        <f t="shared" si="13"/>
        <v>0</v>
      </c>
      <c r="M19" s="817">
        <f t="shared" si="13"/>
        <v>0</v>
      </c>
      <c r="N19" s="817">
        <f t="shared" si="13"/>
        <v>100</v>
      </c>
      <c r="O19" s="817">
        <f>O15+O16+O17-O18</f>
        <v>0</v>
      </c>
      <c r="P19" s="817">
        <f>P15+P16+P17-P18</f>
        <v>42</v>
      </c>
      <c r="Q19" s="2260">
        <f t="shared" ref="Q19" si="14">Q15+Q16+Q17-Q18</f>
        <v>0</v>
      </c>
      <c r="R19" s="2261"/>
      <c r="S19" s="812">
        <f>S15+S16-S17-S18</f>
        <v>100</v>
      </c>
      <c r="T19" s="2256" t="s">
        <v>48</v>
      </c>
      <c r="U19" s="49" t="s">
        <v>58</v>
      </c>
      <c r="V19" s="2262">
        <v>260000</v>
      </c>
      <c r="W19" s="2262"/>
      <c r="X19" s="2262"/>
      <c r="Y19" s="2269"/>
    </row>
    <row r="20" spans="1:25" ht="23.25" customHeight="1" x14ac:dyDescent="0.25">
      <c r="A20" s="289" t="s">
        <v>187</v>
      </c>
      <c r="B20" s="2286">
        <f>B19*0.9625</f>
        <v>288325.53750000003</v>
      </c>
      <c r="C20" s="2287"/>
      <c r="D20" s="290">
        <f>D19*66.41</f>
        <v>33337.82</v>
      </c>
      <c r="E20" s="290">
        <f>27.9368*E19</f>
        <v>26260.592000000001</v>
      </c>
      <c r="F20" s="290">
        <f>18.31*F19</f>
        <v>298453</v>
      </c>
      <c r="G20" s="290">
        <f>27.9368*G19</f>
        <v>111747.20000000001</v>
      </c>
      <c r="H20" s="290">
        <f>241*H19</f>
        <v>24100</v>
      </c>
      <c r="I20" s="290">
        <f>323*I19</f>
        <v>0</v>
      </c>
      <c r="J20" s="290">
        <f>241*J19</f>
        <v>6266</v>
      </c>
      <c r="K20" s="290">
        <f>K19*100</f>
        <v>7100</v>
      </c>
      <c r="L20" s="290">
        <f>241*L19</f>
        <v>0</v>
      </c>
      <c r="M20" s="290">
        <f>9.65*M19</f>
        <v>0</v>
      </c>
      <c r="N20" s="290">
        <f>N19*48.2</f>
        <v>4820</v>
      </c>
      <c r="O20" s="290">
        <f>241*O19</f>
        <v>0</v>
      </c>
      <c r="P20" s="290">
        <f>241*P19</f>
        <v>10122</v>
      </c>
      <c r="Q20" s="2286">
        <f>341*Q19</f>
        <v>0</v>
      </c>
      <c r="R20" s="2287"/>
      <c r="S20" s="290">
        <f>241*S19</f>
        <v>24100</v>
      </c>
      <c r="T20" s="2257"/>
      <c r="U20" s="49" t="s">
        <v>59</v>
      </c>
      <c r="V20" s="2262"/>
      <c r="W20" s="2262"/>
      <c r="X20" s="2262"/>
      <c r="Y20" s="2269"/>
    </row>
    <row r="21" spans="1:25" ht="32.25" customHeight="1" x14ac:dyDescent="0.25">
      <c r="A21" s="291" t="s">
        <v>186</v>
      </c>
      <c r="B21" s="2293">
        <f>SUM(B20:S20)</f>
        <v>834632.14950000006</v>
      </c>
      <c r="C21" s="2293"/>
      <c r="O21" s="821"/>
      <c r="P21" s="821"/>
      <c r="Q21" s="821"/>
      <c r="R21" s="821"/>
      <c r="T21" s="2294" t="s">
        <v>366</v>
      </c>
      <c r="U21" s="2295"/>
      <c r="V21" s="2297"/>
      <c r="W21" s="2298"/>
      <c r="X21" s="2299"/>
      <c r="Y21" s="2269"/>
    </row>
    <row r="22" spans="1:25" ht="35.25" customHeight="1" x14ac:dyDescent="0.25">
      <c r="A22" s="15"/>
      <c r="B22" s="2288" t="s">
        <v>49</v>
      </c>
      <c r="C22" s="2291">
        <v>600366</v>
      </c>
      <c r="D22" s="2291">
        <v>260000</v>
      </c>
      <c r="E22" s="2291">
        <v>260000</v>
      </c>
      <c r="F22" s="2291">
        <f>C22-D22+E22</f>
        <v>600366</v>
      </c>
      <c r="G22" s="821"/>
      <c r="Q22" s="821"/>
      <c r="R22" s="821"/>
      <c r="T22" s="2251" t="s">
        <v>83</v>
      </c>
      <c r="U22" s="50" t="s">
        <v>60</v>
      </c>
      <c r="V22" s="2262">
        <v>255260</v>
      </c>
      <c r="W22" s="2262"/>
      <c r="X22" s="2262"/>
      <c r="Y22" s="2269"/>
    </row>
    <row r="23" spans="1:25" ht="39.75" customHeight="1" x14ac:dyDescent="0.25">
      <c r="A23" s="821"/>
      <c r="B23" s="2289"/>
      <c r="C23" s="2292"/>
      <c r="D23" s="2292"/>
      <c r="E23" s="2292"/>
      <c r="F23" s="2292"/>
      <c r="G23" s="821"/>
      <c r="Q23" s="821"/>
      <c r="R23" s="821"/>
      <c r="T23" s="2252"/>
      <c r="U23" s="50" t="s">
        <v>61</v>
      </c>
      <c r="V23" s="2262">
        <v>260000</v>
      </c>
      <c r="W23" s="2262"/>
      <c r="X23" s="2262"/>
      <c r="Y23" s="2269"/>
    </row>
    <row r="24" spans="1:25" ht="48" customHeight="1" x14ac:dyDescent="0.25">
      <c r="A24" s="821"/>
      <c r="B24" s="2290"/>
      <c r="C24" s="290" t="s">
        <v>46</v>
      </c>
      <c r="D24" s="290" t="s">
        <v>50</v>
      </c>
      <c r="E24" s="290" t="s">
        <v>51</v>
      </c>
      <c r="F24" s="290" t="s">
        <v>52</v>
      </c>
      <c r="G24" s="821"/>
      <c r="Q24" s="821"/>
      <c r="R24" s="821"/>
      <c r="T24" s="2235" t="s">
        <v>47</v>
      </c>
      <c r="U24" s="51" t="s">
        <v>62</v>
      </c>
      <c r="V24" s="2263">
        <f>V14+V16+V17-V18-V19-V20-V22+V23-V21</f>
        <v>84948.064000000013</v>
      </c>
      <c r="W24" s="2263"/>
      <c r="X24" s="2263"/>
      <c r="Y24" s="2269"/>
    </row>
    <row r="25" spans="1:25" ht="40.5" customHeight="1" x14ac:dyDescent="0.25">
      <c r="T25" s="2235"/>
      <c r="U25" s="51" t="s">
        <v>63</v>
      </c>
      <c r="V25" s="2262">
        <f>V15+V22-V23</f>
        <v>7520</v>
      </c>
      <c r="W25" s="2262"/>
      <c r="X25" s="2262"/>
    </row>
    <row r="26" spans="1:25" ht="36" customHeight="1" x14ac:dyDescent="0.25">
      <c r="K26" s="314"/>
    </row>
    <row r="28" spans="1:25" x14ac:dyDescent="0.25">
      <c r="J28" s="14" t="s">
        <v>139</v>
      </c>
    </row>
    <row r="32" spans="1:25" x14ac:dyDescent="0.25">
      <c r="I32" s="2280"/>
      <c r="J32" s="2280"/>
      <c r="K32" s="2280"/>
      <c r="L32" s="2280"/>
    </row>
    <row r="33" spans="9:12" x14ac:dyDescent="0.25">
      <c r="I33" s="821"/>
      <c r="J33" s="821"/>
      <c r="K33" s="2280"/>
      <c r="L33" s="2280"/>
    </row>
  </sheetData>
  <mergeCells count="62">
    <mergeCell ref="I32:J32"/>
    <mergeCell ref="K32:L32"/>
    <mergeCell ref="K33:L33"/>
    <mergeCell ref="T22:T23"/>
    <mergeCell ref="V22:X22"/>
    <mergeCell ref="V23:X23"/>
    <mergeCell ref="T24:T25"/>
    <mergeCell ref="V24:X24"/>
    <mergeCell ref="V25:X25"/>
    <mergeCell ref="Y18:Y24"/>
    <mergeCell ref="B19:C19"/>
    <mergeCell ref="Q19:R19"/>
    <mergeCell ref="T19:T20"/>
    <mergeCell ref="V19:X19"/>
    <mergeCell ref="B20:C20"/>
    <mergeCell ref="B22:B24"/>
    <mergeCell ref="C22:C23"/>
    <mergeCell ref="D22:D23"/>
    <mergeCell ref="E22:E23"/>
    <mergeCell ref="F22:F23"/>
    <mergeCell ref="Q20:R20"/>
    <mergeCell ref="V20:X20"/>
    <mergeCell ref="B21:C21"/>
    <mergeCell ref="T21:U21"/>
    <mergeCell ref="V21:X21"/>
    <mergeCell ref="B17:C17"/>
    <mergeCell ref="Q17:R17"/>
    <mergeCell ref="T17:U17"/>
    <mergeCell ref="V17:X17"/>
    <mergeCell ref="B18:C18"/>
    <mergeCell ref="Q18:R18"/>
    <mergeCell ref="T18:U18"/>
    <mergeCell ref="V18:X18"/>
    <mergeCell ref="W4:X4"/>
    <mergeCell ref="B16:C16"/>
    <mergeCell ref="Q16:R16"/>
    <mergeCell ref="T16:U16"/>
    <mergeCell ref="V16:X16"/>
    <mergeCell ref="A12:B12"/>
    <mergeCell ref="B14:C14"/>
    <mergeCell ref="Q14:R14"/>
    <mergeCell ref="T14:T15"/>
    <mergeCell ref="V14:X14"/>
    <mergeCell ref="B15:C15"/>
    <mergeCell ref="Q15:R15"/>
    <mergeCell ref="V15:X15"/>
    <mergeCell ref="A1:Y1"/>
    <mergeCell ref="A2:Y2"/>
    <mergeCell ref="T3:Y3"/>
    <mergeCell ref="A4:A5"/>
    <mergeCell ref="B4:B5"/>
    <mergeCell ref="C4:D4"/>
    <mergeCell ref="E4:F4"/>
    <mergeCell ref="G4:H4"/>
    <mergeCell ref="I4:J4"/>
    <mergeCell ref="K4:L4"/>
    <mergeCell ref="Y4:Y5"/>
    <mergeCell ref="M4:N4"/>
    <mergeCell ref="O4:P4"/>
    <mergeCell ref="Q4:R4"/>
    <mergeCell ref="S4:T4"/>
    <mergeCell ref="U4:V4"/>
  </mergeCells>
  <pageMargins left="0.15748031496063" right="0.15748031496063" top="0" bottom="0" header="0" footer="0"/>
  <pageSetup paperSize="9" scale="45" orientation="landscape" r:id="rId1"/>
</worksheet>
</file>

<file path=xl/worksheets/sheet18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6716B86-8015-4CEF-8B28-06A5BFA55915}">
  <sheetPr>
    <pageSetUpPr fitToPage="1"/>
  </sheetPr>
  <dimension ref="A1:Y33"/>
  <sheetViews>
    <sheetView topLeftCell="A9" zoomScale="70" zoomScaleNormal="70" zoomScaleSheetLayoutView="100" workbookViewId="0">
      <selection activeCell="L23" sqref="L23"/>
    </sheetView>
  </sheetViews>
  <sheetFormatPr defaultColWidth="9.140625" defaultRowHeight="15" x14ac:dyDescent="0.25"/>
  <cols>
    <col min="1" max="1" width="18.28515625" style="14" customWidth="1"/>
    <col min="2" max="2" width="10.7109375" style="14" customWidth="1"/>
    <col min="3" max="3" width="12.28515625" style="14" customWidth="1"/>
    <col min="4" max="4" width="13.140625" style="14" bestFit="1" customWidth="1"/>
    <col min="5" max="5" width="12" style="14" customWidth="1"/>
    <col min="6" max="6" width="12.5703125" style="14" bestFit="1" customWidth="1"/>
    <col min="7" max="7" width="16" style="14" bestFit="1" customWidth="1"/>
    <col min="8" max="8" width="10.140625" style="14" bestFit="1" customWidth="1"/>
    <col min="9" max="9" width="10.5703125" style="14" bestFit="1" customWidth="1"/>
    <col min="10" max="10" width="10.5703125" style="14" customWidth="1"/>
    <col min="11" max="11" width="10.28515625" style="14" bestFit="1" customWidth="1"/>
    <col min="12" max="12" width="10.42578125" style="14" bestFit="1" customWidth="1"/>
    <col min="13" max="13" width="9.85546875" style="14" bestFit="1" customWidth="1"/>
    <col min="14" max="14" width="10.140625" style="14" bestFit="1" customWidth="1"/>
    <col min="15" max="15" width="9" style="14" customWidth="1"/>
    <col min="16" max="16" width="12.85546875" style="14" bestFit="1" customWidth="1"/>
    <col min="17" max="18" width="9.42578125" style="14" customWidth="1"/>
    <col min="19" max="19" width="13.7109375" style="14" customWidth="1"/>
    <col min="20" max="20" width="12.140625" style="14" customWidth="1"/>
    <col min="21" max="21" width="21.7109375" style="14" customWidth="1"/>
    <col min="22" max="22" width="9.85546875" style="14" customWidth="1"/>
    <col min="23" max="23" width="10.140625" style="14" bestFit="1" customWidth="1"/>
    <col min="24" max="24" width="10.28515625" style="14" customWidth="1"/>
    <col min="25" max="25" width="28" style="14" customWidth="1"/>
    <col min="26" max="16384" width="9.140625" style="14"/>
  </cols>
  <sheetData>
    <row r="1" spans="1:25" ht="46.15" customHeight="1" x14ac:dyDescent="0.25">
      <c r="A1" s="2240" t="s">
        <v>148</v>
      </c>
      <c r="B1" s="2240"/>
      <c r="C1" s="2240"/>
      <c r="D1" s="2240"/>
      <c r="E1" s="2240"/>
      <c r="F1" s="2240"/>
      <c r="G1" s="2240"/>
      <c r="H1" s="2240"/>
      <c r="I1" s="2240"/>
      <c r="J1" s="2240"/>
      <c r="K1" s="2240"/>
      <c r="L1" s="2240"/>
      <c r="M1" s="2240"/>
      <c r="N1" s="2240"/>
      <c r="O1" s="2240"/>
      <c r="P1" s="2240"/>
      <c r="Q1" s="2240"/>
      <c r="R1" s="2240"/>
      <c r="S1" s="2240"/>
      <c r="T1" s="2240"/>
      <c r="U1" s="2240"/>
      <c r="V1" s="2240"/>
      <c r="W1" s="2240"/>
      <c r="X1" s="2240"/>
      <c r="Y1" s="2240"/>
    </row>
    <row r="2" spans="1:25" ht="21.6" customHeight="1" x14ac:dyDescent="0.25">
      <c r="A2" s="2241" t="s">
        <v>383</v>
      </c>
      <c r="B2" s="2241"/>
      <c r="C2" s="2241"/>
      <c r="D2" s="2241"/>
      <c r="E2" s="2241"/>
      <c r="F2" s="2241"/>
      <c r="G2" s="2241"/>
      <c r="H2" s="2241"/>
      <c r="I2" s="2241"/>
      <c r="J2" s="2241"/>
      <c r="K2" s="2241"/>
      <c r="L2" s="2241"/>
      <c r="M2" s="2241"/>
      <c r="N2" s="2241"/>
      <c r="O2" s="2241"/>
      <c r="P2" s="2241"/>
      <c r="Q2" s="2241"/>
      <c r="R2" s="2241"/>
      <c r="S2" s="2241"/>
      <c r="T2" s="2241"/>
      <c r="U2" s="2241"/>
      <c r="V2" s="2241"/>
      <c r="W2" s="2241"/>
      <c r="X2" s="2241"/>
      <c r="Y2" s="2241"/>
    </row>
    <row r="3" spans="1:25" ht="21" customHeight="1" x14ac:dyDescent="0.25">
      <c r="A3" s="827"/>
      <c r="B3" s="827"/>
      <c r="C3" s="827"/>
      <c r="D3" s="827"/>
      <c r="E3" s="827"/>
      <c r="F3" s="827"/>
      <c r="G3" s="827"/>
      <c r="H3" s="827"/>
      <c r="I3" s="827"/>
      <c r="J3" s="827"/>
      <c r="K3" s="827"/>
      <c r="L3" s="827"/>
      <c r="M3" s="827"/>
      <c r="N3" s="827"/>
      <c r="O3" s="827"/>
      <c r="P3" s="827"/>
      <c r="Q3" s="827"/>
      <c r="R3" s="827"/>
      <c r="S3" s="827"/>
      <c r="T3" s="2242" t="s">
        <v>406</v>
      </c>
      <c r="U3" s="2242"/>
      <c r="V3" s="2242"/>
      <c r="W3" s="2242"/>
      <c r="X3" s="2242"/>
      <c r="Y3" s="2242"/>
    </row>
    <row r="4" spans="1:25" s="827" customFormat="1" ht="18" customHeight="1" x14ac:dyDescent="0.25">
      <c r="A4" s="2243" t="s">
        <v>25</v>
      </c>
      <c r="B4" s="2243" t="s">
        <v>26</v>
      </c>
      <c r="C4" s="2244" t="s">
        <v>27</v>
      </c>
      <c r="D4" s="2244"/>
      <c r="E4" s="2244" t="s">
        <v>342</v>
      </c>
      <c r="F4" s="2244"/>
      <c r="G4" s="2244" t="s">
        <v>65</v>
      </c>
      <c r="H4" s="2244"/>
      <c r="I4" s="2244" t="s">
        <v>29</v>
      </c>
      <c r="J4" s="2244"/>
      <c r="K4" s="2245" t="s">
        <v>14</v>
      </c>
      <c r="L4" s="2246"/>
      <c r="M4" s="2245" t="s">
        <v>67</v>
      </c>
      <c r="N4" s="2246"/>
      <c r="O4" s="2245" t="s">
        <v>68</v>
      </c>
      <c r="P4" s="2246"/>
      <c r="Q4" s="2245" t="s">
        <v>114</v>
      </c>
      <c r="R4" s="2246"/>
      <c r="S4" s="2244" t="s">
        <v>35</v>
      </c>
      <c r="T4" s="2244"/>
      <c r="U4" s="2245" t="s">
        <v>17</v>
      </c>
      <c r="V4" s="2246"/>
      <c r="W4" s="2247" t="s">
        <v>36</v>
      </c>
      <c r="X4" s="2248"/>
      <c r="Y4" s="2238" t="s">
        <v>30</v>
      </c>
    </row>
    <row r="5" spans="1:25" s="827" customFormat="1" ht="25.5" customHeight="1" x14ac:dyDescent="0.25">
      <c r="A5" s="2243"/>
      <c r="B5" s="2243"/>
      <c r="C5" s="826" t="s">
        <v>42</v>
      </c>
      <c r="D5" s="826" t="s">
        <v>43</v>
      </c>
      <c r="E5" s="826" t="s">
        <v>42</v>
      </c>
      <c r="F5" s="826" t="s">
        <v>43</v>
      </c>
      <c r="G5" s="826" t="s">
        <v>42</v>
      </c>
      <c r="H5" s="826" t="s">
        <v>43</v>
      </c>
      <c r="I5" s="826" t="s">
        <v>42</v>
      </c>
      <c r="J5" s="826" t="s">
        <v>43</v>
      </c>
      <c r="K5" s="826" t="s">
        <v>42</v>
      </c>
      <c r="L5" s="826" t="s">
        <v>43</v>
      </c>
      <c r="M5" s="826" t="s">
        <v>42</v>
      </c>
      <c r="N5" s="826" t="s">
        <v>43</v>
      </c>
      <c r="O5" s="826" t="s">
        <v>42</v>
      </c>
      <c r="P5" s="826" t="s">
        <v>43</v>
      </c>
      <c r="Q5" s="826" t="s">
        <v>42</v>
      </c>
      <c r="R5" s="826" t="s">
        <v>43</v>
      </c>
      <c r="S5" s="33" t="s">
        <v>42</v>
      </c>
      <c r="T5" s="33" t="s">
        <v>43</v>
      </c>
      <c r="U5" s="30" t="s">
        <v>42</v>
      </c>
      <c r="V5" s="30" t="s">
        <v>43</v>
      </c>
      <c r="W5" s="30" t="s">
        <v>42</v>
      </c>
      <c r="X5" s="30" t="s">
        <v>43</v>
      </c>
      <c r="Y5" s="2239"/>
    </row>
    <row r="6" spans="1:25" ht="34.5" customHeight="1" x14ac:dyDescent="0.25">
      <c r="A6" s="12">
        <v>1409935200</v>
      </c>
      <c r="B6" s="825" t="s">
        <v>71</v>
      </c>
      <c r="C6" s="823">
        <v>52956</v>
      </c>
      <c r="D6" s="822">
        <f>0.9725*C6</f>
        <v>51499.71</v>
      </c>
      <c r="E6" s="823"/>
      <c r="F6" s="823">
        <f>67.1*E6</f>
        <v>0</v>
      </c>
      <c r="G6" s="823"/>
      <c r="H6" s="823">
        <f>28.2*G6</f>
        <v>0</v>
      </c>
      <c r="I6" s="823">
        <v>500</v>
      </c>
      <c r="J6" s="823">
        <f>18.5*I6</f>
        <v>9250</v>
      </c>
      <c r="K6" s="823">
        <v>690</v>
      </c>
      <c r="L6" s="823">
        <f>28.2368*K6</f>
        <v>19483.392</v>
      </c>
      <c r="M6" s="823"/>
      <c r="N6" s="822">
        <f>M6*9.75</f>
        <v>0</v>
      </c>
      <c r="O6" s="823"/>
      <c r="P6" s="822">
        <f>O6*48.7</f>
        <v>0</v>
      </c>
      <c r="Q6" s="822"/>
      <c r="R6" s="822">
        <f>241*Q6</f>
        <v>0</v>
      </c>
      <c r="S6" s="823"/>
      <c r="T6" s="823">
        <f>241*S6</f>
        <v>0</v>
      </c>
      <c r="U6" s="823"/>
      <c r="V6" s="823">
        <f>332*U6</f>
        <v>0</v>
      </c>
      <c r="W6" s="823"/>
      <c r="X6" s="19">
        <f>W6*100</f>
        <v>0</v>
      </c>
      <c r="Y6" s="20">
        <f t="shared" ref="Y6:Y12" si="0">D6+F6+H6+J6+L6+N6+P6+R6+T6+V6+X6</f>
        <v>80233.101999999999</v>
      </c>
    </row>
    <row r="7" spans="1:25" ht="31.5" customHeight="1" x14ac:dyDescent="0.25">
      <c r="A7" s="12">
        <v>1984225578</v>
      </c>
      <c r="B7" s="825" t="s">
        <v>72</v>
      </c>
      <c r="C7" s="823">
        <v>28524</v>
      </c>
      <c r="D7" s="822">
        <f t="shared" ref="D7:D11" si="1">0.9725*C7</f>
        <v>27739.59</v>
      </c>
      <c r="E7" s="823"/>
      <c r="F7" s="823">
        <f t="shared" ref="F7:F11" si="2">67.1*E7</f>
        <v>0</v>
      </c>
      <c r="G7" s="823"/>
      <c r="H7" s="823">
        <f t="shared" ref="H7:H11" si="3">28.2*G7</f>
        <v>0</v>
      </c>
      <c r="I7" s="823">
        <v>1390</v>
      </c>
      <c r="J7" s="823">
        <f t="shared" ref="J7:J11" si="4">18.5*I7</f>
        <v>25715</v>
      </c>
      <c r="K7" s="823"/>
      <c r="L7" s="823">
        <f t="shared" ref="L7:L11" si="5">28.2368*K7</f>
        <v>0</v>
      </c>
      <c r="M7" s="823"/>
      <c r="N7" s="822">
        <f t="shared" ref="N7:N11" si="6">M7*9.75</f>
        <v>0</v>
      </c>
      <c r="O7" s="823"/>
      <c r="P7" s="822">
        <f t="shared" ref="P7:P11" si="7">O7*48.7</f>
        <v>0</v>
      </c>
      <c r="Q7" s="822"/>
      <c r="R7" s="822">
        <f t="shared" ref="R7:R11" si="8">241*Q7</f>
        <v>0</v>
      </c>
      <c r="S7" s="823"/>
      <c r="T7" s="823">
        <f t="shared" ref="T7:T10" si="9">241*S7</f>
        <v>0</v>
      </c>
      <c r="U7" s="823"/>
      <c r="V7" s="823">
        <f t="shared" ref="V7:V11" si="10">332*U7</f>
        <v>0</v>
      </c>
      <c r="W7" s="823"/>
      <c r="X7" s="19">
        <f t="shared" ref="X7:X11" si="11">W7*100</f>
        <v>0</v>
      </c>
      <c r="Y7" s="20">
        <f t="shared" si="0"/>
        <v>53454.59</v>
      </c>
    </row>
    <row r="8" spans="1:25" ht="35.25" customHeight="1" x14ac:dyDescent="0.25">
      <c r="A8" s="12">
        <v>1967020280</v>
      </c>
      <c r="B8" s="825" t="s">
        <v>73</v>
      </c>
      <c r="C8" s="823">
        <v>41934</v>
      </c>
      <c r="D8" s="822">
        <f t="shared" si="1"/>
        <v>40780.815000000002</v>
      </c>
      <c r="E8" s="823"/>
      <c r="F8" s="823">
        <f t="shared" si="2"/>
        <v>0</v>
      </c>
      <c r="G8" s="823">
        <v>80</v>
      </c>
      <c r="H8" s="823">
        <f t="shared" si="3"/>
        <v>2256</v>
      </c>
      <c r="I8" s="823">
        <v>100</v>
      </c>
      <c r="J8" s="823">
        <f t="shared" si="4"/>
        <v>1850</v>
      </c>
      <c r="K8" s="823"/>
      <c r="L8" s="823">
        <f t="shared" si="5"/>
        <v>0</v>
      </c>
      <c r="M8" s="823"/>
      <c r="N8" s="822">
        <f t="shared" si="6"/>
        <v>0</v>
      </c>
      <c r="O8" s="823"/>
      <c r="P8" s="822">
        <f t="shared" si="7"/>
        <v>0</v>
      </c>
      <c r="Q8" s="822"/>
      <c r="R8" s="822">
        <f t="shared" si="8"/>
        <v>0</v>
      </c>
      <c r="S8" s="823"/>
      <c r="T8" s="823">
        <f t="shared" si="9"/>
        <v>0</v>
      </c>
      <c r="U8" s="823"/>
      <c r="V8" s="823">
        <f t="shared" si="10"/>
        <v>0</v>
      </c>
      <c r="W8" s="823"/>
      <c r="X8" s="19">
        <f t="shared" si="11"/>
        <v>0</v>
      </c>
      <c r="Y8" s="20">
        <f t="shared" si="0"/>
        <v>44886.815000000002</v>
      </c>
    </row>
    <row r="9" spans="1:25" ht="38.25" customHeight="1" x14ac:dyDescent="0.25">
      <c r="A9" s="12">
        <v>1984225580</v>
      </c>
      <c r="B9" s="825" t="s">
        <v>75</v>
      </c>
      <c r="C9" s="823">
        <v>45792</v>
      </c>
      <c r="D9" s="822">
        <f t="shared" si="1"/>
        <v>44532.72</v>
      </c>
      <c r="E9" s="823"/>
      <c r="F9" s="823">
        <f t="shared" si="2"/>
        <v>0</v>
      </c>
      <c r="G9" s="823">
        <v>10</v>
      </c>
      <c r="H9" s="823">
        <f t="shared" si="3"/>
        <v>282</v>
      </c>
      <c r="I9" s="823">
        <v>600</v>
      </c>
      <c r="J9" s="823">
        <f t="shared" si="4"/>
        <v>11100</v>
      </c>
      <c r="K9" s="823"/>
      <c r="L9" s="823">
        <f t="shared" si="5"/>
        <v>0</v>
      </c>
      <c r="M9" s="823"/>
      <c r="N9" s="822">
        <f t="shared" si="6"/>
        <v>0</v>
      </c>
      <c r="O9" s="823"/>
      <c r="P9" s="822">
        <f t="shared" si="7"/>
        <v>0</v>
      </c>
      <c r="Q9" s="822"/>
      <c r="R9" s="822">
        <f t="shared" si="8"/>
        <v>0</v>
      </c>
      <c r="S9" s="823"/>
      <c r="T9" s="823">
        <f t="shared" si="9"/>
        <v>0</v>
      </c>
      <c r="U9" s="823"/>
      <c r="V9" s="823">
        <f t="shared" si="10"/>
        <v>0</v>
      </c>
      <c r="W9" s="823"/>
      <c r="X9" s="19">
        <f t="shared" si="11"/>
        <v>0</v>
      </c>
      <c r="Y9" s="20">
        <f t="shared" si="0"/>
        <v>55914.720000000001</v>
      </c>
    </row>
    <row r="10" spans="1:25" ht="35.25" customHeight="1" x14ac:dyDescent="0.25">
      <c r="A10" s="12">
        <v>1409935199</v>
      </c>
      <c r="C10" s="823">
        <v>26515</v>
      </c>
      <c r="D10" s="822">
        <f t="shared" si="1"/>
        <v>25785.837500000001</v>
      </c>
      <c r="E10" s="823"/>
      <c r="F10" s="823">
        <f t="shared" si="2"/>
        <v>0</v>
      </c>
      <c r="G10" s="823"/>
      <c r="H10" s="823">
        <f t="shared" si="3"/>
        <v>0</v>
      </c>
      <c r="I10" s="823">
        <v>1000</v>
      </c>
      <c r="J10" s="823">
        <f t="shared" si="4"/>
        <v>18500</v>
      </c>
      <c r="K10" s="823"/>
      <c r="L10" s="823">
        <f t="shared" si="5"/>
        <v>0</v>
      </c>
      <c r="M10" s="823"/>
      <c r="N10" s="822">
        <f t="shared" si="6"/>
        <v>0</v>
      </c>
      <c r="O10" s="823"/>
      <c r="P10" s="822">
        <f t="shared" si="7"/>
        <v>0</v>
      </c>
      <c r="Q10" s="822"/>
      <c r="R10" s="822">
        <f t="shared" si="8"/>
        <v>0</v>
      </c>
      <c r="S10" s="823">
        <v>52</v>
      </c>
      <c r="T10" s="823">
        <f t="shared" si="9"/>
        <v>12532</v>
      </c>
      <c r="U10" s="823"/>
      <c r="V10" s="823">
        <f t="shared" si="10"/>
        <v>0</v>
      </c>
      <c r="W10" s="823"/>
      <c r="X10" s="19">
        <f t="shared" si="11"/>
        <v>0</v>
      </c>
      <c r="Y10" s="20">
        <f t="shared" si="0"/>
        <v>56817.837500000001</v>
      </c>
    </row>
    <row r="11" spans="1:25" ht="37.5" customHeight="1" x14ac:dyDescent="0.25">
      <c r="A11" s="12"/>
      <c r="B11" s="824"/>
      <c r="C11" s="823"/>
      <c r="D11" s="22">
        <f t="shared" si="1"/>
        <v>0</v>
      </c>
      <c r="E11" s="823"/>
      <c r="F11" s="823">
        <f t="shared" si="2"/>
        <v>0</v>
      </c>
      <c r="G11" s="823"/>
      <c r="H11" s="823">
        <f t="shared" si="3"/>
        <v>0</v>
      </c>
      <c r="I11" s="823"/>
      <c r="J11" s="823">
        <f t="shared" si="4"/>
        <v>0</v>
      </c>
      <c r="K11" s="823"/>
      <c r="L11" s="823">
        <f t="shared" si="5"/>
        <v>0</v>
      </c>
      <c r="M11" s="823"/>
      <c r="N11" s="822">
        <f t="shared" si="6"/>
        <v>0</v>
      </c>
      <c r="O11" s="823"/>
      <c r="P11" s="822">
        <f t="shared" si="7"/>
        <v>0</v>
      </c>
      <c r="Q11" s="822"/>
      <c r="R11" s="822">
        <f t="shared" si="8"/>
        <v>0</v>
      </c>
      <c r="S11" s="823">
        <v>19</v>
      </c>
      <c r="T11" s="823">
        <f>341*S11</f>
        <v>6479</v>
      </c>
      <c r="U11" s="823"/>
      <c r="V11" s="823">
        <f t="shared" si="10"/>
        <v>0</v>
      </c>
      <c r="W11" s="823"/>
      <c r="X11" s="19">
        <f t="shared" si="11"/>
        <v>0</v>
      </c>
      <c r="Y11" s="20">
        <f t="shared" si="0"/>
        <v>6479</v>
      </c>
    </row>
    <row r="12" spans="1:25" ht="29.25" customHeight="1" x14ac:dyDescent="0.25">
      <c r="A12" s="2235" t="s">
        <v>31</v>
      </c>
      <c r="B12" s="2235"/>
      <c r="C12" s="18">
        <f t="shared" ref="C12:X12" si="12">SUM(C6:C11)</f>
        <v>195721</v>
      </c>
      <c r="D12" s="18">
        <f t="shared" si="12"/>
        <v>190338.67250000002</v>
      </c>
      <c r="E12" s="18">
        <f t="shared" si="12"/>
        <v>0</v>
      </c>
      <c r="F12" s="18">
        <f t="shared" si="12"/>
        <v>0</v>
      </c>
      <c r="G12" s="18">
        <f t="shared" si="12"/>
        <v>90</v>
      </c>
      <c r="H12" s="18">
        <f t="shared" si="12"/>
        <v>2538</v>
      </c>
      <c r="I12" s="18">
        <f t="shared" si="12"/>
        <v>3590</v>
      </c>
      <c r="J12" s="18">
        <f t="shared" si="12"/>
        <v>66415</v>
      </c>
      <c r="K12" s="18">
        <f t="shared" si="12"/>
        <v>690</v>
      </c>
      <c r="L12" s="18">
        <f t="shared" si="12"/>
        <v>19483.392</v>
      </c>
      <c r="M12" s="18">
        <f t="shared" si="12"/>
        <v>0</v>
      </c>
      <c r="N12" s="23">
        <f t="shared" si="12"/>
        <v>0</v>
      </c>
      <c r="O12" s="18">
        <f t="shared" si="12"/>
        <v>0</v>
      </c>
      <c r="P12" s="23">
        <f t="shared" si="12"/>
        <v>0</v>
      </c>
      <c r="Q12" s="23">
        <f t="shared" si="12"/>
        <v>0</v>
      </c>
      <c r="R12" s="23">
        <f>SUM(R6:R11)</f>
        <v>0</v>
      </c>
      <c r="S12" s="18">
        <f t="shared" si="12"/>
        <v>71</v>
      </c>
      <c r="T12" s="18">
        <f t="shared" si="12"/>
        <v>19011</v>
      </c>
      <c r="U12" s="18">
        <f t="shared" si="12"/>
        <v>0</v>
      </c>
      <c r="V12" s="18">
        <f t="shared" si="12"/>
        <v>0</v>
      </c>
      <c r="W12" s="18">
        <f t="shared" si="12"/>
        <v>0</v>
      </c>
      <c r="X12" s="18">
        <f t="shared" si="12"/>
        <v>0</v>
      </c>
      <c r="Y12" s="20">
        <f t="shared" si="0"/>
        <v>297786.06450000004</v>
      </c>
    </row>
    <row r="14" spans="1:25" ht="43.5" customHeight="1" x14ac:dyDescent="0.25">
      <c r="A14" s="30" t="s">
        <v>32</v>
      </c>
      <c r="B14" s="2236" t="s">
        <v>27</v>
      </c>
      <c r="C14" s="2236"/>
      <c r="D14" s="30" t="s">
        <v>333</v>
      </c>
      <c r="E14" s="30" t="s">
        <v>65</v>
      </c>
      <c r="F14" s="30" t="s">
        <v>34</v>
      </c>
      <c r="G14" s="30" t="s">
        <v>14</v>
      </c>
      <c r="H14" s="469" t="s">
        <v>173</v>
      </c>
      <c r="I14" s="30" t="s">
        <v>17</v>
      </c>
      <c r="J14" s="831" t="s">
        <v>174</v>
      </c>
      <c r="K14" s="30" t="s">
        <v>36</v>
      </c>
      <c r="L14" s="831" t="s">
        <v>403</v>
      </c>
      <c r="M14" s="30" t="s">
        <v>69</v>
      </c>
      <c r="N14" s="30" t="s">
        <v>70</v>
      </c>
      <c r="O14" s="831" t="s">
        <v>114</v>
      </c>
      <c r="P14" s="831" t="s">
        <v>402</v>
      </c>
      <c r="Q14" s="2300" t="s">
        <v>378</v>
      </c>
      <c r="R14" s="2301"/>
      <c r="S14" s="831" t="s">
        <v>401</v>
      </c>
      <c r="T14" s="2235" t="s">
        <v>46</v>
      </c>
      <c r="U14" s="825" t="s">
        <v>176</v>
      </c>
      <c r="V14" s="2260">
        <v>84948</v>
      </c>
      <c r="W14" s="2268"/>
      <c r="X14" s="2261"/>
    </row>
    <row r="15" spans="1:25" ht="22.5" customHeight="1" x14ac:dyDescent="0.25">
      <c r="A15" s="100" t="s">
        <v>38</v>
      </c>
      <c r="B15" s="2260">
        <v>299559</v>
      </c>
      <c r="C15" s="2261"/>
      <c r="D15" s="828">
        <v>502</v>
      </c>
      <c r="E15" s="828">
        <v>940</v>
      </c>
      <c r="F15" s="828">
        <v>16300</v>
      </c>
      <c r="G15" s="828">
        <v>4000</v>
      </c>
      <c r="H15" s="828">
        <v>100</v>
      </c>
      <c r="I15" s="828">
        <v>0</v>
      </c>
      <c r="J15" s="828">
        <v>26</v>
      </c>
      <c r="K15" s="828">
        <v>71</v>
      </c>
      <c r="L15" s="828">
        <v>0</v>
      </c>
      <c r="M15" s="828">
        <v>0</v>
      </c>
      <c r="N15" s="828">
        <v>100</v>
      </c>
      <c r="O15" s="828">
        <v>0</v>
      </c>
      <c r="P15" s="828">
        <v>42</v>
      </c>
      <c r="Q15" s="2260">
        <v>0</v>
      </c>
      <c r="R15" s="2261"/>
      <c r="S15" s="825">
        <v>100</v>
      </c>
      <c r="T15" s="2235"/>
      <c r="U15" s="825" t="s">
        <v>64</v>
      </c>
      <c r="V15" s="2262">
        <v>7520</v>
      </c>
      <c r="W15" s="2262"/>
      <c r="X15" s="2262"/>
    </row>
    <row r="16" spans="1:25" ht="24.75" customHeight="1" x14ac:dyDescent="0.25">
      <c r="A16" s="100" t="s">
        <v>39</v>
      </c>
      <c r="B16" s="2260">
        <v>363636</v>
      </c>
      <c r="C16" s="2261"/>
      <c r="D16" s="828"/>
      <c r="E16" s="828"/>
      <c r="F16" s="828"/>
      <c r="G16" s="828"/>
      <c r="H16" s="828"/>
      <c r="I16" s="828"/>
      <c r="J16" s="828"/>
      <c r="K16" s="828"/>
      <c r="L16" s="828"/>
      <c r="M16" s="828"/>
      <c r="N16" s="828"/>
      <c r="O16" s="828"/>
      <c r="P16" s="828"/>
      <c r="Q16" s="2225"/>
      <c r="R16" s="2225"/>
      <c r="S16" s="828"/>
      <c r="T16" s="2254" t="s">
        <v>55</v>
      </c>
      <c r="U16" s="2254"/>
      <c r="V16" s="2267">
        <f>Y12</f>
        <v>297786.06450000004</v>
      </c>
      <c r="W16" s="2267"/>
      <c r="X16" s="2262"/>
    </row>
    <row r="17" spans="1:25" ht="28.5" customHeight="1" x14ac:dyDescent="0.25">
      <c r="A17" s="101" t="s">
        <v>44</v>
      </c>
      <c r="B17" s="2260"/>
      <c r="C17" s="2261"/>
      <c r="D17" s="828"/>
      <c r="E17" s="828"/>
      <c r="F17" s="828"/>
      <c r="G17" s="828"/>
      <c r="H17" s="828"/>
      <c r="I17" s="828"/>
      <c r="J17" s="828"/>
      <c r="K17" s="828"/>
      <c r="L17" s="828"/>
      <c r="M17" s="828"/>
      <c r="N17" s="828"/>
      <c r="O17" s="828"/>
      <c r="P17" s="828"/>
      <c r="Q17" s="2225"/>
      <c r="R17" s="2225"/>
      <c r="S17" s="824"/>
      <c r="T17" s="2294" t="s">
        <v>362</v>
      </c>
      <c r="U17" s="2295"/>
      <c r="V17" s="2296"/>
      <c r="W17" s="2296"/>
      <c r="X17" s="2296"/>
    </row>
    <row r="18" spans="1:25" ht="27" customHeight="1" x14ac:dyDescent="0.25">
      <c r="A18" s="100" t="s">
        <v>40</v>
      </c>
      <c r="B18" s="2264">
        <f>C12</f>
        <v>195721</v>
      </c>
      <c r="C18" s="2261"/>
      <c r="D18" s="830">
        <f>E12</f>
        <v>0</v>
      </c>
      <c r="E18" s="830">
        <f>G12</f>
        <v>90</v>
      </c>
      <c r="F18" s="830">
        <f>I12</f>
        <v>3590</v>
      </c>
      <c r="G18" s="830">
        <f>K12</f>
        <v>690</v>
      </c>
      <c r="H18" s="828"/>
      <c r="I18" s="830">
        <f>U12</f>
        <v>0</v>
      </c>
      <c r="J18" s="828">
        <v>25</v>
      </c>
      <c r="K18" s="830">
        <f>W12</f>
        <v>0</v>
      </c>
      <c r="L18" s="828"/>
      <c r="M18" s="830">
        <f>M12</f>
        <v>0</v>
      </c>
      <c r="N18" s="830"/>
      <c r="O18" s="829">
        <f>Q12</f>
        <v>0</v>
      </c>
      <c r="P18" s="830">
        <v>27</v>
      </c>
      <c r="Q18" s="2262"/>
      <c r="R18" s="2262"/>
      <c r="S18" s="825">
        <v>19</v>
      </c>
      <c r="T18" s="2254" t="s">
        <v>57</v>
      </c>
      <c r="U18" s="2254"/>
      <c r="V18" s="2262">
        <v>64376</v>
      </c>
      <c r="W18" s="2262"/>
      <c r="X18" s="2262"/>
      <c r="Y18" s="2269"/>
    </row>
    <row r="19" spans="1:25" ht="25.5" customHeight="1" x14ac:dyDescent="0.25">
      <c r="A19" s="100" t="s">
        <v>41</v>
      </c>
      <c r="B19" s="2260">
        <f>B15+B16+B17-B18</f>
        <v>467474</v>
      </c>
      <c r="C19" s="2261"/>
      <c r="D19" s="828">
        <f>D15+D16+D17-D18</f>
        <v>502</v>
      </c>
      <c r="E19" s="828">
        <f t="shared" ref="E19:N19" si="13">E15+E16+E17-E18</f>
        <v>850</v>
      </c>
      <c r="F19" s="828">
        <f t="shared" si="13"/>
        <v>12710</v>
      </c>
      <c r="G19" s="828">
        <f t="shared" si="13"/>
        <v>3310</v>
      </c>
      <c r="H19" s="828">
        <f t="shared" si="13"/>
        <v>100</v>
      </c>
      <c r="I19" s="828">
        <f t="shared" si="13"/>
        <v>0</v>
      </c>
      <c r="J19" s="828">
        <f t="shared" si="13"/>
        <v>1</v>
      </c>
      <c r="K19" s="828">
        <f t="shared" si="13"/>
        <v>71</v>
      </c>
      <c r="L19" s="828">
        <f t="shared" si="13"/>
        <v>0</v>
      </c>
      <c r="M19" s="828">
        <f t="shared" si="13"/>
        <v>0</v>
      </c>
      <c r="N19" s="828">
        <f t="shared" si="13"/>
        <v>100</v>
      </c>
      <c r="O19" s="828">
        <f>O15+O16+O17-O18</f>
        <v>0</v>
      </c>
      <c r="P19" s="828">
        <f>P15+P16+P17-P18</f>
        <v>15</v>
      </c>
      <c r="Q19" s="2260">
        <f t="shared" ref="Q19" si="14">Q15+Q16+Q17-Q18</f>
        <v>0</v>
      </c>
      <c r="R19" s="2261"/>
      <c r="S19" s="825">
        <f>S15+S16-S17-S18</f>
        <v>81</v>
      </c>
      <c r="T19" s="2256" t="s">
        <v>48</v>
      </c>
      <c r="U19" s="49" t="s">
        <v>58</v>
      </c>
      <c r="V19" s="2262">
        <v>200000</v>
      </c>
      <c r="W19" s="2262"/>
      <c r="X19" s="2262"/>
      <c r="Y19" s="2269"/>
    </row>
    <row r="20" spans="1:25" ht="23.25" customHeight="1" x14ac:dyDescent="0.25">
      <c r="A20" s="289" t="s">
        <v>187</v>
      </c>
      <c r="B20" s="2286">
        <f>B19*0.9625</f>
        <v>449943.72500000003</v>
      </c>
      <c r="C20" s="2287"/>
      <c r="D20" s="290">
        <f>D19*66.41</f>
        <v>33337.82</v>
      </c>
      <c r="E20" s="290">
        <f>27.9368*E19</f>
        <v>23746.280000000002</v>
      </c>
      <c r="F20" s="290">
        <f>18.31*F19</f>
        <v>232720.09999999998</v>
      </c>
      <c r="G20" s="290">
        <f>27.9368*G19</f>
        <v>92470.808000000005</v>
      </c>
      <c r="H20" s="290">
        <f>241*H19</f>
        <v>24100</v>
      </c>
      <c r="I20" s="290">
        <f>323*I19</f>
        <v>0</v>
      </c>
      <c r="J20" s="290">
        <f>241*J19</f>
        <v>241</v>
      </c>
      <c r="K20" s="290">
        <f>K19*100</f>
        <v>7100</v>
      </c>
      <c r="L20" s="290">
        <f>241*L19</f>
        <v>0</v>
      </c>
      <c r="M20" s="290">
        <f>9.65*M19</f>
        <v>0</v>
      </c>
      <c r="N20" s="290">
        <f>N19*48.2</f>
        <v>4820</v>
      </c>
      <c r="O20" s="290">
        <f>241*O19</f>
        <v>0</v>
      </c>
      <c r="P20" s="290">
        <f>241*P19</f>
        <v>3615</v>
      </c>
      <c r="Q20" s="2286">
        <f>341*Q19</f>
        <v>0</v>
      </c>
      <c r="R20" s="2287"/>
      <c r="S20" s="290">
        <f>241*S19</f>
        <v>19521</v>
      </c>
      <c r="T20" s="2257"/>
      <c r="U20" s="49" t="s">
        <v>59</v>
      </c>
      <c r="V20" s="2262"/>
      <c r="W20" s="2262"/>
      <c r="X20" s="2262"/>
      <c r="Y20" s="2269"/>
    </row>
    <row r="21" spans="1:25" ht="32.25" customHeight="1" x14ac:dyDescent="0.25">
      <c r="A21" s="291" t="s">
        <v>186</v>
      </c>
      <c r="B21" s="2293">
        <f>SUM(B20:S20)</f>
        <v>891615.73300000001</v>
      </c>
      <c r="C21" s="2293"/>
      <c r="O21" s="832"/>
      <c r="P21" s="832"/>
      <c r="Q21" s="832"/>
      <c r="R21" s="832"/>
      <c r="T21" s="2294" t="s">
        <v>366</v>
      </c>
      <c r="U21" s="2295"/>
      <c r="V21" s="2297"/>
      <c r="W21" s="2298"/>
      <c r="X21" s="2299"/>
      <c r="Y21" s="2269"/>
    </row>
    <row r="22" spans="1:25" ht="35.25" customHeight="1" x14ac:dyDescent="0.25">
      <c r="A22" s="15"/>
      <c r="B22" s="2288" t="s">
        <v>49</v>
      </c>
      <c r="C22" s="2291">
        <v>600366</v>
      </c>
      <c r="D22" s="2291">
        <v>200000</v>
      </c>
      <c r="E22" s="2291">
        <v>350000</v>
      </c>
      <c r="F22" s="2291">
        <f>C22-D22+E22</f>
        <v>750366</v>
      </c>
      <c r="G22" s="832"/>
      <c r="Q22" s="832"/>
      <c r="R22" s="832"/>
      <c r="T22" s="2251" t="s">
        <v>83</v>
      </c>
      <c r="U22" s="50" t="s">
        <v>60</v>
      </c>
      <c r="V22" s="2262">
        <v>200000</v>
      </c>
      <c r="W22" s="2262"/>
      <c r="X22" s="2262"/>
      <c r="Y22" s="2269"/>
    </row>
    <row r="23" spans="1:25" ht="39.75" customHeight="1" x14ac:dyDescent="0.25">
      <c r="A23" s="832"/>
      <c r="B23" s="2289"/>
      <c r="C23" s="2292"/>
      <c r="D23" s="2292"/>
      <c r="E23" s="2292"/>
      <c r="F23" s="2292"/>
      <c r="G23" s="832"/>
      <c r="Q23" s="832"/>
      <c r="R23" s="832"/>
      <c r="T23" s="2252"/>
      <c r="U23" s="50" t="s">
        <v>61</v>
      </c>
      <c r="V23" s="2262">
        <v>200000</v>
      </c>
      <c r="W23" s="2262"/>
      <c r="X23" s="2262"/>
      <c r="Y23" s="2269"/>
    </row>
    <row r="24" spans="1:25" ht="48" customHeight="1" x14ac:dyDescent="0.25">
      <c r="A24" s="832"/>
      <c r="B24" s="2290"/>
      <c r="C24" s="290" t="s">
        <v>46</v>
      </c>
      <c r="D24" s="290" t="s">
        <v>50</v>
      </c>
      <c r="E24" s="290" t="s">
        <v>51</v>
      </c>
      <c r="F24" s="290" t="s">
        <v>52</v>
      </c>
      <c r="G24" s="832"/>
      <c r="Q24" s="832"/>
      <c r="R24" s="832"/>
      <c r="T24" s="2235" t="s">
        <v>47</v>
      </c>
      <c r="U24" s="51" t="s">
        <v>62</v>
      </c>
      <c r="V24" s="2263">
        <f>V14+V16+V17-V18-V19-V20-V22+V23-V21</f>
        <v>118358.06450000004</v>
      </c>
      <c r="W24" s="2263"/>
      <c r="X24" s="2263"/>
      <c r="Y24" s="2269"/>
    </row>
    <row r="25" spans="1:25" ht="40.5" customHeight="1" x14ac:dyDescent="0.25">
      <c r="T25" s="2235"/>
      <c r="U25" s="51" t="s">
        <v>63</v>
      </c>
      <c r="V25" s="2262">
        <f>V15+V22-V23</f>
        <v>7520</v>
      </c>
      <c r="W25" s="2262"/>
      <c r="X25" s="2262"/>
    </row>
    <row r="26" spans="1:25" ht="36" customHeight="1" x14ac:dyDescent="0.25">
      <c r="K26" s="314"/>
    </row>
    <row r="28" spans="1:25" x14ac:dyDescent="0.25">
      <c r="J28" s="14" t="s">
        <v>139</v>
      </c>
    </row>
    <row r="32" spans="1:25" x14ac:dyDescent="0.25">
      <c r="I32" s="2280"/>
      <c r="J32" s="2280"/>
      <c r="K32" s="2280"/>
      <c r="L32" s="2280"/>
    </row>
    <row r="33" spans="9:12" x14ac:dyDescent="0.25">
      <c r="I33" s="832"/>
      <c r="J33" s="832"/>
      <c r="K33" s="2280"/>
      <c r="L33" s="2280"/>
    </row>
  </sheetData>
  <mergeCells count="62">
    <mergeCell ref="A1:Y1"/>
    <mergeCell ref="A2:Y2"/>
    <mergeCell ref="T3:Y3"/>
    <mergeCell ref="A4:A5"/>
    <mergeCell ref="B4:B5"/>
    <mergeCell ref="C4:D4"/>
    <mergeCell ref="E4:F4"/>
    <mergeCell ref="G4:H4"/>
    <mergeCell ref="I4:J4"/>
    <mergeCell ref="K4:L4"/>
    <mergeCell ref="Y4:Y5"/>
    <mergeCell ref="M4:N4"/>
    <mergeCell ref="O4:P4"/>
    <mergeCell ref="Q4:R4"/>
    <mergeCell ref="S4:T4"/>
    <mergeCell ref="U4:V4"/>
    <mergeCell ref="W4:X4"/>
    <mergeCell ref="B16:C16"/>
    <mergeCell ref="Q16:R16"/>
    <mergeCell ref="T16:U16"/>
    <mergeCell ref="V16:X16"/>
    <mergeCell ref="A12:B12"/>
    <mergeCell ref="B14:C14"/>
    <mergeCell ref="Q14:R14"/>
    <mergeCell ref="T14:T15"/>
    <mergeCell ref="V14:X14"/>
    <mergeCell ref="B15:C15"/>
    <mergeCell ref="Q15:R15"/>
    <mergeCell ref="V15:X15"/>
    <mergeCell ref="B17:C17"/>
    <mergeCell ref="Q17:R17"/>
    <mergeCell ref="T17:U17"/>
    <mergeCell ref="V17:X17"/>
    <mergeCell ref="B18:C18"/>
    <mergeCell ref="Q18:R18"/>
    <mergeCell ref="T18:U18"/>
    <mergeCell ref="V18:X18"/>
    <mergeCell ref="Y18:Y24"/>
    <mergeCell ref="B19:C19"/>
    <mergeCell ref="Q19:R19"/>
    <mergeCell ref="T19:T20"/>
    <mergeCell ref="V19:X19"/>
    <mergeCell ref="B20:C20"/>
    <mergeCell ref="B22:B24"/>
    <mergeCell ref="C22:C23"/>
    <mergeCell ref="D22:D23"/>
    <mergeCell ref="E22:E23"/>
    <mergeCell ref="F22:F23"/>
    <mergeCell ref="Q20:R20"/>
    <mergeCell ref="V20:X20"/>
    <mergeCell ref="B21:C21"/>
    <mergeCell ref="T21:U21"/>
    <mergeCell ref="V21:X21"/>
    <mergeCell ref="I32:J32"/>
    <mergeCell ref="K32:L32"/>
    <mergeCell ref="K33:L33"/>
    <mergeCell ref="T22:T23"/>
    <mergeCell ref="V22:X22"/>
    <mergeCell ref="V23:X23"/>
    <mergeCell ref="T24:T25"/>
    <mergeCell ref="V24:X24"/>
    <mergeCell ref="V25:X25"/>
  </mergeCells>
  <pageMargins left="0.15748031496063" right="0.15748031496063" top="0" bottom="0" header="0" footer="0"/>
  <pageSetup paperSize="9" scale="45" orientation="landscape" r:id="rId1"/>
  <legacyDrawing r:id="rId2"/>
</worksheet>
</file>

<file path=xl/worksheets/sheet18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AD2004C-9328-4D53-80A3-4F15E62E39EA}">
  <sheetPr>
    <pageSetUpPr fitToPage="1"/>
  </sheetPr>
  <dimension ref="A1:Y33"/>
  <sheetViews>
    <sheetView topLeftCell="A9" zoomScale="70" zoomScaleNormal="70" zoomScaleSheetLayoutView="100" workbookViewId="0">
      <selection activeCell="O24" sqref="O24"/>
    </sheetView>
  </sheetViews>
  <sheetFormatPr defaultColWidth="9.140625" defaultRowHeight="15" x14ac:dyDescent="0.25"/>
  <cols>
    <col min="1" max="1" width="18.28515625" style="14" customWidth="1"/>
    <col min="2" max="2" width="10.7109375" style="14" customWidth="1"/>
    <col min="3" max="3" width="12.28515625" style="14" customWidth="1"/>
    <col min="4" max="4" width="13.140625" style="14" bestFit="1" customWidth="1"/>
    <col min="5" max="5" width="12" style="14" customWidth="1"/>
    <col min="6" max="6" width="12.5703125" style="14" bestFit="1" customWidth="1"/>
    <col min="7" max="7" width="16" style="14" bestFit="1" customWidth="1"/>
    <col min="8" max="8" width="10.140625" style="14" bestFit="1" customWidth="1"/>
    <col min="9" max="9" width="10.5703125" style="14" bestFit="1" customWidth="1"/>
    <col min="10" max="10" width="10.5703125" style="14" customWidth="1"/>
    <col min="11" max="11" width="10.28515625" style="14" bestFit="1" customWidth="1"/>
    <col min="12" max="12" width="10.42578125" style="14" bestFit="1" customWidth="1"/>
    <col min="13" max="13" width="9.85546875" style="14" bestFit="1" customWidth="1"/>
    <col min="14" max="14" width="10.140625" style="14" bestFit="1" customWidth="1"/>
    <col min="15" max="15" width="9" style="14" customWidth="1"/>
    <col min="16" max="16" width="12.85546875" style="14" bestFit="1" customWidth="1"/>
    <col min="17" max="18" width="9.42578125" style="14" customWidth="1"/>
    <col min="19" max="19" width="13.7109375" style="14" customWidth="1"/>
    <col min="20" max="20" width="12.140625" style="14" customWidth="1"/>
    <col min="21" max="21" width="21.7109375" style="14" customWidth="1"/>
    <col min="22" max="22" width="9.85546875" style="14" customWidth="1"/>
    <col min="23" max="23" width="10.140625" style="14" bestFit="1" customWidth="1"/>
    <col min="24" max="24" width="10.28515625" style="14" customWidth="1"/>
    <col min="25" max="25" width="28" style="14" customWidth="1"/>
    <col min="26" max="16384" width="9.140625" style="14"/>
  </cols>
  <sheetData>
    <row r="1" spans="1:25" ht="46.15" customHeight="1" x14ac:dyDescent="0.25">
      <c r="A1" s="2240" t="s">
        <v>148</v>
      </c>
      <c r="B1" s="2240"/>
      <c r="C1" s="2240"/>
      <c r="D1" s="2240"/>
      <c r="E1" s="2240"/>
      <c r="F1" s="2240"/>
      <c r="G1" s="2240"/>
      <c r="H1" s="2240"/>
      <c r="I1" s="2240"/>
      <c r="J1" s="2240"/>
      <c r="K1" s="2240"/>
      <c r="L1" s="2240"/>
      <c r="M1" s="2240"/>
      <c r="N1" s="2240"/>
      <c r="O1" s="2240"/>
      <c r="P1" s="2240"/>
      <c r="Q1" s="2240"/>
      <c r="R1" s="2240"/>
      <c r="S1" s="2240"/>
      <c r="T1" s="2240"/>
      <c r="U1" s="2240"/>
      <c r="V1" s="2240"/>
      <c r="W1" s="2240"/>
      <c r="X1" s="2240"/>
      <c r="Y1" s="2240"/>
    </row>
    <row r="2" spans="1:25" ht="21.6" customHeight="1" x14ac:dyDescent="0.25">
      <c r="A2" s="2241" t="s">
        <v>383</v>
      </c>
      <c r="B2" s="2241"/>
      <c r="C2" s="2241"/>
      <c r="D2" s="2241"/>
      <c r="E2" s="2241"/>
      <c r="F2" s="2241"/>
      <c r="G2" s="2241"/>
      <c r="H2" s="2241"/>
      <c r="I2" s="2241"/>
      <c r="J2" s="2241"/>
      <c r="K2" s="2241"/>
      <c r="L2" s="2241"/>
      <c r="M2" s="2241"/>
      <c r="N2" s="2241"/>
      <c r="O2" s="2241"/>
      <c r="P2" s="2241"/>
      <c r="Q2" s="2241"/>
      <c r="R2" s="2241"/>
      <c r="S2" s="2241"/>
      <c r="T2" s="2241"/>
      <c r="U2" s="2241"/>
      <c r="V2" s="2241"/>
      <c r="W2" s="2241"/>
      <c r="X2" s="2241"/>
      <c r="Y2" s="2241"/>
    </row>
    <row r="3" spans="1:25" ht="21" customHeight="1" x14ac:dyDescent="0.25">
      <c r="A3" s="833"/>
      <c r="B3" s="833"/>
      <c r="C3" s="833"/>
      <c r="D3" s="833"/>
      <c r="E3" s="833"/>
      <c r="F3" s="833"/>
      <c r="G3" s="833"/>
      <c r="H3" s="833"/>
      <c r="I3" s="833"/>
      <c r="J3" s="833"/>
      <c r="K3" s="833"/>
      <c r="L3" s="833"/>
      <c r="M3" s="833"/>
      <c r="N3" s="833"/>
      <c r="O3" s="833"/>
      <c r="P3" s="833"/>
      <c r="Q3" s="833"/>
      <c r="R3" s="833"/>
      <c r="S3" s="833"/>
      <c r="T3" s="2242" t="s">
        <v>407</v>
      </c>
      <c r="U3" s="2242"/>
      <c r="V3" s="2242"/>
      <c r="W3" s="2242"/>
      <c r="X3" s="2242"/>
      <c r="Y3" s="2242"/>
    </row>
    <row r="4" spans="1:25" s="833" customFormat="1" ht="18" customHeight="1" x14ac:dyDescent="0.25">
      <c r="A4" s="2243" t="s">
        <v>25</v>
      </c>
      <c r="B4" s="2243" t="s">
        <v>26</v>
      </c>
      <c r="C4" s="2244" t="s">
        <v>27</v>
      </c>
      <c r="D4" s="2244"/>
      <c r="E4" s="2244" t="s">
        <v>342</v>
      </c>
      <c r="F4" s="2244"/>
      <c r="G4" s="2244" t="s">
        <v>65</v>
      </c>
      <c r="H4" s="2244"/>
      <c r="I4" s="2244" t="s">
        <v>29</v>
      </c>
      <c r="J4" s="2244"/>
      <c r="K4" s="2245" t="s">
        <v>14</v>
      </c>
      <c r="L4" s="2246"/>
      <c r="M4" s="2245" t="s">
        <v>67</v>
      </c>
      <c r="N4" s="2246"/>
      <c r="O4" s="2245" t="s">
        <v>68</v>
      </c>
      <c r="P4" s="2246"/>
      <c r="Q4" s="2245" t="s">
        <v>114</v>
      </c>
      <c r="R4" s="2246"/>
      <c r="S4" s="2244" t="s">
        <v>35</v>
      </c>
      <c r="T4" s="2244"/>
      <c r="U4" s="2245" t="s">
        <v>17</v>
      </c>
      <c r="V4" s="2246"/>
      <c r="W4" s="2247" t="s">
        <v>36</v>
      </c>
      <c r="X4" s="2248"/>
      <c r="Y4" s="2238" t="s">
        <v>30</v>
      </c>
    </row>
    <row r="5" spans="1:25" s="833" customFormat="1" ht="25.5" customHeight="1" x14ac:dyDescent="0.25">
      <c r="A5" s="2243"/>
      <c r="B5" s="2243"/>
      <c r="C5" s="835" t="s">
        <v>42</v>
      </c>
      <c r="D5" s="835" t="s">
        <v>43</v>
      </c>
      <c r="E5" s="835" t="s">
        <v>42</v>
      </c>
      <c r="F5" s="835" t="s">
        <v>43</v>
      </c>
      <c r="G5" s="835" t="s">
        <v>42</v>
      </c>
      <c r="H5" s="835" t="s">
        <v>43</v>
      </c>
      <c r="I5" s="835" t="s">
        <v>42</v>
      </c>
      <c r="J5" s="835" t="s">
        <v>43</v>
      </c>
      <c r="K5" s="835" t="s">
        <v>42</v>
      </c>
      <c r="L5" s="835" t="s">
        <v>43</v>
      </c>
      <c r="M5" s="835" t="s">
        <v>42</v>
      </c>
      <c r="N5" s="835" t="s">
        <v>43</v>
      </c>
      <c r="O5" s="835" t="s">
        <v>42</v>
      </c>
      <c r="P5" s="835" t="s">
        <v>43</v>
      </c>
      <c r="Q5" s="835" t="s">
        <v>42</v>
      </c>
      <c r="R5" s="835" t="s">
        <v>43</v>
      </c>
      <c r="S5" s="33" t="s">
        <v>42</v>
      </c>
      <c r="T5" s="33" t="s">
        <v>43</v>
      </c>
      <c r="U5" s="30" t="s">
        <v>42</v>
      </c>
      <c r="V5" s="30" t="s">
        <v>43</v>
      </c>
      <c r="W5" s="30" t="s">
        <v>42</v>
      </c>
      <c r="X5" s="30" t="s">
        <v>43</v>
      </c>
      <c r="Y5" s="2239"/>
    </row>
    <row r="6" spans="1:25" ht="34.5" customHeight="1" x14ac:dyDescent="0.25">
      <c r="A6" s="12">
        <v>1409935200</v>
      </c>
      <c r="B6" s="834" t="s">
        <v>71</v>
      </c>
      <c r="C6" s="837">
        <v>50800</v>
      </c>
      <c r="D6" s="838">
        <f>0.9725*C6</f>
        <v>49403</v>
      </c>
      <c r="E6" s="837"/>
      <c r="F6" s="837">
        <f>67.1*E6</f>
        <v>0</v>
      </c>
      <c r="G6" s="837"/>
      <c r="H6" s="837">
        <f>28.2*G6</f>
        <v>0</v>
      </c>
      <c r="I6" s="837">
        <v>800</v>
      </c>
      <c r="J6" s="837">
        <f>18.5*I6</f>
        <v>14800</v>
      </c>
      <c r="K6" s="837">
        <v>200</v>
      </c>
      <c r="L6" s="837">
        <f>28.2368*K6</f>
        <v>5647.36</v>
      </c>
      <c r="M6" s="837"/>
      <c r="N6" s="838">
        <f>M6*9.75</f>
        <v>0</v>
      </c>
      <c r="O6" s="837"/>
      <c r="P6" s="838">
        <f>O6*48.7</f>
        <v>0</v>
      </c>
      <c r="Q6" s="838"/>
      <c r="R6" s="838">
        <f>241*Q6</f>
        <v>0</v>
      </c>
      <c r="S6" s="837"/>
      <c r="T6" s="837">
        <f>241*S6</f>
        <v>0</v>
      </c>
      <c r="U6" s="837"/>
      <c r="V6" s="837">
        <f>332*U6</f>
        <v>0</v>
      </c>
      <c r="W6" s="837"/>
      <c r="X6" s="19">
        <f>W6*100</f>
        <v>0</v>
      </c>
      <c r="Y6" s="20">
        <f t="shared" ref="Y6:Y12" si="0">D6+F6+H6+J6+L6+N6+P6+R6+T6+V6+X6</f>
        <v>69850.36</v>
      </c>
    </row>
    <row r="7" spans="1:25" ht="31.5" customHeight="1" x14ac:dyDescent="0.25">
      <c r="A7" s="12">
        <v>1984225578</v>
      </c>
      <c r="B7" s="834" t="s">
        <v>72</v>
      </c>
      <c r="C7" s="837">
        <v>31757</v>
      </c>
      <c r="D7" s="838">
        <f t="shared" ref="D7:D11" si="1">0.9725*C7</f>
        <v>30883.682500000003</v>
      </c>
      <c r="E7" s="837"/>
      <c r="F7" s="837">
        <f t="shared" ref="F7:F11" si="2">67.1*E7</f>
        <v>0</v>
      </c>
      <c r="G7" s="837"/>
      <c r="H7" s="837">
        <f t="shared" ref="H7:H11" si="3">28.2*G7</f>
        <v>0</v>
      </c>
      <c r="I7" s="837">
        <v>590</v>
      </c>
      <c r="J7" s="837">
        <f t="shared" ref="J7:J11" si="4">18.5*I7</f>
        <v>10915</v>
      </c>
      <c r="K7" s="837"/>
      <c r="L7" s="837">
        <f t="shared" ref="L7:L11" si="5">28.2368*K7</f>
        <v>0</v>
      </c>
      <c r="M7" s="837"/>
      <c r="N7" s="838">
        <f t="shared" ref="N7:N11" si="6">M7*9.75</f>
        <v>0</v>
      </c>
      <c r="O7" s="837"/>
      <c r="P7" s="838">
        <f t="shared" ref="P7:P11" si="7">O7*48.7</f>
        <v>0</v>
      </c>
      <c r="Q7" s="838"/>
      <c r="R7" s="838">
        <f t="shared" ref="R7:R11" si="8">241*Q7</f>
        <v>0</v>
      </c>
      <c r="S7" s="837"/>
      <c r="T7" s="837">
        <f t="shared" ref="T7:T10" si="9">241*S7</f>
        <v>0</v>
      </c>
      <c r="U7" s="837"/>
      <c r="V7" s="837">
        <f t="shared" ref="V7:V11" si="10">332*U7</f>
        <v>0</v>
      </c>
      <c r="W7" s="837"/>
      <c r="X7" s="19">
        <f t="shared" ref="X7:X11" si="11">W7*100</f>
        <v>0</v>
      </c>
      <c r="Y7" s="20">
        <f t="shared" si="0"/>
        <v>41798.682500000003</v>
      </c>
    </row>
    <row r="8" spans="1:25" ht="35.25" customHeight="1" x14ac:dyDescent="0.25">
      <c r="A8" s="12">
        <v>1967020280</v>
      </c>
      <c r="B8" s="834" t="s">
        <v>73</v>
      </c>
      <c r="C8" s="837">
        <v>34429</v>
      </c>
      <c r="D8" s="838">
        <f t="shared" si="1"/>
        <v>33482.202499999999</v>
      </c>
      <c r="E8" s="837"/>
      <c r="F8" s="837">
        <f t="shared" si="2"/>
        <v>0</v>
      </c>
      <c r="G8" s="837"/>
      <c r="H8" s="837">
        <f t="shared" si="3"/>
        <v>0</v>
      </c>
      <c r="I8" s="837">
        <v>1370</v>
      </c>
      <c r="J8" s="837">
        <f t="shared" si="4"/>
        <v>25345</v>
      </c>
      <c r="K8" s="837">
        <v>300</v>
      </c>
      <c r="L8" s="837">
        <f t="shared" si="5"/>
        <v>8471.0399999999991</v>
      </c>
      <c r="M8" s="837"/>
      <c r="N8" s="838">
        <f t="shared" si="6"/>
        <v>0</v>
      </c>
      <c r="O8" s="837"/>
      <c r="P8" s="838">
        <f t="shared" si="7"/>
        <v>0</v>
      </c>
      <c r="Q8" s="838"/>
      <c r="R8" s="838">
        <f t="shared" si="8"/>
        <v>0</v>
      </c>
      <c r="S8" s="837"/>
      <c r="T8" s="837">
        <f t="shared" si="9"/>
        <v>0</v>
      </c>
      <c r="U8" s="837"/>
      <c r="V8" s="837">
        <f t="shared" si="10"/>
        <v>0</v>
      </c>
      <c r="W8" s="837"/>
      <c r="X8" s="19">
        <f t="shared" si="11"/>
        <v>0</v>
      </c>
      <c r="Y8" s="20">
        <f t="shared" si="0"/>
        <v>67298.242499999993</v>
      </c>
    </row>
    <row r="9" spans="1:25" ht="38.25" customHeight="1" x14ac:dyDescent="0.25">
      <c r="A9" s="12">
        <v>1984225580</v>
      </c>
      <c r="B9" s="834" t="s">
        <v>75</v>
      </c>
      <c r="C9" s="837">
        <v>29425</v>
      </c>
      <c r="D9" s="838">
        <f t="shared" si="1"/>
        <v>28615.8125</v>
      </c>
      <c r="E9" s="837"/>
      <c r="F9" s="837">
        <f t="shared" si="2"/>
        <v>0</v>
      </c>
      <c r="G9" s="837">
        <v>60</v>
      </c>
      <c r="H9" s="837">
        <f t="shared" si="3"/>
        <v>1692</v>
      </c>
      <c r="I9" s="837">
        <v>1210</v>
      </c>
      <c r="J9" s="837">
        <f t="shared" si="4"/>
        <v>22385</v>
      </c>
      <c r="K9" s="837"/>
      <c r="L9" s="837">
        <f t="shared" si="5"/>
        <v>0</v>
      </c>
      <c r="M9" s="837"/>
      <c r="N9" s="838">
        <f t="shared" si="6"/>
        <v>0</v>
      </c>
      <c r="O9" s="837"/>
      <c r="P9" s="838">
        <f t="shared" si="7"/>
        <v>0</v>
      </c>
      <c r="Q9" s="838"/>
      <c r="R9" s="838">
        <f t="shared" si="8"/>
        <v>0</v>
      </c>
      <c r="S9" s="837"/>
      <c r="T9" s="837">
        <f t="shared" si="9"/>
        <v>0</v>
      </c>
      <c r="U9" s="837"/>
      <c r="V9" s="837">
        <f t="shared" si="10"/>
        <v>0</v>
      </c>
      <c r="W9" s="837"/>
      <c r="X9" s="19">
        <f t="shared" si="11"/>
        <v>0</v>
      </c>
      <c r="Y9" s="20">
        <f t="shared" si="0"/>
        <v>52692.8125</v>
      </c>
    </row>
    <row r="10" spans="1:25" ht="35.25" customHeight="1" x14ac:dyDescent="0.25">
      <c r="A10" s="12">
        <v>1409935199</v>
      </c>
      <c r="C10" s="837">
        <v>2056</v>
      </c>
      <c r="D10" s="838">
        <f t="shared" si="1"/>
        <v>1999.46</v>
      </c>
      <c r="E10" s="837"/>
      <c r="F10" s="837">
        <f t="shared" si="2"/>
        <v>0</v>
      </c>
      <c r="G10" s="837"/>
      <c r="H10" s="837">
        <f t="shared" si="3"/>
        <v>0</v>
      </c>
      <c r="I10" s="837"/>
      <c r="J10" s="837">
        <f t="shared" si="4"/>
        <v>0</v>
      </c>
      <c r="K10" s="837"/>
      <c r="L10" s="837">
        <f t="shared" si="5"/>
        <v>0</v>
      </c>
      <c r="M10" s="837"/>
      <c r="N10" s="838">
        <f t="shared" si="6"/>
        <v>0</v>
      </c>
      <c r="O10" s="837"/>
      <c r="P10" s="838">
        <f t="shared" si="7"/>
        <v>0</v>
      </c>
      <c r="Q10" s="838"/>
      <c r="R10" s="838">
        <f t="shared" si="8"/>
        <v>0</v>
      </c>
      <c r="S10" s="837"/>
      <c r="T10" s="837">
        <f t="shared" si="9"/>
        <v>0</v>
      </c>
      <c r="U10" s="837"/>
      <c r="V10" s="837">
        <f t="shared" si="10"/>
        <v>0</v>
      </c>
      <c r="W10" s="837"/>
      <c r="X10" s="19">
        <f t="shared" si="11"/>
        <v>0</v>
      </c>
      <c r="Y10" s="20">
        <f t="shared" si="0"/>
        <v>1999.46</v>
      </c>
    </row>
    <row r="11" spans="1:25" ht="37.5" customHeight="1" x14ac:dyDescent="0.25">
      <c r="A11" s="12"/>
      <c r="B11" s="836"/>
      <c r="C11" s="837"/>
      <c r="D11" s="22">
        <f t="shared" si="1"/>
        <v>0</v>
      </c>
      <c r="E11" s="837"/>
      <c r="F11" s="837">
        <f t="shared" si="2"/>
        <v>0</v>
      </c>
      <c r="G11" s="837"/>
      <c r="H11" s="837">
        <f t="shared" si="3"/>
        <v>0</v>
      </c>
      <c r="I11" s="837"/>
      <c r="J11" s="837">
        <f t="shared" si="4"/>
        <v>0</v>
      </c>
      <c r="K11" s="837"/>
      <c r="L11" s="837">
        <f t="shared" si="5"/>
        <v>0</v>
      </c>
      <c r="M11" s="837"/>
      <c r="N11" s="838">
        <f t="shared" si="6"/>
        <v>0</v>
      </c>
      <c r="O11" s="837"/>
      <c r="P11" s="838">
        <f t="shared" si="7"/>
        <v>0</v>
      </c>
      <c r="Q11" s="838"/>
      <c r="R11" s="838">
        <f t="shared" si="8"/>
        <v>0</v>
      </c>
      <c r="S11" s="837"/>
      <c r="T11" s="837">
        <f>341*S11</f>
        <v>0</v>
      </c>
      <c r="U11" s="837"/>
      <c r="V11" s="837">
        <f t="shared" si="10"/>
        <v>0</v>
      </c>
      <c r="W11" s="837"/>
      <c r="X11" s="19">
        <f t="shared" si="11"/>
        <v>0</v>
      </c>
      <c r="Y11" s="20">
        <f t="shared" si="0"/>
        <v>0</v>
      </c>
    </row>
    <row r="12" spans="1:25" ht="29.25" customHeight="1" x14ac:dyDescent="0.25">
      <c r="A12" s="2235" t="s">
        <v>31</v>
      </c>
      <c r="B12" s="2235"/>
      <c r="C12" s="18">
        <f t="shared" ref="C12:X12" si="12">SUM(C6:C11)</f>
        <v>148467</v>
      </c>
      <c r="D12" s="18">
        <f t="shared" si="12"/>
        <v>144384.1575</v>
      </c>
      <c r="E12" s="18">
        <f t="shared" si="12"/>
        <v>0</v>
      </c>
      <c r="F12" s="18">
        <f t="shared" si="12"/>
        <v>0</v>
      </c>
      <c r="G12" s="18">
        <f t="shared" si="12"/>
        <v>60</v>
      </c>
      <c r="H12" s="18">
        <f t="shared" si="12"/>
        <v>1692</v>
      </c>
      <c r="I12" s="18">
        <f t="shared" si="12"/>
        <v>3970</v>
      </c>
      <c r="J12" s="18">
        <f t="shared" si="12"/>
        <v>73445</v>
      </c>
      <c r="K12" s="18">
        <f t="shared" si="12"/>
        <v>500</v>
      </c>
      <c r="L12" s="18">
        <f t="shared" si="12"/>
        <v>14118.399999999998</v>
      </c>
      <c r="M12" s="18">
        <f t="shared" si="12"/>
        <v>0</v>
      </c>
      <c r="N12" s="23">
        <f t="shared" si="12"/>
        <v>0</v>
      </c>
      <c r="O12" s="18">
        <f t="shared" si="12"/>
        <v>0</v>
      </c>
      <c r="P12" s="23">
        <f t="shared" si="12"/>
        <v>0</v>
      </c>
      <c r="Q12" s="23">
        <f t="shared" si="12"/>
        <v>0</v>
      </c>
      <c r="R12" s="23">
        <f>SUM(R6:R11)</f>
        <v>0</v>
      </c>
      <c r="S12" s="18"/>
      <c r="T12" s="18">
        <f t="shared" si="12"/>
        <v>0</v>
      </c>
      <c r="U12" s="18">
        <f t="shared" si="12"/>
        <v>0</v>
      </c>
      <c r="V12" s="18">
        <f t="shared" si="12"/>
        <v>0</v>
      </c>
      <c r="W12" s="18">
        <f t="shared" si="12"/>
        <v>0</v>
      </c>
      <c r="X12" s="18">
        <f t="shared" si="12"/>
        <v>0</v>
      </c>
      <c r="Y12" s="20">
        <f t="shared" si="0"/>
        <v>233639.5575</v>
      </c>
    </row>
    <row r="14" spans="1:25" ht="43.5" customHeight="1" x14ac:dyDescent="0.25">
      <c r="A14" s="30" t="s">
        <v>32</v>
      </c>
      <c r="B14" s="2236" t="s">
        <v>27</v>
      </c>
      <c r="C14" s="2236"/>
      <c r="D14" s="30" t="s">
        <v>333</v>
      </c>
      <c r="E14" s="30" t="s">
        <v>65</v>
      </c>
      <c r="F14" s="30" t="s">
        <v>34</v>
      </c>
      <c r="G14" s="30" t="s">
        <v>14</v>
      </c>
      <c r="H14" s="469" t="s">
        <v>173</v>
      </c>
      <c r="I14" s="30" t="s">
        <v>17</v>
      </c>
      <c r="J14" s="842" t="s">
        <v>174</v>
      </c>
      <c r="K14" s="30" t="s">
        <v>36</v>
      </c>
      <c r="L14" s="842" t="s">
        <v>403</v>
      </c>
      <c r="M14" s="30" t="s">
        <v>69</v>
      </c>
      <c r="N14" s="30" t="s">
        <v>70</v>
      </c>
      <c r="O14" s="842" t="s">
        <v>114</v>
      </c>
      <c r="P14" s="842" t="s">
        <v>402</v>
      </c>
      <c r="Q14" s="2300" t="s">
        <v>378</v>
      </c>
      <c r="R14" s="2301"/>
      <c r="S14" s="842" t="s">
        <v>401</v>
      </c>
      <c r="T14" s="2235" t="s">
        <v>46</v>
      </c>
      <c r="U14" s="834" t="s">
        <v>176</v>
      </c>
      <c r="V14" s="2260">
        <v>118358</v>
      </c>
      <c r="W14" s="2268"/>
      <c r="X14" s="2261"/>
    </row>
    <row r="15" spans="1:25" ht="22.5" customHeight="1" x14ac:dyDescent="0.25">
      <c r="A15" s="100" t="s">
        <v>38</v>
      </c>
      <c r="B15" s="2260">
        <v>467474</v>
      </c>
      <c r="C15" s="2261"/>
      <c r="D15" s="839">
        <v>502</v>
      </c>
      <c r="E15" s="839">
        <v>850</v>
      </c>
      <c r="F15" s="839">
        <v>12710</v>
      </c>
      <c r="G15" s="839">
        <v>3310</v>
      </c>
      <c r="H15" s="839">
        <v>100</v>
      </c>
      <c r="I15" s="839">
        <v>0</v>
      </c>
      <c r="J15" s="839">
        <v>1</v>
      </c>
      <c r="K15" s="839">
        <v>71</v>
      </c>
      <c r="L15" s="839">
        <v>0</v>
      </c>
      <c r="M15" s="839">
        <v>0</v>
      </c>
      <c r="N15" s="839">
        <v>100</v>
      </c>
      <c r="O15" s="839">
        <v>0</v>
      </c>
      <c r="P15" s="839">
        <v>15</v>
      </c>
      <c r="Q15" s="2260">
        <v>0</v>
      </c>
      <c r="R15" s="2261"/>
      <c r="S15" s="834">
        <v>81</v>
      </c>
      <c r="T15" s="2235"/>
      <c r="U15" s="834" t="s">
        <v>64</v>
      </c>
      <c r="V15" s="2262">
        <v>7520</v>
      </c>
      <c r="W15" s="2262"/>
      <c r="X15" s="2262"/>
    </row>
    <row r="16" spans="1:25" ht="24.75" customHeight="1" x14ac:dyDescent="0.25">
      <c r="A16" s="100" t="s">
        <v>39</v>
      </c>
      <c r="B16" s="2260"/>
      <c r="C16" s="2261"/>
      <c r="D16" s="839"/>
      <c r="E16" s="839"/>
      <c r="F16" s="839"/>
      <c r="G16" s="839"/>
      <c r="H16" s="839"/>
      <c r="I16" s="839"/>
      <c r="J16" s="839"/>
      <c r="K16" s="839"/>
      <c r="L16" s="839"/>
      <c r="M16" s="839"/>
      <c r="N16" s="839"/>
      <c r="O16" s="839"/>
      <c r="P16" s="839"/>
      <c r="Q16" s="2225"/>
      <c r="R16" s="2225"/>
      <c r="S16" s="839"/>
      <c r="T16" s="2254" t="s">
        <v>55</v>
      </c>
      <c r="U16" s="2254"/>
      <c r="V16" s="2267">
        <f>Y12</f>
        <v>233639.5575</v>
      </c>
      <c r="W16" s="2267"/>
      <c r="X16" s="2262"/>
    </row>
    <row r="17" spans="1:25" ht="28.5" customHeight="1" x14ac:dyDescent="0.25">
      <c r="A17" s="101" t="s">
        <v>44</v>
      </c>
      <c r="B17" s="2260"/>
      <c r="C17" s="2261"/>
      <c r="D17" s="839"/>
      <c r="E17" s="839"/>
      <c r="F17" s="839"/>
      <c r="G17" s="839"/>
      <c r="H17" s="839"/>
      <c r="I17" s="839"/>
      <c r="J17" s="839"/>
      <c r="K17" s="839"/>
      <c r="L17" s="839"/>
      <c r="M17" s="839"/>
      <c r="N17" s="839"/>
      <c r="O17" s="839"/>
      <c r="P17" s="839"/>
      <c r="Q17" s="2225"/>
      <c r="R17" s="2225"/>
      <c r="S17" s="836"/>
      <c r="T17" s="2294" t="s">
        <v>362</v>
      </c>
      <c r="U17" s="2295"/>
      <c r="V17" s="2296"/>
      <c r="W17" s="2296"/>
      <c r="X17" s="2296"/>
    </row>
    <row r="18" spans="1:25" ht="27" customHeight="1" x14ac:dyDescent="0.25">
      <c r="A18" s="100" t="s">
        <v>40</v>
      </c>
      <c r="B18" s="2264">
        <f>C12</f>
        <v>148467</v>
      </c>
      <c r="C18" s="2261"/>
      <c r="D18" s="840">
        <f>E12</f>
        <v>0</v>
      </c>
      <c r="E18" s="840">
        <f>G12</f>
        <v>60</v>
      </c>
      <c r="F18" s="840">
        <f>I12</f>
        <v>3970</v>
      </c>
      <c r="G18" s="840">
        <f>K12</f>
        <v>500</v>
      </c>
      <c r="H18" s="839"/>
      <c r="I18" s="840">
        <f>U12</f>
        <v>0</v>
      </c>
      <c r="J18" s="839"/>
      <c r="K18" s="840">
        <f>W12</f>
        <v>0</v>
      </c>
      <c r="L18" s="839"/>
      <c r="M18" s="840">
        <f>M12</f>
        <v>0</v>
      </c>
      <c r="N18" s="840"/>
      <c r="O18" s="841">
        <f>Q12</f>
        <v>0</v>
      </c>
      <c r="P18" s="840"/>
      <c r="Q18" s="2262"/>
      <c r="R18" s="2262"/>
      <c r="S18" s="834"/>
      <c r="T18" s="2254" t="s">
        <v>57</v>
      </c>
      <c r="U18" s="2254"/>
      <c r="V18" s="2262">
        <v>1460</v>
      </c>
      <c r="W18" s="2262"/>
      <c r="X18" s="2262"/>
      <c r="Y18" s="2269"/>
    </row>
    <row r="19" spans="1:25" ht="25.5" customHeight="1" x14ac:dyDescent="0.25">
      <c r="A19" s="100" t="s">
        <v>41</v>
      </c>
      <c r="B19" s="2260">
        <f>B15+B16+B17-B18</f>
        <v>319007</v>
      </c>
      <c r="C19" s="2261"/>
      <c r="D19" s="839">
        <f>D15+D16+D17-D18</f>
        <v>502</v>
      </c>
      <c r="E19" s="839">
        <f t="shared" ref="E19:N19" si="13">E15+E16+E17-E18</f>
        <v>790</v>
      </c>
      <c r="F19" s="839">
        <f t="shared" si="13"/>
        <v>8740</v>
      </c>
      <c r="G19" s="839">
        <f t="shared" si="13"/>
        <v>2810</v>
      </c>
      <c r="H19" s="839">
        <f t="shared" si="13"/>
        <v>100</v>
      </c>
      <c r="I19" s="839">
        <f t="shared" si="13"/>
        <v>0</v>
      </c>
      <c r="J19" s="839">
        <f t="shared" si="13"/>
        <v>1</v>
      </c>
      <c r="K19" s="839">
        <f t="shared" si="13"/>
        <v>71</v>
      </c>
      <c r="L19" s="839">
        <f t="shared" si="13"/>
        <v>0</v>
      </c>
      <c r="M19" s="839">
        <f t="shared" si="13"/>
        <v>0</v>
      </c>
      <c r="N19" s="839">
        <f t="shared" si="13"/>
        <v>100</v>
      </c>
      <c r="O19" s="839">
        <f>O15+O16+O17-O18</f>
        <v>0</v>
      </c>
      <c r="P19" s="839">
        <f>P15+P16+P17-P18</f>
        <v>15</v>
      </c>
      <c r="Q19" s="2260">
        <f t="shared" ref="Q19" si="14">Q15+Q16+Q17-Q18</f>
        <v>0</v>
      </c>
      <c r="R19" s="2261"/>
      <c r="S19" s="834">
        <f>S15+S16-S17-S18</f>
        <v>81</v>
      </c>
      <c r="T19" s="2256" t="s">
        <v>48</v>
      </c>
      <c r="U19" s="49" t="s">
        <v>58</v>
      </c>
      <c r="V19" s="2262"/>
      <c r="W19" s="2262"/>
      <c r="X19" s="2262"/>
      <c r="Y19" s="2269"/>
    </row>
    <row r="20" spans="1:25" ht="23.25" customHeight="1" x14ac:dyDescent="0.25">
      <c r="A20" s="289" t="s">
        <v>187</v>
      </c>
      <c r="B20" s="2286">
        <f>B19*0.9625</f>
        <v>307044.23749999999</v>
      </c>
      <c r="C20" s="2287"/>
      <c r="D20" s="290">
        <f>D19*66.41</f>
        <v>33337.82</v>
      </c>
      <c r="E20" s="290">
        <f>27.9368*E19</f>
        <v>22070.072</v>
      </c>
      <c r="F20" s="290">
        <f>18.31*F19</f>
        <v>160029.4</v>
      </c>
      <c r="G20" s="290">
        <f>27.9368*G19</f>
        <v>78502.40800000001</v>
      </c>
      <c r="H20" s="290">
        <f>241*H19</f>
        <v>24100</v>
      </c>
      <c r="I20" s="290">
        <f>323*I19</f>
        <v>0</v>
      </c>
      <c r="J20" s="290">
        <f>241*J19</f>
        <v>241</v>
      </c>
      <c r="K20" s="290">
        <f>K19*100</f>
        <v>7100</v>
      </c>
      <c r="L20" s="290">
        <f>241*L19</f>
        <v>0</v>
      </c>
      <c r="M20" s="290">
        <f>9.65*M19</f>
        <v>0</v>
      </c>
      <c r="N20" s="290">
        <f>N19*48.2</f>
        <v>4820</v>
      </c>
      <c r="O20" s="290">
        <f>241*O19</f>
        <v>0</v>
      </c>
      <c r="P20" s="290">
        <f>241*P19</f>
        <v>3615</v>
      </c>
      <c r="Q20" s="2286">
        <f>341*Q19</f>
        <v>0</v>
      </c>
      <c r="R20" s="2287"/>
      <c r="S20" s="290">
        <f>241*S19</f>
        <v>19521</v>
      </c>
      <c r="T20" s="2257"/>
      <c r="U20" s="49" t="s">
        <v>59</v>
      </c>
      <c r="V20" s="2262"/>
      <c r="W20" s="2262"/>
      <c r="X20" s="2262"/>
      <c r="Y20" s="2269"/>
    </row>
    <row r="21" spans="1:25" ht="32.25" customHeight="1" x14ac:dyDescent="0.25">
      <c r="A21" s="291" t="s">
        <v>186</v>
      </c>
      <c r="B21" s="2293">
        <f>SUM(B20:S20)</f>
        <v>660380.9375</v>
      </c>
      <c r="C21" s="2293"/>
      <c r="O21" s="843"/>
      <c r="P21" s="843"/>
      <c r="Q21" s="843"/>
      <c r="R21" s="843"/>
      <c r="T21" s="2294" t="s">
        <v>366</v>
      </c>
      <c r="U21" s="2295"/>
      <c r="V21" s="2297"/>
      <c r="W21" s="2298"/>
      <c r="X21" s="2299"/>
      <c r="Y21" s="2269"/>
    </row>
    <row r="22" spans="1:25" ht="35.25" customHeight="1" x14ac:dyDescent="0.25">
      <c r="A22" s="15"/>
      <c r="B22" s="2288" t="s">
        <v>49</v>
      </c>
      <c r="C22" s="2291">
        <v>750366</v>
      </c>
      <c r="D22" s="2291"/>
      <c r="E22" s="2291"/>
      <c r="F22" s="2291">
        <f>C22-D22+E22</f>
        <v>750366</v>
      </c>
      <c r="G22" s="843"/>
      <c r="Q22" s="843"/>
      <c r="R22" s="843"/>
      <c r="T22" s="2251" t="s">
        <v>83</v>
      </c>
      <c r="U22" s="50" t="s">
        <v>60</v>
      </c>
      <c r="V22" s="2262"/>
      <c r="W22" s="2262"/>
      <c r="X22" s="2262"/>
      <c r="Y22" s="2269"/>
    </row>
    <row r="23" spans="1:25" ht="39.75" customHeight="1" x14ac:dyDescent="0.25">
      <c r="A23" s="843"/>
      <c r="B23" s="2289"/>
      <c r="C23" s="2292"/>
      <c r="D23" s="2292"/>
      <c r="E23" s="2292"/>
      <c r="F23" s="2292"/>
      <c r="G23" s="843"/>
      <c r="Q23" s="843"/>
      <c r="R23" s="843"/>
      <c r="T23" s="2252"/>
      <c r="U23" s="50" t="s">
        <v>61</v>
      </c>
      <c r="V23" s="2262"/>
      <c r="W23" s="2262"/>
      <c r="X23" s="2262"/>
      <c r="Y23" s="2269"/>
    </row>
    <row r="24" spans="1:25" ht="48" customHeight="1" x14ac:dyDescent="0.25">
      <c r="A24" s="843"/>
      <c r="B24" s="2290"/>
      <c r="C24" s="290" t="s">
        <v>46</v>
      </c>
      <c r="D24" s="290" t="s">
        <v>50</v>
      </c>
      <c r="E24" s="290" t="s">
        <v>51</v>
      </c>
      <c r="F24" s="290" t="s">
        <v>52</v>
      </c>
      <c r="G24" s="843"/>
      <c r="Q24" s="843"/>
      <c r="R24" s="843"/>
      <c r="T24" s="2235" t="s">
        <v>47</v>
      </c>
      <c r="U24" s="51" t="s">
        <v>62</v>
      </c>
      <c r="V24" s="2263">
        <f>V14+V16+V17-V18-V19-V20-V22+V23-V21</f>
        <v>350537.5575</v>
      </c>
      <c r="W24" s="2263"/>
      <c r="X24" s="2263"/>
      <c r="Y24" s="2269"/>
    </row>
    <row r="25" spans="1:25" ht="40.5" customHeight="1" x14ac:dyDescent="0.25">
      <c r="T25" s="2235"/>
      <c r="U25" s="51" t="s">
        <v>63</v>
      </c>
      <c r="V25" s="2262">
        <f>V15+V22-V23</f>
        <v>7520</v>
      </c>
      <c r="W25" s="2262"/>
      <c r="X25" s="2262"/>
    </row>
    <row r="26" spans="1:25" ht="36" customHeight="1" x14ac:dyDescent="0.25">
      <c r="K26" s="314"/>
    </row>
    <row r="28" spans="1:25" x14ac:dyDescent="0.25">
      <c r="J28" s="14" t="s">
        <v>139</v>
      </c>
    </row>
    <row r="32" spans="1:25" x14ac:dyDescent="0.25">
      <c r="I32" s="2280"/>
      <c r="J32" s="2280"/>
      <c r="K32" s="2280"/>
      <c r="L32" s="2280"/>
    </row>
    <row r="33" spans="9:12" x14ac:dyDescent="0.25">
      <c r="I33" s="843"/>
      <c r="J33" s="843"/>
      <c r="K33" s="2280"/>
      <c r="L33" s="2280"/>
    </row>
  </sheetData>
  <mergeCells count="62">
    <mergeCell ref="I32:J32"/>
    <mergeCell ref="K32:L32"/>
    <mergeCell ref="K33:L33"/>
    <mergeCell ref="T22:T23"/>
    <mergeCell ref="V22:X22"/>
    <mergeCell ref="V23:X23"/>
    <mergeCell ref="T24:T25"/>
    <mergeCell ref="V24:X24"/>
    <mergeCell ref="V25:X25"/>
    <mergeCell ref="Y18:Y24"/>
    <mergeCell ref="B19:C19"/>
    <mergeCell ref="Q19:R19"/>
    <mergeCell ref="T19:T20"/>
    <mergeCell ref="V19:X19"/>
    <mergeCell ref="B20:C20"/>
    <mergeCell ref="B22:B24"/>
    <mergeCell ref="C22:C23"/>
    <mergeCell ref="D22:D23"/>
    <mergeCell ref="E22:E23"/>
    <mergeCell ref="F22:F23"/>
    <mergeCell ref="Q20:R20"/>
    <mergeCell ref="V20:X20"/>
    <mergeCell ref="B21:C21"/>
    <mergeCell ref="T21:U21"/>
    <mergeCell ref="V21:X21"/>
    <mergeCell ref="B17:C17"/>
    <mergeCell ref="Q17:R17"/>
    <mergeCell ref="T17:U17"/>
    <mergeCell ref="V17:X17"/>
    <mergeCell ref="B18:C18"/>
    <mergeCell ref="Q18:R18"/>
    <mergeCell ref="T18:U18"/>
    <mergeCell ref="V18:X18"/>
    <mergeCell ref="W4:X4"/>
    <mergeCell ref="B16:C16"/>
    <mergeCell ref="Q16:R16"/>
    <mergeCell ref="T16:U16"/>
    <mergeCell ref="V16:X16"/>
    <mergeCell ref="A12:B12"/>
    <mergeCell ref="B14:C14"/>
    <mergeCell ref="Q14:R14"/>
    <mergeCell ref="T14:T15"/>
    <mergeCell ref="V14:X14"/>
    <mergeCell ref="B15:C15"/>
    <mergeCell ref="Q15:R15"/>
    <mergeCell ref="V15:X15"/>
    <mergeCell ref="A1:Y1"/>
    <mergeCell ref="A2:Y2"/>
    <mergeCell ref="T3:Y3"/>
    <mergeCell ref="A4:A5"/>
    <mergeCell ref="B4:B5"/>
    <mergeCell ref="C4:D4"/>
    <mergeCell ref="E4:F4"/>
    <mergeCell ref="G4:H4"/>
    <mergeCell ref="I4:J4"/>
    <mergeCell ref="K4:L4"/>
    <mergeCell ref="Y4:Y5"/>
    <mergeCell ref="M4:N4"/>
    <mergeCell ref="O4:P4"/>
    <mergeCell ref="Q4:R4"/>
    <mergeCell ref="S4:T4"/>
    <mergeCell ref="U4:V4"/>
  </mergeCells>
  <pageMargins left="0.15748031496063" right="0.15748031496063" top="0" bottom="0" header="0" footer="0"/>
  <pageSetup paperSize="9" scale="45" orientation="landscape" r:id="rId1"/>
</worksheet>
</file>

<file path=xl/worksheets/sheet18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90D66EA-0BCF-4339-AF9B-6DF3F2159BFE}">
  <sheetPr>
    <pageSetUpPr fitToPage="1"/>
  </sheetPr>
  <dimension ref="A1:Y33"/>
  <sheetViews>
    <sheetView topLeftCell="E9" zoomScale="70" zoomScaleNormal="70" zoomScaleSheetLayoutView="100" workbookViewId="0">
      <selection activeCell="L23" sqref="L23"/>
    </sheetView>
  </sheetViews>
  <sheetFormatPr defaultColWidth="9.140625" defaultRowHeight="15" x14ac:dyDescent="0.25"/>
  <cols>
    <col min="1" max="1" width="18.28515625" style="14" customWidth="1"/>
    <col min="2" max="2" width="10.7109375" style="14" customWidth="1"/>
    <col min="3" max="3" width="12.28515625" style="14" customWidth="1"/>
    <col min="4" max="4" width="13.140625" style="14" bestFit="1" customWidth="1"/>
    <col min="5" max="5" width="12" style="14" customWidth="1"/>
    <col min="6" max="6" width="12.5703125" style="14" bestFit="1" customWidth="1"/>
    <col min="7" max="7" width="16" style="14" bestFit="1" customWidth="1"/>
    <col min="8" max="8" width="10.140625" style="14" bestFit="1" customWidth="1"/>
    <col min="9" max="9" width="10.5703125" style="14" bestFit="1" customWidth="1"/>
    <col min="10" max="10" width="10.5703125" style="14" customWidth="1"/>
    <col min="11" max="11" width="10.28515625" style="14" bestFit="1" customWidth="1"/>
    <col min="12" max="12" width="10.42578125" style="14" bestFit="1" customWidth="1"/>
    <col min="13" max="13" width="9.85546875" style="14" bestFit="1" customWidth="1"/>
    <col min="14" max="14" width="10.140625" style="14" bestFit="1" customWidth="1"/>
    <col min="15" max="15" width="9" style="14" customWidth="1"/>
    <col min="16" max="16" width="12.85546875" style="14" bestFit="1" customWidth="1"/>
    <col min="17" max="18" width="9.42578125" style="14" customWidth="1"/>
    <col min="19" max="19" width="13.7109375" style="14" customWidth="1"/>
    <col min="20" max="20" width="12.140625" style="14" customWidth="1"/>
    <col min="21" max="21" width="21.7109375" style="14" customWidth="1"/>
    <col min="22" max="22" width="9.85546875" style="14" customWidth="1"/>
    <col min="23" max="23" width="10.140625" style="14" bestFit="1" customWidth="1"/>
    <col min="24" max="24" width="10.28515625" style="14" customWidth="1"/>
    <col min="25" max="25" width="28" style="14" customWidth="1"/>
    <col min="26" max="16384" width="9.140625" style="14"/>
  </cols>
  <sheetData>
    <row r="1" spans="1:25" ht="46.15" customHeight="1" x14ac:dyDescent="0.25">
      <c r="A1" s="2240" t="s">
        <v>148</v>
      </c>
      <c r="B1" s="2240"/>
      <c r="C1" s="2240"/>
      <c r="D1" s="2240"/>
      <c r="E1" s="2240"/>
      <c r="F1" s="2240"/>
      <c r="G1" s="2240"/>
      <c r="H1" s="2240"/>
      <c r="I1" s="2240"/>
      <c r="J1" s="2240"/>
      <c r="K1" s="2240"/>
      <c r="L1" s="2240"/>
      <c r="M1" s="2240"/>
      <c r="N1" s="2240"/>
      <c r="O1" s="2240"/>
      <c r="P1" s="2240"/>
      <c r="Q1" s="2240"/>
      <c r="R1" s="2240"/>
      <c r="S1" s="2240"/>
      <c r="T1" s="2240"/>
      <c r="U1" s="2240"/>
      <c r="V1" s="2240"/>
      <c r="W1" s="2240"/>
      <c r="X1" s="2240"/>
      <c r="Y1" s="2240"/>
    </row>
    <row r="2" spans="1:25" ht="21.6" customHeight="1" x14ac:dyDescent="0.25">
      <c r="A2" s="2241" t="s">
        <v>383</v>
      </c>
      <c r="B2" s="2241"/>
      <c r="C2" s="2241"/>
      <c r="D2" s="2241"/>
      <c r="E2" s="2241"/>
      <c r="F2" s="2241"/>
      <c r="G2" s="2241"/>
      <c r="H2" s="2241"/>
      <c r="I2" s="2241"/>
      <c r="J2" s="2241"/>
      <c r="K2" s="2241"/>
      <c r="L2" s="2241"/>
      <c r="M2" s="2241"/>
      <c r="N2" s="2241"/>
      <c r="O2" s="2241"/>
      <c r="P2" s="2241"/>
      <c r="Q2" s="2241"/>
      <c r="R2" s="2241"/>
      <c r="S2" s="2241"/>
      <c r="T2" s="2241"/>
      <c r="U2" s="2241"/>
      <c r="V2" s="2241"/>
      <c r="W2" s="2241"/>
      <c r="X2" s="2241"/>
      <c r="Y2" s="2241"/>
    </row>
    <row r="3" spans="1:25" ht="21" customHeight="1" x14ac:dyDescent="0.25">
      <c r="A3" s="833"/>
      <c r="B3" s="833"/>
      <c r="C3" s="833"/>
      <c r="D3" s="833"/>
      <c r="E3" s="833"/>
      <c r="F3" s="833"/>
      <c r="G3" s="833"/>
      <c r="H3" s="833"/>
      <c r="I3" s="833"/>
      <c r="J3" s="833"/>
      <c r="K3" s="833"/>
      <c r="L3" s="833"/>
      <c r="M3" s="833"/>
      <c r="N3" s="833"/>
      <c r="O3" s="833"/>
      <c r="P3" s="833"/>
      <c r="Q3" s="833"/>
      <c r="R3" s="833"/>
      <c r="S3" s="833"/>
      <c r="T3" s="2242" t="s">
        <v>408</v>
      </c>
      <c r="U3" s="2242"/>
      <c r="V3" s="2242"/>
      <c r="W3" s="2242"/>
      <c r="X3" s="2242"/>
      <c r="Y3" s="2242"/>
    </row>
    <row r="4" spans="1:25" s="833" customFormat="1" ht="18" customHeight="1" x14ac:dyDescent="0.25">
      <c r="A4" s="2243" t="s">
        <v>25</v>
      </c>
      <c r="B4" s="2243" t="s">
        <v>26</v>
      </c>
      <c r="C4" s="2244" t="s">
        <v>27</v>
      </c>
      <c r="D4" s="2244"/>
      <c r="E4" s="2244" t="s">
        <v>342</v>
      </c>
      <c r="F4" s="2244"/>
      <c r="G4" s="2244" t="s">
        <v>65</v>
      </c>
      <c r="H4" s="2244"/>
      <c r="I4" s="2244" t="s">
        <v>29</v>
      </c>
      <c r="J4" s="2244"/>
      <c r="K4" s="2245" t="s">
        <v>14</v>
      </c>
      <c r="L4" s="2246"/>
      <c r="M4" s="2245" t="s">
        <v>67</v>
      </c>
      <c r="N4" s="2246"/>
      <c r="O4" s="2245" t="s">
        <v>68</v>
      </c>
      <c r="P4" s="2246"/>
      <c r="Q4" s="2245" t="s">
        <v>114</v>
      </c>
      <c r="R4" s="2246"/>
      <c r="S4" s="2244" t="s">
        <v>35</v>
      </c>
      <c r="T4" s="2244"/>
      <c r="U4" s="2245" t="s">
        <v>17</v>
      </c>
      <c r="V4" s="2246"/>
      <c r="W4" s="2247" t="s">
        <v>36</v>
      </c>
      <c r="X4" s="2248"/>
      <c r="Y4" s="2238" t="s">
        <v>30</v>
      </c>
    </row>
    <row r="5" spans="1:25" s="833" customFormat="1" ht="25.5" customHeight="1" x14ac:dyDescent="0.25">
      <c r="A5" s="2243"/>
      <c r="B5" s="2243"/>
      <c r="C5" s="835" t="s">
        <v>42</v>
      </c>
      <c r="D5" s="835" t="s">
        <v>43</v>
      </c>
      <c r="E5" s="835" t="s">
        <v>42</v>
      </c>
      <c r="F5" s="835" t="s">
        <v>43</v>
      </c>
      <c r="G5" s="835" t="s">
        <v>42</v>
      </c>
      <c r="H5" s="835" t="s">
        <v>43</v>
      </c>
      <c r="I5" s="835" t="s">
        <v>42</v>
      </c>
      <c r="J5" s="835" t="s">
        <v>43</v>
      </c>
      <c r="K5" s="835" t="s">
        <v>42</v>
      </c>
      <c r="L5" s="835" t="s">
        <v>43</v>
      </c>
      <c r="M5" s="835" t="s">
        <v>42</v>
      </c>
      <c r="N5" s="835" t="s">
        <v>43</v>
      </c>
      <c r="O5" s="835" t="s">
        <v>42</v>
      </c>
      <c r="P5" s="835" t="s">
        <v>43</v>
      </c>
      <c r="Q5" s="835" t="s">
        <v>42</v>
      </c>
      <c r="R5" s="835" t="s">
        <v>43</v>
      </c>
      <c r="S5" s="33" t="s">
        <v>42</v>
      </c>
      <c r="T5" s="33" t="s">
        <v>43</v>
      </c>
      <c r="U5" s="30" t="s">
        <v>42</v>
      </c>
      <c r="V5" s="30" t="s">
        <v>43</v>
      </c>
      <c r="W5" s="30" t="s">
        <v>42</v>
      </c>
      <c r="X5" s="30" t="s">
        <v>43</v>
      </c>
      <c r="Y5" s="2239"/>
    </row>
    <row r="6" spans="1:25" ht="34.5" customHeight="1" x14ac:dyDescent="0.25">
      <c r="A6" s="12">
        <v>1409935200</v>
      </c>
      <c r="B6" s="834" t="s">
        <v>71</v>
      </c>
      <c r="C6" s="837">
        <v>41825</v>
      </c>
      <c r="D6" s="838">
        <f>0.9725*C6</f>
        <v>40674.8125</v>
      </c>
      <c r="E6" s="837"/>
      <c r="F6" s="837">
        <f>67.1*E6</f>
        <v>0</v>
      </c>
      <c r="G6" s="837"/>
      <c r="H6" s="837">
        <f>28.2*G6</f>
        <v>0</v>
      </c>
      <c r="I6" s="837">
        <v>1080</v>
      </c>
      <c r="J6" s="837">
        <f>18.5*I6</f>
        <v>19980</v>
      </c>
      <c r="K6" s="837">
        <v>210</v>
      </c>
      <c r="L6" s="837">
        <f>28.2368*K6</f>
        <v>5929.7280000000001</v>
      </c>
      <c r="M6" s="837"/>
      <c r="N6" s="838">
        <f>M6*9.75</f>
        <v>0</v>
      </c>
      <c r="O6" s="837"/>
      <c r="P6" s="838">
        <f>O6*48.7</f>
        <v>0</v>
      </c>
      <c r="Q6" s="838"/>
      <c r="R6" s="838">
        <f>241*Q6</f>
        <v>0</v>
      </c>
      <c r="S6" s="837"/>
      <c r="T6" s="837">
        <f>241*S6</f>
        <v>0</v>
      </c>
      <c r="U6" s="837"/>
      <c r="V6" s="837">
        <f>332*U6</f>
        <v>0</v>
      </c>
      <c r="W6" s="837"/>
      <c r="X6" s="19">
        <f>W6*100</f>
        <v>0</v>
      </c>
      <c r="Y6" s="20">
        <f t="shared" ref="Y6:Y12" si="0">D6+F6+H6+J6+L6+N6+P6+R6+T6+V6+X6</f>
        <v>66584.540500000003</v>
      </c>
    </row>
    <row r="7" spans="1:25" ht="31.5" customHeight="1" x14ac:dyDescent="0.25">
      <c r="A7" s="12">
        <v>1984225578</v>
      </c>
      <c r="B7" s="834" t="s">
        <v>72</v>
      </c>
      <c r="C7" s="837">
        <v>45327</v>
      </c>
      <c r="D7" s="838">
        <f t="shared" ref="D7:D11" si="1">0.9725*C7</f>
        <v>44080.5075</v>
      </c>
      <c r="E7" s="837"/>
      <c r="F7" s="837">
        <f t="shared" ref="F7:F11" si="2">67.1*E7</f>
        <v>0</v>
      </c>
      <c r="G7" s="837"/>
      <c r="H7" s="837">
        <f t="shared" ref="H7:H11" si="3">28.2*G7</f>
        <v>0</v>
      </c>
      <c r="I7" s="837">
        <v>770</v>
      </c>
      <c r="J7" s="837">
        <f t="shared" ref="J7:J11" si="4">18.5*I7</f>
        <v>14245</v>
      </c>
      <c r="K7" s="837"/>
      <c r="L7" s="837">
        <f t="shared" ref="L7:L11" si="5">28.2368*K7</f>
        <v>0</v>
      </c>
      <c r="M7" s="837"/>
      <c r="N7" s="838">
        <f t="shared" ref="N7:N11" si="6">M7*9.75</f>
        <v>0</v>
      </c>
      <c r="O7" s="837"/>
      <c r="P7" s="838">
        <f t="shared" ref="P7:P11" si="7">O7*48.7</f>
        <v>0</v>
      </c>
      <c r="Q7" s="838"/>
      <c r="R7" s="838">
        <f t="shared" ref="R7:R11" si="8">241*Q7</f>
        <v>0</v>
      </c>
      <c r="S7" s="837"/>
      <c r="T7" s="837">
        <f t="shared" ref="T7:T10" si="9">241*S7</f>
        <v>0</v>
      </c>
      <c r="U7" s="837"/>
      <c r="V7" s="837">
        <f t="shared" ref="V7:V11" si="10">332*U7</f>
        <v>0</v>
      </c>
      <c r="W7" s="837"/>
      <c r="X7" s="19">
        <f t="shared" ref="X7:X11" si="11">W7*100</f>
        <v>0</v>
      </c>
      <c r="Y7" s="20">
        <f t="shared" si="0"/>
        <v>58325.5075</v>
      </c>
    </row>
    <row r="8" spans="1:25" ht="35.25" customHeight="1" x14ac:dyDescent="0.25">
      <c r="A8" s="12">
        <v>1967020280</v>
      </c>
      <c r="B8" s="834" t="s">
        <v>73</v>
      </c>
      <c r="C8" s="837">
        <v>50092</v>
      </c>
      <c r="D8" s="838">
        <f t="shared" si="1"/>
        <v>48714.47</v>
      </c>
      <c r="E8" s="837"/>
      <c r="F8" s="837">
        <f t="shared" si="2"/>
        <v>0</v>
      </c>
      <c r="G8" s="837"/>
      <c r="H8" s="837">
        <f t="shared" si="3"/>
        <v>0</v>
      </c>
      <c r="I8" s="837">
        <v>1630</v>
      </c>
      <c r="J8" s="837">
        <f t="shared" si="4"/>
        <v>30155</v>
      </c>
      <c r="K8" s="837">
        <v>450</v>
      </c>
      <c r="L8" s="837">
        <f t="shared" si="5"/>
        <v>12706.56</v>
      </c>
      <c r="M8" s="837"/>
      <c r="N8" s="838">
        <f t="shared" si="6"/>
        <v>0</v>
      </c>
      <c r="O8" s="837"/>
      <c r="P8" s="838">
        <f t="shared" si="7"/>
        <v>0</v>
      </c>
      <c r="Q8" s="838"/>
      <c r="R8" s="838">
        <f t="shared" si="8"/>
        <v>0</v>
      </c>
      <c r="S8" s="837">
        <v>7</v>
      </c>
      <c r="T8" s="837">
        <f t="shared" si="9"/>
        <v>1687</v>
      </c>
      <c r="U8" s="837"/>
      <c r="V8" s="837">
        <f t="shared" si="10"/>
        <v>0</v>
      </c>
      <c r="W8" s="837"/>
      <c r="X8" s="19">
        <f t="shared" si="11"/>
        <v>0</v>
      </c>
      <c r="Y8" s="20">
        <f t="shared" si="0"/>
        <v>93263.03</v>
      </c>
    </row>
    <row r="9" spans="1:25" ht="38.25" customHeight="1" x14ac:dyDescent="0.25">
      <c r="A9" s="12">
        <v>1984225580</v>
      </c>
      <c r="B9" s="834" t="s">
        <v>75</v>
      </c>
      <c r="C9" s="837">
        <v>49651</v>
      </c>
      <c r="D9" s="838">
        <f t="shared" si="1"/>
        <v>48285.597500000003</v>
      </c>
      <c r="E9" s="837"/>
      <c r="F9" s="837">
        <f t="shared" si="2"/>
        <v>0</v>
      </c>
      <c r="G9" s="837">
        <v>30</v>
      </c>
      <c r="H9" s="837">
        <f t="shared" si="3"/>
        <v>846</v>
      </c>
      <c r="I9" s="837">
        <v>1870</v>
      </c>
      <c r="J9" s="837">
        <f t="shared" si="4"/>
        <v>34595</v>
      </c>
      <c r="K9" s="837"/>
      <c r="L9" s="837">
        <f t="shared" si="5"/>
        <v>0</v>
      </c>
      <c r="M9" s="837"/>
      <c r="N9" s="838">
        <f t="shared" si="6"/>
        <v>0</v>
      </c>
      <c r="O9" s="837"/>
      <c r="P9" s="838">
        <f t="shared" si="7"/>
        <v>0</v>
      </c>
      <c r="Q9" s="838"/>
      <c r="R9" s="838">
        <f t="shared" si="8"/>
        <v>0</v>
      </c>
      <c r="S9" s="837"/>
      <c r="T9" s="837">
        <f t="shared" si="9"/>
        <v>0</v>
      </c>
      <c r="U9" s="837"/>
      <c r="V9" s="837">
        <f t="shared" si="10"/>
        <v>0</v>
      </c>
      <c r="W9" s="837"/>
      <c r="X9" s="19">
        <f t="shared" si="11"/>
        <v>0</v>
      </c>
      <c r="Y9" s="20">
        <f t="shared" si="0"/>
        <v>83726.597500000003</v>
      </c>
    </row>
    <row r="10" spans="1:25" ht="35.25" customHeight="1" x14ac:dyDescent="0.25">
      <c r="A10" s="12">
        <v>1409935199</v>
      </c>
      <c r="C10" s="837"/>
      <c r="D10" s="838">
        <f t="shared" si="1"/>
        <v>0</v>
      </c>
      <c r="E10" s="837"/>
      <c r="F10" s="837">
        <f t="shared" si="2"/>
        <v>0</v>
      </c>
      <c r="G10" s="837"/>
      <c r="H10" s="837">
        <f t="shared" si="3"/>
        <v>0</v>
      </c>
      <c r="I10" s="837"/>
      <c r="J10" s="837">
        <f t="shared" si="4"/>
        <v>0</v>
      </c>
      <c r="K10" s="837"/>
      <c r="L10" s="837">
        <f t="shared" si="5"/>
        <v>0</v>
      </c>
      <c r="M10" s="837"/>
      <c r="N10" s="838">
        <f t="shared" si="6"/>
        <v>0</v>
      </c>
      <c r="O10" s="837"/>
      <c r="P10" s="838">
        <f t="shared" si="7"/>
        <v>0</v>
      </c>
      <c r="Q10" s="838"/>
      <c r="R10" s="838">
        <f t="shared" si="8"/>
        <v>0</v>
      </c>
      <c r="S10" s="837"/>
      <c r="T10" s="837">
        <f t="shared" si="9"/>
        <v>0</v>
      </c>
      <c r="U10" s="837"/>
      <c r="V10" s="837">
        <f t="shared" si="10"/>
        <v>0</v>
      </c>
      <c r="W10" s="837"/>
      <c r="X10" s="19">
        <f t="shared" si="11"/>
        <v>0</v>
      </c>
      <c r="Y10" s="20">
        <f t="shared" si="0"/>
        <v>0</v>
      </c>
    </row>
    <row r="11" spans="1:25" ht="37.5" customHeight="1" x14ac:dyDescent="0.25">
      <c r="A11" s="12"/>
      <c r="B11" s="836"/>
      <c r="C11" s="837"/>
      <c r="D11" s="22">
        <f t="shared" si="1"/>
        <v>0</v>
      </c>
      <c r="E11" s="837"/>
      <c r="F11" s="837">
        <f t="shared" si="2"/>
        <v>0</v>
      </c>
      <c r="G11" s="837"/>
      <c r="H11" s="837">
        <f t="shared" si="3"/>
        <v>0</v>
      </c>
      <c r="I11" s="837">
        <v>3390</v>
      </c>
      <c r="J11" s="837">
        <f t="shared" si="4"/>
        <v>62715</v>
      </c>
      <c r="K11" s="837">
        <v>1500</v>
      </c>
      <c r="L11" s="837">
        <f t="shared" si="5"/>
        <v>42355.199999999997</v>
      </c>
      <c r="M11" s="837"/>
      <c r="N11" s="838">
        <f t="shared" si="6"/>
        <v>0</v>
      </c>
      <c r="O11" s="837"/>
      <c r="P11" s="838">
        <f t="shared" si="7"/>
        <v>0</v>
      </c>
      <c r="Q11" s="838"/>
      <c r="R11" s="838">
        <f t="shared" si="8"/>
        <v>0</v>
      </c>
      <c r="S11" s="837"/>
      <c r="T11" s="837">
        <f>341*S11</f>
        <v>0</v>
      </c>
      <c r="U11" s="837"/>
      <c r="V11" s="837">
        <f t="shared" si="10"/>
        <v>0</v>
      </c>
      <c r="W11" s="837"/>
      <c r="X11" s="19">
        <f t="shared" si="11"/>
        <v>0</v>
      </c>
      <c r="Y11" s="20">
        <f t="shared" si="0"/>
        <v>105070.2</v>
      </c>
    </row>
    <row r="12" spans="1:25" ht="29.25" customHeight="1" x14ac:dyDescent="0.25">
      <c r="A12" s="2235" t="s">
        <v>31</v>
      </c>
      <c r="B12" s="2235"/>
      <c r="C12" s="18">
        <f t="shared" ref="C12:X12" si="12">SUM(C6:C11)</f>
        <v>186895</v>
      </c>
      <c r="D12" s="18">
        <f t="shared" si="12"/>
        <v>181755.38750000001</v>
      </c>
      <c r="E12" s="18">
        <f t="shared" si="12"/>
        <v>0</v>
      </c>
      <c r="F12" s="18">
        <f t="shared" si="12"/>
        <v>0</v>
      </c>
      <c r="G12" s="18">
        <f t="shared" si="12"/>
        <v>30</v>
      </c>
      <c r="H12" s="18">
        <f t="shared" si="12"/>
        <v>846</v>
      </c>
      <c r="I12" s="18">
        <f t="shared" si="12"/>
        <v>8740</v>
      </c>
      <c r="J12" s="18">
        <f t="shared" si="12"/>
        <v>161690</v>
      </c>
      <c r="K12" s="18">
        <f t="shared" si="12"/>
        <v>2160</v>
      </c>
      <c r="L12" s="18">
        <f t="shared" si="12"/>
        <v>60991.487999999998</v>
      </c>
      <c r="M12" s="18">
        <f t="shared" si="12"/>
        <v>0</v>
      </c>
      <c r="N12" s="23">
        <f t="shared" si="12"/>
        <v>0</v>
      </c>
      <c r="O12" s="18">
        <f t="shared" si="12"/>
        <v>0</v>
      </c>
      <c r="P12" s="23">
        <f t="shared" si="12"/>
        <v>0</v>
      </c>
      <c r="Q12" s="23">
        <f t="shared" si="12"/>
        <v>0</v>
      </c>
      <c r="R12" s="23">
        <f>SUM(R6:R11)</f>
        <v>0</v>
      </c>
      <c r="S12" s="23">
        <f>SUM(S6:S11)</f>
        <v>7</v>
      </c>
      <c r="T12" s="18">
        <f t="shared" si="12"/>
        <v>1687</v>
      </c>
      <c r="U12" s="18">
        <f t="shared" si="12"/>
        <v>0</v>
      </c>
      <c r="V12" s="18">
        <f t="shared" si="12"/>
        <v>0</v>
      </c>
      <c r="W12" s="18">
        <f t="shared" si="12"/>
        <v>0</v>
      </c>
      <c r="X12" s="18">
        <f t="shared" si="12"/>
        <v>0</v>
      </c>
      <c r="Y12" s="20">
        <f t="shared" si="0"/>
        <v>406969.87550000002</v>
      </c>
    </row>
    <row r="14" spans="1:25" ht="43.5" customHeight="1" x14ac:dyDescent="0.25">
      <c r="A14" s="30" t="s">
        <v>32</v>
      </c>
      <c r="B14" s="2236" t="s">
        <v>27</v>
      </c>
      <c r="C14" s="2236"/>
      <c r="D14" s="30" t="s">
        <v>333</v>
      </c>
      <c r="E14" s="30" t="s">
        <v>65</v>
      </c>
      <c r="F14" s="30" t="s">
        <v>34</v>
      </c>
      <c r="G14" s="30" t="s">
        <v>14</v>
      </c>
      <c r="H14" s="469" t="s">
        <v>173</v>
      </c>
      <c r="I14" s="30" t="s">
        <v>17</v>
      </c>
      <c r="J14" s="842" t="s">
        <v>174</v>
      </c>
      <c r="K14" s="30" t="s">
        <v>36</v>
      </c>
      <c r="L14" s="842" t="s">
        <v>403</v>
      </c>
      <c r="M14" s="30" t="s">
        <v>69</v>
      </c>
      <c r="N14" s="30" t="s">
        <v>70</v>
      </c>
      <c r="O14" s="842" t="s">
        <v>114</v>
      </c>
      <c r="P14" s="842" t="s">
        <v>402</v>
      </c>
      <c r="Q14" s="2300" t="s">
        <v>378</v>
      </c>
      <c r="R14" s="2301"/>
      <c r="S14" s="842" t="s">
        <v>401</v>
      </c>
      <c r="T14" s="2235" t="s">
        <v>46</v>
      </c>
      <c r="U14" s="834" t="s">
        <v>176</v>
      </c>
      <c r="V14" s="2260">
        <v>350538</v>
      </c>
      <c r="W14" s="2268"/>
      <c r="X14" s="2261"/>
    </row>
    <row r="15" spans="1:25" ht="22.5" customHeight="1" x14ac:dyDescent="0.25">
      <c r="A15" s="100" t="s">
        <v>38</v>
      </c>
      <c r="B15" s="2260">
        <v>319007</v>
      </c>
      <c r="C15" s="2261"/>
      <c r="D15" s="839">
        <v>502</v>
      </c>
      <c r="E15" s="839">
        <v>790</v>
      </c>
      <c r="F15" s="839">
        <v>8740</v>
      </c>
      <c r="G15" s="839">
        <v>2810</v>
      </c>
      <c r="H15" s="839">
        <v>100</v>
      </c>
      <c r="I15" s="839">
        <v>0</v>
      </c>
      <c r="J15" s="839">
        <v>1</v>
      </c>
      <c r="K15" s="839">
        <v>71</v>
      </c>
      <c r="L15" s="839">
        <v>0</v>
      </c>
      <c r="M15" s="839">
        <v>0</v>
      </c>
      <c r="N15" s="839">
        <v>100</v>
      </c>
      <c r="O15" s="839">
        <v>0</v>
      </c>
      <c r="P15" s="839">
        <v>15</v>
      </c>
      <c r="Q15" s="2260">
        <v>0</v>
      </c>
      <c r="R15" s="2261"/>
      <c r="S15" s="834">
        <v>81</v>
      </c>
      <c r="T15" s="2235"/>
      <c r="U15" s="834" t="s">
        <v>64</v>
      </c>
      <c r="V15" s="2262">
        <v>7520</v>
      </c>
      <c r="W15" s="2262"/>
      <c r="X15" s="2262"/>
    </row>
    <row r="16" spans="1:25" ht="24.75" customHeight="1" x14ac:dyDescent="0.25">
      <c r="A16" s="100" t="s">
        <v>39</v>
      </c>
      <c r="B16" s="2260">
        <v>145454</v>
      </c>
      <c r="C16" s="2261"/>
      <c r="D16" s="839"/>
      <c r="E16" s="839"/>
      <c r="F16" s="839"/>
      <c r="G16" s="839"/>
      <c r="H16" s="839"/>
      <c r="I16" s="839"/>
      <c r="J16" s="839"/>
      <c r="K16" s="839"/>
      <c r="L16" s="839"/>
      <c r="M16" s="839"/>
      <c r="N16" s="839"/>
      <c r="O16" s="839"/>
      <c r="P16" s="839"/>
      <c r="Q16" s="2225"/>
      <c r="R16" s="2225"/>
      <c r="S16" s="839"/>
      <c r="T16" s="2254" t="s">
        <v>55</v>
      </c>
      <c r="U16" s="2254"/>
      <c r="V16" s="2267">
        <f>Y12</f>
        <v>406969.87550000002</v>
      </c>
      <c r="W16" s="2267"/>
      <c r="X16" s="2262"/>
    </row>
    <row r="17" spans="1:25" ht="28.5" customHeight="1" x14ac:dyDescent="0.25">
      <c r="A17" s="101" t="s">
        <v>44</v>
      </c>
      <c r="B17" s="2260"/>
      <c r="C17" s="2261"/>
      <c r="D17" s="839"/>
      <c r="E17" s="839"/>
      <c r="F17" s="839"/>
      <c r="G17" s="839"/>
      <c r="H17" s="839"/>
      <c r="I17" s="839"/>
      <c r="J17" s="839"/>
      <c r="K17" s="839"/>
      <c r="L17" s="839"/>
      <c r="M17" s="839"/>
      <c r="N17" s="839"/>
      <c r="O17" s="839"/>
      <c r="P17" s="839"/>
      <c r="Q17" s="2225"/>
      <c r="R17" s="2225"/>
      <c r="S17" s="836"/>
      <c r="T17" s="2294" t="s">
        <v>362</v>
      </c>
      <c r="U17" s="2295"/>
      <c r="V17" s="2296"/>
      <c r="W17" s="2296"/>
      <c r="X17" s="2296"/>
    </row>
    <row r="18" spans="1:25" ht="27" customHeight="1" x14ac:dyDescent="0.25">
      <c r="A18" s="100" t="s">
        <v>40</v>
      </c>
      <c r="B18" s="2264">
        <f>C12</f>
        <v>186895</v>
      </c>
      <c r="C18" s="2261"/>
      <c r="D18" s="840">
        <f>E12</f>
        <v>0</v>
      </c>
      <c r="E18" s="840">
        <f>G12</f>
        <v>30</v>
      </c>
      <c r="F18" s="840">
        <f>I12</f>
        <v>8740</v>
      </c>
      <c r="G18" s="840">
        <f>K12</f>
        <v>2160</v>
      </c>
      <c r="H18" s="839">
        <v>7</v>
      </c>
      <c r="I18" s="840">
        <f>U12</f>
        <v>0</v>
      </c>
      <c r="J18" s="839"/>
      <c r="K18" s="840">
        <f>W12</f>
        <v>0</v>
      </c>
      <c r="L18" s="839"/>
      <c r="M18" s="840">
        <f>M12</f>
        <v>0</v>
      </c>
      <c r="N18" s="840"/>
      <c r="O18" s="841">
        <f>Q12</f>
        <v>0</v>
      </c>
      <c r="P18" s="840"/>
      <c r="Q18" s="2262"/>
      <c r="R18" s="2262"/>
      <c r="S18" s="834"/>
      <c r="T18" s="2254" t="s">
        <v>57</v>
      </c>
      <c r="U18" s="2254"/>
      <c r="V18" s="2262">
        <v>1420</v>
      </c>
      <c r="W18" s="2262"/>
      <c r="X18" s="2262"/>
      <c r="Y18" s="2269"/>
    </row>
    <row r="19" spans="1:25" ht="25.5" customHeight="1" x14ac:dyDescent="0.25">
      <c r="A19" s="100" t="s">
        <v>41</v>
      </c>
      <c r="B19" s="2260">
        <f>B15+B16+B17-B18</f>
        <v>277566</v>
      </c>
      <c r="C19" s="2261"/>
      <c r="D19" s="839">
        <f>D15+D16+D17-D18</f>
        <v>502</v>
      </c>
      <c r="E19" s="839">
        <f t="shared" ref="E19:N19" si="13">E15+E16+E17-E18</f>
        <v>760</v>
      </c>
      <c r="F19" s="839">
        <f t="shared" si="13"/>
        <v>0</v>
      </c>
      <c r="G19" s="839">
        <f t="shared" si="13"/>
        <v>650</v>
      </c>
      <c r="H19" s="839">
        <f t="shared" si="13"/>
        <v>93</v>
      </c>
      <c r="I19" s="839">
        <f t="shared" si="13"/>
        <v>0</v>
      </c>
      <c r="J19" s="839">
        <f t="shared" si="13"/>
        <v>1</v>
      </c>
      <c r="K19" s="839">
        <f t="shared" si="13"/>
        <v>71</v>
      </c>
      <c r="L19" s="839">
        <f t="shared" si="13"/>
        <v>0</v>
      </c>
      <c r="M19" s="839">
        <f t="shared" si="13"/>
        <v>0</v>
      </c>
      <c r="N19" s="839">
        <f t="shared" si="13"/>
        <v>100</v>
      </c>
      <c r="O19" s="839">
        <f>O15+O16+O17-O18</f>
        <v>0</v>
      </c>
      <c r="P19" s="839">
        <f>P15+P16+P17-P18</f>
        <v>15</v>
      </c>
      <c r="Q19" s="2260">
        <f t="shared" ref="Q19" si="14">Q15+Q16+Q17-Q18</f>
        <v>0</v>
      </c>
      <c r="R19" s="2261"/>
      <c r="S19" s="834">
        <f>S15+S16-S17-S18</f>
        <v>81</v>
      </c>
      <c r="T19" s="2256" t="s">
        <v>48</v>
      </c>
      <c r="U19" s="49" t="s">
        <v>58</v>
      </c>
      <c r="V19" s="2262">
        <v>751400</v>
      </c>
      <c r="W19" s="2262"/>
      <c r="X19" s="2262"/>
      <c r="Y19" s="2269"/>
    </row>
    <row r="20" spans="1:25" ht="23.25" customHeight="1" x14ac:dyDescent="0.25">
      <c r="A20" s="289" t="s">
        <v>187</v>
      </c>
      <c r="B20" s="2286">
        <f>B19*0.9625</f>
        <v>267157.27500000002</v>
      </c>
      <c r="C20" s="2287"/>
      <c r="D20" s="290">
        <f>D19*66.41</f>
        <v>33337.82</v>
      </c>
      <c r="E20" s="290">
        <f>27.9368*E19</f>
        <v>21231.968000000001</v>
      </c>
      <c r="F20" s="290">
        <f>18.31*F19</f>
        <v>0</v>
      </c>
      <c r="G20" s="290">
        <f>27.9368*G19</f>
        <v>18158.920000000002</v>
      </c>
      <c r="H20" s="290">
        <f>241*H19</f>
        <v>22413</v>
      </c>
      <c r="I20" s="290">
        <f>323*I19</f>
        <v>0</v>
      </c>
      <c r="J20" s="290">
        <f>241*J19</f>
        <v>241</v>
      </c>
      <c r="K20" s="290">
        <f>K19*100</f>
        <v>7100</v>
      </c>
      <c r="L20" s="290">
        <f>241*L19</f>
        <v>0</v>
      </c>
      <c r="M20" s="290">
        <f>9.65*M19</f>
        <v>0</v>
      </c>
      <c r="N20" s="290">
        <f>N19*48.2</f>
        <v>4820</v>
      </c>
      <c r="O20" s="290">
        <f>241*O19</f>
        <v>0</v>
      </c>
      <c r="P20" s="290">
        <f>241*P19</f>
        <v>3615</v>
      </c>
      <c r="Q20" s="2286">
        <f>341*Q19</f>
        <v>0</v>
      </c>
      <c r="R20" s="2287"/>
      <c r="S20" s="290">
        <f>241*S19</f>
        <v>19521</v>
      </c>
      <c r="T20" s="2257"/>
      <c r="U20" s="49" t="s">
        <v>59</v>
      </c>
      <c r="V20" s="2262"/>
      <c r="W20" s="2262"/>
      <c r="X20" s="2262"/>
      <c r="Y20" s="2269"/>
    </row>
    <row r="21" spans="1:25" ht="32.25" customHeight="1" x14ac:dyDescent="0.25">
      <c r="A21" s="291" t="s">
        <v>186</v>
      </c>
      <c r="B21" s="2293">
        <f>SUM(B20:S20)</f>
        <v>397595.98300000001</v>
      </c>
      <c r="C21" s="2293"/>
      <c r="O21" s="843"/>
      <c r="P21" s="843"/>
      <c r="Q21" s="843"/>
      <c r="R21" s="843"/>
      <c r="T21" s="2294" t="s">
        <v>366</v>
      </c>
      <c r="U21" s="2295"/>
      <c r="V21" s="2297"/>
      <c r="W21" s="2298"/>
      <c r="X21" s="2299"/>
      <c r="Y21" s="2269"/>
    </row>
    <row r="22" spans="1:25" ht="35.25" customHeight="1" x14ac:dyDescent="0.25">
      <c r="A22" s="15"/>
      <c r="B22" s="2288" t="s">
        <v>49</v>
      </c>
      <c r="C22" s="2291">
        <v>750366</v>
      </c>
      <c r="D22" s="2291">
        <v>751400</v>
      </c>
      <c r="E22" s="2291">
        <v>140000</v>
      </c>
      <c r="F22" s="2291">
        <f>C22-D22+E22</f>
        <v>138966</v>
      </c>
      <c r="G22" s="843"/>
      <c r="Q22" s="843"/>
      <c r="R22" s="843"/>
      <c r="T22" s="2251" t="s">
        <v>83</v>
      </c>
      <c r="U22" s="50" t="s">
        <v>60</v>
      </c>
      <c r="V22" s="2262">
        <v>751400</v>
      </c>
      <c r="W22" s="2262"/>
      <c r="X22" s="2262"/>
      <c r="Y22" s="2269"/>
    </row>
    <row r="23" spans="1:25" ht="39.75" customHeight="1" x14ac:dyDescent="0.25">
      <c r="A23" s="843"/>
      <c r="B23" s="2289"/>
      <c r="C23" s="2292"/>
      <c r="D23" s="2292"/>
      <c r="E23" s="2292"/>
      <c r="F23" s="2292"/>
      <c r="G23" s="843"/>
      <c r="Q23" s="843"/>
      <c r="R23" s="843"/>
      <c r="T23" s="2252"/>
      <c r="U23" s="50" t="s">
        <v>61</v>
      </c>
      <c r="V23" s="2262">
        <v>751400</v>
      </c>
      <c r="W23" s="2262"/>
      <c r="X23" s="2262"/>
      <c r="Y23" s="2269"/>
    </row>
    <row r="24" spans="1:25" ht="48" customHeight="1" x14ac:dyDescent="0.25">
      <c r="A24" s="843"/>
      <c r="B24" s="2290"/>
      <c r="C24" s="290" t="s">
        <v>46</v>
      </c>
      <c r="D24" s="290" t="s">
        <v>50</v>
      </c>
      <c r="E24" s="290" t="s">
        <v>51</v>
      </c>
      <c r="F24" s="290" t="s">
        <v>52</v>
      </c>
      <c r="G24" s="843"/>
      <c r="Q24" s="843"/>
      <c r="R24" s="843"/>
      <c r="T24" s="2235" t="s">
        <v>47</v>
      </c>
      <c r="U24" s="51" t="s">
        <v>62</v>
      </c>
      <c r="V24" s="2263">
        <f>V14+V16+V17-V18-V19-V20-V22+V23-V21</f>
        <v>4687.875500000082</v>
      </c>
      <c r="W24" s="2263"/>
      <c r="X24" s="2263"/>
      <c r="Y24" s="2269"/>
    </row>
    <row r="25" spans="1:25" ht="40.5" customHeight="1" x14ac:dyDescent="0.25">
      <c r="T25" s="2235"/>
      <c r="U25" s="51" t="s">
        <v>63</v>
      </c>
      <c r="V25" s="2262">
        <f>V15+V22-V23</f>
        <v>7520</v>
      </c>
      <c r="W25" s="2262"/>
      <c r="X25" s="2262"/>
    </row>
    <row r="26" spans="1:25" ht="36" customHeight="1" x14ac:dyDescent="0.25">
      <c r="K26" s="314"/>
    </row>
    <row r="28" spans="1:25" x14ac:dyDescent="0.25">
      <c r="J28" s="14" t="s">
        <v>139</v>
      </c>
    </row>
    <row r="32" spans="1:25" x14ac:dyDescent="0.25">
      <c r="I32" s="2280"/>
      <c r="J32" s="2280"/>
      <c r="K32" s="2280"/>
      <c r="L32" s="2280"/>
    </row>
    <row r="33" spans="9:12" x14ac:dyDescent="0.25">
      <c r="I33" s="843"/>
      <c r="J33" s="843"/>
      <c r="K33" s="2280"/>
      <c r="L33" s="2280"/>
    </row>
  </sheetData>
  <mergeCells count="62">
    <mergeCell ref="I32:J32"/>
    <mergeCell ref="K32:L32"/>
    <mergeCell ref="K33:L33"/>
    <mergeCell ref="T22:T23"/>
    <mergeCell ref="V22:X22"/>
    <mergeCell ref="V23:X23"/>
    <mergeCell ref="T24:T25"/>
    <mergeCell ref="V24:X24"/>
    <mergeCell ref="V25:X25"/>
    <mergeCell ref="Y18:Y24"/>
    <mergeCell ref="B19:C19"/>
    <mergeCell ref="Q19:R19"/>
    <mergeCell ref="T19:T20"/>
    <mergeCell ref="V19:X19"/>
    <mergeCell ref="B20:C20"/>
    <mergeCell ref="B22:B24"/>
    <mergeCell ref="C22:C23"/>
    <mergeCell ref="D22:D23"/>
    <mergeCell ref="E22:E23"/>
    <mergeCell ref="F22:F23"/>
    <mergeCell ref="Q20:R20"/>
    <mergeCell ref="V20:X20"/>
    <mergeCell ref="B21:C21"/>
    <mergeCell ref="T21:U21"/>
    <mergeCell ref="V21:X21"/>
    <mergeCell ref="B17:C17"/>
    <mergeCell ref="Q17:R17"/>
    <mergeCell ref="T17:U17"/>
    <mergeCell ref="V17:X17"/>
    <mergeCell ref="B18:C18"/>
    <mergeCell ref="Q18:R18"/>
    <mergeCell ref="T18:U18"/>
    <mergeCell ref="V18:X18"/>
    <mergeCell ref="W4:X4"/>
    <mergeCell ref="B16:C16"/>
    <mergeCell ref="Q16:R16"/>
    <mergeCell ref="T16:U16"/>
    <mergeCell ref="V16:X16"/>
    <mergeCell ref="A12:B12"/>
    <mergeCell ref="B14:C14"/>
    <mergeCell ref="Q14:R14"/>
    <mergeCell ref="T14:T15"/>
    <mergeCell ref="V14:X14"/>
    <mergeCell ref="B15:C15"/>
    <mergeCell ref="Q15:R15"/>
    <mergeCell ref="V15:X15"/>
    <mergeCell ref="A1:Y1"/>
    <mergeCell ref="A2:Y2"/>
    <mergeCell ref="T3:Y3"/>
    <mergeCell ref="A4:A5"/>
    <mergeCell ref="B4:B5"/>
    <mergeCell ref="C4:D4"/>
    <mergeCell ref="E4:F4"/>
    <mergeCell ref="G4:H4"/>
    <mergeCell ref="I4:J4"/>
    <mergeCell ref="K4:L4"/>
    <mergeCell ref="Y4:Y5"/>
    <mergeCell ref="M4:N4"/>
    <mergeCell ref="O4:P4"/>
    <mergeCell ref="Q4:R4"/>
    <mergeCell ref="S4:T4"/>
    <mergeCell ref="U4:V4"/>
  </mergeCells>
  <pageMargins left="0.15748031496063" right="0.15748031496063" top="0" bottom="0" header="0" footer="0"/>
  <pageSetup paperSize="9" scale="45" orientation="landscape" r:id="rId1"/>
</worksheet>
</file>

<file path=xl/worksheets/sheet18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7DC5AA1-A9F6-499D-A784-7B1D08E9D1CF}">
  <sheetPr>
    <pageSetUpPr fitToPage="1"/>
  </sheetPr>
  <dimension ref="A1:Y33"/>
  <sheetViews>
    <sheetView topLeftCell="A12" zoomScale="70" zoomScaleNormal="70" zoomScaleSheetLayoutView="100" workbookViewId="0">
      <selection activeCell="O23" sqref="O23"/>
    </sheetView>
  </sheetViews>
  <sheetFormatPr defaultColWidth="9.140625" defaultRowHeight="15" x14ac:dyDescent="0.25"/>
  <cols>
    <col min="1" max="1" width="18.28515625" style="14" customWidth="1"/>
    <col min="2" max="2" width="10.7109375" style="14" customWidth="1"/>
    <col min="3" max="3" width="12.28515625" style="14" customWidth="1"/>
    <col min="4" max="4" width="13.140625" style="14" bestFit="1" customWidth="1"/>
    <col min="5" max="5" width="12" style="14" customWidth="1"/>
    <col min="6" max="6" width="12.5703125" style="14" bestFit="1" customWidth="1"/>
    <col min="7" max="7" width="16" style="14" bestFit="1" customWidth="1"/>
    <col min="8" max="8" width="10.140625" style="14" bestFit="1" customWidth="1"/>
    <col min="9" max="9" width="10.5703125" style="14" bestFit="1" customWidth="1"/>
    <col min="10" max="10" width="10.5703125" style="14" customWidth="1"/>
    <col min="11" max="11" width="10.28515625" style="14" bestFit="1" customWidth="1"/>
    <col min="12" max="12" width="10.42578125" style="14" bestFit="1" customWidth="1"/>
    <col min="13" max="13" width="9.85546875" style="14" bestFit="1" customWidth="1"/>
    <col min="14" max="14" width="10.140625" style="14" bestFit="1" customWidth="1"/>
    <col min="15" max="15" width="9" style="14" customWidth="1"/>
    <col min="16" max="16" width="12.85546875" style="14" bestFit="1" customWidth="1"/>
    <col min="17" max="18" width="9.42578125" style="14" customWidth="1"/>
    <col min="19" max="19" width="13.7109375" style="14" customWidth="1"/>
    <col min="20" max="20" width="12.140625" style="14" customWidth="1"/>
    <col min="21" max="21" width="21.7109375" style="14" customWidth="1"/>
    <col min="22" max="22" width="9.85546875" style="14" customWidth="1"/>
    <col min="23" max="23" width="10.140625" style="14" bestFit="1" customWidth="1"/>
    <col min="24" max="24" width="10.28515625" style="14" customWidth="1"/>
    <col min="25" max="25" width="28" style="14" customWidth="1"/>
    <col min="26" max="16384" width="9.140625" style="14"/>
  </cols>
  <sheetData>
    <row r="1" spans="1:25" ht="46.15" customHeight="1" x14ac:dyDescent="0.25">
      <c r="A1" s="2240" t="s">
        <v>148</v>
      </c>
      <c r="B1" s="2240"/>
      <c r="C1" s="2240"/>
      <c r="D1" s="2240"/>
      <c r="E1" s="2240"/>
      <c r="F1" s="2240"/>
      <c r="G1" s="2240"/>
      <c r="H1" s="2240"/>
      <c r="I1" s="2240"/>
      <c r="J1" s="2240"/>
      <c r="K1" s="2240"/>
      <c r="L1" s="2240"/>
      <c r="M1" s="2240"/>
      <c r="N1" s="2240"/>
      <c r="O1" s="2240"/>
      <c r="P1" s="2240"/>
      <c r="Q1" s="2240"/>
      <c r="R1" s="2240"/>
      <c r="S1" s="2240"/>
      <c r="T1" s="2240"/>
      <c r="U1" s="2240"/>
      <c r="V1" s="2240"/>
      <c r="W1" s="2240"/>
      <c r="X1" s="2240"/>
      <c r="Y1" s="2240"/>
    </row>
    <row r="2" spans="1:25" ht="21.6" customHeight="1" x14ac:dyDescent="0.25">
      <c r="A2" s="2241" t="s">
        <v>383</v>
      </c>
      <c r="B2" s="2241"/>
      <c r="C2" s="2241"/>
      <c r="D2" s="2241"/>
      <c r="E2" s="2241"/>
      <c r="F2" s="2241"/>
      <c r="G2" s="2241"/>
      <c r="H2" s="2241"/>
      <c r="I2" s="2241"/>
      <c r="J2" s="2241"/>
      <c r="K2" s="2241"/>
      <c r="L2" s="2241"/>
      <c r="M2" s="2241"/>
      <c r="N2" s="2241"/>
      <c r="O2" s="2241"/>
      <c r="P2" s="2241"/>
      <c r="Q2" s="2241"/>
      <c r="R2" s="2241"/>
      <c r="S2" s="2241"/>
      <c r="T2" s="2241"/>
      <c r="U2" s="2241"/>
      <c r="V2" s="2241"/>
      <c r="W2" s="2241"/>
      <c r="X2" s="2241"/>
      <c r="Y2" s="2241"/>
    </row>
    <row r="3" spans="1:25" ht="21" customHeight="1" x14ac:dyDescent="0.25">
      <c r="A3" s="849"/>
      <c r="B3" s="849"/>
      <c r="C3" s="849"/>
      <c r="D3" s="849"/>
      <c r="E3" s="849"/>
      <c r="F3" s="849"/>
      <c r="G3" s="849"/>
      <c r="H3" s="849"/>
      <c r="I3" s="849"/>
      <c r="J3" s="849"/>
      <c r="K3" s="849"/>
      <c r="L3" s="849"/>
      <c r="M3" s="849"/>
      <c r="N3" s="849"/>
      <c r="O3" s="849"/>
      <c r="P3" s="849"/>
      <c r="Q3" s="849"/>
      <c r="R3" s="849"/>
      <c r="S3" s="849"/>
      <c r="T3" s="2242" t="s">
        <v>409</v>
      </c>
      <c r="U3" s="2242"/>
      <c r="V3" s="2242"/>
      <c r="W3" s="2242"/>
      <c r="X3" s="2242"/>
      <c r="Y3" s="2242"/>
    </row>
    <row r="4" spans="1:25" s="849" customFormat="1" ht="18" customHeight="1" x14ac:dyDescent="0.25">
      <c r="A4" s="2243" t="s">
        <v>25</v>
      </c>
      <c r="B4" s="2243" t="s">
        <v>26</v>
      </c>
      <c r="C4" s="2244" t="s">
        <v>27</v>
      </c>
      <c r="D4" s="2244"/>
      <c r="E4" s="2244" t="s">
        <v>342</v>
      </c>
      <c r="F4" s="2244"/>
      <c r="G4" s="2244" t="s">
        <v>65</v>
      </c>
      <c r="H4" s="2244"/>
      <c r="I4" s="2244" t="s">
        <v>29</v>
      </c>
      <c r="J4" s="2244"/>
      <c r="K4" s="2245" t="s">
        <v>14</v>
      </c>
      <c r="L4" s="2246"/>
      <c r="M4" s="2245" t="s">
        <v>67</v>
      </c>
      <c r="N4" s="2246"/>
      <c r="O4" s="2245" t="s">
        <v>68</v>
      </c>
      <c r="P4" s="2246"/>
      <c r="Q4" s="2245" t="s">
        <v>114</v>
      </c>
      <c r="R4" s="2246"/>
      <c r="S4" s="2244" t="s">
        <v>35</v>
      </c>
      <c r="T4" s="2244"/>
      <c r="U4" s="2245" t="s">
        <v>17</v>
      </c>
      <c r="V4" s="2246"/>
      <c r="W4" s="2247" t="s">
        <v>36</v>
      </c>
      <c r="X4" s="2248"/>
      <c r="Y4" s="2238" t="s">
        <v>30</v>
      </c>
    </row>
    <row r="5" spans="1:25" s="849" customFormat="1" ht="25.5" customHeight="1" x14ac:dyDescent="0.25">
      <c r="A5" s="2243"/>
      <c r="B5" s="2243"/>
      <c r="C5" s="848" t="s">
        <v>42</v>
      </c>
      <c r="D5" s="848" t="s">
        <v>43</v>
      </c>
      <c r="E5" s="848" t="s">
        <v>42</v>
      </c>
      <c r="F5" s="848" t="s">
        <v>43</v>
      </c>
      <c r="G5" s="848" t="s">
        <v>42</v>
      </c>
      <c r="H5" s="848" t="s">
        <v>43</v>
      </c>
      <c r="I5" s="848" t="s">
        <v>42</v>
      </c>
      <c r="J5" s="848" t="s">
        <v>43</v>
      </c>
      <c r="K5" s="848" t="s">
        <v>42</v>
      </c>
      <c r="L5" s="848" t="s">
        <v>43</v>
      </c>
      <c r="M5" s="848" t="s">
        <v>42</v>
      </c>
      <c r="N5" s="848" t="s">
        <v>43</v>
      </c>
      <c r="O5" s="848" t="s">
        <v>42</v>
      </c>
      <c r="P5" s="848" t="s">
        <v>43</v>
      </c>
      <c r="Q5" s="848" t="s">
        <v>42</v>
      </c>
      <c r="R5" s="848" t="s">
        <v>43</v>
      </c>
      <c r="S5" s="33" t="s">
        <v>42</v>
      </c>
      <c r="T5" s="33" t="s">
        <v>43</v>
      </c>
      <c r="U5" s="30" t="s">
        <v>42</v>
      </c>
      <c r="V5" s="30" t="s">
        <v>43</v>
      </c>
      <c r="W5" s="30" t="s">
        <v>42</v>
      </c>
      <c r="X5" s="30" t="s">
        <v>43</v>
      </c>
      <c r="Y5" s="2239"/>
    </row>
    <row r="6" spans="1:25" ht="34.5" customHeight="1" x14ac:dyDescent="0.25">
      <c r="A6" s="12">
        <v>1409935200</v>
      </c>
      <c r="B6" s="847" t="s">
        <v>71</v>
      </c>
      <c r="C6" s="845">
        <v>33835</v>
      </c>
      <c r="D6" s="844">
        <f>0.9725*C6</f>
        <v>32904.537499999999</v>
      </c>
      <c r="E6" s="845"/>
      <c r="F6" s="845">
        <f>67.1*E6</f>
        <v>0</v>
      </c>
      <c r="G6" s="845">
        <v>10</v>
      </c>
      <c r="H6" s="845">
        <f>28.2*G6</f>
        <v>282</v>
      </c>
      <c r="I6" s="845"/>
      <c r="J6" s="845">
        <f>18.5*I6</f>
        <v>0</v>
      </c>
      <c r="K6" s="845"/>
      <c r="L6" s="845">
        <f>28.2368*K6</f>
        <v>0</v>
      </c>
      <c r="M6" s="845"/>
      <c r="N6" s="844">
        <f>M6*9.75</f>
        <v>0</v>
      </c>
      <c r="O6" s="845"/>
      <c r="P6" s="844">
        <f>O6*48.7</f>
        <v>0</v>
      </c>
      <c r="Q6" s="844"/>
      <c r="R6" s="844">
        <f>241*Q6</f>
        <v>0</v>
      </c>
      <c r="S6" s="845"/>
      <c r="T6" s="845">
        <f>241*S6</f>
        <v>0</v>
      </c>
      <c r="U6" s="845"/>
      <c r="V6" s="845">
        <f>332*U6</f>
        <v>0</v>
      </c>
      <c r="W6" s="845"/>
      <c r="X6" s="19">
        <f>W6*100</f>
        <v>0</v>
      </c>
      <c r="Y6" s="20">
        <f t="shared" ref="Y6:Y12" si="0">D6+F6+H6+J6+L6+N6+P6+R6+T6+V6+X6</f>
        <v>33186.537499999999</v>
      </c>
    </row>
    <row r="7" spans="1:25" ht="31.5" customHeight="1" x14ac:dyDescent="0.25">
      <c r="A7" s="12">
        <v>1984225578</v>
      </c>
      <c r="B7" s="847" t="s">
        <v>72</v>
      </c>
      <c r="C7" s="845">
        <v>42033</v>
      </c>
      <c r="D7" s="844">
        <f t="shared" ref="D7:D11" si="1">0.9725*C7</f>
        <v>40877.092499999999</v>
      </c>
      <c r="E7" s="845"/>
      <c r="F7" s="845">
        <f t="shared" ref="F7:F11" si="2">67.1*E7</f>
        <v>0</v>
      </c>
      <c r="G7" s="845">
        <v>50</v>
      </c>
      <c r="H7" s="845">
        <f t="shared" ref="H7:H11" si="3">28.2*G7</f>
        <v>1410</v>
      </c>
      <c r="I7" s="845"/>
      <c r="J7" s="845">
        <f t="shared" ref="J7:J11" si="4">18.5*I7</f>
        <v>0</v>
      </c>
      <c r="K7" s="845"/>
      <c r="L7" s="845">
        <f t="shared" ref="L7:L11" si="5">28.2368*K7</f>
        <v>0</v>
      </c>
      <c r="M7" s="845"/>
      <c r="N7" s="844">
        <f t="shared" ref="N7:N11" si="6">M7*9.75</f>
        <v>0</v>
      </c>
      <c r="O7" s="845"/>
      <c r="P7" s="844">
        <f t="shared" ref="P7:P11" si="7">O7*48.7</f>
        <v>0</v>
      </c>
      <c r="Q7" s="844"/>
      <c r="R7" s="844">
        <f t="shared" ref="R7:R11" si="8">241*Q7</f>
        <v>0</v>
      </c>
      <c r="S7" s="845"/>
      <c r="T7" s="845">
        <f t="shared" ref="T7:T10" si="9">241*S7</f>
        <v>0</v>
      </c>
      <c r="U7" s="845"/>
      <c r="V7" s="845">
        <f t="shared" ref="V7:V11" si="10">332*U7</f>
        <v>0</v>
      </c>
      <c r="W7" s="845"/>
      <c r="X7" s="19">
        <f t="shared" ref="X7:X11" si="11">W7*100</f>
        <v>0</v>
      </c>
      <c r="Y7" s="20">
        <f t="shared" si="0"/>
        <v>42287.092499999999</v>
      </c>
    </row>
    <row r="8" spans="1:25" ht="35.25" customHeight="1" x14ac:dyDescent="0.25">
      <c r="A8" s="12">
        <v>1967020280</v>
      </c>
      <c r="B8" s="847" t="s">
        <v>73</v>
      </c>
      <c r="C8" s="845">
        <v>22319</v>
      </c>
      <c r="D8" s="844">
        <f t="shared" si="1"/>
        <v>21705.227500000001</v>
      </c>
      <c r="E8" s="845"/>
      <c r="F8" s="845">
        <f t="shared" si="2"/>
        <v>0</v>
      </c>
      <c r="G8" s="845"/>
      <c r="H8" s="845">
        <f t="shared" si="3"/>
        <v>0</v>
      </c>
      <c r="I8" s="845"/>
      <c r="J8" s="845">
        <f t="shared" si="4"/>
        <v>0</v>
      </c>
      <c r="K8" s="845"/>
      <c r="L8" s="845">
        <f t="shared" si="5"/>
        <v>0</v>
      </c>
      <c r="M8" s="845"/>
      <c r="N8" s="844">
        <f t="shared" si="6"/>
        <v>0</v>
      </c>
      <c r="O8" s="845"/>
      <c r="P8" s="844">
        <f t="shared" si="7"/>
        <v>0</v>
      </c>
      <c r="Q8" s="844"/>
      <c r="R8" s="844">
        <f t="shared" si="8"/>
        <v>0</v>
      </c>
      <c r="S8" s="845">
        <v>5</v>
      </c>
      <c r="T8" s="845">
        <f t="shared" si="9"/>
        <v>1205</v>
      </c>
      <c r="U8" s="845"/>
      <c r="V8" s="845">
        <f t="shared" si="10"/>
        <v>0</v>
      </c>
      <c r="W8" s="845"/>
      <c r="X8" s="19">
        <f t="shared" si="11"/>
        <v>0</v>
      </c>
      <c r="Y8" s="20">
        <f t="shared" si="0"/>
        <v>22910.227500000001</v>
      </c>
    </row>
    <row r="9" spans="1:25" ht="38.25" customHeight="1" x14ac:dyDescent="0.25">
      <c r="A9" s="12">
        <v>1984225580</v>
      </c>
      <c r="B9" s="847" t="s">
        <v>75</v>
      </c>
      <c r="C9" s="845">
        <v>44710</v>
      </c>
      <c r="D9" s="844">
        <f t="shared" si="1"/>
        <v>43480.474999999999</v>
      </c>
      <c r="E9" s="845"/>
      <c r="F9" s="845">
        <f t="shared" si="2"/>
        <v>0</v>
      </c>
      <c r="G9" s="845">
        <v>50</v>
      </c>
      <c r="H9" s="845">
        <f t="shared" si="3"/>
        <v>1410</v>
      </c>
      <c r="I9" s="845"/>
      <c r="J9" s="845">
        <f t="shared" si="4"/>
        <v>0</v>
      </c>
      <c r="K9" s="845"/>
      <c r="L9" s="845">
        <f t="shared" si="5"/>
        <v>0</v>
      </c>
      <c r="M9" s="845"/>
      <c r="N9" s="844">
        <f t="shared" si="6"/>
        <v>0</v>
      </c>
      <c r="O9" s="845"/>
      <c r="P9" s="844">
        <f t="shared" si="7"/>
        <v>0</v>
      </c>
      <c r="Q9" s="844"/>
      <c r="R9" s="844">
        <f t="shared" si="8"/>
        <v>0</v>
      </c>
      <c r="S9" s="845"/>
      <c r="T9" s="845">
        <f t="shared" si="9"/>
        <v>0</v>
      </c>
      <c r="U9" s="845"/>
      <c r="V9" s="845">
        <f t="shared" si="10"/>
        <v>0</v>
      </c>
      <c r="W9" s="845"/>
      <c r="X9" s="19">
        <f t="shared" si="11"/>
        <v>0</v>
      </c>
      <c r="Y9" s="20">
        <f t="shared" si="0"/>
        <v>44890.474999999999</v>
      </c>
    </row>
    <row r="10" spans="1:25" ht="35.25" customHeight="1" x14ac:dyDescent="0.25">
      <c r="A10" s="12">
        <v>1409935199</v>
      </c>
      <c r="C10" s="845">
        <v>10283</v>
      </c>
      <c r="D10" s="844">
        <f t="shared" si="1"/>
        <v>10000.217500000001</v>
      </c>
      <c r="E10" s="845"/>
      <c r="F10" s="845">
        <f t="shared" si="2"/>
        <v>0</v>
      </c>
      <c r="G10" s="845"/>
      <c r="H10" s="845">
        <f t="shared" si="3"/>
        <v>0</v>
      </c>
      <c r="I10" s="845"/>
      <c r="J10" s="845">
        <f t="shared" si="4"/>
        <v>0</v>
      </c>
      <c r="K10" s="845"/>
      <c r="L10" s="845">
        <f t="shared" si="5"/>
        <v>0</v>
      </c>
      <c r="M10" s="845"/>
      <c r="N10" s="844">
        <f t="shared" si="6"/>
        <v>0</v>
      </c>
      <c r="O10" s="845"/>
      <c r="P10" s="844">
        <f t="shared" si="7"/>
        <v>0</v>
      </c>
      <c r="Q10" s="844"/>
      <c r="R10" s="844">
        <f t="shared" si="8"/>
        <v>0</v>
      </c>
      <c r="S10" s="845"/>
      <c r="T10" s="845">
        <f t="shared" si="9"/>
        <v>0</v>
      </c>
      <c r="U10" s="845"/>
      <c r="V10" s="845">
        <f t="shared" si="10"/>
        <v>0</v>
      </c>
      <c r="W10" s="845"/>
      <c r="X10" s="19">
        <f t="shared" si="11"/>
        <v>0</v>
      </c>
      <c r="Y10" s="20">
        <f t="shared" si="0"/>
        <v>10000.217500000001</v>
      </c>
    </row>
    <row r="11" spans="1:25" ht="37.5" customHeight="1" x14ac:dyDescent="0.25">
      <c r="A11" s="12"/>
      <c r="B11" s="846"/>
      <c r="C11" s="845"/>
      <c r="D11" s="22">
        <f t="shared" si="1"/>
        <v>0</v>
      </c>
      <c r="E11" s="845"/>
      <c r="F11" s="845">
        <f t="shared" si="2"/>
        <v>0</v>
      </c>
      <c r="G11" s="845"/>
      <c r="H11" s="845">
        <f t="shared" si="3"/>
        <v>0</v>
      </c>
      <c r="I11" s="845"/>
      <c r="J11" s="845">
        <f t="shared" si="4"/>
        <v>0</v>
      </c>
      <c r="K11" s="845"/>
      <c r="L11" s="845">
        <f t="shared" si="5"/>
        <v>0</v>
      </c>
      <c r="M11" s="845"/>
      <c r="N11" s="844">
        <f t="shared" si="6"/>
        <v>0</v>
      </c>
      <c r="O11" s="845"/>
      <c r="P11" s="844">
        <f t="shared" si="7"/>
        <v>0</v>
      </c>
      <c r="Q11" s="844"/>
      <c r="R11" s="844">
        <f t="shared" si="8"/>
        <v>0</v>
      </c>
      <c r="S11" s="845"/>
      <c r="T11" s="845">
        <f>341*S11</f>
        <v>0</v>
      </c>
      <c r="U11" s="845"/>
      <c r="V11" s="845">
        <f t="shared" si="10"/>
        <v>0</v>
      </c>
      <c r="W11" s="845"/>
      <c r="X11" s="19">
        <f t="shared" si="11"/>
        <v>0</v>
      </c>
      <c r="Y11" s="20">
        <f t="shared" si="0"/>
        <v>0</v>
      </c>
    </row>
    <row r="12" spans="1:25" ht="29.25" customHeight="1" x14ac:dyDescent="0.25">
      <c r="A12" s="2235" t="s">
        <v>31</v>
      </c>
      <c r="B12" s="2235"/>
      <c r="C12" s="18">
        <f t="shared" ref="C12:X12" si="12">SUM(C6:C11)</f>
        <v>153180</v>
      </c>
      <c r="D12" s="18">
        <f t="shared" si="12"/>
        <v>148967.55000000002</v>
      </c>
      <c r="E12" s="18">
        <f t="shared" si="12"/>
        <v>0</v>
      </c>
      <c r="F12" s="18">
        <f t="shared" si="12"/>
        <v>0</v>
      </c>
      <c r="G12" s="18">
        <f t="shared" si="12"/>
        <v>110</v>
      </c>
      <c r="H12" s="18">
        <f t="shared" si="12"/>
        <v>3102</v>
      </c>
      <c r="I12" s="18">
        <f t="shared" si="12"/>
        <v>0</v>
      </c>
      <c r="J12" s="18">
        <f t="shared" si="12"/>
        <v>0</v>
      </c>
      <c r="K12" s="18">
        <f t="shared" si="12"/>
        <v>0</v>
      </c>
      <c r="L12" s="18">
        <f t="shared" si="12"/>
        <v>0</v>
      </c>
      <c r="M12" s="18">
        <f t="shared" si="12"/>
        <v>0</v>
      </c>
      <c r="N12" s="23">
        <f t="shared" si="12"/>
        <v>0</v>
      </c>
      <c r="O12" s="18">
        <f t="shared" si="12"/>
        <v>0</v>
      </c>
      <c r="P12" s="23">
        <f t="shared" si="12"/>
        <v>0</v>
      </c>
      <c r="Q12" s="23">
        <f t="shared" si="12"/>
        <v>0</v>
      </c>
      <c r="R12" s="23">
        <f>SUM(R6:R11)</f>
        <v>0</v>
      </c>
      <c r="S12" s="23">
        <f>SUM(S6:S11)</f>
        <v>5</v>
      </c>
      <c r="T12" s="18">
        <f t="shared" si="12"/>
        <v>1205</v>
      </c>
      <c r="U12" s="18">
        <f t="shared" si="12"/>
        <v>0</v>
      </c>
      <c r="V12" s="18">
        <f t="shared" si="12"/>
        <v>0</v>
      </c>
      <c r="W12" s="18">
        <f t="shared" si="12"/>
        <v>0</v>
      </c>
      <c r="X12" s="18">
        <f t="shared" si="12"/>
        <v>0</v>
      </c>
      <c r="Y12" s="20">
        <f t="shared" si="0"/>
        <v>153274.55000000002</v>
      </c>
    </row>
    <row r="14" spans="1:25" ht="43.5" customHeight="1" x14ac:dyDescent="0.25">
      <c r="A14" s="30" t="s">
        <v>32</v>
      </c>
      <c r="B14" s="2236" t="s">
        <v>27</v>
      </c>
      <c r="C14" s="2236"/>
      <c r="D14" s="30" t="s">
        <v>333</v>
      </c>
      <c r="E14" s="30" t="s">
        <v>65</v>
      </c>
      <c r="F14" s="30" t="s">
        <v>34</v>
      </c>
      <c r="G14" s="30" t="s">
        <v>14</v>
      </c>
      <c r="H14" s="469" t="s">
        <v>173</v>
      </c>
      <c r="I14" s="30" t="s">
        <v>17</v>
      </c>
      <c r="J14" s="853" t="s">
        <v>174</v>
      </c>
      <c r="K14" s="30" t="s">
        <v>36</v>
      </c>
      <c r="L14" s="853" t="s">
        <v>403</v>
      </c>
      <c r="M14" s="30" t="s">
        <v>69</v>
      </c>
      <c r="N14" s="30" t="s">
        <v>70</v>
      </c>
      <c r="O14" s="853" t="s">
        <v>114</v>
      </c>
      <c r="P14" s="853" t="s">
        <v>402</v>
      </c>
      <c r="Q14" s="2300" t="s">
        <v>378</v>
      </c>
      <c r="R14" s="2301"/>
      <c r="S14" s="853" t="s">
        <v>401</v>
      </c>
      <c r="T14" s="2235" t="s">
        <v>46</v>
      </c>
      <c r="U14" s="847" t="s">
        <v>176</v>
      </c>
      <c r="V14" s="2260">
        <v>4688</v>
      </c>
      <c r="W14" s="2268"/>
      <c r="X14" s="2261"/>
    </row>
    <row r="15" spans="1:25" ht="22.5" customHeight="1" x14ac:dyDescent="0.25">
      <c r="A15" s="100" t="s">
        <v>38</v>
      </c>
      <c r="B15" s="2260">
        <v>277566</v>
      </c>
      <c r="C15" s="2261"/>
      <c r="D15" s="850">
        <v>502</v>
      </c>
      <c r="E15" s="850">
        <v>760</v>
      </c>
      <c r="F15" s="850">
        <v>0</v>
      </c>
      <c r="G15" s="850">
        <v>650</v>
      </c>
      <c r="H15" s="850">
        <v>93</v>
      </c>
      <c r="I15" s="850">
        <v>0</v>
      </c>
      <c r="J15" s="850">
        <v>1</v>
      </c>
      <c r="K15" s="850">
        <v>71</v>
      </c>
      <c r="L15" s="850">
        <v>0</v>
      </c>
      <c r="M15" s="850">
        <v>0</v>
      </c>
      <c r="N15" s="850">
        <v>100</v>
      </c>
      <c r="O15" s="850">
        <v>0</v>
      </c>
      <c r="P15" s="850">
        <v>15</v>
      </c>
      <c r="Q15" s="2260">
        <v>0</v>
      </c>
      <c r="R15" s="2261"/>
      <c r="S15" s="847">
        <v>81</v>
      </c>
      <c r="T15" s="2235"/>
      <c r="U15" s="847" t="s">
        <v>64</v>
      </c>
      <c r="V15" s="2262">
        <v>7520</v>
      </c>
      <c r="W15" s="2262"/>
      <c r="X15" s="2262"/>
    </row>
    <row r="16" spans="1:25" ht="24.75" customHeight="1" x14ac:dyDescent="0.25">
      <c r="A16" s="100" t="s">
        <v>39</v>
      </c>
      <c r="B16" s="2260"/>
      <c r="C16" s="2261"/>
      <c r="D16" s="850"/>
      <c r="E16" s="850"/>
      <c r="F16" s="850"/>
      <c r="G16" s="850"/>
      <c r="H16" s="850">
        <v>400</v>
      </c>
      <c r="I16" s="850"/>
      <c r="J16" s="850"/>
      <c r="K16" s="850"/>
      <c r="L16" s="850"/>
      <c r="M16" s="850"/>
      <c r="N16" s="850"/>
      <c r="O16" s="850"/>
      <c r="P16" s="850"/>
      <c r="Q16" s="2225"/>
      <c r="R16" s="2225"/>
      <c r="S16" s="850"/>
      <c r="T16" s="2254" t="s">
        <v>55</v>
      </c>
      <c r="U16" s="2254"/>
      <c r="V16" s="2267">
        <f>Y12</f>
        <v>153274.55000000002</v>
      </c>
      <c r="W16" s="2267"/>
      <c r="X16" s="2262"/>
    </row>
    <row r="17" spans="1:25" ht="28.5" customHeight="1" x14ac:dyDescent="0.25">
      <c r="A17" s="101" t="s">
        <v>44</v>
      </c>
      <c r="B17" s="2260"/>
      <c r="C17" s="2261"/>
      <c r="D17" s="850"/>
      <c r="E17" s="850"/>
      <c r="F17" s="850"/>
      <c r="G17" s="850"/>
      <c r="H17" s="850"/>
      <c r="I17" s="850"/>
      <c r="J17" s="850"/>
      <c r="K17" s="850"/>
      <c r="L17" s="850"/>
      <c r="M17" s="850"/>
      <c r="N17" s="850"/>
      <c r="O17" s="850"/>
      <c r="P17" s="850"/>
      <c r="Q17" s="2225"/>
      <c r="R17" s="2225"/>
      <c r="S17" s="846"/>
      <c r="T17" s="2294" t="s">
        <v>362</v>
      </c>
      <c r="U17" s="2295"/>
      <c r="V17" s="2296"/>
      <c r="W17" s="2296"/>
      <c r="X17" s="2296"/>
    </row>
    <row r="18" spans="1:25" ht="27" customHeight="1" x14ac:dyDescent="0.25">
      <c r="A18" s="100" t="s">
        <v>40</v>
      </c>
      <c r="B18" s="2264">
        <f>C12</f>
        <v>153180</v>
      </c>
      <c r="C18" s="2261"/>
      <c r="D18" s="852">
        <f>E12</f>
        <v>0</v>
      </c>
      <c r="E18" s="852">
        <f>G12</f>
        <v>110</v>
      </c>
      <c r="F18" s="852">
        <f>I12</f>
        <v>0</v>
      </c>
      <c r="G18" s="852">
        <f>K12</f>
        <v>0</v>
      </c>
      <c r="H18" s="850">
        <v>5</v>
      </c>
      <c r="I18" s="852">
        <f>U12</f>
        <v>0</v>
      </c>
      <c r="J18" s="850"/>
      <c r="K18" s="852">
        <f>W12</f>
        <v>0</v>
      </c>
      <c r="L18" s="850"/>
      <c r="M18" s="852">
        <f>M12</f>
        <v>0</v>
      </c>
      <c r="N18" s="852"/>
      <c r="O18" s="851">
        <f>Q12</f>
        <v>0</v>
      </c>
      <c r="P18" s="852"/>
      <c r="Q18" s="2262"/>
      <c r="R18" s="2262"/>
      <c r="S18" s="847"/>
      <c r="T18" s="2254" t="s">
        <v>57</v>
      </c>
      <c r="U18" s="2254"/>
      <c r="V18" s="2262">
        <v>620</v>
      </c>
      <c r="W18" s="2262"/>
      <c r="X18" s="2262"/>
      <c r="Y18" s="2269"/>
    </row>
    <row r="19" spans="1:25" ht="25.5" customHeight="1" x14ac:dyDescent="0.25">
      <c r="A19" s="100" t="s">
        <v>41</v>
      </c>
      <c r="B19" s="2260">
        <f>B15+B16+B17-B18</f>
        <v>124386</v>
      </c>
      <c r="C19" s="2261"/>
      <c r="D19" s="850">
        <f>D15+D16+D17-D18</f>
        <v>502</v>
      </c>
      <c r="E19" s="850">
        <f t="shared" ref="E19:N19" si="13">E15+E16+E17-E18</f>
        <v>650</v>
      </c>
      <c r="F19" s="850">
        <f t="shared" si="13"/>
        <v>0</v>
      </c>
      <c r="G19" s="850">
        <f t="shared" si="13"/>
        <v>650</v>
      </c>
      <c r="H19" s="850">
        <f t="shared" si="13"/>
        <v>488</v>
      </c>
      <c r="I19" s="850">
        <f t="shared" si="13"/>
        <v>0</v>
      </c>
      <c r="J19" s="850">
        <f t="shared" si="13"/>
        <v>1</v>
      </c>
      <c r="K19" s="850">
        <f t="shared" si="13"/>
        <v>71</v>
      </c>
      <c r="L19" s="850">
        <f t="shared" si="13"/>
        <v>0</v>
      </c>
      <c r="M19" s="850">
        <f t="shared" si="13"/>
        <v>0</v>
      </c>
      <c r="N19" s="850">
        <f t="shared" si="13"/>
        <v>100</v>
      </c>
      <c r="O19" s="850">
        <f>O15+O16+O17-O18</f>
        <v>0</v>
      </c>
      <c r="P19" s="850">
        <f>P15+P16+P17-P18</f>
        <v>15</v>
      </c>
      <c r="Q19" s="2260">
        <f t="shared" ref="Q19" si="14">Q15+Q16+Q17-Q18</f>
        <v>0</v>
      </c>
      <c r="R19" s="2261"/>
      <c r="S19" s="847">
        <f>S15+S16-S17-S18</f>
        <v>81</v>
      </c>
      <c r="T19" s="2256" t="s">
        <v>48</v>
      </c>
      <c r="U19" s="49" t="s">
        <v>58</v>
      </c>
      <c r="V19" s="2262">
        <v>31000</v>
      </c>
      <c r="W19" s="2262"/>
      <c r="X19" s="2262"/>
      <c r="Y19" s="2269"/>
    </row>
    <row r="20" spans="1:25" ht="23.25" customHeight="1" x14ac:dyDescent="0.25">
      <c r="A20" s="289" t="s">
        <v>187</v>
      </c>
      <c r="B20" s="2286">
        <f>B19*0.9625</f>
        <v>119721.52500000001</v>
      </c>
      <c r="C20" s="2287"/>
      <c r="D20" s="290">
        <f>D19*66.41</f>
        <v>33337.82</v>
      </c>
      <c r="E20" s="290">
        <f>27.9368*E19</f>
        <v>18158.920000000002</v>
      </c>
      <c r="F20" s="290">
        <f>18.31*F19</f>
        <v>0</v>
      </c>
      <c r="G20" s="290">
        <f>27.9368*G19</f>
        <v>18158.920000000002</v>
      </c>
      <c r="H20" s="290">
        <f>241*H19</f>
        <v>117608</v>
      </c>
      <c r="I20" s="290">
        <f>323*I19</f>
        <v>0</v>
      </c>
      <c r="J20" s="290">
        <f>241*J19</f>
        <v>241</v>
      </c>
      <c r="K20" s="290">
        <f>K19*100</f>
        <v>7100</v>
      </c>
      <c r="L20" s="290">
        <f>241*L19</f>
        <v>0</v>
      </c>
      <c r="M20" s="290">
        <f>9.65*M19</f>
        <v>0</v>
      </c>
      <c r="N20" s="290">
        <f>N19*48.2</f>
        <v>4820</v>
      </c>
      <c r="O20" s="290">
        <f>241*O19</f>
        <v>0</v>
      </c>
      <c r="P20" s="290">
        <f>241*P19</f>
        <v>3615</v>
      </c>
      <c r="Q20" s="2286">
        <f>341*Q19</f>
        <v>0</v>
      </c>
      <c r="R20" s="2287"/>
      <c r="S20" s="290">
        <f>241*S19</f>
        <v>19521</v>
      </c>
      <c r="T20" s="2257"/>
      <c r="U20" s="49" t="s">
        <v>59</v>
      </c>
      <c r="V20" s="2262">
        <v>96400</v>
      </c>
      <c r="W20" s="2262"/>
      <c r="X20" s="2262"/>
      <c r="Y20" s="2269"/>
    </row>
    <row r="21" spans="1:25" ht="32.25" customHeight="1" x14ac:dyDescent="0.25">
      <c r="A21" s="291" t="s">
        <v>186</v>
      </c>
      <c r="B21" s="2293">
        <f>SUM(B20:S20)</f>
        <v>342282.18500000006</v>
      </c>
      <c r="C21" s="2293"/>
      <c r="O21" s="854"/>
      <c r="P21" s="854"/>
      <c r="Q21" s="854"/>
      <c r="R21" s="854"/>
      <c r="T21" s="2294" t="s">
        <v>366</v>
      </c>
      <c r="U21" s="2295"/>
      <c r="V21" s="2297"/>
      <c r="W21" s="2298"/>
      <c r="X21" s="2299"/>
      <c r="Y21" s="2269"/>
    </row>
    <row r="22" spans="1:25" ht="35.25" customHeight="1" x14ac:dyDescent="0.25">
      <c r="A22" s="15"/>
      <c r="B22" s="2288" t="s">
        <v>49</v>
      </c>
      <c r="C22" s="2291">
        <v>138966</v>
      </c>
      <c r="D22" s="2291">
        <v>31000</v>
      </c>
      <c r="E22" s="2291"/>
      <c r="F22" s="2291">
        <f>C22-D22+E22</f>
        <v>107966</v>
      </c>
      <c r="G22" s="854"/>
      <c r="Q22" s="854"/>
      <c r="R22" s="854"/>
      <c r="T22" s="2251" t="s">
        <v>83</v>
      </c>
      <c r="U22" s="50" t="s">
        <v>60</v>
      </c>
      <c r="V22" s="2262">
        <v>127400</v>
      </c>
      <c r="W22" s="2262"/>
      <c r="X22" s="2262"/>
      <c r="Y22" s="2269"/>
    </row>
    <row r="23" spans="1:25" ht="39.75" customHeight="1" x14ac:dyDescent="0.25">
      <c r="A23" s="854"/>
      <c r="B23" s="2289"/>
      <c r="C23" s="2292"/>
      <c r="D23" s="2292"/>
      <c r="E23" s="2292"/>
      <c r="F23" s="2292"/>
      <c r="G23" s="854"/>
      <c r="Q23" s="854"/>
      <c r="R23" s="854"/>
      <c r="T23" s="2252"/>
      <c r="U23" s="50" t="s">
        <v>61</v>
      </c>
      <c r="V23" s="2262">
        <v>127400</v>
      </c>
      <c r="W23" s="2262"/>
      <c r="X23" s="2262"/>
      <c r="Y23" s="2269"/>
    </row>
    <row r="24" spans="1:25" ht="48" customHeight="1" x14ac:dyDescent="0.25">
      <c r="A24" s="854"/>
      <c r="B24" s="2290"/>
      <c r="C24" s="290" t="s">
        <v>46</v>
      </c>
      <c r="D24" s="290" t="s">
        <v>50</v>
      </c>
      <c r="E24" s="290" t="s">
        <v>51</v>
      </c>
      <c r="F24" s="290" t="s">
        <v>52</v>
      </c>
      <c r="G24" s="854"/>
      <c r="Q24" s="854"/>
      <c r="R24" s="854"/>
      <c r="T24" s="2235" t="s">
        <v>47</v>
      </c>
      <c r="U24" s="51" t="s">
        <v>62</v>
      </c>
      <c r="V24" s="2263">
        <f>V14+V16+V17-V18-V19-V20-V22+V23-V21</f>
        <v>29942.550000000017</v>
      </c>
      <c r="W24" s="2263"/>
      <c r="X24" s="2263"/>
      <c r="Y24" s="2269"/>
    </row>
    <row r="25" spans="1:25" ht="40.5" customHeight="1" x14ac:dyDescent="0.25">
      <c r="T25" s="2235"/>
      <c r="U25" s="51" t="s">
        <v>63</v>
      </c>
      <c r="V25" s="2262">
        <f>V15+V22-V23</f>
        <v>7520</v>
      </c>
      <c r="W25" s="2262"/>
      <c r="X25" s="2262"/>
    </row>
    <row r="26" spans="1:25" ht="36" customHeight="1" x14ac:dyDescent="0.25">
      <c r="K26" s="314"/>
    </row>
    <row r="28" spans="1:25" x14ac:dyDescent="0.25">
      <c r="J28" s="14" t="s">
        <v>139</v>
      </c>
    </row>
    <row r="32" spans="1:25" x14ac:dyDescent="0.25">
      <c r="I32" s="2280"/>
      <c r="J32" s="2280"/>
      <c r="K32" s="2280"/>
      <c r="L32" s="2280"/>
    </row>
    <row r="33" spans="9:12" x14ac:dyDescent="0.25">
      <c r="I33" s="854"/>
      <c r="J33" s="854"/>
      <c r="K33" s="2280"/>
      <c r="L33" s="2280"/>
    </row>
  </sheetData>
  <mergeCells count="62">
    <mergeCell ref="A1:Y1"/>
    <mergeCell ref="A2:Y2"/>
    <mergeCell ref="T3:Y3"/>
    <mergeCell ref="A4:A5"/>
    <mergeCell ref="B4:B5"/>
    <mergeCell ref="C4:D4"/>
    <mergeCell ref="E4:F4"/>
    <mergeCell ref="G4:H4"/>
    <mergeCell ref="I4:J4"/>
    <mergeCell ref="K4:L4"/>
    <mergeCell ref="Y4:Y5"/>
    <mergeCell ref="M4:N4"/>
    <mergeCell ref="O4:P4"/>
    <mergeCell ref="Q4:R4"/>
    <mergeCell ref="S4:T4"/>
    <mergeCell ref="U4:V4"/>
    <mergeCell ref="W4:X4"/>
    <mergeCell ref="B16:C16"/>
    <mergeCell ref="Q16:R16"/>
    <mergeCell ref="T16:U16"/>
    <mergeCell ref="V16:X16"/>
    <mergeCell ref="A12:B12"/>
    <mergeCell ref="B14:C14"/>
    <mergeCell ref="Q14:R14"/>
    <mergeCell ref="T14:T15"/>
    <mergeCell ref="V14:X14"/>
    <mergeCell ref="B15:C15"/>
    <mergeCell ref="Q15:R15"/>
    <mergeCell ref="V15:X15"/>
    <mergeCell ref="B17:C17"/>
    <mergeCell ref="Q17:R17"/>
    <mergeCell ref="T17:U17"/>
    <mergeCell ref="V17:X17"/>
    <mergeCell ref="B18:C18"/>
    <mergeCell ref="Q18:R18"/>
    <mergeCell ref="T18:U18"/>
    <mergeCell ref="V18:X18"/>
    <mergeCell ref="Y18:Y24"/>
    <mergeCell ref="B19:C19"/>
    <mergeCell ref="Q19:R19"/>
    <mergeCell ref="T19:T20"/>
    <mergeCell ref="V19:X19"/>
    <mergeCell ref="B20:C20"/>
    <mergeCell ref="B22:B24"/>
    <mergeCell ref="C22:C23"/>
    <mergeCell ref="D22:D23"/>
    <mergeCell ref="E22:E23"/>
    <mergeCell ref="F22:F23"/>
    <mergeCell ref="Q20:R20"/>
    <mergeCell ref="V20:X20"/>
    <mergeCell ref="B21:C21"/>
    <mergeCell ref="T21:U21"/>
    <mergeCell ref="V21:X21"/>
    <mergeCell ref="I32:J32"/>
    <mergeCell ref="K32:L32"/>
    <mergeCell ref="K33:L33"/>
    <mergeCell ref="T22:T23"/>
    <mergeCell ref="V22:X22"/>
    <mergeCell ref="V23:X23"/>
    <mergeCell ref="T24:T25"/>
    <mergeCell ref="V24:X24"/>
    <mergeCell ref="V25:X25"/>
  </mergeCells>
  <pageMargins left="0.15748031496063" right="0.15748031496063" top="0" bottom="0" header="0" footer="0"/>
  <pageSetup paperSize="9" scale="45" orientation="landscape" r:id="rId1"/>
</worksheet>
</file>

<file path=xl/worksheets/sheet18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841D87B-F81E-4C0F-8341-5898E6A7B843}">
  <sheetPr>
    <pageSetUpPr fitToPage="1"/>
  </sheetPr>
  <dimension ref="A1:Y33"/>
  <sheetViews>
    <sheetView topLeftCell="A10" zoomScale="70" zoomScaleNormal="70" zoomScaleSheetLayoutView="100" workbookViewId="0">
      <selection activeCell="Q27" sqref="Q27"/>
    </sheetView>
  </sheetViews>
  <sheetFormatPr defaultColWidth="9.140625" defaultRowHeight="15" x14ac:dyDescent="0.25"/>
  <cols>
    <col min="1" max="1" width="18.28515625" style="14" customWidth="1"/>
    <col min="2" max="2" width="10.7109375" style="14" customWidth="1"/>
    <col min="3" max="3" width="12.28515625" style="14" customWidth="1"/>
    <col min="4" max="4" width="13.140625" style="14" bestFit="1" customWidth="1"/>
    <col min="5" max="5" width="12" style="14" customWidth="1"/>
    <col min="6" max="6" width="12.5703125" style="14" bestFit="1" customWidth="1"/>
    <col min="7" max="7" width="16" style="14" bestFit="1" customWidth="1"/>
    <col min="8" max="8" width="10.140625" style="14" bestFit="1" customWidth="1"/>
    <col min="9" max="9" width="10.5703125" style="14" bestFit="1" customWidth="1"/>
    <col min="10" max="10" width="10.5703125" style="14" customWidth="1"/>
    <col min="11" max="11" width="10.28515625" style="14" bestFit="1" customWidth="1"/>
    <col min="12" max="12" width="10.42578125" style="14" bestFit="1" customWidth="1"/>
    <col min="13" max="13" width="9.85546875" style="14" bestFit="1" customWidth="1"/>
    <col min="14" max="14" width="10.140625" style="14" bestFit="1" customWidth="1"/>
    <col min="15" max="15" width="9" style="14" customWidth="1"/>
    <col min="16" max="16" width="12.85546875" style="14" bestFit="1" customWidth="1"/>
    <col min="17" max="18" width="9.42578125" style="14" customWidth="1"/>
    <col min="19" max="19" width="13.7109375" style="14" customWidth="1"/>
    <col min="20" max="20" width="12.140625" style="14" customWidth="1"/>
    <col min="21" max="21" width="21.7109375" style="14" customWidth="1"/>
    <col min="22" max="22" width="9.85546875" style="14" customWidth="1"/>
    <col min="23" max="23" width="10.140625" style="14" bestFit="1" customWidth="1"/>
    <col min="24" max="24" width="10.28515625" style="14" customWidth="1"/>
    <col min="25" max="25" width="28" style="14" customWidth="1"/>
    <col min="26" max="16384" width="9.140625" style="14"/>
  </cols>
  <sheetData>
    <row r="1" spans="1:25" ht="46.15" customHeight="1" x14ac:dyDescent="0.25">
      <c r="A1" s="2240" t="s">
        <v>148</v>
      </c>
      <c r="B1" s="2240"/>
      <c r="C1" s="2240"/>
      <c r="D1" s="2240"/>
      <c r="E1" s="2240"/>
      <c r="F1" s="2240"/>
      <c r="G1" s="2240"/>
      <c r="H1" s="2240"/>
      <c r="I1" s="2240"/>
      <c r="J1" s="2240"/>
      <c r="K1" s="2240"/>
      <c r="L1" s="2240"/>
      <c r="M1" s="2240"/>
      <c r="N1" s="2240"/>
      <c r="O1" s="2240"/>
      <c r="P1" s="2240"/>
      <c r="Q1" s="2240"/>
      <c r="R1" s="2240"/>
      <c r="S1" s="2240"/>
      <c r="T1" s="2240"/>
      <c r="U1" s="2240"/>
      <c r="V1" s="2240"/>
      <c r="W1" s="2240"/>
      <c r="X1" s="2240"/>
      <c r="Y1" s="2240"/>
    </row>
    <row r="2" spans="1:25" ht="21.6" customHeight="1" x14ac:dyDescent="0.25">
      <c r="A2" s="2241" t="s">
        <v>383</v>
      </c>
      <c r="B2" s="2241"/>
      <c r="C2" s="2241"/>
      <c r="D2" s="2241"/>
      <c r="E2" s="2241"/>
      <c r="F2" s="2241"/>
      <c r="G2" s="2241"/>
      <c r="H2" s="2241"/>
      <c r="I2" s="2241"/>
      <c r="J2" s="2241"/>
      <c r="K2" s="2241"/>
      <c r="L2" s="2241"/>
      <c r="M2" s="2241"/>
      <c r="N2" s="2241"/>
      <c r="O2" s="2241"/>
      <c r="P2" s="2241"/>
      <c r="Q2" s="2241"/>
      <c r="R2" s="2241"/>
      <c r="S2" s="2241"/>
      <c r="T2" s="2241"/>
      <c r="U2" s="2241"/>
      <c r="V2" s="2241"/>
      <c r="W2" s="2241"/>
      <c r="X2" s="2241"/>
      <c r="Y2" s="2241"/>
    </row>
    <row r="3" spans="1:25" ht="21" customHeight="1" x14ac:dyDescent="0.25">
      <c r="A3" s="860"/>
      <c r="B3" s="860"/>
      <c r="C3" s="860"/>
      <c r="D3" s="860"/>
      <c r="E3" s="860"/>
      <c r="F3" s="860"/>
      <c r="G3" s="860"/>
      <c r="H3" s="860"/>
      <c r="I3" s="860"/>
      <c r="J3" s="860"/>
      <c r="K3" s="860"/>
      <c r="L3" s="860"/>
      <c r="M3" s="860"/>
      <c r="N3" s="860"/>
      <c r="O3" s="860"/>
      <c r="P3" s="860"/>
      <c r="Q3" s="860"/>
      <c r="R3" s="860"/>
      <c r="S3" s="860"/>
      <c r="T3" s="2242" t="s">
        <v>410</v>
      </c>
      <c r="U3" s="2242"/>
      <c r="V3" s="2242"/>
      <c r="W3" s="2242"/>
      <c r="X3" s="2242"/>
      <c r="Y3" s="2242"/>
    </row>
    <row r="4" spans="1:25" s="860" customFormat="1" ht="18" customHeight="1" x14ac:dyDescent="0.25">
      <c r="A4" s="2243" t="s">
        <v>25</v>
      </c>
      <c r="B4" s="2243" t="s">
        <v>26</v>
      </c>
      <c r="C4" s="2244" t="s">
        <v>27</v>
      </c>
      <c r="D4" s="2244"/>
      <c r="E4" s="2244" t="s">
        <v>342</v>
      </c>
      <c r="F4" s="2244"/>
      <c r="G4" s="2244" t="s">
        <v>65</v>
      </c>
      <c r="H4" s="2244"/>
      <c r="I4" s="2244" t="s">
        <v>29</v>
      </c>
      <c r="J4" s="2244"/>
      <c r="K4" s="2245" t="s">
        <v>14</v>
      </c>
      <c r="L4" s="2246"/>
      <c r="M4" s="2245" t="s">
        <v>67</v>
      </c>
      <c r="N4" s="2246"/>
      <c r="O4" s="2245" t="s">
        <v>68</v>
      </c>
      <c r="P4" s="2246"/>
      <c r="Q4" s="2245" t="s">
        <v>114</v>
      </c>
      <c r="R4" s="2246"/>
      <c r="S4" s="2244" t="s">
        <v>35</v>
      </c>
      <c r="T4" s="2244"/>
      <c r="U4" s="2245" t="s">
        <v>17</v>
      </c>
      <c r="V4" s="2246"/>
      <c r="W4" s="2247" t="s">
        <v>36</v>
      </c>
      <c r="X4" s="2248"/>
      <c r="Y4" s="2238" t="s">
        <v>30</v>
      </c>
    </row>
    <row r="5" spans="1:25" s="860" customFormat="1" ht="25.5" customHeight="1" x14ac:dyDescent="0.25">
      <c r="A5" s="2243"/>
      <c r="B5" s="2243"/>
      <c r="C5" s="859" t="s">
        <v>42</v>
      </c>
      <c r="D5" s="859" t="s">
        <v>43</v>
      </c>
      <c r="E5" s="859" t="s">
        <v>42</v>
      </c>
      <c r="F5" s="859" t="s">
        <v>43</v>
      </c>
      <c r="G5" s="859" t="s">
        <v>42</v>
      </c>
      <c r="H5" s="859" t="s">
        <v>43</v>
      </c>
      <c r="I5" s="859" t="s">
        <v>42</v>
      </c>
      <c r="J5" s="859" t="s">
        <v>43</v>
      </c>
      <c r="K5" s="859" t="s">
        <v>42</v>
      </c>
      <c r="L5" s="859" t="s">
        <v>43</v>
      </c>
      <c r="M5" s="859" t="s">
        <v>42</v>
      </c>
      <c r="N5" s="859" t="s">
        <v>43</v>
      </c>
      <c r="O5" s="859" t="s">
        <v>42</v>
      </c>
      <c r="P5" s="859" t="s">
        <v>43</v>
      </c>
      <c r="Q5" s="859" t="s">
        <v>42</v>
      </c>
      <c r="R5" s="859" t="s">
        <v>43</v>
      </c>
      <c r="S5" s="33" t="s">
        <v>42</v>
      </c>
      <c r="T5" s="33" t="s">
        <v>43</v>
      </c>
      <c r="U5" s="30" t="s">
        <v>42</v>
      </c>
      <c r="V5" s="30" t="s">
        <v>43</v>
      </c>
      <c r="W5" s="30" t="s">
        <v>42</v>
      </c>
      <c r="X5" s="30" t="s">
        <v>43</v>
      </c>
      <c r="Y5" s="2239"/>
    </row>
    <row r="6" spans="1:25" ht="34.5" customHeight="1" x14ac:dyDescent="0.25">
      <c r="A6" s="12">
        <v>1409935200</v>
      </c>
      <c r="B6" s="858" t="s">
        <v>71</v>
      </c>
      <c r="C6" s="856">
        <v>43972</v>
      </c>
      <c r="D6" s="855">
        <f>0.9725*C6</f>
        <v>42762.770000000004</v>
      </c>
      <c r="E6" s="856"/>
      <c r="F6" s="856">
        <f>67.1*E6</f>
        <v>0</v>
      </c>
      <c r="G6" s="856">
        <v>10</v>
      </c>
      <c r="H6" s="856">
        <f>28.2*G6</f>
        <v>282</v>
      </c>
      <c r="I6" s="856"/>
      <c r="J6" s="856">
        <f>18.5*I6</f>
        <v>0</v>
      </c>
      <c r="K6" s="856"/>
      <c r="L6" s="856">
        <f>28.2368*K6</f>
        <v>0</v>
      </c>
      <c r="M6" s="856"/>
      <c r="N6" s="855">
        <f>M6*9.75</f>
        <v>0</v>
      </c>
      <c r="O6" s="856"/>
      <c r="P6" s="855">
        <f>O6*48.7</f>
        <v>0</v>
      </c>
      <c r="Q6" s="855"/>
      <c r="R6" s="855">
        <f>241*Q6</f>
        <v>0</v>
      </c>
      <c r="S6" s="856"/>
      <c r="T6" s="856">
        <f>241*S6</f>
        <v>0</v>
      </c>
      <c r="U6" s="856"/>
      <c r="V6" s="856">
        <f>332*U6</f>
        <v>0</v>
      </c>
      <c r="W6" s="856"/>
      <c r="X6" s="19">
        <f>W6*100</f>
        <v>0</v>
      </c>
      <c r="Y6" s="20">
        <f t="shared" ref="Y6:Y12" si="0">D6+F6+H6+J6+L6+N6+P6+R6+T6+V6+X6</f>
        <v>43044.770000000004</v>
      </c>
    </row>
    <row r="7" spans="1:25" ht="31.5" customHeight="1" x14ac:dyDescent="0.25">
      <c r="A7" s="12">
        <v>1984225578</v>
      </c>
      <c r="B7" s="858" t="s">
        <v>72</v>
      </c>
      <c r="C7" s="856">
        <v>23000</v>
      </c>
      <c r="D7" s="855">
        <f t="shared" ref="D7:D11" si="1">0.9725*C7</f>
        <v>22367.5</v>
      </c>
      <c r="E7" s="856"/>
      <c r="F7" s="856">
        <f t="shared" ref="F7:F11" si="2">67.1*E7</f>
        <v>0</v>
      </c>
      <c r="G7" s="856"/>
      <c r="H7" s="856">
        <f t="shared" ref="H7:H11" si="3">28.2*G7</f>
        <v>0</v>
      </c>
      <c r="I7" s="856"/>
      <c r="J7" s="856">
        <f t="shared" ref="J7:J11" si="4">18.5*I7</f>
        <v>0</v>
      </c>
      <c r="K7" s="856"/>
      <c r="L7" s="856">
        <f t="shared" ref="L7:L11" si="5">28.2368*K7</f>
        <v>0</v>
      </c>
      <c r="M7" s="856"/>
      <c r="N7" s="855">
        <f t="shared" ref="N7:N11" si="6">M7*9.75</f>
        <v>0</v>
      </c>
      <c r="O7" s="856"/>
      <c r="P7" s="855">
        <f t="shared" ref="P7:P11" si="7">O7*48.7</f>
        <v>0</v>
      </c>
      <c r="Q7" s="855"/>
      <c r="R7" s="855">
        <f t="shared" ref="R7:R11" si="8">241*Q7</f>
        <v>0</v>
      </c>
      <c r="S7" s="856"/>
      <c r="T7" s="856">
        <f t="shared" ref="T7:T10" si="9">241*S7</f>
        <v>0</v>
      </c>
      <c r="U7" s="856"/>
      <c r="V7" s="856">
        <f t="shared" ref="V7:V11" si="10">332*U7</f>
        <v>0</v>
      </c>
      <c r="W7" s="856"/>
      <c r="X7" s="19">
        <f t="shared" ref="X7:X11" si="11">W7*100</f>
        <v>0</v>
      </c>
      <c r="Y7" s="20">
        <f t="shared" si="0"/>
        <v>22367.5</v>
      </c>
    </row>
    <row r="8" spans="1:25" ht="35.25" customHeight="1" x14ac:dyDescent="0.25">
      <c r="A8" s="12">
        <v>1967020280</v>
      </c>
      <c r="B8" s="858" t="s">
        <v>73</v>
      </c>
      <c r="C8" s="856">
        <v>25448</v>
      </c>
      <c r="D8" s="855">
        <f t="shared" si="1"/>
        <v>24748.18</v>
      </c>
      <c r="E8" s="856"/>
      <c r="F8" s="856">
        <f t="shared" si="2"/>
        <v>0</v>
      </c>
      <c r="G8" s="856">
        <v>20</v>
      </c>
      <c r="H8" s="856">
        <f t="shared" si="3"/>
        <v>564</v>
      </c>
      <c r="I8" s="856"/>
      <c r="J8" s="856">
        <f t="shared" si="4"/>
        <v>0</v>
      </c>
      <c r="K8" s="856"/>
      <c r="L8" s="856">
        <f t="shared" si="5"/>
        <v>0</v>
      </c>
      <c r="M8" s="856"/>
      <c r="N8" s="855">
        <f t="shared" si="6"/>
        <v>0</v>
      </c>
      <c r="O8" s="856"/>
      <c r="P8" s="855">
        <f t="shared" si="7"/>
        <v>0</v>
      </c>
      <c r="Q8" s="855"/>
      <c r="R8" s="855">
        <f t="shared" si="8"/>
        <v>0</v>
      </c>
      <c r="S8" s="856">
        <v>10</v>
      </c>
      <c r="T8" s="856">
        <f t="shared" si="9"/>
        <v>2410</v>
      </c>
      <c r="U8" s="856"/>
      <c r="V8" s="856">
        <f t="shared" si="10"/>
        <v>0</v>
      </c>
      <c r="W8" s="856"/>
      <c r="X8" s="19">
        <f t="shared" si="11"/>
        <v>0</v>
      </c>
      <c r="Y8" s="20">
        <f t="shared" si="0"/>
        <v>27722.18</v>
      </c>
    </row>
    <row r="9" spans="1:25" ht="38.25" customHeight="1" x14ac:dyDescent="0.25">
      <c r="A9" s="12">
        <v>1984225580</v>
      </c>
      <c r="B9" s="858" t="s">
        <v>75</v>
      </c>
      <c r="C9" s="856">
        <v>36962</v>
      </c>
      <c r="D9" s="855">
        <f t="shared" si="1"/>
        <v>35945.544999999998</v>
      </c>
      <c r="E9" s="856"/>
      <c r="F9" s="856">
        <f t="shared" si="2"/>
        <v>0</v>
      </c>
      <c r="G9" s="856"/>
      <c r="H9" s="856">
        <f t="shared" si="3"/>
        <v>0</v>
      </c>
      <c r="I9" s="856"/>
      <c r="J9" s="856">
        <f t="shared" si="4"/>
        <v>0</v>
      </c>
      <c r="K9" s="856"/>
      <c r="L9" s="856">
        <f t="shared" si="5"/>
        <v>0</v>
      </c>
      <c r="M9" s="856"/>
      <c r="N9" s="855">
        <f t="shared" si="6"/>
        <v>0</v>
      </c>
      <c r="O9" s="856"/>
      <c r="P9" s="855">
        <f t="shared" si="7"/>
        <v>0</v>
      </c>
      <c r="Q9" s="855"/>
      <c r="R9" s="855">
        <f t="shared" si="8"/>
        <v>0</v>
      </c>
      <c r="S9" s="856"/>
      <c r="T9" s="856">
        <f t="shared" si="9"/>
        <v>0</v>
      </c>
      <c r="U9" s="856"/>
      <c r="V9" s="856">
        <f t="shared" si="10"/>
        <v>0</v>
      </c>
      <c r="W9" s="856"/>
      <c r="X9" s="19">
        <f t="shared" si="11"/>
        <v>0</v>
      </c>
      <c r="Y9" s="20">
        <f t="shared" si="0"/>
        <v>35945.544999999998</v>
      </c>
    </row>
    <row r="10" spans="1:25" ht="35.25" customHeight="1" x14ac:dyDescent="0.25">
      <c r="A10" s="12">
        <v>1409935199</v>
      </c>
      <c r="C10" s="856">
        <v>41499</v>
      </c>
      <c r="D10" s="855">
        <f t="shared" si="1"/>
        <v>40357.777500000004</v>
      </c>
      <c r="E10" s="856"/>
      <c r="F10" s="856">
        <f t="shared" si="2"/>
        <v>0</v>
      </c>
      <c r="G10" s="856"/>
      <c r="H10" s="856">
        <f t="shared" si="3"/>
        <v>0</v>
      </c>
      <c r="I10" s="856"/>
      <c r="J10" s="856">
        <f t="shared" si="4"/>
        <v>0</v>
      </c>
      <c r="K10" s="856"/>
      <c r="L10" s="856">
        <f t="shared" si="5"/>
        <v>0</v>
      </c>
      <c r="M10" s="856"/>
      <c r="N10" s="855">
        <f t="shared" si="6"/>
        <v>0</v>
      </c>
      <c r="O10" s="856"/>
      <c r="P10" s="855">
        <f t="shared" si="7"/>
        <v>0</v>
      </c>
      <c r="Q10" s="855"/>
      <c r="R10" s="855">
        <f t="shared" si="8"/>
        <v>0</v>
      </c>
      <c r="S10" s="856"/>
      <c r="T10" s="856">
        <f t="shared" si="9"/>
        <v>0</v>
      </c>
      <c r="U10" s="856"/>
      <c r="V10" s="856">
        <f t="shared" si="10"/>
        <v>0</v>
      </c>
      <c r="W10" s="856"/>
      <c r="X10" s="19">
        <f t="shared" si="11"/>
        <v>0</v>
      </c>
      <c r="Y10" s="20">
        <f t="shared" si="0"/>
        <v>40357.777500000004</v>
      </c>
    </row>
    <row r="11" spans="1:25" ht="37.5" customHeight="1" x14ac:dyDescent="0.25">
      <c r="A11" s="12"/>
      <c r="B11" s="857"/>
      <c r="C11" s="856"/>
      <c r="D11" s="22">
        <f t="shared" si="1"/>
        <v>0</v>
      </c>
      <c r="E11" s="856"/>
      <c r="F11" s="856">
        <f t="shared" si="2"/>
        <v>0</v>
      </c>
      <c r="G11" s="856"/>
      <c r="H11" s="856">
        <f t="shared" si="3"/>
        <v>0</v>
      </c>
      <c r="I11" s="856"/>
      <c r="J11" s="856">
        <f t="shared" si="4"/>
        <v>0</v>
      </c>
      <c r="K11" s="856"/>
      <c r="L11" s="856">
        <f t="shared" si="5"/>
        <v>0</v>
      </c>
      <c r="M11" s="856"/>
      <c r="N11" s="855">
        <f t="shared" si="6"/>
        <v>0</v>
      </c>
      <c r="O11" s="856"/>
      <c r="P11" s="855">
        <f t="shared" si="7"/>
        <v>0</v>
      </c>
      <c r="Q11" s="855"/>
      <c r="R11" s="855">
        <f t="shared" si="8"/>
        <v>0</v>
      </c>
      <c r="S11" s="856"/>
      <c r="T11" s="856">
        <f>341*S11</f>
        <v>0</v>
      </c>
      <c r="U11" s="856"/>
      <c r="V11" s="856">
        <f t="shared" si="10"/>
        <v>0</v>
      </c>
      <c r="W11" s="856"/>
      <c r="X11" s="19">
        <f t="shared" si="11"/>
        <v>0</v>
      </c>
      <c r="Y11" s="20">
        <f t="shared" si="0"/>
        <v>0</v>
      </c>
    </row>
    <row r="12" spans="1:25" ht="29.25" customHeight="1" x14ac:dyDescent="0.25">
      <c r="A12" s="2235" t="s">
        <v>31</v>
      </c>
      <c r="B12" s="2235"/>
      <c r="C12" s="18">
        <f t="shared" ref="C12:X12" si="12">SUM(C6:C11)</f>
        <v>170881</v>
      </c>
      <c r="D12" s="18">
        <f t="shared" si="12"/>
        <v>166181.77250000002</v>
      </c>
      <c r="E12" s="18">
        <f t="shared" si="12"/>
        <v>0</v>
      </c>
      <c r="F12" s="18">
        <f t="shared" si="12"/>
        <v>0</v>
      </c>
      <c r="G12" s="18">
        <f t="shared" si="12"/>
        <v>30</v>
      </c>
      <c r="H12" s="18">
        <f t="shared" si="12"/>
        <v>846</v>
      </c>
      <c r="I12" s="18">
        <f t="shared" si="12"/>
        <v>0</v>
      </c>
      <c r="J12" s="18">
        <f t="shared" si="12"/>
        <v>0</v>
      </c>
      <c r="K12" s="18">
        <f t="shared" si="12"/>
        <v>0</v>
      </c>
      <c r="L12" s="18">
        <f t="shared" si="12"/>
        <v>0</v>
      </c>
      <c r="M12" s="18">
        <f t="shared" si="12"/>
        <v>0</v>
      </c>
      <c r="N12" s="23">
        <f t="shared" si="12"/>
        <v>0</v>
      </c>
      <c r="O12" s="18">
        <f t="shared" si="12"/>
        <v>0</v>
      </c>
      <c r="P12" s="23">
        <f t="shared" si="12"/>
        <v>0</v>
      </c>
      <c r="Q12" s="23">
        <f t="shared" si="12"/>
        <v>0</v>
      </c>
      <c r="R12" s="23">
        <f>SUM(R6:R11)</f>
        <v>0</v>
      </c>
      <c r="S12" s="23">
        <f>SUM(S6:S11)</f>
        <v>10</v>
      </c>
      <c r="T12" s="18">
        <f t="shared" si="12"/>
        <v>2410</v>
      </c>
      <c r="U12" s="18">
        <f t="shared" si="12"/>
        <v>0</v>
      </c>
      <c r="V12" s="18">
        <f t="shared" si="12"/>
        <v>0</v>
      </c>
      <c r="W12" s="18">
        <f t="shared" si="12"/>
        <v>0</v>
      </c>
      <c r="X12" s="18">
        <f t="shared" si="12"/>
        <v>0</v>
      </c>
      <c r="Y12" s="20">
        <f t="shared" si="0"/>
        <v>169437.77250000002</v>
      </c>
    </row>
    <row r="14" spans="1:25" ht="43.5" customHeight="1" x14ac:dyDescent="0.25">
      <c r="A14" s="30" t="s">
        <v>32</v>
      </c>
      <c r="B14" s="2236" t="s">
        <v>27</v>
      </c>
      <c r="C14" s="2236"/>
      <c r="D14" s="30" t="s">
        <v>333</v>
      </c>
      <c r="E14" s="30" t="s">
        <v>65</v>
      </c>
      <c r="F14" s="30" t="s">
        <v>34</v>
      </c>
      <c r="G14" s="30" t="s">
        <v>14</v>
      </c>
      <c r="H14" s="469" t="s">
        <v>173</v>
      </c>
      <c r="I14" s="30" t="s">
        <v>17</v>
      </c>
      <c r="J14" s="864" t="s">
        <v>174</v>
      </c>
      <c r="K14" s="30" t="s">
        <v>36</v>
      </c>
      <c r="L14" s="864" t="s">
        <v>403</v>
      </c>
      <c r="M14" s="30" t="s">
        <v>69</v>
      </c>
      <c r="N14" s="30" t="s">
        <v>70</v>
      </c>
      <c r="O14" s="864" t="s">
        <v>114</v>
      </c>
      <c r="P14" s="864" t="s">
        <v>402</v>
      </c>
      <c r="Q14" s="2300" t="s">
        <v>378</v>
      </c>
      <c r="R14" s="2301"/>
      <c r="S14" s="864" t="s">
        <v>401</v>
      </c>
      <c r="T14" s="2235" t="s">
        <v>46</v>
      </c>
      <c r="U14" s="858" t="s">
        <v>176</v>
      </c>
      <c r="V14" s="2260">
        <v>29943</v>
      </c>
      <c r="W14" s="2268"/>
      <c r="X14" s="2261"/>
    </row>
    <row r="15" spans="1:25" ht="22.5" customHeight="1" x14ac:dyDescent="0.25">
      <c r="A15" s="100" t="s">
        <v>38</v>
      </c>
      <c r="B15" s="2260">
        <v>124386</v>
      </c>
      <c r="C15" s="2261"/>
      <c r="D15" s="861">
        <v>502</v>
      </c>
      <c r="E15" s="861">
        <v>650</v>
      </c>
      <c r="F15" s="861">
        <v>0</v>
      </c>
      <c r="G15" s="861">
        <v>650</v>
      </c>
      <c r="H15" s="861">
        <v>488</v>
      </c>
      <c r="I15" s="861">
        <v>0</v>
      </c>
      <c r="J15" s="861">
        <v>1</v>
      </c>
      <c r="K15" s="861">
        <v>71</v>
      </c>
      <c r="L15" s="861">
        <v>0</v>
      </c>
      <c r="M15" s="861">
        <v>0</v>
      </c>
      <c r="N15" s="861">
        <v>100</v>
      </c>
      <c r="O15" s="861">
        <v>0</v>
      </c>
      <c r="P15" s="861">
        <v>15</v>
      </c>
      <c r="Q15" s="2260">
        <v>0</v>
      </c>
      <c r="R15" s="2261"/>
      <c r="S15" s="858">
        <v>81</v>
      </c>
      <c r="T15" s="2235"/>
      <c r="U15" s="858" t="s">
        <v>64</v>
      </c>
      <c r="V15" s="2262">
        <v>7520</v>
      </c>
      <c r="W15" s="2262"/>
      <c r="X15" s="2262"/>
    </row>
    <row r="16" spans="1:25" ht="24.75" customHeight="1" x14ac:dyDescent="0.25">
      <c r="A16" s="100" t="s">
        <v>39</v>
      </c>
      <c r="B16" s="2260">
        <v>218181</v>
      </c>
      <c r="C16" s="2261"/>
      <c r="D16" s="861"/>
      <c r="E16" s="861"/>
      <c r="F16" s="861"/>
      <c r="G16" s="861"/>
      <c r="H16" s="861"/>
      <c r="I16" s="861"/>
      <c r="J16" s="861"/>
      <c r="K16" s="861"/>
      <c r="L16" s="861"/>
      <c r="M16" s="861"/>
      <c r="N16" s="861"/>
      <c r="O16" s="861"/>
      <c r="P16" s="861"/>
      <c r="Q16" s="2225"/>
      <c r="R16" s="2225"/>
      <c r="S16" s="861"/>
      <c r="T16" s="2254" t="s">
        <v>55</v>
      </c>
      <c r="U16" s="2254"/>
      <c r="V16" s="2267">
        <f>Y12</f>
        <v>169437.77250000002</v>
      </c>
      <c r="W16" s="2267"/>
      <c r="X16" s="2262"/>
    </row>
    <row r="17" spans="1:25" ht="28.5" customHeight="1" x14ac:dyDescent="0.25">
      <c r="A17" s="101" t="s">
        <v>44</v>
      </c>
      <c r="B17" s="2260">
        <v>109012</v>
      </c>
      <c r="C17" s="2261"/>
      <c r="D17" s="861"/>
      <c r="E17" s="861"/>
      <c r="F17" s="861"/>
      <c r="G17" s="861"/>
      <c r="H17" s="861"/>
      <c r="I17" s="861"/>
      <c r="J17" s="861"/>
      <c r="K17" s="861"/>
      <c r="L17" s="861"/>
      <c r="M17" s="861"/>
      <c r="N17" s="861"/>
      <c r="O17" s="861"/>
      <c r="P17" s="861"/>
      <c r="Q17" s="2225"/>
      <c r="R17" s="2225"/>
      <c r="S17" s="857"/>
      <c r="T17" s="2294" t="s">
        <v>362</v>
      </c>
      <c r="U17" s="2295"/>
      <c r="V17" s="2296"/>
      <c r="W17" s="2296"/>
      <c r="X17" s="2296"/>
    </row>
    <row r="18" spans="1:25" ht="27" customHeight="1" x14ac:dyDescent="0.25">
      <c r="A18" s="100" t="s">
        <v>40</v>
      </c>
      <c r="B18" s="2264">
        <f>C12</f>
        <v>170881</v>
      </c>
      <c r="C18" s="2261"/>
      <c r="D18" s="863">
        <f>E12</f>
        <v>0</v>
      </c>
      <c r="E18" s="863">
        <f>G12</f>
        <v>30</v>
      </c>
      <c r="F18" s="863">
        <f>I12</f>
        <v>0</v>
      </c>
      <c r="G18" s="863">
        <f>K12</f>
        <v>0</v>
      </c>
      <c r="H18" s="861">
        <v>10</v>
      </c>
      <c r="I18" s="863">
        <f>U12</f>
        <v>0</v>
      </c>
      <c r="J18" s="861"/>
      <c r="K18" s="863">
        <f>W12</f>
        <v>0</v>
      </c>
      <c r="L18" s="861"/>
      <c r="M18" s="863">
        <f>M12</f>
        <v>0</v>
      </c>
      <c r="N18" s="863"/>
      <c r="O18" s="862">
        <f>Q12</f>
        <v>0</v>
      </c>
      <c r="P18" s="863"/>
      <c r="Q18" s="2262"/>
      <c r="R18" s="2262"/>
      <c r="S18" s="858"/>
      <c r="T18" s="2254" t="s">
        <v>57</v>
      </c>
      <c r="U18" s="2254"/>
      <c r="V18" s="2262">
        <v>520</v>
      </c>
      <c r="W18" s="2262"/>
      <c r="X18" s="2262"/>
      <c r="Y18" s="2269"/>
    </row>
    <row r="19" spans="1:25" ht="25.5" customHeight="1" x14ac:dyDescent="0.25">
      <c r="A19" s="100" t="s">
        <v>41</v>
      </c>
      <c r="B19" s="2260">
        <f>B15+B16+B17-B18</f>
        <v>280698</v>
      </c>
      <c r="C19" s="2261"/>
      <c r="D19" s="861">
        <f>D15+D16+D17-D18</f>
        <v>502</v>
      </c>
      <c r="E19" s="861">
        <f t="shared" ref="E19:N19" si="13">E15+E16+E17-E18</f>
        <v>620</v>
      </c>
      <c r="F19" s="861">
        <f t="shared" si="13"/>
        <v>0</v>
      </c>
      <c r="G19" s="861">
        <f t="shared" si="13"/>
        <v>650</v>
      </c>
      <c r="H19" s="861">
        <f t="shared" si="13"/>
        <v>478</v>
      </c>
      <c r="I19" s="861">
        <f t="shared" si="13"/>
        <v>0</v>
      </c>
      <c r="J19" s="861">
        <f t="shared" si="13"/>
        <v>1</v>
      </c>
      <c r="K19" s="861">
        <f t="shared" si="13"/>
        <v>71</v>
      </c>
      <c r="L19" s="861">
        <f t="shared" si="13"/>
        <v>0</v>
      </c>
      <c r="M19" s="861">
        <f t="shared" si="13"/>
        <v>0</v>
      </c>
      <c r="N19" s="861">
        <f t="shared" si="13"/>
        <v>100</v>
      </c>
      <c r="O19" s="861">
        <f>O15+O16+O17-O18</f>
        <v>0</v>
      </c>
      <c r="P19" s="861">
        <f>P15+P16+P17-P18</f>
        <v>15</v>
      </c>
      <c r="Q19" s="2260">
        <f t="shared" ref="Q19" si="14">Q15+Q16+Q17-Q18</f>
        <v>0</v>
      </c>
      <c r="R19" s="2261"/>
      <c r="S19" s="858">
        <f>S15+S16-S17-S18</f>
        <v>81</v>
      </c>
      <c r="T19" s="2256" t="s">
        <v>48</v>
      </c>
      <c r="U19" s="49" t="s">
        <v>58</v>
      </c>
      <c r="V19" s="2262">
        <v>107966</v>
      </c>
      <c r="W19" s="2262"/>
      <c r="X19" s="2262"/>
      <c r="Y19" s="2269"/>
    </row>
    <row r="20" spans="1:25" ht="23.25" customHeight="1" x14ac:dyDescent="0.25">
      <c r="A20" s="289" t="s">
        <v>187</v>
      </c>
      <c r="B20" s="2286">
        <f>B19*0.9625</f>
        <v>270171.82500000001</v>
      </c>
      <c r="C20" s="2287"/>
      <c r="D20" s="290">
        <f>D19*66.41</f>
        <v>33337.82</v>
      </c>
      <c r="E20" s="290">
        <f>27.9368*E19</f>
        <v>17320.816000000003</v>
      </c>
      <c r="F20" s="290">
        <f>18.31*F19</f>
        <v>0</v>
      </c>
      <c r="G20" s="290">
        <f>27.9368*G19</f>
        <v>18158.920000000002</v>
      </c>
      <c r="H20" s="290">
        <f>241*H19</f>
        <v>115198</v>
      </c>
      <c r="I20" s="290">
        <f>323*I19</f>
        <v>0</v>
      </c>
      <c r="J20" s="290">
        <f>241*J19</f>
        <v>241</v>
      </c>
      <c r="K20" s="290">
        <f>K19*100</f>
        <v>7100</v>
      </c>
      <c r="L20" s="290">
        <f>241*L19</f>
        <v>0</v>
      </c>
      <c r="M20" s="290">
        <f>9.65*M19</f>
        <v>0</v>
      </c>
      <c r="N20" s="290">
        <f>N19*48.2</f>
        <v>4820</v>
      </c>
      <c r="O20" s="290">
        <f>241*O19</f>
        <v>0</v>
      </c>
      <c r="P20" s="290">
        <f>241*P19</f>
        <v>3615</v>
      </c>
      <c r="Q20" s="2286">
        <f>341*Q19</f>
        <v>0</v>
      </c>
      <c r="R20" s="2287"/>
      <c r="S20" s="290">
        <f>241*S19</f>
        <v>19521</v>
      </c>
      <c r="T20" s="2257"/>
      <c r="U20" s="49" t="s">
        <v>59</v>
      </c>
      <c r="V20" s="2262">
        <v>75680</v>
      </c>
      <c r="W20" s="2262"/>
      <c r="X20" s="2262"/>
      <c r="Y20" s="2269"/>
    </row>
    <row r="21" spans="1:25" ht="32.25" customHeight="1" x14ac:dyDescent="0.25">
      <c r="A21" s="291" t="s">
        <v>186</v>
      </c>
      <c r="B21" s="2293">
        <f>SUM(B20:S20)</f>
        <v>489484.38099999999</v>
      </c>
      <c r="C21" s="2293"/>
      <c r="O21" s="865"/>
      <c r="P21" s="865"/>
      <c r="Q21" s="865"/>
      <c r="R21" s="865"/>
      <c r="T21" s="2294" t="s">
        <v>366</v>
      </c>
      <c r="U21" s="2295"/>
      <c r="V21" s="2297"/>
      <c r="W21" s="2298"/>
      <c r="X21" s="2299"/>
      <c r="Y21" s="2269"/>
    </row>
    <row r="22" spans="1:25" ht="35.25" customHeight="1" x14ac:dyDescent="0.25">
      <c r="A22" s="15"/>
      <c r="B22" s="2288" t="s">
        <v>49</v>
      </c>
      <c r="C22" s="2291">
        <v>107966</v>
      </c>
      <c r="D22" s="2291">
        <v>107966</v>
      </c>
      <c r="E22" s="2291">
        <v>134320</v>
      </c>
      <c r="F22" s="2291">
        <f>C22-D22+E22</f>
        <v>134320</v>
      </c>
      <c r="G22" s="865"/>
      <c r="Q22" s="865"/>
      <c r="R22" s="865"/>
      <c r="T22" s="2251" t="s">
        <v>83</v>
      </c>
      <c r="U22" s="50" t="s">
        <v>60</v>
      </c>
      <c r="V22" s="2262">
        <v>183680</v>
      </c>
      <c r="W22" s="2262"/>
      <c r="X22" s="2262"/>
      <c r="Y22" s="2269"/>
    </row>
    <row r="23" spans="1:25" ht="39.75" customHeight="1" x14ac:dyDescent="0.25">
      <c r="A23" s="865"/>
      <c r="B23" s="2289"/>
      <c r="C23" s="2292"/>
      <c r="D23" s="2292"/>
      <c r="E23" s="2292"/>
      <c r="F23" s="2292"/>
      <c r="G23" s="865"/>
      <c r="Q23" s="865"/>
      <c r="R23" s="865"/>
      <c r="T23" s="2252"/>
      <c r="U23" s="50" t="s">
        <v>61</v>
      </c>
      <c r="V23" s="2262">
        <v>183680</v>
      </c>
      <c r="W23" s="2262"/>
      <c r="X23" s="2262"/>
      <c r="Y23" s="2269"/>
    </row>
    <row r="24" spans="1:25" ht="48" customHeight="1" x14ac:dyDescent="0.25">
      <c r="A24" s="865"/>
      <c r="B24" s="2290"/>
      <c r="C24" s="290" t="s">
        <v>46</v>
      </c>
      <c r="D24" s="290" t="s">
        <v>50</v>
      </c>
      <c r="E24" s="290" t="s">
        <v>51</v>
      </c>
      <c r="F24" s="290" t="s">
        <v>52</v>
      </c>
      <c r="G24" s="865"/>
      <c r="Q24" s="865"/>
      <c r="R24" s="865"/>
      <c r="T24" s="2235" t="s">
        <v>47</v>
      </c>
      <c r="U24" s="51" t="s">
        <v>62</v>
      </c>
      <c r="V24" s="2263">
        <f>V14+V16+V17-V18-V19-V20-V22+V23-V21</f>
        <v>15214.772500000021</v>
      </c>
      <c r="W24" s="2263"/>
      <c r="X24" s="2263"/>
      <c r="Y24" s="2269"/>
    </row>
    <row r="25" spans="1:25" ht="40.5" customHeight="1" x14ac:dyDescent="0.25">
      <c r="T25" s="2235"/>
      <c r="U25" s="51" t="s">
        <v>63</v>
      </c>
      <c r="V25" s="2262">
        <f>V15+V22-V23</f>
        <v>7520</v>
      </c>
      <c r="W25" s="2262"/>
      <c r="X25" s="2262"/>
    </row>
    <row r="26" spans="1:25" ht="36" customHeight="1" x14ac:dyDescent="0.25">
      <c r="K26" s="314"/>
    </row>
    <row r="28" spans="1:25" x14ac:dyDescent="0.25">
      <c r="J28" s="14" t="s">
        <v>139</v>
      </c>
    </row>
    <row r="32" spans="1:25" x14ac:dyDescent="0.25">
      <c r="I32" s="2280"/>
      <c r="J32" s="2280"/>
      <c r="K32" s="2280"/>
      <c r="L32" s="2280"/>
    </row>
    <row r="33" spans="9:12" x14ac:dyDescent="0.25">
      <c r="I33" s="865"/>
      <c r="J33" s="865"/>
      <c r="K33" s="2280"/>
      <c r="L33" s="2280"/>
    </row>
  </sheetData>
  <mergeCells count="62">
    <mergeCell ref="A1:Y1"/>
    <mergeCell ref="A2:Y2"/>
    <mergeCell ref="T3:Y3"/>
    <mergeCell ref="A4:A5"/>
    <mergeCell ref="B4:B5"/>
    <mergeCell ref="C4:D4"/>
    <mergeCell ref="E4:F4"/>
    <mergeCell ref="G4:H4"/>
    <mergeCell ref="I4:J4"/>
    <mergeCell ref="K4:L4"/>
    <mergeCell ref="Y4:Y5"/>
    <mergeCell ref="M4:N4"/>
    <mergeCell ref="O4:P4"/>
    <mergeCell ref="Q4:R4"/>
    <mergeCell ref="S4:T4"/>
    <mergeCell ref="U4:V4"/>
    <mergeCell ref="W4:X4"/>
    <mergeCell ref="B16:C16"/>
    <mergeCell ref="Q16:R16"/>
    <mergeCell ref="T16:U16"/>
    <mergeCell ref="V16:X16"/>
    <mergeCell ref="A12:B12"/>
    <mergeCell ref="B14:C14"/>
    <mergeCell ref="Q14:R14"/>
    <mergeCell ref="T14:T15"/>
    <mergeCell ref="V14:X14"/>
    <mergeCell ref="B15:C15"/>
    <mergeCell ref="Q15:R15"/>
    <mergeCell ref="V15:X15"/>
    <mergeCell ref="B17:C17"/>
    <mergeCell ref="Q17:R17"/>
    <mergeCell ref="T17:U17"/>
    <mergeCell ref="V17:X17"/>
    <mergeCell ref="B18:C18"/>
    <mergeCell ref="Q18:R18"/>
    <mergeCell ref="T18:U18"/>
    <mergeCell ref="V18:X18"/>
    <mergeCell ref="Y18:Y24"/>
    <mergeCell ref="B19:C19"/>
    <mergeCell ref="Q19:R19"/>
    <mergeCell ref="T19:T20"/>
    <mergeCell ref="V19:X19"/>
    <mergeCell ref="B20:C20"/>
    <mergeCell ref="B22:B24"/>
    <mergeCell ref="C22:C23"/>
    <mergeCell ref="D22:D23"/>
    <mergeCell ref="E22:E23"/>
    <mergeCell ref="F22:F23"/>
    <mergeCell ref="Q20:R20"/>
    <mergeCell ref="V20:X20"/>
    <mergeCell ref="B21:C21"/>
    <mergeCell ref="T21:U21"/>
    <mergeCell ref="V21:X21"/>
    <mergeCell ref="I32:J32"/>
    <mergeCell ref="K32:L32"/>
    <mergeCell ref="K33:L33"/>
    <mergeCell ref="T22:T23"/>
    <mergeCell ref="V22:X22"/>
    <mergeCell ref="V23:X23"/>
    <mergeCell ref="T24:T25"/>
    <mergeCell ref="V24:X24"/>
    <mergeCell ref="V25:X25"/>
  </mergeCells>
  <pageMargins left="0.15748031496063" right="0.15748031496063" top="0" bottom="0" header="0" footer="0"/>
  <pageSetup paperSize="9" scale="45" orientation="landscape" r:id="rId1"/>
</worksheet>
</file>

<file path=xl/worksheets/sheet18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0FA45A0-7618-4DD1-B34B-7BAD5362E44E}">
  <sheetPr>
    <pageSetUpPr fitToPage="1"/>
  </sheetPr>
  <dimension ref="A1:Y33"/>
  <sheetViews>
    <sheetView topLeftCell="A13" zoomScale="70" zoomScaleNormal="70" zoomScaleSheetLayoutView="100" workbookViewId="0">
      <selection activeCell="D7" sqref="D7"/>
    </sheetView>
  </sheetViews>
  <sheetFormatPr defaultColWidth="9.140625" defaultRowHeight="15" x14ac:dyDescent="0.25"/>
  <cols>
    <col min="1" max="1" width="18.28515625" style="14" customWidth="1"/>
    <col min="2" max="2" width="10.7109375" style="14" customWidth="1"/>
    <col min="3" max="3" width="12.28515625" style="14" customWidth="1"/>
    <col min="4" max="4" width="13.140625" style="14" bestFit="1" customWidth="1"/>
    <col min="5" max="5" width="12" style="14" customWidth="1"/>
    <col min="6" max="6" width="12.5703125" style="14" bestFit="1" customWidth="1"/>
    <col min="7" max="7" width="16" style="14" bestFit="1" customWidth="1"/>
    <col min="8" max="8" width="10.140625" style="14" bestFit="1" customWidth="1"/>
    <col min="9" max="9" width="10.5703125" style="14" bestFit="1" customWidth="1"/>
    <col min="10" max="10" width="10.5703125" style="14" customWidth="1"/>
    <col min="11" max="11" width="10.28515625" style="14" bestFit="1" customWidth="1"/>
    <col min="12" max="12" width="10.42578125" style="14" bestFit="1" customWidth="1"/>
    <col min="13" max="13" width="9.85546875" style="14" bestFit="1" customWidth="1"/>
    <col min="14" max="14" width="10.140625" style="14" bestFit="1" customWidth="1"/>
    <col min="15" max="15" width="9" style="14" customWidth="1"/>
    <col min="16" max="16" width="12.85546875" style="14" bestFit="1" customWidth="1"/>
    <col min="17" max="18" width="9.42578125" style="14" customWidth="1"/>
    <col min="19" max="19" width="13.7109375" style="14" customWidth="1"/>
    <col min="20" max="20" width="12.140625" style="14" customWidth="1"/>
    <col min="21" max="21" width="21.7109375" style="14" customWidth="1"/>
    <col min="22" max="22" width="9.85546875" style="14" customWidth="1"/>
    <col min="23" max="23" width="10.140625" style="14" bestFit="1" customWidth="1"/>
    <col min="24" max="24" width="10.28515625" style="14" customWidth="1"/>
    <col min="25" max="25" width="28" style="14" customWidth="1"/>
    <col min="26" max="16384" width="9.140625" style="14"/>
  </cols>
  <sheetData>
    <row r="1" spans="1:25" ht="46.15" customHeight="1" x14ac:dyDescent="0.25">
      <c r="A1" s="2240" t="s">
        <v>148</v>
      </c>
      <c r="B1" s="2240"/>
      <c r="C1" s="2240"/>
      <c r="D1" s="2240"/>
      <c r="E1" s="2240"/>
      <c r="F1" s="2240"/>
      <c r="G1" s="2240"/>
      <c r="H1" s="2240"/>
      <c r="I1" s="2240"/>
      <c r="J1" s="2240"/>
      <c r="K1" s="2240"/>
      <c r="L1" s="2240"/>
      <c r="M1" s="2240"/>
      <c r="N1" s="2240"/>
      <c r="O1" s="2240"/>
      <c r="P1" s="2240"/>
      <c r="Q1" s="2240"/>
      <c r="R1" s="2240"/>
      <c r="S1" s="2240"/>
      <c r="T1" s="2240"/>
      <c r="U1" s="2240"/>
      <c r="V1" s="2240"/>
      <c r="W1" s="2240"/>
      <c r="X1" s="2240"/>
      <c r="Y1" s="2240"/>
    </row>
    <row r="2" spans="1:25" ht="21.6" customHeight="1" x14ac:dyDescent="0.25">
      <c r="A2" s="2241" t="s">
        <v>383</v>
      </c>
      <c r="B2" s="2241"/>
      <c r="C2" s="2241"/>
      <c r="D2" s="2241"/>
      <c r="E2" s="2241"/>
      <c r="F2" s="2241"/>
      <c r="G2" s="2241"/>
      <c r="H2" s="2241"/>
      <c r="I2" s="2241"/>
      <c r="J2" s="2241"/>
      <c r="K2" s="2241"/>
      <c r="L2" s="2241"/>
      <c r="M2" s="2241"/>
      <c r="N2" s="2241"/>
      <c r="O2" s="2241"/>
      <c r="P2" s="2241"/>
      <c r="Q2" s="2241"/>
      <c r="R2" s="2241"/>
      <c r="S2" s="2241"/>
      <c r="T2" s="2241"/>
      <c r="U2" s="2241"/>
      <c r="V2" s="2241"/>
      <c r="W2" s="2241"/>
      <c r="X2" s="2241"/>
      <c r="Y2" s="2241"/>
    </row>
    <row r="3" spans="1:25" ht="21" customHeight="1" x14ac:dyDescent="0.25">
      <c r="A3" s="871"/>
      <c r="B3" s="871"/>
      <c r="C3" s="871"/>
      <c r="D3" s="871"/>
      <c r="E3" s="871"/>
      <c r="F3" s="871"/>
      <c r="G3" s="871"/>
      <c r="H3" s="871"/>
      <c r="I3" s="871"/>
      <c r="J3" s="871"/>
      <c r="K3" s="871"/>
      <c r="L3" s="871"/>
      <c r="M3" s="871"/>
      <c r="N3" s="871"/>
      <c r="O3" s="871"/>
      <c r="P3" s="871"/>
      <c r="Q3" s="871"/>
      <c r="R3" s="871"/>
      <c r="S3" s="871"/>
      <c r="T3" s="2242" t="s">
        <v>411</v>
      </c>
      <c r="U3" s="2242"/>
      <c r="V3" s="2242"/>
      <c r="W3" s="2242"/>
      <c r="X3" s="2242"/>
      <c r="Y3" s="2242"/>
    </row>
    <row r="4" spans="1:25" s="871" customFormat="1" ht="18" customHeight="1" x14ac:dyDescent="0.25">
      <c r="A4" s="2243" t="s">
        <v>25</v>
      </c>
      <c r="B4" s="2243" t="s">
        <v>26</v>
      </c>
      <c r="C4" s="2244" t="s">
        <v>27</v>
      </c>
      <c r="D4" s="2244"/>
      <c r="E4" s="2244" t="s">
        <v>342</v>
      </c>
      <c r="F4" s="2244"/>
      <c r="G4" s="2244" t="s">
        <v>65</v>
      </c>
      <c r="H4" s="2244"/>
      <c r="I4" s="2244" t="s">
        <v>29</v>
      </c>
      <c r="J4" s="2244"/>
      <c r="K4" s="2245" t="s">
        <v>14</v>
      </c>
      <c r="L4" s="2246"/>
      <c r="M4" s="2245" t="s">
        <v>67</v>
      </c>
      <c r="N4" s="2246"/>
      <c r="O4" s="2245" t="s">
        <v>68</v>
      </c>
      <c r="P4" s="2246"/>
      <c r="Q4" s="2245" t="s">
        <v>114</v>
      </c>
      <c r="R4" s="2246"/>
      <c r="S4" s="2244" t="s">
        <v>35</v>
      </c>
      <c r="T4" s="2244"/>
      <c r="U4" s="2245" t="s">
        <v>17</v>
      </c>
      <c r="V4" s="2246"/>
      <c r="W4" s="2247" t="s">
        <v>36</v>
      </c>
      <c r="X4" s="2248"/>
      <c r="Y4" s="2238" t="s">
        <v>30</v>
      </c>
    </row>
    <row r="5" spans="1:25" s="871" customFormat="1" ht="25.5" customHeight="1" x14ac:dyDescent="0.25">
      <c r="A5" s="2243"/>
      <c r="B5" s="2243"/>
      <c r="C5" s="870" t="s">
        <v>42</v>
      </c>
      <c r="D5" s="870" t="s">
        <v>43</v>
      </c>
      <c r="E5" s="870" t="s">
        <v>42</v>
      </c>
      <c r="F5" s="870" t="s">
        <v>43</v>
      </c>
      <c r="G5" s="870" t="s">
        <v>42</v>
      </c>
      <c r="H5" s="870" t="s">
        <v>43</v>
      </c>
      <c r="I5" s="870" t="s">
        <v>42</v>
      </c>
      <c r="J5" s="870" t="s">
        <v>43</v>
      </c>
      <c r="K5" s="870" t="s">
        <v>42</v>
      </c>
      <c r="L5" s="870" t="s">
        <v>43</v>
      </c>
      <c r="M5" s="870" t="s">
        <v>42</v>
      </c>
      <c r="N5" s="870" t="s">
        <v>43</v>
      </c>
      <c r="O5" s="870" t="s">
        <v>42</v>
      </c>
      <c r="P5" s="870" t="s">
        <v>43</v>
      </c>
      <c r="Q5" s="870" t="s">
        <v>42</v>
      </c>
      <c r="R5" s="870" t="s">
        <v>43</v>
      </c>
      <c r="S5" s="33" t="s">
        <v>42</v>
      </c>
      <c r="T5" s="33" t="s">
        <v>43</v>
      </c>
      <c r="U5" s="30" t="s">
        <v>42</v>
      </c>
      <c r="V5" s="30" t="s">
        <v>43</v>
      </c>
      <c r="W5" s="30" t="s">
        <v>42</v>
      </c>
      <c r="X5" s="30" t="s">
        <v>43</v>
      </c>
      <c r="Y5" s="2239"/>
    </row>
    <row r="6" spans="1:25" ht="34.5" customHeight="1" x14ac:dyDescent="0.25">
      <c r="A6" s="12">
        <v>1409935200</v>
      </c>
      <c r="B6" s="869" t="s">
        <v>71</v>
      </c>
      <c r="C6" s="867">
        <v>52076</v>
      </c>
      <c r="D6" s="866">
        <f>0.9725*C6</f>
        <v>50643.91</v>
      </c>
      <c r="E6" s="867"/>
      <c r="F6" s="867">
        <f>67.1*E6</f>
        <v>0</v>
      </c>
      <c r="G6" s="867"/>
      <c r="H6" s="867">
        <f>28.2*G6</f>
        <v>0</v>
      </c>
      <c r="I6" s="867"/>
      <c r="J6" s="867">
        <f>18.5*I6</f>
        <v>0</v>
      </c>
      <c r="K6" s="867">
        <v>160</v>
      </c>
      <c r="L6" s="867">
        <f>28.2368*K6</f>
        <v>4517.8879999999999</v>
      </c>
      <c r="M6" s="867"/>
      <c r="N6" s="866">
        <f>M6*9.75</f>
        <v>0</v>
      </c>
      <c r="O6" s="867"/>
      <c r="P6" s="866">
        <f>O6*48.7</f>
        <v>0</v>
      </c>
      <c r="Q6" s="866"/>
      <c r="R6" s="866">
        <f>241*Q6</f>
        <v>0</v>
      </c>
      <c r="S6" s="867"/>
      <c r="T6" s="867">
        <f>241*S6</f>
        <v>0</v>
      </c>
      <c r="U6" s="867"/>
      <c r="V6" s="867">
        <f>332*U6</f>
        <v>0</v>
      </c>
      <c r="W6" s="867"/>
      <c r="X6" s="19">
        <f>W6*100</f>
        <v>0</v>
      </c>
      <c r="Y6" s="20">
        <f t="shared" ref="Y6:Y12" si="0">D6+F6+H6+J6+L6+N6+P6+R6+T6+V6+X6</f>
        <v>55161.798000000003</v>
      </c>
    </row>
    <row r="7" spans="1:25" ht="31.5" customHeight="1" x14ac:dyDescent="0.25">
      <c r="A7" s="12">
        <v>1984225578</v>
      </c>
      <c r="B7" s="869" t="s">
        <v>72</v>
      </c>
      <c r="C7" s="867">
        <v>98224</v>
      </c>
      <c r="D7" s="866">
        <f t="shared" ref="D7:D11" si="1">0.9725*C7</f>
        <v>95522.84</v>
      </c>
      <c r="E7" s="867"/>
      <c r="F7" s="867">
        <f t="shared" ref="F7:F11" si="2">67.1*E7</f>
        <v>0</v>
      </c>
      <c r="G7" s="867"/>
      <c r="H7" s="867">
        <f t="shared" ref="H7:H11" si="3">28.2*G7</f>
        <v>0</v>
      </c>
      <c r="I7" s="867"/>
      <c r="J7" s="867">
        <f t="shared" ref="J7:J11" si="4">18.5*I7</f>
        <v>0</v>
      </c>
      <c r="K7" s="867"/>
      <c r="L7" s="867">
        <f t="shared" ref="L7:L11" si="5">28.2368*K7</f>
        <v>0</v>
      </c>
      <c r="M7" s="867"/>
      <c r="N7" s="866">
        <f t="shared" ref="N7:N11" si="6">M7*9.75</f>
        <v>0</v>
      </c>
      <c r="O7" s="867"/>
      <c r="P7" s="866">
        <f t="shared" ref="P7:P11" si="7">O7*48.7</f>
        <v>0</v>
      </c>
      <c r="Q7" s="866"/>
      <c r="R7" s="866">
        <f t="shared" ref="R7:R11" si="8">241*Q7</f>
        <v>0</v>
      </c>
      <c r="S7" s="867"/>
      <c r="T7" s="867">
        <f t="shared" ref="T7:T10" si="9">241*S7</f>
        <v>0</v>
      </c>
      <c r="U7" s="867"/>
      <c r="V7" s="867">
        <f t="shared" ref="V7:V11" si="10">332*U7</f>
        <v>0</v>
      </c>
      <c r="W7" s="867"/>
      <c r="X7" s="19">
        <f t="shared" ref="X7:X11" si="11">W7*100</f>
        <v>0</v>
      </c>
      <c r="Y7" s="20">
        <f t="shared" si="0"/>
        <v>95522.84</v>
      </c>
    </row>
    <row r="8" spans="1:25" ht="35.25" customHeight="1" x14ac:dyDescent="0.25">
      <c r="A8" s="12">
        <v>1967020280</v>
      </c>
      <c r="B8" s="869" t="s">
        <v>73</v>
      </c>
      <c r="C8" s="867">
        <v>60564</v>
      </c>
      <c r="D8" s="866">
        <f t="shared" si="1"/>
        <v>58898.490000000005</v>
      </c>
      <c r="E8" s="867"/>
      <c r="F8" s="867">
        <f t="shared" si="2"/>
        <v>0</v>
      </c>
      <c r="G8" s="867">
        <v>50</v>
      </c>
      <c r="H8" s="867">
        <f t="shared" si="3"/>
        <v>1410</v>
      </c>
      <c r="I8" s="867"/>
      <c r="J8" s="867">
        <f t="shared" si="4"/>
        <v>0</v>
      </c>
      <c r="K8" s="867">
        <v>70</v>
      </c>
      <c r="L8" s="867">
        <f t="shared" si="5"/>
        <v>1976.576</v>
      </c>
      <c r="M8" s="867"/>
      <c r="N8" s="866">
        <f t="shared" si="6"/>
        <v>0</v>
      </c>
      <c r="O8" s="867"/>
      <c r="P8" s="866">
        <f t="shared" si="7"/>
        <v>0</v>
      </c>
      <c r="Q8" s="866"/>
      <c r="R8" s="866">
        <f t="shared" si="8"/>
        <v>0</v>
      </c>
      <c r="S8" s="867"/>
      <c r="T8" s="867">
        <f t="shared" si="9"/>
        <v>0</v>
      </c>
      <c r="U8" s="867"/>
      <c r="V8" s="867">
        <f t="shared" si="10"/>
        <v>0</v>
      </c>
      <c r="W8" s="867"/>
      <c r="X8" s="19">
        <f t="shared" si="11"/>
        <v>0</v>
      </c>
      <c r="Y8" s="20">
        <f t="shared" si="0"/>
        <v>62285.066000000006</v>
      </c>
    </row>
    <row r="9" spans="1:25" ht="38.25" customHeight="1" x14ac:dyDescent="0.25">
      <c r="A9" s="12">
        <v>1984225580</v>
      </c>
      <c r="B9" s="869" t="s">
        <v>75</v>
      </c>
      <c r="C9" s="867">
        <v>69299</v>
      </c>
      <c r="D9" s="866">
        <f t="shared" si="1"/>
        <v>67393.277499999997</v>
      </c>
      <c r="E9" s="867"/>
      <c r="F9" s="867">
        <f t="shared" si="2"/>
        <v>0</v>
      </c>
      <c r="G9" s="867"/>
      <c r="H9" s="867">
        <f t="shared" si="3"/>
        <v>0</v>
      </c>
      <c r="I9" s="867"/>
      <c r="J9" s="867">
        <f t="shared" si="4"/>
        <v>0</v>
      </c>
      <c r="K9" s="867"/>
      <c r="L9" s="867">
        <f t="shared" si="5"/>
        <v>0</v>
      </c>
      <c r="M9" s="867"/>
      <c r="N9" s="866">
        <f t="shared" si="6"/>
        <v>0</v>
      </c>
      <c r="O9" s="867"/>
      <c r="P9" s="866">
        <f t="shared" si="7"/>
        <v>0</v>
      </c>
      <c r="Q9" s="866"/>
      <c r="R9" s="866">
        <f t="shared" si="8"/>
        <v>0</v>
      </c>
      <c r="S9" s="867"/>
      <c r="T9" s="867">
        <f t="shared" si="9"/>
        <v>0</v>
      </c>
      <c r="U9" s="867"/>
      <c r="V9" s="867">
        <f t="shared" si="10"/>
        <v>0</v>
      </c>
      <c r="W9" s="867"/>
      <c r="X9" s="19">
        <f t="shared" si="11"/>
        <v>0</v>
      </c>
      <c r="Y9" s="20">
        <f t="shared" si="0"/>
        <v>67393.277499999997</v>
      </c>
    </row>
    <row r="10" spans="1:25" ht="35.25" customHeight="1" x14ac:dyDescent="0.25">
      <c r="A10" s="12">
        <v>1409935199</v>
      </c>
      <c r="C10" s="867"/>
      <c r="D10" s="866">
        <f t="shared" si="1"/>
        <v>0</v>
      </c>
      <c r="E10" s="867"/>
      <c r="F10" s="867">
        <f t="shared" si="2"/>
        <v>0</v>
      </c>
      <c r="G10" s="867"/>
      <c r="H10" s="867">
        <f t="shared" si="3"/>
        <v>0</v>
      </c>
      <c r="I10" s="867"/>
      <c r="J10" s="867">
        <f t="shared" si="4"/>
        <v>0</v>
      </c>
      <c r="K10" s="867"/>
      <c r="L10" s="867">
        <f t="shared" si="5"/>
        <v>0</v>
      </c>
      <c r="M10" s="867"/>
      <c r="N10" s="866">
        <f t="shared" si="6"/>
        <v>0</v>
      </c>
      <c r="O10" s="867"/>
      <c r="P10" s="866">
        <f t="shared" si="7"/>
        <v>0</v>
      </c>
      <c r="Q10" s="866"/>
      <c r="R10" s="866">
        <f t="shared" si="8"/>
        <v>0</v>
      </c>
      <c r="S10" s="867"/>
      <c r="T10" s="867">
        <f t="shared" si="9"/>
        <v>0</v>
      </c>
      <c r="U10" s="867"/>
      <c r="V10" s="867">
        <f t="shared" si="10"/>
        <v>0</v>
      </c>
      <c r="W10" s="867"/>
      <c r="X10" s="19">
        <f t="shared" si="11"/>
        <v>0</v>
      </c>
      <c r="Y10" s="20">
        <f t="shared" si="0"/>
        <v>0</v>
      </c>
    </row>
    <row r="11" spans="1:25" ht="37.5" customHeight="1" x14ac:dyDescent="0.25">
      <c r="A11" s="12"/>
      <c r="B11" s="868"/>
      <c r="C11" s="867"/>
      <c r="D11" s="22">
        <f t="shared" si="1"/>
        <v>0</v>
      </c>
      <c r="E11" s="867"/>
      <c r="F11" s="867">
        <f t="shared" si="2"/>
        <v>0</v>
      </c>
      <c r="G11" s="867"/>
      <c r="H11" s="867">
        <f t="shared" si="3"/>
        <v>0</v>
      </c>
      <c r="I11" s="867"/>
      <c r="J11" s="867">
        <f t="shared" si="4"/>
        <v>0</v>
      </c>
      <c r="K11" s="867"/>
      <c r="L11" s="867">
        <f t="shared" si="5"/>
        <v>0</v>
      </c>
      <c r="M11" s="867"/>
      <c r="N11" s="866">
        <f t="shared" si="6"/>
        <v>0</v>
      </c>
      <c r="O11" s="867"/>
      <c r="P11" s="866">
        <f t="shared" si="7"/>
        <v>0</v>
      </c>
      <c r="Q11" s="866"/>
      <c r="R11" s="866">
        <f t="shared" si="8"/>
        <v>0</v>
      </c>
      <c r="S11" s="867"/>
      <c r="T11" s="867">
        <f>341*S11</f>
        <v>0</v>
      </c>
      <c r="U11" s="867"/>
      <c r="V11" s="867">
        <f t="shared" si="10"/>
        <v>0</v>
      </c>
      <c r="W11" s="867"/>
      <c r="X11" s="19">
        <f t="shared" si="11"/>
        <v>0</v>
      </c>
      <c r="Y11" s="20">
        <f t="shared" si="0"/>
        <v>0</v>
      </c>
    </row>
    <row r="12" spans="1:25" ht="29.25" customHeight="1" x14ac:dyDescent="0.25">
      <c r="A12" s="2235" t="s">
        <v>31</v>
      </c>
      <c r="B12" s="2235"/>
      <c r="C12" s="18">
        <f t="shared" ref="C12:X12" si="12">SUM(C6:C11)</f>
        <v>280163</v>
      </c>
      <c r="D12" s="18">
        <f t="shared" si="12"/>
        <v>272458.51749999996</v>
      </c>
      <c r="E12" s="18">
        <f t="shared" si="12"/>
        <v>0</v>
      </c>
      <c r="F12" s="18">
        <f t="shared" si="12"/>
        <v>0</v>
      </c>
      <c r="G12" s="18">
        <f t="shared" si="12"/>
        <v>50</v>
      </c>
      <c r="H12" s="18">
        <f t="shared" si="12"/>
        <v>1410</v>
      </c>
      <c r="I12" s="18">
        <f t="shared" si="12"/>
        <v>0</v>
      </c>
      <c r="J12" s="18">
        <f t="shared" si="12"/>
        <v>0</v>
      </c>
      <c r="K12" s="18">
        <f t="shared" si="12"/>
        <v>230</v>
      </c>
      <c r="L12" s="18">
        <f t="shared" si="12"/>
        <v>6494.4639999999999</v>
      </c>
      <c r="M12" s="18">
        <f t="shared" si="12"/>
        <v>0</v>
      </c>
      <c r="N12" s="23">
        <f t="shared" si="12"/>
        <v>0</v>
      </c>
      <c r="O12" s="18">
        <f t="shared" si="12"/>
        <v>0</v>
      </c>
      <c r="P12" s="23">
        <f t="shared" si="12"/>
        <v>0</v>
      </c>
      <c r="Q12" s="23">
        <f t="shared" si="12"/>
        <v>0</v>
      </c>
      <c r="R12" s="23">
        <f>SUM(R6:R11)</f>
        <v>0</v>
      </c>
      <c r="S12" s="23">
        <f>SUM(S6:S11)</f>
        <v>0</v>
      </c>
      <c r="T12" s="18">
        <f t="shared" si="12"/>
        <v>0</v>
      </c>
      <c r="U12" s="18">
        <f t="shared" si="12"/>
        <v>0</v>
      </c>
      <c r="V12" s="18">
        <f t="shared" si="12"/>
        <v>0</v>
      </c>
      <c r="W12" s="18">
        <f t="shared" si="12"/>
        <v>0</v>
      </c>
      <c r="X12" s="18">
        <f t="shared" si="12"/>
        <v>0</v>
      </c>
      <c r="Y12" s="20">
        <f t="shared" si="0"/>
        <v>280362.98149999994</v>
      </c>
    </row>
    <row r="14" spans="1:25" ht="43.5" customHeight="1" x14ac:dyDescent="0.25">
      <c r="A14" s="30" t="s">
        <v>32</v>
      </c>
      <c r="B14" s="2236" t="s">
        <v>27</v>
      </c>
      <c r="C14" s="2236"/>
      <c r="D14" s="30" t="s">
        <v>333</v>
      </c>
      <c r="E14" s="30" t="s">
        <v>65</v>
      </c>
      <c r="F14" s="30" t="s">
        <v>34</v>
      </c>
      <c r="G14" s="30" t="s">
        <v>14</v>
      </c>
      <c r="H14" s="469" t="s">
        <v>173</v>
      </c>
      <c r="I14" s="30" t="s">
        <v>17</v>
      </c>
      <c r="J14" s="875" t="s">
        <v>174</v>
      </c>
      <c r="K14" s="30" t="s">
        <v>36</v>
      </c>
      <c r="L14" s="875" t="s">
        <v>403</v>
      </c>
      <c r="M14" s="30" t="s">
        <v>69</v>
      </c>
      <c r="N14" s="30" t="s">
        <v>70</v>
      </c>
      <c r="O14" s="875" t="s">
        <v>114</v>
      </c>
      <c r="P14" s="875" t="s">
        <v>402</v>
      </c>
      <c r="Q14" s="2300" t="s">
        <v>378</v>
      </c>
      <c r="R14" s="2301"/>
      <c r="S14" s="875" t="s">
        <v>401</v>
      </c>
      <c r="T14" s="2235" t="s">
        <v>46</v>
      </c>
      <c r="U14" s="869" t="s">
        <v>176</v>
      </c>
      <c r="V14" s="2260">
        <v>15215</v>
      </c>
      <c r="W14" s="2268"/>
      <c r="X14" s="2261"/>
    </row>
    <row r="15" spans="1:25" ht="22.5" customHeight="1" x14ac:dyDescent="0.25">
      <c r="A15" s="100" t="s">
        <v>38</v>
      </c>
      <c r="B15" s="2260">
        <v>280698</v>
      </c>
      <c r="C15" s="2261"/>
      <c r="D15" s="872">
        <v>502</v>
      </c>
      <c r="E15" s="872">
        <v>620</v>
      </c>
      <c r="F15" s="872">
        <v>0</v>
      </c>
      <c r="G15" s="872">
        <v>650</v>
      </c>
      <c r="H15" s="872">
        <v>478</v>
      </c>
      <c r="I15" s="872">
        <v>0</v>
      </c>
      <c r="J15" s="872">
        <v>1</v>
      </c>
      <c r="K15" s="872">
        <v>71</v>
      </c>
      <c r="L15" s="872">
        <v>0</v>
      </c>
      <c r="M15" s="872">
        <v>0</v>
      </c>
      <c r="N15" s="872">
        <v>100</v>
      </c>
      <c r="O15" s="872">
        <v>0</v>
      </c>
      <c r="P15" s="872">
        <v>15</v>
      </c>
      <c r="Q15" s="2260">
        <v>0</v>
      </c>
      <c r="R15" s="2261"/>
      <c r="S15" s="869">
        <v>81</v>
      </c>
      <c r="T15" s="2235"/>
      <c r="U15" s="869" t="s">
        <v>64</v>
      </c>
      <c r="V15" s="2262">
        <v>7520</v>
      </c>
      <c r="W15" s="2262"/>
      <c r="X15" s="2262"/>
    </row>
    <row r="16" spans="1:25" ht="24.75" customHeight="1" x14ac:dyDescent="0.25">
      <c r="A16" s="100" t="s">
        <v>39</v>
      </c>
      <c r="B16" s="2260">
        <v>672508</v>
      </c>
      <c r="C16" s="2261"/>
      <c r="D16" s="872"/>
      <c r="E16" s="872"/>
      <c r="F16" s="872"/>
      <c r="G16" s="872"/>
      <c r="H16" s="872"/>
      <c r="I16" s="872"/>
      <c r="J16" s="872"/>
      <c r="K16" s="872"/>
      <c r="L16" s="872"/>
      <c r="M16" s="872"/>
      <c r="N16" s="872"/>
      <c r="O16" s="872"/>
      <c r="P16" s="872"/>
      <c r="Q16" s="2225"/>
      <c r="R16" s="2225"/>
      <c r="S16" s="872"/>
      <c r="T16" s="2254" t="s">
        <v>55</v>
      </c>
      <c r="U16" s="2254"/>
      <c r="V16" s="2267">
        <f>Y12</f>
        <v>280362.98149999994</v>
      </c>
      <c r="W16" s="2267"/>
      <c r="X16" s="2262"/>
    </row>
    <row r="17" spans="1:25" ht="28.5" customHeight="1" x14ac:dyDescent="0.25">
      <c r="A17" s="101" t="s">
        <v>44</v>
      </c>
      <c r="B17" s="2260"/>
      <c r="C17" s="2261"/>
      <c r="D17" s="872"/>
      <c r="E17" s="872"/>
      <c r="F17" s="872"/>
      <c r="G17" s="872"/>
      <c r="H17" s="872"/>
      <c r="I17" s="872"/>
      <c r="J17" s="872"/>
      <c r="K17" s="872"/>
      <c r="L17" s="872"/>
      <c r="M17" s="872"/>
      <c r="N17" s="872"/>
      <c r="O17" s="872"/>
      <c r="P17" s="872"/>
      <c r="Q17" s="2225"/>
      <c r="R17" s="2225"/>
      <c r="S17" s="868"/>
      <c r="T17" s="2294" t="s">
        <v>362</v>
      </c>
      <c r="U17" s="2295"/>
      <c r="V17" s="2296">
        <v>100000</v>
      </c>
      <c r="W17" s="2296"/>
      <c r="X17" s="2296"/>
    </row>
    <row r="18" spans="1:25" ht="27" customHeight="1" x14ac:dyDescent="0.25">
      <c r="A18" s="100" t="s">
        <v>40</v>
      </c>
      <c r="B18" s="2264">
        <f>C12</f>
        <v>280163</v>
      </c>
      <c r="C18" s="2261"/>
      <c r="D18" s="874">
        <f>E12</f>
        <v>0</v>
      </c>
      <c r="E18" s="874">
        <f>G12</f>
        <v>50</v>
      </c>
      <c r="F18" s="874">
        <f>I12</f>
        <v>0</v>
      </c>
      <c r="G18" s="874">
        <f>K12</f>
        <v>230</v>
      </c>
      <c r="H18" s="872"/>
      <c r="I18" s="874">
        <f>U12</f>
        <v>0</v>
      </c>
      <c r="J18" s="872"/>
      <c r="K18" s="874">
        <f>W12</f>
        <v>0</v>
      </c>
      <c r="L18" s="872"/>
      <c r="M18" s="874">
        <f>M12</f>
        <v>0</v>
      </c>
      <c r="N18" s="874"/>
      <c r="O18" s="873">
        <f>Q12</f>
        <v>0</v>
      </c>
      <c r="P18" s="874"/>
      <c r="Q18" s="2262"/>
      <c r="R18" s="2262"/>
      <c r="S18" s="869"/>
      <c r="T18" s="2254" t="s">
        <v>57</v>
      </c>
      <c r="U18" s="2254"/>
      <c r="V18" s="2262">
        <v>770</v>
      </c>
      <c r="W18" s="2262"/>
      <c r="X18" s="2262"/>
      <c r="Y18" s="2269"/>
    </row>
    <row r="19" spans="1:25" ht="25.5" customHeight="1" x14ac:dyDescent="0.25">
      <c r="A19" s="100" t="s">
        <v>41</v>
      </c>
      <c r="B19" s="2260">
        <f>B15+B16+B17-B18</f>
        <v>673043</v>
      </c>
      <c r="C19" s="2261"/>
      <c r="D19" s="872">
        <f>D15+D16+D17-D18</f>
        <v>502</v>
      </c>
      <c r="E19" s="872">
        <f t="shared" ref="E19:N19" si="13">E15+E16+E17-E18</f>
        <v>570</v>
      </c>
      <c r="F19" s="872">
        <f t="shared" si="13"/>
        <v>0</v>
      </c>
      <c r="G19" s="872">
        <f t="shared" si="13"/>
        <v>420</v>
      </c>
      <c r="H19" s="872">
        <f t="shared" si="13"/>
        <v>478</v>
      </c>
      <c r="I19" s="872">
        <f t="shared" si="13"/>
        <v>0</v>
      </c>
      <c r="J19" s="872">
        <f t="shared" si="13"/>
        <v>1</v>
      </c>
      <c r="K19" s="872">
        <f t="shared" si="13"/>
        <v>71</v>
      </c>
      <c r="L19" s="872">
        <f t="shared" si="13"/>
        <v>0</v>
      </c>
      <c r="M19" s="872">
        <f t="shared" si="13"/>
        <v>0</v>
      </c>
      <c r="N19" s="872">
        <f t="shared" si="13"/>
        <v>100</v>
      </c>
      <c r="O19" s="872">
        <f>O15+O16+O17-O18</f>
        <v>0</v>
      </c>
      <c r="P19" s="872">
        <f>P15+P16+P17-P18</f>
        <v>15</v>
      </c>
      <c r="Q19" s="2260">
        <f t="shared" ref="Q19" si="14">Q15+Q16+Q17-Q18</f>
        <v>0</v>
      </c>
      <c r="R19" s="2261"/>
      <c r="S19" s="869">
        <f>S15+S16-S17-S18</f>
        <v>81</v>
      </c>
      <c r="T19" s="2256" t="s">
        <v>48</v>
      </c>
      <c r="U19" s="49" t="s">
        <v>58</v>
      </c>
      <c r="V19" s="2262">
        <v>134320</v>
      </c>
      <c r="W19" s="2262"/>
      <c r="X19" s="2262"/>
      <c r="Y19" s="2269"/>
    </row>
    <row r="20" spans="1:25" ht="23.25" customHeight="1" x14ac:dyDescent="0.25">
      <c r="A20" s="289" t="s">
        <v>187</v>
      </c>
      <c r="B20" s="2286">
        <f>B19*0.9625</f>
        <v>647803.88750000007</v>
      </c>
      <c r="C20" s="2287"/>
      <c r="D20" s="290">
        <f>D19*66.41</f>
        <v>33337.82</v>
      </c>
      <c r="E20" s="290">
        <f>27.9368*E19</f>
        <v>15923.976000000001</v>
      </c>
      <c r="F20" s="290">
        <f>18.31*F19</f>
        <v>0</v>
      </c>
      <c r="G20" s="290">
        <f>27.9368*G19</f>
        <v>11733.456</v>
      </c>
      <c r="H20" s="290">
        <f>241*H19</f>
        <v>115198</v>
      </c>
      <c r="I20" s="290">
        <f>323*I19</f>
        <v>0</v>
      </c>
      <c r="J20" s="290">
        <f>241*J19</f>
        <v>241</v>
      </c>
      <c r="K20" s="290">
        <f>K19*100</f>
        <v>7100</v>
      </c>
      <c r="L20" s="290">
        <f>241*L19</f>
        <v>0</v>
      </c>
      <c r="M20" s="290">
        <f>9.65*M19</f>
        <v>0</v>
      </c>
      <c r="N20" s="290">
        <f>N19*48.2</f>
        <v>4820</v>
      </c>
      <c r="O20" s="290">
        <f>241*O19</f>
        <v>0</v>
      </c>
      <c r="P20" s="290">
        <f>241*P19</f>
        <v>3615</v>
      </c>
      <c r="Q20" s="2286">
        <f>341*Q19</f>
        <v>0</v>
      </c>
      <c r="R20" s="2287"/>
      <c r="S20" s="290">
        <f>241*S19</f>
        <v>19521</v>
      </c>
      <c r="T20" s="2257"/>
      <c r="U20" s="49" t="s">
        <v>59</v>
      </c>
      <c r="V20" s="2262">
        <v>247290</v>
      </c>
      <c r="W20" s="2262"/>
      <c r="X20" s="2262"/>
      <c r="Y20" s="2269"/>
    </row>
    <row r="21" spans="1:25" ht="32.25" customHeight="1" x14ac:dyDescent="0.25">
      <c r="A21" s="291" t="s">
        <v>186</v>
      </c>
      <c r="B21" s="2293">
        <f>SUM(B20:S20)</f>
        <v>859294.13950000005</v>
      </c>
      <c r="C21" s="2293"/>
      <c r="O21" s="876"/>
      <c r="P21" s="876"/>
      <c r="Q21" s="876"/>
      <c r="R21" s="876"/>
      <c r="T21" s="2294" t="s">
        <v>366</v>
      </c>
      <c r="U21" s="2295"/>
      <c r="V21" s="2297"/>
      <c r="W21" s="2298"/>
      <c r="X21" s="2299"/>
      <c r="Y21" s="2269"/>
    </row>
    <row r="22" spans="1:25" ht="35.25" customHeight="1" x14ac:dyDescent="0.25">
      <c r="A22" s="15"/>
      <c r="B22" s="2288" t="s">
        <v>49</v>
      </c>
      <c r="C22" s="2291">
        <v>134320</v>
      </c>
      <c r="D22" s="2291">
        <v>134320</v>
      </c>
      <c r="E22" s="2291">
        <v>400000</v>
      </c>
      <c r="F22" s="2291">
        <f>C22-D22+E22</f>
        <v>400000</v>
      </c>
      <c r="G22" s="876"/>
      <c r="Q22" s="876"/>
      <c r="R22" s="876"/>
      <c r="T22" s="2251" t="s">
        <v>83</v>
      </c>
      <c r="U22" s="50" t="s">
        <v>60</v>
      </c>
      <c r="V22" s="2262">
        <v>381610</v>
      </c>
      <c r="W22" s="2262"/>
      <c r="X22" s="2262"/>
      <c r="Y22" s="2269"/>
    </row>
    <row r="23" spans="1:25" ht="39.75" customHeight="1" x14ac:dyDescent="0.25">
      <c r="A23" s="876"/>
      <c r="B23" s="2289"/>
      <c r="C23" s="2292"/>
      <c r="D23" s="2292"/>
      <c r="E23" s="2292"/>
      <c r="F23" s="2292"/>
      <c r="G23" s="876"/>
      <c r="Q23" s="876"/>
      <c r="R23" s="876"/>
      <c r="T23" s="2252"/>
      <c r="U23" s="50" t="s">
        <v>61</v>
      </c>
      <c r="V23" s="2262">
        <v>381610</v>
      </c>
      <c r="W23" s="2262"/>
      <c r="X23" s="2262"/>
      <c r="Y23" s="2269"/>
    </row>
    <row r="24" spans="1:25" ht="48" customHeight="1" x14ac:dyDescent="0.25">
      <c r="A24" s="876"/>
      <c r="B24" s="2290"/>
      <c r="C24" s="290" t="s">
        <v>46</v>
      </c>
      <c r="D24" s="290" t="s">
        <v>50</v>
      </c>
      <c r="E24" s="290" t="s">
        <v>51</v>
      </c>
      <c r="F24" s="290" t="s">
        <v>52</v>
      </c>
      <c r="G24" s="876"/>
      <c r="Q24" s="876"/>
      <c r="R24" s="876"/>
      <c r="T24" s="2235" t="s">
        <v>47</v>
      </c>
      <c r="U24" s="51" t="s">
        <v>62</v>
      </c>
      <c r="V24" s="2263">
        <f>V14+V16+V17-V18-V19-V20-V22+V23-V21</f>
        <v>13197.981499999936</v>
      </c>
      <c r="W24" s="2263"/>
      <c r="X24" s="2263"/>
      <c r="Y24" s="2269"/>
    </row>
    <row r="25" spans="1:25" ht="40.5" customHeight="1" x14ac:dyDescent="0.25">
      <c r="T25" s="2235"/>
      <c r="U25" s="51" t="s">
        <v>63</v>
      </c>
      <c r="V25" s="2262">
        <f>V15+V22-V23</f>
        <v>7520</v>
      </c>
      <c r="W25" s="2262"/>
      <c r="X25" s="2262"/>
    </row>
    <row r="26" spans="1:25" ht="36" customHeight="1" x14ac:dyDescent="0.25">
      <c r="K26" s="314"/>
    </row>
    <row r="28" spans="1:25" x14ac:dyDescent="0.25">
      <c r="J28" s="14" t="s">
        <v>139</v>
      </c>
    </row>
    <row r="32" spans="1:25" x14ac:dyDescent="0.25">
      <c r="I32" s="2280"/>
      <c r="J32" s="2280"/>
      <c r="K32" s="2280"/>
      <c r="L32" s="2280"/>
    </row>
    <row r="33" spans="9:12" x14ac:dyDescent="0.25">
      <c r="I33" s="876"/>
      <c r="J33" s="876"/>
      <c r="K33" s="2280"/>
      <c r="L33" s="2280"/>
    </row>
  </sheetData>
  <mergeCells count="62">
    <mergeCell ref="A1:Y1"/>
    <mergeCell ref="A2:Y2"/>
    <mergeCell ref="T3:Y3"/>
    <mergeCell ref="A4:A5"/>
    <mergeCell ref="B4:B5"/>
    <mergeCell ref="C4:D4"/>
    <mergeCell ref="E4:F4"/>
    <mergeCell ref="G4:H4"/>
    <mergeCell ref="I4:J4"/>
    <mergeCell ref="K4:L4"/>
    <mergeCell ref="Y4:Y5"/>
    <mergeCell ref="M4:N4"/>
    <mergeCell ref="O4:P4"/>
    <mergeCell ref="Q4:R4"/>
    <mergeCell ref="S4:T4"/>
    <mergeCell ref="U4:V4"/>
    <mergeCell ref="W4:X4"/>
    <mergeCell ref="B16:C16"/>
    <mergeCell ref="Q16:R16"/>
    <mergeCell ref="T16:U16"/>
    <mergeCell ref="V16:X16"/>
    <mergeCell ref="A12:B12"/>
    <mergeCell ref="B14:C14"/>
    <mergeCell ref="Q14:R14"/>
    <mergeCell ref="T14:T15"/>
    <mergeCell ref="V14:X14"/>
    <mergeCell ref="B15:C15"/>
    <mergeCell ref="Q15:R15"/>
    <mergeCell ref="V15:X15"/>
    <mergeCell ref="B17:C17"/>
    <mergeCell ref="Q17:R17"/>
    <mergeCell ref="T17:U17"/>
    <mergeCell ref="V17:X17"/>
    <mergeCell ref="B18:C18"/>
    <mergeCell ref="Q18:R18"/>
    <mergeCell ref="T18:U18"/>
    <mergeCell ref="V18:X18"/>
    <mergeCell ref="Y18:Y24"/>
    <mergeCell ref="B19:C19"/>
    <mergeCell ref="Q19:R19"/>
    <mergeCell ref="T19:T20"/>
    <mergeCell ref="V19:X19"/>
    <mergeCell ref="B20:C20"/>
    <mergeCell ref="B22:B24"/>
    <mergeCell ref="C22:C23"/>
    <mergeCell ref="D22:D23"/>
    <mergeCell ref="E22:E23"/>
    <mergeCell ref="F22:F23"/>
    <mergeCell ref="Q20:R20"/>
    <mergeCell ref="V20:X20"/>
    <mergeCell ref="B21:C21"/>
    <mergeCell ref="T21:U21"/>
    <mergeCell ref="V21:X21"/>
    <mergeCell ref="I32:J32"/>
    <mergeCell ref="K32:L32"/>
    <mergeCell ref="K33:L33"/>
    <mergeCell ref="T22:T23"/>
    <mergeCell ref="V22:X22"/>
    <mergeCell ref="V23:X23"/>
    <mergeCell ref="T24:T25"/>
    <mergeCell ref="V24:X24"/>
    <mergeCell ref="V25:X25"/>
  </mergeCells>
  <pageMargins left="0.15748031496063" right="0.15748031496063" top="0" bottom="0" header="0" footer="0"/>
  <pageSetup paperSize="9" scale="45" orientation="landscape" r:id="rId1"/>
</worksheet>
</file>

<file path=xl/worksheets/sheet18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35DD030-17AB-4DA9-BC7D-E55E5038E6C6}">
  <sheetPr>
    <pageSetUpPr fitToPage="1"/>
  </sheetPr>
  <dimension ref="A1:Y33"/>
  <sheetViews>
    <sheetView topLeftCell="A13" zoomScale="70" zoomScaleNormal="70" zoomScaleSheetLayoutView="100" workbookViewId="0">
      <selection activeCell="I22" sqref="I22"/>
    </sheetView>
  </sheetViews>
  <sheetFormatPr defaultColWidth="9.140625" defaultRowHeight="15" x14ac:dyDescent="0.25"/>
  <cols>
    <col min="1" max="1" width="18.28515625" style="14" customWidth="1"/>
    <col min="2" max="2" width="10.7109375" style="14" customWidth="1"/>
    <col min="3" max="3" width="12.28515625" style="14" customWidth="1"/>
    <col min="4" max="4" width="13.140625" style="14" bestFit="1" customWidth="1"/>
    <col min="5" max="5" width="12" style="14" customWidth="1"/>
    <col min="6" max="6" width="12.5703125" style="14" bestFit="1" customWidth="1"/>
    <col min="7" max="7" width="16" style="14" bestFit="1" customWidth="1"/>
    <col min="8" max="8" width="10.140625" style="14" bestFit="1" customWidth="1"/>
    <col min="9" max="9" width="10.5703125" style="14" bestFit="1" customWidth="1"/>
    <col min="10" max="10" width="10.5703125" style="14" customWidth="1"/>
    <col min="11" max="11" width="10.28515625" style="14" bestFit="1" customWidth="1"/>
    <col min="12" max="12" width="10.42578125" style="14" bestFit="1" customWidth="1"/>
    <col min="13" max="13" width="9.85546875" style="14" bestFit="1" customWidth="1"/>
    <col min="14" max="14" width="10.140625" style="14" bestFit="1" customWidth="1"/>
    <col min="15" max="15" width="9" style="14" customWidth="1"/>
    <col min="16" max="16" width="12.85546875" style="14" bestFit="1" customWidth="1"/>
    <col min="17" max="18" width="9.42578125" style="14" customWidth="1"/>
    <col min="19" max="19" width="13.7109375" style="14" customWidth="1"/>
    <col min="20" max="20" width="12.140625" style="14" customWidth="1"/>
    <col min="21" max="21" width="21.7109375" style="14" customWidth="1"/>
    <col min="22" max="22" width="9.85546875" style="14" customWidth="1"/>
    <col min="23" max="23" width="10.140625" style="14" bestFit="1" customWidth="1"/>
    <col min="24" max="24" width="10.28515625" style="14" customWidth="1"/>
    <col min="25" max="25" width="28" style="14" customWidth="1"/>
    <col min="26" max="16384" width="9.140625" style="14"/>
  </cols>
  <sheetData>
    <row r="1" spans="1:25" ht="46.15" customHeight="1" x14ac:dyDescent="0.25">
      <c r="A1" s="2240" t="s">
        <v>148</v>
      </c>
      <c r="B1" s="2240"/>
      <c r="C1" s="2240"/>
      <c r="D1" s="2240"/>
      <c r="E1" s="2240"/>
      <c r="F1" s="2240"/>
      <c r="G1" s="2240"/>
      <c r="H1" s="2240"/>
      <c r="I1" s="2240"/>
      <c r="J1" s="2240"/>
      <c r="K1" s="2240"/>
      <c r="L1" s="2240"/>
      <c r="M1" s="2240"/>
      <c r="N1" s="2240"/>
      <c r="O1" s="2240"/>
      <c r="P1" s="2240"/>
      <c r="Q1" s="2240"/>
      <c r="R1" s="2240"/>
      <c r="S1" s="2240"/>
      <c r="T1" s="2240"/>
      <c r="U1" s="2240"/>
      <c r="V1" s="2240"/>
      <c r="W1" s="2240"/>
      <c r="X1" s="2240"/>
      <c r="Y1" s="2240"/>
    </row>
    <row r="2" spans="1:25" ht="21.6" customHeight="1" x14ac:dyDescent="0.25">
      <c r="A2" s="2241" t="s">
        <v>383</v>
      </c>
      <c r="B2" s="2241"/>
      <c r="C2" s="2241"/>
      <c r="D2" s="2241"/>
      <c r="E2" s="2241"/>
      <c r="F2" s="2241"/>
      <c r="G2" s="2241"/>
      <c r="H2" s="2241"/>
      <c r="I2" s="2241"/>
      <c r="J2" s="2241"/>
      <c r="K2" s="2241"/>
      <c r="L2" s="2241"/>
      <c r="M2" s="2241"/>
      <c r="N2" s="2241"/>
      <c r="O2" s="2241"/>
      <c r="P2" s="2241"/>
      <c r="Q2" s="2241"/>
      <c r="R2" s="2241"/>
      <c r="S2" s="2241"/>
      <c r="T2" s="2241"/>
      <c r="U2" s="2241"/>
      <c r="V2" s="2241"/>
      <c r="W2" s="2241"/>
      <c r="X2" s="2241"/>
      <c r="Y2" s="2241"/>
    </row>
    <row r="3" spans="1:25" ht="21" customHeight="1" x14ac:dyDescent="0.25">
      <c r="A3" s="882"/>
      <c r="B3" s="882"/>
      <c r="C3" s="882"/>
      <c r="D3" s="882"/>
      <c r="E3" s="882"/>
      <c r="F3" s="882"/>
      <c r="G3" s="882"/>
      <c r="H3" s="882"/>
      <c r="I3" s="882"/>
      <c r="J3" s="882"/>
      <c r="K3" s="882"/>
      <c r="L3" s="882"/>
      <c r="M3" s="882"/>
      <c r="N3" s="882"/>
      <c r="O3" s="882"/>
      <c r="P3" s="882"/>
      <c r="Q3" s="882"/>
      <c r="R3" s="882"/>
      <c r="S3" s="882"/>
      <c r="T3" s="2242" t="s">
        <v>412</v>
      </c>
      <c r="U3" s="2242"/>
      <c r="V3" s="2242"/>
      <c r="W3" s="2242"/>
      <c r="X3" s="2242"/>
      <c r="Y3" s="2242"/>
    </row>
    <row r="4" spans="1:25" s="882" customFormat="1" ht="18" customHeight="1" x14ac:dyDescent="0.25">
      <c r="A4" s="2243" t="s">
        <v>25</v>
      </c>
      <c r="B4" s="2243" t="s">
        <v>26</v>
      </c>
      <c r="C4" s="2244" t="s">
        <v>27</v>
      </c>
      <c r="D4" s="2244"/>
      <c r="E4" s="2244" t="s">
        <v>342</v>
      </c>
      <c r="F4" s="2244"/>
      <c r="G4" s="2244" t="s">
        <v>65</v>
      </c>
      <c r="H4" s="2244"/>
      <c r="I4" s="2244" t="s">
        <v>29</v>
      </c>
      <c r="J4" s="2244"/>
      <c r="K4" s="2245" t="s">
        <v>14</v>
      </c>
      <c r="L4" s="2246"/>
      <c r="M4" s="2245" t="s">
        <v>67</v>
      </c>
      <c r="N4" s="2246"/>
      <c r="O4" s="2245" t="s">
        <v>68</v>
      </c>
      <c r="P4" s="2246"/>
      <c r="Q4" s="2245" t="s">
        <v>114</v>
      </c>
      <c r="R4" s="2246"/>
      <c r="S4" s="2244" t="s">
        <v>35</v>
      </c>
      <c r="T4" s="2244"/>
      <c r="U4" s="2245" t="s">
        <v>17</v>
      </c>
      <c r="V4" s="2246"/>
      <c r="W4" s="2247" t="s">
        <v>36</v>
      </c>
      <c r="X4" s="2248"/>
      <c r="Y4" s="2238" t="s">
        <v>30</v>
      </c>
    </row>
    <row r="5" spans="1:25" s="882" customFormat="1" ht="25.5" customHeight="1" x14ac:dyDescent="0.25">
      <c r="A5" s="2243"/>
      <c r="B5" s="2243"/>
      <c r="C5" s="881" t="s">
        <v>42</v>
      </c>
      <c r="D5" s="881" t="s">
        <v>43</v>
      </c>
      <c r="E5" s="881" t="s">
        <v>42</v>
      </c>
      <c r="F5" s="881" t="s">
        <v>43</v>
      </c>
      <c r="G5" s="881" t="s">
        <v>42</v>
      </c>
      <c r="H5" s="881" t="s">
        <v>43</v>
      </c>
      <c r="I5" s="881" t="s">
        <v>42</v>
      </c>
      <c r="J5" s="881" t="s">
        <v>43</v>
      </c>
      <c r="K5" s="881" t="s">
        <v>42</v>
      </c>
      <c r="L5" s="881" t="s">
        <v>43</v>
      </c>
      <c r="M5" s="881" t="s">
        <v>42</v>
      </c>
      <c r="N5" s="881" t="s">
        <v>43</v>
      </c>
      <c r="O5" s="881" t="s">
        <v>42</v>
      </c>
      <c r="P5" s="881" t="s">
        <v>43</v>
      </c>
      <c r="Q5" s="881" t="s">
        <v>42</v>
      </c>
      <c r="R5" s="881" t="s">
        <v>43</v>
      </c>
      <c r="S5" s="33" t="s">
        <v>42</v>
      </c>
      <c r="T5" s="33" t="s">
        <v>43</v>
      </c>
      <c r="U5" s="30" t="s">
        <v>42</v>
      </c>
      <c r="V5" s="30" t="s">
        <v>43</v>
      </c>
      <c r="W5" s="30" t="s">
        <v>42</v>
      </c>
      <c r="X5" s="30" t="s">
        <v>43</v>
      </c>
      <c r="Y5" s="2239"/>
    </row>
    <row r="6" spans="1:25" ht="34.5" customHeight="1" x14ac:dyDescent="0.25">
      <c r="A6" s="12">
        <v>1409935200</v>
      </c>
      <c r="B6" s="880" t="s">
        <v>71</v>
      </c>
      <c r="C6" s="878">
        <v>60353</v>
      </c>
      <c r="D6" s="877">
        <f>0.9725*C6</f>
        <v>58693.292500000003</v>
      </c>
      <c r="E6" s="878"/>
      <c r="F6" s="878">
        <f>67.1*E6</f>
        <v>0</v>
      </c>
      <c r="G6" s="878">
        <v>70</v>
      </c>
      <c r="H6" s="878">
        <f>28.2*G6</f>
        <v>1974</v>
      </c>
      <c r="I6" s="878">
        <v>1000</v>
      </c>
      <c r="J6" s="878">
        <f>18.5*I6</f>
        <v>18500</v>
      </c>
      <c r="K6" s="878">
        <v>320</v>
      </c>
      <c r="L6" s="878">
        <f>28.2368*K6</f>
        <v>9035.7759999999998</v>
      </c>
      <c r="M6" s="878"/>
      <c r="N6" s="877">
        <f>M6*9.75</f>
        <v>0</v>
      </c>
      <c r="O6" s="878"/>
      <c r="P6" s="877">
        <f>O6*48.7</f>
        <v>0</v>
      </c>
      <c r="Q6" s="877"/>
      <c r="R6" s="877">
        <f>241*Q6</f>
        <v>0</v>
      </c>
      <c r="S6" s="878"/>
      <c r="T6" s="878">
        <f>241*S6</f>
        <v>0</v>
      </c>
      <c r="U6" s="878"/>
      <c r="V6" s="878">
        <f>332*U6</f>
        <v>0</v>
      </c>
      <c r="W6" s="878"/>
      <c r="X6" s="19">
        <f>W6*100</f>
        <v>0</v>
      </c>
      <c r="Y6" s="20">
        <f t="shared" ref="Y6:Y12" si="0">D6+F6+H6+J6+L6+N6+P6+R6+T6+V6+X6</f>
        <v>88203.068500000008</v>
      </c>
    </row>
    <row r="7" spans="1:25" ht="31.5" customHeight="1" x14ac:dyDescent="0.25">
      <c r="A7" s="12">
        <v>1984225578</v>
      </c>
      <c r="B7" s="880" t="s">
        <v>72</v>
      </c>
      <c r="C7" s="878">
        <v>31245</v>
      </c>
      <c r="D7" s="877">
        <f t="shared" ref="D7:D11" si="1">0.9725*C7</f>
        <v>30385.762500000001</v>
      </c>
      <c r="E7" s="878"/>
      <c r="F7" s="878">
        <f t="shared" ref="F7:F11" si="2">67.1*E7</f>
        <v>0</v>
      </c>
      <c r="G7" s="878"/>
      <c r="H7" s="878">
        <f t="shared" ref="H7:H11" si="3">28.2*G7</f>
        <v>0</v>
      </c>
      <c r="I7" s="878">
        <v>1860</v>
      </c>
      <c r="J7" s="878">
        <f t="shared" ref="J7:J11" si="4">18.5*I7</f>
        <v>34410</v>
      </c>
      <c r="K7" s="878">
        <v>500</v>
      </c>
      <c r="L7" s="878">
        <f t="shared" ref="L7:L11" si="5">28.2368*K7</f>
        <v>14118.4</v>
      </c>
      <c r="M7" s="878"/>
      <c r="N7" s="877">
        <f t="shared" ref="N7:N11" si="6">M7*9.75</f>
        <v>0</v>
      </c>
      <c r="O7" s="878"/>
      <c r="P7" s="877">
        <f t="shared" ref="P7:P11" si="7">O7*48.7</f>
        <v>0</v>
      </c>
      <c r="Q7" s="877"/>
      <c r="R7" s="877">
        <f t="shared" ref="R7:R11" si="8">241*Q7</f>
        <v>0</v>
      </c>
      <c r="S7" s="878"/>
      <c r="T7" s="878">
        <f t="shared" ref="T7:T10" si="9">241*S7</f>
        <v>0</v>
      </c>
      <c r="U7" s="878">
        <v>30</v>
      </c>
      <c r="V7" s="878">
        <f t="shared" ref="V7:V11" si="10">332*U7</f>
        <v>9960</v>
      </c>
      <c r="W7" s="878"/>
      <c r="X7" s="19">
        <f t="shared" ref="X7:X11" si="11">W7*100</f>
        <v>0</v>
      </c>
      <c r="Y7" s="20">
        <f t="shared" si="0"/>
        <v>88874.162499999991</v>
      </c>
    </row>
    <row r="8" spans="1:25" ht="35.25" customHeight="1" x14ac:dyDescent="0.25">
      <c r="A8" s="12">
        <v>1967020280</v>
      </c>
      <c r="B8" s="880" t="s">
        <v>73</v>
      </c>
      <c r="C8" s="878">
        <v>67788</v>
      </c>
      <c r="D8" s="877">
        <f t="shared" si="1"/>
        <v>65923.83</v>
      </c>
      <c r="E8" s="878"/>
      <c r="F8" s="878">
        <f t="shared" si="2"/>
        <v>0</v>
      </c>
      <c r="G8" s="878"/>
      <c r="H8" s="878">
        <f t="shared" si="3"/>
        <v>0</v>
      </c>
      <c r="I8" s="878"/>
      <c r="J8" s="878">
        <f t="shared" si="4"/>
        <v>0</v>
      </c>
      <c r="K8" s="878"/>
      <c r="L8" s="878">
        <f t="shared" si="5"/>
        <v>0</v>
      </c>
      <c r="M8" s="878"/>
      <c r="N8" s="877">
        <f t="shared" si="6"/>
        <v>0</v>
      </c>
      <c r="O8" s="878"/>
      <c r="P8" s="877">
        <f t="shared" si="7"/>
        <v>0</v>
      </c>
      <c r="Q8" s="877"/>
      <c r="R8" s="877">
        <f t="shared" si="8"/>
        <v>0</v>
      </c>
      <c r="S8" s="878"/>
      <c r="T8" s="878">
        <f t="shared" si="9"/>
        <v>0</v>
      </c>
      <c r="U8" s="878"/>
      <c r="V8" s="878">
        <f t="shared" si="10"/>
        <v>0</v>
      </c>
      <c r="W8" s="878"/>
      <c r="X8" s="19">
        <f t="shared" si="11"/>
        <v>0</v>
      </c>
      <c r="Y8" s="20">
        <f t="shared" si="0"/>
        <v>65923.83</v>
      </c>
    </row>
    <row r="9" spans="1:25" ht="38.25" customHeight="1" x14ac:dyDescent="0.25">
      <c r="A9" s="12">
        <v>1984225580</v>
      </c>
      <c r="B9" s="880" t="s">
        <v>75</v>
      </c>
      <c r="C9" s="878">
        <v>34358</v>
      </c>
      <c r="D9" s="877">
        <f t="shared" si="1"/>
        <v>33413.154999999999</v>
      </c>
      <c r="E9" s="878"/>
      <c r="F9" s="878">
        <f t="shared" si="2"/>
        <v>0</v>
      </c>
      <c r="G9" s="878"/>
      <c r="H9" s="878">
        <f t="shared" si="3"/>
        <v>0</v>
      </c>
      <c r="I9" s="878">
        <v>2850</v>
      </c>
      <c r="J9" s="878">
        <f t="shared" si="4"/>
        <v>52725</v>
      </c>
      <c r="K9" s="878"/>
      <c r="L9" s="878">
        <f t="shared" si="5"/>
        <v>0</v>
      </c>
      <c r="M9" s="878"/>
      <c r="N9" s="877">
        <f t="shared" si="6"/>
        <v>0</v>
      </c>
      <c r="O9" s="878"/>
      <c r="P9" s="877">
        <f t="shared" si="7"/>
        <v>0</v>
      </c>
      <c r="Q9" s="877"/>
      <c r="R9" s="877">
        <f t="shared" si="8"/>
        <v>0</v>
      </c>
      <c r="S9" s="878"/>
      <c r="T9" s="878">
        <f t="shared" si="9"/>
        <v>0</v>
      </c>
      <c r="U9" s="878">
        <v>10</v>
      </c>
      <c r="V9" s="878">
        <f t="shared" si="10"/>
        <v>3320</v>
      </c>
      <c r="W9" s="878"/>
      <c r="X9" s="19">
        <f t="shared" si="11"/>
        <v>0</v>
      </c>
      <c r="Y9" s="20">
        <f t="shared" si="0"/>
        <v>89458.154999999999</v>
      </c>
    </row>
    <row r="10" spans="1:25" ht="35.25" customHeight="1" x14ac:dyDescent="0.25">
      <c r="A10" s="12">
        <v>1409935199</v>
      </c>
      <c r="C10" s="878">
        <v>5654</v>
      </c>
      <c r="D10" s="877">
        <f t="shared" si="1"/>
        <v>5498.5150000000003</v>
      </c>
      <c r="E10" s="878"/>
      <c r="F10" s="878">
        <f t="shared" si="2"/>
        <v>0</v>
      </c>
      <c r="G10" s="878"/>
      <c r="H10" s="878">
        <f t="shared" si="3"/>
        <v>0</v>
      </c>
      <c r="I10" s="878"/>
      <c r="J10" s="878">
        <f t="shared" si="4"/>
        <v>0</v>
      </c>
      <c r="K10" s="878"/>
      <c r="L10" s="878">
        <f t="shared" si="5"/>
        <v>0</v>
      </c>
      <c r="M10" s="878"/>
      <c r="N10" s="877">
        <f t="shared" si="6"/>
        <v>0</v>
      </c>
      <c r="O10" s="878"/>
      <c r="P10" s="877">
        <f t="shared" si="7"/>
        <v>0</v>
      </c>
      <c r="Q10" s="877"/>
      <c r="R10" s="877">
        <f t="shared" si="8"/>
        <v>0</v>
      </c>
      <c r="S10" s="878"/>
      <c r="T10" s="878">
        <f t="shared" si="9"/>
        <v>0</v>
      </c>
      <c r="U10" s="878"/>
      <c r="V10" s="878">
        <f t="shared" si="10"/>
        <v>0</v>
      </c>
      <c r="W10" s="878"/>
      <c r="X10" s="19">
        <f t="shared" si="11"/>
        <v>0</v>
      </c>
      <c r="Y10" s="20">
        <f t="shared" si="0"/>
        <v>5498.5150000000003</v>
      </c>
    </row>
    <row r="11" spans="1:25" ht="37.5" customHeight="1" x14ac:dyDescent="0.25">
      <c r="A11" s="12"/>
      <c r="B11" s="879"/>
      <c r="C11" s="878"/>
      <c r="D11" s="22">
        <f t="shared" si="1"/>
        <v>0</v>
      </c>
      <c r="E11" s="878"/>
      <c r="F11" s="878">
        <f t="shared" si="2"/>
        <v>0</v>
      </c>
      <c r="G11" s="878"/>
      <c r="H11" s="878">
        <f t="shared" si="3"/>
        <v>0</v>
      </c>
      <c r="I11" s="878"/>
      <c r="J11" s="878">
        <f t="shared" si="4"/>
        <v>0</v>
      </c>
      <c r="K11" s="878"/>
      <c r="L11" s="878">
        <f t="shared" si="5"/>
        <v>0</v>
      </c>
      <c r="M11" s="878"/>
      <c r="N11" s="877">
        <f t="shared" si="6"/>
        <v>0</v>
      </c>
      <c r="O11" s="878"/>
      <c r="P11" s="877">
        <f t="shared" si="7"/>
        <v>0</v>
      </c>
      <c r="Q11" s="877"/>
      <c r="R11" s="877">
        <f t="shared" si="8"/>
        <v>0</v>
      </c>
      <c r="S11" s="878"/>
      <c r="T11" s="878">
        <f>341*S11</f>
        <v>0</v>
      </c>
      <c r="U11" s="878"/>
      <c r="V11" s="878">
        <f t="shared" si="10"/>
        <v>0</v>
      </c>
      <c r="W11" s="878"/>
      <c r="X11" s="19">
        <f t="shared" si="11"/>
        <v>0</v>
      </c>
      <c r="Y11" s="20">
        <f t="shared" si="0"/>
        <v>0</v>
      </c>
    </row>
    <row r="12" spans="1:25" ht="29.25" customHeight="1" x14ac:dyDescent="0.25">
      <c r="A12" s="2235" t="s">
        <v>31</v>
      </c>
      <c r="B12" s="2235"/>
      <c r="C12" s="18">
        <f t="shared" ref="C12:X12" si="12">SUM(C6:C11)</f>
        <v>199398</v>
      </c>
      <c r="D12" s="18">
        <f t="shared" si="12"/>
        <v>193914.55500000002</v>
      </c>
      <c r="E12" s="18">
        <f t="shared" si="12"/>
        <v>0</v>
      </c>
      <c r="F12" s="18">
        <f t="shared" si="12"/>
        <v>0</v>
      </c>
      <c r="G12" s="18">
        <f t="shared" si="12"/>
        <v>70</v>
      </c>
      <c r="H12" s="18">
        <f t="shared" si="12"/>
        <v>1974</v>
      </c>
      <c r="I12" s="18">
        <f t="shared" si="12"/>
        <v>5710</v>
      </c>
      <c r="J12" s="18">
        <f t="shared" si="12"/>
        <v>105635</v>
      </c>
      <c r="K12" s="18">
        <f t="shared" si="12"/>
        <v>820</v>
      </c>
      <c r="L12" s="18">
        <f t="shared" si="12"/>
        <v>23154.175999999999</v>
      </c>
      <c r="M12" s="18">
        <f t="shared" si="12"/>
        <v>0</v>
      </c>
      <c r="N12" s="23">
        <f t="shared" si="12"/>
        <v>0</v>
      </c>
      <c r="O12" s="18">
        <f t="shared" si="12"/>
        <v>0</v>
      </c>
      <c r="P12" s="23">
        <f t="shared" si="12"/>
        <v>0</v>
      </c>
      <c r="Q12" s="23">
        <f t="shared" si="12"/>
        <v>0</v>
      </c>
      <c r="R12" s="23">
        <f>SUM(R6:R11)</f>
        <v>0</v>
      </c>
      <c r="S12" s="23">
        <f>SUM(S6:S11)</f>
        <v>0</v>
      </c>
      <c r="T12" s="18">
        <f t="shared" si="12"/>
        <v>0</v>
      </c>
      <c r="U12" s="18">
        <f t="shared" si="12"/>
        <v>40</v>
      </c>
      <c r="V12" s="18">
        <f t="shared" si="12"/>
        <v>13280</v>
      </c>
      <c r="W12" s="18">
        <f t="shared" si="12"/>
        <v>0</v>
      </c>
      <c r="X12" s="18">
        <f t="shared" si="12"/>
        <v>0</v>
      </c>
      <c r="Y12" s="20">
        <f t="shared" si="0"/>
        <v>337957.73100000003</v>
      </c>
    </row>
    <row r="14" spans="1:25" ht="43.5" customHeight="1" x14ac:dyDescent="0.25">
      <c r="A14" s="30" t="s">
        <v>32</v>
      </c>
      <c r="B14" s="2236" t="s">
        <v>27</v>
      </c>
      <c r="C14" s="2236"/>
      <c r="D14" s="30" t="s">
        <v>333</v>
      </c>
      <c r="E14" s="30" t="s">
        <v>65</v>
      </c>
      <c r="F14" s="30" t="s">
        <v>34</v>
      </c>
      <c r="G14" s="30" t="s">
        <v>14</v>
      </c>
      <c r="H14" s="469" t="s">
        <v>173</v>
      </c>
      <c r="I14" s="30" t="s">
        <v>17</v>
      </c>
      <c r="J14" s="886" t="s">
        <v>174</v>
      </c>
      <c r="K14" s="30" t="s">
        <v>36</v>
      </c>
      <c r="L14" s="886" t="s">
        <v>403</v>
      </c>
      <c r="M14" s="30" t="s">
        <v>69</v>
      </c>
      <c r="N14" s="30" t="s">
        <v>70</v>
      </c>
      <c r="O14" s="886" t="s">
        <v>114</v>
      </c>
      <c r="P14" s="886" t="s">
        <v>402</v>
      </c>
      <c r="Q14" s="2300" t="s">
        <v>378</v>
      </c>
      <c r="R14" s="2301"/>
      <c r="S14" s="886" t="s">
        <v>401</v>
      </c>
      <c r="T14" s="2235" t="s">
        <v>46</v>
      </c>
      <c r="U14" s="880" t="s">
        <v>176</v>
      </c>
      <c r="V14" s="2260">
        <v>13198</v>
      </c>
      <c r="W14" s="2268"/>
      <c r="X14" s="2261"/>
    </row>
    <row r="15" spans="1:25" ht="22.5" customHeight="1" x14ac:dyDescent="0.25">
      <c r="A15" s="100" t="s">
        <v>38</v>
      </c>
      <c r="B15" s="2260">
        <v>673043</v>
      </c>
      <c r="C15" s="2261"/>
      <c r="D15" s="883">
        <v>502</v>
      </c>
      <c r="E15" s="883">
        <v>570</v>
      </c>
      <c r="F15" s="883">
        <v>0</v>
      </c>
      <c r="G15" s="883">
        <v>420</v>
      </c>
      <c r="H15" s="883">
        <v>478</v>
      </c>
      <c r="I15" s="883">
        <v>0</v>
      </c>
      <c r="J15" s="883">
        <v>1</v>
      </c>
      <c r="K15" s="883">
        <v>71</v>
      </c>
      <c r="L15" s="883">
        <v>0</v>
      </c>
      <c r="M15" s="883">
        <v>0</v>
      </c>
      <c r="N15" s="883">
        <v>100</v>
      </c>
      <c r="O15" s="883">
        <v>0</v>
      </c>
      <c r="P15" s="883">
        <v>15</v>
      </c>
      <c r="Q15" s="2260">
        <v>0</v>
      </c>
      <c r="R15" s="2261"/>
      <c r="S15" s="880">
        <v>81</v>
      </c>
      <c r="T15" s="2235"/>
      <c r="U15" s="880" t="s">
        <v>64</v>
      </c>
      <c r="V15" s="2262">
        <v>7520</v>
      </c>
      <c r="W15" s="2262"/>
      <c r="X15" s="2262"/>
    </row>
    <row r="16" spans="1:25" ht="24.75" customHeight="1" x14ac:dyDescent="0.25">
      <c r="A16" s="100" t="s">
        <v>39</v>
      </c>
      <c r="B16" s="2260"/>
      <c r="C16" s="2261"/>
      <c r="D16" s="883"/>
      <c r="E16" s="883"/>
      <c r="F16" s="883">
        <v>20000</v>
      </c>
      <c r="G16" s="883">
        <v>500</v>
      </c>
      <c r="H16" s="883"/>
      <c r="I16" s="883">
        <v>50</v>
      </c>
      <c r="J16" s="883"/>
      <c r="K16" s="883"/>
      <c r="L16" s="883"/>
      <c r="M16" s="883"/>
      <c r="N16" s="883"/>
      <c r="O16" s="883"/>
      <c r="P16" s="883"/>
      <c r="Q16" s="2225"/>
      <c r="R16" s="2225"/>
      <c r="S16" s="883"/>
      <c r="T16" s="2254" t="s">
        <v>55</v>
      </c>
      <c r="U16" s="2254"/>
      <c r="V16" s="2267">
        <f>Y12</f>
        <v>337957.73100000003</v>
      </c>
      <c r="W16" s="2267"/>
      <c r="X16" s="2262"/>
    </row>
    <row r="17" spans="1:25" ht="28.5" customHeight="1" x14ac:dyDescent="0.25">
      <c r="A17" s="101" t="s">
        <v>44</v>
      </c>
      <c r="B17" s="2260"/>
      <c r="C17" s="2261"/>
      <c r="D17" s="883"/>
      <c r="E17" s="883"/>
      <c r="F17" s="883"/>
      <c r="G17" s="883"/>
      <c r="H17" s="883"/>
      <c r="I17" s="883"/>
      <c r="J17" s="883"/>
      <c r="K17" s="883"/>
      <c r="L17" s="883"/>
      <c r="M17" s="883"/>
      <c r="N17" s="883"/>
      <c r="O17" s="883"/>
      <c r="P17" s="883"/>
      <c r="Q17" s="2225"/>
      <c r="R17" s="2225"/>
      <c r="S17" s="879"/>
      <c r="T17" s="2294" t="s">
        <v>362</v>
      </c>
      <c r="U17" s="2295"/>
      <c r="V17" s="2296"/>
      <c r="W17" s="2296"/>
      <c r="X17" s="2296"/>
    </row>
    <row r="18" spans="1:25" ht="27" customHeight="1" x14ac:dyDescent="0.25">
      <c r="A18" s="100" t="s">
        <v>40</v>
      </c>
      <c r="B18" s="2264">
        <f>C12</f>
        <v>199398</v>
      </c>
      <c r="C18" s="2261"/>
      <c r="D18" s="885">
        <f>E12</f>
        <v>0</v>
      </c>
      <c r="E18" s="885">
        <f>G12</f>
        <v>70</v>
      </c>
      <c r="F18" s="885">
        <f>I12</f>
        <v>5710</v>
      </c>
      <c r="G18" s="885">
        <f>K12</f>
        <v>820</v>
      </c>
      <c r="H18" s="883"/>
      <c r="I18" s="885">
        <f>U12</f>
        <v>40</v>
      </c>
      <c r="J18" s="883"/>
      <c r="K18" s="885">
        <f>W12</f>
        <v>0</v>
      </c>
      <c r="L18" s="883"/>
      <c r="M18" s="885">
        <f>M12</f>
        <v>0</v>
      </c>
      <c r="N18" s="885"/>
      <c r="O18" s="884">
        <f>Q12</f>
        <v>0</v>
      </c>
      <c r="P18" s="885"/>
      <c r="Q18" s="2262"/>
      <c r="R18" s="2262"/>
      <c r="S18" s="880"/>
      <c r="T18" s="2254" t="s">
        <v>57</v>
      </c>
      <c r="U18" s="2254"/>
      <c r="V18" s="2262">
        <v>3220</v>
      </c>
      <c r="W18" s="2262"/>
      <c r="X18" s="2262"/>
      <c r="Y18" s="2269"/>
    </row>
    <row r="19" spans="1:25" ht="25.5" customHeight="1" x14ac:dyDescent="0.25">
      <c r="A19" s="100" t="s">
        <v>41</v>
      </c>
      <c r="B19" s="2260">
        <f>B15+B16+B17-B18</f>
        <v>473645</v>
      </c>
      <c r="C19" s="2261"/>
      <c r="D19" s="883">
        <f>D15+D16+D17-D18</f>
        <v>502</v>
      </c>
      <c r="E19" s="883">
        <f t="shared" ref="E19:N19" si="13">E15+E16+E17-E18</f>
        <v>500</v>
      </c>
      <c r="F19" s="883">
        <f t="shared" si="13"/>
        <v>14290</v>
      </c>
      <c r="G19" s="883">
        <f t="shared" si="13"/>
        <v>100</v>
      </c>
      <c r="H19" s="883">
        <f t="shared" si="13"/>
        <v>478</v>
      </c>
      <c r="I19" s="883">
        <f t="shared" si="13"/>
        <v>10</v>
      </c>
      <c r="J19" s="883">
        <f t="shared" si="13"/>
        <v>1</v>
      </c>
      <c r="K19" s="883">
        <f t="shared" si="13"/>
        <v>71</v>
      </c>
      <c r="L19" s="883">
        <f t="shared" si="13"/>
        <v>0</v>
      </c>
      <c r="M19" s="883">
        <f t="shared" si="13"/>
        <v>0</v>
      </c>
      <c r="N19" s="883">
        <f t="shared" si="13"/>
        <v>100</v>
      </c>
      <c r="O19" s="883">
        <f>O15+O16+O17-O18</f>
        <v>0</v>
      </c>
      <c r="P19" s="883">
        <f>P15+P16+P17-P18</f>
        <v>15</v>
      </c>
      <c r="Q19" s="2260">
        <f t="shared" ref="Q19" si="14">Q15+Q16+Q17-Q18</f>
        <v>0</v>
      </c>
      <c r="R19" s="2261"/>
      <c r="S19" s="880">
        <f>S15+S16-S17-S18</f>
        <v>81</v>
      </c>
      <c r="T19" s="2256" t="s">
        <v>48</v>
      </c>
      <c r="U19" s="49" t="s">
        <v>58</v>
      </c>
      <c r="V19" s="2262"/>
      <c r="W19" s="2262"/>
      <c r="X19" s="2262"/>
      <c r="Y19" s="2269"/>
    </row>
    <row r="20" spans="1:25" ht="23.25" customHeight="1" x14ac:dyDescent="0.25">
      <c r="A20" s="289" t="s">
        <v>187</v>
      </c>
      <c r="B20" s="2286">
        <f>B19*0.9625</f>
        <v>455883.3125</v>
      </c>
      <c r="C20" s="2287"/>
      <c r="D20" s="290">
        <f>D19*66.41</f>
        <v>33337.82</v>
      </c>
      <c r="E20" s="290">
        <f>27.9368*E19</f>
        <v>13968.400000000001</v>
      </c>
      <c r="F20" s="290">
        <f>18.31*F19</f>
        <v>261649.9</v>
      </c>
      <c r="G20" s="290">
        <f>27.9368*G19</f>
        <v>2793.6800000000003</v>
      </c>
      <c r="H20" s="290">
        <f>241*H19</f>
        <v>115198</v>
      </c>
      <c r="I20" s="290">
        <f>323*I19</f>
        <v>3230</v>
      </c>
      <c r="J20" s="290">
        <f>241*J19</f>
        <v>241</v>
      </c>
      <c r="K20" s="290">
        <f>K19*100</f>
        <v>7100</v>
      </c>
      <c r="L20" s="290">
        <f>241*L19</f>
        <v>0</v>
      </c>
      <c r="M20" s="290">
        <f>9.65*M19</f>
        <v>0</v>
      </c>
      <c r="N20" s="290">
        <f>N19*48.2</f>
        <v>4820</v>
      </c>
      <c r="O20" s="290">
        <f>241*O19</f>
        <v>0</v>
      </c>
      <c r="P20" s="290">
        <f>241*P19</f>
        <v>3615</v>
      </c>
      <c r="Q20" s="2286">
        <f>341*Q19</f>
        <v>0</v>
      </c>
      <c r="R20" s="2287"/>
      <c r="S20" s="290">
        <f>241*S19</f>
        <v>19521</v>
      </c>
      <c r="T20" s="2257"/>
      <c r="U20" s="49" t="s">
        <v>59</v>
      </c>
      <c r="V20" s="2262"/>
      <c r="W20" s="2262"/>
      <c r="X20" s="2262"/>
      <c r="Y20" s="2269"/>
    </row>
    <row r="21" spans="1:25" ht="32.25" customHeight="1" x14ac:dyDescent="0.25">
      <c r="A21" s="291" t="s">
        <v>186</v>
      </c>
      <c r="B21" s="2293">
        <f>SUM(B20:S20)</f>
        <v>921358.11250000005</v>
      </c>
      <c r="C21" s="2293"/>
      <c r="O21" s="887"/>
      <c r="P21" s="887"/>
      <c r="Q21" s="887"/>
      <c r="R21" s="887"/>
      <c r="T21" s="2294" t="s">
        <v>366</v>
      </c>
      <c r="U21" s="2295"/>
      <c r="V21" s="2297"/>
      <c r="W21" s="2298"/>
      <c r="X21" s="2299"/>
      <c r="Y21" s="2269"/>
    </row>
    <row r="22" spans="1:25" ht="35.25" customHeight="1" x14ac:dyDescent="0.25">
      <c r="A22" s="15"/>
      <c r="B22" s="2288" t="s">
        <v>49</v>
      </c>
      <c r="C22" s="2291">
        <v>400000</v>
      </c>
      <c r="D22" s="2291"/>
      <c r="E22" s="2291">
        <v>396318</v>
      </c>
      <c r="F22" s="2291">
        <f>C22-D22+E22</f>
        <v>796318</v>
      </c>
      <c r="G22" s="887"/>
      <c r="Q22" s="887"/>
      <c r="R22" s="887"/>
      <c r="T22" s="2251" t="s">
        <v>83</v>
      </c>
      <c r="U22" s="50" t="s">
        <v>60</v>
      </c>
      <c r="V22" s="2262"/>
      <c r="W22" s="2262"/>
      <c r="X22" s="2262"/>
      <c r="Y22" s="2269"/>
    </row>
    <row r="23" spans="1:25" ht="39.75" customHeight="1" x14ac:dyDescent="0.25">
      <c r="A23" s="887"/>
      <c r="B23" s="2289"/>
      <c r="C23" s="2292"/>
      <c r="D23" s="2292"/>
      <c r="E23" s="2292"/>
      <c r="F23" s="2292"/>
      <c r="G23" s="887"/>
      <c r="Q23" s="887"/>
      <c r="R23" s="887"/>
      <c r="T23" s="2252"/>
      <c r="U23" s="50" t="s">
        <v>61</v>
      </c>
      <c r="V23" s="2262"/>
      <c r="W23" s="2262"/>
      <c r="X23" s="2262"/>
      <c r="Y23" s="2269"/>
    </row>
    <row r="24" spans="1:25" ht="48" customHeight="1" x14ac:dyDescent="0.25">
      <c r="A24" s="887"/>
      <c r="B24" s="2290"/>
      <c r="C24" s="290" t="s">
        <v>46</v>
      </c>
      <c r="D24" s="290" t="s">
        <v>50</v>
      </c>
      <c r="E24" s="290" t="s">
        <v>51</v>
      </c>
      <c r="F24" s="290" t="s">
        <v>52</v>
      </c>
      <c r="G24" s="887"/>
      <c r="Q24" s="887"/>
      <c r="R24" s="887"/>
      <c r="T24" s="2235" t="s">
        <v>47</v>
      </c>
      <c r="U24" s="51" t="s">
        <v>62</v>
      </c>
      <c r="V24" s="2263">
        <f>V14+V16+V17-V18-V19-V20-V22+V23-V21</f>
        <v>347935.73100000003</v>
      </c>
      <c r="W24" s="2263"/>
      <c r="X24" s="2263"/>
      <c r="Y24" s="2269"/>
    </row>
    <row r="25" spans="1:25" ht="40.5" customHeight="1" x14ac:dyDescent="0.25">
      <c r="T25" s="2235"/>
      <c r="U25" s="51" t="s">
        <v>63</v>
      </c>
      <c r="V25" s="2262">
        <f>V15+V22-V23</f>
        <v>7520</v>
      </c>
      <c r="W25" s="2262"/>
      <c r="X25" s="2262"/>
    </row>
    <row r="26" spans="1:25" ht="36" customHeight="1" x14ac:dyDescent="0.25">
      <c r="K26" s="314"/>
    </row>
    <row r="28" spans="1:25" x14ac:dyDescent="0.25">
      <c r="J28" s="14" t="s">
        <v>139</v>
      </c>
    </row>
    <row r="32" spans="1:25" x14ac:dyDescent="0.25">
      <c r="I32" s="2280"/>
      <c r="J32" s="2280"/>
      <c r="K32" s="2280"/>
      <c r="L32" s="2280"/>
    </row>
    <row r="33" spans="9:12" x14ac:dyDescent="0.25">
      <c r="I33" s="887"/>
      <c r="J33" s="887"/>
      <c r="K33" s="2280"/>
      <c r="L33" s="2280"/>
    </row>
  </sheetData>
  <mergeCells count="62">
    <mergeCell ref="A1:Y1"/>
    <mergeCell ref="A2:Y2"/>
    <mergeCell ref="T3:Y3"/>
    <mergeCell ref="A4:A5"/>
    <mergeCell ref="B4:B5"/>
    <mergeCell ref="C4:D4"/>
    <mergeCell ref="E4:F4"/>
    <mergeCell ref="G4:H4"/>
    <mergeCell ref="I4:J4"/>
    <mergeCell ref="K4:L4"/>
    <mergeCell ref="Y4:Y5"/>
    <mergeCell ref="M4:N4"/>
    <mergeCell ref="O4:P4"/>
    <mergeCell ref="Q4:R4"/>
    <mergeCell ref="S4:T4"/>
    <mergeCell ref="U4:V4"/>
    <mergeCell ref="W4:X4"/>
    <mergeCell ref="B16:C16"/>
    <mergeCell ref="Q16:R16"/>
    <mergeCell ref="T16:U16"/>
    <mergeCell ref="V16:X16"/>
    <mergeCell ref="A12:B12"/>
    <mergeCell ref="B14:C14"/>
    <mergeCell ref="Q14:R14"/>
    <mergeCell ref="T14:T15"/>
    <mergeCell ref="V14:X14"/>
    <mergeCell ref="B15:C15"/>
    <mergeCell ref="Q15:R15"/>
    <mergeCell ref="V15:X15"/>
    <mergeCell ref="B17:C17"/>
    <mergeCell ref="Q17:R17"/>
    <mergeCell ref="T17:U17"/>
    <mergeCell ref="V17:X17"/>
    <mergeCell ref="B18:C18"/>
    <mergeCell ref="Q18:R18"/>
    <mergeCell ref="T18:U18"/>
    <mergeCell ref="V18:X18"/>
    <mergeCell ref="Y18:Y24"/>
    <mergeCell ref="B19:C19"/>
    <mergeCell ref="Q19:R19"/>
    <mergeCell ref="T19:T20"/>
    <mergeCell ref="V19:X19"/>
    <mergeCell ref="B20:C20"/>
    <mergeCell ref="B22:B24"/>
    <mergeCell ref="C22:C23"/>
    <mergeCell ref="D22:D23"/>
    <mergeCell ref="E22:E23"/>
    <mergeCell ref="F22:F23"/>
    <mergeCell ref="Q20:R20"/>
    <mergeCell ref="V20:X20"/>
    <mergeCell ref="B21:C21"/>
    <mergeCell ref="T21:U21"/>
    <mergeCell ref="V21:X21"/>
    <mergeCell ref="I32:J32"/>
    <mergeCell ref="K32:L32"/>
    <mergeCell ref="K33:L33"/>
    <mergeCell ref="T22:T23"/>
    <mergeCell ref="V22:X22"/>
    <mergeCell ref="V23:X23"/>
    <mergeCell ref="T24:T25"/>
    <mergeCell ref="V24:X24"/>
    <mergeCell ref="V25:X25"/>
  </mergeCells>
  <pageMargins left="0.15748031496063" right="0.15748031496063" top="0" bottom="0" header="0" footer="0"/>
  <pageSetup paperSize="9" scale="45" orientation="landscape" r:id="rId1"/>
</worksheet>
</file>

<file path=xl/worksheets/sheet18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1FEE887-84A2-4ADE-AF03-C80F7B81B444}">
  <sheetPr>
    <pageSetUpPr fitToPage="1"/>
  </sheetPr>
  <dimension ref="A1:Y33"/>
  <sheetViews>
    <sheetView topLeftCell="A13" zoomScale="70" zoomScaleNormal="70" zoomScaleSheetLayoutView="100" workbookViewId="0">
      <selection activeCell="J28" sqref="J28"/>
    </sheetView>
  </sheetViews>
  <sheetFormatPr defaultColWidth="9.140625" defaultRowHeight="15" x14ac:dyDescent="0.25"/>
  <cols>
    <col min="1" max="1" width="18.28515625" style="14" customWidth="1"/>
    <col min="2" max="2" width="10.7109375" style="14" customWidth="1"/>
    <col min="3" max="3" width="12.28515625" style="14" customWidth="1"/>
    <col min="4" max="4" width="13.140625" style="14" bestFit="1" customWidth="1"/>
    <col min="5" max="5" width="12" style="14" customWidth="1"/>
    <col min="6" max="6" width="12.5703125" style="14" bestFit="1" customWidth="1"/>
    <col min="7" max="7" width="16" style="14" bestFit="1" customWidth="1"/>
    <col min="8" max="8" width="10.140625" style="14" bestFit="1" customWidth="1"/>
    <col min="9" max="9" width="10.5703125" style="14" bestFit="1" customWidth="1"/>
    <col min="10" max="10" width="10.5703125" style="14" customWidth="1"/>
    <col min="11" max="11" width="10.28515625" style="14" bestFit="1" customWidth="1"/>
    <col min="12" max="12" width="10.42578125" style="14" bestFit="1" customWidth="1"/>
    <col min="13" max="13" width="9.85546875" style="14" bestFit="1" customWidth="1"/>
    <col min="14" max="14" width="10.140625" style="14" bestFit="1" customWidth="1"/>
    <col min="15" max="15" width="9" style="14" customWidth="1"/>
    <col min="16" max="16" width="12.85546875" style="14" bestFit="1" customWidth="1"/>
    <col min="17" max="18" width="9.42578125" style="14" customWidth="1"/>
    <col min="19" max="19" width="13.7109375" style="14" customWidth="1"/>
    <col min="20" max="20" width="12.140625" style="14" customWidth="1"/>
    <col min="21" max="21" width="21.7109375" style="14" customWidth="1"/>
    <col min="22" max="22" width="9.85546875" style="14" customWidth="1"/>
    <col min="23" max="23" width="10.140625" style="14" bestFit="1" customWidth="1"/>
    <col min="24" max="24" width="10.28515625" style="14" customWidth="1"/>
    <col min="25" max="25" width="28" style="14" customWidth="1"/>
    <col min="26" max="16384" width="9.140625" style="14"/>
  </cols>
  <sheetData>
    <row r="1" spans="1:25" ht="46.15" customHeight="1" x14ac:dyDescent="0.25">
      <c r="A1" s="2240" t="s">
        <v>148</v>
      </c>
      <c r="B1" s="2240"/>
      <c r="C1" s="2240"/>
      <c r="D1" s="2240"/>
      <c r="E1" s="2240"/>
      <c r="F1" s="2240"/>
      <c r="G1" s="2240"/>
      <c r="H1" s="2240"/>
      <c r="I1" s="2240"/>
      <c r="J1" s="2240"/>
      <c r="K1" s="2240"/>
      <c r="L1" s="2240"/>
      <c r="M1" s="2240"/>
      <c r="N1" s="2240"/>
      <c r="O1" s="2240"/>
      <c r="P1" s="2240"/>
      <c r="Q1" s="2240"/>
      <c r="R1" s="2240"/>
      <c r="S1" s="2240"/>
      <c r="T1" s="2240"/>
      <c r="U1" s="2240"/>
      <c r="V1" s="2240"/>
      <c r="W1" s="2240"/>
      <c r="X1" s="2240"/>
      <c r="Y1" s="2240"/>
    </row>
    <row r="2" spans="1:25" ht="21.6" customHeight="1" x14ac:dyDescent="0.25">
      <c r="A2" s="2241" t="s">
        <v>383</v>
      </c>
      <c r="B2" s="2241"/>
      <c r="C2" s="2241"/>
      <c r="D2" s="2241"/>
      <c r="E2" s="2241"/>
      <c r="F2" s="2241"/>
      <c r="G2" s="2241"/>
      <c r="H2" s="2241"/>
      <c r="I2" s="2241"/>
      <c r="J2" s="2241"/>
      <c r="K2" s="2241"/>
      <c r="L2" s="2241"/>
      <c r="M2" s="2241"/>
      <c r="N2" s="2241"/>
      <c r="O2" s="2241"/>
      <c r="P2" s="2241"/>
      <c r="Q2" s="2241"/>
      <c r="R2" s="2241"/>
      <c r="S2" s="2241"/>
      <c r="T2" s="2241"/>
      <c r="U2" s="2241"/>
      <c r="V2" s="2241"/>
      <c r="W2" s="2241"/>
      <c r="X2" s="2241"/>
      <c r="Y2" s="2241"/>
    </row>
    <row r="3" spans="1:25" ht="21" customHeight="1" x14ac:dyDescent="0.25">
      <c r="A3" s="888"/>
      <c r="B3" s="888"/>
      <c r="C3" s="888"/>
      <c r="D3" s="888"/>
      <c r="E3" s="888"/>
      <c r="F3" s="888"/>
      <c r="G3" s="888"/>
      <c r="H3" s="888"/>
      <c r="I3" s="888"/>
      <c r="J3" s="888"/>
      <c r="K3" s="888"/>
      <c r="L3" s="888"/>
      <c r="M3" s="888"/>
      <c r="N3" s="888"/>
      <c r="O3" s="888"/>
      <c r="P3" s="888"/>
      <c r="Q3" s="888"/>
      <c r="R3" s="888"/>
      <c r="S3" s="888"/>
      <c r="T3" s="2242" t="s">
        <v>413</v>
      </c>
      <c r="U3" s="2242"/>
      <c r="V3" s="2242"/>
      <c r="W3" s="2242"/>
      <c r="X3" s="2242"/>
      <c r="Y3" s="2242"/>
    </row>
    <row r="4" spans="1:25" s="888" customFormat="1" ht="18" customHeight="1" x14ac:dyDescent="0.25">
      <c r="A4" s="2243" t="s">
        <v>25</v>
      </c>
      <c r="B4" s="2243" t="s">
        <v>26</v>
      </c>
      <c r="C4" s="2244" t="s">
        <v>27</v>
      </c>
      <c r="D4" s="2244"/>
      <c r="E4" s="2244" t="s">
        <v>342</v>
      </c>
      <c r="F4" s="2244"/>
      <c r="G4" s="2244" t="s">
        <v>65</v>
      </c>
      <c r="H4" s="2244"/>
      <c r="I4" s="2244" t="s">
        <v>29</v>
      </c>
      <c r="J4" s="2244"/>
      <c r="K4" s="2245" t="s">
        <v>14</v>
      </c>
      <c r="L4" s="2246"/>
      <c r="M4" s="2245" t="s">
        <v>67</v>
      </c>
      <c r="N4" s="2246"/>
      <c r="O4" s="2245" t="s">
        <v>68</v>
      </c>
      <c r="P4" s="2246"/>
      <c r="Q4" s="2245" t="s">
        <v>114</v>
      </c>
      <c r="R4" s="2246"/>
      <c r="S4" s="2244" t="s">
        <v>35</v>
      </c>
      <c r="T4" s="2244"/>
      <c r="U4" s="2245" t="s">
        <v>17</v>
      </c>
      <c r="V4" s="2246"/>
      <c r="W4" s="2247" t="s">
        <v>36</v>
      </c>
      <c r="X4" s="2248"/>
      <c r="Y4" s="2238" t="s">
        <v>30</v>
      </c>
    </row>
    <row r="5" spans="1:25" s="888" customFormat="1" ht="25.5" customHeight="1" x14ac:dyDescent="0.25">
      <c r="A5" s="2243"/>
      <c r="B5" s="2243"/>
      <c r="C5" s="890" t="s">
        <v>42</v>
      </c>
      <c r="D5" s="890" t="s">
        <v>43</v>
      </c>
      <c r="E5" s="890" t="s">
        <v>42</v>
      </c>
      <c r="F5" s="890" t="s">
        <v>43</v>
      </c>
      <c r="G5" s="890" t="s">
        <v>42</v>
      </c>
      <c r="H5" s="890" t="s">
        <v>43</v>
      </c>
      <c r="I5" s="890" t="s">
        <v>42</v>
      </c>
      <c r="J5" s="890" t="s">
        <v>43</v>
      </c>
      <c r="K5" s="890" t="s">
        <v>42</v>
      </c>
      <c r="L5" s="890" t="s">
        <v>43</v>
      </c>
      <c r="M5" s="890" t="s">
        <v>42</v>
      </c>
      <c r="N5" s="890" t="s">
        <v>43</v>
      </c>
      <c r="O5" s="890" t="s">
        <v>42</v>
      </c>
      <c r="P5" s="890" t="s">
        <v>43</v>
      </c>
      <c r="Q5" s="890" t="s">
        <v>42</v>
      </c>
      <c r="R5" s="890" t="s">
        <v>43</v>
      </c>
      <c r="S5" s="33" t="s">
        <v>42</v>
      </c>
      <c r="T5" s="33" t="s">
        <v>43</v>
      </c>
      <c r="U5" s="30" t="s">
        <v>42</v>
      </c>
      <c r="V5" s="30" t="s">
        <v>43</v>
      </c>
      <c r="W5" s="30" t="s">
        <v>42</v>
      </c>
      <c r="X5" s="30" t="s">
        <v>43</v>
      </c>
      <c r="Y5" s="2239"/>
    </row>
    <row r="6" spans="1:25" ht="34.5" customHeight="1" x14ac:dyDescent="0.25">
      <c r="A6" s="12">
        <v>1409935200</v>
      </c>
      <c r="B6" s="889" t="s">
        <v>71</v>
      </c>
      <c r="C6" s="892">
        <v>31351</v>
      </c>
      <c r="D6" s="893">
        <f>0.9725*C6</f>
        <v>30488.8475</v>
      </c>
      <c r="E6" s="892"/>
      <c r="F6" s="892">
        <f>67.1*E6</f>
        <v>0</v>
      </c>
      <c r="G6" s="892">
        <v>70</v>
      </c>
      <c r="H6" s="892">
        <f>28.2*G6</f>
        <v>1974</v>
      </c>
      <c r="I6" s="892">
        <v>2000</v>
      </c>
      <c r="J6" s="892">
        <f>18.5*I6</f>
        <v>37000</v>
      </c>
      <c r="K6" s="892">
        <v>100</v>
      </c>
      <c r="L6" s="892">
        <f>28.2368*K6</f>
        <v>2823.68</v>
      </c>
      <c r="M6" s="892"/>
      <c r="N6" s="893">
        <f>M6*9.75</f>
        <v>0</v>
      </c>
      <c r="O6" s="892"/>
      <c r="P6" s="893">
        <f>O6*48.7</f>
        <v>0</v>
      </c>
      <c r="Q6" s="893"/>
      <c r="R6" s="893">
        <f>241*Q6</f>
        <v>0</v>
      </c>
      <c r="S6" s="892"/>
      <c r="T6" s="892">
        <f>241*S6</f>
        <v>0</v>
      </c>
      <c r="U6" s="892"/>
      <c r="V6" s="892">
        <f>332*U6</f>
        <v>0</v>
      </c>
      <c r="W6" s="892"/>
      <c r="X6" s="19">
        <f>W6*100</f>
        <v>0</v>
      </c>
      <c r="Y6" s="20">
        <f t="shared" ref="Y6:Y12" si="0">D6+F6+H6+J6+L6+N6+P6+R6+T6+V6+X6</f>
        <v>72286.527499999997</v>
      </c>
    </row>
    <row r="7" spans="1:25" ht="31.5" customHeight="1" x14ac:dyDescent="0.25">
      <c r="A7" s="12">
        <v>1984225578</v>
      </c>
      <c r="B7" s="889" t="s">
        <v>72</v>
      </c>
      <c r="C7" s="892">
        <v>22605</v>
      </c>
      <c r="D7" s="893">
        <f t="shared" ref="D7:D11" si="1">0.9725*C7</f>
        <v>21983.362499999999</v>
      </c>
      <c r="E7" s="892"/>
      <c r="F7" s="892">
        <f t="shared" ref="F7:F11" si="2">67.1*E7</f>
        <v>0</v>
      </c>
      <c r="G7" s="892"/>
      <c r="H7" s="892">
        <f t="shared" ref="H7:H11" si="3">28.2*G7</f>
        <v>0</v>
      </c>
      <c r="I7" s="892">
        <v>500</v>
      </c>
      <c r="J7" s="892">
        <f t="shared" ref="J7:J11" si="4">18.5*I7</f>
        <v>9250</v>
      </c>
      <c r="K7" s="892"/>
      <c r="L7" s="892">
        <f t="shared" ref="L7:L11" si="5">28.2368*K7</f>
        <v>0</v>
      </c>
      <c r="M7" s="892"/>
      <c r="N7" s="893">
        <f t="shared" ref="N7:N11" si="6">M7*9.75</f>
        <v>0</v>
      </c>
      <c r="O7" s="892"/>
      <c r="P7" s="893">
        <f t="shared" ref="P7:P11" si="7">O7*48.7</f>
        <v>0</v>
      </c>
      <c r="Q7" s="893"/>
      <c r="R7" s="893">
        <f t="shared" ref="R7:R11" si="8">241*Q7</f>
        <v>0</v>
      </c>
      <c r="S7" s="892"/>
      <c r="T7" s="892">
        <f t="shared" ref="T7:T10" si="9">241*S7</f>
        <v>0</v>
      </c>
      <c r="U7" s="892"/>
      <c r="V7" s="892">
        <f t="shared" ref="V7:V11" si="10">332*U7</f>
        <v>0</v>
      </c>
      <c r="W7" s="892"/>
      <c r="X7" s="19">
        <f t="shared" ref="X7:X11" si="11">W7*100</f>
        <v>0</v>
      </c>
      <c r="Y7" s="20">
        <f t="shared" si="0"/>
        <v>31233.362499999999</v>
      </c>
    </row>
    <row r="8" spans="1:25" ht="35.25" customHeight="1" x14ac:dyDescent="0.25">
      <c r="A8" s="12">
        <v>1967020280</v>
      </c>
      <c r="B8" s="889" t="s">
        <v>73</v>
      </c>
      <c r="C8" s="892">
        <v>29635</v>
      </c>
      <c r="D8" s="893">
        <f t="shared" si="1"/>
        <v>28820.037500000002</v>
      </c>
      <c r="E8" s="892"/>
      <c r="F8" s="892">
        <f t="shared" si="2"/>
        <v>0</v>
      </c>
      <c r="G8" s="892">
        <v>60</v>
      </c>
      <c r="H8" s="892">
        <f t="shared" si="3"/>
        <v>1692</v>
      </c>
      <c r="I8" s="892">
        <v>1750</v>
      </c>
      <c r="J8" s="892">
        <f t="shared" si="4"/>
        <v>32375</v>
      </c>
      <c r="K8" s="892"/>
      <c r="L8" s="892">
        <f t="shared" si="5"/>
        <v>0</v>
      </c>
      <c r="M8" s="892"/>
      <c r="N8" s="893">
        <f t="shared" si="6"/>
        <v>0</v>
      </c>
      <c r="O8" s="892"/>
      <c r="P8" s="893">
        <f t="shared" si="7"/>
        <v>0</v>
      </c>
      <c r="Q8" s="893"/>
      <c r="R8" s="893">
        <f t="shared" si="8"/>
        <v>0</v>
      </c>
      <c r="S8" s="892"/>
      <c r="T8" s="892">
        <f t="shared" si="9"/>
        <v>0</v>
      </c>
      <c r="U8" s="892">
        <v>5</v>
      </c>
      <c r="V8" s="892">
        <f t="shared" si="10"/>
        <v>1660</v>
      </c>
      <c r="W8" s="892"/>
      <c r="X8" s="19">
        <f t="shared" si="11"/>
        <v>0</v>
      </c>
      <c r="Y8" s="20">
        <f t="shared" si="0"/>
        <v>64547.037500000006</v>
      </c>
    </row>
    <row r="9" spans="1:25" ht="38.25" customHeight="1" x14ac:dyDescent="0.25">
      <c r="A9" s="12">
        <v>1984225580</v>
      </c>
      <c r="B9" s="889" t="s">
        <v>75</v>
      </c>
      <c r="C9" s="892">
        <v>35370</v>
      </c>
      <c r="D9" s="893">
        <f t="shared" si="1"/>
        <v>34397.325000000004</v>
      </c>
      <c r="E9" s="892"/>
      <c r="F9" s="892">
        <f t="shared" si="2"/>
        <v>0</v>
      </c>
      <c r="G9" s="892"/>
      <c r="H9" s="892">
        <f t="shared" si="3"/>
        <v>0</v>
      </c>
      <c r="I9" s="892">
        <v>260</v>
      </c>
      <c r="J9" s="892">
        <f t="shared" si="4"/>
        <v>4810</v>
      </c>
      <c r="K9" s="892"/>
      <c r="L9" s="892">
        <f t="shared" si="5"/>
        <v>0</v>
      </c>
      <c r="M9" s="892"/>
      <c r="N9" s="893">
        <f t="shared" si="6"/>
        <v>0</v>
      </c>
      <c r="O9" s="892"/>
      <c r="P9" s="893">
        <f t="shared" si="7"/>
        <v>0</v>
      </c>
      <c r="Q9" s="893"/>
      <c r="R9" s="893">
        <f t="shared" si="8"/>
        <v>0</v>
      </c>
      <c r="S9" s="892">
        <v>5</v>
      </c>
      <c r="T9" s="892">
        <f t="shared" si="9"/>
        <v>1205</v>
      </c>
      <c r="U9" s="892"/>
      <c r="V9" s="892">
        <f t="shared" si="10"/>
        <v>0</v>
      </c>
      <c r="W9" s="892"/>
      <c r="X9" s="19">
        <f t="shared" si="11"/>
        <v>0</v>
      </c>
      <c r="Y9" s="20">
        <f t="shared" si="0"/>
        <v>40412.325000000004</v>
      </c>
    </row>
    <row r="10" spans="1:25" ht="35.25" customHeight="1" x14ac:dyDescent="0.25">
      <c r="A10" s="12">
        <v>1409935199</v>
      </c>
      <c r="C10" s="892">
        <v>154239</v>
      </c>
      <c r="D10" s="893">
        <f t="shared" si="1"/>
        <v>149997.42749999999</v>
      </c>
      <c r="E10" s="892"/>
      <c r="F10" s="892">
        <f t="shared" si="2"/>
        <v>0</v>
      </c>
      <c r="G10" s="892"/>
      <c r="H10" s="892">
        <f t="shared" si="3"/>
        <v>0</v>
      </c>
      <c r="I10" s="892"/>
      <c r="J10" s="892">
        <f t="shared" si="4"/>
        <v>0</v>
      </c>
      <c r="K10" s="892"/>
      <c r="L10" s="892">
        <f t="shared" si="5"/>
        <v>0</v>
      </c>
      <c r="M10" s="892"/>
      <c r="N10" s="893">
        <f t="shared" si="6"/>
        <v>0</v>
      </c>
      <c r="O10" s="892"/>
      <c r="P10" s="893">
        <f t="shared" si="7"/>
        <v>0</v>
      </c>
      <c r="Q10" s="893"/>
      <c r="R10" s="893">
        <f t="shared" si="8"/>
        <v>0</v>
      </c>
      <c r="S10" s="892"/>
      <c r="T10" s="892">
        <f t="shared" si="9"/>
        <v>0</v>
      </c>
      <c r="U10" s="892"/>
      <c r="V10" s="892">
        <f t="shared" si="10"/>
        <v>0</v>
      </c>
      <c r="W10" s="892"/>
      <c r="X10" s="19">
        <f t="shared" si="11"/>
        <v>0</v>
      </c>
      <c r="Y10" s="20">
        <f t="shared" si="0"/>
        <v>149997.42749999999</v>
      </c>
    </row>
    <row r="11" spans="1:25" ht="37.5" customHeight="1" x14ac:dyDescent="0.25">
      <c r="A11" s="12"/>
      <c r="B11" s="891"/>
      <c r="C11" s="892"/>
      <c r="D11" s="22">
        <f t="shared" si="1"/>
        <v>0</v>
      </c>
      <c r="E11" s="892"/>
      <c r="F11" s="892">
        <f t="shared" si="2"/>
        <v>0</v>
      </c>
      <c r="G11" s="892"/>
      <c r="H11" s="892">
        <f t="shared" si="3"/>
        <v>0</v>
      </c>
      <c r="I11" s="892"/>
      <c r="J11" s="892">
        <f t="shared" si="4"/>
        <v>0</v>
      </c>
      <c r="K11" s="892"/>
      <c r="L11" s="892">
        <f t="shared" si="5"/>
        <v>0</v>
      </c>
      <c r="M11" s="892"/>
      <c r="N11" s="893">
        <f t="shared" si="6"/>
        <v>0</v>
      </c>
      <c r="O11" s="892"/>
      <c r="P11" s="893">
        <f t="shared" si="7"/>
        <v>0</v>
      </c>
      <c r="Q11" s="893"/>
      <c r="R11" s="893">
        <f t="shared" si="8"/>
        <v>0</v>
      </c>
      <c r="S11" s="892"/>
      <c r="T11" s="892">
        <f>341*S11</f>
        <v>0</v>
      </c>
      <c r="U11" s="892"/>
      <c r="V11" s="892">
        <f t="shared" si="10"/>
        <v>0</v>
      </c>
      <c r="W11" s="892"/>
      <c r="X11" s="19">
        <f t="shared" si="11"/>
        <v>0</v>
      </c>
      <c r="Y11" s="20">
        <f t="shared" si="0"/>
        <v>0</v>
      </c>
    </row>
    <row r="12" spans="1:25" ht="29.25" customHeight="1" x14ac:dyDescent="0.25">
      <c r="A12" s="2235" t="s">
        <v>31</v>
      </c>
      <c r="B12" s="2235"/>
      <c r="C12" s="18">
        <f t="shared" ref="C12:X12" si="12">SUM(C6:C11)</f>
        <v>273200</v>
      </c>
      <c r="D12" s="18">
        <f t="shared" si="12"/>
        <v>265687</v>
      </c>
      <c r="E12" s="18">
        <f t="shared" si="12"/>
        <v>0</v>
      </c>
      <c r="F12" s="18">
        <f t="shared" si="12"/>
        <v>0</v>
      </c>
      <c r="G12" s="18">
        <f t="shared" si="12"/>
        <v>130</v>
      </c>
      <c r="H12" s="18">
        <f t="shared" si="12"/>
        <v>3666</v>
      </c>
      <c r="I12" s="18">
        <f t="shared" si="12"/>
        <v>4510</v>
      </c>
      <c r="J12" s="18">
        <f t="shared" si="12"/>
        <v>83435</v>
      </c>
      <c r="K12" s="18">
        <f t="shared" si="12"/>
        <v>100</v>
      </c>
      <c r="L12" s="18">
        <f t="shared" si="12"/>
        <v>2823.68</v>
      </c>
      <c r="M12" s="18">
        <f t="shared" si="12"/>
        <v>0</v>
      </c>
      <c r="N12" s="23">
        <f t="shared" si="12"/>
        <v>0</v>
      </c>
      <c r="O12" s="18">
        <f t="shared" si="12"/>
        <v>0</v>
      </c>
      <c r="P12" s="23">
        <f t="shared" si="12"/>
        <v>0</v>
      </c>
      <c r="Q12" s="23">
        <f t="shared" si="12"/>
        <v>0</v>
      </c>
      <c r="R12" s="23">
        <f>SUM(R6:R11)</f>
        <v>0</v>
      </c>
      <c r="S12" s="23">
        <f>SUM(S6:S11)</f>
        <v>5</v>
      </c>
      <c r="T12" s="18">
        <f t="shared" si="12"/>
        <v>1205</v>
      </c>
      <c r="U12" s="18">
        <f t="shared" si="12"/>
        <v>5</v>
      </c>
      <c r="V12" s="18">
        <f t="shared" si="12"/>
        <v>1660</v>
      </c>
      <c r="W12" s="18">
        <f t="shared" si="12"/>
        <v>0</v>
      </c>
      <c r="X12" s="18">
        <f t="shared" si="12"/>
        <v>0</v>
      </c>
      <c r="Y12" s="20">
        <f t="shared" si="0"/>
        <v>358476.68</v>
      </c>
    </row>
    <row r="14" spans="1:25" ht="43.5" customHeight="1" x14ac:dyDescent="0.25">
      <c r="A14" s="30" t="s">
        <v>32</v>
      </c>
      <c r="B14" s="2236" t="s">
        <v>27</v>
      </c>
      <c r="C14" s="2236"/>
      <c r="D14" s="30" t="s">
        <v>333</v>
      </c>
      <c r="E14" s="30" t="s">
        <v>65</v>
      </c>
      <c r="F14" s="30" t="s">
        <v>34</v>
      </c>
      <c r="G14" s="30" t="s">
        <v>14</v>
      </c>
      <c r="H14" s="469" t="s">
        <v>173</v>
      </c>
      <c r="I14" s="30" t="s">
        <v>17</v>
      </c>
      <c r="J14" s="897" t="s">
        <v>174</v>
      </c>
      <c r="K14" s="30" t="s">
        <v>36</v>
      </c>
      <c r="L14" s="897" t="s">
        <v>403</v>
      </c>
      <c r="M14" s="30" t="s">
        <v>69</v>
      </c>
      <c r="N14" s="30" t="s">
        <v>70</v>
      </c>
      <c r="O14" s="897" t="s">
        <v>114</v>
      </c>
      <c r="P14" s="897" t="s">
        <v>402</v>
      </c>
      <c r="Q14" s="2300" t="s">
        <v>378</v>
      </c>
      <c r="R14" s="2301"/>
      <c r="S14" s="897" t="s">
        <v>401</v>
      </c>
      <c r="T14" s="2235" t="s">
        <v>46</v>
      </c>
      <c r="U14" s="889" t="s">
        <v>176</v>
      </c>
      <c r="V14" s="2260">
        <v>347936</v>
      </c>
      <c r="W14" s="2268"/>
      <c r="X14" s="2261"/>
    </row>
    <row r="15" spans="1:25" ht="22.5" customHeight="1" x14ac:dyDescent="0.25">
      <c r="A15" s="100" t="s">
        <v>38</v>
      </c>
      <c r="B15" s="2260">
        <v>473645</v>
      </c>
      <c r="C15" s="2261"/>
      <c r="D15" s="894">
        <v>502</v>
      </c>
      <c r="E15" s="894">
        <v>500</v>
      </c>
      <c r="F15" s="894">
        <v>14290</v>
      </c>
      <c r="G15" s="894">
        <v>100</v>
      </c>
      <c r="H15" s="894">
        <v>478</v>
      </c>
      <c r="I15" s="894">
        <v>10</v>
      </c>
      <c r="J15" s="894">
        <v>1</v>
      </c>
      <c r="K15" s="894">
        <v>71</v>
      </c>
      <c r="L15" s="894">
        <v>0</v>
      </c>
      <c r="M15" s="894">
        <v>0</v>
      </c>
      <c r="N15" s="894">
        <v>100</v>
      </c>
      <c r="O15" s="894">
        <v>0</v>
      </c>
      <c r="P15" s="894">
        <v>15</v>
      </c>
      <c r="Q15" s="2260">
        <v>0</v>
      </c>
      <c r="R15" s="2261"/>
      <c r="S15" s="889">
        <v>81</v>
      </c>
      <c r="T15" s="2235"/>
      <c r="U15" s="889" t="s">
        <v>64</v>
      </c>
      <c r="V15" s="2262">
        <v>7520</v>
      </c>
      <c r="W15" s="2262"/>
      <c r="X15" s="2262"/>
    </row>
    <row r="16" spans="1:25" ht="24.75" customHeight="1" x14ac:dyDescent="0.25">
      <c r="A16" s="100" t="s">
        <v>39</v>
      </c>
      <c r="B16" s="2260">
        <v>133490</v>
      </c>
      <c r="C16" s="2261"/>
      <c r="D16" s="894"/>
      <c r="E16" s="894"/>
      <c r="F16" s="894"/>
      <c r="G16" s="894"/>
      <c r="H16" s="894"/>
      <c r="I16" s="894"/>
      <c r="J16" s="894"/>
      <c r="K16" s="894"/>
      <c r="L16" s="894"/>
      <c r="M16" s="894"/>
      <c r="N16" s="894"/>
      <c r="O16" s="894"/>
      <c r="P16" s="894"/>
      <c r="Q16" s="2225"/>
      <c r="R16" s="2225"/>
      <c r="S16" s="894"/>
      <c r="T16" s="2254" t="s">
        <v>55</v>
      </c>
      <c r="U16" s="2254"/>
      <c r="V16" s="2267">
        <f>Y12</f>
        <v>358476.68</v>
      </c>
      <c r="W16" s="2267"/>
      <c r="X16" s="2262"/>
    </row>
    <row r="17" spans="1:25" ht="28.5" customHeight="1" x14ac:dyDescent="0.25">
      <c r="A17" s="101" t="s">
        <v>44</v>
      </c>
      <c r="B17" s="2260">
        <v>4935</v>
      </c>
      <c r="C17" s="2261"/>
      <c r="D17" s="894"/>
      <c r="E17" s="894"/>
      <c r="F17" s="894"/>
      <c r="G17" s="894"/>
      <c r="H17" s="894"/>
      <c r="I17" s="894"/>
      <c r="J17" s="894"/>
      <c r="K17" s="894"/>
      <c r="L17" s="894"/>
      <c r="M17" s="894"/>
      <c r="N17" s="894"/>
      <c r="O17" s="894"/>
      <c r="P17" s="894"/>
      <c r="Q17" s="2225"/>
      <c r="R17" s="2225"/>
      <c r="S17" s="891"/>
      <c r="T17" s="2294" t="s">
        <v>362</v>
      </c>
      <c r="U17" s="2295"/>
      <c r="V17" s="2296"/>
      <c r="W17" s="2296"/>
      <c r="X17" s="2296"/>
    </row>
    <row r="18" spans="1:25" ht="27" customHeight="1" x14ac:dyDescent="0.25">
      <c r="A18" s="100" t="s">
        <v>40</v>
      </c>
      <c r="B18" s="2264">
        <f>C12</f>
        <v>273200</v>
      </c>
      <c r="C18" s="2261"/>
      <c r="D18" s="895">
        <f>E12</f>
        <v>0</v>
      </c>
      <c r="E18" s="895">
        <f>G12</f>
        <v>130</v>
      </c>
      <c r="F18" s="895">
        <f>I12</f>
        <v>4510</v>
      </c>
      <c r="G18" s="895">
        <f>K12</f>
        <v>100</v>
      </c>
      <c r="H18" s="894">
        <v>5</v>
      </c>
      <c r="I18" s="895">
        <f>U12</f>
        <v>5</v>
      </c>
      <c r="J18" s="894"/>
      <c r="K18" s="895">
        <f>W12</f>
        <v>0</v>
      </c>
      <c r="L18" s="894"/>
      <c r="M18" s="895">
        <f>M12</f>
        <v>0</v>
      </c>
      <c r="N18" s="895"/>
      <c r="O18" s="896">
        <f>Q12</f>
        <v>0</v>
      </c>
      <c r="P18" s="895"/>
      <c r="Q18" s="2262"/>
      <c r="R18" s="2262"/>
      <c r="S18" s="889"/>
      <c r="T18" s="2254" t="s">
        <v>57</v>
      </c>
      <c r="U18" s="2254"/>
      <c r="V18" s="2262">
        <v>2320</v>
      </c>
      <c r="W18" s="2262"/>
      <c r="X18" s="2262"/>
      <c r="Y18" s="2269"/>
    </row>
    <row r="19" spans="1:25" ht="25.5" customHeight="1" x14ac:dyDescent="0.25">
      <c r="A19" s="100" t="s">
        <v>41</v>
      </c>
      <c r="B19" s="2260">
        <f>B15+B16+B17-B18</f>
        <v>338870</v>
      </c>
      <c r="C19" s="2261"/>
      <c r="D19" s="894">
        <f>D15+D16+D17-D18</f>
        <v>502</v>
      </c>
      <c r="E19" s="894">
        <f t="shared" ref="E19:N19" si="13">E15+E16+E17-E18</f>
        <v>370</v>
      </c>
      <c r="F19" s="894">
        <f t="shared" si="13"/>
        <v>9780</v>
      </c>
      <c r="G19" s="894">
        <f t="shared" si="13"/>
        <v>0</v>
      </c>
      <c r="H19" s="894">
        <f t="shared" si="13"/>
        <v>473</v>
      </c>
      <c r="I19" s="894">
        <f t="shared" si="13"/>
        <v>5</v>
      </c>
      <c r="J19" s="894">
        <f t="shared" si="13"/>
        <v>1</v>
      </c>
      <c r="K19" s="894">
        <f t="shared" si="13"/>
        <v>71</v>
      </c>
      <c r="L19" s="894">
        <f t="shared" si="13"/>
        <v>0</v>
      </c>
      <c r="M19" s="894">
        <f t="shared" si="13"/>
        <v>0</v>
      </c>
      <c r="N19" s="894">
        <f t="shared" si="13"/>
        <v>100</v>
      </c>
      <c r="O19" s="894">
        <f>O15+O16+O17-O18</f>
        <v>0</v>
      </c>
      <c r="P19" s="894">
        <f>P15+P16+P17-P18</f>
        <v>15</v>
      </c>
      <c r="Q19" s="2260">
        <f t="shared" ref="Q19" si="14">Q15+Q16+Q17-Q18</f>
        <v>0</v>
      </c>
      <c r="R19" s="2261"/>
      <c r="S19" s="889">
        <f>S15+S16-S17-S18</f>
        <v>81</v>
      </c>
      <c r="T19" s="2256" t="s">
        <v>48</v>
      </c>
      <c r="U19" s="49" t="s">
        <v>58</v>
      </c>
      <c r="V19" s="2262">
        <v>400000</v>
      </c>
      <c r="W19" s="2262"/>
      <c r="X19" s="2262"/>
      <c r="Y19" s="2269"/>
    </row>
    <row r="20" spans="1:25" ht="23.25" customHeight="1" x14ac:dyDescent="0.25">
      <c r="A20" s="289" t="s">
        <v>187</v>
      </c>
      <c r="B20" s="2286">
        <f>B19*0.9625</f>
        <v>326162.375</v>
      </c>
      <c r="C20" s="2287"/>
      <c r="D20" s="290">
        <f>D19*66.41</f>
        <v>33337.82</v>
      </c>
      <c r="E20" s="290">
        <f>27.9368*E19</f>
        <v>10336.616</v>
      </c>
      <c r="F20" s="290">
        <f>18.31*F19</f>
        <v>179071.8</v>
      </c>
      <c r="G20" s="290">
        <f>27.9368*G19</f>
        <v>0</v>
      </c>
      <c r="H20" s="290">
        <f>241*H19</f>
        <v>113993</v>
      </c>
      <c r="I20" s="290">
        <f>323*I19</f>
        <v>1615</v>
      </c>
      <c r="J20" s="290">
        <f>241*J19</f>
        <v>241</v>
      </c>
      <c r="K20" s="290">
        <f>K19*100</f>
        <v>7100</v>
      </c>
      <c r="L20" s="290">
        <f>241*L19</f>
        <v>0</v>
      </c>
      <c r="M20" s="290">
        <f>9.65*M19</f>
        <v>0</v>
      </c>
      <c r="N20" s="290">
        <f>N19*48.2</f>
        <v>4820</v>
      </c>
      <c r="O20" s="290">
        <f>241*O19</f>
        <v>0</v>
      </c>
      <c r="P20" s="290">
        <f>241*P19</f>
        <v>3615</v>
      </c>
      <c r="Q20" s="2286">
        <f>341*Q19</f>
        <v>0</v>
      </c>
      <c r="R20" s="2287"/>
      <c r="S20" s="290">
        <f>241*S19</f>
        <v>19521</v>
      </c>
      <c r="T20" s="2257"/>
      <c r="U20" s="49" t="s">
        <v>59</v>
      </c>
      <c r="V20" s="2262">
        <v>8485</v>
      </c>
      <c r="W20" s="2262"/>
      <c r="X20" s="2262"/>
      <c r="Y20" s="2269"/>
    </row>
    <row r="21" spans="1:25" ht="32.25" customHeight="1" x14ac:dyDescent="0.25">
      <c r="A21" s="291" t="s">
        <v>186</v>
      </c>
      <c r="B21" s="2293">
        <f>SUM(B20:S20)</f>
        <v>699813.61100000003</v>
      </c>
      <c r="C21" s="2293"/>
      <c r="O21" s="898"/>
      <c r="P21" s="898"/>
      <c r="Q21" s="898"/>
      <c r="R21" s="898"/>
      <c r="T21" s="2294" t="s">
        <v>366</v>
      </c>
      <c r="U21" s="2295"/>
      <c r="V21" s="2297"/>
      <c r="W21" s="2298"/>
      <c r="X21" s="2299"/>
      <c r="Y21" s="2269"/>
    </row>
    <row r="22" spans="1:25" ht="35.25" customHeight="1" x14ac:dyDescent="0.25">
      <c r="A22" s="15"/>
      <c r="B22" s="2288" t="s">
        <v>49</v>
      </c>
      <c r="C22" s="2291">
        <v>796318</v>
      </c>
      <c r="D22" s="2291">
        <v>400000</v>
      </c>
      <c r="E22" s="2291">
        <v>120000</v>
      </c>
      <c r="F22" s="2291">
        <f>C22-D22+E22</f>
        <v>516318</v>
      </c>
      <c r="G22" s="898"/>
      <c r="Q22" s="898"/>
      <c r="R22" s="898"/>
      <c r="T22" s="2251" t="s">
        <v>83</v>
      </c>
      <c r="U22" s="50" t="s">
        <v>60</v>
      </c>
      <c r="V22" s="2262">
        <v>616185</v>
      </c>
      <c r="W22" s="2262"/>
      <c r="X22" s="2262"/>
      <c r="Y22" s="2269"/>
    </row>
    <row r="23" spans="1:25" ht="39.75" customHeight="1" x14ac:dyDescent="0.25">
      <c r="A23" s="898"/>
      <c r="B23" s="2289"/>
      <c r="C23" s="2292"/>
      <c r="D23" s="2292"/>
      <c r="E23" s="2292"/>
      <c r="F23" s="2292"/>
      <c r="G23" s="898"/>
      <c r="Q23" s="898"/>
      <c r="R23" s="898"/>
      <c r="T23" s="2252"/>
      <c r="U23" s="50" t="s">
        <v>61</v>
      </c>
      <c r="V23" s="2262">
        <v>408485</v>
      </c>
      <c r="W23" s="2262"/>
      <c r="X23" s="2262"/>
      <c r="Y23" s="2269"/>
    </row>
    <row r="24" spans="1:25" ht="48" customHeight="1" x14ac:dyDescent="0.25">
      <c r="A24" s="898"/>
      <c r="B24" s="2290"/>
      <c r="C24" s="290" t="s">
        <v>46</v>
      </c>
      <c r="D24" s="290" t="s">
        <v>50</v>
      </c>
      <c r="E24" s="290" t="s">
        <v>51</v>
      </c>
      <c r="F24" s="290" t="s">
        <v>52</v>
      </c>
      <c r="G24" s="898"/>
      <c r="Q24" s="898"/>
      <c r="R24" s="898"/>
      <c r="T24" s="2235" t="s">
        <v>47</v>
      </c>
      <c r="U24" s="51" t="s">
        <v>62</v>
      </c>
      <c r="V24" s="2263">
        <f>V14+V16+V17-V18-V19-V20-V22+V23-V21</f>
        <v>87907.679999999935</v>
      </c>
      <c r="W24" s="2263"/>
      <c r="X24" s="2263"/>
      <c r="Y24" s="2269"/>
    </row>
    <row r="25" spans="1:25" ht="40.5" customHeight="1" x14ac:dyDescent="0.25">
      <c r="T25" s="2235"/>
      <c r="U25" s="51" t="s">
        <v>63</v>
      </c>
      <c r="V25" s="2262">
        <f>V15+V22-V23</f>
        <v>215220</v>
      </c>
      <c r="W25" s="2262"/>
      <c r="X25" s="2262"/>
    </row>
    <row r="26" spans="1:25" ht="36" customHeight="1" x14ac:dyDescent="0.25">
      <c r="K26" s="314"/>
    </row>
    <row r="28" spans="1:25" x14ac:dyDescent="0.25">
      <c r="J28" s="14" t="s">
        <v>139</v>
      </c>
    </row>
    <row r="32" spans="1:25" x14ac:dyDescent="0.25">
      <c r="I32" s="2280"/>
      <c r="J32" s="2280"/>
      <c r="K32" s="2280"/>
      <c r="L32" s="2280"/>
    </row>
    <row r="33" spans="9:12" x14ac:dyDescent="0.25">
      <c r="I33" s="898"/>
      <c r="J33" s="898"/>
      <c r="K33" s="2280"/>
      <c r="L33" s="2280"/>
    </row>
  </sheetData>
  <mergeCells count="62">
    <mergeCell ref="I32:J32"/>
    <mergeCell ref="K32:L32"/>
    <mergeCell ref="K33:L33"/>
    <mergeCell ref="T22:T23"/>
    <mergeCell ref="V22:X22"/>
    <mergeCell ref="V23:X23"/>
    <mergeCell ref="T24:T25"/>
    <mergeCell ref="V24:X24"/>
    <mergeCell ref="V25:X25"/>
    <mergeCell ref="Y18:Y24"/>
    <mergeCell ref="B19:C19"/>
    <mergeCell ref="Q19:R19"/>
    <mergeCell ref="T19:T20"/>
    <mergeCell ref="V19:X19"/>
    <mergeCell ref="B20:C20"/>
    <mergeCell ref="B22:B24"/>
    <mergeCell ref="C22:C23"/>
    <mergeCell ref="D22:D23"/>
    <mergeCell ref="E22:E23"/>
    <mergeCell ref="F22:F23"/>
    <mergeCell ref="Q20:R20"/>
    <mergeCell ref="V20:X20"/>
    <mergeCell ref="B21:C21"/>
    <mergeCell ref="T21:U21"/>
    <mergeCell ref="V21:X21"/>
    <mergeCell ref="B17:C17"/>
    <mergeCell ref="Q17:R17"/>
    <mergeCell ref="T17:U17"/>
    <mergeCell ref="V17:X17"/>
    <mergeCell ref="B18:C18"/>
    <mergeCell ref="Q18:R18"/>
    <mergeCell ref="T18:U18"/>
    <mergeCell ref="V18:X18"/>
    <mergeCell ref="W4:X4"/>
    <mergeCell ref="B16:C16"/>
    <mergeCell ref="Q16:R16"/>
    <mergeCell ref="T16:U16"/>
    <mergeCell ref="V16:X16"/>
    <mergeCell ref="A12:B12"/>
    <mergeCell ref="B14:C14"/>
    <mergeCell ref="Q14:R14"/>
    <mergeCell ref="T14:T15"/>
    <mergeCell ref="V14:X14"/>
    <mergeCell ref="B15:C15"/>
    <mergeCell ref="Q15:R15"/>
    <mergeCell ref="V15:X15"/>
    <mergeCell ref="A1:Y1"/>
    <mergeCell ref="A2:Y2"/>
    <mergeCell ref="T3:Y3"/>
    <mergeCell ref="A4:A5"/>
    <mergeCell ref="B4:B5"/>
    <mergeCell ref="C4:D4"/>
    <mergeCell ref="E4:F4"/>
    <mergeCell ref="G4:H4"/>
    <mergeCell ref="I4:J4"/>
    <mergeCell ref="K4:L4"/>
    <mergeCell ref="Y4:Y5"/>
    <mergeCell ref="M4:N4"/>
    <mergeCell ref="O4:P4"/>
    <mergeCell ref="Q4:R4"/>
    <mergeCell ref="S4:T4"/>
    <mergeCell ref="U4:V4"/>
  </mergeCells>
  <pageMargins left="0.15748031496063" right="0.15748031496063" top="0" bottom="0" header="0" footer="0"/>
  <pageSetup paperSize="9" scale="45" orientation="landscape" r:id="rId1"/>
</worksheet>
</file>

<file path=xl/worksheets/sheet18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722B510-ADCC-48D6-B68B-530DFF48F6A9}">
  <sheetPr>
    <pageSetUpPr fitToPage="1"/>
  </sheetPr>
  <dimension ref="A1:Y33"/>
  <sheetViews>
    <sheetView topLeftCell="A16" zoomScale="70" zoomScaleNormal="70" zoomScaleSheetLayoutView="100" workbookViewId="0">
      <selection activeCell="P24" sqref="P24"/>
    </sheetView>
  </sheetViews>
  <sheetFormatPr defaultColWidth="9.140625" defaultRowHeight="15" x14ac:dyDescent="0.25"/>
  <cols>
    <col min="1" max="1" width="18.28515625" style="14" customWidth="1"/>
    <col min="2" max="2" width="10.7109375" style="14" customWidth="1"/>
    <col min="3" max="3" width="12.28515625" style="14" customWidth="1"/>
    <col min="4" max="4" width="13.140625" style="14" bestFit="1" customWidth="1"/>
    <col min="5" max="5" width="12" style="14" customWidth="1"/>
    <col min="6" max="6" width="12.5703125" style="14" bestFit="1" customWidth="1"/>
    <col min="7" max="7" width="16" style="14" bestFit="1" customWidth="1"/>
    <col min="8" max="8" width="10.140625" style="14" bestFit="1" customWidth="1"/>
    <col min="9" max="9" width="10.5703125" style="14" bestFit="1" customWidth="1"/>
    <col min="10" max="10" width="10.5703125" style="14" customWidth="1"/>
    <col min="11" max="11" width="10.28515625" style="14" bestFit="1" customWidth="1"/>
    <col min="12" max="12" width="10.42578125" style="14" bestFit="1" customWidth="1"/>
    <col min="13" max="13" width="9.85546875" style="14" bestFit="1" customWidth="1"/>
    <col min="14" max="14" width="10.140625" style="14" bestFit="1" customWidth="1"/>
    <col min="15" max="15" width="9" style="14" customWidth="1"/>
    <col min="16" max="16" width="12.85546875" style="14" bestFit="1" customWidth="1"/>
    <col min="17" max="18" width="9.42578125" style="14" customWidth="1"/>
    <col min="19" max="19" width="13.7109375" style="14" customWidth="1"/>
    <col min="20" max="20" width="12.140625" style="14" customWidth="1"/>
    <col min="21" max="21" width="21.7109375" style="14" customWidth="1"/>
    <col min="22" max="22" width="9.85546875" style="14" customWidth="1"/>
    <col min="23" max="23" width="10.140625" style="14" bestFit="1" customWidth="1"/>
    <col min="24" max="24" width="10.28515625" style="14" customWidth="1"/>
    <col min="25" max="25" width="28" style="14" customWidth="1"/>
    <col min="26" max="16384" width="9.140625" style="14"/>
  </cols>
  <sheetData>
    <row r="1" spans="1:25" ht="46.15" customHeight="1" x14ac:dyDescent="0.25">
      <c r="A1" s="2240" t="s">
        <v>148</v>
      </c>
      <c r="B1" s="2240"/>
      <c r="C1" s="2240"/>
      <c r="D1" s="2240"/>
      <c r="E1" s="2240"/>
      <c r="F1" s="2240"/>
      <c r="G1" s="2240"/>
      <c r="H1" s="2240"/>
      <c r="I1" s="2240"/>
      <c r="J1" s="2240"/>
      <c r="K1" s="2240"/>
      <c r="L1" s="2240"/>
      <c r="M1" s="2240"/>
      <c r="N1" s="2240"/>
      <c r="O1" s="2240"/>
      <c r="P1" s="2240"/>
      <c r="Q1" s="2240"/>
      <c r="R1" s="2240"/>
      <c r="S1" s="2240"/>
      <c r="T1" s="2240"/>
      <c r="U1" s="2240"/>
      <c r="V1" s="2240"/>
      <c r="W1" s="2240"/>
      <c r="X1" s="2240"/>
      <c r="Y1" s="2240"/>
    </row>
    <row r="2" spans="1:25" ht="21.6" customHeight="1" x14ac:dyDescent="0.25">
      <c r="A2" s="2241" t="s">
        <v>383</v>
      </c>
      <c r="B2" s="2241"/>
      <c r="C2" s="2241"/>
      <c r="D2" s="2241"/>
      <c r="E2" s="2241"/>
      <c r="F2" s="2241"/>
      <c r="G2" s="2241"/>
      <c r="H2" s="2241"/>
      <c r="I2" s="2241"/>
      <c r="J2" s="2241"/>
      <c r="K2" s="2241"/>
      <c r="L2" s="2241"/>
      <c r="M2" s="2241"/>
      <c r="N2" s="2241"/>
      <c r="O2" s="2241"/>
      <c r="P2" s="2241"/>
      <c r="Q2" s="2241"/>
      <c r="R2" s="2241"/>
      <c r="S2" s="2241"/>
      <c r="T2" s="2241"/>
      <c r="U2" s="2241"/>
      <c r="V2" s="2241"/>
      <c r="W2" s="2241"/>
      <c r="X2" s="2241"/>
      <c r="Y2" s="2241"/>
    </row>
    <row r="3" spans="1:25" ht="21" customHeight="1" x14ac:dyDescent="0.25">
      <c r="A3" s="904"/>
      <c r="B3" s="904"/>
      <c r="C3" s="904"/>
      <c r="D3" s="904"/>
      <c r="E3" s="904"/>
      <c r="F3" s="904"/>
      <c r="G3" s="904"/>
      <c r="H3" s="904"/>
      <c r="I3" s="904"/>
      <c r="J3" s="904"/>
      <c r="K3" s="904"/>
      <c r="L3" s="904"/>
      <c r="M3" s="904"/>
      <c r="N3" s="904"/>
      <c r="O3" s="904"/>
      <c r="P3" s="904"/>
      <c r="Q3" s="904"/>
      <c r="R3" s="904"/>
      <c r="S3" s="904"/>
      <c r="T3" s="2242" t="s">
        <v>414</v>
      </c>
      <c r="U3" s="2242"/>
      <c r="V3" s="2242"/>
      <c r="W3" s="2242"/>
      <c r="X3" s="2242"/>
      <c r="Y3" s="2242"/>
    </row>
    <row r="4" spans="1:25" s="904" customFormat="1" ht="18" customHeight="1" x14ac:dyDescent="0.25">
      <c r="A4" s="2243" t="s">
        <v>25</v>
      </c>
      <c r="B4" s="2243" t="s">
        <v>26</v>
      </c>
      <c r="C4" s="2244" t="s">
        <v>27</v>
      </c>
      <c r="D4" s="2244"/>
      <c r="E4" s="2244" t="s">
        <v>342</v>
      </c>
      <c r="F4" s="2244"/>
      <c r="G4" s="2244" t="s">
        <v>65</v>
      </c>
      <c r="H4" s="2244"/>
      <c r="I4" s="2244" t="s">
        <v>29</v>
      </c>
      <c r="J4" s="2244"/>
      <c r="K4" s="2245" t="s">
        <v>14</v>
      </c>
      <c r="L4" s="2246"/>
      <c r="M4" s="2245" t="s">
        <v>67</v>
      </c>
      <c r="N4" s="2246"/>
      <c r="O4" s="2245" t="s">
        <v>68</v>
      </c>
      <c r="P4" s="2246"/>
      <c r="Q4" s="2245" t="s">
        <v>114</v>
      </c>
      <c r="R4" s="2246"/>
      <c r="S4" s="2244" t="s">
        <v>35</v>
      </c>
      <c r="T4" s="2244"/>
      <c r="U4" s="2245" t="s">
        <v>17</v>
      </c>
      <c r="V4" s="2246"/>
      <c r="W4" s="2247" t="s">
        <v>36</v>
      </c>
      <c r="X4" s="2248"/>
      <c r="Y4" s="2238" t="s">
        <v>30</v>
      </c>
    </row>
    <row r="5" spans="1:25" s="904" customFormat="1" ht="25.5" customHeight="1" x14ac:dyDescent="0.25">
      <c r="A5" s="2243"/>
      <c r="B5" s="2243"/>
      <c r="C5" s="903" t="s">
        <v>42</v>
      </c>
      <c r="D5" s="903" t="s">
        <v>43</v>
      </c>
      <c r="E5" s="903" t="s">
        <v>42</v>
      </c>
      <c r="F5" s="903" t="s">
        <v>43</v>
      </c>
      <c r="G5" s="903" t="s">
        <v>42</v>
      </c>
      <c r="H5" s="903" t="s">
        <v>43</v>
      </c>
      <c r="I5" s="903" t="s">
        <v>42</v>
      </c>
      <c r="J5" s="903" t="s">
        <v>43</v>
      </c>
      <c r="K5" s="903" t="s">
        <v>42</v>
      </c>
      <c r="L5" s="903" t="s">
        <v>43</v>
      </c>
      <c r="M5" s="903" t="s">
        <v>42</v>
      </c>
      <c r="N5" s="903" t="s">
        <v>43</v>
      </c>
      <c r="O5" s="903" t="s">
        <v>42</v>
      </c>
      <c r="P5" s="903" t="s">
        <v>43</v>
      </c>
      <c r="Q5" s="903" t="s">
        <v>42</v>
      </c>
      <c r="R5" s="903" t="s">
        <v>43</v>
      </c>
      <c r="S5" s="33" t="s">
        <v>42</v>
      </c>
      <c r="T5" s="33" t="s">
        <v>43</v>
      </c>
      <c r="U5" s="30" t="s">
        <v>42</v>
      </c>
      <c r="V5" s="30" t="s">
        <v>43</v>
      </c>
      <c r="W5" s="30" t="s">
        <v>42</v>
      </c>
      <c r="X5" s="30" t="s">
        <v>43</v>
      </c>
      <c r="Y5" s="2239"/>
    </row>
    <row r="6" spans="1:25" ht="34.5" customHeight="1" x14ac:dyDescent="0.25">
      <c r="A6" s="12">
        <v>1409935200</v>
      </c>
      <c r="B6" s="902" t="s">
        <v>71</v>
      </c>
      <c r="C6" s="900">
        <v>27579</v>
      </c>
      <c r="D6" s="899">
        <f>0.9725*C6</f>
        <v>26820.577499999999</v>
      </c>
      <c r="E6" s="900"/>
      <c r="F6" s="900">
        <f>67.1*E6</f>
        <v>0</v>
      </c>
      <c r="G6" s="900"/>
      <c r="H6" s="900">
        <f>28.2*G6</f>
        <v>0</v>
      </c>
      <c r="I6" s="900">
        <v>760</v>
      </c>
      <c r="J6" s="900">
        <f>18.5*I6</f>
        <v>14060</v>
      </c>
      <c r="K6" s="900"/>
      <c r="L6" s="900">
        <f>28.2368*K6</f>
        <v>0</v>
      </c>
      <c r="M6" s="900"/>
      <c r="N6" s="899">
        <f>M6*9.75</f>
        <v>0</v>
      </c>
      <c r="O6" s="900"/>
      <c r="P6" s="899">
        <f>O6*48.7</f>
        <v>0</v>
      </c>
      <c r="Q6" s="899"/>
      <c r="R6" s="899">
        <f>241*Q6</f>
        <v>0</v>
      </c>
      <c r="S6" s="900"/>
      <c r="T6" s="900">
        <f>241*S6</f>
        <v>0</v>
      </c>
      <c r="U6" s="900">
        <v>1</v>
      </c>
      <c r="V6" s="900">
        <f>332*U6</f>
        <v>332</v>
      </c>
      <c r="W6" s="900"/>
      <c r="X6" s="19">
        <f>W6*100</f>
        <v>0</v>
      </c>
      <c r="Y6" s="20">
        <f t="shared" ref="Y6:Y12" si="0">D6+F6+H6+J6+L6+N6+P6+R6+T6+V6+X6</f>
        <v>41212.577499999999</v>
      </c>
    </row>
    <row r="7" spans="1:25" ht="31.5" customHeight="1" x14ac:dyDescent="0.25">
      <c r="A7" s="12">
        <v>1984225578</v>
      </c>
      <c r="B7" s="902" t="s">
        <v>72</v>
      </c>
      <c r="C7" s="900">
        <v>29005</v>
      </c>
      <c r="D7" s="899">
        <f t="shared" ref="D7:D11" si="1">0.9725*C7</f>
        <v>28207.362499999999</v>
      </c>
      <c r="E7" s="900"/>
      <c r="F7" s="900">
        <f t="shared" ref="F7:F11" si="2">67.1*E7</f>
        <v>0</v>
      </c>
      <c r="G7" s="900"/>
      <c r="H7" s="900">
        <f t="shared" ref="H7:H11" si="3">28.2*G7</f>
        <v>0</v>
      </c>
      <c r="I7" s="900">
        <v>1140</v>
      </c>
      <c r="J7" s="900">
        <f t="shared" ref="J7:J11" si="4">18.5*I7</f>
        <v>21090</v>
      </c>
      <c r="K7" s="900"/>
      <c r="L7" s="900">
        <f t="shared" ref="L7:L11" si="5">28.2368*K7</f>
        <v>0</v>
      </c>
      <c r="M7" s="900"/>
      <c r="N7" s="899">
        <f t="shared" ref="N7:N11" si="6">M7*9.75</f>
        <v>0</v>
      </c>
      <c r="O7" s="900"/>
      <c r="P7" s="899">
        <f t="shared" ref="P7:P11" si="7">O7*48.7</f>
        <v>0</v>
      </c>
      <c r="Q7" s="899"/>
      <c r="R7" s="899">
        <f t="shared" ref="R7:R11" si="8">241*Q7</f>
        <v>0</v>
      </c>
      <c r="S7" s="900"/>
      <c r="T7" s="900">
        <f t="shared" ref="T7:T10" si="9">241*S7</f>
        <v>0</v>
      </c>
      <c r="U7" s="900"/>
      <c r="V7" s="900">
        <f t="shared" ref="V7:V11" si="10">332*U7</f>
        <v>0</v>
      </c>
      <c r="W7" s="900"/>
      <c r="X7" s="19">
        <f t="shared" ref="X7:X11" si="11">W7*100</f>
        <v>0</v>
      </c>
      <c r="Y7" s="20">
        <f t="shared" si="0"/>
        <v>49297.362500000003</v>
      </c>
    </row>
    <row r="8" spans="1:25" ht="35.25" customHeight="1" x14ac:dyDescent="0.25">
      <c r="A8" s="12">
        <v>1967020280</v>
      </c>
      <c r="B8" s="902" t="s">
        <v>73</v>
      </c>
      <c r="C8" s="900">
        <v>20757</v>
      </c>
      <c r="D8" s="899">
        <f t="shared" si="1"/>
        <v>20186.182499999999</v>
      </c>
      <c r="E8" s="900"/>
      <c r="F8" s="900">
        <f t="shared" si="2"/>
        <v>0</v>
      </c>
      <c r="G8" s="900"/>
      <c r="H8" s="900">
        <f t="shared" si="3"/>
        <v>0</v>
      </c>
      <c r="I8" s="900">
        <v>2100</v>
      </c>
      <c r="J8" s="900">
        <f t="shared" si="4"/>
        <v>38850</v>
      </c>
      <c r="K8" s="900"/>
      <c r="L8" s="900">
        <f t="shared" si="5"/>
        <v>0</v>
      </c>
      <c r="M8" s="900"/>
      <c r="N8" s="899">
        <f t="shared" si="6"/>
        <v>0</v>
      </c>
      <c r="O8" s="900"/>
      <c r="P8" s="899">
        <f t="shared" si="7"/>
        <v>0</v>
      </c>
      <c r="Q8" s="899"/>
      <c r="R8" s="899">
        <f t="shared" si="8"/>
        <v>0</v>
      </c>
      <c r="S8" s="900"/>
      <c r="T8" s="900">
        <f t="shared" si="9"/>
        <v>0</v>
      </c>
      <c r="U8" s="900"/>
      <c r="V8" s="900">
        <f t="shared" si="10"/>
        <v>0</v>
      </c>
      <c r="W8" s="900"/>
      <c r="X8" s="19">
        <f t="shared" si="11"/>
        <v>0</v>
      </c>
      <c r="Y8" s="20">
        <f t="shared" si="0"/>
        <v>59036.182499999995</v>
      </c>
    </row>
    <row r="9" spans="1:25" ht="38.25" customHeight="1" x14ac:dyDescent="0.25">
      <c r="A9" s="12">
        <v>1984225580</v>
      </c>
      <c r="B9" s="902" t="s">
        <v>75</v>
      </c>
      <c r="C9" s="900">
        <v>39114</v>
      </c>
      <c r="D9" s="899">
        <f t="shared" si="1"/>
        <v>38038.364999999998</v>
      </c>
      <c r="E9" s="900"/>
      <c r="F9" s="900">
        <f t="shared" si="2"/>
        <v>0</v>
      </c>
      <c r="G9" s="900"/>
      <c r="H9" s="900">
        <f t="shared" si="3"/>
        <v>0</v>
      </c>
      <c r="I9" s="900">
        <v>1830</v>
      </c>
      <c r="J9" s="900">
        <f t="shared" si="4"/>
        <v>33855</v>
      </c>
      <c r="K9" s="900"/>
      <c r="L9" s="900">
        <f t="shared" si="5"/>
        <v>0</v>
      </c>
      <c r="M9" s="900"/>
      <c r="N9" s="899">
        <f t="shared" si="6"/>
        <v>0</v>
      </c>
      <c r="O9" s="900"/>
      <c r="P9" s="899">
        <f t="shared" si="7"/>
        <v>0</v>
      </c>
      <c r="Q9" s="899"/>
      <c r="R9" s="899">
        <f t="shared" si="8"/>
        <v>0</v>
      </c>
      <c r="S9" s="900"/>
      <c r="T9" s="900">
        <f t="shared" si="9"/>
        <v>0</v>
      </c>
      <c r="U9" s="900"/>
      <c r="V9" s="900">
        <f t="shared" si="10"/>
        <v>0</v>
      </c>
      <c r="W9" s="900"/>
      <c r="X9" s="19">
        <f t="shared" si="11"/>
        <v>0</v>
      </c>
      <c r="Y9" s="20">
        <f t="shared" si="0"/>
        <v>71893.364999999991</v>
      </c>
    </row>
    <row r="10" spans="1:25" ht="35.25" customHeight="1" x14ac:dyDescent="0.25">
      <c r="A10" s="12">
        <v>1409935199</v>
      </c>
      <c r="C10" s="900"/>
      <c r="D10" s="899">
        <f t="shared" si="1"/>
        <v>0</v>
      </c>
      <c r="E10" s="900"/>
      <c r="F10" s="900">
        <f t="shared" si="2"/>
        <v>0</v>
      </c>
      <c r="G10" s="900"/>
      <c r="H10" s="900">
        <f t="shared" si="3"/>
        <v>0</v>
      </c>
      <c r="I10" s="900"/>
      <c r="J10" s="900">
        <f t="shared" si="4"/>
        <v>0</v>
      </c>
      <c r="K10" s="900"/>
      <c r="L10" s="900">
        <f t="shared" si="5"/>
        <v>0</v>
      </c>
      <c r="M10" s="900"/>
      <c r="N10" s="899">
        <f t="shared" si="6"/>
        <v>0</v>
      </c>
      <c r="O10" s="900"/>
      <c r="P10" s="899">
        <f t="shared" si="7"/>
        <v>0</v>
      </c>
      <c r="Q10" s="899"/>
      <c r="R10" s="899">
        <f t="shared" si="8"/>
        <v>0</v>
      </c>
      <c r="S10" s="900">
        <v>16</v>
      </c>
      <c r="T10" s="900">
        <f t="shared" si="9"/>
        <v>3856</v>
      </c>
      <c r="U10" s="900"/>
      <c r="V10" s="900">
        <f t="shared" si="10"/>
        <v>0</v>
      </c>
      <c r="W10" s="900"/>
      <c r="X10" s="19">
        <f t="shared" si="11"/>
        <v>0</v>
      </c>
      <c r="Y10" s="20">
        <f t="shared" si="0"/>
        <v>3856</v>
      </c>
    </row>
    <row r="11" spans="1:25" ht="37.5" customHeight="1" x14ac:dyDescent="0.25">
      <c r="A11" s="12"/>
      <c r="B11" s="901"/>
      <c r="C11" s="900"/>
      <c r="D11" s="22">
        <f t="shared" si="1"/>
        <v>0</v>
      </c>
      <c r="E11" s="900"/>
      <c r="F11" s="900">
        <f t="shared" si="2"/>
        <v>0</v>
      </c>
      <c r="G11" s="900"/>
      <c r="H11" s="900">
        <f t="shared" si="3"/>
        <v>0</v>
      </c>
      <c r="I11" s="900"/>
      <c r="J11" s="900">
        <f t="shared" si="4"/>
        <v>0</v>
      </c>
      <c r="K11" s="900"/>
      <c r="L11" s="900">
        <f t="shared" si="5"/>
        <v>0</v>
      </c>
      <c r="M11" s="900"/>
      <c r="N11" s="899">
        <f t="shared" si="6"/>
        <v>0</v>
      </c>
      <c r="O11" s="900"/>
      <c r="P11" s="899">
        <f t="shared" si="7"/>
        <v>0</v>
      </c>
      <c r="Q11" s="899"/>
      <c r="R11" s="899">
        <f t="shared" si="8"/>
        <v>0</v>
      </c>
      <c r="S11" s="900">
        <v>28</v>
      </c>
      <c r="T11" s="900">
        <f>341*S11</f>
        <v>9548</v>
      </c>
      <c r="U11" s="900"/>
      <c r="V11" s="900">
        <f t="shared" si="10"/>
        <v>0</v>
      </c>
      <c r="W11" s="900"/>
      <c r="X11" s="19">
        <f t="shared" si="11"/>
        <v>0</v>
      </c>
      <c r="Y11" s="20">
        <f t="shared" si="0"/>
        <v>9548</v>
      </c>
    </row>
    <row r="12" spans="1:25" ht="29.25" customHeight="1" x14ac:dyDescent="0.25">
      <c r="A12" s="2235" t="s">
        <v>31</v>
      </c>
      <c r="B12" s="2235"/>
      <c r="C12" s="18">
        <f t="shared" ref="C12:X12" si="12">SUM(C6:C11)</f>
        <v>116455</v>
      </c>
      <c r="D12" s="18">
        <f t="shared" si="12"/>
        <v>113252.48749999999</v>
      </c>
      <c r="E12" s="18">
        <f t="shared" si="12"/>
        <v>0</v>
      </c>
      <c r="F12" s="18">
        <f t="shared" si="12"/>
        <v>0</v>
      </c>
      <c r="G12" s="18">
        <f t="shared" si="12"/>
        <v>0</v>
      </c>
      <c r="H12" s="18">
        <f t="shared" si="12"/>
        <v>0</v>
      </c>
      <c r="I12" s="18">
        <f t="shared" si="12"/>
        <v>5830</v>
      </c>
      <c r="J12" s="18">
        <f t="shared" si="12"/>
        <v>107855</v>
      </c>
      <c r="K12" s="18">
        <f t="shared" si="12"/>
        <v>0</v>
      </c>
      <c r="L12" s="18">
        <f t="shared" si="12"/>
        <v>0</v>
      </c>
      <c r="M12" s="18">
        <f t="shared" si="12"/>
        <v>0</v>
      </c>
      <c r="N12" s="23">
        <f t="shared" si="12"/>
        <v>0</v>
      </c>
      <c r="O12" s="18">
        <f t="shared" si="12"/>
        <v>0</v>
      </c>
      <c r="P12" s="23">
        <f t="shared" si="12"/>
        <v>0</v>
      </c>
      <c r="Q12" s="23">
        <f t="shared" si="12"/>
        <v>0</v>
      </c>
      <c r="R12" s="23">
        <f>SUM(R6:R11)</f>
        <v>0</v>
      </c>
      <c r="S12" s="23">
        <f>SUM(S6:S11)</f>
        <v>44</v>
      </c>
      <c r="T12" s="18">
        <f t="shared" si="12"/>
        <v>13404</v>
      </c>
      <c r="U12" s="18">
        <f t="shared" si="12"/>
        <v>1</v>
      </c>
      <c r="V12" s="18">
        <f t="shared" si="12"/>
        <v>332</v>
      </c>
      <c r="W12" s="18">
        <f t="shared" si="12"/>
        <v>0</v>
      </c>
      <c r="X12" s="18">
        <f t="shared" si="12"/>
        <v>0</v>
      </c>
      <c r="Y12" s="20">
        <f t="shared" si="0"/>
        <v>234843.48749999999</v>
      </c>
    </row>
    <row r="14" spans="1:25" ht="43.5" customHeight="1" x14ac:dyDescent="0.25">
      <c r="A14" s="30" t="s">
        <v>32</v>
      </c>
      <c r="B14" s="2236" t="s">
        <v>27</v>
      </c>
      <c r="C14" s="2236"/>
      <c r="D14" s="30" t="s">
        <v>333</v>
      </c>
      <c r="E14" s="30" t="s">
        <v>65</v>
      </c>
      <c r="F14" s="30" t="s">
        <v>34</v>
      </c>
      <c r="G14" s="30" t="s">
        <v>14</v>
      </c>
      <c r="H14" s="469" t="s">
        <v>173</v>
      </c>
      <c r="I14" s="30" t="s">
        <v>17</v>
      </c>
      <c r="J14" s="908" t="s">
        <v>174</v>
      </c>
      <c r="K14" s="30" t="s">
        <v>36</v>
      </c>
      <c r="L14" s="908" t="s">
        <v>403</v>
      </c>
      <c r="M14" s="30" t="s">
        <v>69</v>
      </c>
      <c r="N14" s="30" t="s">
        <v>70</v>
      </c>
      <c r="O14" s="908" t="s">
        <v>114</v>
      </c>
      <c r="P14" s="908" t="s">
        <v>402</v>
      </c>
      <c r="Q14" s="2300" t="s">
        <v>378</v>
      </c>
      <c r="R14" s="2301"/>
      <c r="S14" s="908" t="s">
        <v>401</v>
      </c>
      <c r="T14" s="2235" t="s">
        <v>46</v>
      </c>
      <c r="U14" s="902" t="s">
        <v>176</v>
      </c>
      <c r="V14" s="2260">
        <v>87908</v>
      </c>
      <c r="W14" s="2268"/>
      <c r="X14" s="2261"/>
    </row>
    <row r="15" spans="1:25" ht="22.5" customHeight="1" x14ac:dyDescent="0.25">
      <c r="A15" s="100" t="s">
        <v>38</v>
      </c>
      <c r="B15" s="2260">
        <v>338870</v>
      </c>
      <c r="C15" s="2261"/>
      <c r="D15" s="905">
        <v>502</v>
      </c>
      <c r="E15" s="905">
        <v>370</v>
      </c>
      <c r="F15" s="905">
        <v>9780</v>
      </c>
      <c r="G15" s="905">
        <v>0</v>
      </c>
      <c r="H15" s="905">
        <v>473</v>
      </c>
      <c r="I15" s="905">
        <v>5</v>
      </c>
      <c r="J15" s="905">
        <v>1</v>
      </c>
      <c r="K15" s="905">
        <v>71</v>
      </c>
      <c r="L15" s="905">
        <v>0</v>
      </c>
      <c r="M15" s="905">
        <v>0</v>
      </c>
      <c r="N15" s="905">
        <v>100</v>
      </c>
      <c r="O15" s="905">
        <v>0</v>
      </c>
      <c r="P15" s="905">
        <v>15</v>
      </c>
      <c r="Q15" s="2260">
        <v>0</v>
      </c>
      <c r="R15" s="2261"/>
      <c r="S15" s="902">
        <v>81</v>
      </c>
      <c r="T15" s="2235"/>
      <c r="U15" s="902" t="s">
        <v>64</v>
      </c>
      <c r="V15" s="2262">
        <v>215220</v>
      </c>
      <c r="W15" s="2262"/>
      <c r="X15" s="2262"/>
    </row>
    <row r="16" spans="1:25" ht="24.75" customHeight="1" x14ac:dyDescent="0.25">
      <c r="A16" s="100" t="s">
        <v>39</v>
      </c>
      <c r="B16" s="2260">
        <v>103896</v>
      </c>
      <c r="C16" s="2261"/>
      <c r="D16" s="905"/>
      <c r="E16" s="905"/>
      <c r="F16" s="905"/>
      <c r="G16" s="905"/>
      <c r="H16" s="905"/>
      <c r="I16" s="905"/>
      <c r="J16" s="905"/>
      <c r="K16" s="905"/>
      <c r="L16" s="905"/>
      <c r="M16" s="905"/>
      <c r="N16" s="905"/>
      <c r="O16" s="905"/>
      <c r="P16" s="905"/>
      <c r="Q16" s="2225"/>
      <c r="R16" s="2225"/>
      <c r="S16" s="905"/>
      <c r="T16" s="2254" t="s">
        <v>55</v>
      </c>
      <c r="U16" s="2254"/>
      <c r="V16" s="2267">
        <f>Y12</f>
        <v>234843.48749999999</v>
      </c>
      <c r="W16" s="2267"/>
      <c r="X16" s="2262"/>
    </row>
    <row r="17" spans="1:25" ht="28.5" customHeight="1" x14ac:dyDescent="0.25">
      <c r="A17" s="101" t="s">
        <v>44</v>
      </c>
      <c r="B17" s="2260"/>
      <c r="C17" s="2261"/>
      <c r="D17" s="905"/>
      <c r="E17" s="905"/>
      <c r="F17" s="905"/>
      <c r="G17" s="905"/>
      <c r="H17" s="905"/>
      <c r="I17" s="905"/>
      <c r="J17" s="905"/>
      <c r="K17" s="905"/>
      <c r="L17" s="905"/>
      <c r="M17" s="905"/>
      <c r="N17" s="905"/>
      <c r="O17" s="905"/>
      <c r="P17" s="905"/>
      <c r="Q17" s="2225"/>
      <c r="R17" s="2225"/>
      <c r="S17" s="901"/>
      <c r="T17" s="2294" t="s">
        <v>362</v>
      </c>
      <c r="U17" s="2295"/>
      <c r="V17" s="2296"/>
      <c r="W17" s="2296"/>
      <c r="X17" s="2296"/>
    </row>
    <row r="18" spans="1:25" ht="27" customHeight="1" x14ac:dyDescent="0.25">
      <c r="A18" s="100" t="s">
        <v>40</v>
      </c>
      <c r="B18" s="2264">
        <f>C12</f>
        <v>116455</v>
      </c>
      <c r="C18" s="2261"/>
      <c r="D18" s="907">
        <f>E12</f>
        <v>0</v>
      </c>
      <c r="E18" s="907">
        <f>G12</f>
        <v>0</v>
      </c>
      <c r="F18" s="907">
        <f>I12</f>
        <v>5830</v>
      </c>
      <c r="G18" s="907">
        <f>K12</f>
        <v>0</v>
      </c>
      <c r="H18" s="905"/>
      <c r="I18" s="907">
        <f>U12</f>
        <v>1</v>
      </c>
      <c r="J18" s="905">
        <v>1</v>
      </c>
      <c r="K18" s="907">
        <f>W12</f>
        <v>0</v>
      </c>
      <c r="L18" s="905"/>
      <c r="M18" s="907">
        <f>M12</f>
        <v>0</v>
      </c>
      <c r="N18" s="907"/>
      <c r="O18" s="906">
        <f>Q12</f>
        <v>0</v>
      </c>
      <c r="P18" s="907">
        <v>15</v>
      </c>
      <c r="Q18" s="2262"/>
      <c r="R18" s="2262"/>
      <c r="S18" s="902">
        <v>28</v>
      </c>
      <c r="T18" s="2254" t="s">
        <v>57</v>
      </c>
      <c r="U18" s="2254"/>
      <c r="V18" s="2262">
        <v>78134</v>
      </c>
      <c r="W18" s="2262"/>
      <c r="X18" s="2262"/>
      <c r="Y18" s="2269"/>
    </row>
    <row r="19" spans="1:25" ht="25.5" customHeight="1" x14ac:dyDescent="0.25">
      <c r="A19" s="100" t="s">
        <v>41</v>
      </c>
      <c r="B19" s="2260">
        <f>B15+B16+B17-B18</f>
        <v>326311</v>
      </c>
      <c r="C19" s="2261"/>
      <c r="D19" s="905">
        <f>D15+D16+D17-D18</f>
        <v>502</v>
      </c>
      <c r="E19" s="905">
        <f t="shared" ref="E19:N19" si="13">E15+E16+E17-E18</f>
        <v>370</v>
      </c>
      <c r="F19" s="905">
        <f t="shared" si="13"/>
        <v>3950</v>
      </c>
      <c r="G19" s="905">
        <f t="shared" si="13"/>
        <v>0</v>
      </c>
      <c r="H19" s="905">
        <f t="shared" si="13"/>
        <v>473</v>
      </c>
      <c r="I19" s="905">
        <f t="shared" si="13"/>
        <v>4</v>
      </c>
      <c r="J19" s="905">
        <f t="shared" si="13"/>
        <v>0</v>
      </c>
      <c r="K19" s="905">
        <f t="shared" si="13"/>
        <v>71</v>
      </c>
      <c r="L19" s="905">
        <f t="shared" si="13"/>
        <v>0</v>
      </c>
      <c r="M19" s="905">
        <f t="shared" si="13"/>
        <v>0</v>
      </c>
      <c r="N19" s="905">
        <f t="shared" si="13"/>
        <v>100</v>
      </c>
      <c r="O19" s="905">
        <f>O15+O16+O17-O18</f>
        <v>0</v>
      </c>
      <c r="P19" s="905">
        <f>P15+P16+P17-P18</f>
        <v>0</v>
      </c>
      <c r="Q19" s="2260">
        <f t="shared" ref="Q19" si="14">Q15+Q16+Q17-Q18</f>
        <v>0</v>
      </c>
      <c r="R19" s="2261"/>
      <c r="S19" s="902">
        <f>S15+S16-S17-S18</f>
        <v>53</v>
      </c>
      <c r="T19" s="2256" t="s">
        <v>48</v>
      </c>
      <c r="U19" s="49" t="s">
        <v>58</v>
      </c>
      <c r="V19" s="2262">
        <v>120000</v>
      </c>
      <c r="W19" s="2262"/>
      <c r="X19" s="2262"/>
      <c r="Y19" s="2269"/>
    </row>
    <row r="20" spans="1:25" ht="23.25" customHeight="1" x14ac:dyDescent="0.25">
      <c r="A20" s="289" t="s">
        <v>187</v>
      </c>
      <c r="B20" s="2286">
        <f>B19*0.9625</f>
        <v>314074.33750000002</v>
      </c>
      <c r="C20" s="2287"/>
      <c r="D20" s="290">
        <f>D19*66.41</f>
        <v>33337.82</v>
      </c>
      <c r="E20" s="290">
        <f>27.9368*E19</f>
        <v>10336.616</v>
      </c>
      <c r="F20" s="290">
        <f>18.31*F19</f>
        <v>72324.5</v>
      </c>
      <c r="G20" s="290">
        <f>27.9368*G19</f>
        <v>0</v>
      </c>
      <c r="H20" s="290">
        <f>241*H19</f>
        <v>113993</v>
      </c>
      <c r="I20" s="290">
        <f>323*I19</f>
        <v>1292</v>
      </c>
      <c r="J20" s="290">
        <f>241*J19</f>
        <v>0</v>
      </c>
      <c r="K20" s="290">
        <f>K19*100</f>
        <v>7100</v>
      </c>
      <c r="L20" s="290">
        <f>241*L19</f>
        <v>0</v>
      </c>
      <c r="M20" s="290">
        <f>9.65*M19</f>
        <v>0</v>
      </c>
      <c r="N20" s="290">
        <f>N19*48.2</f>
        <v>4820</v>
      </c>
      <c r="O20" s="290">
        <f>241*O19</f>
        <v>0</v>
      </c>
      <c r="P20" s="290">
        <f>241*P19</f>
        <v>0</v>
      </c>
      <c r="Q20" s="2286">
        <f>341*Q19</f>
        <v>0</v>
      </c>
      <c r="R20" s="2287"/>
      <c r="S20" s="290">
        <f>341*S19</f>
        <v>18073</v>
      </c>
      <c r="T20" s="2257"/>
      <c r="U20" s="49" t="s">
        <v>59</v>
      </c>
      <c r="V20" s="2262"/>
      <c r="W20" s="2262"/>
      <c r="X20" s="2262"/>
      <c r="Y20" s="2269"/>
    </row>
    <row r="21" spans="1:25" ht="32.25" customHeight="1" x14ac:dyDescent="0.25">
      <c r="A21" s="291" t="s">
        <v>186</v>
      </c>
      <c r="B21" s="2293">
        <f>SUM(B20:S20)</f>
        <v>575351.27350000001</v>
      </c>
      <c r="C21" s="2293"/>
      <c r="O21" s="909"/>
      <c r="P21" s="909"/>
      <c r="Q21" s="909"/>
      <c r="R21" s="909"/>
      <c r="T21" s="2294" t="s">
        <v>366</v>
      </c>
      <c r="U21" s="2295"/>
      <c r="V21" s="2297"/>
      <c r="W21" s="2298"/>
      <c r="X21" s="2299"/>
      <c r="Y21" s="2269"/>
    </row>
    <row r="22" spans="1:25" ht="35.25" customHeight="1" x14ac:dyDescent="0.25">
      <c r="A22" s="15"/>
      <c r="B22" s="2288" t="s">
        <v>49</v>
      </c>
      <c r="C22" s="2291">
        <v>516318</v>
      </c>
      <c r="D22" s="2291">
        <v>120000</v>
      </c>
      <c r="E22" s="2291">
        <v>100000</v>
      </c>
      <c r="F22" s="2291">
        <f>C22-D22+E22</f>
        <v>496318</v>
      </c>
      <c r="G22" s="909"/>
      <c r="Q22" s="909"/>
      <c r="R22" s="909"/>
      <c r="T22" s="2251" t="s">
        <v>83</v>
      </c>
      <c r="U22" s="50" t="s">
        <v>60</v>
      </c>
      <c r="V22" s="2262">
        <v>157220</v>
      </c>
      <c r="W22" s="2262"/>
      <c r="X22" s="2262"/>
      <c r="Y22" s="2269"/>
    </row>
    <row r="23" spans="1:25" ht="39.75" customHeight="1" x14ac:dyDescent="0.25">
      <c r="A23" s="909"/>
      <c r="B23" s="2289"/>
      <c r="C23" s="2292"/>
      <c r="D23" s="2292"/>
      <c r="E23" s="2292"/>
      <c r="F23" s="2292"/>
      <c r="G23" s="909"/>
      <c r="Q23" s="909"/>
      <c r="R23" s="909"/>
      <c r="T23" s="2252"/>
      <c r="U23" s="50" t="s">
        <v>61</v>
      </c>
      <c r="V23" s="2262">
        <v>120000</v>
      </c>
      <c r="W23" s="2262"/>
      <c r="X23" s="2262"/>
      <c r="Y23" s="2269"/>
    </row>
    <row r="24" spans="1:25" ht="48" customHeight="1" x14ac:dyDescent="0.25">
      <c r="A24" s="909"/>
      <c r="B24" s="2290"/>
      <c r="C24" s="290" t="s">
        <v>46</v>
      </c>
      <c r="D24" s="290" t="s">
        <v>50</v>
      </c>
      <c r="E24" s="290" t="s">
        <v>51</v>
      </c>
      <c r="F24" s="290" t="s">
        <v>52</v>
      </c>
      <c r="G24" s="909"/>
      <c r="Q24" s="909"/>
      <c r="R24" s="909"/>
      <c r="T24" s="2235" t="s">
        <v>47</v>
      </c>
      <c r="U24" s="51" t="s">
        <v>62</v>
      </c>
      <c r="V24" s="2263">
        <f>V14+V16+V17-V18-V19-V20-V22+V23-V21</f>
        <v>87397.487499999988</v>
      </c>
      <c r="W24" s="2263"/>
      <c r="X24" s="2263"/>
      <c r="Y24" s="2269"/>
    </row>
    <row r="25" spans="1:25" ht="40.5" customHeight="1" x14ac:dyDescent="0.25">
      <c r="T25" s="2235"/>
      <c r="U25" s="51" t="s">
        <v>63</v>
      </c>
      <c r="V25" s="2262">
        <f>V15+V22-V23</f>
        <v>252440</v>
      </c>
      <c r="W25" s="2262"/>
      <c r="X25" s="2262"/>
    </row>
    <row r="26" spans="1:25" ht="36" customHeight="1" x14ac:dyDescent="0.25">
      <c r="K26" s="314"/>
    </row>
    <row r="28" spans="1:25" x14ac:dyDescent="0.25">
      <c r="J28" s="14" t="s">
        <v>139</v>
      </c>
    </row>
    <row r="32" spans="1:25" x14ac:dyDescent="0.25">
      <c r="I32" s="2280"/>
      <c r="J32" s="2280"/>
      <c r="K32" s="2280"/>
      <c r="L32" s="2280"/>
    </row>
    <row r="33" spans="9:12" x14ac:dyDescent="0.25">
      <c r="I33" s="909"/>
      <c r="J33" s="909"/>
      <c r="K33" s="2280"/>
      <c r="L33" s="2280"/>
    </row>
  </sheetData>
  <mergeCells count="62">
    <mergeCell ref="A1:Y1"/>
    <mergeCell ref="A2:Y2"/>
    <mergeCell ref="T3:Y3"/>
    <mergeCell ref="A4:A5"/>
    <mergeCell ref="B4:B5"/>
    <mergeCell ref="C4:D4"/>
    <mergeCell ref="E4:F4"/>
    <mergeCell ref="G4:H4"/>
    <mergeCell ref="I4:J4"/>
    <mergeCell ref="K4:L4"/>
    <mergeCell ref="Y4:Y5"/>
    <mergeCell ref="M4:N4"/>
    <mergeCell ref="O4:P4"/>
    <mergeCell ref="Q4:R4"/>
    <mergeCell ref="S4:T4"/>
    <mergeCell ref="U4:V4"/>
    <mergeCell ref="W4:X4"/>
    <mergeCell ref="B16:C16"/>
    <mergeCell ref="Q16:R16"/>
    <mergeCell ref="T16:U16"/>
    <mergeCell ref="V16:X16"/>
    <mergeCell ref="A12:B12"/>
    <mergeCell ref="B14:C14"/>
    <mergeCell ref="Q14:R14"/>
    <mergeCell ref="T14:T15"/>
    <mergeCell ref="V14:X14"/>
    <mergeCell ref="B15:C15"/>
    <mergeCell ref="Q15:R15"/>
    <mergeCell ref="V15:X15"/>
    <mergeCell ref="B17:C17"/>
    <mergeCell ref="Q17:R17"/>
    <mergeCell ref="T17:U17"/>
    <mergeCell ref="V17:X17"/>
    <mergeCell ref="B18:C18"/>
    <mergeCell ref="Q18:R18"/>
    <mergeCell ref="T18:U18"/>
    <mergeCell ref="V18:X18"/>
    <mergeCell ref="Y18:Y24"/>
    <mergeCell ref="B19:C19"/>
    <mergeCell ref="Q19:R19"/>
    <mergeCell ref="T19:T20"/>
    <mergeCell ref="V19:X19"/>
    <mergeCell ref="B20:C20"/>
    <mergeCell ref="B22:B24"/>
    <mergeCell ref="C22:C23"/>
    <mergeCell ref="D22:D23"/>
    <mergeCell ref="E22:E23"/>
    <mergeCell ref="F22:F23"/>
    <mergeCell ref="Q20:R20"/>
    <mergeCell ref="V20:X20"/>
    <mergeCell ref="B21:C21"/>
    <mergeCell ref="T21:U21"/>
    <mergeCell ref="V21:X21"/>
    <mergeCell ref="I32:J32"/>
    <mergeCell ref="K32:L32"/>
    <mergeCell ref="K33:L33"/>
    <mergeCell ref="T22:T23"/>
    <mergeCell ref="V22:X22"/>
    <mergeCell ref="V23:X23"/>
    <mergeCell ref="T24:T25"/>
    <mergeCell ref="V24:X24"/>
    <mergeCell ref="V25:X25"/>
  </mergeCells>
  <pageMargins left="0.15748031496063" right="0.15748031496063" top="0" bottom="0" header="0" footer="0"/>
  <pageSetup paperSize="9" scale="45" orientation="landscape" r:id="rId1"/>
</worksheet>
</file>

<file path=xl/worksheets/sheet19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384E2C3-3272-4CE9-AEB4-1A812970B5A4}">
  <sheetPr>
    <pageSetUpPr fitToPage="1"/>
  </sheetPr>
  <dimension ref="A1:Y33"/>
  <sheetViews>
    <sheetView topLeftCell="A12" zoomScale="70" zoomScaleNormal="70" zoomScaleSheetLayoutView="100" workbookViewId="0">
      <selection activeCell="P27" sqref="P27"/>
    </sheetView>
  </sheetViews>
  <sheetFormatPr defaultColWidth="9.140625" defaultRowHeight="15" x14ac:dyDescent="0.25"/>
  <cols>
    <col min="1" max="1" width="18.28515625" style="14" customWidth="1"/>
    <col min="2" max="2" width="10.7109375" style="14" customWidth="1"/>
    <col min="3" max="3" width="12.28515625" style="14" customWidth="1"/>
    <col min="4" max="4" width="13.140625" style="14" bestFit="1" customWidth="1"/>
    <col min="5" max="5" width="12" style="14" customWidth="1"/>
    <col min="6" max="6" width="12.5703125" style="14" bestFit="1" customWidth="1"/>
    <col min="7" max="7" width="16" style="14" bestFit="1" customWidth="1"/>
    <col min="8" max="8" width="10.140625" style="14" bestFit="1" customWidth="1"/>
    <col min="9" max="9" width="10.5703125" style="14" bestFit="1" customWidth="1"/>
    <col min="10" max="10" width="10.5703125" style="14" customWidth="1"/>
    <col min="11" max="11" width="10.28515625" style="14" bestFit="1" customWidth="1"/>
    <col min="12" max="12" width="10.42578125" style="14" bestFit="1" customWidth="1"/>
    <col min="13" max="13" width="9.85546875" style="14" bestFit="1" customWidth="1"/>
    <col min="14" max="14" width="10.140625" style="14" bestFit="1" customWidth="1"/>
    <col min="15" max="15" width="9" style="14" customWidth="1"/>
    <col min="16" max="16" width="12.85546875" style="14" bestFit="1" customWidth="1"/>
    <col min="17" max="18" width="9.42578125" style="14" customWidth="1"/>
    <col min="19" max="19" width="13.7109375" style="14" customWidth="1"/>
    <col min="20" max="20" width="12.140625" style="14" customWidth="1"/>
    <col min="21" max="21" width="21.7109375" style="14" customWidth="1"/>
    <col min="22" max="22" width="9.85546875" style="14" customWidth="1"/>
    <col min="23" max="23" width="10.140625" style="14" bestFit="1" customWidth="1"/>
    <col min="24" max="24" width="10.28515625" style="14" customWidth="1"/>
    <col min="25" max="25" width="28" style="14" customWidth="1"/>
    <col min="26" max="16384" width="9.140625" style="14"/>
  </cols>
  <sheetData>
    <row r="1" spans="1:25" ht="46.15" customHeight="1" x14ac:dyDescent="0.25">
      <c r="A1" s="2240" t="s">
        <v>148</v>
      </c>
      <c r="B1" s="2240"/>
      <c r="C1" s="2240"/>
      <c r="D1" s="2240"/>
      <c r="E1" s="2240"/>
      <c r="F1" s="2240"/>
      <c r="G1" s="2240"/>
      <c r="H1" s="2240"/>
      <c r="I1" s="2240"/>
      <c r="J1" s="2240"/>
      <c r="K1" s="2240"/>
      <c r="L1" s="2240"/>
      <c r="M1" s="2240"/>
      <c r="N1" s="2240"/>
      <c r="O1" s="2240"/>
      <c r="P1" s="2240"/>
      <c r="Q1" s="2240"/>
      <c r="R1" s="2240"/>
      <c r="S1" s="2240"/>
      <c r="T1" s="2240"/>
      <c r="U1" s="2240"/>
      <c r="V1" s="2240"/>
      <c r="W1" s="2240"/>
      <c r="X1" s="2240"/>
      <c r="Y1" s="2240"/>
    </row>
    <row r="2" spans="1:25" ht="21.6" customHeight="1" x14ac:dyDescent="0.25">
      <c r="A2" s="2241" t="s">
        <v>383</v>
      </c>
      <c r="B2" s="2241"/>
      <c r="C2" s="2241"/>
      <c r="D2" s="2241"/>
      <c r="E2" s="2241"/>
      <c r="F2" s="2241"/>
      <c r="G2" s="2241"/>
      <c r="H2" s="2241"/>
      <c r="I2" s="2241"/>
      <c r="J2" s="2241"/>
      <c r="K2" s="2241"/>
      <c r="L2" s="2241"/>
      <c r="M2" s="2241"/>
      <c r="N2" s="2241"/>
      <c r="O2" s="2241"/>
      <c r="P2" s="2241"/>
      <c r="Q2" s="2241"/>
      <c r="R2" s="2241"/>
      <c r="S2" s="2241"/>
      <c r="T2" s="2241"/>
      <c r="U2" s="2241"/>
      <c r="V2" s="2241"/>
      <c r="W2" s="2241"/>
      <c r="X2" s="2241"/>
      <c r="Y2" s="2241"/>
    </row>
    <row r="3" spans="1:25" ht="21" customHeight="1" x14ac:dyDescent="0.25">
      <c r="A3" s="910"/>
      <c r="B3" s="910"/>
      <c r="C3" s="910"/>
      <c r="D3" s="910"/>
      <c r="E3" s="910"/>
      <c r="F3" s="910"/>
      <c r="G3" s="910"/>
      <c r="H3" s="910"/>
      <c r="I3" s="910"/>
      <c r="J3" s="910"/>
      <c r="K3" s="910"/>
      <c r="L3" s="910"/>
      <c r="M3" s="910"/>
      <c r="N3" s="910"/>
      <c r="O3" s="910"/>
      <c r="P3" s="910"/>
      <c r="Q3" s="910"/>
      <c r="R3" s="910"/>
      <c r="S3" s="910"/>
      <c r="T3" s="2242" t="s">
        <v>415</v>
      </c>
      <c r="U3" s="2242"/>
      <c r="V3" s="2242"/>
      <c r="W3" s="2242"/>
      <c r="X3" s="2242"/>
      <c r="Y3" s="2242"/>
    </row>
    <row r="4" spans="1:25" s="910" customFormat="1" ht="18" customHeight="1" x14ac:dyDescent="0.25">
      <c r="A4" s="2243" t="s">
        <v>25</v>
      </c>
      <c r="B4" s="2243" t="s">
        <v>26</v>
      </c>
      <c r="C4" s="2244" t="s">
        <v>27</v>
      </c>
      <c r="D4" s="2244"/>
      <c r="E4" s="2244" t="s">
        <v>342</v>
      </c>
      <c r="F4" s="2244"/>
      <c r="G4" s="2244" t="s">
        <v>65</v>
      </c>
      <c r="H4" s="2244"/>
      <c r="I4" s="2244" t="s">
        <v>29</v>
      </c>
      <c r="J4" s="2244"/>
      <c r="K4" s="2245" t="s">
        <v>14</v>
      </c>
      <c r="L4" s="2246"/>
      <c r="M4" s="2245" t="s">
        <v>67</v>
      </c>
      <c r="N4" s="2246"/>
      <c r="O4" s="2245" t="s">
        <v>68</v>
      </c>
      <c r="P4" s="2246"/>
      <c r="Q4" s="2245" t="s">
        <v>114</v>
      </c>
      <c r="R4" s="2246"/>
      <c r="S4" s="2244" t="s">
        <v>35</v>
      </c>
      <c r="T4" s="2244"/>
      <c r="U4" s="2245" t="s">
        <v>17</v>
      </c>
      <c r="V4" s="2246"/>
      <c r="W4" s="2247" t="s">
        <v>36</v>
      </c>
      <c r="X4" s="2248"/>
      <c r="Y4" s="2238" t="s">
        <v>30</v>
      </c>
    </row>
    <row r="5" spans="1:25" s="910" customFormat="1" ht="25.5" customHeight="1" x14ac:dyDescent="0.25">
      <c r="A5" s="2243"/>
      <c r="B5" s="2243"/>
      <c r="C5" s="912" t="s">
        <v>42</v>
      </c>
      <c r="D5" s="912" t="s">
        <v>43</v>
      </c>
      <c r="E5" s="912" t="s">
        <v>42</v>
      </c>
      <c r="F5" s="912" t="s">
        <v>43</v>
      </c>
      <c r="G5" s="912" t="s">
        <v>42</v>
      </c>
      <c r="H5" s="912" t="s">
        <v>43</v>
      </c>
      <c r="I5" s="912" t="s">
        <v>42</v>
      </c>
      <c r="J5" s="912" t="s">
        <v>43</v>
      </c>
      <c r="K5" s="912" t="s">
        <v>42</v>
      </c>
      <c r="L5" s="912" t="s">
        <v>43</v>
      </c>
      <c r="M5" s="912" t="s">
        <v>42</v>
      </c>
      <c r="N5" s="912" t="s">
        <v>43</v>
      </c>
      <c r="O5" s="912" t="s">
        <v>42</v>
      </c>
      <c r="P5" s="912" t="s">
        <v>43</v>
      </c>
      <c r="Q5" s="912" t="s">
        <v>42</v>
      </c>
      <c r="R5" s="912" t="s">
        <v>43</v>
      </c>
      <c r="S5" s="33" t="s">
        <v>42</v>
      </c>
      <c r="T5" s="33" t="s">
        <v>43</v>
      </c>
      <c r="U5" s="30" t="s">
        <v>42</v>
      </c>
      <c r="V5" s="30" t="s">
        <v>43</v>
      </c>
      <c r="W5" s="30" t="s">
        <v>42</v>
      </c>
      <c r="X5" s="30" t="s">
        <v>43</v>
      </c>
      <c r="Y5" s="2239"/>
    </row>
    <row r="6" spans="1:25" ht="34.5" customHeight="1" x14ac:dyDescent="0.25">
      <c r="A6" s="12">
        <v>1409935200</v>
      </c>
      <c r="B6" s="911" t="s">
        <v>71</v>
      </c>
      <c r="C6" s="914">
        <v>28825</v>
      </c>
      <c r="D6" s="915">
        <f>0.9725*C6</f>
        <v>28032.3125</v>
      </c>
      <c r="E6" s="914"/>
      <c r="F6" s="914">
        <f>67.1*E6</f>
        <v>0</v>
      </c>
      <c r="G6" s="914">
        <v>20</v>
      </c>
      <c r="H6" s="914">
        <f>28.2*G6</f>
        <v>564</v>
      </c>
      <c r="I6" s="914">
        <v>540</v>
      </c>
      <c r="J6" s="914">
        <f>18.5*I6</f>
        <v>9990</v>
      </c>
      <c r="K6" s="914"/>
      <c r="L6" s="914">
        <f>28.2368*K6</f>
        <v>0</v>
      </c>
      <c r="M6" s="914"/>
      <c r="N6" s="915">
        <f>M6*9.75</f>
        <v>0</v>
      </c>
      <c r="O6" s="914"/>
      <c r="P6" s="915">
        <f>O6*48.7</f>
        <v>0</v>
      </c>
      <c r="Q6" s="915"/>
      <c r="R6" s="915">
        <f>241*Q6</f>
        <v>0</v>
      </c>
      <c r="S6" s="914">
        <v>5</v>
      </c>
      <c r="T6" s="914">
        <f>241*S6</f>
        <v>1205</v>
      </c>
      <c r="U6" s="914">
        <v>4</v>
      </c>
      <c r="V6" s="914">
        <f>332*U6</f>
        <v>1328</v>
      </c>
      <c r="W6" s="914"/>
      <c r="X6" s="19">
        <f>W6*100</f>
        <v>0</v>
      </c>
      <c r="Y6" s="20">
        <f t="shared" ref="Y6:Y12" si="0">D6+F6+H6+J6+L6+N6+P6+R6+T6+V6+X6</f>
        <v>41119.3125</v>
      </c>
    </row>
    <row r="7" spans="1:25" ht="31.5" customHeight="1" x14ac:dyDescent="0.25">
      <c r="A7" s="12">
        <v>1984225578</v>
      </c>
      <c r="B7" s="911" t="s">
        <v>72</v>
      </c>
      <c r="C7" s="914">
        <v>15923</v>
      </c>
      <c r="D7" s="915">
        <f t="shared" ref="D7:D11" si="1">0.9725*C7</f>
        <v>15485.1175</v>
      </c>
      <c r="E7" s="914"/>
      <c r="F7" s="914">
        <f t="shared" ref="F7:F11" si="2">67.1*E7</f>
        <v>0</v>
      </c>
      <c r="G7" s="914"/>
      <c r="H7" s="914">
        <f t="shared" ref="H7:H11" si="3">28.2*G7</f>
        <v>0</v>
      </c>
      <c r="I7" s="914"/>
      <c r="J7" s="914">
        <f t="shared" ref="J7:J11" si="4">18.5*I7</f>
        <v>0</v>
      </c>
      <c r="K7" s="914"/>
      <c r="L7" s="914">
        <f t="shared" ref="L7:L11" si="5">28.2368*K7</f>
        <v>0</v>
      </c>
      <c r="M7" s="914"/>
      <c r="N7" s="915">
        <f t="shared" ref="N7:N11" si="6">M7*9.75</f>
        <v>0</v>
      </c>
      <c r="O7" s="914"/>
      <c r="P7" s="915">
        <f t="shared" ref="P7:P11" si="7">O7*48.7</f>
        <v>0</v>
      </c>
      <c r="Q7" s="915"/>
      <c r="R7" s="915">
        <f t="shared" ref="R7:R11" si="8">241*Q7</f>
        <v>0</v>
      </c>
      <c r="S7" s="914">
        <v>15</v>
      </c>
      <c r="T7" s="914">
        <f t="shared" ref="T7:T10" si="9">241*S7</f>
        <v>3615</v>
      </c>
      <c r="U7" s="914"/>
      <c r="V7" s="914">
        <f t="shared" ref="V7:V11" si="10">332*U7</f>
        <v>0</v>
      </c>
      <c r="W7" s="914"/>
      <c r="X7" s="19">
        <f t="shared" ref="X7:X11" si="11">W7*100</f>
        <v>0</v>
      </c>
      <c r="Y7" s="20">
        <f t="shared" si="0"/>
        <v>19100.1175</v>
      </c>
    </row>
    <row r="8" spans="1:25" ht="35.25" customHeight="1" x14ac:dyDescent="0.25">
      <c r="A8" s="12">
        <v>1967020280</v>
      </c>
      <c r="B8" s="911" t="s">
        <v>73</v>
      </c>
      <c r="C8" s="914">
        <v>37345</v>
      </c>
      <c r="D8" s="915">
        <f t="shared" si="1"/>
        <v>36318.012500000004</v>
      </c>
      <c r="E8" s="914"/>
      <c r="F8" s="914">
        <f t="shared" si="2"/>
        <v>0</v>
      </c>
      <c r="G8" s="914"/>
      <c r="H8" s="914">
        <f t="shared" si="3"/>
        <v>0</v>
      </c>
      <c r="I8" s="914">
        <v>1150</v>
      </c>
      <c r="J8" s="914">
        <f t="shared" si="4"/>
        <v>21275</v>
      </c>
      <c r="K8" s="914"/>
      <c r="L8" s="914">
        <f t="shared" si="5"/>
        <v>0</v>
      </c>
      <c r="M8" s="914"/>
      <c r="N8" s="915">
        <f t="shared" si="6"/>
        <v>0</v>
      </c>
      <c r="O8" s="914"/>
      <c r="P8" s="915">
        <f t="shared" si="7"/>
        <v>0</v>
      </c>
      <c r="Q8" s="915"/>
      <c r="R8" s="915">
        <f t="shared" si="8"/>
        <v>0</v>
      </c>
      <c r="S8" s="914"/>
      <c r="T8" s="914">
        <f t="shared" si="9"/>
        <v>0</v>
      </c>
      <c r="U8" s="914"/>
      <c r="V8" s="914">
        <f t="shared" si="10"/>
        <v>0</v>
      </c>
      <c r="W8" s="914"/>
      <c r="X8" s="19">
        <f t="shared" si="11"/>
        <v>0</v>
      </c>
      <c r="Y8" s="20">
        <f t="shared" si="0"/>
        <v>57593.012500000004</v>
      </c>
    </row>
    <row r="9" spans="1:25" ht="38.25" customHeight="1" x14ac:dyDescent="0.25">
      <c r="A9" s="12">
        <v>1984225580</v>
      </c>
      <c r="B9" s="911" t="s">
        <v>75</v>
      </c>
      <c r="C9" s="914">
        <v>37272</v>
      </c>
      <c r="D9" s="915">
        <f t="shared" si="1"/>
        <v>36247.020000000004</v>
      </c>
      <c r="E9" s="914"/>
      <c r="F9" s="914">
        <f t="shared" si="2"/>
        <v>0</v>
      </c>
      <c r="G9" s="914"/>
      <c r="H9" s="914">
        <f t="shared" si="3"/>
        <v>0</v>
      </c>
      <c r="I9" s="914">
        <v>560</v>
      </c>
      <c r="J9" s="914">
        <f t="shared" si="4"/>
        <v>10360</v>
      </c>
      <c r="K9" s="914"/>
      <c r="L9" s="914">
        <f t="shared" si="5"/>
        <v>0</v>
      </c>
      <c r="M9" s="914"/>
      <c r="N9" s="915">
        <f t="shared" si="6"/>
        <v>0</v>
      </c>
      <c r="O9" s="914"/>
      <c r="P9" s="915">
        <f t="shared" si="7"/>
        <v>0</v>
      </c>
      <c r="Q9" s="915"/>
      <c r="R9" s="915">
        <f t="shared" si="8"/>
        <v>0</v>
      </c>
      <c r="S9" s="914"/>
      <c r="T9" s="914">
        <f t="shared" si="9"/>
        <v>0</v>
      </c>
      <c r="U9" s="914"/>
      <c r="V9" s="914">
        <f t="shared" si="10"/>
        <v>0</v>
      </c>
      <c r="W9" s="914"/>
      <c r="X9" s="19">
        <f t="shared" si="11"/>
        <v>0</v>
      </c>
      <c r="Y9" s="20">
        <f t="shared" si="0"/>
        <v>46607.020000000004</v>
      </c>
    </row>
    <row r="10" spans="1:25" ht="35.25" customHeight="1" x14ac:dyDescent="0.25">
      <c r="A10" s="12">
        <v>1409935199</v>
      </c>
      <c r="C10" s="914">
        <v>31383</v>
      </c>
      <c r="D10" s="915">
        <f t="shared" si="1"/>
        <v>30519.967500000002</v>
      </c>
      <c r="E10" s="914"/>
      <c r="F10" s="914">
        <f t="shared" si="2"/>
        <v>0</v>
      </c>
      <c r="G10" s="914"/>
      <c r="H10" s="914">
        <f t="shared" si="3"/>
        <v>0</v>
      </c>
      <c r="I10" s="914"/>
      <c r="J10" s="914">
        <f t="shared" si="4"/>
        <v>0</v>
      </c>
      <c r="K10" s="914"/>
      <c r="L10" s="914">
        <f t="shared" si="5"/>
        <v>0</v>
      </c>
      <c r="M10" s="914"/>
      <c r="N10" s="915">
        <f t="shared" si="6"/>
        <v>0</v>
      </c>
      <c r="O10" s="914"/>
      <c r="P10" s="915">
        <f t="shared" si="7"/>
        <v>0</v>
      </c>
      <c r="Q10" s="915"/>
      <c r="R10" s="915">
        <f t="shared" si="8"/>
        <v>0</v>
      </c>
      <c r="S10" s="914"/>
      <c r="T10" s="914">
        <f t="shared" si="9"/>
        <v>0</v>
      </c>
      <c r="U10" s="914"/>
      <c r="V10" s="914">
        <f t="shared" si="10"/>
        <v>0</v>
      </c>
      <c r="W10" s="914"/>
      <c r="X10" s="19">
        <f t="shared" si="11"/>
        <v>0</v>
      </c>
      <c r="Y10" s="20">
        <f t="shared" si="0"/>
        <v>30519.967500000002</v>
      </c>
    </row>
    <row r="11" spans="1:25" ht="37.5" customHeight="1" x14ac:dyDescent="0.25">
      <c r="A11" s="12"/>
      <c r="B11" s="913"/>
      <c r="C11" s="914"/>
      <c r="D11" s="22">
        <f t="shared" si="1"/>
        <v>0</v>
      </c>
      <c r="E11" s="914"/>
      <c r="F11" s="914">
        <f t="shared" si="2"/>
        <v>0</v>
      </c>
      <c r="G11" s="914"/>
      <c r="H11" s="914">
        <f t="shared" si="3"/>
        <v>0</v>
      </c>
      <c r="I11" s="914"/>
      <c r="J11" s="914">
        <f t="shared" si="4"/>
        <v>0</v>
      </c>
      <c r="K11" s="914"/>
      <c r="L11" s="914">
        <f t="shared" si="5"/>
        <v>0</v>
      </c>
      <c r="M11" s="914"/>
      <c r="N11" s="915">
        <f t="shared" si="6"/>
        <v>0</v>
      </c>
      <c r="O11" s="914"/>
      <c r="P11" s="915">
        <f t="shared" si="7"/>
        <v>0</v>
      </c>
      <c r="Q11" s="915"/>
      <c r="R11" s="915">
        <f t="shared" si="8"/>
        <v>0</v>
      </c>
      <c r="S11" s="914"/>
      <c r="T11" s="914">
        <f>341*S11</f>
        <v>0</v>
      </c>
      <c r="U11" s="914"/>
      <c r="V11" s="914">
        <f t="shared" si="10"/>
        <v>0</v>
      </c>
      <c r="W11" s="914"/>
      <c r="X11" s="19">
        <f t="shared" si="11"/>
        <v>0</v>
      </c>
      <c r="Y11" s="20">
        <f t="shared" si="0"/>
        <v>0</v>
      </c>
    </row>
    <row r="12" spans="1:25" ht="29.25" customHeight="1" x14ac:dyDescent="0.25">
      <c r="A12" s="2235" t="s">
        <v>31</v>
      </c>
      <c r="B12" s="2235"/>
      <c r="C12" s="18">
        <f t="shared" ref="C12:X12" si="12">SUM(C6:C11)</f>
        <v>150748</v>
      </c>
      <c r="D12" s="18">
        <f t="shared" si="12"/>
        <v>146602.43000000002</v>
      </c>
      <c r="E12" s="18">
        <f t="shared" si="12"/>
        <v>0</v>
      </c>
      <c r="F12" s="18">
        <f t="shared" si="12"/>
        <v>0</v>
      </c>
      <c r="G12" s="18">
        <f t="shared" si="12"/>
        <v>20</v>
      </c>
      <c r="H12" s="18">
        <f t="shared" si="12"/>
        <v>564</v>
      </c>
      <c r="I12" s="18">
        <f t="shared" si="12"/>
        <v>2250</v>
      </c>
      <c r="J12" s="18">
        <f t="shared" si="12"/>
        <v>41625</v>
      </c>
      <c r="K12" s="18">
        <f t="shared" si="12"/>
        <v>0</v>
      </c>
      <c r="L12" s="18">
        <f t="shared" si="12"/>
        <v>0</v>
      </c>
      <c r="M12" s="18">
        <f t="shared" si="12"/>
        <v>0</v>
      </c>
      <c r="N12" s="23">
        <f t="shared" si="12"/>
        <v>0</v>
      </c>
      <c r="O12" s="18">
        <f t="shared" si="12"/>
        <v>0</v>
      </c>
      <c r="P12" s="23">
        <f t="shared" si="12"/>
        <v>0</v>
      </c>
      <c r="Q12" s="23">
        <f t="shared" si="12"/>
        <v>0</v>
      </c>
      <c r="R12" s="23">
        <f>SUM(R6:R11)</f>
        <v>0</v>
      </c>
      <c r="S12" s="23">
        <f>SUM(S6:S11)</f>
        <v>20</v>
      </c>
      <c r="T12" s="18">
        <f t="shared" si="12"/>
        <v>4820</v>
      </c>
      <c r="U12" s="18">
        <f t="shared" si="12"/>
        <v>4</v>
      </c>
      <c r="V12" s="18">
        <f t="shared" si="12"/>
        <v>1328</v>
      </c>
      <c r="W12" s="18">
        <f t="shared" si="12"/>
        <v>0</v>
      </c>
      <c r="X12" s="18">
        <f t="shared" si="12"/>
        <v>0</v>
      </c>
      <c r="Y12" s="20">
        <f t="shared" si="0"/>
        <v>194939.43000000002</v>
      </c>
    </row>
    <row r="14" spans="1:25" ht="43.5" customHeight="1" x14ac:dyDescent="0.25">
      <c r="A14" s="30" t="s">
        <v>32</v>
      </c>
      <c r="B14" s="2236" t="s">
        <v>27</v>
      </c>
      <c r="C14" s="2236"/>
      <c r="D14" s="30" t="s">
        <v>333</v>
      </c>
      <c r="E14" s="30" t="s">
        <v>65</v>
      </c>
      <c r="F14" s="30" t="s">
        <v>34</v>
      </c>
      <c r="G14" s="30" t="s">
        <v>14</v>
      </c>
      <c r="H14" s="469" t="s">
        <v>173</v>
      </c>
      <c r="I14" s="30" t="s">
        <v>17</v>
      </c>
      <c r="J14" s="919" t="s">
        <v>174</v>
      </c>
      <c r="K14" s="30" t="s">
        <v>36</v>
      </c>
      <c r="L14" s="919" t="s">
        <v>403</v>
      </c>
      <c r="M14" s="30" t="s">
        <v>69</v>
      </c>
      <c r="N14" s="30" t="s">
        <v>70</v>
      </c>
      <c r="O14" s="919" t="s">
        <v>114</v>
      </c>
      <c r="P14" s="919"/>
      <c r="Q14" s="2300" t="s">
        <v>378</v>
      </c>
      <c r="R14" s="2301"/>
      <c r="S14" s="919" t="s">
        <v>401</v>
      </c>
      <c r="T14" s="2235" t="s">
        <v>46</v>
      </c>
      <c r="U14" s="911" t="s">
        <v>176</v>
      </c>
      <c r="V14" s="2260">
        <v>87397</v>
      </c>
      <c r="W14" s="2268"/>
      <c r="X14" s="2261"/>
    </row>
    <row r="15" spans="1:25" ht="22.5" customHeight="1" x14ac:dyDescent="0.25">
      <c r="A15" s="100" t="s">
        <v>38</v>
      </c>
      <c r="B15" s="2260">
        <v>326311</v>
      </c>
      <c r="C15" s="2261"/>
      <c r="D15" s="916">
        <v>502</v>
      </c>
      <c r="E15" s="916">
        <v>370</v>
      </c>
      <c r="F15" s="916">
        <v>3950</v>
      </c>
      <c r="G15" s="916">
        <v>0</v>
      </c>
      <c r="H15" s="916">
        <v>473</v>
      </c>
      <c r="I15" s="916">
        <v>4</v>
      </c>
      <c r="J15" s="916"/>
      <c r="K15" s="916">
        <v>71</v>
      </c>
      <c r="L15" s="916">
        <v>0</v>
      </c>
      <c r="M15" s="916">
        <v>0</v>
      </c>
      <c r="N15" s="916">
        <v>100</v>
      </c>
      <c r="O15" s="916">
        <v>0</v>
      </c>
      <c r="P15" s="916"/>
      <c r="Q15" s="2260">
        <v>0</v>
      </c>
      <c r="R15" s="2261"/>
      <c r="S15" s="911">
        <v>53</v>
      </c>
      <c r="T15" s="2235"/>
      <c r="U15" s="911" t="s">
        <v>64</v>
      </c>
      <c r="V15" s="2262">
        <v>252440</v>
      </c>
      <c r="W15" s="2262"/>
      <c r="X15" s="2262"/>
    </row>
    <row r="16" spans="1:25" ht="24.75" customHeight="1" x14ac:dyDescent="0.25">
      <c r="A16" s="100" t="s">
        <v>39</v>
      </c>
      <c r="B16" s="2260">
        <v>124675</v>
      </c>
      <c r="C16" s="2261"/>
      <c r="D16" s="916"/>
      <c r="E16" s="916"/>
      <c r="F16" s="916"/>
      <c r="G16" s="916"/>
      <c r="H16" s="916"/>
      <c r="I16" s="916"/>
      <c r="J16" s="916"/>
      <c r="K16" s="916"/>
      <c r="L16" s="916"/>
      <c r="M16" s="916"/>
      <c r="N16" s="916"/>
      <c r="O16" s="916"/>
      <c r="P16" s="916"/>
      <c r="Q16" s="2225"/>
      <c r="R16" s="2225"/>
      <c r="S16" s="916"/>
      <c r="T16" s="2254" t="s">
        <v>55</v>
      </c>
      <c r="U16" s="2254"/>
      <c r="V16" s="2267">
        <f>Y12</f>
        <v>194939.43000000002</v>
      </c>
      <c r="W16" s="2267"/>
      <c r="X16" s="2262"/>
    </row>
    <row r="17" spans="1:25" ht="28.5" customHeight="1" x14ac:dyDescent="0.25">
      <c r="A17" s="101" t="s">
        <v>44</v>
      </c>
      <c r="B17" s="2260"/>
      <c r="C17" s="2261"/>
      <c r="D17" s="916"/>
      <c r="E17" s="916"/>
      <c r="F17" s="916"/>
      <c r="G17" s="916"/>
      <c r="H17" s="916"/>
      <c r="I17" s="916"/>
      <c r="J17" s="916"/>
      <c r="K17" s="916"/>
      <c r="L17" s="916"/>
      <c r="M17" s="916"/>
      <c r="N17" s="916"/>
      <c r="O17" s="916"/>
      <c r="P17" s="916"/>
      <c r="Q17" s="2225"/>
      <c r="R17" s="2225"/>
      <c r="S17" s="913"/>
      <c r="T17" s="2294" t="s">
        <v>362</v>
      </c>
      <c r="U17" s="2295"/>
      <c r="V17" s="2296"/>
      <c r="W17" s="2296"/>
      <c r="X17" s="2296"/>
    </row>
    <row r="18" spans="1:25" ht="27" customHeight="1" x14ac:dyDescent="0.25">
      <c r="A18" s="100" t="s">
        <v>40</v>
      </c>
      <c r="B18" s="2264">
        <f>C12</f>
        <v>150748</v>
      </c>
      <c r="C18" s="2261"/>
      <c r="D18" s="917">
        <f>E12</f>
        <v>0</v>
      </c>
      <c r="E18" s="917">
        <f>G12</f>
        <v>20</v>
      </c>
      <c r="F18" s="917">
        <f>I12</f>
        <v>2250</v>
      </c>
      <c r="G18" s="917">
        <f>K12</f>
        <v>0</v>
      </c>
      <c r="H18" s="916">
        <v>20</v>
      </c>
      <c r="I18" s="917">
        <f>U12</f>
        <v>4</v>
      </c>
      <c r="J18" s="916"/>
      <c r="K18" s="917">
        <f>W12</f>
        <v>0</v>
      </c>
      <c r="L18" s="916"/>
      <c r="M18" s="917">
        <f>M12</f>
        <v>0</v>
      </c>
      <c r="N18" s="917"/>
      <c r="O18" s="918">
        <f>Q12</f>
        <v>0</v>
      </c>
      <c r="P18" s="917"/>
      <c r="Q18" s="2262"/>
      <c r="R18" s="2262"/>
      <c r="S18" s="911"/>
      <c r="T18" s="2254" t="s">
        <v>57</v>
      </c>
      <c r="U18" s="2254"/>
      <c r="V18" s="2262">
        <v>4000</v>
      </c>
      <c r="W18" s="2262"/>
      <c r="X18" s="2262"/>
      <c r="Y18" s="2269"/>
    </row>
    <row r="19" spans="1:25" ht="25.5" customHeight="1" x14ac:dyDescent="0.25">
      <c r="A19" s="100" t="s">
        <v>41</v>
      </c>
      <c r="B19" s="2260">
        <f>B15+B16+B17-B18</f>
        <v>300238</v>
      </c>
      <c r="C19" s="2261"/>
      <c r="D19" s="916">
        <f>D15+D16+D17-D18</f>
        <v>502</v>
      </c>
      <c r="E19" s="916">
        <f t="shared" ref="E19:N19" si="13">E15+E16+E17-E18</f>
        <v>350</v>
      </c>
      <c r="F19" s="916">
        <f t="shared" si="13"/>
        <v>1700</v>
      </c>
      <c r="G19" s="916">
        <f t="shared" si="13"/>
        <v>0</v>
      </c>
      <c r="H19" s="916">
        <f t="shared" si="13"/>
        <v>453</v>
      </c>
      <c r="I19" s="916">
        <f t="shared" si="13"/>
        <v>0</v>
      </c>
      <c r="J19" s="916">
        <f t="shared" si="13"/>
        <v>0</v>
      </c>
      <c r="K19" s="916">
        <f t="shared" si="13"/>
        <v>71</v>
      </c>
      <c r="L19" s="916">
        <f t="shared" si="13"/>
        <v>0</v>
      </c>
      <c r="M19" s="916">
        <f t="shared" si="13"/>
        <v>0</v>
      </c>
      <c r="N19" s="916">
        <f t="shared" si="13"/>
        <v>100</v>
      </c>
      <c r="O19" s="916">
        <f>O15+O16+O17-O18</f>
        <v>0</v>
      </c>
      <c r="P19" s="916">
        <f>P15+P16+P17-P18</f>
        <v>0</v>
      </c>
      <c r="Q19" s="2260">
        <f t="shared" ref="Q19" si="14">Q15+Q16+Q17-Q18</f>
        <v>0</v>
      </c>
      <c r="R19" s="2261"/>
      <c r="S19" s="911">
        <f>S15+S16-S17-S18</f>
        <v>53</v>
      </c>
      <c r="T19" s="2256" t="s">
        <v>48</v>
      </c>
      <c r="U19" s="49" t="s">
        <v>58</v>
      </c>
      <c r="V19" s="2262">
        <v>496320</v>
      </c>
      <c r="W19" s="2262"/>
      <c r="X19" s="2262"/>
      <c r="Y19" s="2269"/>
    </row>
    <row r="20" spans="1:25" ht="23.25" customHeight="1" x14ac:dyDescent="0.25">
      <c r="A20" s="289" t="s">
        <v>187</v>
      </c>
      <c r="B20" s="2286">
        <f>B19*0.9625</f>
        <v>288979.07500000001</v>
      </c>
      <c r="C20" s="2287"/>
      <c r="D20" s="290">
        <f>D19*66.41</f>
        <v>33337.82</v>
      </c>
      <c r="E20" s="290">
        <f>27.9368*E19</f>
        <v>9777.880000000001</v>
      </c>
      <c r="F20" s="290">
        <f>18.31*F19</f>
        <v>31126.999999999996</v>
      </c>
      <c r="G20" s="290">
        <f>27.9368*G19</f>
        <v>0</v>
      </c>
      <c r="H20" s="290">
        <f>241*H19</f>
        <v>109173</v>
      </c>
      <c r="I20" s="290">
        <f>323*I19</f>
        <v>0</v>
      </c>
      <c r="J20" s="290">
        <f>241*J19</f>
        <v>0</v>
      </c>
      <c r="K20" s="290">
        <f>K19*100</f>
        <v>7100</v>
      </c>
      <c r="L20" s="290">
        <f>241*L19</f>
        <v>0</v>
      </c>
      <c r="M20" s="290">
        <f>9.65*M19</f>
        <v>0</v>
      </c>
      <c r="N20" s="290">
        <f>N19*48.2</f>
        <v>4820</v>
      </c>
      <c r="O20" s="290">
        <f>241*O19</f>
        <v>0</v>
      </c>
      <c r="P20" s="290">
        <f>241*P19</f>
        <v>0</v>
      </c>
      <c r="Q20" s="2286">
        <f>341*Q19</f>
        <v>0</v>
      </c>
      <c r="R20" s="2287"/>
      <c r="S20" s="290">
        <f>341*S19</f>
        <v>18073</v>
      </c>
      <c r="T20" s="2257"/>
      <c r="U20" s="49" t="s">
        <v>59</v>
      </c>
      <c r="V20" s="2262"/>
      <c r="W20" s="2262"/>
      <c r="X20" s="2262"/>
      <c r="Y20" s="2269"/>
    </row>
    <row r="21" spans="1:25" ht="32.25" customHeight="1" x14ac:dyDescent="0.25">
      <c r="A21" s="291" t="s">
        <v>186</v>
      </c>
      <c r="B21" s="2293">
        <f>SUM(B20:S20)</f>
        <v>502387.77500000002</v>
      </c>
      <c r="C21" s="2293"/>
      <c r="O21" s="920"/>
      <c r="P21" s="920"/>
      <c r="Q21" s="920"/>
      <c r="R21" s="920"/>
      <c r="T21" s="2294" t="s">
        <v>366</v>
      </c>
      <c r="U21" s="2295"/>
      <c r="V21" s="2297"/>
      <c r="W21" s="2298"/>
      <c r="X21" s="2299"/>
      <c r="Y21" s="2269"/>
    </row>
    <row r="22" spans="1:25" ht="35.25" customHeight="1" x14ac:dyDescent="0.25">
      <c r="A22" s="15"/>
      <c r="B22" s="2288" t="s">
        <v>49</v>
      </c>
      <c r="C22" s="2291">
        <v>496318</v>
      </c>
      <c r="D22" s="2291">
        <v>496320</v>
      </c>
      <c r="E22" s="2291">
        <v>120000</v>
      </c>
      <c r="F22" s="2291">
        <f>C22-D22+E22</f>
        <v>119998</v>
      </c>
      <c r="G22" s="920"/>
      <c r="Q22" s="920"/>
      <c r="R22" s="920"/>
      <c r="T22" s="2251" t="s">
        <v>83</v>
      </c>
      <c r="U22" s="50" t="s">
        <v>60</v>
      </c>
      <c r="V22" s="2262">
        <v>251320</v>
      </c>
      <c r="W22" s="2262"/>
      <c r="X22" s="2262"/>
      <c r="Y22" s="2269"/>
    </row>
    <row r="23" spans="1:25" ht="39.75" customHeight="1" x14ac:dyDescent="0.25">
      <c r="A23" s="920"/>
      <c r="B23" s="2289"/>
      <c r="C23" s="2292"/>
      <c r="D23" s="2292"/>
      <c r="E23" s="2292"/>
      <c r="F23" s="2292"/>
      <c r="G23" s="920"/>
      <c r="Q23" s="920"/>
      <c r="R23" s="920"/>
      <c r="T23" s="2252"/>
      <c r="U23" s="50" t="s">
        <v>61</v>
      </c>
      <c r="V23" s="2262">
        <v>496320</v>
      </c>
      <c r="W23" s="2262"/>
      <c r="X23" s="2262"/>
      <c r="Y23" s="2269"/>
    </row>
    <row r="24" spans="1:25" ht="48" customHeight="1" x14ac:dyDescent="0.25">
      <c r="A24" s="920"/>
      <c r="B24" s="2290"/>
      <c r="C24" s="290" t="s">
        <v>46</v>
      </c>
      <c r="D24" s="290" t="s">
        <v>50</v>
      </c>
      <c r="E24" s="290" t="s">
        <v>51</v>
      </c>
      <c r="F24" s="290" t="s">
        <v>52</v>
      </c>
      <c r="G24" s="920"/>
      <c r="Q24" s="920"/>
      <c r="R24" s="920"/>
      <c r="T24" s="2235" t="s">
        <v>47</v>
      </c>
      <c r="U24" s="51" t="s">
        <v>62</v>
      </c>
      <c r="V24" s="2263">
        <f>V14+V16+V17-V18-V19-V20-V22+V23-V21</f>
        <v>27016.430000000051</v>
      </c>
      <c r="W24" s="2263"/>
      <c r="X24" s="2263"/>
      <c r="Y24" s="2269"/>
    </row>
    <row r="25" spans="1:25" ht="40.5" customHeight="1" x14ac:dyDescent="0.25">
      <c r="T25" s="2235"/>
      <c r="U25" s="51" t="s">
        <v>63</v>
      </c>
      <c r="V25" s="2262">
        <f>V15+V22-V23</f>
        <v>7440</v>
      </c>
      <c r="W25" s="2262"/>
      <c r="X25" s="2262"/>
    </row>
    <row r="26" spans="1:25" ht="36" customHeight="1" x14ac:dyDescent="0.25">
      <c r="K26" s="314"/>
    </row>
    <row r="28" spans="1:25" x14ac:dyDescent="0.25">
      <c r="J28" s="14" t="s">
        <v>139</v>
      </c>
    </row>
    <row r="32" spans="1:25" x14ac:dyDescent="0.25">
      <c r="I32" s="2280"/>
      <c r="J32" s="2280"/>
      <c r="K32" s="2280"/>
      <c r="L32" s="2280"/>
    </row>
    <row r="33" spans="9:12" x14ac:dyDescent="0.25">
      <c r="I33" s="920"/>
      <c r="J33" s="920"/>
      <c r="K33" s="2280"/>
      <c r="L33" s="2280"/>
    </row>
  </sheetData>
  <mergeCells count="62">
    <mergeCell ref="I32:J32"/>
    <mergeCell ref="K32:L32"/>
    <mergeCell ref="K33:L33"/>
    <mergeCell ref="T22:T23"/>
    <mergeCell ref="V22:X22"/>
    <mergeCell ref="V23:X23"/>
    <mergeCell ref="T24:T25"/>
    <mergeCell ref="V24:X24"/>
    <mergeCell ref="V25:X25"/>
    <mergeCell ref="Y18:Y24"/>
    <mergeCell ref="B19:C19"/>
    <mergeCell ref="Q19:R19"/>
    <mergeCell ref="T19:T20"/>
    <mergeCell ref="V19:X19"/>
    <mergeCell ref="B20:C20"/>
    <mergeCell ref="B22:B24"/>
    <mergeCell ref="C22:C23"/>
    <mergeCell ref="D22:D23"/>
    <mergeCell ref="E22:E23"/>
    <mergeCell ref="F22:F23"/>
    <mergeCell ref="Q20:R20"/>
    <mergeCell ref="V20:X20"/>
    <mergeCell ref="B21:C21"/>
    <mergeCell ref="T21:U21"/>
    <mergeCell ref="V21:X21"/>
    <mergeCell ref="B17:C17"/>
    <mergeCell ref="Q17:R17"/>
    <mergeCell ref="T17:U17"/>
    <mergeCell ref="V17:X17"/>
    <mergeCell ref="B18:C18"/>
    <mergeCell ref="Q18:R18"/>
    <mergeCell ref="T18:U18"/>
    <mergeCell ref="V18:X18"/>
    <mergeCell ref="W4:X4"/>
    <mergeCell ref="B16:C16"/>
    <mergeCell ref="Q16:R16"/>
    <mergeCell ref="T16:U16"/>
    <mergeCell ref="V16:X16"/>
    <mergeCell ref="A12:B12"/>
    <mergeCell ref="B14:C14"/>
    <mergeCell ref="Q14:R14"/>
    <mergeCell ref="T14:T15"/>
    <mergeCell ref="V14:X14"/>
    <mergeCell ref="B15:C15"/>
    <mergeCell ref="Q15:R15"/>
    <mergeCell ref="V15:X15"/>
    <mergeCell ref="A1:Y1"/>
    <mergeCell ref="A2:Y2"/>
    <mergeCell ref="T3:Y3"/>
    <mergeCell ref="A4:A5"/>
    <mergeCell ref="B4:B5"/>
    <mergeCell ref="C4:D4"/>
    <mergeCell ref="E4:F4"/>
    <mergeCell ref="G4:H4"/>
    <mergeCell ref="I4:J4"/>
    <mergeCell ref="K4:L4"/>
    <mergeCell ref="Y4:Y5"/>
    <mergeCell ref="M4:N4"/>
    <mergeCell ref="O4:P4"/>
    <mergeCell ref="Q4:R4"/>
    <mergeCell ref="S4:T4"/>
    <mergeCell ref="U4:V4"/>
  </mergeCells>
  <pageMargins left="0.15748031496063" right="0.15748031496063" top="0" bottom="0" header="0" footer="0"/>
  <pageSetup paperSize="9" scale="45" orientation="landscape" r:id="rId1"/>
</worksheet>
</file>

<file path=xl/worksheets/sheet19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12B1F23-E4FB-4952-B6F7-CCB091A64FA0}">
  <sheetPr>
    <pageSetUpPr fitToPage="1"/>
  </sheetPr>
  <dimension ref="A1:Y33"/>
  <sheetViews>
    <sheetView topLeftCell="A13" zoomScale="70" zoomScaleNormal="70" zoomScaleSheetLayoutView="100" workbookViewId="0">
      <selection activeCell="G8" sqref="G8"/>
    </sheetView>
  </sheetViews>
  <sheetFormatPr defaultColWidth="9.140625" defaultRowHeight="15" x14ac:dyDescent="0.25"/>
  <cols>
    <col min="1" max="1" width="18.28515625" style="14" customWidth="1"/>
    <col min="2" max="2" width="10.7109375" style="14" customWidth="1"/>
    <col min="3" max="3" width="12.28515625" style="14" customWidth="1"/>
    <col min="4" max="4" width="13.140625" style="14" bestFit="1" customWidth="1"/>
    <col min="5" max="5" width="12" style="14" customWidth="1"/>
    <col min="6" max="6" width="12.5703125" style="14" bestFit="1" customWidth="1"/>
    <col min="7" max="7" width="16" style="14" bestFit="1" customWidth="1"/>
    <col min="8" max="8" width="10.140625" style="14" bestFit="1" customWidth="1"/>
    <col min="9" max="9" width="10.5703125" style="14" bestFit="1" customWidth="1"/>
    <col min="10" max="10" width="10.5703125" style="14" customWidth="1"/>
    <col min="11" max="11" width="10.28515625" style="14" bestFit="1" customWidth="1"/>
    <col min="12" max="12" width="10.42578125" style="14" bestFit="1" customWidth="1"/>
    <col min="13" max="13" width="9.85546875" style="14" bestFit="1" customWidth="1"/>
    <col min="14" max="14" width="10.140625" style="14" bestFit="1" customWidth="1"/>
    <col min="15" max="15" width="9" style="14" customWidth="1"/>
    <col min="16" max="16" width="12.85546875" style="14" bestFit="1" customWidth="1"/>
    <col min="17" max="18" width="9.42578125" style="14" customWidth="1"/>
    <col min="19" max="19" width="13.7109375" style="14" customWidth="1"/>
    <col min="20" max="20" width="12.140625" style="14" customWidth="1"/>
    <col min="21" max="21" width="21.7109375" style="14" customWidth="1"/>
    <col min="22" max="22" width="9.85546875" style="14" customWidth="1"/>
    <col min="23" max="23" width="10.140625" style="14" bestFit="1" customWidth="1"/>
    <col min="24" max="24" width="10.28515625" style="14" customWidth="1"/>
    <col min="25" max="25" width="28" style="14" customWidth="1"/>
    <col min="26" max="16384" width="9.140625" style="14"/>
  </cols>
  <sheetData>
    <row r="1" spans="1:25" ht="46.15" customHeight="1" x14ac:dyDescent="0.25">
      <c r="A1" s="2240" t="s">
        <v>148</v>
      </c>
      <c r="B1" s="2240"/>
      <c r="C1" s="2240"/>
      <c r="D1" s="2240"/>
      <c r="E1" s="2240"/>
      <c r="F1" s="2240"/>
      <c r="G1" s="2240"/>
      <c r="H1" s="2240"/>
      <c r="I1" s="2240"/>
      <c r="J1" s="2240"/>
      <c r="K1" s="2240"/>
      <c r="L1" s="2240"/>
      <c r="M1" s="2240"/>
      <c r="N1" s="2240"/>
      <c r="O1" s="2240"/>
      <c r="P1" s="2240"/>
      <c r="Q1" s="2240"/>
      <c r="R1" s="2240"/>
      <c r="S1" s="2240"/>
      <c r="T1" s="2240"/>
      <c r="U1" s="2240"/>
      <c r="V1" s="2240"/>
      <c r="W1" s="2240"/>
      <c r="X1" s="2240"/>
      <c r="Y1" s="2240"/>
    </row>
    <row r="2" spans="1:25" ht="21.6" customHeight="1" x14ac:dyDescent="0.25">
      <c r="A2" s="2241" t="s">
        <v>383</v>
      </c>
      <c r="B2" s="2241"/>
      <c r="C2" s="2241"/>
      <c r="D2" s="2241"/>
      <c r="E2" s="2241"/>
      <c r="F2" s="2241"/>
      <c r="G2" s="2241"/>
      <c r="H2" s="2241"/>
      <c r="I2" s="2241"/>
      <c r="J2" s="2241"/>
      <c r="K2" s="2241"/>
      <c r="L2" s="2241"/>
      <c r="M2" s="2241"/>
      <c r="N2" s="2241"/>
      <c r="O2" s="2241"/>
      <c r="P2" s="2241"/>
      <c r="Q2" s="2241"/>
      <c r="R2" s="2241"/>
      <c r="S2" s="2241"/>
      <c r="T2" s="2241"/>
      <c r="U2" s="2241"/>
      <c r="V2" s="2241"/>
      <c r="W2" s="2241"/>
      <c r="X2" s="2241"/>
      <c r="Y2" s="2241"/>
    </row>
    <row r="3" spans="1:25" ht="21" customHeight="1" x14ac:dyDescent="0.25">
      <c r="A3" s="926"/>
      <c r="B3" s="926"/>
      <c r="C3" s="926"/>
      <c r="D3" s="926"/>
      <c r="E3" s="926"/>
      <c r="F3" s="926"/>
      <c r="G3" s="926"/>
      <c r="H3" s="926"/>
      <c r="I3" s="926"/>
      <c r="J3" s="926"/>
      <c r="K3" s="926"/>
      <c r="L3" s="926"/>
      <c r="M3" s="926"/>
      <c r="N3" s="926"/>
      <c r="O3" s="926"/>
      <c r="P3" s="926"/>
      <c r="Q3" s="926"/>
      <c r="R3" s="926"/>
      <c r="S3" s="926"/>
      <c r="T3" s="2242" t="s">
        <v>416</v>
      </c>
      <c r="U3" s="2242"/>
      <c r="V3" s="2242"/>
      <c r="W3" s="2242"/>
      <c r="X3" s="2242"/>
      <c r="Y3" s="2242"/>
    </row>
    <row r="4" spans="1:25" s="926" customFormat="1" ht="18" customHeight="1" x14ac:dyDescent="0.25">
      <c r="A4" s="2243" t="s">
        <v>25</v>
      </c>
      <c r="B4" s="2243" t="s">
        <v>26</v>
      </c>
      <c r="C4" s="2244" t="s">
        <v>27</v>
      </c>
      <c r="D4" s="2244"/>
      <c r="E4" s="2244" t="s">
        <v>342</v>
      </c>
      <c r="F4" s="2244"/>
      <c r="G4" s="2244" t="s">
        <v>65</v>
      </c>
      <c r="H4" s="2244"/>
      <c r="I4" s="2244" t="s">
        <v>29</v>
      </c>
      <c r="J4" s="2244"/>
      <c r="K4" s="2245" t="s">
        <v>14</v>
      </c>
      <c r="L4" s="2246"/>
      <c r="M4" s="2245" t="s">
        <v>67</v>
      </c>
      <c r="N4" s="2246"/>
      <c r="O4" s="2245" t="s">
        <v>68</v>
      </c>
      <c r="P4" s="2246"/>
      <c r="Q4" s="2245" t="s">
        <v>114</v>
      </c>
      <c r="R4" s="2246"/>
      <c r="S4" s="2244" t="s">
        <v>35</v>
      </c>
      <c r="T4" s="2244"/>
      <c r="U4" s="2245" t="s">
        <v>17</v>
      </c>
      <c r="V4" s="2246"/>
      <c r="W4" s="2247" t="s">
        <v>36</v>
      </c>
      <c r="X4" s="2248"/>
      <c r="Y4" s="2238" t="s">
        <v>30</v>
      </c>
    </row>
    <row r="5" spans="1:25" s="926" customFormat="1" ht="25.5" customHeight="1" x14ac:dyDescent="0.25">
      <c r="A5" s="2243"/>
      <c r="B5" s="2243"/>
      <c r="C5" s="925" t="s">
        <v>42</v>
      </c>
      <c r="D5" s="925" t="s">
        <v>43</v>
      </c>
      <c r="E5" s="925" t="s">
        <v>42</v>
      </c>
      <c r="F5" s="925" t="s">
        <v>43</v>
      </c>
      <c r="G5" s="925" t="s">
        <v>42</v>
      </c>
      <c r="H5" s="925" t="s">
        <v>43</v>
      </c>
      <c r="I5" s="925" t="s">
        <v>42</v>
      </c>
      <c r="J5" s="925" t="s">
        <v>43</v>
      </c>
      <c r="K5" s="925" t="s">
        <v>42</v>
      </c>
      <c r="L5" s="925" t="s">
        <v>43</v>
      </c>
      <c r="M5" s="925" t="s">
        <v>42</v>
      </c>
      <c r="N5" s="925" t="s">
        <v>43</v>
      </c>
      <c r="O5" s="925" t="s">
        <v>42</v>
      </c>
      <c r="P5" s="925" t="s">
        <v>43</v>
      </c>
      <c r="Q5" s="925" t="s">
        <v>42</v>
      </c>
      <c r="R5" s="925" t="s">
        <v>43</v>
      </c>
      <c r="S5" s="33" t="s">
        <v>42</v>
      </c>
      <c r="T5" s="33" t="s">
        <v>43</v>
      </c>
      <c r="U5" s="30" t="s">
        <v>42</v>
      </c>
      <c r="V5" s="30" t="s">
        <v>43</v>
      </c>
      <c r="W5" s="30" t="s">
        <v>42</v>
      </c>
      <c r="X5" s="30" t="s">
        <v>43</v>
      </c>
      <c r="Y5" s="2239"/>
    </row>
    <row r="6" spans="1:25" ht="34.5" customHeight="1" x14ac:dyDescent="0.25">
      <c r="A6" s="12">
        <v>1409935200</v>
      </c>
      <c r="B6" s="924" t="s">
        <v>71</v>
      </c>
      <c r="C6" s="922">
        <v>58015</v>
      </c>
      <c r="D6" s="921">
        <f>0.9725*C6</f>
        <v>56419.587500000001</v>
      </c>
      <c r="E6" s="922"/>
      <c r="F6" s="922">
        <f>67.1*E6</f>
        <v>0</v>
      </c>
      <c r="G6" s="922"/>
      <c r="H6" s="922">
        <f>28.2*G6</f>
        <v>0</v>
      </c>
      <c r="I6" s="922">
        <v>570</v>
      </c>
      <c r="J6" s="922">
        <f>18.5*I6</f>
        <v>10545</v>
      </c>
      <c r="K6" s="922"/>
      <c r="L6" s="922">
        <f>28.2368*K6</f>
        <v>0</v>
      </c>
      <c r="M6" s="922"/>
      <c r="N6" s="921">
        <f>M6*9.75</f>
        <v>0</v>
      </c>
      <c r="O6" s="922"/>
      <c r="P6" s="921">
        <f>O6*48.7</f>
        <v>0</v>
      </c>
      <c r="Q6" s="921"/>
      <c r="R6" s="921">
        <f>241*Q6</f>
        <v>0</v>
      </c>
      <c r="S6" s="922"/>
      <c r="T6" s="922">
        <f>241*S6</f>
        <v>0</v>
      </c>
      <c r="U6" s="922"/>
      <c r="V6" s="922">
        <f>332*U6</f>
        <v>0</v>
      </c>
      <c r="W6" s="922"/>
      <c r="X6" s="19">
        <f>W6*100</f>
        <v>0</v>
      </c>
      <c r="Y6" s="20">
        <f t="shared" ref="Y6:Y12" si="0">D6+F6+H6+J6+L6+N6+P6+R6+T6+V6+X6</f>
        <v>66964.587499999994</v>
      </c>
    </row>
    <row r="7" spans="1:25" ht="31.5" customHeight="1" x14ac:dyDescent="0.25">
      <c r="A7" s="12">
        <v>1984225578</v>
      </c>
      <c r="B7" s="924" t="s">
        <v>72</v>
      </c>
      <c r="C7" s="922">
        <v>61088</v>
      </c>
      <c r="D7" s="921">
        <f t="shared" ref="D7:D11" si="1">0.9725*C7</f>
        <v>59408.08</v>
      </c>
      <c r="E7" s="922"/>
      <c r="F7" s="922">
        <f t="shared" ref="F7:F11" si="2">67.1*E7</f>
        <v>0</v>
      </c>
      <c r="G7" s="922"/>
      <c r="H7" s="922">
        <f t="shared" ref="H7:H11" si="3">28.2*G7</f>
        <v>0</v>
      </c>
      <c r="I7" s="922">
        <v>300</v>
      </c>
      <c r="J7" s="922">
        <f t="shared" ref="J7:J11" si="4">18.5*I7</f>
        <v>5550</v>
      </c>
      <c r="K7" s="922"/>
      <c r="L7" s="922">
        <f t="shared" ref="L7:L11" si="5">28.2368*K7</f>
        <v>0</v>
      </c>
      <c r="M7" s="922"/>
      <c r="N7" s="921">
        <f t="shared" ref="N7:N11" si="6">M7*9.75</f>
        <v>0</v>
      </c>
      <c r="O7" s="922"/>
      <c r="P7" s="921">
        <f t="shared" ref="P7:P11" si="7">O7*48.7</f>
        <v>0</v>
      </c>
      <c r="Q7" s="921"/>
      <c r="R7" s="921">
        <f t="shared" ref="R7:R11" si="8">241*Q7</f>
        <v>0</v>
      </c>
      <c r="S7" s="922"/>
      <c r="T7" s="922">
        <f t="shared" ref="T7:T10" si="9">241*S7</f>
        <v>0</v>
      </c>
      <c r="U7" s="922"/>
      <c r="V7" s="922">
        <f t="shared" ref="V7:V11" si="10">332*U7</f>
        <v>0</v>
      </c>
      <c r="W7" s="922"/>
      <c r="X7" s="19">
        <f t="shared" ref="X7:X11" si="11">W7*100</f>
        <v>0</v>
      </c>
      <c r="Y7" s="20">
        <f t="shared" si="0"/>
        <v>64958.080000000002</v>
      </c>
    </row>
    <row r="8" spans="1:25" ht="35.25" customHeight="1" x14ac:dyDescent="0.25">
      <c r="A8" s="12">
        <v>1967020280</v>
      </c>
      <c r="B8" s="924" t="s">
        <v>73</v>
      </c>
      <c r="C8" s="922">
        <v>35249</v>
      </c>
      <c r="D8" s="921">
        <f t="shared" si="1"/>
        <v>34279.652500000004</v>
      </c>
      <c r="E8" s="922"/>
      <c r="F8" s="922">
        <f t="shared" si="2"/>
        <v>0</v>
      </c>
      <c r="G8" s="922"/>
      <c r="H8" s="922">
        <f t="shared" si="3"/>
        <v>0</v>
      </c>
      <c r="I8" s="922"/>
      <c r="J8" s="922">
        <f t="shared" si="4"/>
        <v>0</v>
      </c>
      <c r="K8" s="922"/>
      <c r="L8" s="922">
        <f t="shared" si="5"/>
        <v>0</v>
      </c>
      <c r="M8" s="922"/>
      <c r="N8" s="921">
        <f t="shared" si="6"/>
        <v>0</v>
      </c>
      <c r="O8" s="922"/>
      <c r="P8" s="921">
        <f t="shared" si="7"/>
        <v>0</v>
      </c>
      <c r="Q8" s="921"/>
      <c r="R8" s="921">
        <f t="shared" si="8"/>
        <v>0</v>
      </c>
      <c r="S8" s="922"/>
      <c r="T8" s="922">
        <f t="shared" si="9"/>
        <v>0</v>
      </c>
      <c r="U8" s="922"/>
      <c r="V8" s="922">
        <f t="shared" si="10"/>
        <v>0</v>
      </c>
      <c r="W8" s="922"/>
      <c r="X8" s="19">
        <f t="shared" si="11"/>
        <v>0</v>
      </c>
      <c r="Y8" s="20">
        <f t="shared" si="0"/>
        <v>34279.652500000004</v>
      </c>
    </row>
    <row r="9" spans="1:25" ht="38.25" customHeight="1" x14ac:dyDescent="0.25">
      <c r="A9" s="12">
        <v>1984225580</v>
      </c>
      <c r="B9" s="924" t="s">
        <v>75</v>
      </c>
      <c r="C9" s="922">
        <v>35240</v>
      </c>
      <c r="D9" s="921">
        <f t="shared" si="1"/>
        <v>34270.9</v>
      </c>
      <c r="E9" s="922"/>
      <c r="F9" s="922">
        <f t="shared" si="2"/>
        <v>0</v>
      </c>
      <c r="G9" s="922"/>
      <c r="H9" s="922">
        <f t="shared" si="3"/>
        <v>0</v>
      </c>
      <c r="I9" s="922">
        <v>500</v>
      </c>
      <c r="J9" s="922">
        <f t="shared" si="4"/>
        <v>9250</v>
      </c>
      <c r="K9" s="922"/>
      <c r="L9" s="922">
        <f t="shared" si="5"/>
        <v>0</v>
      </c>
      <c r="M9" s="922"/>
      <c r="N9" s="921">
        <f t="shared" si="6"/>
        <v>0</v>
      </c>
      <c r="O9" s="922"/>
      <c r="P9" s="921">
        <f t="shared" si="7"/>
        <v>0</v>
      </c>
      <c r="Q9" s="921"/>
      <c r="R9" s="921">
        <f t="shared" si="8"/>
        <v>0</v>
      </c>
      <c r="S9" s="922"/>
      <c r="T9" s="922">
        <f t="shared" si="9"/>
        <v>0</v>
      </c>
      <c r="U9" s="922"/>
      <c r="V9" s="922">
        <f t="shared" si="10"/>
        <v>0</v>
      </c>
      <c r="W9" s="922"/>
      <c r="X9" s="19">
        <f t="shared" si="11"/>
        <v>0</v>
      </c>
      <c r="Y9" s="20">
        <f t="shared" si="0"/>
        <v>43520.9</v>
      </c>
    </row>
    <row r="10" spans="1:25" ht="35.25" customHeight="1" x14ac:dyDescent="0.25">
      <c r="A10" s="12">
        <v>1409935199</v>
      </c>
      <c r="C10" s="922"/>
      <c r="D10" s="921">
        <f t="shared" si="1"/>
        <v>0</v>
      </c>
      <c r="E10" s="922"/>
      <c r="F10" s="922">
        <f t="shared" si="2"/>
        <v>0</v>
      </c>
      <c r="G10" s="922"/>
      <c r="H10" s="922">
        <f t="shared" si="3"/>
        <v>0</v>
      </c>
      <c r="I10" s="922"/>
      <c r="J10" s="922">
        <f t="shared" si="4"/>
        <v>0</v>
      </c>
      <c r="K10" s="922"/>
      <c r="L10" s="922">
        <f t="shared" si="5"/>
        <v>0</v>
      </c>
      <c r="M10" s="922"/>
      <c r="N10" s="921">
        <f t="shared" si="6"/>
        <v>0</v>
      </c>
      <c r="O10" s="922"/>
      <c r="P10" s="921">
        <f t="shared" si="7"/>
        <v>0</v>
      </c>
      <c r="Q10" s="921"/>
      <c r="R10" s="921">
        <f t="shared" si="8"/>
        <v>0</v>
      </c>
      <c r="S10" s="922"/>
      <c r="T10" s="922">
        <f t="shared" si="9"/>
        <v>0</v>
      </c>
      <c r="U10" s="922"/>
      <c r="V10" s="922">
        <f t="shared" si="10"/>
        <v>0</v>
      </c>
      <c r="W10" s="922"/>
      <c r="X10" s="19">
        <f t="shared" si="11"/>
        <v>0</v>
      </c>
      <c r="Y10" s="20">
        <f t="shared" si="0"/>
        <v>0</v>
      </c>
    </row>
    <row r="11" spans="1:25" ht="37.5" customHeight="1" x14ac:dyDescent="0.25">
      <c r="A11" s="12"/>
      <c r="B11" s="923"/>
      <c r="C11" s="922"/>
      <c r="D11" s="22">
        <f t="shared" si="1"/>
        <v>0</v>
      </c>
      <c r="E11" s="922"/>
      <c r="F11" s="922">
        <f t="shared" si="2"/>
        <v>0</v>
      </c>
      <c r="G11" s="922"/>
      <c r="H11" s="922">
        <f t="shared" si="3"/>
        <v>0</v>
      </c>
      <c r="I11" s="922"/>
      <c r="J11" s="922">
        <f t="shared" si="4"/>
        <v>0</v>
      </c>
      <c r="K11" s="922"/>
      <c r="L11" s="922">
        <f t="shared" si="5"/>
        <v>0</v>
      </c>
      <c r="M11" s="922"/>
      <c r="N11" s="921">
        <f t="shared" si="6"/>
        <v>0</v>
      </c>
      <c r="O11" s="922"/>
      <c r="P11" s="921">
        <f t="shared" si="7"/>
        <v>0</v>
      </c>
      <c r="Q11" s="921"/>
      <c r="R11" s="921">
        <f t="shared" si="8"/>
        <v>0</v>
      </c>
      <c r="S11" s="922"/>
      <c r="T11" s="922">
        <f>341*S11</f>
        <v>0</v>
      </c>
      <c r="U11" s="922"/>
      <c r="V11" s="922">
        <f t="shared" si="10"/>
        <v>0</v>
      </c>
      <c r="W11" s="922"/>
      <c r="X11" s="19">
        <f t="shared" si="11"/>
        <v>0</v>
      </c>
      <c r="Y11" s="20">
        <f t="shared" si="0"/>
        <v>0</v>
      </c>
    </row>
    <row r="12" spans="1:25" ht="29.25" customHeight="1" x14ac:dyDescent="0.25">
      <c r="A12" s="2235" t="s">
        <v>31</v>
      </c>
      <c r="B12" s="2235"/>
      <c r="C12" s="18">
        <f t="shared" ref="C12:X12" si="12">SUM(C6:C11)</f>
        <v>189592</v>
      </c>
      <c r="D12" s="18">
        <f t="shared" si="12"/>
        <v>184378.22</v>
      </c>
      <c r="E12" s="18">
        <f t="shared" si="12"/>
        <v>0</v>
      </c>
      <c r="F12" s="18">
        <f t="shared" si="12"/>
        <v>0</v>
      </c>
      <c r="G12" s="18">
        <f t="shared" si="12"/>
        <v>0</v>
      </c>
      <c r="H12" s="18">
        <f t="shared" si="12"/>
        <v>0</v>
      </c>
      <c r="I12" s="18">
        <f t="shared" si="12"/>
        <v>1370</v>
      </c>
      <c r="J12" s="18">
        <f t="shared" si="12"/>
        <v>25345</v>
      </c>
      <c r="K12" s="18">
        <f t="shared" si="12"/>
        <v>0</v>
      </c>
      <c r="L12" s="18">
        <f t="shared" si="12"/>
        <v>0</v>
      </c>
      <c r="M12" s="18">
        <f t="shared" si="12"/>
        <v>0</v>
      </c>
      <c r="N12" s="23">
        <f t="shared" si="12"/>
        <v>0</v>
      </c>
      <c r="O12" s="18">
        <f t="shared" si="12"/>
        <v>0</v>
      </c>
      <c r="P12" s="23">
        <f t="shared" si="12"/>
        <v>0</v>
      </c>
      <c r="Q12" s="23">
        <f t="shared" si="12"/>
        <v>0</v>
      </c>
      <c r="R12" s="23">
        <f>SUM(R6:R11)</f>
        <v>0</v>
      </c>
      <c r="S12" s="23">
        <f>SUM(S6:S11)</f>
        <v>0</v>
      </c>
      <c r="T12" s="18">
        <f t="shared" si="12"/>
        <v>0</v>
      </c>
      <c r="U12" s="18">
        <f t="shared" si="12"/>
        <v>0</v>
      </c>
      <c r="V12" s="18">
        <f t="shared" si="12"/>
        <v>0</v>
      </c>
      <c r="W12" s="18">
        <f t="shared" si="12"/>
        <v>0</v>
      </c>
      <c r="X12" s="18">
        <f t="shared" si="12"/>
        <v>0</v>
      </c>
      <c r="Y12" s="20">
        <f t="shared" si="0"/>
        <v>209723.22</v>
      </c>
    </row>
    <row r="14" spans="1:25" ht="43.5" customHeight="1" x14ac:dyDescent="0.25">
      <c r="A14" s="30" t="s">
        <v>32</v>
      </c>
      <c r="B14" s="2236" t="s">
        <v>27</v>
      </c>
      <c r="C14" s="2236"/>
      <c r="D14" s="30" t="s">
        <v>333</v>
      </c>
      <c r="E14" s="30" t="s">
        <v>65</v>
      </c>
      <c r="F14" s="30" t="s">
        <v>34</v>
      </c>
      <c r="G14" s="30" t="s">
        <v>14</v>
      </c>
      <c r="H14" s="469" t="s">
        <v>173</v>
      </c>
      <c r="I14" s="30" t="s">
        <v>17</v>
      </c>
      <c r="J14" s="930" t="s">
        <v>174</v>
      </c>
      <c r="K14" s="30" t="s">
        <v>36</v>
      </c>
      <c r="L14" s="930" t="s">
        <v>403</v>
      </c>
      <c r="M14" s="30" t="s">
        <v>69</v>
      </c>
      <c r="N14" s="30" t="s">
        <v>70</v>
      </c>
      <c r="O14" s="930" t="s">
        <v>114</v>
      </c>
      <c r="P14" s="930"/>
      <c r="Q14" s="2300" t="s">
        <v>378</v>
      </c>
      <c r="R14" s="2301"/>
      <c r="S14" s="930" t="s">
        <v>401</v>
      </c>
      <c r="T14" s="2235" t="s">
        <v>46</v>
      </c>
      <c r="U14" s="924" t="s">
        <v>176</v>
      </c>
      <c r="V14" s="2260">
        <v>27016</v>
      </c>
      <c r="W14" s="2268"/>
      <c r="X14" s="2261"/>
    </row>
    <row r="15" spans="1:25" ht="22.5" customHeight="1" x14ac:dyDescent="0.25">
      <c r="A15" s="100" t="s">
        <v>38</v>
      </c>
      <c r="B15" s="2260">
        <v>300238</v>
      </c>
      <c r="C15" s="2261"/>
      <c r="D15" s="927">
        <v>502</v>
      </c>
      <c r="E15" s="927">
        <v>350</v>
      </c>
      <c r="F15" s="927">
        <v>1700</v>
      </c>
      <c r="G15" s="927">
        <v>0</v>
      </c>
      <c r="H15" s="927">
        <v>453</v>
      </c>
      <c r="I15" s="927">
        <v>0</v>
      </c>
      <c r="J15" s="927"/>
      <c r="K15" s="927">
        <v>71</v>
      </c>
      <c r="L15" s="927">
        <v>0</v>
      </c>
      <c r="M15" s="927">
        <v>0</v>
      </c>
      <c r="N15" s="927">
        <v>100</v>
      </c>
      <c r="O15" s="927">
        <v>0</v>
      </c>
      <c r="P15" s="927"/>
      <c r="Q15" s="2260">
        <v>0</v>
      </c>
      <c r="R15" s="2261"/>
      <c r="S15" s="924">
        <v>53</v>
      </c>
      <c r="T15" s="2235"/>
      <c r="U15" s="924" t="s">
        <v>64</v>
      </c>
      <c r="V15" s="2262">
        <v>7440</v>
      </c>
      <c r="W15" s="2262"/>
      <c r="X15" s="2262"/>
    </row>
    <row r="16" spans="1:25" ht="24.75" customHeight="1" x14ac:dyDescent="0.25">
      <c r="A16" s="100" t="s">
        <v>39</v>
      </c>
      <c r="B16" s="2260">
        <v>259740</v>
      </c>
      <c r="C16" s="2261"/>
      <c r="D16" s="927"/>
      <c r="E16" s="927"/>
      <c r="F16" s="927"/>
      <c r="G16" s="927"/>
      <c r="H16" s="927"/>
      <c r="I16" s="927"/>
      <c r="J16" s="927"/>
      <c r="K16" s="927"/>
      <c r="L16" s="927"/>
      <c r="M16" s="927"/>
      <c r="N16" s="927"/>
      <c r="O16" s="927"/>
      <c r="P16" s="927"/>
      <c r="Q16" s="2225"/>
      <c r="R16" s="2225"/>
      <c r="S16" s="927"/>
      <c r="T16" s="2254" t="s">
        <v>55</v>
      </c>
      <c r="U16" s="2254"/>
      <c r="V16" s="2267">
        <f>Y12</f>
        <v>209723.22</v>
      </c>
      <c r="W16" s="2267"/>
      <c r="X16" s="2262"/>
    </row>
    <row r="17" spans="1:25" ht="28.5" customHeight="1" x14ac:dyDescent="0.25">
      <c r="A17" s="101" t="s">
        <v>44</v>
      </c>
      <c r="B17" s="2260"/>
      <c r="C17" s="2261"/>
      <c r="D17" s="927"/>
      <c r="E17" s="927"/>
      <c r="F17" s="927"/>
      <c r="G17" s="927"/>
      <c r="H17" s="927"/>
      <c r="I17" s="927"/>
      <c r="J17" s="927"/>
      <c r="K17" s="927"/>
      <c r="L17" s="927"/>
      <c r="M17" s="927"/>
      <c r="N17" s="927"/>
      <c r="O17" s="927"/>
      <c r="P17" s="927"/>
      <c r="Q17" s="2225"/>
      <c r="R17" s="2225"/>
      <c r="S17" s="923"/>
      <c r="T17" s="2294" t="s">
        <v>362</v>
      </c>
      <c r="U17" s="2295"/>
      <c r="V17" s="2296"/>
      <c r="W17" s="2296"/>
      <c r="X17" s="2296"/>
    </row>
    <row r="18" spans="1:25" ht="27" customHeight="1" x14ac:dyDescent="0.25">
      <c r="A18" s="100" t="s">
        <v>40</v>
      </c>
      <c r="B18" s="2264">
        <f>C12</f>
        <v>189592</v>
      </c>
      <c r="C18" s="2261"/>
      <c r="D18" s="929">
        <f>E12</f>
        <v>0</v>
      </c>
      <c r="E18" s="929">
        <f>G12</f>
        <v>0</v>
      </c>
      <c r="F18" s="929">
        <f>I12</f>
        <v>1370</v>
      </c>
      <c r="G18" s="929">
        <f>K12</f>
        <v>0</v>
      </c>
      <c r="H18" s="927"/>
      <c r="I18" s="929">
        <f>U12</f>
        <v>0</v>
      </c>
      <c r="J18" s="927"/>
      <c r="K18" s="929">
        <f>W12</f>
        <v>0</v>
      </c>
      <c r="L18" s="927"/>
      <c r="M18" s="929">
        <f>M12</f>
        <v>0</v>
      </c>
      <c r="N18" s="929"/>
      <c r="O18" s="928">
        <f>Q12</f>
        <v>0</v>
      </c>
      <c r="P18" s="929"/>
      <c r="Q18" s="2262"/>
      <c r="R18" s="2262"/>
      <c r="S18" s="924"/>
      <c r="T18" s="2254" t="s">
        <v>57</v>
      </c>
      <c r="U18" s="2254"/>
      <c r="V18" s="2262">
        <v>1070</v>
      </c>
      <c r="W18" s="2262"/>
      <c r="X18" s="2262"/>
      <c r="Y18" s="2269"/>
    </row>
    <row r="19" spans="1:25" ht="25.5" customHeight="1" x14ac:dyDescent="0.25">
      <c r="A19" s="100" t="s">
        <v>41</v>
      </c>
      <c r="B19" s="2260">
        <f>B15+B16+B17-B18</f>
        <v>370386</v>
      </c>
      <c r="C19" s="2261"/>
      <c r="D19" s="927">
        <f>D15+D16+D17-D18</f>
        <v>502</v>
      </c>
      <c r="E19" s="927">
        <f t="shared" ref="E19:N19" si="13">E15+E16+E17-E18</f>
        <v>350</v>
      </c>
      <c r="F19" s="927">
        <f t="shared" si="13"/>
        <v>330</v>
      </c>
      <c r="G19" s="927">
        <f t="shared" si="13"/>
        <v>0</v>
      </c>
      <c r="H19" s="927">
        <f t="shared" si="13"/>
        <v>453</v>
      </c>
      <c r="I19" s="927">
        <f t="shared" si="13"/>
        <v>0</v>
      </c>
      <c r="J19" s="927">
        <f t="shared" si="13"/>
        <v>0</v>
      </c>
      <c r="K19" s="927">
        <f t="shared" si="13"/>
        <v>71</v>
      </c>
      <c r="L19" s="927">
        <f t="shared" si="13"/>
        <v>0</v>
      </c>
      <c r="M19" s="927">
        <f t="shared" si="13"/>
        <v>0</v>
      </c>
      <c r="N19" s="927">
        <f t="shared" si="13"/>
        <v>100</v>
      </c>
      <c r="O19" s="927">
        <f>O15+O16+O17-O18</f>
        <v>0</v>
      </c>
      <c r="P19" s="927">
        <f>P15+P16+P17-P18</f>
        <v>0</v>
      </c>
      <c r="Q19" s="2260">
        <f t="shared" ref="Q19" si="14">Q15+Q16+Q17-Q18</f>
        <v>0</v>
      </c>
      <c r="R19" s="2261"/>
      <c r="S19" s="924">
        <f>S15+S16-S17-S18</f>
        <v>53</v>
      </c>
      <c r="T19" s="2256" t="s">
        <v>48</v>
      </c>
      <c r="U19" s="49" t="s">
        <v>58</v>
      </c>
      <c r="V19" s="2262">
        <v>120000</v>
      </c>
      <c r="W19" s="2262"/>
      <c r="X19" s="2262"/>
      <c r="Y19" s="2269"/>
    </row>
    <row r="20" spans="1:25" ht="23.25" customHeight="1" x14ac:dyDescent="0.25">
      <c r="A20" s="289" t="s">
        <v>187</v>
      </c>
      <c r="B20" s="2286">
        <f>B19*0.9625</f>
        <v>356496.52500000002</v>
      </c>
      <c r="C20" s="2287"/>
      <c r="D20" s="290">
        <f>D19*66.41</f>
        <v>33337.82</v>
      </c>
      <c r="E20" s="290">
        <f>27.9368*E19</f>
        <v>9777.880000000001</v>
      </c>
      <c r="F20" s="290">
        <f>18.31*F19</f>
        <v>6042.2999999999993</v>
      </c>
      <c r="G20" s="290">
        <f>27.9368*G19</f>
        <v>0</v>
      </c>
      <c r="H20" s="290">
        <f>241*H19</f>
        <v>109173</v>
      </c>
      <c r="I20" s="290">
        <f>323*I19</f>
        <v>0</v>
      </c>
      <c r="J20" s="290">
        <f>241*J19</f>
        <v>0</v>
      </c>
      <c r="K20" s="290">
        <f>K19*100</f>
        <v>7100</v>
      </c>
      <c r="L20" s="290">
        <f>241*L19</f>
        <v>0</v>
      </c>
      <c r="M20" s="290">
        <f>9.65*M19</f>
        <v>0</v>
      </c>
      <c r="N20" s="290">
        <f>N19*48.2</f>
        <v>4820</v>
      </c>
      <c r="O20" s="290">
        <f>241*O19</f>
        <v>0</v>
      </c>
      <c r="P20" s="290">
        <f>241*P19</f>
        <v>0</v>
      </c>
      <c r="Q20" s="2286">
        <f>341*Q19</f>
        <v>0</v>
      </c>
      <c r="R20" s="2287"/>
      <c r="S20" s="290">
        <f>341*S19</f>
        <v>18073</v>
      </c>
      <c r="T20" s="2257"/>
      <c r="U20" s="49" t="s">
        <v>59</v>
      </c>
      <c r="V20" s="2262"/>
      <c r="W20" s="2262"/>
      <c r="X20" s="2262"/>
      <c r="Y20" s="2269"/>
    </row>
    <row r="21" spans="1:25" ht="32.25" customHeight="1" x14ac:dyDescent="0.25">
      <c r="A21" s="291" t="s">
        <v>186</v>
      </c>
      <c r="B21" s="2293">
        <f>SUM(B20:S20)</f>
        <v>544820.52500000002</v>
      </c>
      <c r="C21" s="2293"/>
      <c r="O21" s="931"/>
      <c r="P21" s="931"/>
      <c r="Q21" s="931"/>
      <c r="R21" s="931"/>
      <c r="T21" s="2294" t="s">
        <v>366</v>
      </c>
      <c r="U21" s="2295"/>
      <c r="V21" s="2297"/>
      <c r="W21" s="2298"/>
      <c r="X21" s="2299"/>
      <c r="Y21" s="2269"/>
    </row>
    <row r="22" spans="1:25" ht="35.25" customHeight="1" x14ac:dyDescent="0.25">
      <c r="A22" s="15"/>
      <c r="B22" s="2288" t="s">
        <v>49</v>
      </c>
      <c r="C22" s="2291">
        <v>119998</v>
      </c>
      <c r="D22" s="2291">
        <v>120000</v>
      </c>
      <c r="E22" s="2291">
        <v>250000</v>
      </c>
      <c r="F22" s="2291">
        <f>C22-D22+E22</f>
        <v>249998</v>
      </c>
      <c r="G22" s="931"/>
      <c r="Q22" s="931"/>
      <c r="R22" s="931"/>
      <c r="T22" s="2251" t="s">
        <v>83</v>
      </c>
      <c r="U22" s="50" t="s">
        <v>60</v>
      </c>
      <c r="V22" s="2262">
        <v>176090</v>
      </c>
      <c r="W22" s="2262"/>
      <c r="X22" s="2262"/>
      <c r="Y22" s="2269"/>
    </row>
    <row r="23" spans="1:25" ht="39.75" customHeight="1" x14ac:dyDescent="0.25">
      <c r="A23" s="931"/>
      <c r="B23" s="2289"/>
      <c r="C23" s="2292"/>
      <c r="D23" s="2292"/>
      <c r="E23" s="2292"/>
      <c r="F23" s="2292"/>
      <c r="G23" s="931"/>
      <c r="Q23" s="931"/>
      <c r="R23" s="931"/>
      <c r="T23" s="2252"/>
      <c r="U23" s="50" t="s">
        <v>61</v>
      </c>
      <c r="V23" s="2262">
        <v>120000</v>
      </c>
      <c r="W23" s="2262"/>
      <c r="X23" s="2262"/>
      <c r="Y23" s="2269"/>
    </row>
    <row r="24" spans="1:25" ht="48" customHeight="1" x14ac:dyDescent="0.25">
      <c r="A24" s="931"/>
      <c r="B24" s="2290"/>
      <c r="C24" s="290" t="s">
        <v>46</v>
      </c>
      <c r="D24" s="290" t="s">
        <v>50</v>
      </c>
      <c r="E24" s="290" t="s">
        <v>51</v>
      </c>
      <c r="F24" s="290" t="s">
        <v>52</v>
      </c>
      <c r="G24" s="931"/>
      <c r="Q24" s="931"/>
      <c r="R24" s="931"/>
      <c r="T24" s="2235" t="s">
        <v>47</v>
      </c>
      <c r="U24" s="51" t="s">
        <v>62</v>
      </c>
      <c r="V24" s="2263">
        <f>V14+V16+V17-V18-V19-V20-V22+V23-V21</f>
        <v>59579.22</v>
      </c>
      <c r="W24" s="2263"/>
      <c r="X24" s="2263"/>
      <c r="Y24" s="2269"/>
    </row>
    <row r="25" spans="1:25" ht="40.5" customHeight="1" x14ac:dyDescent="0.25">
      <c r="T25" s="2235"/>
      <c r="U25" s="51" t="s">
        <v>63</v>
      </c>
      <c r="V25" s="2262">
        <f>V15+V22-V23</f>
        <v>63530</v>
      </c>
      <c r="W25" s="2262"/>
      <c r="X25" s="2262"/>
    </row>
    <row r="26" spans="1:25" ht="36" customHeight="1" x14ac:dyDescent="0.25">
      <c r="K26" s="314"/>
    </row>
    <row r="28" spans="1:25" x14ac:dyDescent="0.25">
      <c r="J28" s="14" t="s">
        <v>139</v>
      </c>
    </row>
    <row r="32" spans="1:25" x14ac:dyDescent="0.25">
      <c r="I32" s="2280"/>
      <c r="J32" s="2280"/>
      <c r="K32" s="2280"/>
      <c r="L32" s="2280"/>
    </row>
    <row r="33" spans="9:12" x14ac:dyDescent="0.25">
      <c r="I33" s="931"/>
      <c r="J33" s="931"/>
      <c r="K33" s="2280"/>
      <c r="L33" s="2280"/>
    </row>
  </sheetData>
  <mergeCells count="62">
    <mergeCell ref="A1:Y1"/>
    <mergeCell ref="A2:Y2"/>
    <mergeCell ref="T3:Y3"/>
    <mergeCell ref="A4:A5"/>
    <mergeCell ref="B4:B5"/>
    <mergeCell ref="C4:D4"/>
    <mergeCell ref="E4:F4"/>
    <mergeCell ref="G4:H4"/>
    <mergeCell ref="I4:J4"/>
    <mergeCell ref="K4:L4"/>
    <mergeCell ref="Y4:Y5"/>
    <mergeCell ref="M4:N4"/>
    <mergeCell ref="O4:P4"/>
    <mergeCell ref="Q4:R4"/>
    <mergeCell ref="S4:T4"/>
    <mergeCell ref="U4:V4"/>
    <mergeCell ref="W4:X4"/>
    <mergeCell ref="B16:C16"/>
    <mergeCell ref="Q16:R16"/>
    <mergeCell ref="T16:U16"/>
    <mergeCell ref="V16:X16"/>
    <mergeCell ref="A12:B12"/>
    <mergeCell ref="B14:C14"/>
    <mergeCell ref="Q14:R14"/>
    <mergeCell ref="T14:T15"/>
    <mergeCell ref="V14:X14"/>
    <mergeCell ref="B15:C15"/>
    <mergeCell ref="Q15:R15"/>
    <mergeCell ref="V15:X15"/>
    <mergeCell ref="B17:C17"/>
    <mergeCell ref="Q17:R17"/>
    <mergeCell ref="T17:U17"/>
    <mergeCell ref="V17:X17"/>
    <mergeCell ref="B18:C18"/>
    <mergeCell ref="Q18:R18"/>
    <mergeCell ref="T18:U18"/>
    <mergeCell ref="V18:X18"/>
    <mergeCell ref="Y18:Y24"/>
    <mergeCell ref="B19:C19"/>
    <mergeCell ref="Q19:R19"/>
    <mergeCell ref="T19:T20"/>
    <mergeCell ref="V19:X19"/>
    <mergeCell ref="B20:C20"/>
    <mergeCell ref="B22:B24"/>
    <mergeCell ref="C22:C23"/>
    <mergeCell ref="D22:D23"/>
    <mergeCell ref="E22:E23"/>
    <mergeCell ref="F22:F23"/>
    <mergeCell ref="Q20:R20"/>
    <mergeCell ref="V20:X20"/>
    <mergeCell ref="B21:C21"/>
    <mergeCell ref="T21:U21"/>
    <mergeCell ref="V21:X21"/>
    <mergeCell ref="I32:J32"/>
    <mergeCell ref="K32:L32"/>
    <mergeCell ref="K33:L33"/>
    <mergeCell ref="T22:T23"/>
    <mergeCell ref="V22:X22"/>
    <mergeCell ref="V23:X23"/>
    <mergeCell ref="T24:T25"/>
    <mergeCell ref="V24:X24"/>
    <mergeCell ref="V25:X25"/>
  </mergeCells>
  <pageMargins left="0.15748031496063" right="0.15748031496063" top="0" bottom="0" header="0" footer="0"/>
  <pageSetup paperSize="9" scale="45" orientation="landscape" r:id="rId1"/>
</worksheet>
</file>

<file path=xl/worksheets/sheet19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FD87ABA-9B81-4A0B-AE4D-71412D3D3AF2}">
  <sheetPr>
    <pageSetUpPr fitToPage="1"/>
  </sheetPr>
  <dimension ref="A1:Y33"/>
  <sheetViews>
    <sheetView topLeftCell="A13" zoomScale="70" zoomScaleNormal="70" zoomScaleSheetLayoutView="100" workbookViewId="0">
      <selection activeCell="C9" sqref="C9"/>
    </sheetView>
  </sheetViews>
  <sheetFormatPr defaultColWidth="9.140625" defaultRowHeight="15" x14ac:dyDescent="0.25"/>
  <cols>
    <col min="1" max="1" width="18.28515625" style="14" customWidth="1"/>
    <col min="2" max="2" width="10.7109375" style="14" customWidth="1"/>
    <col min="3" max="3" width="12.28515625" style="14" customWidth="1"/>
    <col min="4" max="4" width="13.140625" style="14" bestFit="1" customWidth="1"/>
    <col min="5" max="5" width="12" style="14" customWidth="1"/>
    <col min="6" max="6" width="12.5703125" style="14" bestFit="1" customWidth="1"/>
    <col min="7" max="7" width="16" style="14" bestFit="1" customWidth="1"/>
    <col min="8" max="8" width="10.140625" style="14" bestFit="1" customWidth="1"/>
    <col min="9" max="9" width="10.5703125" style="14" bestFit="1" customWidth="1"/>
    <col min="10" max="10" width="10.5703125" style="14" customWidth="1"/>
    <col min="11" max="11" width="10.28515625" style="14" bestFit="1" customWidth="1"/>
    <col min="12" max="12" width="10.42578125" style="14" bestFit="1" customWidth="1"/>
    <col min="13" max="13" width="9.85546875" style="14" bestFit="1" customWidth="1"/>
    <col min="14" max="14" width="10.140625" style="14" bestFit="1" customWidth="1"/>
    <col min="15" max="15" width="9" style="14" customWidth="1"/>
    <col min="16" max="16" width="12.85546875" style="14" bestFit="1" customWidth="1"/>
    <col min="17" max="18" width="9.42578125" style="14" customWidth="1"/>
    <col min="19" max="19" width="13.7109375" style="14" customWidth="1"/>
    <col min="20" max="20" width="12.140625" style="14" customWidth="1"/>
    <col min="21" max="21" width="21.7109375" style="14" customWidth="1"/>
    <col min="22" max="22" width="9.85546875" style="14" customWidth="1"/>
    <col min="23" max="23" width="10.140625" style="14" bestFit="1" customWidth="1"/>
    <col min="24" max="24" width="10.28515625" style="14" customWidth="1"/>
    <col min="25" max="25" width="28" style="14" customWidth="1"/>
    <col min="26" max="16384" width="9.140625" style="14"/>
  </cols>
  <sheetData>
    <row r="1" spans="1:25" ht="46.15" customHeight="1" x14ac:dyDescent="0.25">
      <c r="A1" s="2240" t="s">
        <v>148</v>
      </c>
      <c r="B1" s="2240"/>
      <c r="C1" s="2240"/>
      <c r="D1" s="2240"/>
      <c r="E1" s="2240"/>
      <c r="F1" s="2240"/>
      <c r="G1" s="2240"/>
      <c r="H1" s="2240"/>
      <c r="I1" s="2240"/>
      <c r="J1" s="2240"/>
      <c r="K1" s="2240"/>
      <c r="L1" s="2240"/>
      <c r="M1" s="2240"/>
      <c r="N1" s="2240"/>
      <c r="O1" s="2240"/>
      <c r="P1" s="2240"/>
      <c r="Q1" s="2240"/>
      <c r="R1" s="2240"/>
      <c r="S1" s="2240"/>
      <c r="T1" s="2240"/>
      <c r="U1" s="2240"/>
      <c r="V1" s="2240"/>
      <c r="W1" s="2240"/>
      <c r="X1" s="2240"/>
      <c r="Y1" s="2240"/>
    </row>
    <row r="2" spans="1:25" ht="21.6" customHeight="1" x14ac:dyDescent="0.25">
      <c r="A2" s="2241" t="s">
        <v>383</v>
      </c>
      <c r="B2" s="2241"/>
      <c r="C2" s="2241"/>
      <c r="D2" s="2241"/>
      <c r="E2" s="2241"/>
      <c r="F2" s="2241"/>
      <c r="G2" s="2241"/>
      <c r="H2" s="2241"/>
      <c r="I2" s="2241"/>
      <c r="J2" s="2241"/>
      <c r="K2" s="2241"/>
      <c r="L2" s="2241"/>
      <c r="M2" s="2241"/>
      <c r="N2" s="2241"/>
      <c r="O2" s="2241"/>
      <c r="P2" s="2241"/>
      <c r="Q2" s="2241"/>
      <c r="R2" s="2241"/>
      <c r="S2" s="2241"/>
      <c r="T2" s="2241"/>
      <c r="U2" s="2241"/>
      <c r="V2" s="2241"/>
      <c r="W2" s="2241"/>
      <c r="X2" s="2241"/>
      <c r="Y2" s="2241"/>
    </row>
    <row r="3" spans="1:25" ht="21" customHeight="1" x14ac:dyDescent="0.25">
      <c r="A3" s="937"/>
      <c r="B3" s="937"/>
      <c r="C3" s="937"/>
      <c r="D3" s="937"/>
      <c r="E3" s="937"/>
      <c r="F3" s="937"/>
      <c r="G3" s="937"/>
      <c r="H3" s="937"/>
      <c r="I3" s="937"/>
      <c r="J3" s="937"/>
      <c r="K3" s="937"/>
      <c r="L3" s="937"/>
      <c r="M3" s="937"/>
      <c r="N3" s="937"/>
      <c r="O3" s="937"/>
      <c r="P3" s="937"/>
      <c r="Q3" s="937"/>
      <c r="R3" s="937"/>
      <c r="S3" s="937"/>
      <c r="T3" s="2242" t="s">
        <v>417</v>
      </c>
      <c r="U3" s="2242"/>
      <c r="V3" s="2242"/>
      <c r="W3" s="2242"/>
      <c r="X3" s="2242"/>
      <c r="Y3" s="2242"/>
    </row>
    <row r="4" spans="1:25" s="937" customFormat="1" ht="18" customHeight="1" x14ac:dyDescent="0.25">
      <c r="A4" s="2243" t="s">
        <v>25</v>
      </c>
      <c r="B4" s="2243" t="s">
        <v>26</v>
      </c>
      <c r="C4" s="2244" t="s">
        <v>27</v>
      </c>
      <c r="D4" s="2244"/>
      <c r="E4" s="2244" t="s">
        <v>342</v>
      </c>
      <c r="F4" s="2244"/>
      <c r="G4" s="2244" t="s">
        <v>65</v>
      </c>
      <c r="H4" s="2244"/>
      <c r="I4" s="2244" t="s">
        <v>29</v>
      </c>
      <c r="J4" s="2244"/>
      <c r="K4" s="2245" t="s">
        <v>14</v>
      </c>
      <c r="L4" s="2246"/>
      <c r="M4" s="2245" t="s">
        <v>67</v>
      </c>
      <c r="N4" s="2246"/>
      <c r="O4" s="2245" t="s">
        <v>68</v>
      </c>
      <c r="P4" s="2246"/>
      <c r="Q4" s="2245" t="s">
        <v>114</v>
      </c>
      <c r="R4" s="2246"/>
      <c r="S4" s="2244" t="s">
        <v>35</v>
      </c>
      <c r="T4" s="2244"/>
      <c r="U4" s="2245" t="s">
        <v>17</v>
      </c>
      <c r="V4" s="2246"/>
      <c r="W4" s="2247" t="s">
        <v>36</v>
      </c>
      <c r="X4" s="2248"/>
      <c r="Y4" s="2238" t="s">
        <v>30</v>
      </c>
    </row>
    <row r="5" spans="1:25" s="937" customFormat="1" ht="25.5" customHeight="1" x14ac:dyDescent="0.25">
      <c r="A5" s="2243"/>
      <c r="B5" s="2243"/>
      <c r="C5" s="936" t="s">
        <v>42</v>
      </c>
      <c r="D5" s="936" t="s">
        <v>43</v>
      </c>
      <c r="E5" s="936" t="s">
        <v>42</v>
      </c>
      <c r="F5" s="936" t="s">
        <v>43</v>
      </c>
      <c r="G5" s="936" t="s">
        <v>42</v>
      </c>
      <c r="H5" s="936" t="s">
        <v>43</v>
      </c>
      <c r="I5" s="936" t="s">
        <v>42</v>
      </c>
      <c r="J5" s="936" t="s">
        <v>43</v>
      </c>
      <c r="K5" s="936" t="s">
        <v>42</v>
      </c>
      <c r="L5" s="936" t="s">
        <v>43</v>
      </c>
      <c r="M5" s="936" t="s">
        <v>42</v>
      </c>
      <c r="N5" s="936" t="s">
        <v>43</v>
      </c>
      <c r="O5" s="936" t="s">
        <v>42</v>
      </c>
      <c r="P5" s="936" t="s">
        <v>43</v>
      </c>
      <c r="Q5" s="936" t="s">
        <v>42</v>
      </c>
      <c r="R5" s="936" t="s">
        <v>43</v>
      </c>
      <c r="S5" s="33" t="s">
        <v>42</v>
      </c>
      <c r="T5" s="33" t="s">
        <v>43</v>
      </c>
      <c r="U5" s="30" t="s">
        <v>42</v>
      </c>
      <c r="V5" s="30" t="s">
        <v>43</v>
      </c>
      <c r="W5" s="30" t="s">
        <v>42</v>
      </c>
      <c r="X5" s="30" t="s">
        <v>43</v>
      </c>
      <c r="Y5" s="2239"/>
    </row>
    <row r="6" spans="1:25" ht="34.5" customHeight="1" x14ac:dyDescent="0.25">
      <c r="A6" s="12">
        <v>1409935200</v>
      </c>
      <c r="B6" s="935" t="s">
        <v>71</v>
      </c>
      <c r="C6" s="933">
        <v>28712</v>
      </c>
      <c r="D6" s="932">
        <f>0.9725*C6</f>
        <v>27922.420000000002</v>
      </c>
      <c r="E6" s="933"/>
      <c r="F6" s="933">
        <f>67.1*E6</f>
        <v>0</v>
      </c>
      <c r="G6" s="933"/>
      <c r="H6" s="933">
        <f>28.2*G6</f>
        <v>0</v>
      </c>
      <c r="I6" s="933">
        <v>130</v>
      </c>
      <c r="J6" s="933">
        <f>18.5*I6</f>
        <v>2405</v>
      </c>
      <c r="K6" s="933"/>
      <c r="L6" s="933">
        <f>28.2368*K6</f>
        <v>0</v>
      </c>
      <c r="M6" s="933"/>
      <c r="N6" s="932">
        <f>M6*9.75</f>
        <v>0</v>
      </c>
      <c r="O6" s="933"/>
      <c r="P6" s="932">
        <f>O6*48.7</f>
        <v>0</v>
      </c>
      <c r="Q6" s="932"/>
      <c r="R6" s="932">
        <f>241*Q6</f>
        <v>0</v>
      </c>
      <c r="S6" s="933"/>
      <c r="T6" s="933">
        <f>241*S6</f>
        <v>0</v>
      </c>
      <c r="U6" s="933"/>
      <c r="V6" s="933">
        <f>332*U6</f>
        <v>0</v>
      </c>
      <c r="W6" s="933"/>
      <c r="X6" s="19">
        <f>W6*100</f>
        <v>0</v>
      </c>
      <c r="Y6" s="20">
        <f t="shared" ref="Y6:Y12" si="0">D6+F6+H6+J6+L6+N6+P6+R6+T6+V6+X6</f>
        <v>30327.420000000002</v>
      </c>
    </row>
    <row r="7" spans="1:25" ht="31.5" customHeight="1" x14ac:dyDescent="0.25">
      <c r="A7" s="12">
        <v>1984225578</v>
      </c>
      <c r="B7" s="935" t="s">
        <v>72</v>
      </c>
      <c r="C7" s="933">
        <v>32787</v>
      </c>
      <c r="D7" s="932">
        <f t="shared" ref="D7:D11" si="1">0.9725*C7</f>
        <v>31885.357500000002</v>
      </c>
      <c r="E7" s="933"/>
      <c r="F7" s="933">
        <f t="shared" ref="F7:F11" si="2">67.1*E7</f>
        <v>0</v>
      </c>
      <c r="G7" s="933"/>
      <c r="H7" s="933">
        <f t="shared" ref="H7:H11" si="3">28.2*G7</f>
        <v>0</v>
      </c>
      <c r="I7" s="933"/>
      <c r="J7" s="933">
        <f t="shared" ref="J7:J11" si="4">18.5*I7</f>
        <v>0</v>
      </c>
      <c r="K7" s="933"/>
      <c r="L7" s="933">
        <f t="shared" ref="L7:L11" si="5">28.2368*K7</f>
        <v>0</v>
      </c>
      <c r="M7" s="933"/>
      <c r="N7" s="932">
        <f t="shared" ref="N7:N11" si="6">M7*9.75</f>
        <v>0</v>
      </c>
      <c r="O7" s="933"/>
      <c r="P7" s="932">
        <f t="shared" ref="P7:P11" si="7">O7*48.7</f>
        <v>0</v>
      </c>
      <c r="Q7" s="932"/>
      <c r="R7" s="932">
        <f t="shared" ref="R7:R11" si="8">241*Q7</f>
        <v>0</v>
      </c>
      <c r="S7" s="933"/>
      <c r="T7" s="933">
        <f t="shared" ref="T7:T10" si="9">241*S7</f>
        <v>0</v>
      </c>
      <c r="U7" s="933"/>
      <c r="V7" s="933">
        <f t="shared" ref="V7:V11" si="10">332*U7</f>
        <v>0</v>
      </c>
      <c r="W7" s="933"/>
      <c r="X7" s="19">
        <f t="shared" ref="X7:X11" si="11">W7*100</f>
        <v>0</v>
      </c>
      <c r="Y7" s="20">
        <f t="shared" si="0"/>
        <v>31885.357500000002</v>
      </c>
    </row>
    <row r="8" spans="1:25" ht="35.25" customHeight="1" x14ac:dyDescent="0.25">
      <c r="A8" s="12">
        <v>1967020280</v>
      </c>
      <c r="B8" s="935" t="s">
        <v>73</v>
      </c>
      <c r="C8" s="933">
        <v>86105</v>
      </c>
      <c r="D8" s="932">
        <f t="shared" si="1"/>
        <v>83737.112500000003</v>
      </c>
      <c r="E8" s="933"/>
      <c r="F8" s="933">
        <f t="shared" si="2"/>
        <v>0</v>
      </c>
      <c r="G8" s="933"/>
      <c r="H8" s="933">
        <f t="shared" si="3"/>
        <v>0</v>
      </c>
      <c r="I8" s="933"/>
      <c r="J8" s="933">
        <f t="shared" si="4"/>
        <v>0</v>
      </c>
      <c r="K8" s="933"/>
      <c r="L8" s="933">
        <f t="shared" si="5"/>
        <v>0</v>
      </c>
      <c r="M8" s="933"/>
      <c r="N8" s="932">
        <f t="shared" si="6"/>
        <v>0</v>
      </c>
      <c r="O8" s="933"/>
      <c r="P8" s="932">
        <f t="shared" si="7"/>
        <v>0</v>
      </c>
      <c r="Q8" s="932"/>
      <c r="R8" s="932">
        <f t="shared" si="8"/>
        <v>0</v>
      </c>
      <c r="S8" s="933"/>
      <c r="T8" s="933">
        <f t="shared" si="9"/>
        <v>0</v>
      </c>
      <c r="U8" s="933"/>
      <c r="V8" s="933">
        <f t="shared" si="10"/>
        <v>0</v>
      </c>
      <c r="W8" s="933"/>
      <c r="X8" s="19">
        <f t="shared" si="11"/>
        <v>0</v>
      </c>
      <c r="Y8" s="20">
        <f t="shared" si="0"/>
        <v>83737.112500000003</v>
      </c>
    </row>
    <row r="9" spans="1:25" ht="38.25" customHeight="1" x14ac:dyDescent="0.25">
      <c r="A9" s="12">
        <v>1984225580</v>
      </c>
      <c r="B9" s="935" t="s">
        <v>75</v>
      </c>
      <c r="C9" s="933">
        <v>49548</v>
      </c>
      <c r="D9" s="932">
        <f t="shared" si="1"/>
        <v>48185.43</v>
      </c>
      <c r="E9" s="933"/>
      <c r="F9" s="933">
        <f t="shared" si="2"/>
        <v>0</v>
      </c>
      <c r="G9" s="933"/>
      <c r="H9" s="933">
        <f t="shared" si="3"/>
        <v>0</v>
      </c>
      <c r="I9" s="933">
        <v>200</v>
      </c>
      <c r="J9" s="933">
        <f t="shared" si="4"/>
        <v>3700</v>
      </c>
      <c r="K9" s="933"/>
      <c r="L9" s="933">
        <f t="shared" si="5"/>
        <v>0</v>
      </c>
      <c r="M9" s="933"/>
      <c r="N9" s="932">
        <f t="shared" si="6"/>
        <v>0</v>
      </c>
      <c r="O9" s="933"/>
      <c r="P9" s="932">
        <f t="shared" si="7"/>
        <v>0</v>
      </c>
      <c r="Q9" s="932"/>
      <c r="R9" s="932">
        <f t="shared" si="8"/>
        <v>0</v>
      </c>
      <c r="S9" s="933"/>
      <c r="T9" s="933">
        <f t="shared" si="9"/>
        <v>0</v>
      </c>
      <c r="U9" s="933"/>
      <c r="V9" s="933">
        <f t="shared" si="10"/>
        <v>0</v>
      </c>
      <c r="W9" s="933"/>
      <c r="X9" s="19">
        <f t="shared" si="11"/>
        <v>0</v>
      </c>
      <c r="Y9" s="20">
        <f t="shared" si="0"/>
        <v>51885.43</v>
      </c>
    </row>
    <row r="10" spans="1:25" ht="35.25" customHeight="1" x14ac:dyDescent="0.25">
      <c r="A10" s="12">
        <v>1409935199</v>
      </c>
      <c r="C10" s="933"/>
      <c r="D10" s="932">
        <f t="shared" si="1"/>
        <v>0</v>
      </c>
      <c r="E10" s="933"/>
      <c r="F10" s="933">
        <f t="shared" si="2"/>
        <v>0</v>
      </c>
      <c r="G10" s="933"/>
      <c r="H10" s="933">
        <f t="shared" si="3"/>
        <v>0</v>
      </c>
      <c r="I10" s="933"/>
      <c r="J10" s="933">
        <f t="shared" si="4"/>
        <v>0</v>
      </c>
      <c r="K10" s="933"/>
      <c r="L10" s="933">
        <f t="shared" si="5"/>
        <v>0</v>
      </c>
      <c r="M10" s="933"/>
      <c r="N10" s="932">
        <f t="shared" si="6"/>
        <v>0</v>
      </c>
      <c r="O10" s="933"/>
      <c r="P10" s="932">
        <f t="shared" si="7"/>
        <v>0</v>
      </c>
      <c r="Q10" s="932"/>
      <c r="R10" s="932">
        <f t="shared" si="8"/>
        <v>0</v>
      </c>
      <c r="S10" s="933"/>
      <c r="T10" s="933">
        <f t="shared" si="9"/>
        <v>0</v>
      </c>
      <c r="U10" s="933"/>
      <c r="V10" s="933">
        <f t="shared" si="10"/>
        <v>0</v>
      </c>
      <c r="W10" s="933"/>
      <c r="X10" s="19">
        <f t="shared" si="11"/>
        <v>0</v>
      </c>
      <c r="Y10" s="20">
        <f t="shared" si="0"/>
        <v>0</v>
      </c>
    </row>
    <row r="11" spans="1:25" ht="37.5" customHeight="1" x14ac:dyDescent="0.25">
      <c r="A11" s="12"/>
      <c r="B11" s="934"/>
      <c r="C11" s="933"/>
      <c r="D11" s="22">
        <f t="shared" si="1"/>
        <v>0</v>
      </c>
      <c r="E11" s="933"/>
      <c r="F11" s="933">
        <f t="shared" si="2"/>
        <v>0</v>
      </c>
      <c r="G11" s="933"/>
      <c r="H11" s="933">
        <f t="shared" si="3"/>
        <v>0</v>
      </c>
      <c r="I11" s="933"/>
      <c r="J11" s="933">
        <f t="shared" si="4"/>
        <v>0</v>
      </c>
      <c r="K11" s="933"/>
      <c r="L11" s="933">
        <f t="shared" si="5"/>
        <v>0</v>
      </c>
      <c r="M11" s="933"/>
      <c r="N11" s="932">
        <f t="shared" si="6"/>
        <v>0</v>
      </c>
      <c r="O11" s="933"/>
      <c r="P11" s="932">
        <f t="shared" si="7"/>
        <v>0</v>
      </c>
      <c r="Q11" s="932"/>
      <c r="R11" s="932">
        <f t="shared" si="8"/>
        <v>0</v>
      </c>
      <c r="S11" s="933"/>
      <c r="T11" s="933">
        <f>341*S11</f>
        <v>0</v>
      </c>
      <c r="U11" s="933"/>
      <c r="V11" s="933">
        <f t="shared" si="10"/>
        <v>0</v>
      </c>
      <c r="W11" s="933"/>
      <c r="X11" s="19">
        <f t="shared" si="11"/>
        <v>0</v>
      </c>
      <c r="Y11" s="20">
        <f t="shared" si="0"/>
        <v>0</v>
      </c>
    </row>
    <row r="12" spans="1:25" ht="29.25" customHeight="1" x14ac:dyDescent="0.25">
      <c r="A12" s="2235" t="s">
        <v>31</v>
      </c>
      <c r="B12" s="2235"/>
      <c r="C12" s="18">
        <f t="shared" ref="C12:X12" si="12">SUM(C6:C11)</f>
        <v>197152</v>
      </c>
      <c r="D12" s="18">
        <f t="shared" si="12"/>
        <v>191730.32</v>
      </c>
      <c r="E12" s="18">
        <f t="shared" si="12"/>
        <v>0</v>
      </c>
      <c r="F12" s="18">
        <f t="shared" si="12"/>
        <v>0</v>
      </c>
      <c r="G12" s="18">
        <f t="shared" si="12"/>
        <v>0</v>
      </c>
      <c r="H12" s="18">
        <f t="shared" si="12"/>
        <v>0</v>
      </c>
      <c r="I12" s="18">
        <f t="shared" si="12"/>
        <v>330</v>
      </c>
      <c r="J12" s="18">
        <f t="shared" si="12"/>
        <v>6105</v>
      </c>
      <c r="K12" s="18">
        <f t="shared" si="12"/>
        <v>0</v>
      </c>
      <c r="L12" s="18">
        <f t="shared" si="12"/>
        <v>0</v>
      </c>
      <c r="M12" s="18">
        <f t="shared" si="12"/>
        <v>0</v>
      </c>
      <c r="N12" s="23">
        <f t="shared" si="12"/>
        <v>0</v>
      </c>
      <c r="O12" s="18">
        <f t="shared" si="12"/>
        <v>0</v>
      </c>
      <c r="P12" s="23">
        <f t="shared" si="12"/>
        <v>0</v>
      </c>
      <c r="Q12" s="23">
        <f t="shared" si="12"/>
        <v>0</v>
      </c>
      <c r="R12" s="23">
        <f>SUM(R6:R11)</f>
        <v>0</v>
      </c>
      <c r="S12" s="23">
        <f>SUM(S6:S11)</f>
        <v>0</v>
      </c>
      <c r="T12" s="18">
        <f t="shared" si="12"/>
        <v>0</v>
      </c>
      <c r="U12" s="18">
        <f t="shared" si="12"/>
        <v>0</v>
      </c>
      <c r="V12" s="18">
        <f t="shared" si="12"/>
        <v>0</v>
      </c>
      <c r="W12" s="18">
        <f t="shared" si="12"/>
        <v>0</v>
      </c>
      <c r="X12" s="18">
        <f t="shared" si="12"/>
        <v>0</v>
      </c>
      <c r="Y12" s="20">
        <f t="shared" si="0"/>
        <v>197835.32</v>
      </c>
    </row>
    <row r="14" spans="1:25" ht="43.5" customHeight="1" x14ac:dyDescent="0.25">
      <c r="A14" s="30" t="s">
        <v>32</v>
      </c>
      <c r="B14" s="2236" t="s">
        <v>27</v>
      </c>
      <c r="C14" s="2236"/>
      <c r="D14" s="30" t="s">
        <v>333</v>
      </c>
      <c r="E14" s="30" t="s">
        <v>65</v>
      </c>
      <c r="F14" s="30" t="s">
        <v>34</v>
      </c>
      <c r="G14" s="30" t="s">
        <v>14</v>
      </c>
      <c r="H14" s="469" t="s">
        <v>173</v>
      </c>
      <c r="I14" s="30" t="s">
        <v>17</v>
      </c>
      <c r="J14" s="941" t="s">
        <v>174</v>
      </c>
      <c r="K14" s="30" t="s">
        <v>36</v>
      </c>
      <c r="L14" s="941" t="s">
        <v>403</v>
      </c>
      <c r="M14" s="30" t="s">
        <v>69</v>
      </c>
      <c r="N14" s="30" t="s">
        <v>70</v>
      </c>
      <c r="O14" s="941" t="s">
        <v>114</v>
      </c>
      <c r="P14" s="941"/>
      <c r="Q14" s="2300" t="s">
        <v>378</v>
      </c>
      <c r="R14" s="2301"/>
      <c r="S14" s="941" t="s">
        <v>401</v>
      </c>
      <c r="T14" s="2235" t="s">
        <v>46</v>
      </c>
      <c r="U14" s="935" t="s">
        <v>176</v>
      </c>
      <c r="V14" s="2260">
        <v>59579</v>
      </c>
      <c r="W14" s="2268"/>
      <c r="X14" s="2261"/>
    </row>
    <row r="15" spans="1:25" ht="22.5" customHeight="1" x14ac:dyDescent="0.25">
      <c r="A15" s="100" t="s">
        <v>38</v>
      </c>
      <c r="B15" s="2260">
        <v>370386</v>
      </c>
      <c r="C15" s="2261"/>
      <c r="D15" s="938">
        <v>502</v>
      </c>
      <c r="E15" s="938">
        <v>350</v>
      </c>
      <c r="F15" s="938">
        <v>330</v>
      </c>
      <c r="G15" s="938">
        <v>0</v>
      </c>
      <c r="H15" s="938">
        <v>453</v>
      </c>
      <c r="I15" s="938">
        <v>0</v>
      </c>
      <c r="J15" s="938"/>
      <c r="K15" s="938">
        <v>71</v>
      </c>
      <c r="L15" s="938">
        <v>0</v>
      </c>
      <c r="M15" s="938">
        <v>0</v>
      </c>
      <c r="N15" s="938">
        <v>100</v>
      </c>
      <c r="O15" s="938">
        <v>0</v>
      </c>
      <c r="P15" s="938"/>
      <c r="Q15" s="2260">
        <v>0</v>
      </c>
      <c r="R15" s="2261"/>
      <c r="S15" s="935">
        <v>53</v>
      </c>
      <c r="T15" s="2235"/>
      <c r="U15" s="935" t="s">
        <v>64</v>
      </c>
      <c r="V15" s="2262">
        <v>63530</v>
      </c>
      <c r="W15" s="2262"/>
      <c r="X15" s="2262"/>
    </row>
    <row r="16" spans="1:25" ht="24.75" customHeight="1" x14ac:dyDescent="0.25">
      <c r="A16" s="100" t="s">
        <v>39</v>
      </c>
      <c r="B16" s="2260">
        <v>415584</v>
      </c>
      <c r="C16" s="2261"/>
      <c r="D16" s="938"/>
      <c r="E16" s="938"/>
      <c r="F16" s="938">
        <v>13500</v>
      </c>
      <c r="G16" s="938"/>
      <c r="H16" s="938"/>
      <c r="I16" s="938"/>
      <c r="J16" s="938"/>
      <c r="K16" s="938"/>
      <c r="L16" s="938"/>
      <c r="M16" s="938"/>
      <c r="N16" s="938"/>
      <c r="O16" s="938"/>
      <c r="P16" s="938"/>
      <c r="Q16" s="2225"/>
      <c r="R16" s="2225"/>
      <c r="S16" s="938"/>
      <c r="T16" s="2254" t="s">
        <v>55</v>
      </c>
      <c r="U16" s="2254"/>
      <c r="V16" s="2267">
        <f>Y12</f>
        <v>197835.32</v>
      </c>
      <c r="W16" s="2267"/>
      <c r="X16" s="2262"/>
    </row>
    <row r="17" spans="1:25" ht="28.5" customHeight="1" x14ac:dyDescent="0.25">
      <c r="A17" s="101" t="s">
        <v>44</v>
      </c>
      <c r="B17" s="2260"/>
      <c r="C17" s="2261"/>
      <c r="D17" s="938"/>
      <c r="E17" s="938"/>
      <c r="F17" s="938"/>
      <c r="G17" s="938"/>
      <c r="H17" s="938"/>
      <c r="I17" s="938"/>
      <c r="J17" s="938"/>
      <c r="K17" s="938"/>
      <c r="L17" s="938"/>
      <c r="M17" s="938"/>
      <c r="N17" s="938"/>
      <c r="O17" s="938"/>
      <c r="P17" s="938"/>
      <c r="Q17" s="2225"/>
      <c r="R17" s="2225"/>
      <c r="S17" s="934"/>
      <c r="T17" s="2294" t="s">
        <v>362</v>
      </c>
      <c r="U17" s="2295"/>
      <c r="V17" s="2296"/>
      <c r="W17" s="2296"/>
      <c r="X17" s="2296"/>
    </row>
    <row r="18" spans="1:25" ht="27" customHeight="1" x14ac:dyDescent="0.25">
      <c r="A18" s="100" t="s">
        <v>40</v>
      </c>
      <c r="B18" s="2264">
        <f>C12</f>
        <v>197152</v>
      </c>
      <c r="C18" s="2261"/>
      <c r="D18" s="940">
        <f>E12</f>
        <v>0</v>
      </c>
      <c r="E18" s="940">
        <f>G12</f>
        <v>0</v>
      </c>
      <c r="F18" s="940">
        <f>I12</f>
        <v>330</v>
      </c>
      <c r="G18" s="940">
        <f>K12</f>
        <v>0</v>
      </c>
      <c r="H18" s="938"/>
      <c r="I18" s="940">
        <f>U12</f>
        <v>0</v>
      </c>
      <c r="J18" s="938"/>
      <c r="K18" s="940">
        <f>W12</f>
        <v>0</v>
      </c>
      <c r="L18" s="938"/>
      <c r="M18" s="940">
        <f>M12</f>
        <v>0</v>
      </c>
      <c r="N18" s="940"/>
      <c r="O18" s="939">
        <f>Q12</f>
        <v>0</v>
      </c>
      <c r="P18" s="940"/>
      <c r="Q18" s="2262"/>
      <c r="R18" s="2262"/>
      <c r="S18" s="935"/>
      <c r="T18" s="2254" t="s">
        <v>57</v>
      </c>
      <c r="U18" s="2254"/>
      <c r="V18" s="2262">
        <v>10520</v>
      </c>
      <c r="W18" s="2262"/>
      <c r="X18" s="2262"/>
      <c r="Y18" s="2269"/>
    </row>
    <row r="19" spans="1:25" ht="25.5" customHeight="1" x14ac:dyDescent="0.25">
      <c r="A19" s="100" t="s">
        <v>41</v>
      </c>
      <c r="B19" s="2260">
        <f>B15+B16+B17-B18</f>
        <v>588818</v>
      </c>
      <c r="C19" s="2261"/>
      <c r="D19" s="938">
        <f>D15+D16+D17-D18</f>
        <v>502</v>
      </c>
      <c r="E19" s="938">
        <f t="shared" ref="E19:N19" si="13">E15+E16+E17-E18</f>
        <v>350</v>
      </c>
      <c r="F19" s="938">
        <f t="shared" si="13"/>
        <v>13500</v>
      </c>
      <c r="G19" s="938">
        <f t="shared" si="13"/>
        <v>0</v>
      </c>
      <c r="H19" s="938">
        <f t="shared" si="13"/>
        <v>453</v>
      </c>
      <c r="I19" s="938">
        <f t="shared" si="13"/>
        <v>0</v>
      </c>
      <c r="J19" s="938">
        <f t="shared" si="13"/>
        <v>0</v>
      </c>
      <c r="K19" s="938">
        <f t="shared" si="13"/>
        <v>71</v>
      </c>
      <c r="L19" s="938">
        <f t="shared" si="13"/>
        <v>0</v>
      </c>
      <c r="M19" s="938">
        <f t="shared" si="13"/>
        <v>0</v>
      </c>
      <c r="N19" s="938">
        <f t="shared" si="13"/>
        <v>100</v>
      </c>
      <c r="O19" s="938">
        <f>O15+O16+O17-O18</f>
        <v>0</v>
      </c>
      <c r="P19" s="938">
        <f>P15+P16+P17-P18</f>
        <v>0</v>
      </c>
      <c r="Q19" s="2260">
        <f t="shared" ref="Q19" si="14">Q15+Q16+Q17-Q18</f>
        <v>0</v>
      </c>
      <c r="R19" s="2261"/>
      <c r="S19" s="935">
        <f>S15+S16-S17-S18</f>
        <v>53</v>
      </c>
      <c r="T19" s="2256" t="s">
        <v>48</v>
      </c>
      <c r="U19" s="49" t="s">
        <v>58</v>
      </c>
      <c r="V19" s="2262">
        <v>250000</v>
      </c>
      <c r="W19" s="2262"/>
      <c r="X19" s="2262"/>
      <c r="Y19" s="2269"/>
    </row>
    <row r="20" spans="1:25" ht="23.25" customHeight="1" x14ac:dyDescent="0.25">
      <c r="A20" s="289" t="s">
        <v>187</v>
      </c>
      <c r="B20" s="2286">
        <f>B19*0.9625</f>
        <v>566737.32500000007</v>
      </c>
      <c r="C20" s="2287"/>
      <c r="D20" s="290">
        <f>D19*66.41</f>
        <v>33337.82</v>
      </c>
      <c r="E20" s="290">
        <f>27.9368*E19</f>
        <v>9777.880000000001</v>
      </c>
      <c r="F20" s="290">
        <f>18.31*F19</f>
        <v>247184.99999999997</v>
      </c>
      <c r="G20" s="290">
        <f>27.9368*G19</f>
        <v>0</v>
      </c>
      <c r="H20" s="290">
        <f>241*H19</f>
        <v>109173</v>
      </c>
      <c r="I20" s="290">
        <f>323*I19</f>
        <v>0</v>
      </c>
      <c r="J20" s="290">
        <f>241*J19</f>
        <v>0</v>
      </c>
      <c r="K20" s="290">
        <f>K19*100</f>
        <v>7100</v>
      </c>
      <c r="L20" s="290">
        <f>241*L19</f>
        <v>0</v>
      </c>
      <c r="M20" s="290">
        <f>9.65*M19</f>
        <v>0</v>
      </c>
      <c r="N20" s="290">
        <f>N19*48.2</f>
        <v>4820</v>
      </c>
      <c r="O20" s="290">
        <f>241*O19</f>
        <v>0</v>
      </c>
      <c r="P20" s="290">
        <f>241*P19</f>
        <v>0</v>
      </c>
      <c r="Q20" s="2286">
        <f>341*Q19</f>
        <v>0</v>
      </c>
      <c r="R20" s="2287"/>
      <c r="S20" s="290">
        <f>341*S19</f>
        <v>18073</v>
      </c>
      <c r="T20" s="2257"/>
      <c r="U20" s="49" t="s">
        <v>59</v>
      </c>
      <c r="V20" s="2262"/>
      <c r="W20" s="2262"/>
      <c r="X20" s="2262"/>
      <c r="Y20" s="2269"/>
    </row>
    <row r="21" spans="1:25" ht="32.25" customHeight="1" x14ac:dyDescent="0.25">
      <c r="A21" s="291" t="s">
        <v>186</v>
      </c>
      <c r="B21" s="2293">
        <f>SUM(B20:S20)</f>
        <v>996204.02500000002</v>
      </c>
      <c r="C21" s="2293"/>
      <c r="O21" s="942"/>
      <c r="P21" s="942"/>
      <c r="Q21" s="942"/>
      <c r="R21" s="942"/>
      <c r="T21" s="2294" t="s">
        <v>366</v>
      </c>
      <c r="U21" s="2295"/>
      <c r="V21" s="2297"/>
      <c r="W21" s="2298"/>
      <c r="X21" s="2299"/>
      <c r="Y21" s="2269"/>
    </row>
    <row r="22" spans="1:25" ht="35.25" customHeight="1" x14ac:dyDescent="0.25">
      <c r="A22" s="15"/>
      <c r="B22" s="2288" t="s">
        <v>49</v>
      </c>
      <c r="C22" s="2291">
        <v>249998</v>
      </c>
      <c r="D22" s="2291">
        <v>250000</v>
      </c>
      <c r="E22" s="2291">
        <v>647187</v>
      </c>
      <c r="F22" s="2291">
        <f>C22-D22+E22</f>
        <v>647185</v>
      </c>
      <c r="G22" s="942"/>
      <c r="Q22" s="942"/>
      <c r="R22" s="942"/>
      <c r="T22" s="2251" t="s">
        <v>83</v>
      </c>
      <c r="U22" s="50" t="s">
        <v>60</v>
      </c>
      <c r="V22" s="2262">
        <v>200380</v>
      </c>
      <c r="W22" s="2262"/>
      <c r="X22" s="2262"/>
      <c r="Y22" s="2269"/>
    </row>
    <row r="23" spans="1:25" ht="39.75" customHeight="1" x14ac:dyDescent="0.25">
      <c r="A23" s="942"/>
      <c r="B23" s="2289"/>
      <c r="C23" s="2292"/>
      <c r="D23" s="2292"/>
      <c r="E23" s="2292"/>
      <c r="F23" s="2292"/>
      <c r="G23" s="942"/>
      <c r="Q23" s="942"/>
      <c r="R23" s="942"/>
      <c r="T23" s="2252"/>
      <c r="U23" s="50" t="s">
        <v>61</v>
      </c>
      <c r="V23" s="2262">
        <v>250000</v>
      </c>
      <c r="W23" s="2262"/>
      <c r="X23" s="2262"/>
      <c r="Y23" s="2269"/>
    </row>
    <row r="24" spans="1:25" ht="48" customHeight="1" x14ac:dyDescent="0.25">
      <c r="A24" s="942"/>
      <c r="B24" s="2290"/>
      <c r="C24" s="290" t="s">
        <v>46</v>
      </c>
      <c r="D24" s="290" t="s">
        <v>50</v>
      </c>
      <c r="E24" s="290" t="s">
        <v>51</v>
      </c>
      <c r="F24" s="290" t="s">
        <v>52</v>
      </c>
      <c r="G24" s="942"/>
      <c r="Q24" s="942"/>
      <c r="R24" s="942"/>
      <c r="T24" s="2235" t="s">
        <v>47</v>
      </c>
      <c r="U24" s="51" t="s">
        <v>62</v>
      </c>
      <c r="V24" s="2263">
        <f>V14+V16+V17-V18-V19-V20-V22+V23-V21</f>
        <v>46514.320000000007</v>
      </c>
      <c r="W24" s="2263"/>
      <c r="X24" s="2263"/>
      <c r="Y24" s="2269"/>
    </row>
    <row r="25" spans="1:25" ht="40.5" customHeight="1" x14ac:dyDescent="0.25">
      <c r="T25" s="2235"/>
      <c r="U25" s="51" t="s">
        <v>63</v>
      </c>
      <c r="V25" s="2262">
        <f>V15+V22-V23</f>
        <v>13910</v>
      </c>
      <c r="W25" s="2262"/>
      <c r="X25" s="2262"/>
    </row>
    <row r="26" spans="1:25" ht="36" customHeight="1" x14ac:dyDescent="0.25">
      <c r="K26" s="314"/>
    </row>
    <row r="28" spans="1:25" x14ac:dyDescent="0.25">
      <c r="J28" s="14" t="s">
        <v>139</v>
      </c>
    </row>
    <row r="32" spans="1:25" x14ac:dyDescent="0.25">
      <c r="I32" s="2280"/>
      <c r="J32" s="2280"/>
      <c r="K32" s="2280"/>
      <c r="L32" s="2280"/>
    </row>
    <row r="33" spans="9:12" x14ac:dyDescent="0.25">
      <c r="I33" s="942"/>
      <c r="J33" s="942"/>
      <c r="K33" s="2280"/>
      <c r="L33" s="2280"/>
    </row>
  </sheetData>
  <mergeCells count="62">
    <mergeCell ref="A1:Y1"/>
    <mergeCell ref="A2:Y2"/>
    <mergeCell ref="T3:Y3"/>
    <mergeCell ref="A4:A5"/>
    <mergeCell ref="B4:B5"/>
    <mergeCell ref="C4:D4"/>
    <mergeCell ref="E4:F4"/>
    <mergeCell ref="G4:H4"/>
    <mergeCell ref="I4:J4"/>
    <mergeCell ref="K4:L4"/>
    <mergeCell ref="Y4:Y5"/>
    <mergeCell ref="M4:N4"/>
    <mergeCell ref="O4:P4"/>
    <mergeCell ref="Q4:R4"/>
    <mergeCell ref="S4:T4"/>
    <mergeCell ref="U4:V4"/>
    <mergeCell ref="W4:X4"/>
    <mergeCell ref="B16:C16"/>
    <mergeCell ref="Q16:R16"/>
    <mergeCell ref="T16:U16"/>
    <mergeCell ref="V16:X16"/>
    <mergeCell ref="A12:B12"/>
    <mergeCell ref="B14:C14"/>
    <mergeCell ref="Q14:R14"/>
    <mergeCell ref="T14:T15"/>
    <mergeCell ref="V14:X14"/>
    <mergeCell ref="B15:C15"/>
    <mergeCell ref="Q15:R15"/>
    <mergeCell ref="V15:X15"/>
    <mergeCell ref="B17:C17"/>
    <mergeCell ref="Q17:R17"/>
    <mergeCell ref="T17:U17"/>
    <mergeCell ref="V17:X17"/>
    <mergeCell ref="B18:C18"/>
    <mergeCell ref="Q18:R18"/>
    <mergeCell ref="T18:U18"/>
    <mergeCell ref="V18:X18"/>
    <mergeCell ref="Y18:Y24"/>
    <mergeCell ref="B19:C19"/>
    <mergeCell ref="Q19:R19"/>
    <mergeCell ref="T19:T20"/>
    <mergeCell ref="V19:X19"/>
    <mergeCell ref="B20:C20"/>
    <mergeCell ref="B22:B24"/>
    <mergeCell ref="C22:C23"/>
    <mergeCell ref="D22:D23"/>
    <mergeCell ref="E22:E23"/>
    <mergeCell ref="F22:F23"/>
    <mergeCell ref="Q20:R20"/>
    <mergeCell ref="V20:X20"/>
    <mergeCell ref="B21:C21"/>
    <mergeCell ref="T21:U21"/>
    <mergeCell ref="V21:X21"/>
    <mergeCell ref="I32:J32"/>
    <mergeCell ref="K32:L32"/>
    <mergeCell ref="K33:L33"/>
    <mergeCell ref="T22:T23"/>
    <mergeCell ref="V22:X22"/>
    <mergeCell ref="V23:X23"/>
    <mergeCell ref="T24:T25"/>
    <mergeCell ref="V24:X24"/>
    <mergeCell ref="V25:X25"/>
  </mergeCells>
  <pageMargins left="0.15748031496063" right="0.15748031496063" top="0" bottom="0" header="0" footer="0"/>
  <pageSetup paperSize="9" scale="45" orientation="landscape" r:id="rId1"/>
</worksheet>
</file>

<file path=xl/worksheets/sheet19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AAB0338-EB27-4CE6-8E29-87A2CE82CDB9}">
  <sheetPr>
    <pageSetUpPr fitToPage="1"/>
  </sheetPr>
  <dimension ref="A1:Y33"/>
  <sheetViews>
    <sheetView topLeftCell="A9" zoomScale="70" zoomScaleNormal="70" zoomScaleSheetLayoutView="100" workbookViewId="0">
      <selection activeCell="H23" sqref="H23"/>
    </sheetView>
  </sheetViews>
  <sheetFormatPr defaultColWidth="9.140625" defaultRowHeight="15" x14ac:dyDescent="0.25"/>
  <cols>
    <col min="1" max="1" width="18.28515625" style="14" customWidth="1"/>
    <col min="2" max="2" width="10.7109375" style="14" customWidth="1"/>
    <col min="3" max="3" width="12.28515625" style="14" customWidth="1"/>
    <col min="4" max="4" width="13.140625" style="14" bestFit="1" customWidth="1"/>
    <col min="5" max="5" width="12" style="14" customWidth="1"/>
    <col min="6" max="6" width="12.5703125" style="14" bestFit="1" customWidth="1"/>
    <col min="7" max="7" width="16" style="14" bestFit="1" customWidth="1"/>
    <col min="8" max="8" width="10.140625" style="14" bestFit="1" customWidth="1"/>
    <col min="9" max="9" width="10.5703125" style="14" bestFit="1" customWidth="1"/>
    <col min="10" max="10" width="10.5703125" style="14" customWidth="1"/>
    <col min="11" max="11" width="10.28515625" style="14" bestFit="1" customWidth="1"/>
    <col min="12" max="12" width="10.42578125" style="14" bestFit="1" customWidth="1"/>
    <col min="13" max="13" width="9.85546875" style="14" bestFit="1" customWidth="1"/>
    <col min="14" max="14" width="10.140625" style="14" bestFit="1" customWidth="1"/>
    <col min="15" max="15" width="9" style="14" customWidth="1"/>
    <col min="16" max="16" width="12.85546875" style="14" bestFit="1" customWidth="1"/>
    <col min="17" max="18" width="9.42578125" style="14" customWidth="1"/>
    <col min="19" max="19" width="13.7109375" style="14" customWidth="1"/>
    <col min="20" max="20" width="12.140625" style="14" customWidth="1"/>
    <col min="21" max="21" width="21.7109375" style="14" customWidth="1"/>
    <col min="22" max="22" width="9.85546875" style="14" customWidth="1"/>
    <col min="23" max="23" width="10.140625" style="14" bestFit="1" customWidth="1"/>
    <col min="24" max="24" width="10.28515625" style="14" customWidth="1"/>
    <col min="25" max="25" width="28" style="14" customWidth="1"/>
    <col min="26" max="16384" width="9.140625" style="14"/>
  </cols>
  <sheetData>
    <row r="1" spans="1:25" ht="46.15" customHeight="1" x14ac:dyDescent="0.25">
      <c r="A1" s="2240" t="s">
        <v>148</v>
      </c>
      <c r="B1" s="2240"/>
      <c r="C1" s="2240"/>
      <c r="D1" s="2240"/>
      <c r="E1" s="2240"/>
      <c r="F1" s="2240"/>
      <c r="G1" s="2240"/>
      <c r="H1" s="2240"/>
      <c r="I1" s="2240"/>
      <c r="J1" s="2240"/>
      <c r="K1" s="2240"/>
      <c r="L1" s="2240"/>
      <c r="M1" s="2240"/>
      <c r="N1" s="2240"/>
      <c r="O1" s="2240"/>
      <c r="P1" s="2240"/>
      <c r="Q1" s="2240"/>
      <c r="R1" s="2240"/>
      <c r="S1" s="2240"/>
      <c r="T1" s="2240"/>
      <c r="U1" s="2240"/>
      <c r="V1" s="2240"/>
      <c r="W1" s="2240"/>
      <c r="X1" s="2240"/>
      <c r="Y1" s="2240"/>
    </row>
    <row r="2" spans="1:25" ht="21.6" customHeight="1" x14ac:dyDescent="0.25">
      <c r="A2" s="2241" t="s">
        <v>383</v>
      </c>
      <c r="B2" s="2241"/>
      <c r="C2" s="2241"/>
      <c r="D2" s="2241"/>
      <c r="E2" s="2241"/>
      <c r="F2" s="2241"/>
      <c r="G2" s="2241"/>
      <c r="H2" s="2241"/>
      <c r="I2" s="2241"/>
      <c r="J2" s="2241"/>
      <c r="K2" s="2241"/>
      <c r="L2" s="2241"/>
      <c r="M2" s="2241"/>
      <c r="N2" s="2241"/>
      <c r="O2" s="2241"/>
      <c r="P2" s="2241"/>
      <c r="Q2" s="2241"/>
      <c r="R2" s="2241"/>
      <c r="S2" s="2241"/>
      <c r="T2" s="2241"/>
      <c r="U2" s="2241"/>
      <c r="V2" s="2241"/>
      <c r="W2" s="2241"/>
      <c r="X2" s="2241"/>
      <c r="Y2" s="2241"/>
    </row>
    <row r="3" spans="1:25" ht="21" customHeight="1" x14ac:dyDescent="0.25">
      <c r="A3" s="943"/>
      <c r="B3" s="943"/>
      <c r="C3" s="943"/>
      <c r="D3" s="943"/>
      <c r="E3" s="943"/>
      <c r="F3" s="943"/>
      <c r="G3" s="943"/>
      <c r="H3" s="943"/>
      <c r="I3" s="943"/>
      <c r="J3" s="943"/>
      <c r="K3" s="943"/>
      <c r="L3" s="943"/>
      <c r="M3" s="943"/>
      <c r="N3" s="943"/>
      <c r="O3" s="943"/>
      <c r="P3" s="943"/>
      <c r="Q3" s="943"/>
      <c r="R3" s="943"/>
      <c r="S3" s="943"/>
      <c r="T3" s="2242" t="s">
        <v>418</v>
      </c>
      <c r="U3" s="2242"/>
      <c r="V3" s="2242"/>
      <c r="W3" s="2242"/>
      <c r="X3" s="2242"/>
      <c r="Y3" s="2242"/>
    </row>
    <row r="4" spans="1:25" s="943" customFormat="1" ht="18" customHeight="1" x14ac:dyDescent="0.25">
      <c r="A4" s="2243" t="s">
        <v>25</v>
      </c>
      <c r="B4" s="2243" t="s">
        <v>26</v>
      </c>
      <c r="C4" s="2244" t="s">
        <v>27</v>
      </c>
      <c r="D4" s="2244"/>
      <c r="E4" s="2244" t="s">
        <v>342</v>
      </c>
      <c r="F4" s="2244"/>
      <c r="G4" s="2244" t="s">
        <v>65</v>
      </c>
      <c r="H4" s="2244"/>
      <c r="I4" s="2244" t="s">
        <v>29</v>
      </c>
      <c r="J4" s="2244"/>
      <c r="K4" s="2245" t="s">
        <v>14</v>
      </c>
      <c r="L4" s="2246"/>
      <c r="M4" s="2245" t="s">
        <v>67</v>
      </c>
      <c r="N4" s="2246"/>
      <c r="O4" s="2245" t="s">
        <v>68</v>
      </c>
      <c r="P4" s="2246"/>
      <c r="Q4" s="2245" t="s">
        <v>114</v>
      </c>
      <c r="R4" s="2246"/>
      <c r="S4" s="2244" t="s">
        <v>35</v>
      </c>
      <c r="T4" s="2244"/>
      <c r="U4" s="2245" t="s">
        <v>17</v>
      </c>
      <c r="V4" s="2246"/>
      <c r="W4" s="2247" t="s">
        <v>36</v>
      </c>
      <c r="X4" s="2248"/>
      <c r="Y4" s="2238" t="s">
        <v>30</v>
      </c>
    </row>
    <row r="5" spans="1:25" s="943" customFormat="1" ht="25.5" customHeight="1" x14ac:dyDescent="0.25">
      <c r="A5" s="2243"/>
      <c r="B5" s="2243"/>
      <c r="C5" s="945" t="s">
        <v>42</v>
      </c>
      <c r="D5" s="945" t="s">
        <v>43</v>
      </c>
      <c r="E5" s="945" t="s">
        <v>42</v>
      </c>
      <c r="F5" s="945" t="s">
        <v>43</v>
      </c>
      <c r="G5" s="945" t="s">
        <v>42</v>
      </c>
      <c r="H5" s="945" t="s">
        <v>43</v>
      </c>
      <c r="I5" s="945" t="s">
        <v>42</v>
      </c>
      <c r="J5" s="945" t="s">
        <v>43</v>
      </c>
      <c r="K5" s="945" t="s">
        <v>42</v>
      </c>
      <c r="L5" s="945" t="s">
        <v>43</v>
      </c>
      <c r="M5" s="945" t="s">
        <v>42</v>
      </c>
      <c r="N5" s="945" t="s">
        <v>43</v>
      </c>
      <c r="O5" s="945" t="s">
        <v>42</v>
      </c>
      <c r="P5" s="945" t="s">
        <v>43</v>
      </c>
      <c r="Q5" s="945" t="s">
        <v>42</v>
      </c>
      <c r="R5" s="945" t="s">
        <v>43</v>
      </c>
      <c r="S5" s="33" t="s">
        <v>42</v>
      </c>
      <c r="T5" s="33" t="s">
        <v>43</v>
      </c>
      <c r="U5" s="30" t="s">
        <v>42</v>
      </c>
      <c r="V5" s="30" t="s">
        <v>43</v>
      </c>
      <c r="W5" s="30" t="s">
        <v>42</v>
      </c>
      <c r="X5" s="30" t="s">
        <v>43</v>
      </c>
      <c r="Y5" s="2239"/>
    </row>
    <row r="6" spans="1:25" ht="34.5" customHeight="1" x14ac:dyDescent="0.25">
      <c r="A6" s="12">
        <v>1409935200</v>
      </c>
      <c r="B6" s="944" t="s">
        <v>71</v>
      </c>
      <c r="C6" s="947">
        <v>30067</v>
      </c>
      <c r="D6" s="948">
        <f>0.9725*C6</f>
        <v>29240.157500000001</v>
      </c>
      <c r="E6" s="947"/>
      <c r="F6" s="947">
        <f>67.1*E6</f>
        <v>0</v>
      </c>
      <c r="G6" s="947">
        <v>10</v>
      </c>
      <c r="H6" s="947">
        <f>28.2*G6</f>
        <v>282</v>
      </c>
      <c r="I6" s="947">
        <v>430</v>
      </c>
      <c r="J6" s="947">
        <f>18.5*I6</f>
        <v>7955</v>
      </c>
      <c r="K6" s="947"/>
      <c r="L6" s="947">
        <f>28.2368*K6</f>
        <v>0</v>
      </c>
      <c r="M6" s="947"/>
      <c r="N6" s="948">
        <f>M6*9.75</f>
        <v>0</v>
      </c>
      <c r="O6" s="947"/>
      <c r="P6" s="948">
        <f>O6*48.7</f>
        <v>0</v>
      </c>
      <c r="Q6" s="948"/>
      <c r="R6" s="948">
        <f>241*Q6</f>
        <v>0</v>
      </c>
      <c r="S6" s="947"/>
      <c r="T6" s="947">
        <f>241*S6</f>
        <v>0</v>
      </c>
      <c r="U6" s="947"/>
      <c r="V6" s="947">
        <f>332*U6</f>
        <v>0</v>
      </c>
      <c r="W6" s="947">
        <v>3</v>
      </c>
      <c r="X6" s="19">
        <f>W6*100</f>
        <v>300</v>
      </c>
      <c r="Y6" s="20">
        <f t="shared" ref="Y6:Y12" si="0">D6+F6+H6+J6+L6+N6+P6+R6+T6+V6+X6</f>
        <v>37777.157500000001</v>
      </c>
    </row>
    <row r="7" spans="1:25" ht="31.5" customHeight="1" x14ac:dyDescent="0.25">
      <c r="A7" s="12">
        <v>1984225578</v>
      </c>
      <c r="B7" s="944" t="s">
        <v>72</v>
      </c>
      <c r="C7" s="947">
        <v>31759</v>
      </c>
      <c r="D7" s="948">
        <f t="shared" ref="D7:D11" si="1">0.9725*C7</f>
        <v>30885.627500000002</v>
      </c>
      <c r="E7" s="947"/>
      <c r="F7" s="947">
        <f t="shared" ref="F7:F11" si="2">67.1*E7</f>
        <v>0</v>
      </c>
      <c r="G7" s="947">
        <v>50</v>
      </c>
      <c r="H7" s="947">
        <f t="shared" ref="H7:H11" si="3">28.2*G7</f>
        <v>1410</v>
      </c>
      <c r="I7" s="947">
        <v>1610</v>
      </c>
      <c r="J7" s="947">
        <f t="shared" ref="J7:J11" si="4">18.5*I7</f>
        <v>29785</v>
      </c>
      <c r="K7" s="947"/>
      <c r="L7" s="947">
        <f t="shared" ref="L7:L11" si="5">28.2368*K7</f>
        <v>0</v>
      </c>
      <c r="M7" s="947"/>
      <c r="N7" s="948">
        <f t="shared" ref="N7:N11" si="6">M7*9.75</f>
        <v>0</v>
      </c>
      <c r="O7" s="947"/>
      <c r="P7" s="948">
        <f t="shared" ref="P7:P11" si="7">O7*48.7</f>
        <v>0</v>
      </c>
      <c r="Q7" s="948"/>
      <c r="R7" s="948">
        <f t="shared" ref="R7:R11" si="8">241*Q7</f>
        <v>0</v>
      </c>
      <c r="S7" s="947"/>
      <c r="T7" s="947">
        <f t="shared" ref="T7:T10" si="9">241*S7</f>
        <v>0</v>
      </c>
      <c r="U7" s="947"/>
      <c r="V7" s="947">
        <f t="shared" ref="V7:V11" si="10">332*U7</f>
        <v>0</v>
      </c>
      <c r="W7" s="947"/>
      <c r="X7" s="19">
        <f t="shared" ref="X7:X11" si="11">W7*100</f>
        <v>0</v>
      </c>
      <c r="Y7" s="20">
        <f t="shared" si="0"/>
        <v>62080.627500000002</v>
      </c>
    </row>
    <row r="8" spans="1:25" ht="35.25" customHeight="1" x14ac:dyDescent="0.25">
      <c r="A8" s="12">
        <v>1967020280</v>
      </c>
      <c r="B8" s="944" t="s">
        <v>73</v>
      </c>
      <c r="C8" s="947">
        <v>20363</v>
      </c>
      <c r="D8" s="948">
        <f t="shared" si="1"/>
        <v>19803.017500000002</v>
      </c>
      <c r="E8" s="947"/>
      <c r="F8" s="947">
        <f t="shared" si="2"/>
        <v>0</v>
      </c>
      <c r="G8" s="947"/>
      <c r="H8" s="947">
        <f t="shared" si="3"/>
        <v>0</v>
      </c>
      <c r="I8" s="947"/>
      <c r="J8" s="947">
        <f t="shared" si="4"/>
        <v>0</v>
      </c>
      <c r="K8" s="947"/>
      <c r="L8" s="947">
        <f t="shared" si="5"/>
        <v>0</v>
      </c>
      <c r="M8" s="947"/>
      <c r="N8" s="948">
        <f t="shared" si="6"/>
        <v>0</v>
      </c>
      <c r="O8" s="947"/>
      <c r="P8" s="948">
        <f t="shared" si="7"/>
        <v>0</v>
      </c>
      <c r="Q8" s="948"/>
      <c r="R8" s="948">
        <f t="shared" si="8"/>
        <v>0</v>
      </c>
      <c r="S8" s="947"/>
      <c r="T8" s="947">
        <f t="shared" si="9"/>
        <v>0</v>
      </c>
      <c r="U8" s="947"/>
      <c r="V8" s="947">
        <f t="shared" si="10"/>
        <v>0</v>
      </c>
      <c r="W8" s="947"/>
      <c r="X8" s="19">
        <f t="shared" si="11"/>
        <v>0</v>
      </c>
      <c r="Y8" s="20">
        <f t="shared" si="0"/>
        <v>19803.017500000002</v>
      </c>
    </row>
    <row r="9" spans="1:25" ht="38.25" customHeight="1" x14ac:dyDescent="0.25">
      <c r="A9" s="12">
        <v>1984225580</v>
      </c>
      <c r="B9" s="944" t="s">
        <v>75</v>
      </c>
      <c r="C9" s="947">
        <v>26007</v>
      </c>
      <c r="D9" s="948">
        <f t="shared" si="1"/>
        <v>25291.807500000003</v>
      </c>
      <c r="E9" s="947"/>
      <c r="F9" s="947">
        <f t="shared" si="2"/>
        <v>0</v>
      </c>
      <c r="G9" s="947"/>
      <c r="H9" s="947">
        <f t="shared" si="3"/>
        <v>0</v>
      </c>
      <c r="I9" s="947">
        <v>310</v>
      </c>
      <c r="J9" s="947">
        <f t="shared" si="4"/>
        <v>5735</v>
      </c>
      <c r="K9" s="947"/>
      <c r="L9" s="947">
        <f t="shared" si="5"/>
        <v>0</v>
      </c>
      <c r="M9" s="947"/>
      <c r="N9" s="948">
        <f t="shared" si="6"/>
        <v>0</v>
      </c>
      <c r="O9" s="947"/>
      <c r="P9" s="948">
        <f t="shared" si="7"/>
        <v>0</v>
      </c>
      <c r="Q9" s="948"/>
      <c r="R9" s="948">
        <f t="shared" si="8"/>
        <v>0</v>
      </c>
      <c r="S9" s="947"/>
      <c r="T9" s="947">
        <f t="shared" si="9"/>
        <v>0</v>
      </c>
      <c r="U9" s="947"/>
      <c r="V9" s="947">
        <f t="shared" si="10"/>
        <v>0</v>
      </c>
      <c r="W9" s="947"/>
      <c r="X9" s="19">
        <f t="shared" si="11"/>
        <v>0</v>
      </c>
      <c r="Y9" s="20">
        <f t="shared" si="0"/>
        <v>31026.807500000003</v>
      </c>
    </row>
    <row r="10" spans="1:25" ht="35.25" customHeight="1" x14ac:dyDescent="0.25">
      <c r="A10" s="12">
        <v>1409935199</v>
      </c>
      <c r="C10" s="947">
        <v>49658</v>
      </c>
      <c r="D10" s="948">
        <f t="shared" si="1"/>
        <v>48292.404999999999</v>
      </c>
      <c r="E10" s="947"/>
      <c r="F10" s="947">
        <f t="shared" si="2"/>
        <v>0</v>
      </c>
      <c r="G10" s="947"/>
      <c r="H10" s="947">
        <f t="shared" si="3"/>
        <v>0</v>
      </c>
      <c r="I10" s="947"/>
      <c r="J10" s="947">
        <f t="shared" si="4"/>
        <v>0</v>
      </c>
      <c r="K10" s="947"/>
      <c r="L10" s="947">
        <f t="shared" si="5"/>
        <v>0</v>
      </c>
      <c r="M10" s="947"/>
      <c r="N10" s="948">
        <f t="shared" si="6"/>
        <v>0</v>
      </c>
      <c r="O10" s="947"/>
      <c r="P10" s="948">
        <f t="shared" si="7"/>
        <v>0</v>
      </c>
      <c r="Q10" s="948"/>
      <c r="R10" s="948">
        <f t="shared" si="8"/>
        <v>0</v>
      </c>
      <c r="S10" s="947"/>
      <c r="T10" s="947">
        <f t="shared" si="9"/>
        <v>0</v>
      </c>
      <c r="U10" s="947"/>
      <c r="V10" s="947">
        <f t="shared" si="10"/>
        <v>0</v>
      </c>
      <c r="W10" s="947"/>
      <c r="X10" s="19">
        <f t="shared" si="11"/>
        <v>0</v>
      </c>
      <c r="Y10" s="20">
        <f t="shared" si="0"/>
        <v>48292.404999999999</v>
      </c>
    </row>
    <row r="11" spans="1:25" ht="37.5" customHeight="1" x14ac:dyDescent="0.25">
      <c r="A11" s="12"/>
      <c r="B11" s="946"/>
      <c r="C11" s="947"/>
      <c r="D11" s="22">
        <f t="shared" si="1"/>
        <v>0</v>
      </c>
      <c r="E11" s="947"/>
      <c r="F11" s="947">
        <f t="shared" si="2"/>
        <v>0</v>
      </c>
      <c r="G11" s="947"/>
      <c r="H11" s="947">
        <f t="shared" si="3"/>
        <v>0</v>
      </c>
      <c r="I11" s="947"/>
      <c r="J11" s="947">
        <f t="shared" si="4"/>
        <v>0</v>
      </c>
      <c r="K11" s="947"/>
      <c r="L11" s="947">
        <f t="shared" si="5"/>
        <v>0</v>
      </c>
      <c r="M11" s="947"/>
      <c r="N11" s="948">
        <f t="shared" si="6"/>
        <v>0</v>
      </c>
      <c r="O11" s="947"/>
      <c r="P11" s="948">
        <f t="shared" si="7"/>
        <v>0</v>
      </c>
      <c r="Q11" s="948"/>
      <c r="R11" s="948">
        <f t="shared" si="8"/>
        <v>0</v>
      </c>
      <c r="S11" s="947"/>
      <c r="T11" s="947">
        <f>341*S11</f>
        <v>0</v>
      </c>
      <c r="U11" s="947"/>
      <c r="V11" s="947">
        <f t="shared" si="10"/>
        <v>0</v>
      </c>
      <c r="W11" s="947"/>
      <c r="X11" s="19">
        <f t="shared" si="11"/>
        <v>0</v>
      </c>
      <c r="Y11" s="20">
        <f t="shared" si="0"/>
        <v>0</v>
      </c>
    </row>
    <row r="12" spans="1:25" ht="29.25" customHeight="1" x14ac:dyDescent="0.25">
      <c r="A12" s="2235" t="s">
        <v>31</v>
      </c>
      <c r="B12" s="2235"/>
      <c r="C12" s="18">
        <f t="shared" ref="C12:X12" si="12">SUM(C6:C11)</f>
        <v>157854</v>
      </c>
      <c r="D12" s="18">
        <f t="shared" si="12"/>
        <v>153513.01500000001</v>
      </c>
      <c r="E12" s="18">
        <f t="shared" si="12"/>
        <v>0</v>
      </c>
      <c r="F12" s="18">
        <f t="shared" si="12"/>
        <v>0</v>
      </c>
      <c r="G12" s="18">
        <f t="shared" si="12"/>
        <v>60</v>
      </c>
      <c r="H12" s="18">
        <f t="shared" si="12"/>
        <v>1692</v>
      </c>
      <c r="I12" s="18">
        <f t="shared" si="12"/>
        <v>2350</v>
      </c>
      <c r="J12" s="18">
        <f t="shared" si="12"/>
        <v>43475</v>
      </c>
      <c r="K12" s="18">
        <f t="shared" si="12"/>
        <v>0</v>
      </c>
      <c r="L12" s="18">
        <f t="shared" si="12"/>
        <v>0</v>
      </c>
      <c r="M12" s="18">
        <f t="shared" si="12"/>
        <v>0</v>
      </c>
      <c r="N12" s="23">
        <f t="shared" si="12"/>
        <v>0</v>
      </c>
      <c r="O12" s="18">
        <f t="shared" si="12"/>
        <v>0</v>
      </c>
      <c r="P12" s="23">
        <f t="shared" si="12"/>
        <v>0</v>
      </c>
      <c r="Q12" s="23">
        <f t="shared" si="12"/>
        <v>0</v>
      </c>
      <c r="R12" s="23">
        <f>SUM(R6:R11)</f>
        <v>0</v>
      </c>
      <c r="S12" s="23">
        <f>SUM(S6:S11)</f>
        <v>0</v>
      </c>
      <c r="T12" s="18">
        <f t="shared" si="12"/>
        <v>0</v>
      </c>
      <c r="U12" s="18">
        <f t="shared" si="12"/>
        <v>0</v>
      </c>
      <c r="V12" s="18">
        <f t="shared" si="12"/>
        <v>0</v>
      </c>
      <c r="W12" s="18">
        <f t="shared" si="12"/>
        <v>3</v>
      </c>
      <c r="X12" s="18">
        <f t="shared" si="12"/>
        <v>300</v>
      </c>
      <c r="Y12" s="20">
        <f t="shared" si="0"/>
        <v>198980.01500000001</v>
      </c>
    </row>
    <row r="14" spans="1:25" ht="43.5" customHeight="1" x14ac:dyDescent="0.25">
      <c r="A14" s="30" t="s">
        <v>32</v>
      </c>
      <c r="B14" s="2236" t="s">
        <v>27</v>
      </c>
      <c r="C14" s="2236"/>
      <c r="D14" s="30" t="s">
        <v>333</v>
      </c>
      <c r="E14" s="30" t="s">
        <v>65</v>
      </c>
      <c r="F14" s="30" t="s">
        <v>34</v>
      </c>
      <c r="G14" s="30" t="s">
        <v>14</v>
      </c>
      <c r="H14" s="469" t="s">
        <v>173</v>
      </c>
      <c r="I14" s="30" t="s">
        <v>17</v>
      </c>
      <c r="J14" s="952" t="s">
        <v>174</v>
      </c>
      <c r="K14" s="30" t="s">
        <v>36</v>
      </c>
      <c r="L14" s="952" t="s">
        <v>403</v>
      </c>
      <c r="M14" s="30" t="s">
        <v>69</v>
      </c>
      <c r="N14" s="30" t="s">
        <v>70</v>
      </c>
      <c r="O14" s="952" t="s">
        <v>114</v>
      </c>
      <c r="P14" s="952"/>
      <c r="Q14" s="2300" t="s">
        <v>378</v>
      </c>
      <c r="R14" s="2301"/>
      <c r="S14" s="952" t="s">
        <v>401</v>
      </c>
      <c r="T14" s="2235" t="s">
        <v>46</v>
      </c>
      <c r="U14" s="944" t="s">
        <v>176</v>
      </c>
      <c r="V14" s="2260">
        <v>46514</v>
      </c>
      <c r="W14" s="2268"/>
      <c r="X14" s="2261"/>
    </row>
    <row r="15" spans="1:25" ht="22.5" customHeight="1" x14ac:dyDescent="0.25">
      <c r="A15" s="100" t="s">
        <v>38</v>
      </c>
      <c r="B15" s="2260">
        <v>588818</v>
      </c>
      <c r="C15" s="2261"/>
      <c r="D15" s="949">
        <v>502</v>
      </c>
      <c r="E15" s="949">
        <v>350</v>
      </c>
      <c r="F15" s="949">
        <v>13500</v>
      </c>
      <c r="G15" s="949">
        <v>0</v>
      </c>
      <c r="H15" s="949">
        <v>453</v>
      </c>
      <c r="I15" s="949">
        <v>0</v>
      </c>
      <c r="J15" s="949"/>
      <c r="K15" s="949">
        <v>71</v>
      </c>
      <c r="L15" s="949">
        <v>0</v>
      </c>
      <c r="M15" s="949">
        <v>0</v>
      </c>
      <c r="N15" s="949">
        <v>100</v>
      </c>
      <c r="O15" s="949">
        <v>0</v>
      </c>
      <c r="P15" s="949"/>
      <c r="Q15" s="2260">
        <v>0</v>
      </c>
      <c r="R15" s="2261"/>
      <c r="S15" s="944">
        <v>53</v>
      </c>
      <c r="T15" s="2235"/>
      <c r="U15" s="944" t="s">
        <v>64</v>
      </c>
      <c r="V15" s="2262">
        <v>13910</v>
      </c>
      <c r="W15" s="2262"/>
      <c r="X15" s="2262"/>
    </row>
    <row r="16" spans="1:25" ht="24.75" customHeight="1" x14ac:dyDescent="0.25">
      <c r="A16" s="100" t="s">
        <v>39</v>
      </c>
      <c r="B16" s="2260">
        <v>60779</v>
      </c>
      <c r="C16" s="2261"/>
      <c r="D16" s="949"/>
      <c r="E16" s="949"/>
      <c r="F16" s="949"/>
      <c r="G16" s="949"/>
      <c r="H16" s="949"/>
      <c r="I16" s="949"/>
      <c r="J16" s="949"/>
      <c r="K16" s="949"/>
      <c r="L16" s="949"/>
      <c r="M16" s="949"/>
      <c r="N16" s="949"/>
      <c r="O16" s="949"/>
      <c r="P16" s="949"/>
      <c r="Q16" s="2225"/>
      <c r="R16" s="2225"/>
      <c r="S16" s="949"/>
      <c r="T16" s="2254" t="s">
        <v>55</v>
      </c>
      <c r="U16" s="2254"/>
      <c r="V16" s="2267">
        <f>Y12</f>
        <v>198980.01500000001</v>
      </c>
      <c r="W16" s="2267"/>
      <c r="X16" s="2262"/>
    </row>
    <row r="17" spans="1:25" ht="28.5" customHeight="1" x14ac:dyDescent="0.25">
      <c r="A17" s="101" t="s">
        <v>44</v>
      </c>
      <c r="B17" s="2260"/>
      <c r="C17" s="2261"/>
      <c r="D17" s="949"/>
      <c r="E17" s="949"/>
      <c r="F17" s="949"/>
      <c r="G17" s="949"/>
      <c r="H17" s="949"/>
      <c r="I17" s="949"/>
      <c r="J17" s="949"/>
      <c r="K17" s="949"/>
      <c r="L17" s="949"/>
      <c r="M17" s="949"/>
      <c r="N17" s="949"/>
      <c r="O17" s="949"/>
      <c r="P17" s="949"/>
      <c r="Q17" s="2225"/>
      <c r="R17" s="2225"/>
      <c r="S17" s="946"/>
      <c r="T17" s="2294" t="s">
        <v>362</v>
      </c>
      <c r="U17" s="2295"/>
      <c r="V17" s="2296"/>
      <c r="W17" s="2296"/>
      <c r="X17" s="2296"/>
    </row>
    <row r="18" spans="1:25" ht="27" customHeight="1" x14ac:dyDescent="0.25">
      <c r="A18" s="100" t="s">
        <v>40</v>
      </c>
      <c r="B18" s="2264">
        <f>C12</f>
        <v>157854</v>
      </c>
      <c r="C18" s="2261"/>
      <c r="D18" s="950">
        <f>E12</f>
        <v>0</v>
      </c>
      <c r="E18" s="950">
        <f>G12</f>
        <v>60</v>
      </c>
      <c r="F18" s="950">
        <f>I12</f>
        <v>2350</v>
      </c>
      <c r="G18" s="950">
        <f>K12</f>
        <v>0</v>
      </c>
      <c r="H18" s="949"/>
      <c r="I18" s="950">
        <f>U12</f>
        <v>0</v>
      </c>
      <c r="J18" s="949"/>
      <c r="K18" s="950">
        <f>W12</f>
        <v>3</v>
      </c>
      <c r="L18" s="949"/>
      <c r="M18" s="950">
        <f>M12</f>
        <v>0</v>
      </c>
      <c r="N18" s="950"/>
      <c r="O18" s="951">
        <f>Q12</f>
        <v>0</v>
      </c>
      <c r="P18" s="950"/>
      <c r="Q18" s="2262"/>
      <c r="R18" s="2262"/>
      <c r="S18" s="944"/>
      <c r="T18" s="2254" t="s">
        <v>57</v>
      </c>
      <c r="U18" s="2254"/>
      <c r="V18" s="2262">
        <v>1620</v>
      </c>
      <c r="W18" s="2262"/>
      <c r="X18" s="2262"/>
      <c r="Y18" s="2269"/>
    </row>
    <row r="19" spans="1:25" ht="25.5" customHeight="1" x14ac:dyDescent="0.25">
      <c r="A19" s="100" t="s">
        <v>41</v>
      </c>
      <c r="B19" s="2260">
        <f>B15+B16+B17-B18</f>
        <v>491743</v>
      </c>
      <c r="C19" s="2261"/>
      <c r="D19" s="949">
        <f>D15+D16+D17-D18</f>
        <v>502</v>
      </c>
      <c r="E19" s="949">
        <f t="shared" ref="E19:N19" si="13">E15+E16+E17-E18</f>
        <v>290</v>
      </c>
      <c r="F19" s="949">
        <f t="shared" si="13"/>
        <v>11150</v>
      </c>
      <c r="G19" s="949">
        <f t="shared" si="13"/>
        <v>0</v>
      </c>
      <c r="H19" s="949">
        <f t="shared" si="13"/>
        <v>453</v>
      </c>
      <c r="I19" s="949">
        <f t="shared" si="13"/>
        <v>0</v>
      </c>
      <c r="J19" s="949">
        <f t="shared" si="13"/>
        <v>0</v>
      </c>
      <c r="K19" s="949">
        <f t="shared" si="13"/>
        <v>68</v>
      </c>
      <c r="L19" s="949">
        <f t="shared" si="13"/>
        <v>0</v>
      </c>
      <c r="M19" s="949">
        <f t="shared" si="13"/>
        <v>0</v>
      </c>
      <c r="N19" s="949">
        <f t="shared" si="13"/>
        <v>100</v>
      </c>
      <c r="O19" s="949">
        <f>O15+O16+O17-O18</f>
        <v>0</v>
      </c>
      <c r="P19" s="949">
        <f>P15+P16+P17-P18</f>
        <v>0</v>
      </c>
      <c r="Q19" s="2260">
        <f t="shared" ref="Q19" si="14">Q15+Q16+Q17-Q18</f>
        <v>0</v>
      </c>
      <c r="R19" s="2261"/>
      <c r="S19" s="944">
        <f>S15+S16-S17-S18</f>
        <v>53</v>
      </c>
      <c r="T19" s="2256" t="s">
        <v>48</v>
      </c>
      <c r="U19" s="49" t="s">
        <v>58</v>
      </c>
      <c r="V19" s="2262">
        <v>48292</v>
      </c>
      <c r="W19" s="2262"/>
      <c r="X19" s="2262"/>
      <c r="Y19" s="2269"/>
    </row>
    <row r="20" spans="1:25" ht="23.25" customHeight="1" x14ac:dyDescent="0.25">
      <c r="A20" s="289" t="s">
        <v>187</v>
      </c>
      <c r="B20" s="2286">
        <f>B19*0.9625</f>
        <v>473302.63750000001</v>
      </c>
      <c r="C20" s="2287"/>
      <c r="D20" s="290">
        <f>D19*66.41</f>
        <v>33337.82</v>
      </c>
      <c r="E20" s="290">
        <f>27.9368*E19</f>
        <v>8101.6720000000005</v>
      </c>
      <c r="F20" s="290">
        <f>18.31*F19</f>
        <v>204156.5</v>
      </c>
      <c r="G20" s="290">
        <f>27.9368*G19</f>
        <v>0</v>
      </c>
      <c r="H20" s="290">
        <f>241*H19</f>
        <v>109173</v>
      </c>
      <c r="I20" s="290">
        <f>323*I19</f>
        <v>0</v>
      </c>
      <c r="J20" s="290">
        <f>241*J19</f>
        <v>0</v>
      </c>
      <c r="K20" s="290">
        <f>K19*100</f>
        <v>6800</v>
      </c>
      <c r="L20" s="290">
        <f>241*L19</f>
        <v>0</v>
      </c>
      <c r="M20" s="290">
        <f>9.65*M19</f>
        <v>0</v>
      </c>
      <c r="N20" s="290">
        <f>N19*48.2</f>
        <v>4820</v>
      </c>
      <c r="O20" s="290">
        <f>241*O19</f>
        <v>0</v>
      </c>
      <c r="P20" s="290">
        <f>241*P19</f>
        <v>0</v>
      </c>
      <c r="Q20" s="2286">
        <f>341*Q19</f>
        <v>0</v>
      </c>
      <c r="R20" s="2287"/>
      <c r="S20" s="290">
        <f>341*S19</f>
        <v>18073</v>
      </c>
      <c r="T20" s="2257"/>
      <c r="U20" s="49" t="s">
        <v>59</v>
      </c>
      <c r="V20" s="2262">
        <v>58500</v>
      </c>
      <c r="W20" s="2262"/>
      <c r="X20" s="2262"/>
      <c r="Y20" s="2269"/>
    </row>
    <row r="21" spans="1:25" ht="32.25" customHeight="1" x14ac:dyDescent="0.25">
      <c r="A21" s="291" t="s">
        <v>186</v>
      </c>
      <c r="B21" s="2293">
        <f>SUM(B20:S20)</f>
        <v>857764.62950000004</v>
      </c>
      <c r="C21" s="2293"/>
      <c r="O21" s="953"/>
      <c r="P21" s="953"/>
      <c r="Q21" s="953"/>
      <c r="R21" s="953"/>
      <c r="T21" s="2294" t="s">
        <v>366</v>
      </c>
      <c r="U21" s="2295"/>
      <c r="V21" s="2297"/>
      <c r="W21" s="2298"/>
      <c r="X21" s="2299"/>
      <c r="Y21" s="2269"/>
    </row>
    <row r="22" spans="1:25" ht="35.25" customHeight="1" x14ac:dyDescent="0.25">
      <c r="A22" s="15"/>
      <c r="B22" s="2288" t="s">
        <v>49</v>
      </c>
      <c r="C22" s="2291">
        <v>647185</v>
      </c>
      <c r="D22" s="2291">
        <v>48292</v>
      </c>
      <c r="E22" s="2291"/>
      <c r="F22" s="2291">
        <f>C22-D22+E22</f>
        <v>598893</v>
      </c>
      <c r="G22" s="953"/>
      <c r="Q22" s="953"/>
      <c r="R22" s="953"/>
      <c r="T22" s="2251" t="s">
        <v>83</v>
      </c>
      <c r="U22" s="50" t="s">
        <v>60</v>
      </c>
      <c r="V22" s="2262">
        <v>106792</v>
      </c>
      <c r="W22" s="2262"/>
      <c r="X22" s="2262"/>
      <c r="Y22" s="2269"/>
    </row>
    <row r="23" spans="1:25" ht="39.75" customHeight="1" x14ac:dyDescent="0.25">
      <c r="A23" s="953"/>
      <c r="B23" s="2289"/>
      <c r="C23" s="2292"/>
      <c r="D23" s="2292"/>
      <c r="E23" s="2292"/>
      <c r="F23" s="2292"/>
      <c r="G23" s="953"/>
      <c r="Q23" s="953"/>
      <c r="R23" s="953"/>
      <c r="T23" s="2252"/>
      <c r="U23" s="50" t="s">
        <v>61</v>
      </c>
      <c r="V23" s="2262">
        <v>106792</v>
      </c>
      <c r="W23" s="2262"/>
      <c r="X23" s="2262"/>
      <c r="Y23" s="2269"/>
    </row>
    <row r="24" spans="1:25" ht="48" customHeight="1" x14ac:dyDescent="0.25">
      <c r="A24" s="953"/>
      <c r="B24" s="2290"/>
      <c r="C24" s="290" t="s">
        <v>46</v>
      </c>
      <c r="D24" s="290" t="s">
        <v>50</v>
      </c>
      <c r="E24" s="290" t="s">
        <v>51</v>
      </c>
      <c r="F24" s="290" t="s">
        <v>52</v>
      </c>
      <c r="G24" s="953"/>
      <c r="Q24" s="953"/>
      <c r="R24" s="953"/>
      <c r="T24" s="2235" t="s">
        <v>47</v>
      </c>
      <c r="U24" s="51" t="s">
        <v>62</v>
      </c>
      <c r="V24" s="2263">
        <f>V14+V16+V17-V18-V19-V20-V22+V23-V21</f>
        <v>137082.01500000001</v>
      </c>
      <c r="W24" s="2263"/>
      <c r="X24" s="2263"/>
      <c r="Y24" s="2269"/>
    </row>
    <row r="25" spans="1:25" ht="40.5" customHeight="1" x14ac:dyDescent="0.25">
      <c r="T25" s="2235"/>
      <c r="U25" s="51" t="s">
        <v>63</v>
      </c>
      <c r="V25" s="2262">
        <f>V15+V22-V23</f>
        <v>13910</v>
      </c>
      <c r="W25" s="2262"/>
      <c r="X25" s="2262"/>
    </row>
    <row r="26" spans="1:25" ht="36" customHeight="1" x14ac:dyDescent="0.25">
      <c r="K26" s="314"/>
    </row>
    <row r="28" spans="1:25" x14ac:dyDescent="0.25">
      <c r="J28" s="14" t="s">
        <v>139</v>
      </c>
    </row>
    <row r="32" spans="1:25" x14ac:dyDescent="0.25">
      <c r="I32" s="2280"/>
      <c r="J32" s="2280"/>
      <c r="K32" s="2280"/>
      <c r="L32" s="2280"/>
    </row>
    <row r="33" spans="9:12" x14ac:dyDescent="0.25">
      <c r="I33" s="953"/>
      <c r="J33" s="953"/>
      <c r="K33" s="2280"/>
      <c r="L33" s="2280"/>
    </row>
  </sheetData>
  <mergeCells count="62">
    <mergeCell ref="I32:J32"/>
    <mergeCell ref="K32:L32"/>
    <mergeCell ref="K33:L33"/>
    <mergeCell ref="T22:T23"/>
    <mergeCell ref="V22:X22"/>
    <mergeCell ref="V23:X23"/>
    <mergeCell ref="T24:T25"/>
    <mergeCell ref="V24:X24"/>
    <mergeCell ref="V25:X25"/>
    <mergeCell ref="Y18:Y24"/>
    <mergeCell ref="B19:C19"/>
    <mergeCell ref="Q19:R19"/>
    <mergeCell ref="T19:T20"/>
    <mergeCell ref="V19:X19"/>
    <mergeCell ref="B20:C20"/>
    <mergeCell ref="B22:B24"/>
    <mergeCell ref="C22:C23"/>
    <mergeCell ref="D22:D23"/>
    <mergeCell ref="E22:E23"/>
    <mergeCell ref="F22:F23"/>
    <mergeCell ref="Q20:R20"/>
    <mergeCell ref="V20:X20"/>
    <mergeCell ref="B21:C21"/>
    <mergeCell ref="T21:U21"/>
    <mergeCell ref="V21:X21"/>
    <mergeCell ref="B17:C17"/>
    <mergeCell ref="Q17:R17"/>
    <mergeCell ref="T17:U17"/>
    <mergeCell ref="V17:X17"/>
    <mergeCell ref="B18:C18"/>
    <mergeCell ref="Q18:R18"/>
    <mergeCell ref="T18:U18"/>
    <mergeCell ref="V18:X18"/>
    <mergeCell ref="W4:X4"/>
    <mergeCell ref="B16:C16"/>
    <mergeCell ref="Q16:R16"/>
    <mergeCell ref="T16:U16"/>
    <mergeCell ref="V16:X16"/>
    <mergeCell ref="A12:B12"/>
    <mergeCell ref="B14:C14"/>
    <mergeCell ref="Q14:R14"/>
    <mergeCell ref="T14:T15"/>
    <mergeCell ref="V14:X14"/>
    <mergeCell ref="B15:C15"/>
    <mergeCell ref="Q15:R15"/>
    <mergeCell ref="V15:X15"/>
    <mergeCell ref="A1:Y1"/>
    <mergeCell ref="A2:Y2"/>
    <mergeCell ref="T3:Y3"/>
    <mergeCell ref="A4:A5"/>
    <mergeCell ref="B4:B5"/>
    <mergeCell ref="C4:D4"/>
    <mergeCell ref="E4:F4"/>
    <mergeCell ref="G4:H4"/>
    <mergeCell ref="I4:J4"/>
    <mergeCell ref="K4:L4"/>
    <mergeCell ref="Y4:Y5"/>
    <mergeCell ref="M4:N4"/>
    <mergeCell ref="O4:P4"/>
    <mergeCell ref="Q4:R4"/>
    <mergeCell ref="S4:T4"/>
    <mergeCell ref="U4:V4"/>
  </mergeCells>
  <pageMargins left="0.15748031496063" right="0.15748031496063" top="0" bottom="0" header="0" footer="0"/>
  <pageSetup paperSize="9" scale="45" orientation="landscape" r:id="rId1"/>
</worksheet>
</file>

<file path=xl/worksheets/sheet19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0065F12-F5D1-4831-A25C-C1799730BD8E}">
  <sheetPr>
    <pageSetUpPr fitToPage="1"/>
  </sheetPr>
  <dimension ref="A1:Y33"/>
  <sheetViews>
    <sheetView topLeftCell="A13" zoomScale="70" zoomScaleNormal="70" zoomScaleSheetLayoutView="100" workbookViewId="0">
      <selection activeCell="H23" sqref="H23"/>
    </sheetView>
  </sheetViews>
  <sheetFormatPr defaultColWidth="9.140625" defaultRowHeight="15" x14ac:dyDescent="0.25"/>
  <cols>
    <col min="1" max="1" width="18.28515625" style="14" customWidth="1"/>
    <col min="2" max="2" width="10.7109375" style="14" customWidth="1"/>
    <col min="3" max="3" width="12.28515625" style="14" customWidth="1"/>
    <col min="4" max="4" width="13.140625" style="14" bestFit="1" customWidth="1"/>
    <col min="5" max="5" width="12" style="14" customWidth="1"/>
    <col min="6" max="6" width="12.5703125" style="14" bestFit="1" customWidth="1"/>
    <col min="7" max="7" width="16" style="14" bestFit="1" customWidth="1"/>
    <col min="8" max="8" width="10.140625" style="14" bestFit="1" customWidth="1"/>
    <col min="9" max="9" width="10.5703125" style="14" bestFit="1" customWidth="1"/>
    <col min="10" max="10" width="10.5703125" style="14" customWidth="1"/>
    <col min="11" max="11" width="10.28515625" style="14" bestFit="1" customWidth="1"/>
    <col min="12" max="12" width="10.42578125" style="14" bestFit="1" customWidth="1"/>
    <col min="13" max="13" width="9.85546875" style="14" bestFit="1" customWidth="1"/>
    <col min="14" max="14" width="10.140625" style="14" bestFit="1" customWidth="1"/>
    <col min="15" max="15" width="9" style="14" customWidth="1"/>
    <col min="16" max="16" width="12.85546875" style="14" bestFit="1" customWidth="1"/>
    <col min="17" max="18" width="9.42578125" style="14" customWidth="1"/>
    <col min="19" max="19" width="13.7109375" style="14" customWidth="1"/>
    <col min="20" max="20" width="12.140625" style="14" customWidth="1"/>
    <col min="21" max="21" width="21.7109375" style="14" customWidth="1"/>
    <col min="22" max="22" width="9.85546875" style="14" customWidth="1"/>
    <col min="23" max="23" width="10.140625" style="14" bestFit="1" customWidth="1"/>
    <col min="24" max="24" width="10.28515625" style="14" customWidth="1"/>
    <col min="25" max="25" width="28" style="14" customWidth="1"/>
    <col min="26" max="16384" width="9.140625" style="14"/>
  </cols>
  <sheetData>
    <row r="1" spans="1:25" ht="46.15" customHeight="1" x14ac:dyDescent="0.25">
      <c r="A1" s="2240" t="s">
        <v>148</v>
      </c>
      <c r="B1" s="2240"/>
      <c r="C1" s="2240"/>
      <c r="D1" s="2240"/>
      <c r="E1" s="2240"/>
      <c r="F1" s="2240"/>
      <c r="G1" s="2240"/>
      <c r="H1" s="2240"/>
      <c r="I1" s="2240"/>
      <c r="J1" s="2240"/>
      <c r="K1" s="2240"/>
      <c r="L1" s="2240"/>
      <c r="M1" s="2240"/>
      <c r="N1" s="2240"/>
      <c r="O1" s="2240"/>
      <c r="P1" s="2240"/>
      <c r="Q1" s="2240"/>
      <c r="R1" s="2240"/>
      <c r="S1" s="2240"/>
      <c r="T1" s="2240"/>
      <c r="U1" s="2240"/>
      <c r="V1" s="2240"/>
      <c r="W1" s="2240"/>
      <c r="X1" s="2240"/>
      <c r="Y1" s="2240"/>
    </row>
    <row r="2" spans="1:25" ht="21.6" customHeight="1" x14ac:dyDescent="0.25">
      <c r="A2" s="2241" t="s">
        <v>383</v>
      </c>
      <c r="B2" s="2241"/>
      <c r="C2" s="2241"/>
      <c r="D2" s="2241"/>
      <c r="E2" s="2241"/>
      <c r="F2" s="2241"/>
      <c r="G2" s="2241"/>
      <c r="H2" s="2241"/>
      <c r="I2" s="2241"/>
      <c r="J2" s="2241"/>
      <c r="K2" s="2241"/>
      <c r="L2" s="2241"/>
      <c r="M2" s="2241"/>
      <c r="N2" s="2241"/>
      <c r="O2" s="2241"/>
      <c r="P2" s="2241"/>
      <c r="Q2" s="2241"/>
      <c r="R2" s="2241"/>
      <c r="S2" s="2241"/>
      <c r="T2" s="2241"/>
      <c r="U2" s="2241"/>
      <c r="V2" s="2241"/>
      <c r="W2" s="2241"/>
      <c r="X2" s="2241"/>
      <c r="Y2" s="2241"/>
    </row>
    <row r="3" spans="1:25" ht="21" customHeight="1" x14ac:dyDescent="0.25">
      <c r="A3" s="943"/>
      <c r="B3" s="943"/>
      <c r="C3" s="943"/>
      <c r="D3" s="943"/>
      <c r="E3" s="943"/>
      <c r="F3" s="943"/>
      <c r="G3" s="943"/>
      <c r="H3" s="943"/>
      <c r="I3" s="943"/>
      <c r="J3" s="943"/>
      <c r="K3" s="943"/>
      <c r="L3" s="943"/>
      <c r="M3" s="943"/>
      <c r="N3" s="943"/>
      <c r="O3" s="943"/>
      <c r="P3" s="943"/>
      <c r="Q3" s="943"/>
      <c r="R3" s="943"/>
      <c r="S3" s="943"/>
      <c r="T3" s="2242" t="s">
        <v>419</v>
      </c>
      <c r="U3" s="2242"/>
      <c r="V3" s="2242"/>
      <c r="W3" s="2242"/>
      <c r="X3" s="2242"/>
      <c r="Y3" s="2242"/>
    </row>
    <row r="4" spans="1:25" s="943" customFormat="1" ht="18" customHeight="1" x14ac:dyDescent="0.25">
      <c r="A4" s="2243" t="s">
        <v>25</v>
      </c>
      <c r="B4" s="2243" t="s">
        <v>26</v>
      </c>
      <c r="C4" s="2244" t="s">
        <v>27</v>
      </c>
      <c r="D4" s="2244"/>
      <c r="E4" s="2244" t="s">
        <v>342</v>
      </c>
      <c r="F4" s="2244"/>
      <c r="G4" s="2244" t="s">
        <v>65</v>
      </c>
      <c r="H4" s="2244"/>
      <c r="I4" s="2244" t="s">
        <v>29</v>
      </c>
      <c r="J4" s="2244"/>
      <c r="K4" s="2245" t="s">
        <v>14</v>
      </c>
      <c r="L4" s="2246"/>
      <c r="M4" s="2245" t="s">
        <v>67</v>
      </c>
      <c r="N4" s="2246"/>
      <c r="O4" s="2245" t="s">
        <v>68</v>
      </c>
      <c r="P4" s="2246"/>
      <c r="Q4" s="2245" t="s">
        <v>114</v>
      </c>
      <c r="R4" s="2246"/>
      <c r="S4" s="2244" t="s">
        <v>35</v>
      </c>
      <c r="T4" s="2244"/>
      <c r="U4" s="2245" t="s">
        <v>17</v>
      </c>
      <c r="V4" s="2246"/>
      <c r="W4" s="2247" t="s">
        <v>36</v>
      </c>
      <c r="X4" s="2248"/>
      <c r="Y4" s="2238" t="s">
        <v>30</v>
      </c>
    </row>
    <row r="5" spans="1:25" s="943" customFormat="1" ht="25.5" customHeight="1" x14ac:dyDescent="0.25">
      <c r="A5" s="2243"/>
      <c r="B5" s="2243"/>
      <c r="C5" s="945" t="s">
        <v>42</v>
      </c>
      <c r="D5" s="945" t="s">
        <v>43</v>
      </c>
      <c r="E5" s="945" t="s">
        <v>42</v>
      </c>
      <c r="F5" s="945" t="s">
        <v>43</v>
      </c>
      <c r="G5" s="945" t="s">
        <v>42</v>
      </c>
      <c r="H5" s="945" t="s">
        <v>43</v>
      </c>
      <c r="I5" s="945" t="s">
        <v>42</v>
      </c>
      <c r="J5" s="945" t="s">
        <v>43</v>
      </c>
      <c r="K5" s="945" t="s">
        <v>42</v>
      </c>
      <c r="L5" s="945" t="s">
        <v>43</v>
      </c>
      <c r="M5" s="945" t="s">
        <v>42</v>
      </c>
      <c r="N5" s="945" t="s">
        <v>43</v>
      </c>
      <c r="O5" s="945" t="s">
        <v>42</v>
      </c>
      <c r="P5" s="945" t="s">
        <v>43</v>
      </c>
      <c r="Q5" s="945" t="s">
        <v>42</v>
      </c>
      <c r="R5" s="945" t="s">
        <v>43</v>
      </c>
      <c r="S5" s="33" t="s">
        <v>42</v>
      </c>
      <c r="T5" s="33" t="s">
        <v>43</v>
      </c>
      <c r="U5" s="30" t="s">
        <v>42</v>
      </c>
      <c r="V5" s="30" t="s">
        <v>43</v>
      </c>
      <c r="W5" s="30" t="s">
        <v>42</v>
      </c>
      <c r="X5" s="30" t="s">
        <v>43</v>
      </c>
      <c r="Y5" s="2239"/>
    </row>
    <row r="6" spans="1:25" ht="34.5" customHeight="1" x14ac:dyDescent="0.25">
      <c r="A6" s="12">
        <v>1409935200</v>
      </c>
      <c r="B6" s="944" t="s">
        <v>71</v>
      </c>
      <c r="C6" s="947">
        <v>39372</v>
      </c>
      <c r="D6" s="948">
        <f>0.9725*C6</f>
        <v>38289.270000000004</v>
      </c>
      <c r="E6" s="947"/>
      <c r="F6" s="947">
        <f>67.1*E6</f>
        <v>0</v>
      </c>
      <c r="G6" s="947">
        <v>10</v>
      </c>
      <c r="H6" s="947">
        <f>28.2*G6</f>
        <v>282</v>
      </c>
      <c r="I6" s="947">
        <v>230</v>
      </c>
      <c r="J6" s="947">
        <f>18.5*I6</f>
        <v>4255</v>
      </c>
      <c r="K6" s="947"/>
      <c r="L6" s="947">
        <f>28.2368*K6</f>
        <v>0</v>
      </c>
      <c r="M6" s="947"/>
      <c r="N6" s="948">
        <f>M6*9.75</f>
        <v>0</v>
      </c>
      <c r="O6" s="947"/>
      <c r="P6" s="948">
        <f>O6*48.7</f>
        <v>0</v>
      </c>
      <c r="Q6" s="948"/>
      <c r="R6" s="948">
        <f>241*Q6</f>
        <v>0</v>
      </c>
      <c r="S6" s="947"/>
      <c r="T6" s="947">
        <f>241*S6</f>
        <v>0</v>
      </c>
      <c r="U6" s="947"/>
      <c r="V6" s="947">
        <f>332*U6</f>
        <v>0</v>
      </c>
      <c r="W6" s="947"/>
      <c r="X6" s="19">
        <f>W6*100</f>
        <v>0</v>
      </c>
      <c r="Y6" s="20">
        <f t="shared" ref="Y6:Y12" si="0">D6+F6+H6+J6+L6+N6+P6+R6+T6+V6+X6</f>
        <v>42826.270000000004</v>
      </c>
    </row>
    <row r="7" spans="1:25" ht="31.5" customHeight="1" x14ac:dyDescent="0.25">
      <c r="A7" s="12">
        <v>1984225578</v>
      </c>
      <c r="B7" s="944" t="s">
        <v>72</v>
      </c>
      <c r="C7" s="947">
        <v>17875</v>
      </c>
      <c r="D7" s="948">
        <f t="shared" ref="D7:D11" si="1">0.9725*C7</f>
        <v>17383.4375</v>
      </c>
      <c r="E7" s="947"/>
      <c r="F7" s="947">
        <f t="shared" ref="F7:F11" si="2">67.1*E7</f>
        <v>0</v>
      </c>
      <c r="G7" s="947"/>
      <c r="H7" s="947">
        <f t="shared" ref="H7:H11" si="3">28.2*G7</f>
        <v>0</v>
      </c>
      <c r="I7" s="947">
        <v>90</v>
      </c>
      <c r="J7" s="947">
        <f t="shared" ref="J7:J11" si="4">18.5*I7</f>
        <v>1665</v>
      </c>
      <c r="K7" s="947"/>
      <c r="L7" s="947">
        <f t="shared" ref="L7:L11" si="5">28.2368*K7</f>
        <v>0</v>
      </c>
      <c r="M7" s="947"/>
      <c r="N7" s="948">
        <f t="shared" ref="N7:N11" si="6">M7*9.75</f>
        <v>0</v>
      </c>
      <c r="O7" s="947"/>
      <c r="P7" s="948">
        <f t="shared" ref="P7:P11" si="7">O7*48.7</f>
        <v>0</v>
      </c>
      <c r="Q7" s="948"/>
      <c r="R7" s="948">
        <f t="shared" ref="R7:R11" si="8">241*Q7</f>
        <v>0</v>
      </c>
      <c r="S7" s="947">
        <v>5</v>
      </c>
      <c r="T7" s="947">
        <f t="shared" ref="T7:T10" si="9">241*S7</f>
        <v>1205</v>
      </c>
      <c r="U7" s="947"/>
      <c r="V7" s="947">
        <f t="shared" ref="V7:V11" si="10">332*U7</f>
        <v>0</v>
      </c>
      <c r="W7" s="947"/>
      <c r="X7" s="19">
        <f t="shared" ref="X7:X11" si="11">W7*100</f>
        <v>0</v>
      </c>
      <c r="Y7" s="20">
        <f t="shared" si="0"/>
        <v>20253.4375</v>
      </c>
    </row>
    <row r="8" spans="1:25" ht="35.25" customHeight="1" x14ac:dyDescent="0.25">
      <c r="A8" s="12">
        <v>1967020280</v>
      </c>
      <c r="B8" s="944" t="s">
        <v>73</v>
      </c>
      <c r="C8" s="947">
        <v>11920</v>
      </c>
      <c r="D8" s="948">
        <f t="shared" si="1"/>
        <v>11592.2</v>
      </c>
      <c r="E8" s="947"/>
      <c r="F8" s="947">
        <f t="shared" si="2"/>
        <v>0</v>
      </c>
      <c r="G8" s="947"/>
      <c r="H8" s="947">
        <f t="shared" si="3"/>
        <v>0</v>
      </c>
      <c r="I8" s="947"/>
      <c r="J8" s="947">
        <f t="shared" si="4"/>
        <v>0</v>
      </c>
      <c r="K8" s="947"/>
      <c r="L8" s="947">
        <f t="shared" si="5"/>
        <v>0</v>
      </c>
      <c r="M8" s="947"/>
      <c r="N8" s="948">
        <f t="shared" si="6"/>
        <v>0</v>
      </c>
      <c r="O8" s="947"/>
      <c r="P8" s="948">
        <f t="shared" si="7"/>
        <v>0</v>
      </c>
      <c r="Q8" s="948"/>
      <c r="R8" s="948">
        <f t="shared" si="8"/>
        <v>0</v>
      </c>
      <c r="S8" s="947"/>
      <c r="T8" s="947">
        <f t="shared" si="9"/>
        <v>0</v>
      </c>
      <c r="U8" s="947"/>
      <c r="V8" s="947">
        <f t="shared" si="10"/>
        <v>0</v>
      </c>
      <c r="W8" s="947"/>
      <c r="X8" s="19">
        <f t="shared" si="11"/>
        <v>0</v>
      </c>
      <c r="Y8" s="20">
        <f t="shared" si="0"/>
        <v>11592.2</v>
      </c>
    </row>
    <row r="9" spans="1:25" ht="38.25" customHeight="1" x14ac:dyDescent="0.25">
      <c r="A9" s="12">
        <v>1984225580</v>
      </c>
      <c r="B9" s="944" t="s">
        <v>75</v>
      </c>
      <c r="C9" s="947">
        <v>28075</v>
      </c>
      <c r="D9" s="948">
        <f t="shared" si="1"/>
        <v>27302.9375</v>
      </c>
      <c r="E9" s="947"/>
      <c r="F9" s="947">
        <f t="shared" si="2"/>
        <v>0</v>
      </c>
      <c r="G9" s="947"/>
      <c r="H9" s="947">
        <f t="shared" si="3"/>
        <v>0</v>
      </c>
      <c r="I9" s="947"/>
      <c r="J9" s="947">
        <f t="shared" si="4"/>
        <v>0</v>
      </c>
      <c r="K9" s="947"/>
      <c r="L9" s="947">
        <f t="shared" si="5"/>
        <v>0</v>
      </c>
      <c r="M9" s="947"/>
      <c r="N9" s="948">
        <f t="shared" si="6"/>
        <v>0</v>
      </c>
      <c r="O9" s="947"/>
      <c r="P9" s="948">
        <f t="shared" si="7"/>
        <v>0</v>
      </c>
      <c r="Q9" s="948"/>
      <c r="R9" s="948">
        <f t="shared" si="8"/>
        <v>0</v>
      </c>
      <c r="S9" s="947"/>
      <c r="T9" s="947">
        <f t="shared" si="9"/>
        <v>0</v>
      </c>
      <c r="U9" s="947"/>
      <c r="V9" s="947">
        <f t="shared" si="10"/>
        <v>0</v>
      </c>
      <c r="W9" s="947"/>
      <c r="X9" s="19">
        <f t="shared" si="11"/>
        <v>0</v>
      </c>
      <c r="Y9" s="20">
        <f t="shared" si="0"/>
        <v>27302.9375</v>
      </c>
    </row>
    <row r="10" spans="1:25" ht="35.25" customHeight="1" x14ac:dyDescent="0.25">
      <c r="A10" s="12">
        <v>1409935199</v>
      </c>
      <c r="C10" s="947">
        <v>20514</v>
      </c>
      <c r="D10" s="948">
        <f t="shared" si="1"/>
        <v>19949.865000000002</v>
      </c>
      <c r="E10" s="947"/>
      <c r="F10" s="947">
        <f t="shared" si="2"/>
        <v>0</v>
      </c>
      <c r="G10" s="947"/>
      <c r="H10" s="947">
        <f t="shared" si="3"/>
        <v>0</v>
      </c>
      <c r="I10" s="947"/>
      <c r="J10" s="947">
        <f t="shared" si="4"/>
        <v>0</v>
      </c>
      <c r="K10" s="947"/>
      <c r="L10" s="947">
        <f t="shared" si="5"/>
        <v>0</v>
      </c>
      <c r="M10" s="947"/>
      <c r="N10" s="948">
        <f t="shared" si="6"/>
        <v>0</v>
      </c>
      <c r="O10" s="947"/>
      <c r="P10" s="948">
        <f t="shared" si="7"/>
        <v>0</v>
      </c>
      <c r="Q10" s="948"/>
      <c r="R10" s="948">
        <f t="shared" si="8"/>
        <v>0</v>
      </c>
      <c r="S10" s="947"/>
      <c r="T10" s="947">
        <f t="shared" si="9"/>
        <v>0</v>
      </c>
      <c r="U10" s="947"/>
      <c r="V10" s="947">
        <f t="shared" si="10"/>
        <v>0</v>
      </c>
      <c r="W10" s="947"/>
      <c r="X10" s="19">
        <f t="shared" si="11"/>
        <v>0</v>
      </c>
      <c r="Y10" s="20">
        <f t="shared" si="0"/>
        <v>19949.865000000002</v>
      </c>
    </row>
    <row r="11" spans="1:25" ht="37.5" customHeight="1" x14ac:dyDescent="0.25">
      <c r="A11" s="12"/>
      <c r="B11" s="946"/>
      <c r="C11" s="947"/>
      <c r="D11" s="22">
        <f t="shared" si="1"/>
        <v>0</v>
      </c>
      <c r="E11" s="947"/>
      <c r="F11" s="947">
        <f t="shared" si="2"/>
        <v>0</v>
      </c>
      <c r="G11" s="947"/>
      <c r="H11" s="947">
        <f t="shared" si="3"/>
        <v>0</v>
      </c>
      <c r="I11" s="947"/>
      <c r="J11" s="947">
        <f t="shared" si="4"/>
        <v>0</v>
      </c>
      <c r="K11" s="947"/>
      <c r="L11" s="947">
        <f t="shared" si="5"/>
        <v>0</v>
      </c>
      <c r="M11" s="947"/>
      <c r="N11" s="948">
        <f t="shared" si="6"/>
        <v>0</v>
      </c>
      <c r="O11" s="947"/>
      <c r="P11" s="948">
        <f t="shared" si="7"/>
        <v>0</v>
      </c>
      <c r="Q11" s="948"/>
      <c r="R11" s="948">
        <f t="shared" si="8"/>
        <v>0</v>
      </c>
      <c r="S11" s="947"/>
      <c r="T11" s="947">
        <f>341*S11</f>
        <v>0</v>
      </c>
      <c r="U11" s="947"/>
      <c r="V11" s="947">
        <f t="shared" si="10"/>
        <v>0</v>
      </c>
      <c r="W11" s="947"/>
      <c r="X11" s="19">
        <f t="shared" si="11"/>
        <v>0</v>
      </c>
      <c r="Y11" s="20">
        <f t="shared" si="0"/>
        <v>0</v>
      </c>
    </row>
    <row r="12" spans="1:25" ht="29.25" customHeight="1" x14ac:dyDescent="0.25">
      <c r="A12" s="2235" t="s">
        <v>31</v>
      </c>
      <c r="B12" s="2235"/>
      <c r="C12" s="18">
        <f t="shared" ref="C12:X12" si="12">SUM(C6:C11)</f>
        <v>117756</v>
      </c>
      <c r="D12" s="18">
        <f t="shared" si="12"/>
        <v>114517.71</v>
      </c>
      <c r="E12" s="18">
        <f t="shared" si="12"/>
        <v>0</v>
      </c>
      <c r="F12" s="18">
        <f t="shared" si="12"/>
        <v>0</v>
      </c>
      <c r="G12" s="18">
        <f t="shared" si="12"/>
        <v>10</v>
      </c>
      <c r="H12" s="18">
        <f t="shared" si="12"/>
        <v>282</v>
      </c>
      <c r="I12" s="18">
        <f t="shared" si="12"/>
        <v>320</v>
      </c>
      <c r="J12" s="18">
        <f t="shared" si="12"/>
        <v>5920</v>
      </c>
      <c r="K12" s="18">
        <f t="shared" si="12"/>
        <v>0</v>
      </c>
      <c r="L12" s="18">
        <f t="shared" si="12"/>
        <v>0</v>
      </c>
      <c r="M12" s="18">
        <f t="shared" si="12"/>
        <v>0</v>
      </c>
      <c r="N12" s="23">
        <f t="shared" si="12"/>
        <v>0</v>
      </c>
      <c r="O12" s="18">
        <f t="shared" si="12"/>
        <v>0</v>
      </c>
      <c r="P12" s="23">
        <f t="shared" si="12"/>
        <v>0</v>
      </c>
      <c r="Q12" s="23">
        <f t="shared" si="12"/>
        <v>0</v>
      </c>
      <c r="R12" s="23">
        <f>SUM(R6:R11)</f>
        <v>0</v>
      </c>
      <c r="S12" s="23">
        <f>SUM(S6:S11)</f>
        <v>5</v>
      </c>
      <c r="T12" s="18">
        <f t="shared" si="12"/>
        <v>1205</v>
      </c>
      <c r="U12" s="18">
        <f t="shared" si="12"/>
        <v>0</v>
      </c>
      <c r="V12" s="18">
        <f t="shared" si="12"/>
        <v>0</v>
      </c>
      <c r="W12" s="18">
        <f t="shared" si="12"/>
        <v>0</v>
      </c>
      <c r="X12" s="18">
        <f t="shared" si="12"/>
        <v>0</v>
      </c>
      <c r="Y12" s="20">
        <f t="shared" si="0"/>
        <v>121924.71</v>
      </c>
    </row>
    <row r="14" spans="1:25" ht="43.5" customHeight="1" x14ac:dyDescent="0.25">
      <c r="A14" s="30" t="s">
        <v>32</v>
      </c>
      <c r="B14" s="2236" t="s">
        <v>27</v>
      </c>
      <c r="C14" s="2236"/>
      <c r="D14" s="30" t="s">
        <v>333</v>
      </c>
      <c r="E14" s="30" t="s">
        <v>65</v>
      </c>
      <c r="F14" s="30" t="s">
        <v>34</v>
      </c>
      <c r="G14" s="30" t="s">
        <v>14</v>
      </c>
      <c r="H14" s="469" t="s">
        <v>173</v>
      </c>
      <c r="I14" s="30" t="s">
        <v>17</v>
      </c>
      <c r="J14" s="952" t="s">
        <v>174</v>
      </c>
      <c r="K14" s="30" t="s">
        <v>36</v>
      </c>
      <c r="L14" s="952" t="s">
        <v>403</v>
      </c>
      <c r="M14" s="30" t="s">
        <v>69</v>
      </c>
      <c r="N14" s="30" t="s">
        <v>70</v>
      </c>
      <c r="O14" s="952" t="s">
        <v>114</v>
      </c>
      <c r="P14" s="952"/>
      <c r="Q14" s="2300" t="s">
        <v>378</v>
      </c>
      <c r="R14" s="2301"/>
      <c r="S14" s="952" t="s">
        <v>401</v>
      </c>
      <c r="T14" s="2235" t="s">
        <v>46</v>
      </c>
      <c r="U14" s="944" t="s">
        <v>176</v>
      </c>
      <c r="V14" s="2260">
        <v>137082</v>
      </c>
      <c r="W14" s="2268"/>
      <c r="X14" s="2261"/>
    </row>
    <row r="15" spans="1:25" ht="22.5" customHeight="1" x14ac:dyDescent="0.25">
      <c r="A15" s="100" t="s">
        <v>38</v>
      </c>
      <c r="B15" s="2260">
        <v>491743</v>
      </c>
      <c r="C15" s="2261"/>
      <c r="D15" s="949">
        <v>502</v>
      </c>
      <c r="E15" s="949">
        <v>290</v>
      </c>
      <c r="F15" s="949">
        <v>11150</v>
      </c>
      <c r="G15" s="949">
        <v>0</v>
      </c>
      <c r="H15" s="949">
        <v>453</v>
      </c>
      <c r="I15" s="949">
        <v>0</v>
      </c>
      <c r="J15" s="949"/>
      <c r="K15" s="949">
        <v>68</v>
      </c>
      <c r="L15" s="949">
        <v>0</v>
      </c>
      <c r="M15" s="949">
        <v>0</v>
      </c>
      <c r="N15" s="949">
        <v>100</v>
      </c>
      <c r="O15" s="949">
        <v>0</v>
      </c>
      <c r="P15" s="949"/>
      <c r="Q15" s="2260">
        <v>0</v>
      </c>
      <c r="R15" s="2261"/>
      <c r="S15" s="944">
        <v>53</v>
      </c>
      <c r="T15" s="2235"/>
      <c r="U15" s="944" t="s">
        <v>64</v>
      </c>
      <c r="V15" s="2262">
        <v>13910</v>
      </c>
      <c r="W15" s="2262"/>
      <c r="X15" s="2262"/>
    </row>
    <row r="16" spans="1:25" ht="24.75" customHeight="1" x14ac:dyDescent="0.25">
      <c r="A16" s="100" t="s">
        <v>39</v>
      </c>
      <c r="B16" s="2260">
        <v>311688</v>
      </c>
      <c r="C16" s="2261"/>
      <c r="D16" s="949"/>
      <c r="E16" s="949"/>
      <c r="F16" s="949"/>
      <c r="G16" s="949"/>
      <c r="H16" s="949"/>
      <c r="I16" s="949"/>
      <c r="J16" s="949"/>
      <c r="K16" s="949"/>
      <c r="L16" s="949"/>
      <c r="M16" s="949"/>
      <c r="N16" s="949"/>
      <c r="O16" s="949"/>
      <c r="P16" s="949"/>
      <c r="Q16" s="2225"/>
      <c r="R16" s="2225"/>
      <c r="S16" s="949"/>
      <c r="T16" s="2254" t="s">
        <v>55</v>
      </c>
      <c r="U16" s="2254"/>
      <c r="V16" s="2267">
        <f>Y12</f>
        <v>121924.71</v>
      </c>
      <c r="W16" s="2267"/>
      <c r="X16" s="2262"/>
    </row>
    <row r="17" spans="1:25" ht="28.5" customHeight="1" x14ac:dyDescent="0.25">
      <c r="A17" s="101" t="s">
        <v>44</v>
      </c>
      <c r="B17" s="2260"/>
      <c r="C17" s="2261"/>
      <c r="D17" s="949"/>
      <c r="E17" s="949"/>
      <c r="F17" s="949"/>
      <c r="G17" s="949"/>
      <c r="H17" s="949"/>
      <c r="I17" s="949"/>
      <c r="J17" s="949"/>
      <c r="K17" s="949"/>
      <c r="L17" s="949"/>
      <c r="M17" s="949"/>
      <c r="N17" s="949"/>
      <c r="O17" s="949"/>
      <c r="P17" s="949"/>
      <c r="Q17" s="2225"/>
      <c r="R17" s="2225"/>
      <c r="S17" s="946"/>
      <c r="T17" s="2294" t="s">
        <v>362</v>
      </c>
      <c r="U17" s="2295"/>
      <c r="V17" s="2296">
        <v>130000</v>
      </c>
      <c r="W17" s="2296"/>
      <c r="X17" s="2296"/>
    </row>
    <row r="18" spans="1:25" ht="27" customHeight="1" x14ac:dyDescent="0.25">
      <c r="A18" s="100" t="s">
        <v>40</v>
      </c>
      <c r="B18" s="2264">
        <f>C12</f>
        <v>117756</v>
      </c>
      <c r="C18" s="2261"/>
      <c r="D18" s="950">
        <f>E12</f>
        <v>0</v>
      </c>
      <c r="E18" s="950">
        <f>G12</f>
        <v>10</v>
      </c>
      <c r="F18" s="950">
        <f>I12</f>
        <v>320</v>
      </c>
      <c r="G18" s="950">
        <f>K12</f>
        <v>0</v>
      </c>
      <c r="H18" s="949">
        <v>5</v>
      </c>
      <c r="I18" s="950">
        <f>U12</f>
        <v>0</v>
      </c>
      <c r="J18" s="949"/>
      <c r="K18" s="950">
        <f>W12</f>
        <v>0</v>
      </c>
      <c r="L18" s="949"/>
      <c r="M18" s="950">
        <f>M12</f>
        <v>0</v>
      </c>
      <c r="N18" s="950"/>
      <c r="O18" s="951">
        <f>Q12</f>
        <v>0</v>
      </c>
      <c r="P18" s="950"/>
      <c r="Q18" s="2262"/>
      <c r="R18" s="2262"/>
      <c r="S18" s="944"/>
      <c r="T18" s="2254" t="s">
        <v>57</v>
      </c>
      <c r="U18" s="2254"/>
      <c r="V18" s="2262">
        <v>520</v>
      </c>
      <c r="W18" s="2262"/>
      <c r="X18" s="2262"/>
      <c r="Y18" s="2269"/>
    </row>
    <row r="19" spans="1:25" ht="25.5" customHeight="1" x14ac:dyDescent="0.25">
      <c r="A19" s="100" t="s">
        <v>41</v>
      </c>
      <c r="B19" s="2260">
        <f>B15+B16+B17-B18</f>
        <v>685675</v>
      </c>
      <c r="C19" s="2261"/>
      <c r="D19" s="949">
        <f>D15+D16+D17-D18</f>
        <v>502</v>
      </c>
      <c r="E19" s="949">
        <f t="shared" ref="E19:N19" si="13">E15+E16+E17-E18</f>
        <v>280</v>
      </c>
      <c r="F19" s="949">
        <f t="shared" si="13"/>
        <v>10830</v>
      </c>
      <c r="G19" s="949">
        <f t="shared" si="13"/>
        <v>0</v>
      </c>
      <c r="H19" s="949">
        <f t="shared" si="13"/>
        <v>448</v>
      </c>
      <c r="I19" s="949">
        <f t="shared" si="13"/>
        <v>0</v>
      </c>
      <c r="J19" s="949">
        <f t="shared" si="13"/>
        <v>0</v>
      </c>
      <c r="K19" s="949">
        <f t="shared" si="13"/>
        <v>68</v>
      </c>
      <c r="L19" s="949">
        <f t="shared" si="13"/>
        <v>0</v>
      </c>
      <c r="M19" s="949">
        <f t="shared" si="13"/>
        <v>0</v>
      </c>
      <c r="N19" s="949">
        <f t="shared" si="13"/>
        <v>100</v>
      </c>
      <c r="O19" s="949">
        <f>O15+O16+O17-O18</f>
        <v>0</v>
      </c>
      <c r="P19" s="949">
        <f>P15+P16+P17-P18</f>
        <v>0</v>
      </c>
      <c r="Q19" s="2260">
        <f t="shared" ref="Q19" si="14">Q15+Q16+Q17-Q18</f>
        <v>0</v>
      </c>
      <c r="R19" s="2261"/>
      <c r="S19" s="944">
        <f>S15+S16-S17-S18</f>
        <v>53</v>
      </c>
      <c r="T19" s="2256" t="s">
        <v>48</v>
      </c>
      <c r="U19" s="49" t="s">
        <v>58</v>
      </c>
      <c r="V19" s="2262">
        <v>351708</v>
      </c>
      <c r="W19" s="2262"/>
      <c r="X19" s="2262"/>
      <c r="Y19" s="2269"/>
    </row>
    <row r="20" spans="1:25" ht="23.25" customHeight="1" x14ac:dyDescent="0.25">
      <c r="A20" s="289" t="s">
        <v>187</v>
      </c>
      <c r="B20" s="2286">
        <f>B19*0.9625</f>
        <v>659962.1875</v>
      </c>
      <c r="C20" s="2287"/>
      <c r="D20" s="290">
        <f>D19*66.41</f>
        <v>33337.82</v>
      </c>
      <c r="E20" s="290">
        <f>27.9368*E19</f>
        <v>7822.3040000000001</v>
      </c>
      <c r="F20" s="290">
        <f>18.31*F19</f>
        <v>198297.3</v>
      </c>
      <c r="G20" s="290">
        <f>27.9368*G19</f>
        <v>0</v>
      </c>
      <c r="H20" s="290">
        <f>241*H19</f>
        <v>107968</v>
      </c>
      <c r="I20" s="290">
        <f>323*I19</f>
        <v>0</v>
      </c>
      <c r="J20" s="290">
        <f>241*J19</f>
        <v>0</v>
      </c>
      <c r="K20" s="290">
        <f>K19*100</f>
        <v>6800</v>
      </c>
      <c r="L20" s="290">
        <f>241*L19</f>
        <v>0</v>
      </c>
      <c r="M20" s="290">
        <f>9.65*M19</f>
        <v>0</v>
      </c>
      <c r="N20" s="290">
        <f>N19*48.2</f>
        <v>4820</v>
      </c>
      <c r="O20" s="290">
        <f>241*O19</f>
        <v>0</v>
      </c>
      <c r="P20" s="290">
        <f>241*P19</f>
        <v>0</v>
      </c>
      <c r="Q20" s="2286">
        <f>341*Q19</f>
        <v>0</v>
      </c>
      <c r="R20" s="2287"/>
      <c r="S20" s="290">
        <f>341*S19</f>
        <v>18073</v>
      </c>
      <c r="T20" s="2257"/>
      <c r="U20" s="49" t="s">
        <v>59</v>
      </c>
      <c r="V20" s="2262"/>
      <c r="W20" s="2262"/>
      <c r="X20" s="2262"/>
      <c r="Y20" s="2269"/>
    </row>
    <row r="21" spans="1:25" ht="32.25" customHeight="1" x14ac:dyDescent="0.25">
      <c r="A21" s="291" t="s">
        <v>186</v>
      </c>
      <c r="B21" s="2293">
        <f>SUM(B20:S20)</f>
        <v>1037080.6114999999</v>
      </c>
      <c r="C21" s="2293"/>
      <c r="O21" s="953"/>
      <c r="P21" s="953"/>
      <c r="Q21" s="953"/>
      <c r="R21" s="953"/>
      <c r="T21" s="2294" t="s">
        <v>366</v>
      </c>
      <c r="U21" s="2295"/>
      <c r="V21" s="2297"/>
      <c r="W21" s="2298"/>
      <c r="X21" s="2299"/>
      <c r="Y21" s="2269"/>
    </row>
    <row r="22" spans="1:25" ht="35.25" customHeight="1" x14ac:dyDescent="0.25">
      <c r="A22" s="15"/>
      <c r="B22" s="2288" t="s">
        <v>49</v>
      </c>
      <c r="C22" s="2291">
        <v>598893</v>
      </c>
      <c r="D22" s="2291">
        <v>351708</v>
      </c>
      <c r="E22" s="2291">
        <v>300000</v>
      </c>
      <c r="F22" s="2291">
        <f>C22-D22+E22</f>
        <v>547185</v>
      </c>
      <c r="G22" s="953"/>
      <c r="Q22" s="953"/>
      <c r="R22" s="953"/>
      <c r="T22" s="2251" t="s">
        <v>83</v>
      </c>
      <c r="U22" s="50" t="s">
        <v>60</v>
      </c>
      <c r="V22" s="2262">
        <v>350340</v>
      </c>
      <c r="W22" s="2262"/>
      <c r="X22" s="2262"/>
      <c r="Y22" s="2269"/>
    </row>
    <row r="23" spans="1:25" ht="39.75" customHeight="1" x14ac:dyDescent="0.25">
      <c r="A23" s="953"/>
      <c r="B23" s="2289"/>
      <c r="C23" s="2292"/>
      <c r="D23" s="2292"/>
      <c r="E23" s="2292"/>
      <c r="F23" s="2292"/>
      <c r="G23" s="953"/>
      <c r="Q23" s="953"/>
      <c r="R23" s="953"/>
      <c r="T23" s="2252"/>
      <c r="U23" s="50" t="s">
        <v>61</v>
      </c>
      <c r="V23" s="2262">
        <v>351708</v>
      </c>
      <c r="W23" s="2262"/>
      <c r="X23" s="2262"/>
      <c r="Y23" s="2269"/>
    </row>
    <row r="24" spans="1:25" ht="48" customHeight="1" x14ac:dyDescent="0.25">
      <c r="A24" s="953"/>
      <c r="B24" s="2290"/>
      <c r="C24" s="290" t="s">
        <v>46</v>
      </c>
      <c r="D24" s="290" t="s">
        <v>50</v>
      </c>
      <c r="E24" s="290" t="s">
        <v>51</v>
      </c>
      <c r="F24" s="290" t="s">
        <v>52</v>
      </c>
      <c r="G24" s="953"/>
      <c r="Q24" s="953"/>
      <c r="R24" s="953"/>
      <c r="T24" s="2235" t="s">
        <v>47</v>
      </c>
      <c r="U24" s="51" t="s">
        <v>62</v>
      </c>
      <c r="V24" s="2263">
        <f>V14+V16+V17-V18-V19-V20-V22+V23-V21</f>
        <v>38146.710000000021</v>
      </c>
      <c r="W24" s="2263"/>
      <c r="X24" s="2263"/>
      <c r="Y24" s="2269"/>
    </row>
    <row r="25" spans="1:25" ht="40.5" customHeight="1" x14ac:dyDescent="0.25">
      <c r="T25" s="2235"/>
      <c r="U25" s="51" t="s">
        <v>63</v>
      </c>
      <c r="V25" s="2262">
        <f>V15+V22-V23</f>
        <v>12542</v>
      </c>
      <c r="W25" s="2262"/>
      <c r="X25" s="2262"/>
    </row>
    <row r="26" spans="1:25" ht="36" customHeight="1" x14ac:dyDescent="0.25">
      <c r="K26" s="314"/>
    </row>
    <row r="28" spans="1:25" x14ac:dyDescent="0.25">
      <c r="J28" s="14" t="s">
        <v>139</v>
      </c>
    </row>
    <row r="32" spans="1:25" x14ac:dyDescent="0.25">
      <c r="I32" s="2280"/>
      <c r="J32" s="2280"/>
      <c r="K32" s="2280"/>
      <c r="L32" s="2280"/>
    </row>
    <row r="33" spans="9:12" x14ac:dyDescent="0.25">
      <c r="I33" s="953"/>
      <c r="J33" s="953"/>
      <c r="K33" s="2280"/>
      <c r="L33" s="2280"/>
    </row>
  </sheetData>
  <mergeCells count="62">
    <mergeCell ref="I32:J32"/>
    <mergeCell ref="K32:L32"/>
    <mergeCell ref="K33:L33"/>
    <mergeCell ref="T22:T23"/>
    <mergeCell ref="V22:X22"/>
    <mergeCell ref="V23:X23"/>
    <mergeCell ref="T24:T25"/>
    <mergeCell ref="V24:X24"/>
    <mergeCell ref="V25:X25"/>
    <mergeCell ref="Y18:Y24"/>
    <mergeCell ref="B19:C19"/>
    <mergeCell ref="Q19:R19"/>
    <mergeCell ref="T19:T20"/>
    <mergeCell ref="V19:X19"/>
    <mergeCell ref="B20:C20"/>
    <mergeCell ref="B22:B24"/>
    <mergeCell ref="C22:C23"/>
    <mergeCell ref="D22:D23"/>
    <mergeCell ref="E22:E23"/>
    <mergeCell ref="F22:F23"/>
    <mergeCell ref="Q20:R20"/>
    <mergeCell ref="V20:X20"/>
    <mergeCell ref="B21:C21"/>
    <mergeCell ref="T21:U21"/>
    <mergeCell ref="V21:X21"/>
    <mergeCell ref="B17:C17"/>
    <mergeCell ref="Q17:R17"/>
    <mergeCell ref="T17:U17"/>
    <mergeCell ref="V17:X17"/>
    <mergeCell ref="B18:C18"/>
    <mergeCell ref="Q18:R18"/>
    <mergeCell ref="T18:U18"/>
    <mergeCell ref="V18:X18"/>
    <mergeCell ref="W4:X4"/>
    <mergeCell ref="B16:C16"/>
    <mergeCell ref="Q16:R16"/>
    <mergeCell ref="T16:U16"/>
    <mergeCell ref="V16:X16"/>
    <mergeCell ref="A12:B12"/>
    <mergeCell ref="B14:C14"/>
    <mergeCell ref="Q14:R14"/>
    <mergeCell ref="T14:T15"/>
    <mergeCell ref="V14:X14"/>
    <mergeCell ref="B15:C15"/>
    <mergeCell ref="Q15:R15"/>
    <mergeCell ref="V15:X15"/>
    <mergeCell ref="A1:Y1"/>
    <mergeCell ref="A2:Y2"/>
    <mergeCell ref="T3:Y3"/>
    <mergeCell ref="A4:A5"/>
    <mergeCell ref="B4:B5"/>
    <mergeCell ref="C4:D4"/>
    <mergeCell ref="E4:F4"/>
    <mergeCell ref="G4:H4"/>
    <mergeCell ref="I4:J4"/>
    <mergeCell ref="K4:L4"/>
    <mergeCell ref="Y4:Y5"/>
    <mergeCell ref="M4:N4"/>
    <mergeCell ref="O4:P4"/>
    <mergeCell ref="Q4:R4"/>
    <mergeCell ref="S4:T4"/>
    <mergeCell ref="U4:V4"/>
  </mergeCells>
  <pageMargins left="0.15748031496063" right="0.15748031496063" top="0" bottom="0" header="0" footer="0"/>
  <pageSetup paperSize="9" scale="45" orientation="landscape" r:id="rId1"/>
</worksheet>
</file>

<file path=xl/worksheets/sheet19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7E8948C-0A49-4B1D-B0E0-03D51AD5A3D6}">
  <sheetPr>
    <pageSetUpPr fitToPage="1"/>
  </sheetPr>
  <dimension ref="A1:Y33"/>
  <sheetViews>
    <sheetView topLeftCell="A12" zoomScale="70" zoomScaleNormal="70" zoomScaleSheetLayoutView="100" workbookViewId="0">
      <selection activeCell="K27" sqref="K27"/>
    </sheetView>
  </sheetViews>
  <sheetFormatPr defaultColWidth="9.140625" defaultRowHeight="15" x14ac:dyDescent="0.25"/>
  <cols>
    <col min="1" max="1" width="18.28515625" style="14" customWidth="1"/>
    <col min="2" max="2" width="10.7109375" style="14" customWidth="1"/>
    <col min="3" max="3" width="12.28515625" style="14" customWidth="1"/>
    <col min="4" max="4" width="13.140625" style="14" bestFit="1" customWidth="1"/>
    <col min="5" max="5" width="12" style="14" customWidth="1"/>
    <col min="6" max="6" width="12.5703125" style="14" bestFit="1" customWidth="1"/>
    <col min="7" max="7" width="16" style="14" bestFit="1" customWidth="1"/>
    <col min="8" max="8" width="10.140625" style="14" bestFit="1" customWidth="1"/>
    <col min="9" max="9" width="10.5703125" style="14" bestFit="1" customWidth="1"/>
    <col min="10" max="10" width="10.5703125" style="14" customWidth="1"/>
    <col min="11" max="11" width="10.28515625" style="14" bestFit="1" customWidth="1"/>
    <col min="12" max="12" width="10.42578125" style="14" bestFit="1" customWidth="1"/>
    <col min="13" max="13" width="9.85546875" style="14" bestFit="1" customWidth="1"/>
    <col min="14" max="14" width="10.140625" style="14" bestFit="1" customWidth="1"/>
    <col min="15" max="15" width="9" style="14" customWidth="1"/>
    <col min="16" max="16" width="12.85546875" style="14" bestFit="1" customWidth="1"/>
    <col min="17" max="18" width="9.42578125" style="14" customWidth="1"/>
    <col min="19" max="19" width="13.7109375" style="14" customWidth="1"/>
    <col min="20" max="20" width="12.140625" style="14" customWidth="1"/>
    <col min="21" max="21" width="21.7109375" style="14" customWidth="1"/>
    <col min="22" max="22" width="9.85546875" style="14" customWidth="1"/>
    <col min="23" max="23" width="10.140625" style="14" bestFit="1" customWidth="1"/>
    <col min="24" max="24" width="10.28515625" style="14" customWidth="1"/>
    <col min="25" max="25" width="28" style="14" customWidth="1"/>
    <col min="26" max="16384" width="9.140625" style="14"/>
  </cols>
  <sheetData>
    <row r="1" spans="1:25" ht="46.15" customHeight="1" x14ac:dyDescent="0.25">
      <c r="A1" s="2240" t="s">
        <v>148</v>
      </c>
      <c r="B1" s="2240"/>
      <c r="C1" s="2240"/>
      <c r="D1" s="2240"/>
      <c r="E1" s="2240"/>
      <c r="F1" s="2240"/>
      <c r="G1" s="2240"/>
      <c r="H1" s="2240"/>
      <c r="I1" s="2240"/>
      <c r="J1" s="2240"/>
      <c r="K1" s="2240"/>
      <c r="L1" s="2240"/>
      <c r="M1" s="2240"/>
      <c r="N1" s="2240"/>
      <c r="O1" s="2240"/>
      <c r="P1" s="2240"/>
      <c r="Q1" s="2240"/>
      <c r="R1" s="2240"/>
      <c r="S1" s="2240"/>
      <c r="T1" s="2240"/>
      <c r="U1" s="2240"/>
      <c r="V1" s="2240"/>
      <c r="W1" s="2240"/>
      <c r="X1" s="2240"/>
      <c r="Y1" s="2240"/>
    </row>
    <row r="2" spans="1:25" ht="21.6" customHeight="1" x14ac:dyDescent="0.25">
      <c r="A2" s="2241" t="s">
        <v>383</v>
      </c>
      <c r="B2" s="2241"/>
      <c r="C2" s="2241"/>
      <c r="D2" s="2241"/>
      <c r="E2" s="2241"/>
      <c r="F2" s="2241"/>
      <c r="G2" s="2241"/>
      <c r="H2" s="2241"/>
      <c r="I2" s="2241"/>
      <c r="J2" s="2241"/>
      <c r="K2" s="2241"/>
      <c r="L2" s="2241"/>
      <c r="M2" s="2241"/>
      <c r="N2" s="2241"/>
      <c r="O2" s="2241"/>
      <c r="P2" s="2241"/>
      <c r="Q2" s="2241"/>
      <c r="R2" s="2241"/>
      <c r="S2" s="2241"/>
      <c r="T2" s="2241"/>
      <c r="U2" s="2241"/>
      <c r="V2" s="2241"/>
      <c r="W2" s="2241"/>
      <c r="X2" s="2241"/>
      <c r="Y2" s="2241"/>
    </row>
    <row r="3" spans="1:25" ht="21" customHeight="1" x14ac:dyDescent="0.25">
      <c r="A3" s="959"/>
      <c r="B3" s="959"/>
      <c r="C3" s="959"/>
      <c r="D3" s="959"/>
      <c r="E3" s="959"/>
      <c r="F3" s="959"/>
      <c r="G3" s="959"/>
      <c r="H3" s="959"/>
      <c r="I3" s="959"/>
      <c r="J3" s="959"/>
      <c r="K3" s="959"/>
      <c r="L3" s="959"/>
      <c r="M3" s="959"/>
      <c r="N3" s="959"/>
      <c r="O3" s="959"/>
      <c r="P3" s="959"/>
      <c r="Q3" s="959"/>
      <c r="R3" s="959"/>
      <c r="S3" s="959"/>
      <c r="T3" s="2242" t="s">
        <v>420</v>
      </c>
      <c r="U3" s="2242"/>
      <c r="V3" s="2242"/>
      <c r="W3" s="2242"/>
      <c r="X3" s="2242"/>
      <c r="Y3" s="2242"/>
    </row>
    <row r="4" spans="1:25" s="959" customFormat="1" ht="18" customHeight="1" x14ac:dyDescent="0.25">
      <c r="A4" s="2243" t="s">
        <v>25</v>
      </c>
      <c r="B4" s="2243" t="s">
        <v>26</v>
      </c>
      <c r="C4" s="2244" t="s">
        <v>27</v>
      </c>
      <c r="D4" s="2244"/>
      <c r="E4" s="2244" t="s">
        <v>342</v>
      </c>
      <c r="F4" s="2244"/>
      <c r="G4" s="2244" t="s">
        <v>65</v>
      </c>
      <c r="H4" s="2244"/>
      <c r="I4" s="2244" t="s">
        <v>29</v>
      </c>
      <c r="J4" s="2244"/>
      <c r="K4" s="2245" t="s">
        <v>14</v>
      </c>
      <c r="L4" s="2246"/>
      <c r="M4" s="2245" t="s">
        <v>67</v>
      </c>
      <c r="N4" s="2246"/>
      <c r="O4" s="2245" t="s">
        <v>68</v>
      </c>
      <c r="P4" s="2246"/>
      <c r="Q4" s="2245" t="s">
        <v>114</v>
      </c>
      <c r="R4" s="2246"/>
      <c r="S4" s="2244" t="s">
        <v>35</v>
      </c>
      <c r="T4" s="2244"/>
      <c r="U4" s="2245" t="s">
        <v>17</v>
      </c>
      <c r="V4" s="2246"/>
      <c r="W4" s="2247" t="s">
        <v>36</v>
      </c>
      <c r="X4" s="2248"/>
      <c r="Y4" s="2238" t="s">
        <v>30</v>
      </c>
    </row>
    <row r="5" spans="1:25" s="959" customFormat="1" ht="25.5" customHeight="1" x14ac:dyDescent="0.25">
      <c r="A5" s="2243"/>
      <c r="B5" s="2243"/>
      <c r="C5" s="958" t="s">
        <v>42</v>
      </c>
      <c r="D5" s="958" t="s">
        <v>43</v>
      </c>
      <c r="E5" s="958" t="s">
        <v>42</v>
      </c>
      <c r="F5" s="958" t="s">
        <v>43</v>
      </c>
      <c r="G5" s="958" t="s">
        <v>42</v>
      </c>
      <c r="H5" s="958" t="s">
        <v>43</v>
      </c>
      <c r="I5" s="958" t="s">
        <v>42</v>
      </c>
      <c r="J5" s="958" t="s">
        <v>43</v>
      </c>
      <c r="K5" s="958" t="s">
        <v>42</v>
      </c>
      <c r="L5" s="958" t="s">
        <v>43</v>
      </c>
      <c r="M5" s="958" t="s">
        <v>42</v>
      </c>
      <c r="N5" s="958" t="s">
        <v>43</v>
      </c>
      <c r="O5" s="958" t="s">
        <v>42</v>
      </c>
      <c r="P5" s="958" t="s">
        <v>43</v>
      </c>
      <c r="Q5" s="958" t="s">
        <v>42</v>
      </c>
      <c r="R5" s="958" t="s">
        <v>43</v>
      </c>
      <c r="S5" s="33" t="s">
        <v>42</v>
      </c>
      <c r="T5" s="33" t="s">
        <v>43</v>
      </c>
      <c r="U5" s="30" t="s">
        <v>42</v>
      </c>
      <c r="V5" s="30" t="s">
        <v>43</v>
      </c>
      <c r="W5" s="30" t="s">
        <v>42</v>
      </c>
      <c r="X5" s="30" t="s">
        <v>43</v>
      </c>
      <c r="Y5" s="2239"/>
    </row>
    <row r="6" spans="1:25" ht="34.5" customHeight="1" x14ac:dyDescent="0.25">
      <c r="A6" s="12">
        <v>1409935200</v>
      </c>
      <c r="B6" s="957" t="s">
        <v>71</v>
      </c>
      <c r="C6" s="955">
        <v>25446</v>
      </c>
      <c r="D6" s="954">
        <f>0.9725*C6</f>
        <v>24746.235000000001</v>
      </c>
      <c r="E6" s="955"/>
      <c r="F6" s="955">
        <f>67.1*E6</f>
        <v>0</v>
      </c>
      <c r="G6" s="955"/>
      <c r="H6" s="955">
        <f>28.2*G6</f>
        <v>0</v>
      </c>
      <c r="I6" s="955">
        <v>970</v>
      </c>
      <c r="J6" s="955">
        <f>18.5*I6</f>
        <v>17945</v>
      </c>
      <c r="K6" s="955"/>
      <c r="L6" s="955">
        <f>28.2368*K6</f>
        <v>0</v>
      </c>
      <c r="M6" s="955"/>
      <c r="N6" s="954">
        <f>M6*9.75</f>
        <v>0</v>
      </c>
      <c r="O6" s="955"/>
      <c r="P6" s="954">
        <f>O6*48.7</f>
        <v>0</v>
      </c>
      <c r="Q6" s="954"/>
      <c r="R6" s="954">
        <f>241*Q6</f>
        <v>0</v>
      </c>
      <c r="S6" s="955"/>
      <c r="T6" s="955">
        <f>241*S6</f>
        <v>0</v>
      </c>
      <c r="U6" s="955"/>
      <c r="V6" s="955">
        <f>332*U6</f>
        <v>0</v>
      </c>
      <c r="W6" s="955"/>
      <c r="X6" s="19">
        <f>W6*100</f>
        <v>0</v>
      </c>
      <c r="Y6" s="20">
        <f t="shared" ref="Y6:Y12" si="0">D6+F6+H6+J6+L6+N6+P6+R6+T6+V6+X6</f>
        <v>42691.235000000001</v>
      </c>
    </row>
    <row r="7" spans="1:25" ht="31.5" customHeight="1" x14ac:dyDescent="0.25">
      <c r="A7" s="12">
        <v>1984225578</v>
      </c>
      <c r="B7" s="957" t="s">
        <v>72</v>
      </c>
      <c r="C7" s="955">
        <v>30484</v>
      </c>
      <c r="D7" s="954">
        <f t="shared" ref="D7:D11" si="1">0.9725*C7</f>
        <v>29645.690000000002</v>
      </c>
      <c r="E7" s="955">
        <v>10</v>
      </c>
      <c r="F7" s="955">
        <f t="shared" ref="F7:F11" si="2">67.1*E7</f>
        <v>671</v>
      </c>
      <c r="G7" s="955"/>
      <c r="H7" s="955">
        <f t="shared" ref="H7:H11" si="3">28.2*G7</f>
        <v>0</v>
      </c>
      <c r="I7" s="955">
        <v>70</v>
      </c>
      <c r="J7" s="955">
        <f t="shared" ref="J7:J11" si="4">18.5*I7</f>
        <v>1295</v>
      </c>
      <c r="K7" s="955"/>
      <c r="L7" s="955">
        <f t="shared" ref="L7:L11" si="5">28.2368*K7</f>
        <v>0</v>
      </c>
      <c r="M7" s="955"/>
      <c r="N7" s="954">
        <f t="shared" ref="N7:N11" si="6">M7*9.75</f>
        <v>0</v>
      </c>
      <c r="O7" s="955"/>
      <c r="P7" s="954">
        <f t="shared" ref="P7:P11" si="7">O7*48.7</f>
        <v>0</v>
      </c>
      <c r="Q7" s="954"/>
      <c r="R7" s="954">
        <f t="shared" ref="R7:R11" si="8">241*Q7</f>
        <v>0</v>
      </c>
      <c r="S7" s="955">
        <v>2</v>
      </c>
      <c r="T7" s="955">
        <f t="shared" ref="T7:T10" si="9">241*S7</f>
        <v>482</v>
      </c>
      <c r="U7" s="955"/>
      <c r="V7" s="955">
        <f t="shared" ref="V7:V11" si="10">332*U7</f>
        <v>0</v>
      </c>
      <c r="W7" s="955"/>
      <c r="X7" s="19">
        <f t="shared" ref="X7:X11" si="11">W7*100</f>
        <v>0</v>
      </c>
      <c r="Y7" s="20">
        <f t="shared" si="0"/>
        <v>32093.690000000002</v>
      </c>
    </row>
    <row r="8" spans="1:25" ht="35.25" customHeight="1" x14ac:dyDescent="0.25">
      <c r="A8" s="12">
        <v>1967020280</v>
      </c>
      <c r="B8" s="957" t="s">
        <v>73</v>
      </c>
      <c r="C8" s="955">
        <v>12866</v>
      </c>
      <c r="D8" s="954">
        <f t="shared" si="1"/>
        <v>12512.185000000001</v>
      </c>
      <c r="E8" s="955"/>
      <c r="F8" s="955">
        <f t="shared" si="2"/>
        <v>0</v>
      </c>
      <c r="G8" s="955"/>
      <c r="H8" s="955">
        <f t="shared" si="3"/>
        <v>0</v>
      </c>
      <c r="I8" s="955">
        <v>850</v>
      </c>
      <c r="J8" s="955">
        <f t="shared" si="4"/>
        <v>15725</v>
      </c>
      <c r="K8" s="955"/>
      <c r="L8" s="955">
        <f t="shared" si="5"/>
        <v>0</v>
      </c>
      <c r="M8" s="955"/>
      <c r="N8" s="954">
        <f t="shared" si="6"/>
        <v>0</v>
      </c>
      <c r="O8" s="955"/>
      <c r="P8" s="954">
        <f t="shared" si="7"/>
        <v>0</v>
      </c>
      <c r="Q8" s="954"/>
      <c r="R8" s="954">
        <f t="shared" si="8"/>
        <v>0</v>
      </c>
      <c r="S8" s="955"/>
      <c r="T8" s="955">
        <f t="shared" si="9"/>
        <v>0</v>
      </c>
      <c r="U8" s="955"/>
      <c r="V8" s="955">
        <f t="shared" si="10"/>
        <v>0</v>
      </c>
      <c r="W8" s="955"/>
      <c r="X8" s="19">
        <f t="shared" si="11"/>
        <v>0</v>
      </c>
      <c r="Y8" s="20">
        <f t="shared" si="0"/>
        <v>28237.185000000001</v>
      </c>
    </row>
    <row r="9" spans="1:25" ht="38.25" customHeight="1" x14ac:dyDescent="0.25">
      <c r="A9" s="12">
        <v>1984225580</v>
      </c>
      <c r="B9" s="957" t="s">
        <v>75</v>
      </c>
      <c r="C9" s="955">
        <v>71376</v>
      </c>
      <c r="D9" s="954">
        <f t="shared" si="1"/>
        <v>69413.16</v>
      </c>
      <c r="E9" s="955"/>
      <c r="F9" s="955">
        <f t="shared" si="2"/>
        <v>0</v>
      </c>
      <c r="G9" s="955"/>
      <c r="H9" s="955">
        <f t="shared" si="3"/>
        <v>0</v>
      </c>
      <c r="I9" s="955">
        <v>1060</v>
      </c>
      <c r="J9" s="955">
        <f t="shared" si="4"/>
        <v>19610</v>
      </c>
      <c r="K9" s="955"/>
      <c r="L9" s="955">
        <f t="shared" si="5"/>
        <v>0</v>
      </c>
      <c r="M9" s="955"/>
      <c r="N9" s="954">
        <f t="shared" si="6"/>
        <v>0</v>
      </c>
      <c r="O9" s="955"/>
      <c r="P9" s="954">
        <f t="shared" si="7"/>
        <v>0</v>
      </c>
      <c r="Q9" s="954"/>
      <c r="R9" s="954">
        <f t="shared" si="8"/>
        <v>0</v>
      </c>
      <c r="S9" s="955"/>
      <c r="T9" s="955">
        <f t="shared" si="9"/>
        <v>0</v>
      </c>
      <c r="U9" s="955"/>
      <c r="V9" s="955">
        <f t="shared" si="10"/>
        <v>0</v>
      </c>
      <c r="W9" s="955"/>
      <c r="X9" s="19">
        <f t="shared" si="11"/>
        <v>0</v>
      </c>
      <c r="Y9" s="20">
        <f t="shared" si="0"/>
        <v>89023.16</v>
      </c>
    </row>
    <row r="10" spans="1:25" ht="35.25" customHeight="1" x14ac:dyDescent="0.25">
      <c r="A10" s="12">
        <v>1409935199</v>
      </c>
      <c r="C10" s="955"/>
      <c r="D10" s="954">
        <f t="shared" si="1"/>
        <v>0</v>
      </c>
      <c r="E10" s="955"/>
      <c r="F10" s="955">
        <f t="shared" si="2"/>
        <v>0</v>
      </c>
      <c r="G10" s="955"/>
      <c r="H10" s="955">
        <f t="shared" si="3"/>
        <v>0</v>
      </c>
      <c r="I10" s="955"/>
      <c r="J10" s="955">
        <f t="shared" si="4"/>
        <v>0</v>
      </c>
      <c r="K10" s="955"/>
      <c r="L10" s="955">
        <f t="shared" si="5"/>
        <v>0</v>
      </c>
      <c r="M10" s="955"/>
      <c r="N10" s="954">
        <f t="shared" si="6"/>
        <v>0</v>
      </c>
      <c r="O10" s="955"/>
      <c r="P10" s="954">
        <f t="shared" si="7"/>
        <v>0</v>
      </c>
      <c r="Q10" s="954"/>
      <c r="R10" s="954">
        <f t="shared" si="8"/>
        <v>0</v>
      </c>
      <c r="S10" s="955"/>
      <c r="T10" s="955">
        <f t="shared" si="9"/>
        <v>0</v>
      </c>
      <c r="U10" s="955"/>
      <c r="V10" s="955">
        <f t="shared" si="10"/>
        <v>0</v>
      </c>
      <c r="W10" s="955"/>
      <c r="X10" s="19">
        <f t="shared" si="11"/>
        <v>0</v>
      </c>
      <c r="Y10" s="20">
        <f t="shared" si="0"/>
        <v>0</v>
      </c>
    </row>
    <row r="11" spans="1:25" ht="37.5" customHeight="1" x14ac:dyDescent="0.25">
      <c r="A11" s="12"/>
      <c r="B11" s="956"/>
      <c r="C11" s="955"/>
      <c r="D11" s="22">
        <f t="shared" si="1"/>
        <v>0</v>
      </c>
      <c r="E11" s="955"/>
      <c r="F11" s="955">
        <f t="shared" si="2"/>
        <v>0</v>
      </c>
      <c r="G11" s="955"/>
      <c r="H11" s="955">
        <f t="shared" si="3"/>
        <v>0</v>
      </c>
      <c r="I11" s="955"/>
      <c r="J11" s="955">
        <f t="shared" si="4"/>
        <v>0</v>
      </c>
      <c r="K11" s="955"/>
      <c r="L11" s="955">
        <f t="shared" si="5"/>
        <v>0</v>
      </c>
      <c r="M11" s="955"/>
      <c r="N11" s="954">
        <f t="shared" si="6"/>
        <v>0</v>
      </c>
      <c r="O11" s="955"/>
      <c r="P11" s="954">
        <f t="shared" si="7"/>
        <v>0</v>
      </c>
      <c r="Q11" s="954"/>
      <c r="R11" s="954">
        <f t="shared" si="8"/>
        <v>0</v>
      </c>
      <c r="S11" s="955"/>
      <c r="T11" s="955">
        <f>341*S11</f>
        <v>0</v>
      </c>
      <c r="U11" s="955"/>
      <c r="V11" s="955">
        <f t="shared" si="10"/>
        <v>0</v>
      </c>
      <c r="W11" s="955"/>
      <c r="X11" s="19">
        <f t="shared" si="11"/>
        <v>0</v>
      </c>
      <c r="Y11" s="20">
        <f t="shared" si="0"/>
        <v>0</v>
      </c>
    </row>
    <row r="12" spans="1:25" ht="29.25" customHeight="1" x14ac:dyDescent="0.25">
      <c r="A12" s="2235" t="s">
        <v>31</v>
      </c>
      <c r="B12" s="2235"/>
      <c r="C12" s="18">
        <f t="shared" ref="C12:X12" si="12">SUM(C6:C11)</f>
        <v>140172</v>
      </c>
      <c r="D12" s="18">
        <f t="shared" si="12"/>
        <v>136317.27000000002</v>
      </c>
      <c r="E12" s="18">
        <f t="shared" si="12"/>
        <v>10</v>
      </c>
      <c r="F12" s="18">
        <f t="shared" si="12"/>
        <v>671</v>
      </c>
      <c r="G12" s="18">
        <f t="shared" si="12"/>
        <v>0</v>
      </c>
      <c r="H12" s="18">
        <f t="shared" si="12"/>
        <v>0</v>
      </c>
      <c r="I12" s="18">
        <f t="shared" si="12"/>
        <v>2950</v>
      </c>
      <c r="J12" s="18">
        <f t="shared" si="12"/>
        <v>54575</v>
      </c>
      <c r="K12" s="18">
        <f t="shared" si="12"/>
        <v>0</v>
      </c>
      <c r="L12" s="18">
        <f t="shared" si="12"/>
        <v>0</v>
      </c>
      <c r="M12" s="18">
        <f t="shared" si="12"/>
        <v>0</v>
      </c>
      <c r="N12" s="23">
        <f t="shared" si="12"/>
        <v>0</v>
      </c>
      <c r="O12" s="18">
        <f t="shared" si="12"/>
        <v>0</v>
      </c>
      <c r="P12" s="23">
        <f t="shared" si="12"/>
        <v>0</v>
      </c>
      <c r="Q12" s="23">
        <f t="shared" si="12"/>
        <v>0</v>
      </c>
      <c r="R12" s="23">
        <f>SUM(R6:R11)</f>
        <v>0</v>
      </c>
      <c r="S12" s="23">
        <f>SUM(S6:S11)</f>
        <v>2</v>
      </c>
      <c r="T12" s="18">
        <f t="shared" si="12"/>
        <v>482</v>
      </c>
      <c r="U12" s="18">
        <f t="shared" si="12"/>
        <v>0</v>
      </c>
      <c r="V12" s="18">
        <f t="shared" si="12"/>
        <v>0</v>
      </c>
      <c r="W12" s="18">
        <f t="shared" si="12"/>
        <v>0</v>
      </c>
      <c r="X12" s="18">
        <f t="shared" si="12"/>
        <v>0</v>
      </c>
      <c r="Y12" s="20">
        <f t="shared" si="0"/>
        <v>192045.27000000002</v>
      </c>
    </row>
    <row r="14" spans="1:25" ht="43.5" customHeight="1" x14ac:dyDescent="0.25">
      <c r="A14" s="30" t="s">
        <v>32</v>
      </c>
      <c r="B14" s="2236" t="s">
        <v>27</v>
      </c>
      <c r="C14" s="2236"/>
      <c r="D14" s="30" t="s">
        <v>333</v>
      </c>
      <c r="E14" s="30" t="s">
        <v>65</v>
      </c>
      <c r="F14" s="30" t="s">
        <v>34</v>
      </c>
      <c r="G14" s="30" t="s">
        <v>14</v>
      </c>
      <c r="H14" s="469" t="s">
        <v>173</v>
      </c>
      <c r="I14" s="30" t="s">
        <v>17</v>
      </c>
      <c r="J14" s="963" t="s">
        <v>174</v>
      </c>
      <c r="K14" s="30" t="s">
        <v>36</v>
      </c>
      <c r="L14" s="963" t="s">
        <v>403</v>
      </c>
      <c r="M14" s="30" t="s">
        <v>69</v>
      </c>
      <c r="N14" s="30" t="s">
        <v>70</v>
      </c>
      <c r="O14" s="963" t="s">
        <v>114</v>
      </c>
      <c r="P14" s="963"/>
      <c r="Q14" s="2300" t="s">
        <v>378</v>
      </c>
      <c r="R14" s="2301"/>
      <c r="S14" s="963" t="s">
        <v>401</v>
      </c>
      <c r="T14" s="2235" t="s">
        <v>46</v>
      </c>
      <c r="U14" s="957" t="s">
        <v>176</v>
      </c>
      <c r="V14" s="2260">
        <v>38147</v>
      </c>
      <c r="W14" s="2268"/>
      <c r="X14" s="2261"/>
    </row>
    <row r="15" spans="1:25" ht="22.5" customHeight="1" x14ac:dyDescent="0.25">
      <c r="A15" s="100" t="s">
        <v>38</v>
      </c>
      <c r="B15" s="2260">
        <v>685675</v>
      </c>
      <c r="C15" s="2261"/>
      <c r="D15" s="960">
        <v>502</v>
      </c>
      <c r="E15" s="960">
        <v>280</v>
      </c>
      <c r="F15" s="960">
        <v>10830</v>
      </c>
      <c r="G15" s="960">
        <v>0</v>
      </c>
      <c r="H15" s="960">
        <v>448</v>
      </c>
      <c r="I15" s="960">
        <v>0</v>
      </c>
      <c r="J15" s="960"/>
      <c r="K15" s="960">
        <v>68</v>
      </c>
      <c r="L15" s="960">
        <v>0</v>
      </c>
      <c r="M15" s="960">
        <v>0</v>
      </c>
      <c r="N15" s="960">
        <v>100</v>
      </c>
      <c r="O15" s="960">
        <v>0</v>
      </c>
      <c r="P15" s="960"/>
      <c r="Q15" s="2260">
        <v>0</v>
      </c>
      <c r="R15" s="2261"/>
      <c r="S15" s="957">
        <v>53</v>
      </c>
      <c r="T15" s="2235"/>
      <c r="U15" s="957" t="s">
        <v>64</v>
      </c>
      <c r="V15" s="2262">
        <v>12542</v>
      </c>
      <c r="W15" s="2262"/>
      <c r="X15" s="2262"/>
    </row>
    <row r="16" spans="1:25" ht="24.75" customHeight="1" x14ac:dyDescent="0.25">
      <c r="A16" s="100" t="s">
        <v>39</v>
      </c>
      <c r="B16" s="2260"/>
      <c r="C16" s="2261"/>
      <c r="D16" s="960"/>
      <c r="E16" s="960"/>
      <c r="F16" s="960"/>
      <c r="G16" s="960"/>
      <c r="H16" s="960"/>
      <c r="I16" s="960"/>
      <c r="J16" s="960"/>
      <c r="K16" s="960"/>
      <c r="L16" s="960"/>
      <c r="M16" s="960"/>
      <c r="N16" s="960"/>
      <c r="O16" s="960"/>
      <c r="P16" s="960"/>
      <c r="Q16" s="2225"/>
      <c r="R16" s="2225"/>
      <c r="S16" s="960"/>
      <c r="T16" s="2254" t="s">
        <v>55</v>
      </c>
      <c r="U16" s="2254"/>
      <c r="V16" s="2267">
        <f>Y12</f>
        <v>192045.27000000002</v>
      </c>
      <c r="W16" s="2267"/>
      <c r="X16" s="2262"/>
    </row>
    <row r="17" spans="1:25" ht="28.5" customHeight="1" x14ac:dyDescent="0.25">
      <c r="A17" s="101" t="s">
        <v>44</v>
      </c>
      <c r="B17" s="2260"/>
      <c r="C17" s="2261"/>
      <c r="D17" s="960"/>
      <c r="E17" s="960"/>
      <c r="F17" s="960"/>
      <c r="G17" s="960"/>
      <c r="H17" s="960"/>
      <c r="I17" s="960"/>
      <c r="J17" s="960"/>
      <c r="K17" s="960"/>
      <c r="L17" s="960"/>
      <c r="M17" s="960"/>
      <c r="N17" s="960"/>
      <c r="O17" s="960"/>
      <c r="P17" s="960"/>
      <c r="Q17" s="2225"/>
      <c r="R17" s="2225"/>
      <c r="S17" s="956"/>
      <c r="T17" s="2294" t="s">
        <v>362</v>
      </c>
      <c r="U17" s="2295"/>
      <c r="V17" s="2296"/>
      <c r="W17" s="2296"/>
      <c r="X17" s="2296"/>
    </row>
    <row r="18" spans="1:25" ht="27" customHeight="1" x14ac:dyDescent="0.25">
      <c r="A18" s="100" t="s">
        <v>40</v>
      </c>
      <c r="B18" s="2264">
        <f>C12</f>
        <v>140172</v>
      </c>
      <c r="C18" s="2261"/>
      <c r="D18" s="962">
        <f>E12</f>
        <v>10</v>
      </c>
      <c r="E18" s="962">
        <f>G12</f>
        <v>0</v>
      </c>
      <c r="F18" s="962">
        <f>I12</f>
        <v>2950</v>
      </c>
      <c r="G18" s="962">
        <f>K12</f>
        <v>0</v>
      </c>
      <c r="H18" s="960">
        <v>2</v>
      </c>
      <c r="I18" s="962">
        <f>U12</f>
        <v>0</v>
      </c>
      <c r="J18" s="960"/>
      <c r="K18" s="962">
        <f>W12</f>
        <v>0</v>
      </c>
      <c r="L18" s="960"/>
      <c r="M18" s="962">
        <f>M12</f>
        <v>0</v>
      </c>
      <c r="N18" s="962"/>
      <c r="O18" s="961">
        <f>Q12</f>
        <v>0</v>
      </c>
      <c r="P18" s="962"/>
      <c r="Q18" s="2262"/>
      <c r="R18" s="2262"/>
      <c r="S18" s="957"/>
      <c r="T18" s="2254" t="s">
        <v>57</v>
      </c>
      <c r="U18" s="2254"/>
      <c r="V18" s="2262">
        <v>7470</v>
      </c>
      <c r="W18" s="2262"/>
      <c r="X18" s="2262"/>
      <c r="Y18" s="2269"/>
    </row>
    <row r="19" spans="1:25" ht="25.5" customHeight="1" x14ac:dyDescent="0.25">
      <c r="A19" s="100" t="s">
        <v>41</v>
      </c>
      <c r="B19" s="2260">
        <f>B15+B16+B17-B18</f>
        <v>545503</v>
      </c>
      <c r="C19" s="2261"/>
      <c r="D19" s="960">
        <f>D15+D16+D17-D18</f>
        <v>492</v>
      </c>
      <c r="E19" s="960">
        <f t="shared" ref="E19:N19" si="13">E15+E16+E17-E18</f>
        <v>280</v>
      </c>
      <c r="F19" s="960">
        <f t="shared" si="13"/>
        <v>7880</v>
      </c>
      <c r="G19" s="960">
        <f t="shared" si="13"/>
        <v>0</v>
      </c>
      <c r="H19" s="960">
        <f t="shared" si="13"/>
        <v>446</v>
      </c>
      <c r="I19" s="960">
        <f t="shared" si="13"/>
        <v>0</v>
      </c>
      <c r="J19" s="960">
        <f t="shared" si="13"/>
        <v>0</v>
      </c>
      <c r="K19" s="960">
        <f t="shared" si="13"/>
        <v>68</v>
      </c>
      <c r="L19" s="960">
        <f t="shared" si="13"/>
        <v>0</v>
      </c>
      <c r="M19" s="960">
        <f t="shared" si="13"/>
        <v>0</v>
      </c>
      <c r="N19" s="960">
        <f t="shared" si="13"/>
        <v>100</v>
      </c>
      <c r="O19" s="960">
        <f>O15+O16+O17-O18</f>
        <v>0</v>
      </c>
      <c r="P19" s="960">
        <f>P15+P16+P17-P18</f>
        <v>0</v>
      </c>
      <c r="Q19" s="2260">
        <f t="shared" ref="Q19" si="14">Q15+Q16+Q17-Q18</f>
        <v>0</v>
      </c>
      <c r="R19" s="2261"/>
      <c r="S19" s="957">
        <f>S15+S16-S17-S18</f>
        <v>53</v>
      </c>
      <c r="T19" s="2256" t="s">
        <v>48</v>
      </c>
      <c r="U19" s="49" t="s">
        <v>58</v>
      </c>
      <c r="V19" s="2262"/>
      <c r="W19" s="2262"/>
      <c r="X19" s="2262"/>
      <c r="Y19" s="2269"/>
    </row>
    <row r="20" spans="1:25" ht="23.25" customHeight="1" x14ac:dyDescent="0.25">
      <c r="A20" s="289" t="s">
        <v>187</v>
      </c>
      <c r="B20" s="2286">
        <f>B19*0.9625</f>
        <v>525046.63750000007</v>
      </c>
      <c r="C20" s="2287"/>
      <c r="D20" s="290">
        <f>D19*66.41</f>
        <v>32673.719999999998</v>
      </c>
      <c r="E20" s="290">
        <f>27.9368*E19</f>
        <v>7822.3040000000001</v>
      </c>
      <c r="F20" s="290">
        <f>18.31*F19</f>
        <v>144282.79999999999</v>
      </c>
      <c r="G20" s="290">
        <f>27.9368*G19</f>
        <v>0</v>
      </c>
      <c r="H20" s="290">
        <f>241*H19</f>
        <v>107486</v>
      </c>
      <c r="I20" s="290">
        <f>323*I19</f>
        <v>0</v>
      </c>
      <c r="J20" s="290">
        <f>241*J19</f>
        <v>0</v>
      </c>
      <c r="K20" s="290">
        <f>K19*100</f>
        <v>6800</v>
      </c>
      <c r="L20" s="290">
        <f>241*L19</f>
        <v>0</v>
      </c>
      <c r="M20" s="290">
        <f>9.65*M19</f>
        <v>0</v>
      </c>
      <c r="N20" s="290">
        <f>N19*48.2</f>
        <v>4820</v>
      </c>
      <c r="O20" s="290">
        <f>241*O19</f>
        <v>0</v>
      </c>
      <c r="P20" s="290">
        <f>241*P19</f>
        <v>0</v>
      </c>
      <c r="Q20" s="2286">
        <f>341*Q19</f>
        <v>0</v>
      </c>
      <c r="R20" s="2287"/>
      <c r="S20" s="290">
        <f>341*S19</f>
        <v>18073</v>
      </c>
      <c r="T20" s="2257"/>
      <c r="U20" s="49" t="s">
        <v>59</v>
      </c>
      <c r="V20" s="2262"/>
      <c r="W20" s="2262"/>
      <c r="X20" s="2262"/>
      <c r="Y20" s="2269"/>
    </row>
    <row r="21" spans="1:25" ht="32.25" customHeight="1" x14ac:dyDescent="0.25">
      <c r="A21" s="291" t="s">
        <v>186</v>
      </c>
      <c r="B21" s="2293">
        <f>SUM(B20:S20)</f>
        <v>847004.46149999998</v>
      </c>
      <c r="C21" s="2293"/>
      <c r="O21" s="964"/>
      <c r="P21" s="964"/>
      <c r="Q21" s="964"/>
      <c r="R21" s="964"/>
      <c r="T21" s="2294" t="s">
        <v>366</v>
      </c>
      <c r="U21" s="2295"/>
      <c r="V21" s="2297"/>
      <c r="W21" s="2298"/>
      <c r="X21" s="2299"/>
      <c r="Y21" s="2269"/>
    </row>
    <row r="22" spans="1:25" ht="35.25" customHeight="1" x14ac:dyDescent="0.25">
      <c r="A22" s="15"/>
      <c r="B22" s="2288" t="s">
        <v>49</v>
      </c>
      <c r="C22" s="2291">
        <v>547185</v>
      </c>
      <c r="D22" s="2291"/>
      <c r="E22" s="2291"/>
      <c r="F22" s="2291">
        <f>C22-D22+E22</f>
        <v>547185</v>
      </c>
      <c r="G22" s="964"/>
      <c r="Q22" s="964"/>
      <c r="R22" s="964"/>
      <c r="T22" s="2251" t="s">
        <v>83</v>
      </c>
      <c r="U22" s="50" t="s">
        <v>60</v>
      </c>
      <c r="V22" s="2262"/>
      <c r="W22" s="2262"/>
      <c r="X22" s="2262"/>
      <c r="Y22" s="2269"/>
    </row>
    <row r="23" spans="1:25" ht="39.75" customHeight="1" x14ac:dyDescent="0.25">
      <c r="A23" s="964"/>
      <c r="B23" s="2289"/>
      <c r="C23" s="2292"/>
      <c r="D23" s="2292"/>
      <c r="E23" s="2292"/>
      <c r="F23" s="2292"/>
      <c r="G23" s="964"/>
      <c r="Q23" s="964"/>
      <c r="R23" s="964"/>
      <c r="T23" s="2252"/>
      <c r="U23" s="50" t="s">
        <v>61</v>
      </c>
      <c r="V23" s="2262"/>
      <c r="W23" s="2262"/>
      <c r="X23" s="2262"/>
      <c r="Y23" s="2269"/>
    </row>
    <row r="24" spans="1:25" ht="48" customHeight="1" x14ac:dyDescent="0.25">
      <c r="A24" s="964"/>
      <c r="B24" s="2290"/>
      <c r="C24" s="290" t="s">
        <v>46</v>
      </c>
      <c r="D24" s="290" t="s">
        <v>50</v>
      </c>
      <c r="E24" s="290" t="s">
        <v>51</v>
      </c>
      <c r="F24" s="290" t="s">
        <v>52</v>
      </c>
      <c r="G24" s="964"/>
      <c r="Q24" s="964"/>
      <c r="R24" s="964"/>
      <c r="T24" s="2235" t="s">
        <v>47</v>
      </c>
      <c r="U24" s="51" t="s">
        <v>62</v>
      </c>
      <c r="V24" s="2263">
        <f>V14+V16+V17-V18-V19-V20-V22+V23-V21</f>
        <v>222722.27000000002</v>
      </c>
      <c r="W24" s="2263"/>
      <c r="X24" s="2263"/>
      <c r="Y24" s="2269"/>
    </row>
    <row r="25" spans="1:25" ht="40.5" customHeight="1" x14ac:dyDescent="0.25">
      <c r="T25" s="2235"/>
      <c r="U25" s="51" t="s">
        <v>63</v>
      </c>
      <c r="V25" s="2262">
        <f>V15+V22-V23</f>
        <v>12542</v>
      </c>
      <c r="W25" s="2262"/>
      <c r="X25" s="2262"/>
    </row>
    <row r="26" spans="1:25" ht="36" customHeight="1" x14ac:dyDescent="0.25">
      <c r="K26" s="314"/>
    </row>
    <row r="28" spans="1:25" x14ac:dyDescent="0.25">
      <c r="J28" s="14" t="s">
        <v>139</v>
      </c>
    </row>
    <row r="32" spans="1:25" x14ac:dyDescent="0.25">
      <c r="I32" s="2280"/>
      <c r="J32" s="2280"/>
      <c r="K32" s="2280"/>
      <c r="L32" s="2280"/>
    </row>
    <row r="33" spans="9:12" x14ac:dyDescent="0.25">
      <c r="I33" s="964"/>
      <c r="J33" s="964"/>
      <c r="K33" s="2280"/>
      <c r="L33" s="2280"/>
    </row>
  </sheetData>
  <mergeCells count="62">
    <mergeCell ref="A1:Y1"/>
    <mergeCell ref="A2:Y2"/>
    <mergeCell ref="T3:Y3"/>
    <mergeCell ref="A4:A5"/>
    <mergeCell ref="B4:B5"/>
    <mergeCell ref="C4:D4"/>
    <mergeCell ref="E4:F4"/>
    <mergeCell ref="G4:H4"/>
    <mergeCell ref="I4:J4"/>
    <mergeCell ref="K4:L4"/>
    <mergeCell ref="Y4:Y5"/>
    <mergeCell ref="M4:N4"/>
    <mergeCell ref="O4:P4"/>
    <mergeCell ref="Q4:R4"/>
    <mergeCell ref="S4:T4"/>
    <mergeCell ref="U4:V4"/>
    <mergeCell ref="W4:X4"/>
    <mergeCell ref="B16:C16"/>
    <mergeCell ref="Q16:R16"/>
    <mergeCell ref="T16:U16"/>
    <mergeCell ref="V16:X16"/>
    <mergeCell ref="A12:B12"/>
    <mergeCell ref="B14:C14"/>
    <mergeCell ref="Q14:R14"/>
    <mergeCell ref="T14:T15"/>
    <mergeCell ref="V14:X14"/>
    <mergeCell ref="B15:C15"/>
    <mergeCell ref="Q15:R15"/>
    <mergeCell ref="V15:X15"/>
    <mergeCell ref="B17:C17"/>
    <mergeCell ref="Q17:R17"/>
    <mergeCell ref="T17:U17"/>
    <mergeCell ref="V17:X17"/>
    <mergeCell ref="B18:C18"/>
    <mergeCell ref="Q18:R18"/>
    <mergeCell ref="T18:U18"/>
    <mergeCell ref="V18:X18"/>
    <mergeCell ref="Y18:Y24"/>
    <mergeCell ref="B19:C19"/>
    <mergeCell ref="Q19:R19"/>
    <mergeCell ref="T19:T20"/>
    <mergeCell ref="V19:X19"/>
    <mergeCell ref="B20:C20"/>
    <mergeCell ref="B22:B24"/>
    <mergeCell ref="C22:C23"/>
    <mergeCell ref="D22:D23"/>
    <mergeCell ref="E22:E23"/>
    <mergeCell ref="F22:F23"/>
    <mergeCell ref="Q20:R20"/>
    <mergeCell ref="V20:X20"/>
    <mergeCell ref="B21:C21"/>
    <mergeCell ref="T21:U21"/>
    <mergeCell ref="V21:X21"/>
    <mergeCell ref="I32:J32"/>
    <mergeCell ref="K32:L32"/>
    <mergeCell ref="K33:L33"/>
    <mergeCell ref="T22:T23"/>
    <mergeCell ref="V22:X22"/>
    <mergeCell ref="V23:X23"/>
    <mergeCell ref="T24:T25"/>
    <mergeCell ref="V24:X24"/>
    <mergeCell ref="V25:X25"/>
  </mergeCells>
  <pageMargins left="0.15748031496063" right="0.15748031496063" top="0" bottom="0" header="0" footer="0"/>
  <pageSetup paperSize="9" scale="45" orientation="landscape" r:id="rId1"/>
</worksheet>
</file>

<file path=xl/worksheets/sheet19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5B00EFC-6039-4002-8372-ABD20B83CA00}">
  <sheetPr>
    <pageSetUpPr fitToPage="1"/>
  </sheetPr>
  <dimension ref="A1:Y33"/>
  <sheetViews>
    <sheetView topLeftCell="A13" zoomScale="70" zoomScaleNormal="70" zoomScaleSheetLayoutView="100" workbookViewId="0">
      <selection activeCell="J24" sqref="J24"/>
    </sheetView>
  </sheetViews>
  <sheetFormatPr defaultColWidth="9.140625" defaultRowHeight="15" x14ac:dyDescent="0.25"/>
  <cols>
    <col min="1" max="1" width="18.28515625" style="14" customWidth="1"/>
    <col min="2" max="2" width="10.7109375" style="14" customWidth="1"/>
    <col min="3" max="3" width="12.28515625" style="14" customWidth="1"/>
    <col min="4" max="4" width="13.140625" style="14" bestFit="1" customWidth="1"/>
    <col min="5" max="5" width="12" style="14" customWidth="1"/>
    <col min="6" max="6" width="12.5703125" style="14" bestFit="1" customWidth="1"/>
    <col min="7" max="7" width="16" style="14" bestFit="1" customWidth="1"/>
    <col min="8" max="8" width="10.140625" style="14" bestFit="1" customWidth="1"/>
    <col min="9" max="9" width="10.5703125" style="14" bestFit="1" customWidth="1"/>
    <col min="10" max="10" width="10.5703125" style="14" customWidth="1"/>
    <col min="11" max="11" width="10.28515625" style="14" bestFit="1" customWidth="1"/>
    <col min="12" max="12" width="10.42578125" style="14" bestFit="1" customWidth="1"/>
    <col min="13" max="13" width="9.85546875" style="14" bestFit="1" customWidth="1"/>
    <col min="14" max="14" width="10.140625" style="14" bestFit="1" customWidth="1"/>
    <col min="15" max="15" width="9" style="14" customWidth="1"/>
    <col min="16" max="16" width="12.85546875" style="14" bestFit="1" customWidth="1"/>
    <col min="17" max="18" width="9.42578125" style="14" customWidth="1"/>
    <col min="19" max="19" width="13.7109375" style="14" customWidth="1"/>
    <col min="20" max="20" width="12.140625" style="14" customWidth="1"/>
    <col min="21" max="21" width="21.7109375" style="14" customWidth="1"/>
    <col min="22" max="22" width="9.85546875" style="14" customWidth="1"/>
    <col min="23" max="23" width="10.140625" style="14" bestFit="1" customWidth="1"/>
    <col min="24" max="24" width="10.28515625" style="14" customWidth="1"/>
    <col min="25" max="25" width="28" style="14" customWidth="1"/>
    <col min="26" max="16384" width="9.140625" style="14"/>
  </cols>
  <sheetData>
    <row r="1" spans="1:25" ht="46.15" customHeight="1" x14ac:dyDescent="0.25">
      <c r="A1" s="2240" t="s">
        <v>148</v>
      </c>
      <c r="B1" s="2240"/>
      <c r="C1" s="2240"/>
      <c r="D1" s="2240"/>
      <c r="E1" s="2240"/>
      <c r="F1" s="2240"/>
      <c r="G1" s="2240"/>
      <c r="H1" s="2240"/>
      <c r="I1" s="2240"/>
      <c r="J1" s="2240"/>
      <c r="K1" s="2240"/>
      <c r="L1" s="2240"/>
      <c r="M1" s="2240"/>
      <c r="N1" s="2240"/>
      <c r="O1" s="2240"/>
      <c r="P1" s="2240"/>
      <c r="Q1" s="2240"/>
      <c r="R1" s="2240"/>
      <c r="S1" s="2240"/>
      <c r="T1" s="2240"/>
      <c r="U1" s="2240"/>
      <c r="V1" s="2240"/>
      <c r="W1" s="2240"/>
      <c r="X1" s="2240"/>
      <c r="Y1" s="2240"/>
    </row>
    <row r="2" spans="1:25" ht="21.6" customHeight="1" x14ac:dyDescent="0.25">
      <c r="A2" s="2241" t="s">
        <v>383</v>
      </c>
      <c r="B2" s="2241"/>
      <c r="C2" s="2241"/>
      <c r="D2" s="2241"/>
      <c r="E2" s="2241"/>
      <c r="F2" s="2241"/>
      <c r="G2" s="2241"/>
      <c r="H2" s="2241"/>
      <c r="I2" s="2241"/>
      <c r="J2" s="2241"/>
      <c r="K2" s="2241"/>
      <c r="L2" s="2241"/>
      <c r="M2" s="2241"/>
      <c r="N2" s="2241"/>
      <c r="O2" s="2241"/>
      <c r="P2" s="2241"/>
      <c r="Q2" s="2241"/>
      <c r="R2" s="2241"/>
      <c r="S2" s="2241"/>
      <c r="T2" s="2241"/>
      <c r="U2" s="2241"/>
      <c r="V2" s="2241"/>
      <c r="W2" s="2241"/>
      <c r="X2" s="2241"/>
      <c r="Y2" s="2241"/>
    </row>
    <row r="3" spans="1:25" ht="21" customHeight="1" x14ac:dyDescent="0.25">
      <c r="A3" s="965"/>
      <c r="B3" s="965"/>
      <c r="C3" s="965"/>
      <c r="D3" s="965"/>
      <c r="E3" s="965"/>
      <c r="F3" s="965"/>
      <c r="G3" s="965"/>
      <c r="H3" s="965"/>
      <c r="I3" s="965"/>
      <c r="J3" s="965"/>
      <c r="K3" s="965"/>
      <c r="L3" s="965"/>
      <c r="M3" s="965"/>
      <c r="N3" s="965"/>
      <c r="O3" s="965"/>
      <c r="P3" s="965"/>
      <c r="Q3" s="965"/>
      <c r="R3" s="965"/>
      <c r="S3" s="965"/>
      <c r="T3" s="2242" t="s">
        <v>421</v>
      </c>
      <c r="U3" s="2242"/>
      <c r="V3" s="2242"/>
      <c r="W3" s="2242"/>
      <c r="X3" s="2242"/>
      <c r="Y3" s="2242"/>
    </row>
    <row r="4" spans="1:25" s="965" customFormat="1" ht="18" customHeight="1" x14ac:dyDescent="0.25">
      <c r="A4" s="2243" t="s">
        <v>25</v>
      </c>
      <c r="B4" s="2243" t="s">
        <v>26</v>
      </c>
      <c r="C4" s="2244" t="s">
        <v>27</v>
      </c>
      <c r="D4" s="2244"/>
      <c r="E4" s="2244" t="s">
        <v>342</v>
      </c>
      <c r="F4" s="2244"/>
      <c r="G4" s="2244" t="s">
        <v>65</v>
      </c>
      <c r="H4" s="2244"/>
      <c r="I4" s="2244" t="s">
        <v>29</v>
      </c>
      <c r="J4" s="2244"/>
      <c r="K4" s="2245" t="s">
        <v>14</v>
      </c>
      <c r="L4" s="2246"/>
      <c r="M4" s="2245" t="s">
        <v>67</v>
      </c>
      <c r="N4" s="2246"/>
      <c r="O4" s="2245" t="s">
        <v>68</v>
      </c>
      <c r="P4" s="2246"/>
      <c r="Q4" s="2245" t="s">
        <v>114</v>
      </c>
      <c r="R4" s="2246"/>
      <c r="S4" s="2244" t="s">
        <v>35</v>
      </c>
      <c r="T4" s="2244"/>
      <c r="U4" s="2245" t="s">
        <v>17</v>
      </c>
      <c r="V4" s="2246"/>
      <c r="W4" s="2247" t="s">
        <v>36</v>
      </c>
      <c r="X4" s="2248"/>
      <c r="Y4" s="2238" t="s">
        <v>30</v>
      </c>
    </row>
    <row r="5" spans="1:25" s="965" customFormat="1" ht="25.5" customHeight="1" x14ac:dyDescent="0.25">
      <c r="A5" s="2243"/>
      <c r="B5" s="2243"/>
      <c r="C5" s="967" t="s">
        <v>42</v>
      </c>
      <c r="D5" s="967" t="s">
        <v>43</v>
      </c>
      <c r="E5" s="967" t="s">
        <v>42</v>
      </c>
      <c r="F5" s="967" t="s">
        <v>43</v>
      </c>
      <c r="G5" s="967" t="s">
        <v>42</v>
      </c>
      <c r="H5" s="967" t="s">
        <v>43</v>
      </c>
      <c r="I5" s="967" t="s">
        <v>42</v>
      </c>
      <c r="J5" s="967" t="s">
        <v>43</v>
      </c>
      <c r="K5" s="967" t="s">
        <v>42</v>
      </c>
      <c r="L5" s="967" t="s">
        <v>43</v>
      </c>
      <c r="M5" s="967" t="s">
        <v>42</v>
      </c>
      <c r="N5" s="967" t="s">
        <v>43</v>
      </c>
      <c r="O5" s="967" t="s">
        <v>42</v>
      </c>
      <c r="P5" s="967" t="s">
        <v>43</v>
      </c>
      <c r="Q5" s="967" t="s">
        <v>42</v>
      </c>
      <c r="R5" s="967" t="s">
        <v>43</v>
      </c>
      <c r="S5" s="33" t="s">
        <v>42</v>
      </c>
      <c r="T5" s="33" t="s">
        <v>43</v>
      </c>
      <c r="U5" s="30" t="s">
        <v>42</v>
      </c>
      <c r="V5" s="30" t="s">
        <v>43</v>
      </c>
      <c r="W5" s="30" t="s">
        <v>42</v>
      </c>
      <c r="X5" s="30" t="s">
        <v>43</v>
      </c>
      <c r="Y5" s="2239"/>
    </row>
    <row r="6" spans="1:25" ht="34.5" customHeight="1" x14ac:dyDescent="0.25">
      <c r="A6" s="12">
        <v>1409935200</v>
      </c>
      <c r="B6" s="966" t="s">
        <v>71</v>
      </c>
      <c r="C6" s="969">
        <v>27143</v>
      </c>
      <c r="D6" s="970">
        <f>0.9725*C6</f>
        <v>26396.567500000001</v>
      </c>
      <c r="E6" s="969"/>
      <c r="F6" s="969">
        <f>67.1*E6</f>
        <v>0</v>
      </c>
      <c r="G6" s="969"/>
      <c r="H6" s="969">
        <f>28.2*G6</f>
        <v>0</v>
      </c>
      <c r="I6" s="969">
        <v>60</v>
      </c>
      <c r="J6" s="969">
        <f>18.5*I6</f>
        <v>1110</v>
      </c>
      <c r="K6" s="969"/>
      <c r="L6" s="969">
        <f>28.2368*K6</f>
        <v>0</v>
      </c>
      <c r="M6" s="969"/>
      <c r="N6" s="970">
        <f>M6*9.75</f>
        <v>0</v>
      </c>
      <c r="O6" s="969"/>
      <c r="P6" s="970">
        <f>O6*48.7</f>
        <v>0</v>
      </c>
      <c r="Q6" s="970"/>
      <c r="R6" s="970">
        <f>241*Q6</f>
        <v>0</v>
      </c>
      <c r="S6" s="969">
        <v>5</v>
      </c>
      <c r="T6" s="969">
        <f>241*S6</f>
        <v>1205</v>
      </c>
      <c r="U6" s="969"/>
      <c r="V6" s="969">
        <f>332*U6</f>
        <v>0</v>
      </c>
      <c r="W6" s="969"/>
      <c r="X6" s="19">
        <f>W6*100</f>
        <v>0</v>
      </c>
      <c r="Y6" s="20">
        <f t="shared" ref="Y6:Y12" si="0">D6+F6+H6+J6+L6+N6+P6+R6+T6+V6+X6</f>
        <v>28711.567500000001</v>
      </c>
    </row>
    <row r="7" spans="1:25" ht="31.5" customHeight="1" x14ac:dyDescent="0.25">
      <c r="A7" s="12">
        <v>1984225578</v>
      </c>
      <c r="B7" s="966" t="s">
        <v>72</v>
      </c>
      <c r="C7" s="969">
        <v>74405</v>
      </c>
      <c r="D7" s="970">
        <f t="shared" ref="D7:D11" si="1">0.9725*C7</f>
        <v>72358.862500000003</v>
      </c>
      <c r="E7" s="969"/>
      <c r="F7" s="969">
        <f t="shared" ref="F7:F11" si="2">67.1*E7</f>
        <v>0</v>
      </c>
      <c r="G7" s="969">
        <v>60</v>
      </c>
      <c r="H7" s="969">
        <f t="shared" ref="H7:H11" si="3">28.2*G7</f>
        <v>1692</v>
      </c>
      <c r="I7" s="969">
        <v>100</v>
      </c>
      <c r="J7" s="969">
        <f t="shared" ref="J7:J11" si="4">18.5*I7</f>
        <v>1850</v>
      </c>
      <c r="K7" s="969"/>
      <c r="L7" s="969">
        <f t="shared" ref="L7:L11" si="5">28.2368*K7</f>
        <v>0</v>
      </c>
      <c r="M7" s="969"/>
      <c r="N7" s="970">
        <f t="shared" ref="N7:N11" si="6">M7*9.75</f>
        <v>0</v>
      </c>
      <c r="O7" s="969"/>
      <c r="P7" s="970">
        <f t="shared" ref="P7:P11" si="7">O7*48.7</f>
        <v>0</v>
      </c>
      <c r="Q7" s="970"/>
      <c r="R7" s="970">
        <f t="shared" ref="R7:R11" si="8">241*Q7</f>
        <v>0</v>
      </c>
      <c r="S7" s="969"/>
      <c r="T7" s="969">
        <f t="shared" ref="T7:T10" si="9">241*S7</f>
        <v>0</v>
      </c>
      <c r="U7" s="969"/>
      <c r="V7" s="969">
        <f t="shared" ref="V7:V11" si="10">332*U7</f>
        <v>0</v>
      </c>
      <c r="W7" s="969"/>
      <c r="X7" s="19">
        <f t="shared" ref="X7:X11" si="11">W7*100</f>
        <v>0</v>
      </c>
      <c r="Y7" s="20">
        <f t="shared" si="0"/>
        <v>75900.862500000003</v>
      </c>
    </row>
    <row r="8" spans="1:25" ht="35.25" customHeight="1" x14ac:dyDescent="0.25">
      <c r="A8" s="12">
        <v>1967020280</v>
      </c>
      <c r="B8" s="966" t="s">
        <v>73</v>
      </c>
      <c r="C8" s="969">
        <v>16166</v>
      </c>
      <c r="D8" s="970">
        <f t="shared" si="1"/>
        <v>15721.435000000001</v>
      </c>
      <c r="E8" s="969"/>
      <c r="F8" s="969">
        <f t="shared" si="2"/>
        <v>0</v>
      </c>
      <c r="G8" s="969"/>
      <c r="H8" s="969">
        <f t="shared" si="3"/>
        <v>0</v>
      </c>
      <c r="I8" s="969">
        <v>440</v>
      </c>
      <c r="J8" s="969">
        <f t="shared" si="4"/>
        <v>8140</v>
      </c>
      <c r="K8" s="969"/>
      <c r="L8" s="969">
        <f t="shared" si="5"/>
        <v>0</v>
      </c>
      <c r="M8" s="969"/>
      <c r="N8" s="970">
        <f t="shared" si="6"/>
        <v>0</v>
      </c>
      <c r="O8" s="969"/>
      <c r="P8" s="970">
        <f t="shared" si="7"/>
        <v>0</v>
      </c>
      <c r="Q8" s="970"/>
      <c r="R8" s="970">
        <f t="shared" si="8"/>
        <v>0</v>
      </c>
      <c r="S8" s="969"/>
      <c r="T8" s="969">
        <f t="shared" si="9"/>
        <v>0</v>
      </c>
      <c r="U8" s="969"/>
      <c r="V8" s="969">
        <f t="shared" si="10"/>
        <v>0</v>
      </c>
      <c r="W8" s="969"/>
      <c r="X8" s="19">
        <f t="shared" si="11"/>
        <v>0</v>
      </c>
      <c r="Y8" s="20">
        <f t="shared" si="0"/>
        <v>23861.435000000001</v>
      </c>
    </row>
    <row r="9" spans="1:25" ht="38.25" customHeight="1" x14ac:dyDescent="0.25">
      <c r="A9" s="12">
        <v>1984225580</v>
      </c>
      <c r="B9" s="966" t="s">
        <v>75</v>
      </c>
      <c r="C9" s="969">
        <v>28882</v>
      </c>
      <c r="D9" s="970">
        <f t="shared" si="1"/>
        <v>28087.745000000003</v>
      </c>
      <c r="E9" s="969"/>
      <c r="F9" s="969">
        <f t="shared" si="2"/>
        <v>0</v>
      </c>
      <c r="G9" s="969"/>
      <c r="H9" s="969">
        <f t="shared" si="3"/>
        <v>0</v>
      </c>
      <c r="I9" s="969">
        <v>1020</v>
      </c>
      <c r="J9" s="969">
        <f t="shared" si="4"/>
        <v>18870</v>
      </c>
      <c r="K9" s="969"/>
      <c r="L9" s="969">
        <f t="shared" si="5"/>
        <v>0</v>
      </c>
      <c r="M9" s="969"/>
      <c r="N9" s="970">
        <f t="shared" si="6"/>
        <v>0</v>
      </c>
      <c r="O9" s="969"/>
      <c r="P9" s="970">
        <f t="shared" si="7"/>
        <v>0</v>
      </c>
      <c r="Q9" s="970"/>
      <c r="R9" s="970">
        <f t="shared" si="8"/>
        <v>0</v>
      </c>
      <c r="S9" s="969"/>
      <c r="T9" s="969">
        <f t="shared" si="9"/>
        <v>0</v>
      </c>
      <c r="U9" s="969"/>
      <c r="V9" s="969">
        <f t="shared" si="10"/>
        <v>0</v>
      </c>
      <c r="W9" s="969"/>
      <c r="X9" s="19">
        <f t="shared" si="11"/>
        <v>0</v>
      </c>
      <c r="Y9" s="20">
        <f t="shared" si="0"/>
        <v>46957.745000000003</v>
      </c>
    </row>
    <row r="10" spans="1:25" ht="35.25" customHeight="1" x14ac:dyDescent="0.25">
      <c r="A10" s="12">
        <v>1409935199</v>
      </c>
      <c r="C10" s="969"/>
      <c r="D10" s="970">
        <f t="shared" si="1"/>
        <v>0</v>
      </c>
      <c r="E10" s="969"/>
      <c r="F10" s="969">
        <f t="shared" si="2"/>
        <v>0</v>
      </c>
      <c r="G10" s="969"/>
      <c r="H10" s="969">
        <f t="shared" si="3"/>
        <v>0</v>
      </c>
      <c r="I10" s="969"/>
      <c r="J10" s="969">
        <f t="shared" si="4"/>
        <v>0</v>
      </c>
      <c r="K10" s="969"/>
      <c r="L10" s="969">
        <f t="shared" si="5"/>
        <v>0</v>
      </c>
      <c r="M10" s="969"/>
      <c r="N10" s="970">
        <f t="shared" si="6"/>
        <v>0</v>
      </c>
      <c r="O10" s="969"/>
      <c r="P10" s="970">
        <f t="shared" si="7"/>
        <v>0</v>
      </c>
      <c r="Q10" s="970"/>
      <c r="R10" s="970">
        <f t="shared" si="8"/>
        <v>0</v>
      </c>
      <c r="S10" s="969"/>
      <c r="T10" s="969">
        <f t="shared" si="9"/>
        <v>0</v>
      </c>
      <c r="U10" s="969"/>
      <c r="V10" s="969">
        <f t="shared" si="10"/>
        <v>0</v>
      </c>
      <c r="W10" s="969"/>
      <c r="X10" s="19">
        <f t="shared" si="11"/>
        <v>0</v>
      </c>
      <c r="Y10" s="20">
        <f t="shared" si="0"/>
        <v>0</v>
      </c>
    </row>
    <row r="11" spans="1:25" ht="37.5" customHeight="1" x14ac:dyDescent="0.25">
      <c r="A11" s="12"/>
      <c r="B11" s="968"/>
      <c r="C11" s="969"/>
      <c r="D11" s="22">
        <f t="shared" si="1"/>
        <v>0</v>
      </c>
      <c r="E11" s="969"/>
      <c r="F11" s="969">
        <f t="shared" si="2"/>
        <v>0</v>
      </c>
      <c r="G11" s="969"/>
      <c r="H11" s="969">
        <f t="shared" si="3"/>
        <v>0</v>
      </c>
      <c r="I11" s="969"/>
      <c r="J11" s="969">
        <f t="shared" si="4"/>
        <v>0</v>
      </c>
      <c r="K11" s="969"/>
      <c r="L11" s="969">
        <f t="shared" si="5"/>
        <v>0</v>
      </c>
      <c r="M11" s="969"/>
      <c r="N11" s="970">
        <f t="shared" si="6"/>
        <v>0</v>
      </c>
      <c r="O11" s="969"/>
      <c r="P11" s="970">
        <f t="shared" si="7"/>
        <v>0</v>
      </c>
      <c r="Q11" s="970"/>
      <c r="R11" s="970">
        <f t="shared" si="8"/>
        <v>0</v>
      </c>
      <c r="S11" s="969"/>
      <c r="T11" s="969">
        <f>341*S11</f>
        <v>0</v>
      </c>
      <c r="U11" s="969"/>
      <c r="V11" s="969">
        <f t="shared" si="10"/>
        <v>0</v>
      </c>
      <c r="W11" s="969"/>
      <c r="X11" s="19">
        <f t="shared" si="11"/>
        <v>0</v>
      </c>
      <c r="Y11" s="20">
        <f t="shared" si="0"/>
        <v>0</v>
      </c>
    </row>
    <row r="12" spans="1:25" ht="29.25" customHeight="1" x14ac:dyDescent="0.25">
      <c r="A12" s="2235" t="s">
        <v>31</v>
      </c>
      <c r="B12" s="2235"/>
      <c r="C12" s="18">
        <f t="shared" ref="C12:X12" si="12">SUM(C6:C11)</f>
        <v>146596</v>
      </c>
      <c r="D12" s="18">
        <f t="shared" si="12"/>
        <v>142564.61000000002</v>
      </c>
      <c r="E12" s="18">
        <f t="shared" si="12"/>
        <v>0</v>
      </c>
      <c r="F12" s="18">
        <f t="shared" si="12"/>
        <v>0</v>
      </c>
      <c r="G12" s="18">
        <f t="shared" si="12"/>
        <v>60</v>
      </c>
      <c r="H12" s="18">
        <f t="shared" si="12"/>
        <v>1692</v>
      </c>
      <c r="I12" s="18">
        <f t="shared" si="12"/>
        <v>1620</v>
      </c>
      <c r="J12" s="18">
        <f t="shared" si="12"/>
        <v>29970</v>
      </c>
      <c r="K12" s="18">
        <f t="shared" si="12"/>
        <v>0</v>
      </c>
      <c r="L12" s="18">
        <f t="shared" si="12"/>
        <v>0</v>
      </c>
      <c r="M12" s="18">
        <f t="shared" si="12"/>
        <v>0</v>
      </c>
      <c r="N12" s="23">
        <f t="shared" si="12"/>
        <v>0</v>
      </c>
      <c r="O12" s="18">
        <f t="shared" si="12"/>
        <v>0</v>
      </c>
      <c r="P12" s="23">
        <f t="shared" si="12"/>
        <v>0</v>
      </c>
      <c r="Q12" s="23">
        <f t="shared" si="12"/>
        <v>0</v>
      </c>
      <c r="R12" s="23">
        <f>SUM(R6:R11)</f>
        <v>0</v>
      </c>
      <c r="S12" s="23">
        <f>SUM(S6:S11)</f>
        <v>5</v>
      </c>
      <c r="T12" s="18">
        <f t="shared" si="12"/>
        <v>1205</v>
      </c>
      <c r="U12" s="18">
        <f t="shared" si="12"/>
        <v>0</v>
      </c>
      <c r="V12" s="18">
        <f t="shared" si="12"/>
        <v>0</v>
      </c>
      <c r="W12" s="18">
        <f t="shared" si="12"/>
        <v>0</v>
      </c>
      <c r="X12" s="18">
        <f t="shared" si="12"/>
        <v>0</v>
      </c>
      <c r="Y12" s="20">
        <f t="shared" si="0"/>
        <v>175431.61000000002</v>
      </c>
    </row>
    <row r="14" spans="1:25" ht="43.5" customHeight="1" x14ac:dyDescent="0.25">
      <c r="A14" s="30" t="s">
        <v>32</v>
      </c>
      <c r="B14" s="2236" t="s">
        <v>27</v>
      </c>
      <c r="C14" s="2236"/>
      <c r="D14" s="30" t="s">
        <v>333</v>
      </c>
      <c r="E14" s="30" t="s">
        <v>65</v>
      </c>
      <c r="F14" s="30" t="s">
        <v>34</v>
      </c>
      <c r="G14" s="30" t="s">
        <v>14</v>
      </c>
      <c r="H14" s="469" t="s">
        <v>173</v>
      </c>
      <c r="I14" s="30" t="s">
        <v>17</v>
      </c>
      <c r="J14" s="974" t="s">
        <v>174</v>
      </c>
      <c r="K14" s="30" t="s">
        <v>36</v>
      </c>
      <c r="L14" s="974" t="s">
        <v>403</v>
      </c>
      <c r="M14" s="30" t="s">
        <v>69</v>
      </c>
      <c r="N14" s="30" t="s">
        <v>70</v>
      </c>
      <c r="O14" s="974" t="s">
        <v>114</v>
      </c>
      <c r="P14" s="974"/>
      <c r="Q14" s="2300" t="s">
        <v>378</v>
      </c>
      <c r="R14" s="2301"/>
      <c r="S14" s="974" t="s">
        <v>401</v>
      </c>
      <c r="T14" s="2235" t="s">
        <v>46</v>
      </c>
      <c r="U14" s="966" t="s">
        <v>176</v>
      </c>
      <c r="V14" s="2260">
        <v>222722</v>
      </c>
      <c r="W14" s="2268"/>
      <c r="X14" s="2261"/>
    </row>
    <row r="15" spans="1:25" ht="22.5" customHeight="1" x14ac:dyDescent="0.25">
      <c r="A15" s="100" t="s">
        <v>38</v>
      </c>
      <c r="B15" s="2260">
        <v>545503</v>
      </c>
      <c r="C15" s="2261"/>
      <c r="D15" s="971">
        <v>492</v>
      </c>
      <c r="E15" s="971">
        <v>280</v>
      </c>
      <c r="F15" s="971">
        <v>7880</v>
      </c>
      <c r="G15" s="971">
        <v>0</v>
      </c>
      <c r="H15" s="971">
        <v>446</v>
      </c>
      <c r="I15" s="971">
        <v>0</v>
      </c>
      <c r="J15" s="971"/>
      <c r="K15" s="971">
        <v>68</v>
      </c>
      <c r="L15" s="971">
        <v>0</v>
      </c>
      <c r="M15" s="971">
        <v>0</v>
      </c>
      <c r="N15" s="971">
        <v>100</v>
      </c>
      <c r="O15" s="971">
        <v>0</v>
      </c>
      <c r="P15" s="971"/>
      <c r="Q15" s="2260">
        <v>0</v>
      </c>
      <c r="R15" s="2261"/>
      <c r="S15" s="966">
        <v>53</v>
      </c>
      <c r="T15" s="2235"/>
      <c r="U15" s="966" t="s">
        <v>64</v>
      </c>
      <c r="V15" s="2262">
        <v>12542</v>
      </c>
      <c r="W15" s="2262"/>
      <c r="X15" s="2262"/>
    </row>
    <row r="16" spans="1:25" ht="24.75" customHeight="1" x14ac:dyDescent="0.25">
      <c r="A16" s="100" t="s">
        <v>39</v>
      </c>
      <c r="B16" s="2260">
        <v>114285</v>
      </c>
      <c r="C16" s="2261"/>
      <c r="D16" s="971"/>
      <c r="E16" s="971"/>
      <c r="F16" s="971"/>
      <c r="G16" s="971"/>
      <c r="H16" s="971"/>
      <c r="I16" s="971"/>
      <c r="J16" s="971"/>
      <c r="K16" s="971"/>
      <c r="L16" s="971"/>
      <c r="M16" s="971"/>
      <c r="N16" s="971"/>
      <c r="O16" s="971"/>
      <c r="P16" s="971"/>
      <c r="Q16" s="2225"/>
      <c r="R16" s="2225"/>
      <c r="S16" s="971"/>
      <c r="T16" s="2254" t="s">
        <v>55</v>
      </c>
      <c r="U16" s="2254"/>
      <c r="V16" s="2267">
        <f>Y12</f>
        <v>175431.61000000002</v>
      </c>
      <c r="W16" s="2267"/>
      <c r="X16" s="2262"/>
    </row>
    <row r="17" spans="1:25" ht="28.5" customHeight="1" x14ac:dyDescent="0.25">
      <c r="A17" s="101" t="s">
        <v>44</v>
      </c>
      <c r="B17" s="2260"/>
      <c r="C17" s="2261"/>
      <c r="D17" s="971"/>
      <c r="E17" s="971"/>
      <c r="F17" s="971"/>
      <c r="G17" s="971"/>
      <c r="H17" s="971"/>
      <c r="I17" s="971"/>
      <c r="J17" s="971"/>
      <c r="K17" s="971"/>
      <c r="L17" s="971"/>
      <c r="M17" s="971"/>
      <c r="N17" s="971"/>
      <c r="O17" s="971"/>
      <c r="P17" s="971"/>
      <c r="Q17" s="2225"/>
      <c r="R17" s="2225"/>
      <c r="S17" s="968"/>
      <c r="T17" s="2294" t="s">
        <v>362</v>
      </c>
      <c r="U17" s="2295"/>
      <c r="V17" s="2296"/>
      <c r="W17" s="2296"/>
      <c r="X17" s="2296"/>
    </row>
    <row r="18" spans="1:25" ht="27" customHeight="1" x14ac:dyDescent="0.25">
      <c r="A18" s="100" t="s">
        <v>40</v>
      </c>
      <c r="B18" s="2264">
        <f>C12</f>
        <v>146596</v>
      </c>
      <c r="C18" s="2261"/>
      <c r="D18" s="972">
        <f>E12</f>
        <v>0</v>
      </c>
      <c r="E18" s="972">
        <f>G12</f>
        <v>60</v>
      </c>
      <c r="F18" s="972">
        <f>I12</f>
        <v>1620</v>
      </c>
      <c r="G18" s="972">
        <f>K12</f>
        <v>0</v>
      </c>
      <c r="H18" s="971">
        <v>5</v>
      </c>
      <c r="I18" s="972">
        <f>U12</f>
        <v>0</v>
      </c>
      <c r="J18" s="971"/>
      <c r="K18" s="972">
        <f>W12</f>
        <v>0</v>
      </c>
      <c r="L18" s="971"/>
      <c r="M18" s="972">
        <f>M12</f>
        <v>0</v>
      </c>
      <c r="N18" s="972"/>
      <c r="O18" s="973">
        <f>Q12</f>
        <v>0</v>
      </c>
      <c r="P18" s="972"/>
      <c r="Q18" s="2262"/>
      <c r="R18" s="2262"/>
      <c r="S18" s="966"/>
      <c r="T18" s="2254" t="s">
        <v>57</v>
      </c>
      <c r="U18" s="2254"/>
      <c r="V18" s="2262">
        <v>520</v>
      </c>
      <c r="W18" s="2262"/>
      <c r="X18" s="2262"/>
      <c r="Y18" s="2269"/>
    </row>
    <row r="19" spans="1:25" ht="25.5" customHeight="1" x14ac:dyDescent="0.25">
      <c r="A19" s="100" t="s">
        <v>41</v>
      </c>
      <c r="B19" s="2260">
        <f>B15+B16+B17-B18</f>
        <v>513192</v>
      </c>
      <c r="C19" s="2261"/>
      <c r="D19" s="971">
        <f>D15+D16+D17-D18</f>
        <v>492</v>
      </c>
      <c r="E19" s="971">
        <f t="shared" ref="E19:N19" si="13">E15+E16+E17-E18</f>
        <v>220</v>
      </c>
      <c r="F19" s="971">
        <f t="shared" si="13"/>
        <v>6260</v>
      </c>
      <c r="G19" s="971">
        <f t="shared" si="13"/>
        <v>0</v>
      </c>
      <c r="H19" s="971">
        <f t="shared" si="13"/>
        <v>441</v>
      </c>
      <c r="I19" s="971">
        <f t="shared" si="13"/>
        <v>0</v>
      </c>
      <c r="J19" s="971">
        <f t="shared" si="13"/>
        <v>0</v>
      </c>
      <c r="K19" s="971">
        <f t="shared" si="13"/>
        <v>68</v>
      </c>
      <c r="L19" s="971">
        <f t="shared" si="13"/>
        <v>0</v>
      </c>
      <c r="M19" s="971">
        <f t="shared" si="13"/>
        <v>0</v>
      </c>
      <c r="N19" s="971">
        <f t="shared" si="13"/>
        <v>100</v>
      </c>
      <c r="O19" s="971">
        <f>O15+O16+O17-O18</f>
        <v>0</v>
      </c>
      <c r="P19" s="971">
        <f>P15+P16+P17-P18</f>
        <v>0</v>
      </c>
      <c r="Q19" s="2260">
        <f t="shared" ref="Q19" si="14">Q15+Q16+Q17-Q18</f>
        <v>0</v>
      </c>
      <c r="R19" s="2261"/>
      <c r="S19" s="966">
        <f>S15+S16-S17-S18</f>
        <v>53</v>
      </c>
      <c r="T19" s="2256" t="s">
        <v>48</v>
      </c>
      <c r="U19" s="49" t="s">
        <v>58</v>
      </c>
      <c r="V19" s="2262">
        <v>300000</v>
      </c>
      <c r="W19" s="2262"/>
      <c r="X19" s="2262"/>
      <c r="Y19" s="2269"/>
    </row>
    <row r="20" spans="1:25" ht="23.25" customHeight="1" x14ac:dyDescent="0.25">
      <c r="A20" s="289" t="s">
        <v>187</v>
      </c>
      <c r="B20" s="2286">
        <f>B19*0.9625</f>
        <v>493947.3</v>
      </c>
      <c r="C20" s="2287"/>
      <c r="D20" s="290">
        <f>D19*66.41</f>
        <v>32673.719999999998</v>
      </c>
      <c r="E20" s="290">
        <f>27.9368*E19</f>
        <v>6146.0960000000005</v>
      </c>
      <c r="F20" s="290">
        <f>18.31*F19</f>
        <v>114620.59999999999</v>
      </c>
      <c r="G20" s="290">
        <f>27.9368*G19</f>
        <v>0</v>
      </c>
      <c r="H20" s="290">
        <f>241*H19</f>
        <v>106281</v>
      </c>
      <c r="I20" s="290">
        <f>323*I19</f>
        <v>0</v>
      </c>
      <c r="J20" s="290">
        <f>241*J19</f>
        <v>0</v>
      </c>
      <c r="K20" s="290">
        <f>K19*100</f>
        <v>6800</v>
      </c>
      <c r="L20" s="290">
        <f>241*L19</f>
        <v>0</v>
      </c>
      <c r="M20" s="290">
        <f>9.65*M19</f>
        <v>0</v>
      </c>
      <c r="N20" s="290">
        <f>N19*48.2</f>
        <v>4820</v>
      </c>
      <c r="O20" s="290">
        <f>241*O19</f>
        <v>0</v>
      </c>
      <c r="P20" s="290">
        <f>241*P19</f>
        <v>0</v>
      </c>
      <c r="Q20" s="2286">
        <f>341*Q19</f>
        <v>0</v>
      </c>
      <c r="R20" s="2287"/>
      <c r="S20" s="290">
        <f>341*S19</f>
        <v>18073</v>
      </c>
      <c r="T20" s="2257"/>
      <c r="U20" s="49" t="s">
        <v>59</v>
      </c>
      <c r="V20" s="2262"/>
      <c r="W20" s="2262"/>
      <c r="X20" s="2262"/>
      <c r="Y20" s="2269"/>
    </row>
    <row r="21" spans="1:25" ht="32.25" customHeight="1" x14ac:dyDescent="0.25">
      <c r="A21" s="291" t="s">
        <v>186</v>
      </c>
      <c r="B21" s="2293">
        <f>SUM(B20:S20)</f>
        <v>783361.71600000001</v>
      </c>
      <c r="C21" s="2293"/>
      <c r="O21" s="975"/>
      <c r="P21" s="975"/>
      <c r="Q21" s="975"/>
      <c r="R21" s="975"/>
      <c r="T21" s="2294" t="s">
        <v>366</v>
      </c>
      <c r="U21" s="2295"/>
      <c r="V21" s="2297">
        <v>67000</v>
      </c>
      <c r="W21" s="2298"/>
      <c r="X21" s="2299"/>
      <c r="Y21" s="2269"/>
    </row>
    <row r="22" spans="1:25" ht="35.25" customHeight="1" x14ac:dyDescent="0.25">
      <c r="A22" s="15"/>
      <c r="B22" s="2288" t="s">
        <v>49</v>
      </c>
      <c r="C22" s="2291">
        <v>547185</v>
      </c>
      <c r="D22" s="2291">
        <v>300000</v>
      </c>
      <c r="E22" s="2291">
        <v>110000</v>
      </c>
      <c r="F22" s="2291">
        <f>C22-D22+E22</f>
        <v>357185</v>
      </c>
      <c r="G22" s="975"/>
      <c r="Q22" s="975"/>
      <c r="R22" s="975"/>
      <c r="T22" s="2251" t="s">
        <v>83</v>
      </c>
      <c r="U22" s="50" t="s">
        <v>60</v>
      </c>
      <c r="V22" s="2262">
        <v>362600</v>
      </c>
      <c r="W22" s="2262"/>
      <c r="X22" s="2262"/>
      <c r="Y22" s="2269"/>
    </row>
    <row r="23" spans="1:25" ht="39.75" customHeight="1" x14ac:dyDescent="0.25">
      <c r="A23" s="975"/>
      <c r="B23" s="2289"/>
      <c r="C23" s="2292"/>
      <c r="D23" s="2292"/>
      <c r="E23" s="2292"/>
      <c r="F23" s="2292"/>
      <c r="G23" s="975"/>
      <c r="Q23" s="975"/>
      <c r="R23" s="975"/>
      <c r="T23" s="2252"/>
      <c r="U23" s="50" t="s">
        <v>61</v>
      </c>
      <c r="V23" s="2262">
        <v>367000</v>
      </c>
      <c r="W23" s="2262"/>
      <c r="X23" s="2262"/>
      <c r="Y23" s="2269"/>
    </row>
    <row r="24" spans="1:25" ht="48" customHeight="1" x14ac:dyDescent="0.25">
      <c r="A24" s="975"/>
      <c r="B24" s="2290"/>
      <c r="C24" s="290" t="s">
        <v>46</v>
      </c>
      <c r="D24" s="290" t="s">
        <v>50</v>
      </c>
      <c r="E24" s="290" t="s">
        <v>51</v>
      </c>
      <c r="F24" s="290" t="s">
        <v>52</v>
      </c>
      <c r="G24" s="975"/>
      <c r="Q24" s="975"/>
      <c r="R24" s="975"/>
      <c r="T24" s="2235" t="s">
        <v>47</v>
      </c>
      <c r="U24" s="51" t="s">
        <v>62</v>
      </c>
      <c r="V24" s="2263">
        <f>V14+V16+V17-V18-V19-V20-V22+V23-V21</f>
        <v>35033.609999999986</v>
      </c>
      <c r="W24" s="2263"/>
      <c r="X24" s="2263"/>
      <c r="Y24" s="2269"/>
    </row>
    <row r="25" spans="1:25" ht="40.5" customHeight="1" x14ac:dyDescent="0.25">
      <c r="T25" s="2235"/>
      <c r="U25" s="51" t="s">
        <v>63</v>
      </c>
      <c r="V25" s="2262">
        <f>V15+V22-V23</f>
        <v>8142</v>
      </c>
      <c r="W25" s="2262"/>
      <c r="X25" s="2262"/>
    </row>
    <row r="26" spans="1:25" ht="36" customHeight="1" x14ac:dyDescent="0.25">
      <c r="K26" s="314"/>
    </row>
    <row r="28" spans="1:25" x14ac:dyDescent="0.25">
      <c r="J28" s="14" t="s">
        <v>139</v>
      </c>
    </row>
    <row r="32" spans="1:25" x14ac:dyDescent="0.25">
      <c r="I32" s="2280"/>
      <c r="J32" s="2280"/>
      <c r="K32" s="2280"/>
      <c r="L32" s="2280"/>
    </row>
    <row r="33" spans="9:12" x14ac:dyDescent="0.25">
      <c r="I33" s="975"/>
      <c r="J33" s="975"/>
      <c r="K33" s="2280"/>
      <c r="L33" s="2280"/>
    </row>
  </sheetData>
  <mergeCells count="62">
    <mergeCell ref="I32:J32"/>
    <mergeCell ref="K32:L32"/>
    <mergeCell ref="K33:L33"/>
    <mergeCell ref="T22:T23"/>
    <mergeCell ref="V22:X22"/>
    <mergeCell ref="V23:X23"/>
    <mergeCell ref="T24:T25"/>
    <mergeCell ref="V24:X24"/>
    <mergeCell ref="V25:X25"/>
    <mergeCell ref="Y18:Y24"/>
    <mergeCell ref="B19:C19"/>
    <mergeCell ref="Q19:R19"/>
    <mergeCell ref="T19:T20"/>
    <mergeCell ref="V19:X19"/>
    <mergeCell ref="B20:C20"/>
    <mergeCell ref="B22:B24"/>
    <mergeCell ref="C22:C23"/>
    <mergeCell ref="D22:D23"/>
    <mergeCell ref="E22:E23"/>
    <mergeCell ref="F22:F23"/>
    <mergeCell ref="Q20:R20"/>
    <mergeCell ref="V20:X20"/>
    <mergeCell ref="B21:C21"/>
    <mergeCell ref="T21:U21"/>
    <mergeCell ref="V21:X21"/>
    <mergeCell ref="B17:C17"/>
    <mergeCell ref="Q17:R17"/>
    <mergeCell ref="T17:U17"/>
    <mergeCell ref="V17:X17"/>
    <mergeCell ref="B18:C18"/>
    <mergeCell ref="Q18:R18"/>
    <mergeCell ref="T18:U18"/>
    <mergeCell ref="V18:X18"/>
    <mergeCell ref="W4:X4"/>
    <mergeCell ref="B16:C16"/>
    <mergeCell ref="Q16:R16"/>
    <mergeCell ref="T16:U16"/>
    <mergeCell ref="V16:X16"/>
    <mergeCell ref="A12:B12"/>
    <mergeCell ref="B14:C14"/>
    <mergeCell ref="Q14:R14"/>
    <mergeCell ref="T14:T15"/>
    <mergeCell ref="V14:X14"/>
    <mergeCell ref="B15:C15"/>
    <mergeCell ref="Q15:R15"/>
    <mergeCell ref="V15:X15"/>
    <mergeCell ref="A1:Y1"/>
    <mergeCell ref="A2:Y2"/>
    <mergeCell ref="T3:Y3"/>
    <mergeCell ref="A4:A5"/>
    <mergeCell ref="B4:B5"/>
    <mergeCell ref="C4:D4"/>
    <mergeCell ref="E4:F4"/>
    <mergeCell ref="G4:H4"/>
    <mergeCell ref="I4:J4"/>
    <mergeCell ref="K4:L4"/>
    <mergeCell ref="Y4:Y5"/>
    <mergeCell ref="M4:N4"/>
    <mergeCell ref="O4:P4"/>
    <mergeCell ref="Q4:R4"/>
    <mergeCell ref="S4:T4"/>
    <mergeCell ref="U4:V4"/>
  </mergeCells>
  <pageMargins left="0.15748031496063" right="0.15748031496063" top="0" bottom="0" header="0" footer="0"/>
  <pageSetup paperSize="9" scale="45" orientation="landscape" r:id="rId1"/>
</worksheet>
</file>

<file path=xl/worksheets/sheet19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1A5D84C-5841-4A48-96AA-AFD23E364B16}">
  <sheetPr>
    <pageSetUpPr fitToPage="1"/>
  </sheetPr>
  <dimension ref="A1:Y33"/>
  <sheetViews>
    <sheetView topLeftCell="A15" zoomScale="70" zoomScaleNormal="70" zoomScaleSheetLayoutView="100" workbookViewId="0">
      <selection activeCell="K29" sqref="K29"/>
    </sheetView>
  </sheetViews>
  <sheetFormatPr defaultColWidth="9.140625" defaultRowHeight="15" x14ac:dyDescent="0.25"/>
  <cols>
    <col min="1" max="1" width="18.28515625" style="14" customWidth="1"/>
    <col min="2" max="2" width="10.7109375" style="14" customWidth="1"/>
    <col min="3" max="3" width="12.28515625" style="14" customWidth="1"/>
    <col min="4" max="4" width="13.140625" style="14" bestFit="1" customWidth="1"/>
    <col min="5" max="5" width="12" style="14" customWidth="1"/>
    <col min="6" max="6" width="12.5703125" style="14" bestFit="1" customWidth="1"/>
    <col min="7" max="7" width="16" style="14" bestFit="1" customWidth="1"/>
    <col min="8" max="8" width="10.140625" style="14" bestFit="1" customWidth="1"/>
    <col min="9" max="9" width="10.5703125" style="14" bestFit="1" customWidth="1"/>
    <col min="10" max="10" width="10.5703125" style="14" customWidth="1"/>
    <col min="11" max="11" width="10.28515625" style="14" bestFit="1" customWidth="1"/>
    <col min="12" max="12" width="10.42578125" style="14" bestFit="1" customWidth="1"/>
    <col min="13" max="13" width="9.85546875" style="14" bestFit="1" customWidth="1"/>
    <col min="14" max="14" width="10.140625" style="14" bestFit="1" customWidth="1"/>
    <col min="15" max="15" width="9" style="14" customWidth="1"/>
    <col min="16" max="16" width="12.85546875" style="14" bestFit="1" customWidth="1"/>
    <col min="17" max="18" width="9.42578125" style="14" customWidth="1"/>
    <col min="19" max="19" width="13.7109375" style="14" customWidth="1"/>
    <col min="20" max="20" width="12.140625" style="14" customWidth="1"/>
    <col min="21" max="21" width="21.7109375" style="14" customWidth="1"/>
    <col min="22" max="22" width="9.85546875" style="14" customWidth="1"/>
    <col min="23" max="23" width="10.140625" style="14" bestFit="1" customWidth="1"/>
    <col min="24" max="24" width="10.28515625" style="14" customWidth="1"/>
    <col min="25" max="25" width="28" style="14" customWidth="1"/>
    <col min="26" max="16384" width="9.140625" style="14"/>
  </cols>
  <sheetData>
    <row r="1" spans="1:25" ht="46.15" customHeight="1" x14ac:dyDescent="0.25">
      <c r="A1" s="2240" t="s">
        <v>148</v>
      </c>
      <c r="B1" s="2240"/>
      <c r="C1" s="2240"/>
      <c r="D1" s="2240"/>
      <c r="E1" s="2240"/>
      <c r="F1" s="2240"/>
      <c r="G1" s="2240"/>
      <c r="H1" s="2240"/>
      <c r="I1" s="2240"/>
      <c r="J1" s="2240"/>
      <c r="K1" s="2240"/>
      <c r="L1" s="2240"/>
      <c r="M1" s="2240"/>
      <c r="N1" s="2240"/>
      <c r="O1" s="2240"/>
      <c r="P1" s="2240"/>
      <c r="Q1" s="2240"/>
      <c r="R1" s="2240"/>
      <c r="S1" s="2240"/>
      <c r="T1" s="2240"/>
      <c r="U1" s="2240"/>
      <c r="V1" s="2240"/>
      <c r="W1" s="2240"/>
      <c r="X1" s="2240"/>
      <c r="Y1" s="2240"/>
    </row>
    <row r="2" spans="1:25" ht="21.6" customHeight="1" x14ac:dyDescent="0.25">
      <c r="A2" s="2241" t="s">
        <v>383</v>
      </c>
      <c r="B2" s="2241"/>
      <c r="C2" s="2241"/>
      <c r="D2" s="2241"/>
      <c r="E2" s="2241"/>
      <c r="F2" s="2241"/>
      <c r="G2" s="2241"/>
      <c r="H2" s="2241"/>
      <c r="I2" s="2241"/>
      <c r="J2" s="2241"/>
      <c r="K2" s="2241"/>
      <c r="L2" s="2241"/>
      <c r="M2" s="2241"/>
      <c r="N2" s="2241"/>
      <c r="O2" s="2241"/>
      <c r="P2" s="2241"/>
      <c r="Q2" s="2241"/>
      <c r="R2" s="2241"/>
      <c r="S2" s="2241"/>
      <c r="T2" s="2241"/>
      <c r="U2" s="2241"/>
      <c r="V2" s="2241"/>
      <c r="W2" s="2241"/>
      <c r="X2" s="2241"/>
      <c r="Y2" s="2241"/>
    </row>
    <row r="3" spans="1:25" ht="21" customHeight="1" x14ac:dyDescent="0.25">
      <c r="A3" s="965"/>
      <c r="B3" s="965"/>
      <c r="C3" s="965"/>
      <c r="D3" s="965"/>
      <c r="E3" s="965"/>
      <c r="F3" s="965"/>
      <c r="G3" s="965"/>
      <c r="H3" s="965"/>
      <c r="I3" s="965"/>
      <c r="J3" s="965"/>
      <c r="K3" s="965"/>
      <c r="L3" s="965"/>
      <c r="M3" s="965"/>
      <c r="N3" s="965"/>
      <c r="O3" s="965"/>
      <c r="P3" s="965"/>
      <c r="Q3" s="965"/>
      <c r="R3" s="965"/>
      <c r="S3" s="965"/>
      <c r="T3" s="2242" t="s">
        <v>422</v>
      </c>
      <c r="U3" s="2242"/>
      <c r="V3" s="2242"/>
      <c r="W3" s="2242"/>
      <c r="X3" s="2242"/>
      <c r="Y3" s="2242"/>
    </row>
    <row r="4" spans="1:25" s="965" customFormat="1" ht="18" customHeight="1" x14ac:dyDescent="0.25">
      <c r="A4" s="2243" t="s">
        <v>25</v>
      </c>
      <c r="B4" s="2243" t="s">
        <v>26</v>
      </c>
      <c r="C4" s="2244" t="s">
        <v>27</v>
      </c>
      <c r="D4" s="2244"/>
      <c r="E4" s="2244" t="s">
        <v>342</v>
      </c>
      <c r="F4" s="2244"/>
      <c r="G4" s="2244" t="s">
        <v>65</v>
      </c>
      <c r="H4" s="2244"/>
      <c r="I4" s="2244" t="s">
        <v>29</v>
      </c>
      <c r="J4" s="2244"/>
      <c r="K4" s="2245" t="s">
        <v>14</v>
      </c>
      <c r="L4" s="2246"/>
      <c r="M4" s="2245" t="s">
        <v>67</v>
      </c>
      <c r="N4" s="2246"/>
      <c r="O4" s="2245" t="s">
        <v>68</v>
      </c>
      <c r="P4" s="2246"/>
      <c r="Q4" s="2245" t="s">
        <v>114</v>
      </c>
      <c r="R4" s="2246"/>
      <c r="S4" s="2244" t="s">
        <v>35</v>
      </c>
      <c r="T4" s="2244"/>
      <c r="U4" s="2245" t="s">
        <v>17</v>
      </c>
      <c r="V4" s="2246"/>
      <c r="W4" s="2247" t="s">
        <v>36</v>
      </c>
      <c r="X4" s="2248"/>
      <c r="Y4" s="2238" t="s">
        <v>30</v>
      </c>
    </row>
    <row r="5" spans="1:25" s="965" customFormat="1" ht="25.5" customHeight="1" x14ac:dyDescent="0.25">
      <c r="A5" s="2243"/>
      <c r="B5" s="2243"/>
      <c r="C5" s="967" t="s">
        <v>42</v>
      </c>
      <c r="D5" s="967" t="s">
        <v>43</v>
      </c>
      <c r="E5" s="967" t="s">
        <v>42</v>
      </c>
      <c r="F5" s="967" t="s">
        <v>43</v>
      </c>
      <c r="G5" s="967" t="s">
        <v>42</v>
      </c>
      <c r="H5" s="967" t="s">
        <v>43</v>
      </c>
      <c r="I5" s="967" t="s">
        <v>42</v>
      </c>
      <c r="J5" s="967" t="s">
        <v>43</v>
      </c>
      <c r="K5" s="967" t="s">
        <v>42</v>
      </c>
      <c r="L5" s="967" t="s">
        <v>43</v>
      </c>
      <c r="M5" s="967" t="s">
        <v>42</v>
      </c>
      <c r="N5" s="967" t="s">
        <v>43</v>
      </c>
      <c r="O5" s="967" t="s">
        <v>42</v>
      </c>
      <c r="P5" s="967" t="s">
        <v>43</v>
      </c>
      <c r="Q5" s="967" t="s">
        <v>42</v>
      </c>
      <c r="R5" s="967" t="s">
        <v>43</v>
      </c>
      <c r="S5" s="33" t="s">
        <v>42</v>
      </c>
      <c r="T5" s="33" t="s">
        <v>43</v>
      </c>
      <c r="U5" s="30" t="s">
        <v>42</v>
      </c>
      <c r="V5" s="30" t="s">
        <v>43</v>
      </c>
      <c r="W5" s="30" t="s">
        <v>42</v>
      </c>
      <c r="X5" s="30" t="s">
        <v>43</v>
      </c>
      <c r="Y5" s="2239"/>
    </row>
    <row r="6" spans="1:25" ht="34.5" customHeight="1" x14ac:dyDescent="0.25">
      <c r="A6" s="12">
        <v>1409935200</v>
      </c>
      <c r="B6" s="966" t="s">
        <v>71</v>
      </c>
      <c r="C6" s="969">
        <v>73824</v>
      </c>
      <c r="D6" s="970">
        <f>0.9725*C6</f>
        <v>71793.84</v>
      </c>
      <c r="E6" s="969"/>
      <c r="F6" s="969">
        <f>67.1*E6</f>
        <v>0</v>
      </c>
      <c r="G6" s="969"/>
      <c r="H6" s="969">
        <f>28.2*G6</f>
        <v>0</v>
      </c>
      <c r="I6" s="969">
        <v>1310</v>
      </c>
      <c r="J6" s="969">
        <f>18.5*I6</f>
        <v>24235</v>
      </c>
      <c r="K6" s="969"/>
      <c r="L6" s="969">
        <f>28.2368*K6</f>
        <v>0</v>
      </c>
      <c r="M6" s="969"/>
      <c r="N6" s="970">
        <f>M6*9.75</f>
        <v>0</v>
      </c>
      <c r="O6" s="969"/>
      <c r="P6" s="970">
        <f>O6*48.7</f>
        <v>0</v>
      </c>
      <c r="Q6" s="970"/>
      <c r="R6" s="970">
        <f>241*Q6</f>
        <v>0</v>
      </c>
      <c r="S6" s="969"/>
      <c r="T6" s="969">
        <f>241*S6</f>
        <v>0</v>
      </c>
      <c r="U6" s="969"/>
      <c r="V6" s="969">
        <f>332*U6</f>
        <v>0</v>
      </c>
      <c r="W6" s="969"/>
      <c r="X6" s="19">
        <f>W6*100</f>
        <v>0</v>
      </c>
      <c r="Y6" s="20">
        <f t="shared" ref="Y6:Y12" si="0">D6+F6+H6+J6+L6+N6+P6+R6+T6+V6+X6</f>
        <v>96028.84</v>
      </c>
    </row>
    <row r="7" spans="1:25" ht="31.5" customHeight="1" x14ac:dyDescent="0.25">
      <c r="A7" s="12">
        <v>1984225578</v>
      </c>
      <c r="B7" s="966" t="s">
        <v>72</v>
      </c>
      <c r="C7" s="969">
        <v>28715</v>
      </c>
      <c r="D7" s="970">
        <f t="shared" ref="D7:D11" si="1">0.9725*C7</f>
        <v>27925.337500000001</v>
      </c>
      <c r="E7" s="969">
        <v>10</v>
      </c>
      <c r="F7" s="969">
        <f t="shared" ref="F7:F11" si="2">67.1*E7</f>
        <v>671</v>
      </c>
      <c r="G7" s="969">
        <v>40</v>
      </c>
      <c r="H7" s="969">
        <f t="shared" ref="H7:H11" si="3">28.2*G7</f>
        <v>1128</v>
      </c>
      <c r="I7" s="969">
        <v>630</v>
      </c>
      <c r="J7" s="969">
        <f t="shared" ref="J7:J11" si="4">18.5*I7</f>
        <v>11655</v>
      </c>
      <c r="K7" s="969"/>
      <c r="L7" s="969">
        <f t="shared" ref="L7:L11" si="5">28.2368*K7</f>
        <v>0</v>
      </c>
      <c r="M7" s="969"/>
      <c r="N7" s="970">
        <f t="shared" ref="N7:N11" si="6">M7*9.75</f>
        <v>0</v>
      </c>
      <c r="O7" s="969"/>
      <c r="P7" s="970">
        <f t="shared" ref="P7:P11" si="7">O7*48.7</f>
        <v>0</v>
      </c>
      <c r="Q7" s="970"/>
      <c r="R7" s="970">
        <f t="shared" ref="R7:R11" si="8">241*Q7</f>
        <v>0</v>
      </c>
      <c r="S7" s="969"/>
      <c r="T7" s="969">
        <f t="shared" ref="T7:T10" si="9">241*S7</f>
        <v>0</v>
      </c>
      <c r="U7" s="969"/>
      <c r="V7" s="969">
        <f t="shared" ref="V7:V11" si="10">332*U7</f>
        <v>0</v>
      </c>
      <c r="W7" s="969"/>
      <c r="X7" s="19">
        <f t="shared" ref="X7:X11" si="11">W7*100</f>
        <v>0</v>
      </c>
      <c r="Y7" s="20">
        <f t="shared" si="0"/>
        <v>41379.337500000001</v>
      </c>
    </row>
    <row r="8" spans="1:25" ht="35.25" customHeight="1" x14ac:dyDescent="0.25">
      <c r="A8" s="12">
        <v>1967020280</v>
      </c>
      <c r="B8" s="966" t="s">
        <v>73</v>
      </c>
      <c r="C8" s="969">
        <v>79219</v>
      </c>
      <c r="D8" s="970">
        <f t="shared" si="1"/>
        <v>77040.477500000008</v>
      </c>
      <c r="E8" s="969"/>
      <c r="F8" s="969">
        <f t="shared" si="2"/>
        <v>0</v>
      </c>
      <c r="G8" s="969">
        <v>10</v>
      </c>
      <c r="H8" s="969">
        <f t="shared" si="3"/>
        <v>282</v>
      </c>
      <c r="I8" s="969">
        <v>3210</v>
      </c>
      <c r="J8" s="969">
        <f t="shared" si="4"/>
        <v>59385</v>
      </c>
      <c r="K8" s="969"/>
      <c r="L8" s="969">
        <f t="shared" si="5"/>
        <v>0</v>
      </c>
      <c r="M8" s="969"/>
      <c r="N8" s="970">
        <f t="shared" si="6"/>
        <v>0</v>
      </c>
      <c r="O8" s="969"/>
      <c r="P8" s="970">
        <f t="shared" si="7"/>
        <v>0</v>
      </c>
      <c r="Q8" s="970"/>
      <c r="R8" s="970">
        <f t="shared" si="8"/>
        <v>0</v>
      </c>
      <c r="S8" s="969"/>
      <c r="T8" s="969">
        <f t="shared" si="9"/>
        <v>0</v>
      </c>
      <c r="U8" s="969"/>
      <c r="V8" s="969">
        <f t="shared" si="10"/>
        <v>0</v>
      </c>
      <c r="W8" s="969">
        <v>8</v>
      </c>
      <c r="X8" s="19">
        <f t="shared" si="11"/>
        <v>800</v>
      </c>
      <c r="Y8" s="20">
        <f t="shared" si="0"/>
        <v>137507.47750000001</v>
      </c>
    </row>
    <row r="9" spans="1:25" ht="38.25" customHeight="1" x14ac:dyDescent="0.25">
      <c r="A9" s="12">
        <v>1984225580</v>
      </c>
      <c r="B9" s="966" t="s">
        <v>75</v>
      </c>
      <c r="C9" s="969">
        <v>23771</v>
      </c>
      <c r="D9" s="970">
        <f t="shared" si="1"/>
        <v>23117.297500000001</v>
      </c>
      <c r="E9" s="969"/>
      <c r="F9" s="969">
        <f t="shared" si="2"/>
        <v>0</v>
      </c>
      <c r="G9" s="969"/>
      <c r="H9" s="969">
        <f t="shared" si="3"/>
        <v>0</v>
      </c>
      <c r="I9" s="969">
        <v>820</v>
      </c>
      <c r="J9" s="969">
        <f t="shared" si="4"/>
        <v>15170</v>
      </c>
      <c r="K9" s="969"/>
      <c r="L9" s="969">
        <f t="shared" si="5"/>
        <v>0</v>
      </c>
      <c r="M9" s="969"/>
      <c r="N9" s="970">
        <f t="shared" si="6"/>
        <v>0</v>
      </c>
      <c r="O9" s="969"/>
      <c r="P9" s="970">
        <f t="shared" si="7"/>
        <v>0</v>
      </c>
      <c r="Q9" s="970"/>
      <c r="R9" s="970">
        <f t="shared" si="8"/>
        <v>0</v>
      </c>
      <c r="S9" s="969"/>
      <c r="T9" s="969">
        <f t="shared" si="9"/>
        <v>0</v>
      </c>
      <c r="U9" s="969"/>
      <c r="V9" s="969">
        <f t="shared" si="10"/>
        <v>0</v>
      </c>
      <c r="W9" s="969"/>
      <c r="X9" s="19">
        <f t="shared" si="11"/>
        <v>0</v>
      </c>
      <c r="Y9" s="20">
        <f t="shared" si="0"/>
        <v>38287.297500000001</v>
      </c>
    </row>
    <row r="10" spans="1:25" ht="35.25" customHeight="1" x14ac:dyDescent="0.25">
      <c r="A10" s="12">
        <v>1409935199</v>
      </c>
      <c r="C10" s="969">
        <v>41130</v>
      </c>
      <c r="D10" s="970">
        <f t="shared" si="1"/>
        <v>39998.925000000003</v>
      </c>
      <c r="E10" s="969"/>
      <c r="F10" s="969">
        <f t="shared" si="2"/>
        <v>0</v>
      </c>
      <c r="G10" s="969"/>
      <c r="H10" s="969">
        <f t="shared" si="3"/>
        <v>0</v>
      </c>
      <c r="I10" s="969"/>
      <c r="J10" s="969">
        <f t="shared" si="4"/>
        <v>0</v>
      </c>
      <c r="K10" s="969"/>
      <c r="L10" s="969">
        <f t="shared" si="5"/>
        <v>0</v>
      </c>
      <c r="M10" s="969"/>
      <c r="N10" s="970">
        <f t="shared" si="6"/>
        <v>0</v>
      </c>
      <c r="O10" s="969"/>
      <c r="P10" s="970">
        <f t="shared" si="7"/>
        <v>0</v>
      </c>
      <c r="Q10" s="970"/>
      <c r="R10" s="970">
        <f t="shared" si="8"/>
        <v>0</v>
      </c>
      <c r="S10" s="969"/>
      <c r="T10" s="969">
        <f t="shared" si="9"/>
        <v>0</v>
      </c>
      <c r="U10" s="969"/>
      <c r="V10" s="969">
        <f t="shared" si="10"/>
        <v>0</v>
      </c>
      <c r="W10" s="969"/>
      <c r="X10" s="19">
        <f t="shared" si="11"/>
        <v>0</v>
      </c>
      <c r="Y10" s="20">
        <f t="shared" si="0"/>
        <v>39998.925000000003</v>
      </c>
    </row>
    <row r="11" spans="1:25" ht="37.5" customHeight="1" x14ac:dyDescent="0.25">
      <c r="A11" s="12"/>
      <c r="B11" s="968"/>
      <c r="C11" s="969"/>
      <c r="D11" s="22">
        <f t="shared" si="1"/>
        <v>0</v>
      </c>
      <c r="E11" s="969"/>
      <c r="F11" s="969">
        <f t="shared" si="2"/>
        <v>0</v>
      </c>
      <c r="G11" s="969"/>
      <c r="H11" s="969">
        <f t="shared" si="3"/>
        <v>0</v>
      </c>
      <c r="I11" s="969"/>
      <c r="J11" s="969">
        <f t="shared" si="4"/>
        <v>0</v>
      </c>
      <c r="K11" s="969"/>
      <c r="L11" s="969">
        <f t="shared" si="5"/>
        <v>0</v>
      </c>
      <c r="M11" s="969"/>
      <c r="N11" s="970">
        <f t="shared" si="6"/>
        <v>0</v>
      </c>
      <c r="O11" s="969"/>
      <c r="P11" s="970">
        <f t="shared" si="7"/>
        <v>0</v>
      </c>
      <c r="Q11" s="970"/>
      <c r="R11" s="970">
        <f t="shared" si="8"/>
        <v>0</v>
      </c>
      <c r="S11" s="969"/>
      <c r="T11" s="969">
        <f>341*S11</f>
        <v>0</v>
      </c>
      <c r="U11" s="969"/>
      <c r="V11" s="969">
        <f t="shared" si="10"/>
        <v>0</v>
      </c>
      <c r="W11" s="969"/>
      <c r="X11" s="19">
        <f t="shared" si="11"/>
        <v>0</v>
      </c>
      <c r="Y11" s="20">
        <f t="shared" si="0"/>
        <v>0</v>
      </c>
    </row>
    <row r="12" spans="1:25" ht="29.25" customHeight="1" x14ac:dyDescent="0.25">
      <c r="A12" s="2235" t="s">
        <v>31</v>
      </c>
      <c r="B12" s="2235"/>
      <c r="C12" s="18">
        <f t="shared" ref="C12:X12" si="12">SUM(C6:C11)</f>
        <v>246659</v>
      </c>
      <c r="D12" s="18">
        <f t="shared" si="12"/>
        <v>239875.8775</v>
      </c>
      <c r="E12" s="18">
        <f t="shared" si="12"/>
        <v>10</v>
      </c>
      <c r="F12" s="18">
        <f t="shared" si="12"/>
        <v>671</v>
      </c>
      <c r="G12" s="18">
        <f t="shared" si="12"/>
        <v>50</v>
      </c>
      <c r="H12" s="18">
        <f t="shared" si="12"/>
        <v>1410</v>
      </c>
      <c r="I12" s="18">
        <f t="shared" si="12"/>
        <v>5970</v>
      </c>
      <c r="J12" s="18">
        <f t="shared" si="12"/>
        <v>110445</v>
      </c>
      <c r="K12" s="18">
        <f t="shared" si="12"/>
        <v>0</v>
      </c>
      <c r="L12" s="18">
        <f t="shared" si="12"/>
        <v>0</v>
      </c>
      <c r="M12" s="18">
        <f t="shared" si="12"/>
        <v>0</v>
      </c>
      <c r="N12" s="23">
        <f t="shared" si="12"/>
        <v>0</v>
      </c>
      <c r="O12" s="18">
        <f t="shared" si="12"/>
        <v>0</v>
      </c>
      <c r="P12" s="23">
        <f t="shared" si="12"/>
        <v>0</v>
      </c>
      <c r="Q12" s="23">
        <f t="shared" si="12"/>
        <v>0</v>
      </c>
      <c r="R12" s="23">
        <f>SUM(R6:R11)</f>
        <v>0</v>
      </c>
      <c r="S12" s="23">
        <f>SUM(S6:S11)</f>
        <v>0</v>
      </c>
      <c r="T12" s="18">
        <f t="shared" si="12"/>
        <v>0</v>
      </c>
      <c r="U12" s="18">
        <f t="shared" si="12"/>
        <v>0</v>
      </c>
      <c r="V12" s="18">
        <f t="shared" si="12"/>
        <v>0</v>
      </c>
      <c r="W12" s="18">
        <f t="shared" si="12"/>
        <v>8</v>
      </c>
      <c r="X12" s="18">
        <f t="shared" si="12"/>
        <v>800</v>
      </c>
      <c r="Y12" s="20">
        <f t="shared" si="0"/>
        <v>353201.8775</v>
      </c>
    </row>
    <row r="14" spans="1:25" ht="43.5" customHeight="1" x14ac:dyDescent="0.25">
      <c r="A14" s="30" t="s">
        <v>32</v>
      </c>
      <c r="B14" s="2236" t="s">
        <v>27</v>
      </c>
      <c r="C14" s="2236"/>
      <c r="D14" s="30" t="s">
        <v>333</v>
      </c>
      <c r="E14" s="30" t="s">
        <v>65</v>
      </c>
      <c r="F14" s="30" t="s">
        <v>34</v>
      </c>
      <c r="G14" s="30" t="s">
        <v>14</v>
      </c>
      <c r="H14" s="469" t="s">
        <v>173</v>
      </c>
      <c r="I14" s="30" t="s">
        <v>17</v>
      </c>
      <c r="J14" s="974" t="s">
        <v>174</v>
      </c>
      <c r="K14" s="30" t="s">
        <v>36</v>
      </c>
      <c r="L14" s="974" t="s">
        <v>403</v>
      </c>
      <c r="M14" s="30" t="s">
        <v>69</v>
      </c>
      <c r="N14" s="30" t="s">
        <v>70</v>
      </c>
      <c r="O14" s="974" t="s">
        <v>114</v>
      </c>
      <c r="P14" s="974"/>
      <c r="Q14" s="2300" t="s">
        <v>378</v>
      </c>
      <c r="R14" s="2301"/>
      <c r="S14" s="974" t="s">
        <v>401</v>
      </c>
      <c r="T14" s="2235" t="s">
        <v>46</v>
      </c>
      <c r="U14" s="966" t="s">
        <v>176</v>
      </c>
      <c r="V14" s="2260">
        <v>35034</v>
      </c>
      <c r="W14" s="2268"/>
      <c r="X14" s="2261"/>
    </row>
    <row r="15" spans="1:25" ht="22.5" customHeight="1" x14ac:dyDescent="0.25">
      <c r="A15" s="100" t="s">
        <v>38</v>
      </c>
      <c r="B15" s="2260">
        <v>513192</v>
      </c>
      <c r="C15" s="2261"/>
      <c r="D15" s="971">
        <v>492</v>
      </c>
      <c r="E15" s="971">
        <v>220</v>
      </c>
      <c r="F15" s="971">
        <v>6260</v>
      </c>
      <c r="G15" s="971">
        <v>0</v>
      </c>
      <c r="H15" s="971">
        <v>441</v>
      </c>
      <c r="I15" s="971">
        <v>0</v>
      </c>
      <c r="J15" s="971"/>
      <c r="K15" s="971">
        <v>68</v>
      </c>
      <c r="L15" s="971">
        <v>0</v>
      </c>
      <c r="M15" s="971">
        <v>0</v>
      </c>
      <c r="N15" s="971">
        <v>100</v>
      </c>
      <c r="O15" s="971">
        <v>0</v>
      </c>
      <c r="P15" s="971"/>
      <c r="Q15" s="2260">
        <v>0</v>
      </c>
      <c r="R15" s="2261"/>
      <c r="S15" s="966">
        <v>53</v>
      </c>
      <c r="T15" s="2235"/>
      <c r="U15" s="966" t="s">
        <v>64</v>
      </c>
      <c r="V15" s="2262">
        <v>8142</v>
      </c>
      <c r="W15" s="2262"/>
      <c r="X15" s="2262"/>
    </row>
    <row r="16" spans="1:25" ht="24.75" customHeight="1" x14ac:dyDescent="0.25">
      <c r="A16" s="100" t="s">
        <v>39</v>
      </c>
      <c r="B16" s="2260">
        <v>312726</v>
      </c>
      <c r="C16" s="2261"/>
      <c r="D16" s="971"/>
      <c r="E16" s="971"/>
      <c r="F16" s="971"/>
      <c r="G16" s="971"/>
      <c r="H16" s="971"/>
      <c r="I16" s="971"/>
      <c r="J16" s="971">
        <v>5</v>
      </c>
      <c r="K16" s="971"/>
      <c r="L16" s="971"/>
      <c r="M16" s="971"/>
      <c r="N16" s="971"/>
      <c r="O16" s="971"/>
      <c r="P16" s="971"/>
      <c r="Q16" s="2225"/>
      <c r="R16" s="2225"/>
      <c r="S16" s="971"/>
      <c r="T16" s="2254" t="s">
        <v>55</v>
      </c>
      <c r="U16" s="2254"/>
      <c r="V16" s="2267">
        <f>Y12</f>
        <v>353201.8775</v>
      </c>
      <c r="W16" s="2267"/>
      <c r="X16" s="2262"/>
    </row>
    <row r="17" spans="1:25" ht="28.5" customHeight="1" x14ac:dyDescent="0.25">
      <c r="A17" s="101" t="s">
        <v>44</v>
      </c>
      <c r="B17" s="2260"/>
      <c r="C17" s="2261"/>
      <c r="D17" s="971"/>
      <c r="E17" s="971"/>
      <c r="F17" s="971"/>
      <c r="G17" s="971"/>
      <c r="H17" s="971"/>
      <c r="I17" s="971"/>
      <c r="J17" s="971"/>
      <c r="K17" s="971"/>
      <c r="L17" s="971"/>
      <c r="M17" s="971"/>
      <c r="N17" s="971"/>
      <c r="O17" s="971"/>
      <c r="P17" s="971"/>
      <c r="Q17" s="2225"/>
      <c r="R17" s="2225"/>
      <c r="S17" s="968"/>
      <c r="T17" s="2294" t="s">
        <v>362</v>
      </c>
      <c r="U17" s="2295"/>
      <c r="V17" s="2296"/>
      <c r="W17" s="2296"/>
      <c r="X17" s="2296"/>
    </row>
    <row r="18" spans="1:25" ht="27" customHeight="1" x14ac:dyDescent="0.25">
      <c r="A18" s="100" t="s">
        <v>40</v>
      </c>
      <c r="B18" s="2264">
        <f>C12</f>
        <v>246659</v>
      </c>
      <c r="C18" s="2261"/>
      <c r="D18" s="972">
        <f>E12</f>
        <v>10</v>
      </c>
      <c r="E18" s="972">
        <f>G12</f>
        <v>50</v>
      </c>
      <c r="F18" s="972">
        <f>I12</f>
        <v>5970</v>
      </c>
      <c r="G18" s="972">
        <f>K12</f>
        <v>0</v>
      </c>
      <c r="H18" s="971">
        <v>5</v>
      </c>
      <c r="I18" s="972">
        <f>U12</f>
        <v>0</v>
      </c>
      <c r="J18" s="971"/>
      <c r="K18" s="972">
        <f>W12</f>
        <v>8</v>
      </c>
      <c r="L18" s="971"/>
      <c r="M18" s="972">
        <f>M12</f>
        <v>0</v>
      </c>
      <c r="N18" s="972"/>
      <c r="O18" s="973">
        <f>Q12</f>
        <v>0</v>
      </c>
      <c r="P18" s="972"/>
      <c r="Q18" s="2262"/>
      <c r="R18" s="2262"/>
      <c r="S18" s="966"/>
      <c r="T18" s="2254" t="s">
        <v>57</v>
      </c>
      <c r="U18" s="2254"/>
      <c r="V18" s="2262">
        <v>2055</v>
      </c>
      <c r="W18" s="2262"/>
      <c r="X18" s="2262"/>
      <c r="Y18" s="2269"/>
    </row>
    <row r="19" spans="1:25" ht="25.5" customHeight="1" x14ac:dyDescent="0.25">
      <c r="A19" s="100" t="s">
        <v>41</v>
      </c>
      <c r="B19" s="2260">
        <f>B15+B16+B17-B18</f>
        <v>579259</v>
      </c>
      <c r="C19" s="2261"/>
      <c r="D19" s="971">
        <f>D15+D16+D17-D18</f>
        <v>482</v>
      </c>
      <c r="E19" s="971">
        <f t="shared" ref="E19:N19" si="13">E15+E16+E17-E18</f>
        <v>170</v>
      </c>
      <c r="F19" s="971">
        <f t="shared" si="13"/>
        <v>290</v>
      </c>
      <c r="G19" s="971">
        <f t="shared" si="13"/>
        <v>0</v>
      </c>
      <c r="H19" s="971">
        <f t="shared" si="13"/>
        <v>436</v>
      </c>
      <c r="I19" s="971">
        <f t="shared" si="13"/>
        <v>0</v>
      </c>
      <c r="J19" s="971">
        <f t="shared" si="13"/>
        <v>5</v>
      </c>
      <c r="K19" s="971">
        <f t="shared" si="13"/>
        <v>60</v>
      </c>
      <c r="L19" s="971">
        <f t="shared" si="13"/>
        <v>0</v>
      </c>
      <c r="M19" s="971">
        <f t="shared" si="13"/>
        <v>0</v>
      </c>
      <c r="N19" s="971">
        <f t="shared" si="13"/>
        <v>100</v>
      </c>
      <c r="O19" s="971">
        <f>O15+O16+O17-O18</f>
        <v>0</v>
      </c>
      <c r="P19" s="971">
        <f>P15+P16+P17-P18</f>
        <v>0</v>
      </c>
      <c r="Q19" s="2260">
        <f t="shared" ref="Q19" si="14">Q15+Q16+Q17-Q18</f>
        <v>0</v>
      </c>
      <c r="R19" s="2261"/>
      <c r="S19" s="966">
        <f>S15+S16-S17-S18</f>
        <v>53</v>
      </c>
      <c r="T19" s="2256" t="s">
        <v>48</v>
      </c>
      <c r="U19" s="49" t="s">
        <v>58</v>
      </c>
      <c r="V19" s="2262">
        <v>357185</v>
      </c>
      <c r="W19" s="2262"/>
      <c r="X19" s="2262"/>
      <c r="Y19" s="2269"/>
    </row>
    <row r="20" spans="1:25" ht="23.25" customHeight="1" x14ac:dyDescent="0.25">
      <c r="A20" s="289" t="s">
        <v>187</v>
      </c>
      <c r="B20" s="2286">
        <f>B19*0.9625</f>
        <v>557536.78749999998</v>
      </c>
      <c r="C20" s="2287"/>
      <c r="D20" s="290">
        <f>D19*66.41</f>
        <v>32009.62</v>
      </c>
      <c r="E20" s="290">
        <f>27.9368*E19</f>
        <v>4749.2560000000003</v>
      </c>
      <c r="F20" s="290">
        <f>18.31*F19</f>
        <v>5309.9</v>
      </c>
      <c r="G20" s="290">
        <f>27.9368*G19</f>
        <v>0</v>
      </c>
      <c r="H20" s="290">
        <f>241*H19</f>
        <v>105076</v>
      </c>
      <c r="I20" s="290">
        <f>323*I19</f>
        <v>0</v>
      </c>
      <c r="J20" s="290">
        <f>241*J19</f>
        <v>1205</v>
      </c>
      <c r="K20" s="290">
        <f>K19*100</f>
        <v>6000</v>
      </c>
      <c r="L20" s="290">
        <f>241*L19</f>
        <v>0</v>
      </c>
      <c r="M20" s="290">
        <f>9.65*M19</f>
        <v>0</v>
      </c>
      <c r="N20" s="290">
        <f>N19*48.2</f>
        <v>4820</v>
      </c>
      <c r="O20" s="290">
        <f>241*O19</f>
        <v>0</v>
      </c>
      <c r="P20" s="290">
        <f>241*P19</f>
        <v>0</v>
      </c>
      <c r="Q20" s="2286">
        <f>341*Q19</f>
        <v>0</v>
      </c>
      <c r="R20" s="2287"/>
      <c r="S20" s="290">
        <f>341*S19</f>
        <v>18073</v>
      </c>
      <c r="T20" s="2257"/>
      <c r="U20" s="49" t="s">
        <v>59</v>
      </c>
      <c r="V20" s="2262">
        <v>1000</v>
      </c>
      <c r="W20" s="2262"/>
      <c r="X20" s="2262"/>
      <c r="Y20" s="2269"/>
    </row>
    <row r="21" spans="1:25" ht="32.25" customHeight="1" x14ac:dyDescent="0.25">
      <c r="A21" s="291" t="s">
        <v>186</v>
      </c>
      <c r="B21" s="2293">
        <f>SUM(B20:S20)</f>
        <v>734779.56350000005</v>
      </c>
      <c r="C21" s="2293"/>
      <c r="O21" s="975"/>
      <c r="P21" s="975"/>
      <c r="Q21" s="975"/>
      <c r="R21" s="975"/>
      <c r="T21" s="2294" t="s">
        <v>366</v>
      </c>
      <c r="U21" s="2295"/>
      <c r="V21" s="2297"/>
      <c r="W21" s="2298"/>
      <c r="X21" s="2299"/>
      <c r="Y21" s="2269"/>
    </row>
    <row r="22" spans="1:25" ht="35.25" customHeight="1" x14ac:dyDescent="0.25">
      <c r="A22" s="15"/>
      <c r="B22" s="2288" t="s">
        <v>49</v>
      </c>
      <c r="C22" s="2291">
        <v>357185</v>
      </c>
      <c r="D22" s="2291">
        <v>357185</v>
      </c>
      <c r="E22" s="2291">
        <v>300000</v>
      </c>
      <c r="F22" s="2291">
        <f>C22-D22+E22</f>
        <v>300000</v>
      </c>
      <c r="G22" s="975"/>
      <c r="Q22" s="975"/>
      <c r="R22" s="975"/>
      <c r="T22" s="2251" t="s">
        <v>83</v>
      </c>
      <c r="U22" s="50" t="s">
        <v>60</v>
      </c>
      <c r="V22" s="2262">
        <v>360740</v>
      </c>
      <c r="W22" s="2262"/>
      <c r="X22" s="2262"/>
      <c r="Y22" s="2269"/>
    </row>
    <row r="23" spans="1:25" ht="39.75" customHeight="1" x14ac:dyDescent="0.25">
      <c r="A23" s="975"/>
      <c r="B23" s="2289"/>
      <c r="C23" s="2292"/>
      <c r="D23" s="2292"/>
      <c r="E23" s="2292"/>
      <c r="F23" s="2292"/>
      <c r="G23" s="975"/>
      <c r="Q23" s="975"/>
      <c r="R23" s="975"/>
      <c r="T23" s="2252"/>
      <c r="U23" s="50" t="s">
        <v>61</v>
      </c>
      <c r="V23" s="2262">
        <v>357185</v>
      </c>
      <c r="W23" s="2262"/>
      <c r="X23" s="2262"/>
      <c r="Y23" s="2269"/>
    </row>
    <row r="24" spans="1:25" ht="48" customHeight="1" x14ac:dyDescent="0.25">
      <c r="A24" s="975"/>
      <c r="B24" s="2290"/>
      <c r="C24" s="290" t="s">
        <v>46</v>
      </c>
      <c r="D24" s="290" t="s">
        <v>50</v>
      </c>
      <c r="E24" s="290" t="s">
        <v>51</v>
      </c>
      <c r="F24" s="290" t="s">
        <v>52</v>
      </c>
      <c r="G24" s="975"/>
      <c r="Q24" s="975"/>
      <c r="R24" s="975"/>
      <c r="T24" s="2235" t="s">
        <v>47</v>
      </c>
      <c r="U24" s="51" t="s">
        <v>62</v>
      </c>
      <c r="V24" s="2263">
        <f>V14+V16+V17-V18-V19-V20-V22+V23-V21</f>
        <v>24440.877500000002</v>
      </c>
      <c r="W24" s="2263"/>
      <c r="X24" s="2263"/>
      <c r="Y24" s="2269"/>
    </row>
    <row r="25" spans="1:25" ht="40.5" customHeight="1" x14ac:dyDescent="0.25">
      <c r="T25" s="2235"/>
      <c r="U25" s="51" t="s">
        <v>63</v>
      </c>
      <c r="V25" s="2262">
        <f>V15+V22-V23</f>
        <v>11697</v>
      </c>
      <c r="W25" s="2262"/>
      <c r="X25" s="2262"/>
    </row>
    <row r="26" spans="1:25" ht="36" customHeight="1" x14ac:dyDescent="0.25">
      <c r="K26" s="314"/>
    </row>
    <row r="28" spans="1:25" x14ac:dyDescent="0.25">
      <c r="J28" s="14" t="s">
        <v>139</v>
      </c>
    </row>
    <row r="32" spans="1:25" x14ac:dyDescent="0.25">
      <c r="I32" s="2280"/>
      <c r="J32" s="2280"/>
      <c r="K32" s="2280"/>
      <c r="L32" s="2280"/>
    </row>
    <row r="33" spans="9:12" x14ac:dyDescent="0.25">
      <c r="I33" s="975"/>
      <c r="J33" s="975"/>
      <c r="K33" s="2280"/>
      <c r="L33" s="2280"/>
    </row>
  </sheetData>
  <mergeCells count="62">
    <mergeCell ref="I32:J32"/>
    <mergeCell ref="K32:L32"/>
    <mergeCell ref="K33:L33"/>
    <mergeCell ref="T22:T23"/>
    <mergeCell ref="V22:X22"/>
    <mergeCell ref="V23:X23"/>
    <mergeCell ref="T24:T25"/>
    <mergeCell ref="V24:X24"/>
    <mergeCell ref="V25:X25"/>
    <mergeCell ref="Y18:Y24"/>
    <mergeCell ref="B19:C19"/>
    <mergeCell ref="Q19:R19"/>
    <mergeCell ref="T19:T20"/>
    <mergeCell ref="V19:X19"/>
    <mergeCell ref="B20:C20"/>
    <mergeCell ref="B22:B24"/>
    <mergeCell ref="C22:C23"/>
    <mergeCell ref="D22:D23"/>
    <mergeCell ref="E22:E23"/>
    <mergeCell ref="F22:F23"/>
    <mergeCell ref="Q20:R20"/>
    <mergeCell ref="V20:X20"/>
    <mergeCell ref="B21:C21"/>
    <mergeCell ref="T21:U21"/>
    <mergeCell ref="V21:X21"/>
    <mergeCell ref="B17:C17"/>
    <mergeCell ref="Q17:R17"/>
    <mergeCell ref="T17:U17"/>
    <mergeCell ref="V17:X17"/>
    <mergeCell ref="B18:C18"/>
    <mergeCell ref="Q18:R18"/>
    <mergeCell ref="T18:U18"/>
    <mergeCell ref="V18:X18"/>
    <mergeCell ref="W4:X4"/>
    <mergeCell ref="B16:C16"/>
    <mergeCell ref="Q16:R16"/>
    <mergeCell ref="T16:U16"/>
    <mergeCell ref="V16:X16"/>
    <mergeCell ref="A12:B12"/>
    <mergeCell ref="B14:C14"/>
    <mergeCell ref="Q14:R14"/>
    <mergeCell ref="T14:T15"/>
    <mergeCell ref="V14:X14"/>
    <mergeCell ref="B15:C15"/>
    <mergeCell ref="Q15:R15"/>
    <mergeCell ref="V15:X15"/>
    <mergeCell ref="A1:Y1"/>
    <mergeCell ref="A2:Y2"/>
    <mergeCell ref="T3:Y3"/>
    <mergeCell ref="A4:A5"/>
    <mergeCell ref="B4:B5"/>
    <mergeCell ref="C4:D4"/>
    <mergeCell ref="E4:F4"/>
    <mergeCell ref="G4:H4"/>
    <mergeCell ref="I4:J4"/>
    <mergeCell ref="K4:L4"/>
    <mergeCell ref="Y4:Y5"/>
    <mergeCell ref="M4:N4"/>
    <mergeCell ref="O4:P4"/>
    <mergeCell ref="Q4:R4"/>
    <mergeCell ref="S4:T4"/>
    <mergeCell ref="U4:V4"/>
  </mergeCells>
  <pageMargins left="0.15748031496063" right="0.15748031496063" top="0" bottom="0" header="0" footer="0"/>
  <pageSetup paperSize="9" scale="45" orientation="landscape" r:id="rId1"/>
</worksheet>
</file>

<file path=xl/worksheets/sheet19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4590592-BF72-41B2-BF14-1953C2806B21}">
  <sheetPr>
    <pageSetUpPr fitToPage="1"/>
  </sheetPr>
  <dimension ref="A1:Y33"/>
  <sheetViews>
    <sheetView topLeftCell="A4" zoomScale="70" zoomScaleNormal="70" zoomScaleSheetLayoutView="100" workbookViewId="0">
      <selection activeCell="H25" sqref="H25"/>
    </sheetView>
  </sheetViews>
  <sheetFormatPr defaultColWidth="9.140625" defaultRowHeight="15" x14ac:dyDescent="0.25"/>
  <cols>
    <col min="1" max="1" width="18.28515625" style="14" customWidth="1"/>
    <col min="2" max="2" width="10.7109375" style="14" customWidth="1"/>
    <col min="3" max="3" width="12.28515625" style="14" customWidth="1"/>
    <col min="4" max="4" width="13.140625" style="14" bestFit="1" customWidth="1"/>
    <col min="5" max="5" width="12" style="14" customWidth="1"/>
    <col min="6" max="6" width="12.5703125" style="14" bestFit="1" customWidth="1"/>
    <col min="7" max="7" width="16" style="14" bestFit="1" customWidth="1"/>
    <col min="8" max="8" width="10.140625" style="14" bestFit="1" customWidth="1"/>
    <col min="9" max="9" width="10.5703125" style="14" bestFit="1" customWidth="1"/>
    <col min="10" max="10" width="10.5703125" style="14" customWidth="1"/>
    <col min="11" max="11" width="10.28515625" style="14" bestFit="1" customWidth="1"/>
    <col min="12" max="12" width="10.42578125" style="14" bestFit="1" customWidth="1"/>
    <col min="13" max="13" width="9.85546875" style="14" bestFit="1" customWidth="1"/>
    <col min="14" max="14" width="10.140625" style="14" bestFit="1" customWidth="1"/>
    <col min="15" max="15" width="9" style="14" customWidth="1"/>
    <col min="16" max="16" width="12.85546875" style="14" bestFit="1" customWidth="1"/>
    <col min="17" max="18" width="9.42578125" style="14" customWidth="1"/>
    <col min="19" max="19" width="13.7109375" style="14" customWidth="1"/>
    <col min="20" max="20" width="12.140625" style="14" customWidth="1"/>
    <col min="21" max="21" width="21.7109375" style="14" customWidth="1"/>
    <col min="22" max="22" width="9.85546875" style="14" customWidth="1"/>
    <col min="23" max="23" width="10.140625" style="14" bestFit="1" customWidth="1"/>
    <col min="24" max="24" width="10.28515625" style="14" customWidth="1"/>
    <col min="25" max="25" width="28" style="14" customWidth="1"/>
    <col min="26" max="16384" width="9.140625" style="14"/>
  </cols>
  <sheetData>
    <row r="1" spans="1:25" ht="46.15" customHeight="1" x14ac:dyDescent="0.25">
      <c r="A1" s="2240" t="s">
        <v>148</v>
      </c>
      <c r="B1" s="2240"/>
      <c r="C1" s="2240"/>
      <c r="D1" s="2240"/>
      <c r="E1" s="2240"/>
      <c r="F1" s="2240"/>
      <c r="G1" s="2240"/>
      <c r="H1" s="2240"/>
      <c r="I1" s="2240"/>
      <c r="J1" s="2240"/>
      <c r="K1" s="2240"/>
      <c r="L1" s="2240"/>
      <c r="M1" s="2240"/>
      <c r="N1" s="2240"/>
      <c r="O1" s="2240"/>
      <c r="P1" s="2240"/>
      <c r="Q1" s="2240"/>
      <c r="R1" s="2240"/>
      <c r="S1" s="2240"/>
      <c r="T1" s="2240"/>
      <c r="U1" s="2240"/>
      <c r="V1" s="2240"/>
      <c r="W1" s="2240"/>
      <c r="X1" s="2240"/>
      <c r="Y1" s="2240"/>
    </row>
    <row r="2" spans="1:25" ht="21.6" customHeight="1" x14ac:dyDescent="0.25">
      <c r="A2" s="2241" t="s">
        <v>383</v>
      </c>
      <c r="B2" s="2241"/>
      <c r="C2" s="2241"/>
      <c r="D2" s="2241"/>
      <c r="E2" s="2241"/>
      <c r="F2" s="2241"/>
      <c r="G2" s="2241"/>
      <c r="H2" s="2241"/>
      <c r="I2" s="2241"/>
      <c r="J2" s="2241"/>
      <c r="K2" s="2241"/>
      <c r="L2" s="2241"/>
      <c r="M2" s="2241"/>
      <c r="N2" s="2241"/>
      <c r="O2" s="2241"/>
      <c r="P2" s="2241"/>
      <c r="Q2" s="2241"/>
      <c r="R2" s="2241"/>
      <c r="S2" s="2241"/>
      <c r="T2" s="2241"/>
      <c r="U2" s="2241"/>
      <c r="V2" s="2241"/>
      <c r="W2" s="2241"/>
      <c r="X2" s="2241"/>
      <c r="Y2" s="2241"/>
    </row>
    <row r="3" spans="1:25" ht="21" customHeight="1" x14ac:dyDescent="0.25">
      <c r="A3" s="981"/>
      <c r="B3" s="981"/>
      <c r="C3" s="981"/>
      <c r="D3" s="981"/>
      <c r="E3" s="981"/>
      <c r="F3" s="981"/>
      <c r="G3" s="981"/>
      <c r="H3" s="981"/>
      <c r="I3" s="981"/>
      <c r="J3" s="981"/>
      <c r="K3" s="981"/>
      <c r="L3" s="981"/>
      <c r="M3" s="981"/>
      <c r="N3" s="981"/>
      <c r="O3" s="981"/>
      <c r="P3" s="981"/>
      <c r="Q3" s="981"/>
      <c r="R3" s="981"/>
      <c r="S3" s="981"/>
      <c r="T3" s="2242" t="s">
        <v>423</v>
      </c>
      <c r="U3" s="2242"/>
      <c r="V3" s="2242"/>
      <c r="W3" s="2242"/>
      <c r="X3" s="2242"/>
      <c r="Y3" s="2242"/>
    </row>
    <row r="4" spans="1:25" s="981" customFormat="1" ht="18" customHeight="1" x14ac:dyDescent="0.25">
      <c r="A4" s="2243" t="s">
        <v>25</v>
      </c>
      <c r="B4" s="2243" t="s">
        <v>26</v>
      </c>
      <c r="C4" s="2244" t="s">
        <v>27</v>
      </c>
      <c r="D4" s="2244"/>
      <c r="E4" s="2244" t="s">
        <v>342</v>
      </c>
      <c r="F4" s="2244"/>
      <c r="G4" s="2244" t="s">
        <v>65</v>
      </c>
      <c r="H4" s="2244"/>
      <c r="I4" s="2244" t="s">
        <v>29</v>
      </c>
      <c r="J4" s="2244"/>
      <c r="K4" s="2245" t="s">
        <v>14</v>
      </c>
      <c r="L4" s="2246"/>
      <c r="M4" s="2245" t="s">
        <v>67</v>
      </c>
      <c r="N4" s="2246"/>
      <c r="O4" s="2245" t="s">
        <v>68</v>
      </c>
      <c r="P4" s="2246"/>
      <c r="Q4" s="2245" t="s">
        <v>114</v>
      </c>
      <c r="R4" s="2246"/>
      <c r="S4" s="2244" t="s">
        <v>35</v>
      </c>
      <c r="T4" s="2244"/>
      <c r="U4" s="2245" t="s">
        <v>17</v>
      </c>
      <c r="V4" s="2246"/>
      <c r="W4" s="2247" t="s">
        <v>36</v>
      </c>
      <c r="X4" s="2248"/>
      <c r="Y4" s="2238" t="s">
        <v>30</v>
      </c>
    </row>
    <row r="5" spans="1:25" s="981" customFormat="1" ht="25.5" customHeight="1" x14ac:dyDescent="0.25">
      <c r="A5" s="2243"/>
      <c r="B5" s="2243"/>
      <c r="C5" s="980" t="s">
        <v>42</v>
      </c>
      <c r="D5" s="980" t="s">
        <v>43</v>
      </c>
      <c r="E5" s="980" t="s">
        <v>42</v>
      </c>
      <c r="F5" s="980" t="s">
        <v>43</v>
      </c>
      <c r="G5" s="980" t="s">
        <v>42</v>
      </c>
      <c r="H5" s="980" t="s">
        <v>43</v>
      </c>
      <c r="I5" s="980" t="s">
        <v>42</v>
      </c>
      <c r="J5" s="980" t="s">
        <v>43</v>
      </c>
      <c r="K5" s="980" t="s">
        <v>42</v>
      </c>
      <c r="L5" s="980" t="s">
        <v>43</v>
      </c>
      <c r="M5" s="980" t="s">
        <v>42</v>
      </c>
      <c r="N5" s="980" t="s">
        <v>43</v>
      </c>
      <c r="O5" s="980" t="s">
        <v>42</v>
      </c>
      <c r="P5" s="980" t="s">
        <v>43</v>
      </c>
      <c r="Q5" s="980" t="s">
        <v>42</v>
      </c>
      <c r="R5" s="980" t="s">
        <v>43</v>
      </c>
      <c r="S5" s="33" t="s">
        <v>42</v>
      </c>
      <c r="T5" s="33" t="s">
        <v>43</v>
      </c>
      <c r="U5" s="30" t="s">
        <v>42</v>
      </c>
      <c r="V5" s="30" t="s">
        <v>43</v>
      </c>
      <c r="W5" s="30" t="s">
        <v>42</v>
      </c>
      <c r="X5" s="30" t="s">
        <v>43</v>
      </c>
      <c r="Y5" s="2239"/>
    </row>
    <row r="6" spans="1:25" ht="34.5" customHeight="1" x14ac:dyDescent="0.25">
      <c r="A6" s="12">
        <v>1409935200</v>
      </c>
      <c r="B6" s="979" t="s">
        <v>71</v>
      </c>
      <c r="C6" s="977">
        <v>61790</v>
      </c>
      <c r="D6" s="976">
        <f>0.9725*C6</f>
        <v>60090.775000000001</v>
      </c>
      <c r="E6" s="977"/>
      <c r="F6" s="977">
        <f>67.1*E6</f>
        <v>0</v>
      </c>
      <c r="G6" s="977"/>
      <c r="H6" s="977">
        <f>28.2*G6</f>
        <v>0</v>
      </c>
      <c r="I6" s="977"/>
      <c r="J6" s="977">
        <f>18.5*I6</f>
        <v>0</v>
      </c>
      <c r="K6" s="977"/>
      <c r="L6" s="977">
        <f>28.2368*K6</f>
        <v>0</v>
      </c>
      <c r="M6" s="977"/>
      <c r="N6" s="976">
        <f>M6*9.75</f>
        <v>0</v>
      </c>
      <c r="O6" s="977"/>
      <c r="P6" s="976">
        <f>O6*48.7</f>
        <v>0</v>
      </c>
      <c r="Q6" s="976"/>
      <c r="R6" s="976">
        <f>241*Q6</f>
        <v>0</v>
      </c>
      <c r="S6" s="977"/>
      <c r="T6" s="977">
        <f>241*S6</f>
        <v>0</v>
      </c>
      <c r="U6" s="977"/>
      <c r="V6" s="977">
        <f>332*U6</f>
        <v>0</v>
      </c>
      <c r="W6" s="977"/>
      <c r="X6" s="19">
        <f>W6*100</f>
        <v>0</v>
      </c>
      <c r="Y6" s="20">
        <f t="shared" ref="Y6:Y12" si="0">D6+F6+H6+J6+L6+N6+P6+R6+T6+V6+X6</f>
        <v>60090.775000000001</v>
      </c>
    </row>
    <row r="7" spans="1:25" ht="31.5" customHeight="1" x14ac:dyDescent="0.25">
      <c r="A7" s="12">
        <v>1984225578</v>
      </c>
      <c r="B7" s="979" t="s">
        <v>72</v>
      </c>
      <c r="C7" s="977">
        <v>82236</v>
      </c>
      <c r="D7" s="976">
        <f t="shared" ref="D7:D11" si="1">0.9725*C7</f>
        <v>79974.510000000009</v>
      </c>
      <c r="E7" s="977"/>
      <c r="F7" s="977">
        <f t="shared" ref="F7:F11" si="2">67.1*E7</f>
        <v>0</v>
      </c>
      <c r="G7" s="977"/>
      <c r="H7" s="977">
        <f t="shared" ref="H7:H11" si="3">28.2*G7</f>
        <v>0</v>
      </c>
      <c r="I7" s="977"/>
      <c r="J7" s="977">
        <f t="shared" ref="J7:J11" si="4">18.5*I7</f>
        <v>0</v>
      </c>
      <c r="K7" s="977"/>
      <c r="L7" s="977">
        <f t="shared" ref="L7:L11" si="5">28.2368*K7</f>
        <v>0</v>
      </c>
      <c r="M7" s="977"/>
      <c r="N7" s="976">
        <f t="shared" ref="N7:N11" si="6">M7*9.75</f>
        <v>0</v>
      </c>
      <c r="O7" s="977"/>
      <c r="P7" s="976">
        <f t="shared" ref="P7:P11" si="7">O7*48.7</f>
        <v>0</v>
      </c>
      <c r="Q7" s="976"/>
      <c r="R7" s="976">
        <f t="shared" ref="R7:R11" si="8">241*Q7</f>
        <v>0</v>
      </c>
      <c r="S7" s="977"/>
      <c r="T7" s="977">
        <f t="shared" ref="T7:T10" si="9">241*S7</f>
        <v>0</v>
      </c>
      <c r="U7" s="977"/>
      <c r="V7" s="977">
        <f t="shared" ref="V7:V11" si="10">332*U7</f>
        <v>0</v>
      </c>
      <c r="W7" s="977"/>
      <c r="X7" s="19">
        <f t="shared" ref="X7:X11" si="11">W7*100</f>
        <v>0</v>
      </c>
      <c r="Y7" s="20">
        <f t="shared" si="0"/>
        <v>79974.510000000009</v>
      </c>
    </row>
    <row r="8" spans="1:25" ht="35.25" customHeight="1" x14ac:dyDescent="0.25">
      <c r="A8" s="12">
        <v>1967020280</v>
      </c>
      <c r="B8" s="979" t="s">
        <v>73</v>
      </c>
      <c r="C8" s="977">
        <v>42398</v>
      </c>
      <c r="D8" s="976">
        <f t="shared" si="1"/>
        <v>41232.055</v>
      </c>
      <c r="E8" s="977"/>
      <c r="F8" s="977">
        <f t="shared" si="2"/>
        <v>0</v>
      </c>
      <c r="G8" s="977">
        <v>90</v>
      </c>
      <c r="H8" s="977">
        <f t="shared" si="3"/>
        <v>2538</v>
      </c>
      <c r="I8" s="977"/>
      <c r="J8" s="977">
        <f t="shared" si="4"/>
        <v>0</v>
      </c>
      <c r="K8" s="977"/>
      <c r="L8" s="977">
        <f t="shared" si="5"/>
        <v>0</v>
      </c>
      <c r="M8" s="977"/>
      <c r="N8" s="976">
        <f t="shared" si="6"/>
        <v>0</v>
      </c>
      <c r="O8" s="977"/>
      <c r="P8" s="976">
        <f t="shared" si="7"/>
        <v>0</v>
      </c>
      <c r="Q8" s="976"/>
      <c r="R8" s="976">
        <f t="shared" si="8"/>
        <v>0</v>
      </c>
      <c r="S8" s="977"/>
      <c r="T8" s="977">
        <f t="shared" si="9"/>
        <v>0</v>
      </c>
      <c r="U8" s="977"/>
      <c r="V8" s="977">
        <f t="shared" si="10"/>
        <v>0</v>
      </c>
      <c r="W8" s="977">
        <v>1</v>
      </c>
      <c r="X8" s="19">
        <f t="shared" si="11"/>
        <v>100</v>
      </c>
      <c r="Y8" s="20">
        <f t="shared" si="0"/>
        <v>43870.055</v>
      </c>
    </row>
    <row r="9" spans="1:25" ht="38.25" customHeight="1" x14ac:dyDescent="0.25">
      <c r="A9" s="12">
        <v>1984225580</v>
      </c>
      <c r="B9" s="979" t="s">
        <v>75</v>
      </c>
      <c r="C9" s="977">
        <v>124899</v>
      </c>
      <c r="D9" s="976">
        <f t="shared" si="1"/>
        <v>121464.27750000001</v>
      </c>
      <c r="E9" s="977"/>
      <c r="F9" s="977">
        <f t="shared" si="2"/>
        <v>0</v>
      </c>
      <c r="G9" s="977"/>
      <c r="H9" s="977">
        <f t="shared" si="3"/>
        <v>0</v>
      </c>
      <c r="I9" s="977">
        <v>100</v>
      </c>
      <c r="J9" s="977">
        <f t="shared" si="4"/>
        <v>1850</v>
      </c>
      <c r="K9" s="977"/>
      <c r="L9" s="977">
        <f t="shared" si="5"/>
        <v>0</v>
      </c>
      <c r="M9" s="977"/>
      <c r="N9" s="976">
        <f t="shared" si="6"/>
        <v>0</v>
      </c>
      <c r="O9" s="977"/>
      <c r="P9" s="976">
        <f t="shared" si="7"/>
        <v>0</v>
      </c>
      <c r="Q9" s="976"/>
      <c r="R9" s="976">
        <f t="shared" si="8"/>
        <v>0</v>
      </c>
      <c r="S9" s="977"/>
      <c r="T9" s="977">
        <f t="shared" si="9"/>
        <v>0</v>
      </c>
      <c r="U9" s="977"/>
      <c r="V9" s="977">
        <f t="shared" si="10"/>
        <v>0</v>
      </c>
      <c r="W9" s="977"/>
      <c r="X9" s="19">
        <f t="shared" si="11"/>
        <v>0</v>
      </c>
      <c r="Y9" s="20">
        <f t="shared" si="0"/>
        <v>123314.27750000001</v>
      </c>
    </row>
    <row r="10" spans="1:25" ht="35.25" customHeight="1" x14ac:dyDescent="0.25">
      <c r="A10" s="12">
        <v>1409935199</v>
      </c>
      <c r="C10" s="977">
        <v>88740</v>
      </c>
      <c r="D10" s="976">
        <f t="shared" si="1"/>
        <v>86299.650000000009</v>
      </c>
      <c r="E10" s="977"/>
      <c r="F10" s="977">
        <f t="shared" si="2"/>
        <v>0</v>
      </c>
      <c r="G10" s="977"/>
      <c r="H10" s="977">
        <f t="shared" si="3"/>
        <v>0</v>
      </c>
      <c r="I10" s="977">
        <v>190</v>
      </c>
      <c r="J10" s="977">
        <f t="shared" si="4"/>
        <v>3515</v>
      </c>
      <c r="K10" s="977"/>
      <c r="L10" s="977">
        <f t="shared" si="5"/>
        <v>0</v>
      </c>
      <c r="M10" s="977"/>
      <c r="N10" s="976">
        <f t="shared" si="6"/>
        <v>0</v>
      </c>
      <c r="O10" s="977"/>
      <c r="P10" s="976">
        <f t="shared" si="7"/>
        <v>0</v>
      </c>
      <c r="Q10" s="976"/>
      <c r="R10" s="976">
        <f t="shared" si="8"/>
        <v>0</v>
      </c>
      <c r="S10" s="977"/>
      <c r="T10" s="977">
        <f t="shared" si="9"/>
        <v>0</v>
      </c>
      <c r="U10" s="977"/>
      <c r="V10" s="977">
        <f t="shared" si="10"/>
        <v>0</v>
      </c>
      <c r="W10" s="977"/>
      <c r="X10" s="19">
        <f t="shared" si="11"/>
        <v>0</v>
      </c>
      <c r="Y10" s="20">
        <f t="shared" si="0"/>
        <v>89814.650000000009</v>
      </c>
    </row>
    <row r="11" spans="1:25" ht="37.5" customHeight="1" x14ac:dyDescent="0.25">
      <c r="A11" s="12"/>
      <c r="B11" s="978"/>
      <c r="C11" s="977"/>
      <c r="D11" s="22">
        <f t="shared" si="1"/>
        <v>0</v>
      </c>
      <c r="E11" s="977"/>
      <c r="F11" s="977">
        <f t="shared" si="2"/>
        <v>0</v>
      </c>
      <c r="G11" s="977"/>
      <c r="H11" s="977">
        <f t="shared" si="3"/>
        <v>0</v>
      </c>
      <c r="I11" s="977"/>
      <c r="J11" s="977">
        <f t="shared" si="4"/>
        <v>0</v>
      </c>
      <c r="K11" s="977"/>
      <c r="L11" s="977">
        <f t="shared" si="5"/>
        <v>0</v>
      </c>
      <c r="M11" s="977"/>
      <c r="N11" s="976">
        <f t="shared" si="6"/>
        <v>0</v>
      </c>
      <c r="O11" s="977"/>
      <c r="P11" s="976">
        <f t="shared" si="7"/>
        <v>0</v>
      </c>
      <c r="Q11" s="976"/>
      <c r="R11" s="976">
        <f t="shared" si="8"/>
        <v>0</v>
      </c>
      <c r="S11" s="977"/>
      <c r="T11" s="977">
        <f>341*S11</f>
        <v>0</v>
      </c>
      <c r="U11" s="977"/>
      <c r="V11" s="977">
        <f t="shared" si="10"/>
        <v>0</v>
      </c>
      <c r="W11" s="977"/>
      <c r="X11" s="19">
        <f t="shared" si="11"/>
        <v>0</v>
      </c>
      <c r="Y11" s="20">
        <f t="shared" si="0"/>
        <v>0</v>
      </c>
    </row>
    <row r="12" spans="1:25" ht="29.25" customHeight="1" x14ac:dyDescent="0.25">
      <c r="A12" s="2235" t="s">
        <v>31</v>
      </c>
      <c r="B12" s="2235"/>
      <c r="C12" s="18">
        <f t="shared" ref="C12:X12" si="12">SUM(C6:C11)</f>
        <v>400063</v>
      </c>
      <c r="D12" s="18">
        <f t="shared" si="12"/>
        <v>389061.26750000002</v>
      </c>
      <c r="E12" s="18">
        <f t="shared" si="12"/>
        <v>0</v>
      </c>
      <c r="F12" s="18">
        <f t="shared" si="12"/>
        <v>0</v>
      </c>
      <c r="G12" s="18">
        <f t="shared" si="12"/>
        <v>90</v>
      </c>
      <c r="H12" s="18">
        <f t="shared" si="12"/>
        <v>2538</v>
      </c>
      <c r="I12" s="18">
        <f t="shared" si="12"/>
        <v>290</v>
      </c>
      <c r="J12" s="18">
        <f t="shared" si="12"/>
        <v>5365</v>
      </c>
      <c r="K12" s="18">
        <f t="shared" si="12"/>
        <v>0</v>
      </c>
      <c r="L12" s="18">
        <f t="shared" si="12"/>
        <v>0</v>
      </c>
      <c r="M12" s="18">
        <f t="shared" si="12"/>
        <v>0</v>
      </c>
      <c r="N12" s="23">
        <f t="shared" si="12"/>
        <v>0</v>
      </c>
      <c r="O12" s="18">
        <f t="shared" si="12"/>
        <v>0</v>
      </c>
      <c r="P12" s="23">
        <f t="shared" si="12"/>
        <v>0</v>
      </c>
      <c r="Q12" s="23">
        <f t="shared" si="12"/>
        <v>0</v>
      </c>
      <c r="R12" s="23">
        <f>SUM(R6:R11)</f>
        <v>0</v>
      </c>
      <c r="S12" s="23">
        <f>SUM(S6:S11)</f>
        <v>0</v>
      </c>
      <c r="T12" s="18">
        <f t="shared" si="12"/>
        <v>0</v>
      </c>
      <c r="U12" s="18">
        <f t="shared" si="12"/>
        <v>0</v>
      </c>
      <c r="V12" s="18">
        <f t="shared" si="12"/>
        <v>0</v>
      </c>
      <c r="W12" s="18">
        <f t="shared" si="12"/>
        <v>1</v>
      </c>
      <c r="X12" s="18">
        <f t="shared" si="12"/>
        <v>100</v>
      </c>
      <c r="Y12" s="20">
        <f t="shared" si="0"/>
        <v>397064.26750000002</v>
      </c>
    </row>
    <row r="14" spans="1:25" ht="43.5" customHeight="1" x14ac:dyDescent="0.25">
      <c r="A14" s="30" t="s">
        <v>32</v>
      </c>
      <c r="B14" s="2236" t="s">
        <v>27</v>
      </c>
      <c r="C14" s="2236"/>
      <c r="D14" s="30" t="s">
        <v>333</v>
      </c>
      <c r="E14" s="30" t="s">
        <v>65</v>
      </c>
      <c r="F14" s="30" t="s">
        <v>34</v>
      </c>
      <c r="G14" s="30" t="s">
        <v>14</v>
      </c>
      <c r="H14" s="469" t="s">
        <v>173</v>
      </c>
      <c r="I14" s="30" t="s">
        <v>17</v>
      </c>
      <c r="J14" s="985" t="s">
        <v>174</v>
      </c>
      <c r="K14" s="30" t="s">
        <v>36</v>
      </c>
      <c r="L14" s="985" t="s">
        <v>403</v>
      </c>
      <c r="M14" s="30" t="s">
        <v>69</v>
      </c>
      <c r="N14" s="30" t="s">
        <v>70</v>
      </c>
      <c r="O14" s="985" t="s">
        <v>114</v>
      </c>
      <c r="P14" s="985"/>
      <c r="Q14" s="2300" t="s">
        <v>378</v>
      </c>
      <c r="R14" s="2301"/>
      <c r="S14" s="985" t="s">
        <v>401</v>
      </c>
      <c r="T14" s="2235" t="s">
        <v>46</v>
      </c>
      <c r="U14" s="979" t="s">
        <v>176</v>
      </c>
      <c r="V14" s="2260">
        <v>24441</v>
      </c>
      <c r="W14" s="2268"/>
      <c r="X14" s="2261"/>
    </row>
    <row r="15" spans="1:25" ht="22.5" customHeight="1" x14ac:dyDescent="0.25">
      <c r="A15" s="100" t="s">
        <v>38</v>
      </c>
      <c r="B15" s="2260">
        <v>579259</v>
      </c>
      <c r="C15" s="2261"/>
      <c r="D15" s="982">
        <v>482</v>
      </c>
      <c r="E15" s="982">
        <v>170</v>
      </c>
      <c r="F15" s="982">
        <v>290</v>
      </c>
      <c r="G15" s="982">
        <v>0</v>
      </c>
      <c r="H15" s="982">
        <v>436</v>
      </c>
      <c r="I15" s="982">
        <v>0</v>
      </c>
      <c r="J15" s="982">
        <v>5</v>
      </c>
      <c r="K15" s="982">
        <v>60</v>
      </c>
      <c r="L15" s="982">
        <v>0</v>
      </c>
      <c r="M15" s="982">
        <v>0</v>
      </c>
      <c r="N15" s="982">
        <v>100</v>
      </c>
      <c r="O15" s="982">
        <v>0</v>
      </c>
      <c r="P15" s="982"/>
      <c r="Q15" s="2260">
        <v>0</v>
      </c>
      <c r="R15" s="2261"/>
      <c r="S15" s="979">
        <v>53</v>
      </c>
      <c r="T15" s="2235"/>
      <c r="U15" s="979" t="s">
        <v>64</v>
      </c>
      <c r="V15" s="2262">
        <v>11697</v>
      </c>
      <c r="W15" s="2262"/>
      <c r="X15" s="2262"/>
    </row>
    <row r="16" spans="1:25" ht="24.75" customHeight="1" x14ac:dyDescent="0.25">
      <c r="A16" s="100" t="s">
        <v>39</v>
      </c>
      <c r="B16" s="2260">
        <v>342421</v>
      </c>
      <c r="C16" s="2261"/>
      <c r="D16" s="982"/>
      <c r="E16" s="982"/>
      <c r="F16" s="982">
        <v>22000</v>
      </c>
      <c r="G16" s="982"/>
      <c r="H16" s="982"/>
      <c r="I16" s="982"/>
      <c r="J16" s="982"/>
      <c r="K16" s="982"/>
      <c r="L16" s="982"/>
      <c r="M16" s="982"/>
      <c r="N16" s="982"/>
      <c r="O16" s="982"/>
      <c r="P16" s="982"/>
      <c r="Q16" s="2225"/>
      <c r="R16" s="2225"/>
      <c r="S16" s="982"/>
      <c r="T16" s="2254" t="s">
        <v>55</v>
      </c>
      <c r="U16" s="2254"/>
      <c r="V16" s="2267">
        <f>Y12</f>
        <v>397064.26750000002</v>
      </c>
      <c r="W16" s="2267"/>
      <c r="X16" s="2262"/>
    </row>
    <row r="17" spans="1:25" ht="28.5" customHeight="1" x14ac:dyDescent="0.25">
      <c r="A17" s="101" t="s">
        <v>44</v>
      </c>
      <c r="B17" s="2260">
        <v>53752</v>
      </c>
      <c r="C17" s="2261"/>
      <c r="D17" s="982"/>
      <c r="E17" s="982"/>
      <c r="F17" s="982"/>
      <c r="G17" s="982"/>
      <c r="H17" s="982"/>
      <c r="I17" s="982"/>
      <c r="J17" s="982"/>
      <c r="K17" s="982"/>
      <c r="L17" s="982"/>
      <c r="M17" s="982"/>
      <c r="N17" s="982"/>
      <c r="O17" s="982"/>
      <c r="P17" s="982"/>
      <c r="Q17" s="2225"/>
      <c r="R17" s="2225"/>
      <c r="S17" s="978"/>
      <c r="T17" s="2294" t="s">
        <v>362</v>
      </c>
      <c r="U17" s="2295"/>
      <c r="V17" s="2296">
        <v>237000</v>
      </c>
      <c r="W17" s="2296"/>
      <c r="X17" s="2296"/>
    </row>
    <row r="18" spans="1:25" ht="27" customHeight="1" x14ac:dyDescent="0.25">
      <c r="A18" s="100" t="s">
        <v>40</v>
      </c>
      <c r="B18" s="2264">
        <f>C12</f>
        <v>400063</v>
      </c>
      <c r="C18" s="2261"/>
      <c r="D18" s="984">
        <f>E12</f>
        <v>0</v>
      </c>
      <c r="E18" s="984">
        <f>G12</f>
        <v>90</v>
      </c>
      <c r="F18" s="984">
        <f>I12</f>
        <v>290</v>
      </c>
      <c r="G18" s="984">
        <f>K12</f>
        <v>0</v>
      </c>
      <c r="H18" s="982"/>
      <c r="I18" s="984">
        <f>U12</f>
        <v>0</v>
      </c>
      <c r="J18" s="982"/>
      <c r="K18" s="984">
        <f>W12</f>
        <v>1</v>
      </c>
      <c r="L18" s="982"/>
      <c r="M18" s="984">
        <f>M12</f>
        <v>0</v>
      </c>
      <c r="N18" s="984"/>
      <c r="O18" s="983">
        <f>Q12</f>
        <v>0</v>
      </c>
      <c r="P18" s="984"/>
      <c r="Q18" s="2262"/>
      <c r="R18" s="2262"/>
      <c r="S18" s="979"/>
      <c r="T18" s="2254" t="s">
        <v>57</v>
      </c>
      <c r="U18" s="2254"/>
      <c r="V18" s="2262">
        <v>920</v>
      </c>
      <c r="W18" s="2262"/>
      <c r="X18" s="2262"/>
      <c r="Y18" s="2269"/>
    </row>
    <row r="19" spans="1:25" ht="25.5" customHeight="1" x14ac:dyDescent="0.25">
      <c r="A19" s="100" t="s">
        <v>41</v>
      </c>
      <c r="B19" s="2260">
        <f>B15+B16+B17-B18</f>
        <v>575369</v>
      </c>
      <c r="C19" s="2261"/>
      <c r="D19" s="982">
        <f>D15+D16+D17-D18</f>
        <v>482</v>
      </c>
      <c r="E19" s="982">
        <f t="shared" ref="E19:N19" si="13">E15+E16+E17-E18</f>
        <v>80</v>
      </c>
      <c r="F19" s="982">
        <f t="shared" si="13"/>
        <v>22000</v>
      </c>
      <c r="G19" s="982">
        <f t="shared" si="13"/>
        <v>0</v>
      </c>
      <c r="H19" s="982">
        <f t="shared" si="13"/>
        <v>436</v>
      </c>
      <c r="I19" s="982">
        <f t="shared" si="13"/>
        <v>0</v>
      </c>
      <c r="J19" s="982">
        <f t="shared" si="13"/>
        <v>5</v>
      </c>
      <c r="K19" s="982">
        <f t="shared" si="13"/>
        <v>59</v>
      </c>
      <c r="L19" s="982">
        <f t="shared" si="13"/>
        <v>0</v>
      </c>
      <c r="M19" s="982">
        <f t="shared" si="13"/>
        <v>0</v>
      </c>
      <c r="N19" s="982">
        <f t="shared" si="13"/>
        <v>100</v>
      </c>
      <c r="O19" s="982">
        <f>O15+O16+O17-O18</f>
        <v>0</v>
      </c>
      <c r="P19" s="982">
        <f>P15+P16+P17-P18</f>
        <v>0</v>
      </c>
      <c r="Q19" s="2260">
        <f t="shared" ref="Q19" si="14">Q15+Q16+Q17-Q18</f>
        <v>0</v>
      </c>
      <c r="R19" s="2261"/>
      <c r="S19" s="979">
        <f>S15+S16-S17-S18</f>
        <v>53</v>
      </c>
      <c r="T19" s="2256" t="s">
        <v>48</v>
      </c>
      <c r="U19" s="49" t="s">
        <v>58</v>
      </c>
      <c r="V19" s="2262">
        <v>300000</v>
      </c>
      <c r="W19" s="2262"/>
      <c r="X19" s="2262"/>
      <c r="Y19" s="2269"/>
    </row>
    <row r="20" spans="1:25" ht="23.25" customHeight="1" x14ac:dyDescent="0.25">
      <c r="A20" s="289" t="s">
        <v>187</v>
      </c>
      <c r="B20" s="2286">
        <f>B19*0.9625</f>
        <v>553792.66249999998</v>
      </c>
      <c r="C20" s="2287"/>
      <c r="D20" s="290">
        <f>D19*66.41</f>
        <v>32009.62</v>
      </c>
      <c r="E20" s="290">
        <f>27.9368*E19</f>
        <v>2234.944</v>
      </c>
      <c r="F20" s="290">
        <f>18.31*F19</f>
        <v>402820</v>
      </c>
      <c r="G20" s="290">
        <f>27.9368*G19</f>
        <v>0</v>
      </c>
      <c r="H20" s="290">
        <f>241*H19</f>
        <v>105076</v>
      </c>
      <c r="I20" s="290">
        <f>323*I19</f>
        <v>0</v>
      </c>
      <c r="J20" s="290">
        <f>241*J19</f>
        <v>1205</v>
      </c>
      <c r="K20" s="290">
        <f>K19*100</f>
        <v>5900</v>
      </c>
      <c r="L20" s="290">
        <f>241*L19</f>
        <v>0</v>
      </c>
      <c r="M20" s="290">
        <f>9.65*M19</f>
        <v>0</v>
      </c>
      <c r="N20" s="290">
        <f>N19*48.2</f>
        <v>4820</v>
      </c>
      <c r="O20" s="290">
        <f>241*O19</f>
        <v>0</v>
      </c>
      <c r="P20" s="290">
        <f>241*P19</f>
        <v>0</v>
      </c>
      <c r="Q20" s="2286">
        <f>341*Q19</f>
        <v>0</v>
      </c>
      <c r="R20" s="2287"/>
      <c r="S20" s="290">
        <f>341*S19</f>
        <v>18073</v>
      </c>
      <c r="T20" s="2257"/>
      <c r="U20" s="49" t="s">
        <v>59</v>
      </c>
      <c r="V20" s="2262">
        <v>332400</v>
      </c>
      <c r="W20" s="2262"/>
      <c r="X20" s="2262"/>
      <c r="Y20" s="2269"/>
    </row>
    <row r="21" spans="1:25" ht="32.25" customHeight="1" x14ac:dyDescent="0.25">
      <c r="A21" s="291" t="s">
        <v>186</v>
      </c>
      <c r="B21" s="2293">
        <f>SUM(B20:S20)</f>
        <v>1125931.2264999999</v>
      </c>
      <c r="C21" s="2293"/>
      <c r="O21" s="986"/>
      <c r="P21" s="986"/>
      <c r="Q21" s="986"/>
      <c r="R21" s="986"/>
      <c r="T21" s="2294" t="s">
        <v>366</v>
      </c>
      <c r="U21" s="2295"/>
      <c r="V21" s="2297"/>
      <c r="W21" s="2298"/>
      <c r="X21" s="2299"/>
      <c r="Y21" s="2269"/>
    </row>
    <row r="22" spans="1:25" ht="35.25" customHeight="1" x14ac:dyDescent="0.25">
      <c r="A22" s="15"/>
      <c r="B22" s="2288" t="s">
        <v>49</v>
      </c>
      <c r="C22" s="2291">
        <v>300000</v>
      </c>
      <c r="D22" s="2291">
        <v>300000</v>
      </c>
      <c r="E22" s="2291">
        <v>400000</v>
      </c>
      <c r="F22" s="2291">
        <f>C22-D22+E22</f>
        <v>400000</v>
      </c>
      <c r="G22" s="986"/>
      <c r="Q22" s="986"/>
      <c r="R22" s="986"/>
      <c r="T22" s="2251" t="s">
        <v>83</v>
      </c>
      <c r="U22" s="50" t="s">
        <v>60</v>
      </c>
      <c r="V22" s="2262">
        <v>627550</v>
      </c>
      <c r="W22" s="2262"/>
      <c r="X22" s="2262"/>
      <c r="Y22" s="2269"/>
    </row>
    <row r="23" spans="1:25" ht="39.75" customHeight="1" x14ac:dyDescent="0.25">
      <c r="A23" s="986"/>
      <c r="B23" s="2289"/>
      <c r="C23" s="2292"/>
      <c r="D23" s="2292"/>
      <c r="E23" s="2292"/>
      <c r="F23" s="2292"/>
      <c r="G23" s="986"/>
      <c r="Q23" s="986"/>
      <c r="R23" s="986"/>
      <c r="T23" s="2252"/>
      <c r="U23" s="50" t="s">
        <v>61</v>
      </c>
      <c r="V23" s="2262">
        <v>632400</v>
      </c>
      <c r="W23" s="2262"/>
      <c r="X23" s="2262"/>
      <c r="Y23" s="2269"/>
    </row>
    <row r="24" spans="1:25" ht="48" customHeight="1" x14ac:dyDescent="0.25">
      <c r="A24" s="986"/>
      <c r="B24" s="2290"/>
      <c r="C24" s="290" t="s">
        <v>46</v>
      </c>
      <c r="D24" s="290" t="s">
        <v>50</v>
      </c>
      <c r="E24" s="290" t="s">
        <v>51</v>
      </c>
      <c r="F24" s="290" t="s">
        <v>52</v>
      </c>
      <c r="G24" s="986"/>
      <c r="Q24" s="986"/>
      <c r="R24" s="986"/>
      <c r="T24" s="2235" t="s">
        <v>47</v>
      </c>
      <c r="U24" s="51" t="s">
        <v>62</v>
      </c>
      <c r="V24" s="2263">
        <f>V14+V16+V17-V18-V19-V20-V22+V23-V21</f>
        <v>30035.267500000075</v>
      </c>
      <c r="W24" s="2263"/>
      <c r="X24" s="2263"/>
      <c r="Y24" s="2269"/>
    </row>
    <row r="25" spans="1:25" ht="40.5" customHeight="1" x14ac:dyDescent="0.25">
      <c r="T25" s="2235"/>
      <c r="U25" s="51" t="s">
        <v>63</v>
      </c>
      <c r="V25" s="2262">
        <f>V15+V22-V23</f>
        <v>6847</v>
      </c>
      <c r="W25" s="2262"/>
      <c r="X25" s="2262"/>
    </row>
    <row r="26" spans="1:25" ht="36" customHeight="1" x14ac:dyDescent="0.25">
      <c r="K26" s="314"/>
    </row>
    <row r="28" spans="1:25" x14ac:dyDescent="0.25">
      <c r="J28" s="14" t="s">
        <v>139</v>
      </c>
    </row>
    <row r="32" spans="1:25" x14ac:dyDescent="0.25">
      <c r="I32" s="2280"/>
      <c r="J32" s="2280"/>
      <c r="K32" s="2280"/>
      <c r="L32" s="2280"/>
    </row>
    <row r="33" spans="9:12" x14ac:dyDescent="0.25">
      <c r="I33" s="986"/>
      <c r="J33" s="986"/>
      <c r="K33" s="2280"/>
      <c r="L33" s="2280"/>
    </row>
  </sheetData>
  <mergeCells count="62">
    <mergeCell ref="A1:Y1"/>
    <mergeCell ref="A2:Y2"/>
    <mergeCell ref="T3:Y3"/>
    <mergeCell ref="A4:A5"/>
    <mergeCell ref="B4:B5"/>
    <mergeCell ref="C4:D4"/>
    <mergeCell ref="E4:F4"/>
    <mergeCell ref="G4:H4"/>
    <mergeCell ref="I4:J4"/>
    <mergeCell ref="K4:L4"/>
    <mergeCell ref="Y4:Y5"/>
    <mergeCell ref="M4:N4"/>
    <mergeCell ref="O4:P4"/>
    <mergeCell ref="Q4:R4"/>
    <mergeCell ref="S4:T4"/>
    <mergeCell ref="U4:V4"/>
    <mergeCell ref="W4:X4"/>
    <mergeCell ref="B16:C16"/>
    <mergeCell ref="Q16:R16"/>
    <mergeCell ref="T16:U16"/>
    <mergeCell ref="V16:X16"/>
    <mergeCell ref="A12:B12"/>
    <mergeCell ref="B14:C14"/>
    <mergeCell ref="Q14:R14"/>
    <mergeCell ref="T14:T15"/>
    <mergeCell ref="V14:X14"/>
    <mergeCell ref="B15:C15"/>
    <mergeCell ref="Q15:R15"/>
    <mergeCell ref="V15:X15"/>
    <mergeCell ref="B17:C17"/>
    <mergeCell ref="Q17:R17"/>
    <mergeCell ref="T17:U17"/>
    <mergeCell ref="V17:X17"/>
    <mergeCell ref="B18:C18"/>
    <mergeCell ref="Q18:R18"/>
    <mergeCell ref="T18:U18"/>
    <mergeCell ref="V18:X18"/>
    <mergeCell ref="Y18:Y24"/>
    <mergeCell ref="B19:C19"/>
    <mergeCell ref="Q19:R19"/>
    <mergeCell ref="T19:T20"/>
    <mergeCell ref="V19:X19"/>
    <mergeCell ref="B20:C20"/>
    <mergeCell ref="B22:B24"/>
    <mergeCell ref="C22:C23"/>
    <mergeCell ref="D22:D23"/>
    <mergeCell ref="E22:E23"/>
    <mergeCell ref="F22:F23"/>
    <mergeCell ref="Q20:R20"/>
    <mergeCell ref="V20:X20"/>
    <mergeCell ref="B21:C21"/>
    <mergeCell ref="T21:U21"/>
    <mergeCell ref="V21:X21"/>
    <mergeCell ref="I32:J32"/>
    <mergeCell ref="K32:L32"/>
    <mergeCell ref="K33:L33"/>
    <mergeCell ref="T22:T23"/>
    <mergeCell ref="V22:X22"/>
    <mergeCell ref="V23:X23"/>
    <mergeCell ref="T24:T25"/>
    <mergeCell ref="V24:X24"/>
    <mergeCell ref="V25:X25"/>
  </mergeCells>
  <pageMargins left="0.15748031496063" right="0.15748031496063" top="0" bottom="0" header="0" footer="0"/>
  <pageSetup paperSize="9" scale="45" orientation="landscape" r:id="rId1"/>
</worksheet>
</file>

<file path=xl/worksheets/sheet19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194A35A-7FBF-469F-99F1-9FD80D7C819E}">
  <sheetPr>
    <pageSetUpPr fitToPage="1"/>
  </sheetPr>
  <dimension ref="A1:Y33"/>
  <sheetViews>
    <sheetView topLeftCell="A10" zoomScale="70" zoomScaleNormal="70" zoomScaleSheetLayoutView="100" workbookViewId="0">
      <selection activeCell="K9" sqref="K9"/>
    </sheetView>
  </sheetViews>
  <sheetFormatPr defaultColWidth="9.140625" defaultRowHeight="15" x14ac:dyDescent="0.25"/>
  <cols>
    <col min="1" max="1" width="18.28515625" style="14" customWidth="1"/>
    <col min="2" max="2" width="10.7109375" style="14" customWidth="1"/>
    <col min="3" max="3" width="12.28515625" style="14" customWidth="1"/>
    <col min="4" max="4" width="13.140625" style="14" bestFit="1" customWidth="1"/>
    <col min="5" max="5" width="12" style="14" customWidth="1"/>
    <col min="6" max="6" width="12.5703125" style="14" bestFit="1" customWidth="1"/>
    <col min="7" max="7" width="16" style="14" bestFit="1" customWidth="1"/>
    <col min="8" max="8" width="10.140625" style="14" bestFit="1" customWidth="1"/>
    <col min="9" max="9" width="10.5703125" style="14" bestFit="1" customWidth="1"/>
    <col min="10" max="10" width="10.5703125" style="14" customWidth="1"/>
    <col min="11" max="11" width="10.28515625" style="14" bestFit="1" customWidth="1"/>
    <col min="12" max="12" width="10.42578125" style="14" bestFit="1" customWidth="1"/>
    <col min="13" max="13" width="9.85546875" style="14" bestFit="1" customWidth="1"/>
    <col min="14" max="14" width="10.140625" style="14" bestFit="1" customWidth="1"/>
    <col min="15" max="15" width="9" style="14" customWidth="1"/>
    <col min="16" max="16" width="12.85546875" style="14" bestFit="1" customWidth="1"/>
    <col min="17" max="18" width="9.42578125" style="14" customWidth="1"/>
    <col min="19" max="19" width="13.7109375" style="14" customWidth="1"/>
    <col min="20" max="20" width="12.140625" style="14" customWidth="1"/>
    <col min="21" max="21" width="21.7109375" style="14" customWidth="1"/>
    <col min="22" max="22" width="9.85546875" style="14" customWidth="1"/>
    <col min="23" max="23" width="10.140625" style="14" bestFit="1" customWidth="1"/>
    <col min="24" max="24" width="10.28515625" style="14" customWidth="1"/>
    <col min="25" max="25" width="28" style="14" customWidth="1"/>
    <col min="26" max="16384" width="9.140625" style="14"/>
  </cols>
  <sheetData>
    <row r="1" spans="1:25" ht="46.15" customHeight="1" x14ac:dyDescent="0.25">
      <c r="A1" s="2240" t="s">
        <v>148</v>
      </c>
      <c r="B1" s="2240"/>
      <c r="C1" s="2240"/>
      <c r="D1" s="2240"/>
      <c r="E1" s="2240"/>
      <c r="F1" s="2240"/>
      <c r="G1" s="2240"/>
      <c r="H1" s="2240"/>
      <c r="I1" s="2240"/>
      <c r="J1" s="2240"/>
      <c r="K1" s="2240"/>
      <c r="L1" s="2240"/>
      <c r="M1" s="2240"/>
      <c r="N1" s="2240"/>
      <c r="O1" s="2240"/>
      <c r="P1" s="2240"/>
      <c r="Q1" s="2240"/>
      <c r="R1" s="2240"/>
      <c r="S1" s="2240"/>
      <c r="T1" s="2240"/>
      <c r="U1" s="2240"/>
      <c r="V1" s="2240"/>
      <c r="W1" s="2240"/>
      <c r="X1" s="2240"/>
      <c r="Y1" s="2240"/>
    </row>
    <row r="2" spans="1:25" ht="21.6" customHeight="1" x14ac:dyDescent="0.25">
      <c r="A2" s="2241" t="s">
        <v>383</v>
      </c>
      <c r="B2" s="2241"/>
      <c r="C2" s="2241"/>
      <c r="D2" s="2241"/>
      <c r="E2" s="2241"/>
      <c r="F2" s="2241"/>
      <c r="G2" s="2241"/>
      <c r="H2" s="2241"/>
      <c r="I2" s="2241"/>
      <c r="J2" s="2241"/>
      <c r="K2" s="2241"/>
      <c r="L2" s="2241"/>
      <c r="M2" s="2241"/>
      <c r="N2" s="2241"/>
      <c r="O2" s="2241"/>
      <c r="P2" s="2241"/>
      <c r="Q2" s="2241"/>
      <c r="R2" s="2241"/>
      <c r="S2" s="2241"/>
      <c r="T2" s="2241"/>
      <c r="U2" s="2241"/>
      <c r="V2" s="2241"/>
      <c r="W2" s="2241"/>
      <c r="X2" s="2241"/>
      <c r="Y2" s="2241"/>
    </row>
    <row r="3" spans="1:25" ht="21" customHeight="1" x14ac:dyDescent="0.25">
      <c r="A3" s="987"/>
      <c r="B3" s="987"/>
      <c r="C3" s="987"/>
      <c r="D3" s="987"/>
      <c r="E3" s="987"/>
      <c r="F3" s="987"/>
      <c r="G3" s="987"/>
      <c r="H3" s="987"/>
      <c r="I3" s="987"/>
      <c r="J3" s="987"/>
      <c r="K3" s="987"/>
      <c r="L3" s="987"/>
      <c r="M3" s="987"/>
      <c r="N3" s="987"/>
      <c r="O3" s="987"/>
      <c r="P3" s="987"/>
      <c r="Q3" s="987"/>
      <c r="R3" s="987"/>
      <c r="S3" s="987"/>
      <c r="T3" s="2242" t="s">
        <v>424</v>
      </c>
      <c r="U3" s="2242"/>
      <c r="V3" s="2242"/>
      <c r="W3" s="2242"/>
      <c r="X3" s="2242"/>
      <c r="Y3" s="2242"/>
    </row>
    <row r="4" spans="1:25" s="987" customFormat="1" ht="18" customHeight="1" x14ac:dyDescent="0.25">
      <c r="A4" s="2243" t="s">
        <v>25</v>
      </c>
      <c r="B4" s="2243" t="s">
        <v>26</v>
      </c>
      <c r="C4" s="2244" t="s">
        <v>27</v>
      </c>
      <c r="D4" s="2244"/>
      <c r="E4" s="2244" t="s">
        <v>342</v>
      </c>
      <c r="F4" s="2244"/>
      <c r="G4" s="2244" t="s">
        <v>65</v>
      </c>
      <c r="H4" s="2244"/>
      <c r="I4" s="2244" t="s">
        <v>29</v>
      </c>
      <c r="J4" s="2244"/>
      <c r="K4" s="2245" t="s">
        <v>14</v>
      </c>
      <c r="L4" s="2246"/>
      <c r="M4" s="2245" t="s">
        <v>67</v>
      </c>
      <c r="N4" s="2246"/>
      <c r="O4" s="2245" t="s">
        <v>68</v>
      </c>
      <c r="P4" s="2246"/>
      <c r="Q4" s="2245" t="s">
        <v>114</v>
      </c>
      <c r="R4" s="2246"/>
      <c r="S4" s="2244" t="s">
        <v>35</v>
      </c>
      <c r="T4" s="2244"/>
      <c r="U4" s="2245" t="s">
        <v>17</v>
      </c>
      <c r="V4" s="2246"/>
      <c r="W4" s="2247" t="s">
        <v>36</v>
      </c>
      <c r="X4" s="2248"/>
      <c r="Y4" s="2238" t="s">
        <v>30</v>
      </c>
    </row>
    <row r="5" spans="1:25" s="987" customFormat="1" ht="25.5" customHeight="1" x14ac:dyDescent="0.25">
      <c r="A5" s="2243"/>
      <c r="B5" s="2243"/>
      <c r="C5" s="989" t="s">
        <v>42</v>
      </c>
      <c r="D5" s="989" t="s">
        <v>43</v>
      </c>
      <c r="E5" s="989" t="s">
        <v>42</v>
      </c>
      <c r="F5" s="989" t="s">
        <v>43</v>
      </c>
      <c r="G5" s="989" t="s">
        <v>42</v>
      </c>
      <c r="H5" s="989" t="s">
        <v>43</v>
      </c>
      <c r="I5" s="989" t="s">
        <v>42</v>
      </c>
      <c r="J5" s="989" t="s">
        <v>43</v>
      </c>
      <c r="K5" s="989" t="s">
        <v>42</v>
      </c>
      <c r="L5" s="989" t="s">
        <v>43</v>
      </c>
      <c r="M5" s="989" t="s">
        <v>42</v>
      </c>
      <c r="N5" s="989" t="s">
        <v>43</v>
      </c>
      <c r="O5" s="989" t="s">
        <v>42</v>
      </c>
      <c r="P5" s="989" t="s">
        <v>43</v>
      </c>
      <c r="Q5" s="989" t="s">
        <v>42</v>
      </c>
      <c r="R5" s="989" t="s">
        <v>43</v>
      </c>
      <c r="S5" s="33" t="s">
        <v>42</v>
      </c>
      <c r="T5" s="33" t="s">
        <v>43</v>
      </c>
      <c r="U5" s="30" t="s">
        <v>42</v>
      </c>
      <c r="V5" s="30" t="s">
        <v>43</v>
      </c>
      <c r="W5" s="30" t="s">
        <v>42</v>
      </c>
      <c r="X5" s="30" t="s">
        <v>43</v>
      </c>
      <c r="Y5" s="2239"/>
    </row>
    <row r="6" spans="1:25" ht="34.5" customHeight="1" x14ac:dyDescent="0.25">
      <c r="A6" s="12">
        <v>1409935200</v>
      </c>
      <c r="B6" s="988" t="s">
        <v>71</v>
      </c>
      <c r="C6" s="991">
        <v>13592</v>
      </c>
      <c r="D6" s="992">
        <f>0.9725*C6</f>
        <v>13218.220000000001</v>
      </c>
      <c r="E6" s="991"/>
      <c r="F6" s="991">
        <f>67.1*E6</f>
        <v>0</v>
      </c>
      <c r="G6" s="991">
        <v>20</v>
      </c>
      <c r="H6" s="991">
        <f>28.2*G6</f>
        <v>564</v>
      </c>
      <c r="I6" s="991">
        <v>1370</v>
      </c>
      <c r="J6" s="991">
        <f>18.5*I6</f>
        <v>25345</v>
      </c>
      <c r="K6" s="991"/>
      <c r="L6" s="991">
        <f>28.2368*K6</f>
        <v>0</v>
      </c>
      <c r="M6" s="991"/>
      <c r="N6" s="992">
        <f>M6*9.75</f>
        <v>0</v>
      </c>
      <c r="O6" s="991"/>
      <c r="P6" s="992">
        <f>O6*48.7</f>
        <v>0</v>
      </c>
      <c r="Q6" s="992"/>
      <c r="R6" s="992">
        <f>241*Q6</f>
        <v>0</v>
      </c>
      <c r="S6" s="991"/>
      <c r="T6" s="991">
        <f>241*S6</f>
        <v>0</v>
      </c>
      <c r="U6" s="991"/>
      <c r="V6" s="991">
        <f>332*U6</f>
        <v>0</v>
      </c>
      <c r="W6" s="991"/>
      <c r="X6" s="19">
        <f>W6*100</f>
        <v>0</v>
      </c>
      <c r="Y6" s="20">
        <f t="shared" ref="Y6:Y12" si="0">D6+F6+H6+J6+L6+N6+P6+R6+T6+V6+X6</f>
        <v>39127.22</v>
      </c>
    </row>
    <row r="7" spans="1:25" ht="31.5" customHeight="1" x14ac:dyDescent="0.25">
      <c r="A7" s="12">
        <v>1984225578</v>
      </c>
      <c r="B7" s="988" t="s">
        <v>72</v>
      </c>
      <c r="C7" s="991">
        <v>57437</v>
      </c>
      <c r="D7" s="992">
        <f t="shared" ref="D7:D11" si="1">0.9725*C7</f>
        <v>55857.482499999998</v>
      </c>
      <c r="E7" s="991">
        <v>20</v>
      </c>
      <c r="F7" s="991">
        <f t="shared" ref="F7:F11" si="2">67.1*E7</f>
        <v>1342</v>
      </c>
      <c r="G7" s="991"/>
      <c r="H7" s="991">
        <f t="shared" ref="H7:H11" si="3">28.2*G7</f>
        <v>0</v>
      </c>
      <c r="I7" s="991">
        <v>360</v>
      </c>
      <c r="J7" s="991">
        <f t="shared" ref="J7:J11" si="4">18.5*I7</f>
        <v>6660</v>
      </c>
      <c r="K7" s="991"/>
      <c r="L7" s="991">
        <f t="shared" ref="L7:L11" si="5">28.2368*K7</f>
        <v>0</v>
      </c>
      <c r="M7" s="991"/>
      <c r="N7" s="992">
        <f t="shared" ref="N7:N11" si="6">M7*9.75</f>
        <v>0</v>
      </c>
      <c r="O7" s="991"/>
      <c r="P7" s="992">
        <f t="shared" ref="P7:P11" si="7">O7*48.7</f>
        <v>0</v>
      </c>
      <c r="Q7" s="992"/>
      <c r="R7" s="992">
        <f t="shared" ref="R7:R11" si="8">241*Q7</f>
        <v>0</v>
      </c>
      <c r="S7" s="991"/>
      <c r="T7" s="991">
        <f t="shared" ref="T7:T10" si="9">241*S7</f>
        <v>0</v>
      </c>
      <c r="U7" s="991"/>
      <c r="V7" s="991">
        <f t="shared" ref="V7:V11" si="10">332*U7</f>
        <v>0</v>
      </c>
      <c r="W7" s="991"/>
      <c r="X7" s="19">
        <f t="shared" ref="X7:X11" si="11">W7*100</f>
        <v>0</v>
      </c>
      <c r="Y7" s="20">
        <f t="shared" si="0"/>
        <v>63859.482499999998</v>
      </c>
    </row>
    <row r="8" spans="1:25" ht="35.25" customHeight="1" x14ac:dyDescent="0.25">
      <c r="A8" s="12">
        <v>1967020280</v>
      </c>
      <c r="B8" s="988" t="s">
        <v>73</v>
      </c>
      <c r="C8" s="991">
        <v>64571</v>
      </c>
      <c r="D8" s="992">
        <f t="shared" si="1"/>
        <v>62795.297500000001</v>
      </c>
      <c r="E8" s="991"/>
      <c r="F8" s="991">
        <f t="shared" si="2"/>
        <v>0</v>
      </c>
      <c r="G8" s="991"/>
      <c r="H8" s="991">
        <f t="shared" si="3"/>
        <v>0</v>
      </c>
      <c r="I8" s="991"/>
      <c r="J8" s="991">
        <f t="shared" si="4"/>
        <v>0</v>
      </c>
      <c r="K8" s="991"/>
      <c r="L8" s="991">
        <f t="shared" si="5"/>
        <v>0</v>
      </c>
      <c r="M8" s="991"/>
      <c r="N8" s="992">
        <f t="shared" si="6"/>
        <v>0</v>
      </c>
      <c r="O8" s="991"/>
      <c r="P8" s="992">
        <f t="shared" si="7"/>
        <v>0</v>
      </c>
      <c r="Q8" s="992"/>
      <c r="R8" s="992">
        <f t="shared" si="8"/>
        <v>0</v>
      </c>
      <c r="S8" s="991">
        <v>2</v>
      </c>
      <c r="T8" s="991">
        <f t="shared" si="9"/>
        <v>482</v>
      </c>
      <c r="U8" s="991"/>
      <c r="V8" s="991">
        <f t="shared" si="10"/>
        <v>0</v>
      </c>
      <c r="W8" s="991"/>
      <c r="X8" s="19">
        <f t="shared" si="11"/>
        <v>0</v>
      </c>
      <c r="Y8" s="20">
        <f t="shared" si="0"/>
        <v>63277.297500000001</v>
      </c>
    </row>
    <row r="9" spans="1:25" ht="38.25" customHeight="1" x14ac:dyDescent="0.25">
      <c r="A9" s="12">
        <v>1984225580</v>
      </c>
      <c r="B9" s="988" t="s">
        <v>75</v>
      </c>
      <c r="C9" s="991">
        <v>43717</v>
      </c>
      <c r="D9" s="992">
        <f t="shared" si="1"/>
        <v>42514.782500000001</v>
      </c>
      <c r="E9" s="991">
        <v>10</v>
      </c>
      <c r="F9" s="991">
        <f t="shared" si="2"/>
        <v>671</v>
      </c>
      <c r="G9" s="991"/>
      <c r="H9" s="991">
        <f t="shared" si="3"/>
        <v>0</v>
      </c>
      <c r="I9" s="991">
        <v>2200</v>
      </c>
      <c r="J9" s="991">
        <f t="shared" si="4"/>
        <v>40700</v>
      </c>
      <c r="K9" s="991"/>
      <c r="L9" s="991">
        <f t="shared" si="5"/>
        <v>0</v>
      </c>
      <c r="M9" s="991"/>
      <c r="N9" s="992">
        <f t="shared" si="6"/>
        <v>0</v>
      </c>
      <c r="O9" s="991"/>
      <c r="P9" s="992">
        <f t="shared" si="7"/>
        <v>0</v>
      </c>
      <c r="Q9" s="992"/>
      <c r="R9" s="992">
        <f t="shared" si="8"/>
        <v>0</v>
      </c>
      <c r="S9" s="991"/>
      <c r="T9" s="991">
        <f t="shared" si="9"/>
        <v>0</v>
      </c>
      <c r="U9" s="991"/>
      <c r="V9" s="991">
        <f t="shared" si="10"/>
        <v>0</v>
      </c>
      <c r="W9" s="991"/>
      <c r="X9" s="19">
        <f t="shared" si="11"/>
        <v>0</v>
      </c>
      <c r="Y9" s="20">
        <f t="shared" si="0"/>
        <v>83885.782500000001</v>
      </c>
    </row>
    <row r="10" spans="1:25" ht="35.25" customHeight="1" x14ac:dyDescent="0.25">
      <c r="A10" s="12">
        <v>1409935199</v>
      </c>
      <c r="C10" s="991"/>
      <c r="D10" s="992">
        <f t="shared" si="1"/>
        <v>0</v>
      </c>
      <c r="E10" s="991"/>
      <c r="F10" s="991">
        <f t="shared" si="2"/>
        <v>0</v>
      </c>
      <c r="G10" s="991"/>
      <c r="H10" s="991">
        <f t="shared" si="3"/>
        <v>0</v>
      </c>
      <c r="I10" s="991">
        <v>15000</v>
      </c>
      <c r="J10" s="991">
        <f t="shared" si="4"/>
        <v>277500</v>
      </c>
      <c r="K10" s="991"/>
      <c r="L10" s="991">
        <f t="shared" si="5"/>
        <v>0</v>
      </c>
      <c r="M10" s="991"/>
      <c r="N10" s="992">
        <f t="shared" si="6"/>
        <v>0</v>
      </c>
      <c r="O10" s="991"/>
      <c r="P10" s="992">
        <f t="shared" si="7"/>
        <v>0</v>
      </c>
      <c r="Q10" s="992"/>
      <c r="R10" s="992">
        <f t="shared" si="8"/>
        <v>0</v>
      </c>
      <c r="S10" s="991"/>
      <c r="T10" s="991">
        <f t="shared" si="9"/>
        <v>0</v>
      </c>
      <c r="U10" s="991"/>
      <c r="V10" s="991">
        <f t="shared" si="10"/>
        <v>0</v>
      </c>
      <c r="W10" s="991"/>
      <c r="X10" s="19">
        <f t="shared" si="11"/>
        <v>0</v>
      </c>
      <c r="Y10" s="20">
        <f t="shared" si="0"/>
        <v>277500</v>
      </c>
    </row>
    <row r="11" spans="1:25" ht="37.5" customHeight="1" x14ac:dyDescent="0.25">
      <c r="A11" s="12"/>
      <c r="B11" s="990"/>
      <c r="C11" s="991"/>
      <c r="D11" s="22">
        <f t="shared" si="1"/>
        <v>0</v>
      </c>
      <c r="E11" s="991"/>
      <c r="F11" s="991">
        <f t="shared" si="2"/>
        <v>0</v>
      </c>
      <c r="G11" s="991"/>
      <c r="H11" s="991">
        <f t="shared" si="3"/>
        <v>0</v>
      </c>
      <c r="I11" s="991"/>
      <c r="J11" s="991">
        <f t="shared" si="4"/>
        <v>0</v>
      </c>
      <c r="K11" s="991"/>
      <c r="L11" s="991">
        <f t="shared" si="5"/>
        <v>0</v>
      </c>
      <c r="M11" s="991"/>
      <c r="N11" s="992">
        <f t="shared" si="6"/>
        <v>0</v>
      </c>
      <c r="O11" s="991"/>
      <c r="P11" s="992">
        <f t="shared" si="7"/>
        <v>0</v>
      </c>
      <c r="Q11" s="992"/>
      <c r="R11" s="992">
        <f t="shared" si="8"/>
        <v>0</v>
      </c>
      <c r="S11" s="991"/>
      <c r="T11" s="991">
        <f>341*S11</f>
        <v>0</v>
      </c>
      <c r="U11" s="991"/>
      <c r="V11" s="991">
        <f t="shared" si="10"/>
        <v>0</v>
      </c>
      <c r="W11" s="991"/>
      <c r="X11" s="19">
        <f t="shared" si="11"/>
        <v>0</v>
      </c>
      <c r="Y11" s="20">
        <f t="shared" si="0"/>
        <v>0</v>
      </c>
    </row>
    <row r="12" spans="1:25" ht="29.25" customHeight="1" x14ac:dyDescent="0.25">
      <c r="A12" s="2235" t="s">
        <v>31</v>
      </c>
      <c r="B12" s="2235"/>
      <c r="C12" s="18">
        <f t="shared" ref="C12:X12" si="12">SUM(C6:C11)</f>
        <v>179317</v>
      </c>
      <c r="D12" s="18">
        <f t="shared" si="12"/>
        <v>174385.7825</v>
      </c>
      <c r="E12" s="18">
        <f t="shared" si="12"/>
        <v>30</v>
      </c>
      <c r="F12" s="18">
        <f t="shared" si="12"/>
        <v>2013</v>
      </c>
      <c r="G12" s="18">
        <f t="shared" si="12"/>
        <v>20</v>
      </c>
      <c r="H12" s="18">
        <f t="shared" si="12"/>
        <v>564</v>
      </c>
      <c r="I12" s="18">
        <f t="shared" si="12"/>
        <v>18930</v>
      </c>
      <c r="J12" s="18">
        <f t="shared" si="12"/>
        <v>350205</v>
      </c>
      <c r="K12" s="18">
        <f t="shared" si="12"/>
        <v>0</v>
      </c>
      <c r="L12" s="18">
        <f t="shared" si="12"/>
        <v>0</v>
      </c>
      <c r="M12" s="18">
        <f t="shared" si="12"/>
        <v>0</v>
      </c>
      <c r="N12" s="23">
        <f t="shared" si="12"/>
        <v>0</v>
      </c>
      <c r="O12" s="18">
        <f t="shared" si="12"/>
        <v>0</v>
      </c>
      <c r="P12" s="23">
        <f t="shared" si="12"/>
        <v>0</v>
      </c>
      <c r="Q12" s="23">
        <f t="shared" si="12"/>
        <v>0</v>
      </c>
      <c r="R12" s="23">
        <f>SUM(R6:R11)</f>
        <v>0</v>
      </c>
      <c r="S12" s="23">
        <f>SUM(S6:S11)</f>
        <v>2</v>
      </c>
      <c r="T12" s="18">
        <f t="shared" si="12"/>
        <v>482</v>
      </c>
      <c r="U12" s="18">
        <f t="shared" si="12"/>
        <v>0</v>
      </c>
      <c r="V12" s="18">
        <f t="shared" si="12"/>
        <v>0</v>
      </c>
      <c r="W12" s="18">
        <f t="shared" si="12"/>
        <v>0</v>
      </c>
      <c r="X12" s="18">
        <f t="shared" si="12"/>
        <v>0</v>
      </c>
      <c r="Y12" s="20">
        <f t="shared" si="0"/>
        <v>527649.78249999997</v>
      </c>
    </row>
    <row r="14" spans="1:25" ht="43.5" customHeight="1" x14ac:dyDescent="0.25">
      <c r="A14" s="30" t="s">
        <v>32</v>
      </c>
      <c r="B14" s="2236" t="s">
        <v>27</v>
      </c>
      <c r="C14" s="2236"/>
      <c r="D14" s="30" t="s">
        <v>333</v>
      </c>
      <c r="E14" s="30" t="s">
        <v>65</v>
      </c>
      <c r="F14" s="30" t="s">
        <v>34</v>
      </c>
      <c r="G14" s="30" t="s">
        <v>14</v>
      </c>
      <c r="H14" s="469" t="s">
        <v>173</v>
      </c>
      <c r="I14" s="30" t="s">
        <v>17</v>
      </c>
      <c r="J14" s="996" t="s">
        <v>174</v>
      </c>
      <c r="K14" s="30" t="s">
        <v>36</v>
      </c>
      <c r="L14" s="996" t="s">
        <v>403</v>
      </c>
      <c r="M14" s="30" t="s">
        <v>69</v>
      </c>
      <c r="N14" s="30" t="s">
        <v>70</v>
      </c>
      <c r="O14" s="996" t="s">
        <v>114</v>
      </c>
      <c r="P14" s="996"/>
      <c r="Q14" s="2300" t="s">
        <v>378</v>
      </c>
      <c r="R14" s="2301"/>
      <c r="S14" s="996" t="s">
        <v>401</v>
      </c>
      <c r="T14" s="2235" t="s">
        <v>46</v>
      </c>
      <c r="U14" s="988" t="s">
        <v>176</v>
      </c>
      <c r="V14" s="2260">
        <v>30035</v>
      </c>
      <c r="W14" s="2268"/>
      <c r="X14" s="2261"/>
    </row>
    <row r="15" spans="1:25" ht="22.5" customHeight="1" x14ac:dyDescent="0.25">
      <c r="A15" s="100" t="s">
        <v>38</v>
      </c>
      <c r="B15" s="2260">
        <v>575369</v>
      </c>
      <c r="C15" s="2261"/>
      <c r="D15" s="993">
        <v>482</v>
      </c>
      <c r="E15" s="993">
        <v>80</v>
      </c>
      <c r="F15" s="993">
        <v>22000</v>
      </c>
      <c r="G15" s="993">
        <v>0</v>
      </c>
      <c r="H15" s="993">
        <v>436</v>
      </c>
      <c r="I15" s="993">
        <v>0</v>
      </c>
      <c r="J15" s="993">
        <v>5</v>
      </c>
      <c r="K15" s="993">
        <v>59</v>
      </c>
      <c r="L15" s="993">
        <v>0</v>
      </c>
      <c r="M15" s="993">
        <v>0</v>
      </c>
      <c r="N15" s="993">
        <v>100</v>
      </c>
      <c r="O15" s="993">
        <v>0</v>
      </c>
      <c r="P15" s="993"/>
      <c r="Q15" s="2260">
        <v>0</v>
      </c>
      <c r="R15" s="2261"/>
      <c r="S15" s="988">
        <v>53</v>
      </c>
      <c r="T15" s="2235"/>
      <c r="U15" s="988" t="s">
        <v>64</v>
      </c>
      <c r="V15" s="2262">
        <v>6847</v>
      </c>
      <c r="W15" s="2262"/>
      <c r="X15" s="2262"/>
    </row>
    <row r="16" spans="1:25" ht="24.75" customHeight="1" x14ac:dyDescent="0.25">
      <c r="A16" s="100" t="s">
        <v>39</v>
      </c>
      <c r="B16" s="2260">
        <v>124752</v>
      </c>
      <c r="C16" s="2261"/>
      <c r="D16" s="993"/>
      <c r="E16" s="993"/>
      <c r="F16" s="993"/>
      <c r="G16" s="993"/>
      <c r="H16" s="993"/>
      <c r="I16" s="993"/>
      <c r="J16" s="993"/>
      <c r="K16" s="993"/>
      <c r="L16" s="993">
        <v>23</v>
      </c>
      <c r="M16" s="993"/>
      <c r="N16" s="993"/>
      <c r="O16" s="993"/>
      <c r="P16" s="993"/>
      <c r="Q16" s="2225"/>
      <c r="R16" s="2225"/>
      <c r="S16" s="993"/>
      <c r="T16" s="2254" t="s">
        <v>55</v>
      </c>
      <c r="U16" s="2254"/>
      <c r="V16" s="2267">
        <f>Y12</f>
        <v>527649.78249999997</v>
      </c>
      <c r="W16" s="2267"/>
      <c r="X16" s="2262"/>
    </row>
    <row r="17" spans="1:25" ht="28.5" customHeight="1" x14ac:dyDescent="0.25">
      <c r="A17" s="101" t="s">
        <v>44</v>
      </c>
      <c r="B17" s="2260"/>
      <c r="C17" s="2261"/>
      <c r="D17" s="993"/>
      <c r="E17" s="993"/>
      <c r="F17" s="993"/>
      <c r="G17" s="993"/>
      <c r="H17" s="993"/>
      <c r="I17" s="993"/>
      <c r="J17" s="993"/>
      <c r="K17" s="993"/>
      <c r="L17" s="993"/>
      <c r="M17" s="993"/>
      <c r="N17" s="993"/>
      <c r="O17" s="993"/>
      <c r="P17" s="993"/>
      <c r="Q17" s="2225"/>
      <c r="R17" s="2225"/>
      <c r="S17" s="990"/>
      <c r="T17" s="2294" t="s">
        <v>362</v>
      </c>
      <c r="U17" s="2295"/>
      <c r="V17" s="2296"/>
      <c r="W17" s="2296"/>
      <c r="X17" s="2296"/>
    </row>
    <row r="18" spans="1:25" ht="27" customHeight="1" x14ac:dyDescent="0.25">
      <c r="A18" s="100" t="s">
        <v>40</v>
      </c>
      <c r="B18" s="2264">
        <f>C12</f>
        <v>179317</v>
      </c>
      <c r="C18" s="2261"/>
      <c r="D18" s="994">
        <f>E12</f>
        <v>30</v>
      </c>
      <c r="E18" s="994">
        <f>G12</f>
        <v>20</v>
      </c>
      <c r="F18" s="994">
        <f>I12</f>
        <v>18930</v>
      </c>
      <c r="G18" s="994">
        <f>K12</f>
        <v>0</v>
      </c>
      <c r="H18" s="993">
        <v>25</v>
      </c>
      <c r="I18" s="994">
        <f>U12</f>
        <v>0</v>
      </c>
      <c r="J18" s="993"/>
      <c r="K18" s="994">
        <f>W12</f>
        <v>0</v>
      </c>
      <c r="L18" s="993"/>
      <c r="M18" s="994">
        <f>M12</f>
        <v>0</v>
      </c>
      <c r="N18" s="994"/>
      <c r="O18" s="995">
        <f>Q12</f>
        <v>0</v>
      </c>
      <c r="P18" s="994"/>
      <c r="Q18" s="2262"/>
      <c r="R18" s="2262"/>
      <c r="S18" s="988"/>
      <c r="T18" s="2254" t="s">
        <v>57</v>
      </c>
      <c r="U18" s="2254"/>
      <c r="V18" s="2262">
        <v>9790</v>
      </c>
      <c r="W18" s="2262"/>
      <c r="X18" s="2262"/>
      <c r="Y18" s="2269"/>
    </row>
    <row r="19" spans="1:25" ht="25.5" customHeight="1" x14ac:dyDescent="0.25">
      <c r="A19" s="100" t="s">
        <v>41</v>
      </c>
      <c r="B19" s="2260">
        <f>B15+B16+B17-B18</f>
        <v>520804</v>
      </c>
      <c r="C19" s="2261"/>
      <c r="D19" s="993">
        <f>D15+D16+D17-D18</f>
        <v>452</v>
      </c>
      <c r="E19" s="993">
        <f t="shared" ref="E19:N19" si="13">E15+E16+E17-E18</f>
        <v>60</v>
      </c>
      <c r="F19" s="993">
        <f t="shared" si="13"/>
        <v>3070</v>
      </c>
      <c r="G19" s="993">
        <f t="shared" si="13"/>
        <v>0</v>
      </c>
      <c r="H19" s="993">
        <f t="shared" si="13"/>
        <v>411</v>
      </c>
      <c r="I19" s="993">
        <f t="shared" si="13"/>
        <v>0</v>
      </c>
      <c r="J19" s="993">
        <f t="shared" si="13"/>
        <v>5</v>
      </c>
      <c r="K19" s="993">
        <f t="shared" si="13"/>
        <v>59</v>
      </c>
      <c r="L19" s="993">
        <f t="shared" si="13"/>
        <v>23</v>
      </c>
      <c r="M19" s="993">
        <f t="shared" si="13"/>
        <v>0</v>
      </c>
      <c r="N19" s="993">
        <f t="shared" si="13"/>
        <v>100</v>
      </c>
      <c r="O19" s="993">
        <f>O15+O16+O17-O18</f>
        <v>0</v>
      </c>
      <c r="P19" s="993">
        <f>P15+P16+P17-P18</f>
        <v>0</v>
      </c>
      <c r="Q19" s="2260">
        <f t="shared" ref="Q19" si="14">Q15+Q16+Q17-Q18</f>
        <v>0</v>
      </c>
      <c r="R19" s="2261"/>
      <c r="S19" s="988">
        <f>S15+S16-S17-S18</f>
        <v>53</v>
      </c>
      <c r="T19" s="2256" t="s">
        <v>48</v>
      </c>
      <c r="U19" s="49" t="s">
        <v>58</v>
      </c>
      <c r="V19" s="2262"/>
      <c r="W19" s="2262"/>
      <c r="X19" s="2262"/>
      <c r="Y19" s="2269"/>
    </row>
    <row r="20" spans="1:25" ht="23.25" customHeight="1" x14ac:dyDescent="0.25">
      <c r="A20" s="289" t="s">
        <v>187</v>
      </c>
      <c r="B20" s="2286">
        <f>B19*0.9625</f>
        <v>501273.85000000003</v>
      </c>
      <c r="C20" s="2287"/>
      <c r="D20" s="290">
        <f>D19*66.41</f>
        <v>30017.32</v>
      </c>
      <c r="E20" s="290">
        <f>27.9368*E19</f>
        <v>1676.2080000000001</v>
      </c>
      <c r="F20" s="290">
        <f>18.31*F19</f>
        <v>56211.7</v>
      </c>
      <c r="G20" s="290">
        <f>27.9368*G19</f>
        <v>0</v>
      </c>
      <c r="H20" s="290">
        <f>241*H19</f>
        <v>99051</v>
      </c>
      <c r="I20" s="290">
        <f>323*I19</f>
        <v>0</v>
      </c>
      <c r="J20" s="290">
        <f>241*J19</f>
        <v>1205</v>
      </c>
      <c r="K20" s="290">
        <f>K19*100</f>
        <v>5900</v>
      </c>
      <c r="L20" s="290">
        <f>241*L19</f>
        <v>5543</v>
      </c>
      <c r="M20" s="290">
        <f>9.65*M19</f>
        <v>0</v>
      </c>
      <c r="N20" s="290">
        <f>N19*48.2</f>
        <v>4820</v>
      </c>
      <c r="O20" s="290">
        <f>241*O19</f>
        <v>0</v>
      </c>
      <c r="P20" s="290">
        <f>241*P19</f>
        <v>0</v>
      </c>
      <c r="Q20" s="2286">
        <f>341*Q19</f>
        <v>0</v>
      </c>
      <c r="R20" s="2287"/>
      <c r="S20" s="290">
        <f>341*S19</f>
        <v>18073</v>
      </c>
      <c r="T20" s="2257"/>
      <c r="U20" s="49" t="s">
        <v>59</v>
      </c>
      <c r="V20" s="2262">
        <v>120074</v>
      </c>
      <c r="W20" s="2262"/>
      <c r="X20" s="2262"/>
      <c r="Y20" s="2269"/>
    </row>
    <row r="21" spans="1:25" ht="32.25" customHeight="1" x14ac:dyDescent="0.25">
      <c r="A21" s="291" t="s">
        <v>186</v>
      </c>
      <c r="B21" s="2293">
        <f>SUM(B20:S20)</f>
        <v>723771.07799999998</v>
      </c>
      <c r="C21" s="2293"/>
      <c r="O21" s="997"/>
      <c r="P21" s="997"/>
      <c r="Q21" s="997"/>
      <c r="R21" s="997"/>
      <c r="T21" s="2294" t="s">
        <v>366</v>
      </c>
      <c r="U21" s="2295"/>
      <c r="V21" s="2297"/>
      <c r="W21" s="2298"/>
      <c r="X21" s="2299"/>
      <c r="Y21" s="2269"/>
    </row>
    <row r="22" spans="1:25" ht="35.25" customHeight="1" x14ac:dyDescent="0.25">
      <c r="A22" s="15"/>
      <c r="B22" s="2288" t="s">
        <v>49</v>
      </c>
      <c r="C22" s="2291">
        <v>400000</v>
      </c>
      <c r="D22" s="2291"/>
      <c r="E22" s="2291"/>
      <c r="F22" s="2291">
        <f>C22-D22+E22</f>
        <v>400000</v>
      </c>
      <c r="G22" s="997"/>
      <c r="Q22" s="997"/>
      <c r="R22" s="997"/>
      <c r="T22" s="2251" t="s">
        <v>83</v>
      </c>
      <c r="U22" s="50" t="s">
        <v>60</v>
      </c>
      <c r="V22" s="2262"/>
      <c r="W22" s="2262"/>
      <c r="X22" s="2262"/>
      <c r="Y22" s="2269"/>
    </row>
    <row r="23" spans="1:25" ht="39.75" customHeight="1" x14ac:dyDescent="0.25">
      <c r="A23" s="997"/>
      <c r="B23" s="2289"/>
      <c r="C23" s="2292"/>
      <c r="D23" s="2292"/>
      <c r="E23" s="2292"/>
      <c r="F23" s="2292"/>
      <c r="G23" s="997"/>
      <c r="Q23" s="997"/>
      <c r="R23" s="997"/>
      <c r="T23" s="2252"/>
      <c r="U23" s="50" t="s">
        <v>61</v>
      </c>
      <c r="V23" s="2262"/>
      <c r="W23" s="2262"/>
      <c r="X23" s="2262"/>
      <c r="Y23" s="2269"/>
    </row>
    <row r="24" spans="1:25" ht="48" customHeight="1" x14ac:dyDescent="0.25">
      <c r="A24" s="997"/>
      <c r="B24" s="2290"/>
      <c r="C24" s="290" t="s">
        <v>46</v>
      </c>
      <c r="D24" s="290" t="s">
        <v>50</v>
      </c>
      <c r="E24" s="290" t="s">
        <v>51</v>
      </c>
      <c r="F24" s="290" t="s">
        <v>52</v>
      </c>
      <c r="G24" s="997"/>
      <c r="Q24" s="997"/>
      <c r="R24" s="997"/>
      <c r="T24" s="2235" t="s">
        <v>47</v>
      </c>
      <c r="U24" s="51" t="s">
        <v>62</v>
      </c>
      <c r="V24" s="2263">
        <f>V14+V16+V17-V18-V19-V20-V22+V23-V21</f>
        <v>427820.78249999997</v>
      </c>
      <c r="W24" s="2263"/>
      <c r="X24" s="2263"/>
      <c r="Y24" s="2269"/>
    </row>
    <row r="25" spans="1:25" ht="40.5" customHeight="1" x14ac:dyDescent="0.25">
      <c r="T25" s="2235"/>
      <c r="U25" s="51" t="s">
        <v>63</v>
      </c>
      <c r="V25" s="2262">
        <f>V15+V22-V23</f>
        <v>6847</v>
      </c>
      <c r="W25" s="2262"/>
      <c r="X25" s="2262"/>
    </row>
    <row r="26" spans="1:25" ht="36" customHeight="1" x14ac:dyDescent="0.25">
      <c r="K26" s="314"/>
    </row>
    <row r="28" spans="1:25" x14ac:dyDescent="0.25">
      <c r="J28" s="14" t="s">
        <v>139</v>
      </c>
    </row>
    <row r="32" spans="1:25" x14ac:dyDescent="0.25">
      <c r="I32" s="2280"/>
      <c r="J32" s="2280"/>
      <c r="K32" s="2280"/>
      <c r="L32" s="2280"/>
    </row>
    <row r="33" spans="9:12" x14ac:dyDescent="0.25">
      <c r="I33" s="997"/>
      <c r="J33" s="997"/>
      <c r="K33" s="2280"/>
      <c r="L33" s="2280"/>
    </row>
  </sheetData>
  <mergeCells count="62">
    <mergeCell ref="I32:J32"/>
    <mergeCell ref="K32:L32"/>
    <mergeCell ref="K33:L33"/>
    <mergeCell ref="T22:T23"/>
    <mergeCell ref="V22:X22"/>
    <mergeCell ref="V23:X23"/>
    <mergeCell ref="T24:T25"/>
    <mergeCell ref="V24:X24"/>
    <mergeCell ref="V25:X25"/>
    <mergeCell ref="Y18:Y24"/>
    <mergeCell ref="B19:C19"/>
    <mergeCell ref="Q19:R19"/>
    <mergeCell ref="T19:T20"/>
    <mergeCell ref="V19:X19"/>
    <mergeCell ref="B20:C20"/>
    <mergeCell ref="B22:B24"/>
    <mergeCell ref="C22:C23"/>
    <mergeCell ref="D22:D23"/>
    <mergeCell ref="E22:E23"/>
    <mergeCell ref="F22:F23"/>
    <mergeCell ref="Q20:R20"/>
    <mergeCell ref="V20:X20"/>
    <mergeCell ref="B21:C21"/>
    <mergeCell ref="T21:U21"/>
    <mergeCell ref="V21:X21"/>
    <mergeCell ref="B17:C17"/>
    <mergeCell ref="Q17:R17"/>
    <mergeCell ref="T17:U17"/>
    <mergeCell ref="V17:X17"/>
    <mergeCell ref="B18:C18"/>
    <mergeCell ref="Q18:R18"/>
    <mergeCell ref="T18:U18"/>
    <mergeCell ref="V18:X18"/>
    <mergeCell ref="W4:X4"/>
    <mergeCell ref="B16:C16"/>
    <mergeCell ref="Q16:R16"/>
    <mergeCell ref="T16:U16"/>
    <mergeCell ref="V16:X16"/>
    <mergeCell ref="A12:B12"/>
    <mergeCell ref="B14:C14"/>
    <mergeCell ref="Q14:R14"/>
    <mergeCell ref="T14:T15"/>
    <mergeCell ref="V14:X14"/>
    <mergeCell ref="B15:C15"/>
    <mergeCell ref="Q15:R15"/>
    <mergeCell ref="V15:X15"/>
    <mergeCell ref="A1:Y1"/>
    <mergeCell ref="A2:Y2"/>
    <mergeCell ref="T3:Y3"/>
    <mergeCell ref="A4:A5"/>
    <mergeCell ref="B4:B5"/>
    <mergeCell ref="C4:D4"/>
    <mergeCell ref="E4:F4"/>
    <mergeCell ref="G4:H4"/>
    <mergeCell ref="I4:J4"/>
    <mergeCell ref="K4:L4"/>
    <mergeCell ref="Y4:Y5"/>
    <mergeCell ref="M4:N4"/>
    <mergeCell ref="O4:P4"/>
    <mergeCell ref="Q4:R4"/>
    <mergeCell ref="S4:T4"/>
    <mergeCell ref="U4:V4"/>
  </mergeCells>
  <pageMargins left="0.15748031496063" right="0.15748031496063" top="0" bottom="0" header="0" footer="0"/>
  <pageSetup paperSize="9" scale="45" orientation="landscape" r:id="rId1"/>
</worksheet>
</file>

<file path=xl/worksheets/sheet20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B99947A-BFD0-43EA-9455-A9DE39F137DB}">
  <sheetPr>
    <pageSetUpPr fitToPage="1"/>
  </sheetPr>
  <dimension ref="A1:Y33"/>
  <sheetViews>
    <sheetView topLeftCell="A11" zoomScale="70" zoomScaleNormal="70" zoomScaleSheetLayoutView="100" workbookViewId="0">
      <selection activeCell="H27" sqref="H27"/>
    </sheetView>
  </sheetViews>
  <sheetFormatPr defaultColWidth="9.140625" defaultRowHeight="15" x14ac:dyDescent="0.25"/>
  <cols>
    <col min="1" max="1" width="18.28515625" style="14" customWidth="1"/>
    <col min="2" max="2" width="10.7109375" style="14" customWidth="1"/>
    <col min="3" max="3" width="12.28515625" style="14" customWidth="1"/>
    <col min="4" max="4" width="13.140625" style="14" bestFit="1" customWidth="1"/>
    <col min="5" max="5" width="12" style="14" customWidth="1"/>
    <col min="6" max="6" width="12.5703125" style="14" bestFit="1" customWidth="1"/>
    <col min="7" max="7" width="16" style="14" bestFit="1" customWidth="1"/>
    <col min="8" max="8" width="10.140625" style="14" bestFit="1" customWidth="1"/>
    <col min="9" max="9" width="10.5703125" style="14" bestFit="1" customWidth="1"/>
    <col min="10" max="10" width="10.5703125" style="14" customWidth="1"/>
    <col min="11" max="11" width="10.28515625" style="14" bestFit="1" customWidth="1"/>
    <col min="12" max="12" width="10.42578125" style="14" bestFit="1" customWidth="1"/>
    <col min="13" max="13" width="9.85546875" style="14" bestFit="1" customWidth="1"/>
    <col min="14" max="14" width="10.140625" style="14" bestFit="1" customWidth="1"/>
    <col min="15" max="15" width="9" style="14" customWidth="1"/>
    <col min="16" max="16" width="12.85546875" style="14" bestFit="1" customWidth="1"/>
    <col min="17" max="18" width="9.42578125" style="14" customWidth="1"/>
    <col min="19" max="19" width="13.7109375" style="14" customWidth="1"/>
    <col min="20" max="20" width="12.140625" style="14" customWidth="1"/>
    <col min="21" max="21" width="21.7109375" style="14" customWidth="1"/>
    <col min="22" max="22" width="9.85546875" style="14" customWidth="1"/>
    <col min="23" max="23" width="10.140625" style="14" bestFit="1" customWidth="1"/>
    <col min="24" max="24" width="10.28515625" style="14" customWidth="1"/>
    <col min="25" max="25" width="28" style="14" customWidth="1"/>
    <col min="26" max="16384" width="9.140625" style="14"/>
  </cols>
  <sheetData>
    <row r="1" spans="1:25" ht="46.15" customHeight="1" x14ac:dyDescent="0.25">
      <c r="A1" s="2240" t="s">
        <v>148</v>
      </c>
      <c r="B1" s="2240"/>
      <c r="C1" s="2240"/>
      <c r="D1" s="2240"/>
      <c r="E1" s="2240"/>
      <c r="F1" s="2240"/>
      <c r="G1" s="2240"/>
      <c r="H1" s="2240"/>
      <c r="I1" s="2240"/>
      <c r="J1" s="2240"/>
      <c r="K1" s="2240"/>
      <c r="L1" s="2240"/>
      <c r="M1" s="2240"/>
      <c r="N1" s="2240"/>
      <c r="O1" s="2240"/>
      <c r="P1" s="2240"/>
      <c r="Q1" s="2240"/>
      <c r="R1" s="2240"/>
      <c r="S1" s="2240"/>
      <c r="T1" s="2240"/>
      <c r="U1" s="2240"/>
      <c r="V1" s="2240"/>
      <c r="W1" s="2240"/>
      <c r="X1" s="2240"/>
      <c r="Y1" s="2240"/>
    </row>
    <row r="2" spans="1:25" ht="21.6" customHeight="1" x14ac:dyDescent="0.25">
      <c r="A2" s="2241" t="s">
        <v>383</v>
      </c>
      <c r="B2" s="2241"/>
      <c r="C2" s="2241"/>
      <c r="D2" s="2241"/>
      <c r="E2" s="2241"/>
      <c r="F2" s="2241"/>
      <c r="G2" s="2241"/>
      <c r="H2" s="2241"/>
      <c r="I2" s="2241"/>
      <c r="J2" s="2241"/>
      <c r="K2" s="2241"/>
      <c r="L2" s="2241"/>
      <c r="M2" s="2241"/>
      <c r="N2" s="2241"/>
      <c r="O2" s="2241"/>
      <c r="P2" s="2241"/>
      <c r="Q2" s="2241"/>
      <c r="R2" s="2241"/>
      <c r="S2" s="2241"/>
      <c r="T2" s="2241"/>
      <c r="U2" s="2241"/>
      <c r="V2" s="2241"/>
      <c r="W2" s="2241"/>
      <c r="X2" s="2241"/>
      <c r="Y2" s="2241"/>
    </row>
    <row r="3" spans="1:25" ht="21" customHeight="1" x14ac:dyDescent="0.25">
      <c r="A3" s="1003"/>
      <c r="B3" s="1003"/>
      <c r="C3" s="1003"/>
      <c r="D3" s="1003"/>
      <c r="E3" s="1003"/>
      <c r="F3" s="1003"/>
      <c r="G3" s="1003"/>
      <c r="H3" s="1003"/>
      <c r="I3" s="1003"/>
      <c r="J3" s="1003"/>
      <c r="K3" s="1003"/>
      <c r="L3" s="1003"/>
      <c r="M3" s="1003"/>
      <c r="N3" s="1003"/>
      <c r="O3" s="1003"/>
      <c r="P3" s="1003"/>
      <c r="Q3" s="1003"/>
      <c r="R3" s="1003"/>
      <c r="S3" s="1003"/>
      <c r="T3" s="2242" t="s">
        <v>425</v>
      </c>
      <c r="U3" s="2242"/>
      <c r="V3" s="2242"/>
      <c r="W3" s="2242"/>
      <c r="X3" s="2242"/>
      <c r="Y3" s="2242"/>
    </row>
    <row r="4" spans="1:25" s="1003" customFormat="1" ht="18" customHeight="1" x14ac:dyDescent="0.25">
      <c r="A4" s="2243" t="s">
        <v>25</v>
      </c>
      <c r="B4" s="2243" t="s">
        <v>26</v>
      </c>
      <c r="C4" s="2244" t="s">
        <v>27</v>
      </c>
      <c r="D4" s="2244"/>
      <c r="E4" s="2244" t="s">
        <v>342</v>
      </c>
      <c r="F4" s="2244"/>
      <c r="G4" s="2244" t="s">
        <v>65</v>
      </c>
      <c r="H4" s="2244"/>
      <c r="I4" s="2244" t="s">
        <v>29</v>
      </c>
      <c r="J4" s="2244"/>
      <c r="K4" s="2245" t="s">
        <v>14</v>
      </c>
      <c r="L4" s="2246"/>
      <c r="M4" s="2245" t="s">
        <v>67</v>
      </c>
      <c r="N4" s="2246"/>
      <c r="O4" s="2245" t="s">
        <v>68</v>
      </c>
      <c r="P4" s="2246"/>
      <c r="Q4" s="2245" t="s">
        <v>114</v>
      </c>
      <c r="R4" s="2246"/>
      <c r="S4" s="2244" t="s">
        <v>35</v>
      </c>
      <c r="T4" s="2244"/>
      <c r="U4" s="2245" t="s">
        <v>17</v>
      </c>
      <c r="V4" s="2246"/>
      <c r="W4" s="2247" t="s">
        <v>36</v>
      </c>
      <c r="X4" s="2248"/>
      <c r="Y4" s="2238" t="s">
        <v>30</v>
      </c>
    </row>
    <row r="5" spans="1:25" s="1003" customFormat="1" ht="25.5" customHeight="1" x14ac:dyDescent="0.25">
      <c r="A5" s="2243"/>
      <c r="B5" s="2243"/>
      <c r="C5" s="1002" t="s">
        <v>42</v>
      </c>
      <c r="D5" s="1002" t="s">
        <v>43</v>
      </c>
      <c r="E5" s="1002" t="s">
        <v>42</v>
      </c>
      <c r="F5" s="1002" t="s">
        <v>43</v>
      </c>
      <c r="G5" s="1002" t="s">
        <v>42</v>
      </c>
      <c r="H5" s="1002" t="s">
        <v>43</v>
      </c>
      <c r="I5" s="1002" t="s">
        <v>42</v>
      </c>
      <c r="J5" s="1002" t="s">
        <v>43</v>
      </c>
      <c r="K5" s="1002" t="s">
        <v>42</v>
      </c>
      <c r="L5" s="1002" t="s">
        <v>43</v>
      </c>
      <c r="M5" s="1002" t="s">
        <v>42</v>
      </c>
      <c r="N5" s="1002" t="s">
        <v>43</v>
      </c>
      <c r="O5" s="1002" t="s">
        <v>42</v>
      </c>
      <c r="P5" s="1002" t="s">
        <v>43</v>
      </c>
      <c r="Q5" s="1002" t="s">
        <v>42</v>
      </c>
      <c r="R5" s="1002" t="s">
        <v>43</v>
      </c>
      <c r="S5" s="33" t="s">
        <v>42</v>
      </c>
      <c r="T5" s="33" t="s">
        <v>43</v>
      </c>
      <c r="U5" s="30" t="s">
        <v>42</v>
      </c>
      <c r="V5" s="30" t="s">
        <v>43</v>
      </c>
      <c r="W5" s="30" t="s">
        <v>42</v>
      </c>
      <c r="X5" s="30" t="s">
        <v>43</v>
      </c>
      <c r="Y5" s="2239"/>
    </row>
    <row r="6" spans="1:25" ht="34.5" customHeight="1" x14ac:dyDescent="0.25">
      <c r="A6" s="12">
        <v>1409935200</v>
      </c>
      <c r="B6" s="1001" t="s">
        <v>71</v>
      </c>
      <c r="C6" s="999">
        <v>30000</v>
      </c>
      <c r="D6" s="998">
        <f>0.9725*C6</f>
        <v>29175</v>
      </c>
      <c r="E6" s="999"/>
      <c r="F6" s="999">
        <f>67.1*E6</f>
        <v>0</v>
      </c>
      <c r="G6" s="999"/>
      <c r="H6" s="999">
        <f>28.2*G6</f>
        <v>0</v>
      </c>
      <c r="I6" s="999"/>
      <c r="J6" s="999">
        <f>18.5*I6</f>
        <v>0</v>
      </c>
      <c r="K6" s="999"/>
      <c r="L6" s="999">
        <f>28.2368*K6</f>
        <v>0</v>
      </c>
      <c r="M6" s="999"/>
      <c r="N6" s="998">
        <f>M6*9.75</f>
        <v>0</v>
      </c>
      <c r="O6" s="999"/>
      <c r="P6" s="998">
        <f>O6*48.7</f>
        <v>0</v>
      </c>
      <c r="Q6" s="998"/>
      <c r="R6" s="998">
        <f>241*Q6</f>
        <v>0</v>
      </c>
      <c r="S6" s="999"/>
      <c r="T6" s="999">
        <f>241*S6</f>
        <v>0</v>
      </c>
      <c r="U6" s="999"/>
      <c r="V6" s="999">
        <f>332*U6</f>
        <v>0</v>
      </c>
      <c r="W6" s="999"/>
      <c r="X6" s="19">
        <f>W6*100</f>
        <v>0</v>
      </c>
      <c r="Y6" s="20">
        <f t="shared" ref="Y6:Y12" si="0">D6+F6+H6+J6+L6+N6+P6+R6+T6+V6+X6</f>
        <v>29175</v>
      </c>
    </row>
    <row r="7" spans="1:25" ht="31.5" customHeight="1" x14ac:dyDescent="0.25">
      <c r="A7" s="12">
        <v>1984225578</v>
      </c>
      <c r="B7" s="1001" t="s">
        <v>72</v>
      </c>
      <c r="C7" s="999">
        <v>9614</v>
      </c>
      <c r="D7" s="998">
        <f t="shared" ref="D7:D11" si="1">0.9725*C7</f>
        <v>9349.6149999999998</v>
      </c>
      <c r="E7" s="999"/>
      <c r="F7" s="999">
        <f t="shared" ref="F7:F11" si="2">67.1*E7</f>
        <v>0</v>
      </c>
      <c r="G7" s="999"/>
      <c r="H7" s="999">
        <f t="shared" ref="H7:H11" si="3">28.2*G7</f>
        <v>0</v>
      </c>
      <c r="I7" s="999"/>
      <c r="J7" s="999">
        <f t="shared" ref="J7:J11" si="4">18.5*I7</f>
        <v>0</v>
      </c>
      <c r="K7" s="999"/>
      <c r="L7" s="999">
        <f t="shared" ref="L7:L11" si="5">28.2368*K7</f>
        <v>0</v>
      </c>
      <c r="M7" s="999"/>
      <c r="N7" s="998">
        <f t="shared" ref="N7:N11" si="6">M7*9.75</f>
        <v>0</v>
      </c>
      <c r="O7" s="999"/>
      <c r="P7" s="998">
        <f t="shared" ref="P7:P11" si="7">O7*48.7</f>
        <v>0</v>
      </c>
      <c r="Q7" s="998"/>
      <c r="R7" s="998">
        <f t="shared" ref="R7:R11" si="8">241*Q7</f>
        <v>0</v>
      </c>
      <c r="S7" s="999"/>
      <c r="T7" s="999">
        <f t="shared" ref="T7:T10" si="9">241*S7</f>
        <v>0</v>
      </c>
      <c r="U7" s="999"/>
      <c r="V7" s="999">
        <f t="shared" ref="V7:V11" si="10">332*U7</f>
        <v>0</v>
      </c>
      <c r="W7" s="999"/>
      <c r="X7" s="19">
        <f t="shared" ref="X7:X11" si="11">W7*100</f>
        <v>0</v>
      </c>
      <c r="Y7" s="20">
        <f t="shared" si="0"/>
        <v>9349.6149999999998</v>
      </c>
    </row>
    <row r="8" spans="1:25" ht="35.25" customHeight="1" x14ac:dyDescent="0.25">
      <c r="A8" s="12">
        <v>1967020280</v>
      </c>
      <c r="B8" s="1001" t="s">
        <v>427</v>
      </c>
      <c r="C8" s="999">
        <v>7502</v>
      </c>
      <c r="D8" s="998">
        <f t="shared" si="1"/>
        <v>7295.6950000000006</v>
      </c>
      <c r="E8" s="999"/>
      <c r="F8" s="999">
        <f t="shared" si="2"/>
        <v>0</v>
      </c>
      <c r="G8" s="999"/>
      <c r="H8" s="999">
        <f t="shared" si="3"/>
        <v>0</v>
      </c>
      <c r="I8" s="999"/>
      <c r="J8" s="999">
        <f t="shared" si="4"/>
        <v>0</v>
      </c>
      <c r="K8" s="999"/>
      <c r="L8" s="999">
        <f t="shared" si="5"/>
        <v>0</v>
      </c>
      <c r="M8" s="999"/>
      <c r="N8" s="998">
        <f t="shared" si="6"/>
        <v>0</v>
      </c>
      <c r="O8" s="999"/>
      <c r="P8" s="998">
        <f t="shared" si="7"/>
        <v>0</v>
      </c>
      <c r="Q8" s="998"/>
      <c r="R8" s="998">
        <f t="shared" si="8"/>
        <v>0</v>
      </c>
      <c r="S8" s="999"/>
      <c r="T8" s="999">
        <f t="shared" si="9"/>
        <v>0</v>
      </c>
      <c r="U8" s="999"/>
      <c r="V8" s="999">
        <f t="shared" si="10"/>
        <v>0</v>
      </c>
      <c r="W8" s="999"/>
      <c r="X8" s="19">
        <f t="shared" si="11"/>
        <v>0</v>
      </c>
      <c r="Y8" s="20">
        <f t="shared" si="0"/>
        <v>7295.6950000000006</v>
      </c>
    </row>
    <row r="9" spans="1:25" ht="38.25" customHeight="1" x14ac:dyDescent="0.25">
      <c r="A9" s="12">
        <v>1984225580</v>
      </c>
      <c r="B9" s="1001" t="s">
        <v>75</v>
      </c>
      <c r="C9" s="999">
        <v>16466</v>
      </c>
      <c r="D9" s="998">
        <f t="shared" si="1"/>
        <v>16013.185000000001</v>
      </c>
      <c r="E9" s="999"/>
      <c r="F9" s="999">
        <f t="shared" si="2"/>
        <v>0</v>
      </c>
      <c r="G9" s="999"/>
      <c r="H9" s="999">
        <f t="shared" si="3"/>
        <v>0</v>
      </c>
      <c r="I9" s="999"/>
      <c r="J9" s="999">
        <f t="shared" si="4"/>
        <v>0</v>
      </c>
      <c r="K9" s="999"/>
      <c r="L9" s="999">
        <f t="shared" si="5"/>
        <v>0</v>
      </c>
      <c r="M9" s="999"/>
      <c r="N9" s="998">
        <f t="shared" si="6"/>
        <v>0</v>
      </c>
      <c r="O9" s="999"/>
      <c r="P9" s="998">
        <f t="shared" si="7"/>
        <v>0</v>
      </c>
      <c r="Q9" s="998"/>
      <c r="R9" s="998">
        <f t="shared" si="8"/>
        <v>0</v>
      </c>
      <c r="S9" s="999"/>
      <c r="T9" s="999">
        <f t="shared" si="9"/>
        <v>0</v>
      </c>
      <c r="U9" s="999"/>
      <c r="V9" s="999">
        <f t="shared" si="10"/>
        <v>0</v>
      </c>
      <c r="W9" s="999"/>
      <c r="X9" s="19">
        <f t="shared" si="11"/>
        <v>0</v>
      </c>
      <c r="Y9" s="20">
        <f t="shared" si="0"/>
        <v>16013.185000000001</v>
      </c>
    </row>
    <row r="10" spans="1:25" ht="35.25" customHeight="1" x14ac:dyDescent="0.25">
      <c r="A10" s="12">
        <v>1409935199</v>
      </c>
      <c r="C10" s="999"/>
      <c r="D10" s="998">
        <f t="shared" si="1"/>
        <v>0</v>
      </c>
      <c r="E10" s="999"/>
      <c r="F10" s="999">
        <f t="shared" si="2"/>
        <v>0</v>
      </c>
      <c r="G10" s="999"/>
      <c r="H10" s="999">
        <f t="shared" si="3"/>
        <v>0</v>
      </c>
      <c r="I10" s="999"/>
      <c r="J10" s="999">
        <f t="shared" si="4"/>
        <v>0</v>
      </c>
      <c r="K10" s="999"/>
      <c r="L10" s="999">
        <f t="shared" si="5"/>
        <v>0</v>
      </c>
      <c r="M10" s="999"/>
      <c r="N10" s="998">
        <f t="shared" si="6"/>
        <v>0</v>
      </c>
      <c r="O10" s="999"/>
      <c r="P10" s="998">
        <f t="shared" si="7"/>
        <v>0</v>
      </c>
      <c r="Q10" s="998"/>
      <c r="R10" s="998">
        <f t="shared" si="8"/>
        <v>0</v>
      </c>
      <c r="S10" s="999">
        <v>15</v>
      </c>
      <c r="T10" s="999">
        <f t="shared" si="9"/>
        <v>3615</v>
      </c>
      <c r="U10" s="999"/>
      <c r="V10" s="999">
        <f t="shared" si="10"/>
        <v>0</v>
      </c>
      <c r="W10" s="999"/>
      <c r="X10" s="19">
        <f t="shared" si="11"/>
        <v>0</v>
      </c>
      <c r="Y10" s="20">
        <f t="shared" si="0"/>
        <v>3615</v>
      </c>
    </row>
    <row r="11" spans="1:25" ht="37.5" customHeight="1" x14ac:dyDescent="0.25">
      <c r="A11" s="12"/>
      <c r="B11" s="1000"/>
      <c r="C11" s="999"/>
      <c r="D11" s="22">
        <f t="shared" si="1"/>
        <v>0</v>
      </c>
      <c r="E11" s="999"/>
      <c r="F11" s="999">
        <f t="shared" si="2"/>
        <v>0</v>
      </c>
      <c r="G11" s="999"/>
      <c r="H11" s="999">
        <f t="shared" si="3"/>
        <v>0</v>
      </c>
      <c r="I11" s="999"/>
      <c r="J11" s="999">
        <f t="shared" si="4"/>
        <v>0</v>
      </c>
      <c r="K11" s="999"/>
      <c r="L11" s="999">
        <f t="shared" si="5"/>
        <v>0</v>
      </c>
      <c r="M11" s="999"/>
      <c r="N11" s="998">
        <f t="shared" si="6"/>
        <v>0</v>
      </c>
      <c r="O11" s="999"/>
      <c r="P11" s="998">
        <f t="shared" si="7"/>
        <v>0</v>
      </c>
      <c r="Q11" s="998"/>
      <c r="R11" s="998">
        <f t="shared" si="8"/>
        <v>0</v>
      </c>
      <c r="S11" s="999"/>
      <c r="T11" s="999">
        <f>341*S11</f>
        <v>0</v>
      </c>
      <c r="U11" s="999"/>
      <c r="V11" s="999">
        <f t="shared" si="10"/>
        <v>0</v>
      </c>
      <c r="W11" s="999"/>
      <c r="X11" s="19">
        <f t="shared" si="11"/>
        <v>0</v>
      </c>
      <c r="Y11" s="20">
        <f t="shared" si="0"/>
        <v>0</v>
      </c>
    </row>
    <row r="12" spans="1:25" ht="29.25" customHeight="1" x14ac:dyDescent="0.25">
      <c r="A12" s="2235" t="s">
        <v>31</v>
      </c>
      <c r="B12" s="2235"/>
      <c r="C12" s="18">
        <f t="shared" ref="C12:X12" si="12">SUM(C6:C11)</f>
        <v>63582</v>
      </c>
      <c r="D12" s="18">
        <f t="shared" si="12"/>
        <v>61833.494999999995</v>
      </c>
      <c r="E12" s="18">
        <f t="shared" si="12"/>
        <v>0</v>
      </c>
      <c r="F12" s="18">
        <f t="shared" si="12"/>
        <v>0</v>
      </c>
      <c r="G12" s="18">
        <f t="shared" si="12"/>
        <v>0</v>
      </c>
      <c r="H12" s="18">
        <f t="shared" si="12"/>
        <v>0</v>
      </c>
      <c r="I12" s="18">
        <f t="shared" si="12"/>
        <v>0</v>
      </c>
      <c r="J12" s="18">
        <f t="shared" si="12"/>
        <v>0</v>
      </c>
      <c r="K12" s="18">
        <f t="shared" si="12"/>
        <v>0</v>
      </c>
      <c r="L12" s="18">
        <f t="shared" si="12"/>
        <v>0</v>
      </c>
      <c r="M12" s="18">
        <f t="shared" si="12"/>
        <v>0</v>
      </c>
      <c r="N12" s="23">
        <f t="shared" si="12"/>
        <v>0</v>
      </c>
      <c r="O12" s="18">
        <f t="shared" si="12"/>
        <v>0</v>
      </c>
      <c r="P12" s="23">
        <f t="shared" si="12"/>
        <v>0</v>
      </c>
      <c r="Q12" s="23">
        <f t="shared" si="12"/>
        <v>0</v>
      </c>
      <c r="R12" s="23">
        <f>SUM(R6:R11)</f>
        <v>0</v>
      </c>
      <c r="S12" s="23">
        <f>SUM(S6:S11)</f>
        <v>15</v>
      </c>
      <c r="T12" s="18">
        <f t="shared" si="12"/>
        <v>3615</v>
      </c>
      <c r="U12" s="18">
        <f t="shared" si="12"/>
        <v>0</v>
      </c>
      <c r="V12" s="18">
        <f t="shared" si="12"/>
        <v>0</v>
      </c>
      <c r="W12" s="18">
        <f t="shared" si="12"/>
        <v>0</v>
      </c>
      <c r="X12" s="18">
        <f t="shared" si="12"/>
        <v>0</v>
      </c>
      <c r="Y12" s="20">
        <f t="shared" si="0"/>
        <v>65448.494999999995</v>
      </c>
    </row>
    <row r="14" spans="1:25" ht="43.5" customHeight="1" x14ac:dyDescent="0.25">
      <c r="A14" s="30" t="s">
        <v>32</v>
      </c>
      <c r="B14" s="2236" t="s">
        <v>27</v>
      </c>
      <c r="C14" s="2236"/>
      <c r="D14" s="30" t="s">
        <v>333</v>
      </c>
      <c r="E14" s="30" t="s">
        <v>65</v>
      </c>
      <c r="F14" s="30" t="s">
        <v>34</v>
      </c>
      <c r="G14" s="30" t="s">
        <v>14</v>
      </c>
      <c r="H14" s="469" t="s">
        <v>173</v>
      </c>
      <c r="I14" s="30" t="s">
        <v>17</v>
      </c>
      <c r="J14" s="1007" t="s">
        <v>174</v>
      </c>
      <c r="K14" s="30" t="s">
        <v>36</v>
      </c>
      <c r="L14" s="1007" t="s">
        <v>403</v>
      </c>
      <c r="M14" s="30" t="s">
        <v>69</v>
      </c>
      <c r="N14" s="30" t="s">
        <v>70</v>
      </c>
      <c r="O14" s="1007" t="s">
        <v>114</v>
      </c>
      <c r="P14" s="1007"/>
      <c r="Q14" s="2300" t="s">
        <v>378</v>
      </c>
      <c r="R14" s="2301"/>
      <c r="S14" s="1007" t="s">
        <v>401</v>
      </c>
      <c r="T14" s="2235" t="s">
        <v>46</v>
      </c>
      <c r="U14" s="1001" t="s">
        <v>176</v>
      </c>
      <c r="V14" s="2260">
        <v>427821</v>
      </c>
      <c r="W14" s="2268"/>
      <c r="X14" s="2261"/>
    </row>
    <row r="15" spans="1:25" ht="22.5" customHeight="1" x14ac:dyDescent="0.25">
      <c r="A15" s="100" t="s">
        <v>38</v>
      </c>
      <c r="B15" s="2260">
        <v>520804</v>
      </c>
      <c r="C15" s="2261"/>
      <c r="D15" s="1004">
        <v>452</v>
      </c>
      <c r="E15" s="1004">
        <v>60</v>
      </c>
      <c r="F15" s="1004">
        <v>3070</v>
      </c>
      <c r="G15" s="1004">
        <v>0</v>
      </c>
      <c r="H15" s="1004">
        <v>411</v>
      </c>
      <c r="I15" s="1004">
        <v>0</v>
      </c>
      <c r="J15" s="1004">
        <v>5</v>
      </c>
      <c r="K15" s="1004">
        <v>59</v>
      </c>
      <c r="L15" s="1004">
        <v>23</v>
      </c>
      <c r="M15" s="1004">
        <v>0</v>
      </c>
      <c r="N15" s="1004">
        <v>100</v>
      </c>
      <c r="O15" s="1004">
        <v>0</v>
      </c>
      <c r="P15" s="1004"/>
      <c r="Q15" s="2260">
        <v>0</v>
      </c>
      <c r="R15" s="2261"/>
      <c r="S15" s="1001">
        <v>53</v>
      </c>
      <c r="T15" s="2235"/>
      <c r="U15" s="1001" t="s">
        <v>64</v>
      </c>
      <c r="V15" s="2262">
        <v>6847</v>
      </c>
      <c r="W15" s="2262"/>
      <c r="X15" s="2262"/>
    </row>
    <row r="16" spans="1:25" ht="24.75" customHeight="1" x14ac:dyDescent="0.25">
      <c r="A16" s="100" t="s">
        <v>39</v>
      </c>
      <c r="B16" s="2260">
        <v>138181</v>
      </c>
      <c r="C16" s="2261"/>
      <c r="D16" s="1004"/>
      <c r="E16" s="1004"/>
      <c r="F16" s="1004"/>
      <c r="G16" s="1004"/>
      <c r="H16" s="1004"/>
      <c r="I16" s="1004"/>
      <c r="J16" s="1004"/>
      <c r="K16" s="1004"/>
      <c r="L16" s="1004"/>
      <c r="M16" s="1004"/>
      <c r="N16" s="1004"/>
      <c r="O16" s="1004"/>
      <c r="P16" s="1004"/>
      <c r="Q16" s="2225"/>
      <c r="R16" s="2225"/>
      <c r="S16" s="1004"/>
      <c r="T16" s="2254" t="s">
        <v>55</v>
      </c>
      <c r="U16" s="2254"/>
      <c r="V16" s="2267">
        <f>Y12</f>
        <v>65448.494999999995</v>
      </c>
      <c r="W16" s="2267"/>
      <c r="X16" s="2262"/>
    </row>
    <row r="17" spans="1:25" ht="28.5" customHeight="1" x14ac:dyDescent="0.25">
      <c r="A17" s="101" t="s">
        <v>44</v>
      </c>
      <c r="B17" s="2260"/>
      <c r="C17" s="2261"/>
      <c r="D17" s="1004"/>
      <c r="E17" s="1004"/>
      <c r="F17" s="1004"/>
      <c r="G17" s="1004"/>
      <c r="H17" s="1004"/>
      <c r="I17" s="1004"/>
      <c r="J17" s="1004"/>
      <c r="K17" s="1004"/>
      <c r="L17" s="1004"/>
      <c r="M17" s="1004"/>
      <c r="N17" s="1004"/>
      <c r="O17" s="1004"/>
      <c r="P17" s="1004"/>
      <c r="Q17" s="2225"/>
      <c r="R17" s="2225"/>
      <c r="S17" s="1000"/>
      <c r="T17" s="2294" t="s">
        <v>362</v>
      </c>
      <c r="U17" s="2295"/>
      <c r="V17" s="2296"/>
      <c r="W17" s="2296"/>
      <c r="X17" s="2296"/>
    </row>
    <row r="18" spans="1:25" ht="27" customHeight="1" x14ac:dyDescent="0.25">
      <c r="A18" s="100" t="s">
        <v>40</v>
      </c>
      <c r="B18" s="2264">
        <f>C12</f>
        <v>63582</v>
      </c>
      <c r="C18" s="2261"/>
      <c r="D18" s="1006">
        <f>E12</f>
        <v>0</v>
      </c>
      <c r="E18" s="1006">
        <f>G12</f>
        <v>0</v>
      </c>
      <c r="F18" s="1006">
        <f>I12</f>
        <v>0</v>
      </c>
      <c r="G18" s="1006">
        <f>K12</f>
        <v>0</v>
      </c>
      <c r="H18" s="1004"/>
      <c r="I18" s="1006">
        <f>U12</f>
        <v>0</v>
      </c>
      <c r="J18" s="1004"/>
      <c r="K18" s="1006">
        <f>W12</f>
        <v>0</v>
      </c>
      <c r="L18" s="1004">
        <v>15</v>
      </c>
      <c r="M18" s="1006">
        <f>M12</f>
        <v>0</v>
      </c>
      <c r="N18" s="1006"/>
      <c r="O18" s="1005">
        <f>Q12</f>
        <v>0</v>
      </c>
      <c r="P18" s="1006"/>
      <c r="Q18" s="2262"/>
      <c r="R18" s="2262"/>
      <c r="S18" s="1001"/>
      <c r="T18" s="2254" t="s">
        <v>57</v>
      </c>
      <c r="U18" s="2254"/>
      <c r="V18" s="2262">
        <v>25399</v>
      </c>
      <c r="W18" s="2262"/>
      <c r="X18" s="2262"/>
      <c r="Y18" s="2269"/>
    </row>
    <row r="19" spans="1:25" ht="25.5" customHeight="1" x14ac:dyDescent="0.25">
      <c r="A19" s="100" t="s">
        <v>41</v>
      </c>
      <c r="B19" s="2260">
        <f>B15+B16+B17-B18</f>
        <v>595403</v>
      </c>
      <c r="C19" s="2261"/>
      <c r="D19" s="1004">
        <f>D15+D16+D17-D18</f>
        <v>452</v>
      </c>
      <c r="E19" s="1004">
        <f t="shared" ref="E19:N19" si="13">E15+E16+E17-E18</f>
        <v>60</v>
      </c>
      <c r="F19" s="1004">
        <f t="shared" si="13"/>
        <v>3070</v>
      </c>
      <c r="G19" s="1004">
        <f t="shared" si="13"/>
        <v>0</v>
      </c>
      <c r="H19" s="1004">
        <f t="shared" si="13"/>
        <v>411</v>
      </c>
      <c r="I19" s="1004">
        <f t="shared" si="13"/>
        <v>0</v>
      </c>
      <c r="J19" s="1004">
        <f t="shared" si="13"/>
        <v>5</v>
      </c>
      <c r="K19" s="1004">
        <f t="shared" si="13"/>
        <v>59</v>
      </c>
      <c r="L19" s="1004">
        <f t="shared" si="13"/>
        <v>8</v>
      </c>
      <c r="M19" s="1004">
        <f t="shared" si="13"/>
        <v>0</v>
      </c>
      <c r="N19" s="1004">
        <f t="shared" si="13"/>
        <v>100</v>
      </c>
      <c r="O19" s="1004">
        <f>O15+O16+O17-O18</f>
        <v>0</v>
      </c>
      <c r="P19" s="1004">
        <f>P15+P16+P17-P18</f>
        <v>0</v>
      </c>
      <c r="Q19" s="2260">
        <f t="shared" ref="Q19" si="14">Q15+Q16+Q17-Q18</f>
        <v>0</v>
      </c>
      <c r="R19" s="2261"/>
      <c r="S19" s="1001">
        <f>S15+S16-S17-S18</f>
        <v>53</v>
      </c>
      <c r="T19" s="2256" t="s">
        <v>48</v>
      </c>
      <c r="U19" s="49" t="s">
        <v>58</v>
      </c>
      <c r="V19" s="2262">
        <v>400000</v>
      </c>
      <c r="W19" s="2262"/>
      <c r="X19" s="2262"/>
      <c r="Y19" s="2269"/>
    </row>
    <row r="20" spans="1:25" ht="23.25" customHeight="1" x14ac:dyDescent="0.25">
      <c r="A20" s="289" t="s">
        <v>187</v>
      </c>
      <c r="B20" s="2286">
        <f>B19*0.9625</f>
        <v>573075.38750000007</v>
      </c>
      <c r="C20" s="2287"/>
      <c r="D20" s="290">
        <f>D19*66.41</f>
        <v>30017.32</v>
      </c>
      <c r="E20" s="290">
        <f>27.9368*E19</f>
        <v>1676.2080000000001</v>
      </c>
      <c r="F20" s="290">
        <f>18.31*F19</f>
        <v>56211.7</v>
      </c>
      <c r="G20" s="290">
        <f>27.9368*G19</f>
        <v>0</v>
      </c>
      <c r="H20" s="290">
        <f>241*H19</f>
        <v>99051</v>
      </c>
      <c r="I20" s="290">
        <f>323*I19</f>
        <v>0</v>
      </c>
      <c r="J20" s="290">
        <f>241*J19</f>
        <v>1205</v>
      </c>
      <c r="K20" s="290">
        <f>K19*100</f>
        <v>5900</v>
      </c>
      <c r="L20" s="290">
        <f>241*L19</f>
        <v>1928</v>
      </c>
      <c r="M20" s="290">
        <f>9.65*M19</f>
        <v>0</v>
      </c>
      <c r="N20" s="290">
        <f>N19*48.2</f>
        <v>4820</v>
      </c>
      <c r="O20" s="290">
        <f>241*O19</f>
        <v>0</v>
      </c>
      <c r="P20" s="290">
        <f>241*P19</f>
        <v>0</v>
      </c>
      <c r="Q20" s="2286">
        <f>341*Q19</f>
        <v>0</v>
      </c>
      <c r="R20" s="2287"/>
      <c r="S20" s="290">
        <f>341*S19</f>
        <v>18073</v>
      </c>
      <c r="T20" s="2257"/>
      <c r="U20" s="49" t="s">
        <v>59</v>
      </c>
      <c r="V20" s="2262"/>
      <c r="W20" s="2262"/>
      <c r="X20" s="2262"/>
      <c r="Y20" s="2269"/>
    </row>
    <row r="21" spans="1:25" ht="32.25" customHeight="1" x14ac:dyDescent="0.25">
      <c r="A21" s="291" t="s">
        <v>186</v>
      </c>
      <c r="B21" s="2293">
        <f>SUM(B20:S20)</f>
        <v>791957.61549999996</v>
      </c>
      <c r="C21" s="2293"/>
      <c r="O21" s="1008"/>
      <c r="P21" s="1008"/>
      <c r="Q21" s="1008"/>
      <c r="R21" s="1008"/>
      <c r="T21" s="2294" t="s">
        <v>366</v>
      </c>
      <c r="U21" s="2295"/>
      <c r="V21" s="2297"/>
      <c r="W21" s="2298"/>
      <c r="X21" s="2299"/>
      <c r="Y21" s="2269"/>
    </row>
    <row r="22" spans="1:25" ht="35.25" customHeight="1" x14ac:dyDescent="0.25">
      <c r="A22" s="15"/>
      <c r="B22" s="2288" t="s">
        <v>49</v>
      </c>
      <c r="C22" s="2291">
        <v>400000</v>
      </c>
      <c r="D22" s="2291">
        <v>400000</v>
      </c>
      <c r="E22" s="2291">
        <v>133000</v>
      </c>
      <c r="F22" s="2291">
        <f>C22-D22+E22</f>
        <v>133000</v>
      </c>
      <c r="G22" s="1008"/>
      <c r="Q22" s="1008"/>
      <c r="R22" s="1008"/>
      <c r="T22" s="2251" t="s">
        <v>83</v>
      </c>
      <c r="U22" s="50" t="s">
        <v>60</v>
      </c>
      <c r="V22" s="2262">
        <v>401100</v>
      </c>
      <c r="W22" s="2262"/>
      <c r="X22" s="2262"/>
      <c r="Y22" s="2269"/>
    </row>
    <row r="23" spans="1:25" ht="39.75" customHeight="1" x14ac:dyDescent="0.25">
      <c r="A23" s="1008"/>
      <c r="B23" s="2289"/>
      <c r="C23" s="2292"/>
      <c r="D23" s="2292"/>
      <c r="E23" s="2292"/>
      <c r="F23" s="2292"/>
      <c r="G23" s="1008"/>
      <c r="Q23" s="1008"/>
      <c r="R23" s="1008"/>
      <c r="T23" s="2252"/>
      <c r="U23" s="50" t="s">
        <v>61</v>
      </c>
      <c r="V23" s="2262">
        <v>400000</v>
      </c>
      <c r="W23" s="2262"/>
      <c r="X23" s="2262"/>
      <c r="Y23" s="2269"/>
    </row>
    <row r="24" spans="1:25" ht="48" customHeight="1" x14ac:dyDescent="0.25">
      <c r="A24" s="1008"/>
      <c r="B24" s="2290"/>
      <c r="C24" s="290" t="s">
        <v>46</v>
      </c>
      <c r="D24" s="290" t="s">
        <v>50</v>
      </c>
      <c r="E24" s="290" t="s">
        <v>51</v>
      </c>
      <c r="F24" s="290" t="s">
        <v>52</v>
      </c>
      <c r="G24" s="1008"/>
      <c r="Q24" s="1008"/>
      <c r="R24" s="1008"/>
      <c r="T24" s="2235" t="s">
        <v>47</v>
      </c>
      <c r="U24" s="51" t="s">
        <v>62</v>
      </c>
      <c r="V24" s="2263">
        <f>V14+V16+V17-V18-V19-V20-V22+V23-V21</f>
        <v>66770.494999999995</v>
      </c>
      <c r="W24" s="2263"/>
      <c r="X24" s="2263"/>
      <c r="Y24" s="2269"/>
    </row>
    <row r="25" spans="1:25" ht="40.5" customHeight="1" x14ac:dyDescent="0.25">
      <c r="T25" s="2235"/>
      <c r="U25" s="51" t="s">
        <v>63</v>
      </c>
      <c r="V25" s="2262">
        <f>V15+V22-V23</f>
        <v>7947</v>
      </c>
      <c r="W25" s="2262"/>
      <c r="X25" s="2262"/>
    </row>
    <row r="26" spans="1:25" ht="36" customHeight="1" x14ac:dyDescent="0.25">
      <c r="K26" s="314"/>
    </row>
    <row r="28" spans="1:25" x14ac:dyDescent="0.25">
      <c r="J28" s="14" t="s">
        <v>139</v>
      </c>
    </row>
    <row r="32" spans="1:25" x14ac:dyDescent="0.25">
      <c r="I32" s="2280"/>
      <c r="J32" s="2280"/>
      <c r="K32" s="2280"/>
      <c r="L32" s="2280"/>
    </row>
    <row r="33" spans="9:12" x14ac:dyDescent="0.25">
      <c r="I33" s="1008"/>
      <c r="J33" s="1008"/>
      <c r="K33" s="2280"/>
      <c r="L33" s="2280"/>
    </row>
  </sheetData>
  <mergeCells count="62">
    <mergeCell ref="A1:Y1"/>
    <mergeCell ref="A2:Y2"/>
    <mergeCell ref="T3:Y3"/>
    <mergeCell ref="A4:A5"/>
    <mergeCell ref="B4:B5"/>
    <mergeCell ref="C4:D4"/>
    <mergeCell ref="E4:F4"/>
    <mergeCell ref="G4:H4"/>
    <mergeCell ref="I4:J4"/>
    <mergeCell ref="K4:L4"/>
    <mergeCell ref="Y4:Y5"/>
    <mergeCell ref="M4:N4"/>
    <mergeCell ref="O4:P4"/>
    <mergeCell ref="Q4:R4"/>
    <mergeCell ref="S4:T4"/>
    <mergeCell ref="U4:V4"/>
    <mergeCell ref="W4:X4"/>
    <mergeCell ref="B16:C16"/>
    <mergeCell ref="Q16:R16"/>
    <mergeCell ref="T16:U16"/>
    <mergeCell ref="V16:X16"/>
    <mergeCell ref="A12:B12"/>
    <mergeCell ref="B14:C14"/>
    <mergeCell ref="Q14:R14"/>
    <mergeCell ref="T14:T15"/>
    <mergeCell ref="V14:X14"/>
    <mergeCell ref="B15:C15"/>
    <mergeCell ref="Q15:R15"/>
    <mergeCell ref="V15:X15"/>
    <mergeCell ref="B17:C17"/>
    <mergeCell ref="Q17:R17"/>
    <mergeCell ref="T17:U17"/>
    <mergeCell ref="V17:X17"/>
    <mergeCell ref="B18:C18"/>
    <mergeCell ref="Q18:R18"/>
    <mergeCell ref="T18:U18"/>
    <mergeCell ref="V18:X18"/>
    <mergeCell ref="Y18:Y24"/>
    <mergeCell ref="B19:C19"/>
    <mergeCell ref="Q19:R19"/>
    <mergeCell ref="T19:T20"/>
    <mergeCell ref="V19:X19"/>
    <mergeCell ref="B20:C20"/>
    <mergeCell ref="B22:B24"/>
    <mergeCell ref="C22:C23"/>
    <mergeCell ref="D22:D23"/>
    <mergeCell ref="E22:E23"/>
    <mergeCell ref="F22:F23"/>
    <mergeCell ref="Q20:R20"/>
    <mergeCell ref="V20:X20"/>
    <mergeCell ref="B21:C21"/>
    <mergeCell ref="T21:U21"/>
    <mergeCell ref="V21:X21"/>
    <mergeCell ref="I32:J32"/>
    <mergeCell ref="K32:L32"/>
    <mergeCell ref="K33:L33"/>
    <mergeCell ref="T22:T23"/>
    <mergeCell ref="V22:X22"/>
    <mergeCell ref="V23:X23"/>
    <mergeCell ref="T24:T25"/>
    <mergeCell ref="V24:X24"/>
    <mergeCell ref="V25:X25"/>
  </mergeCells>
  <pageMargins left="0.15748031496063" right="0.15748031496063" top="0" bottom="0" header="0" footer="0"/>
  <pageSetup paperSize="9" scale="45" orientation="landscape" r:id="rId1"/>
</worksheet>
</file>

<file path=xl/worksheets/sheet20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442C76B-78E2-4869-A4AC-360B242B4339}">
  <sheetPr>
    <pageSetUpPr fitToPage="1"/>
  </sheetPr>
  <dimension ref="A1:Y33"/>
  <sheetViews>
    <sheetView topLeftCell="A10" zoomScale="70" zoomScaleNormal="70" zoomScaleSheetLayoutView="100" workbookViewId="0">
      <selection activeCell="N24" sqref="N24"/>
    </sheetView>
  </sheetViews>
  <sheetFormatPr defaultColWidth="9.140625" defaultRowHeight="15" x14ac:dyDescent="0.25"/>
  <cols>
    <col min="1" max="1" width="18.28515625" style="14" customWidth="1"/>
    <col min="2" max="2" width="10.7109375" style="14" customWidth="1"/>
    <col min="3" max="3" width="12.28515625" style="14" customWidth="1"/>
    <col min="4" max="4" width="13.140625" style="14" bestFit="1" customWidth="1"/>
    <col min="5" max="5" width="12" style="14" customWidth="1"/>
    <col min="6" max="6" width="12.5703125" style="14" bestFit="1" customWidth="1"/>
    <col min="7" max="7" width="16" style="14" bestFit="1" customWidth="1"/>
    <col min="8" max="8" width="10.140625" style="14" bestFit="1" customWidth="1"/>
    <col min="9" max="9" width="10.5703125" style="14" bestFit="1" customWidth="1"/>
    <col min="10" max="10" width="10.5703125" style="14" customWidth="1"/>
    <col min="11" max="11" width="10.28515625" style="14" bestFit="1" customWidth="1"/>
    <col min="12" max="12" width="10.42578125" style="14" bestFit="1" customWidth="1"/>
    <col min="13" max="13" width="9.85546875" style="14" bestFit="1" customWidth="1"/>
    <col min="14" max="14" width="10.140625" style="14" bestFit="1" customWidth="1"/>
    <col min="15" max="15" width="9" style="14" customWidth="1"/>
    <col min="16" max="16" width="12.85546875" style="14" bestFit="1" customWidth="1"/>
    <col min="17" max="18" width="9.42578125" style="14" customWidth="1"/>
    <col min="19" max="19" width="13.7109375" style="14" customWidth="1"/>
    <col min="20" max="20" width="12.140625" style="14" customWidth="1"/>
    <col min="21" max="21" width="21.7109375" style="14" customWidth="1"/>
    <col min="22" max="22" width="9.85546875" style="14" customWidth="1"/>
    <col min="23" max="23" width="10.140625" style="14" bestFit="1" customWidth="1"/>
    <col min="24" max="24" width="10.28515625" style="14" customWidth="1"/>
    <col min="25" max="25" width="28" style="14" customWidth="1"/>
    <col min="26" max="16384" width="9.140625" style="14"/>
  </cols>
  <sheetData>
    <row r="1" spans="1:25" ht="46.15" customHeight="1" x14ac:dyDescent="0.25">
      <c r="A1" s="2240" t="s">
        <v>148</v>
      </c>
      <c r="B1" s="2240"/>
      <c r="C1" s="2240"/>
      <c r="D1" s="2240"/>
      <c r="E1" s="2240"/>
      <c r="F1" s="2240"/>
      <c r="G1" s="2240"/>
      <c r="H1" s="2240"/>
      <c r="I1" s="2240"/>
      <c r="J1" s="2240"/>
      <c r="K1" s="2240"/>
      <c r="L1" s="2240"/>
      <c r="M1" s="2240"/>
      <c r="N1" s="2240"/>
      <c r="O1" s="2240"/>
      <c r="P1" s="2240"/>
      <c r="Q1" s="2240"/>
      <c r="R1" s="2240"/>
      <c r="S1" s="2240"/>
      <c r="T1" s="2240"/>
      <c r="U1" s="2240"/>
      <c r="V1" s="2240"/>
      <c r="W1" s="2240"/>
      <c r="X1" s="2240"/>
      <c r="Y1" s="2240"/>
    </row>
    <row r="2" spans="1:25" ht="21.6" customHeight="1" x14ac:dyDescent="0.25">
      <c r="A2" s="2241" t="s">
        <v>383</v>
      </c>
      <c r="B2" s="2241"/>
      <c r="C2" s="2241"/>
      <c r="D2" s="2241"/>
      <c r="E2" s="2241"/>
      <c r="F2" s="2241"/>
      <c r="G2" s="2241"/>
      <c r="H2" s="2241"/>
      <c r="I2" s="2241"/>
      <c r="J2" s="2241"/>
      <c r="K2" s="2241"/>
      <c r="L2" s="2241"/>
      <c r="M2" s="2241"/>
      <c r="N2" s="2241"/>
      <c r="O2" s="2241"/>
      <c r="P2" s="2241"/>
      <c r="Q2" s="2241"/>
      <c r="R2" s="2241"/>
      <c r="S2" s="2241"/>
      <c r="T2" s="2241"/>
      <c r="U2" s="2241"/>
      <c r="V2" s="2241"/>
      <c r="W2" s="2241"/>
      <c r="X2" s="2241"/>
      <c r="Y2" s="2241"/>
    </row>
    <row r="3" spans="1:25" ht="21" customHeight="1" x14ac:dyDescent="0.25">
      <c r="A3" s="1003"/>
      <c r="B3" s="1003"/>
      <c r="C3" s="1003"/>
      <c r="D3" s="1003"/>
      <c r="E3" s="1003"/>
      <c r="F3" s="1003"/>
      <c r="G3" s="1003"/>
      <c r="H3" s="1003"/>
      <c r="I3" s="1003"/>
      <c r="J3" s="1003"/>
      <c r="K3" s="1003"/>
      <c r="L3" s="1003"/>
      <c r="M3" s="1003"/>
      <c r="N3" s="1003"/>
      <c r="O3" s="1003"/>
      <c r="P3" s="1003"/>
      <c r="Q3" s="1003"/>
      <c r="R3" s="1003"/>
      <c r="S3" s="1003"/>
      <c r="T3" s="2242" t="s">
        <v>426</v>
      </c>
      <c r="U3" s="2242"/>
      <c r="V3" s="2242"/>
      <c r="W3" s="2242"/>
      <c r="X3" s="2242"/>
      <c r="Y3" s="2242"/>
    </row>
    <row r="4" spans="1:25" s="1003" customFormat="1" ht="18" customHeight="1" x14ac:dyDescent="0.25">
      <c r="A4" s="2243" t="s">
        <v>25</v>
      </c>
      <c r="B4" s="2243" t="s">
        <v>26</v>
      </c>
      <c r="C4" s="2244" t="s">
        <v>27</v>
      </c>
      <c r="D4" s="2244"/>
      <c r="E4" s="2244" t="s">
        <v>342</v>
      </c>
      <c r="F4" s="2244"/>
      <c r="G4" s="2244" t="s">
        <v>65</v>
      </c>
      <c r="H4" s="2244"/>
      <c r="I4" s="2244" t="s">
        <v>29</v>
      </c>
      <c r="J4" s="2244"/>
      <c r="K4" s="2245" t="s">
        <v>14</v>
      </c>
      <c r="L4" s="2246"/>
      <c r="M4" s="2245" t="s">
        <v>67</v>
      </c>
      <c r="N4" s="2246"/>
      <c r="O4" s="2245" t="s">
        <v>68</v>
      </c>
      <c r="P4" s="2246"/>
      <c r="Q4" s="2245" t="s">
        <v>114</v>
      </c>
      <c r="R4" s="2246"/>
      <c r="S4" s="2244" t="s">
        <v>35</v>
      </c>
      <c r="T4" s="2244"/>
      <c r="U4" s="2245" t="s">
        <v>17</v>
      </c>
      <c r="V4" s="2246"/>
      <c r="W4" s="2247" t="s">
        <v>36</v>
      </c>
      <c r="X4" s="2248"/>
      <c r="Y4" s="2238" t="s">
        <v>30</v>
      </c>
    </row>
    <row r="5" spans="1:25" s="1003" customFormat="1" ht="25.5" customHeight="1" x14ac:dyDescent="0.25">
      <c r="A5" s="2243"/>
      <c r="B5" s="2243"/>
      <c r="C5" s="1002" t="s">
        <v>42</v>
      </c>
      <c r="D5" s="1002" t="s">
        <v>43</v>
      </c>
      <c r="E5" s="1002" t="s">
        <v>42</v>
      </c>
      <c r="F5" s="1002" t="s">
        <v>43</v>
      </c>
      <c r="G5" s="1002" t="s">
        <v>42</v>
      </c>
      <c r="H5" s="1002" t="s">
        <v>43</v>
      </c>
      <c r="I5" s="1002" t="s">
        <v>42</v>
      </c>
      <c r="J5" s="1002" t="s">
        <v>43</v>
      </c>
      <c r="K5" s="1002" t="s">
        <v>42</v>
      </c>
      <c r="L5" s="1002" t="s">
        <v>43</v>
      </c>
      <c r="M5" s="1002" t="s">
        <v>42</v>
      </c>
      <c r="N5" s="1002" t="s">
        <v>43</v>
      </c>
      <c r="O5" s="1002" t="s">
        <v>42</v>
      </c>
      <c r="P5" s="1002" t="s">
        <v>43</v>
      </c>
      <c r="Q5" s="1002" t="s">
        <v>42</v>
      </c>
      <c r="R5" s="1002" t="s">
        <v>43</v>
      </c>
      <c r="S5" s="33" t="s">
        <v>42</v>
      </c>
      <c r="T5" s="33" t="s">
        <v>43</v>
      </c>
      <c r="U5" s="30" t="s">
        <v>42</v>
      </c>
      <c r="V5" s="30" t="s">
        <v>43</v>
      </c>
      <c r="W5" s="30" t="s">
        <v>42</v>
      </c>
      <c r="X5" s="30" t="s">
        <v>43</v>
      </c>
      <c r="Y5" s="2239"/>
    </row>
    <row r="6" spans="1:25" ht="34.5" customHeight="1" x14ac:dyDescent="0.25">
      <c r="A6" s="12">
        <v>1409935200</v>
      </c>
      <c r="B6" s="1001" t="s">
        <v>71</v>
      </c>
      <c r="C6" s="999">
        <v>16634</v>
      </c>
      <c r="D6" s="998">
        <f>0.9725*C6</f>
        <v>16176.565000000001</v>
      </c>
      <c r="E6" s="999"/>
      <c r="F6" s="999">
        <f>67.1*E6</f>
        <v>0</v>
      </c>
      <c r="G6" s="999"/>
      <c r="H6" s="999">
        <f>28.2*G6</f>
        <v>0</v>
      </c>
      <c r="I6" s="999">
        <v>350</v>
      </c>
      <c r="J6" s="999">
        <f>18.5*I6</f>
        <v>6475</v>
      </c>
      <c r="K6" s="999"/>
      <c r="L6" s="999">
        <f>28.2368*K6</f>
        <v>0</v>
      </c>
      <c r="M6" s="999"/>
      <c r="N6" s="998">
        <f>M6*9.75</f>
        <v>0</v>
      </c>
      <c r="O6" s="999"/>
      <c r="P6" s="998">
        <f>O6*48.7</f>
        <v>0</v>
      </c>
      <c r="Q6" s="998"/>
      <c r="R6" s="998">
        <f>241*Q6</f>
        <v>0</v>
      </c>
      <c r="S6" s="999"/>
      <c r="T6" s="999">
        <f>241*S6</f>
        <v>0</v>
      </c>
      <c r="U6" s="999"/>
      <c r="V6" s="999">
        <f>332*U6</f>
        <v>0</v>
      </c>
      <c r="W6" s="999"/>
      <c r="X6" s="19">
        <f>W6*100</f>
        <v>0</v>
      </c>
      <c r="Y6" s="20">
        <f t="shared" ref="Y6:Y12" si="0">D6+F6+H6+J6+L6+N6+P6+R6+T6+V6+X6</f>
        <v>22651.565000000002</v>
      </c>
    </row>
    <row r="7" spans="1:25" ht="31.5" customHeight="1" x14ac:dyDescent="0.25">
      <c r="A7" s="12">
        <v>1984225578</v>
      </c>
      <c r="B7" s="1001" t="s">
        <v>72</v>
      </c>
      <c r="C7" s="999">
        <v>16176</v>
      </c>
      <c r="D7" s="998">
        <f t="shared" ref="D7:D11" si="1">0.9725*C7</f>
        <v>15731.16</v>
      </c>
      <c r="E7" s="999"/>
      <c r="F7" s="999">
        <f t="shared" ref="F7:F11" si="2">67.1*E7</f>
        <v>0</v>
      </c>
      <c r="G7" s="999"/>
      <c r="H7" s="999">
        <f t="shared" ref="H7:H11" si="3">28.2*G7</f>
        <v>0</v>
      </c>
      <c r="I7" s="999">
        <v>1750</v>
      </c>
      <c r="J7" s="999">
        <f t="shared" ref="J7:J11" si="4">18.5*I7</f>
        <v>32375</v>
      </c>
      <c r="K7" s="999"/>
      <c r="L7" s="999">
        <f t="shared" ref="L7:L11" si="5">28.2368*K7</f>
        <v>0</v>
      </c>
      <c r="M7" s="999"/>
      <c r="N7" s="998">
        <f t="shared" ref="N7:N11" si="6">M7*9.75</f>
        <v>0</v>
      </c>
      <c r="O7" s="999"/>
      <c r="P7" s="998">
        <f t="shared" ref="P7:P11" si="7">O7*48.7</f>
        <v>0</v>
      </c>
      <c r="Q7" s="998"/>
      <c r="R7" s="998">
        <f t="shared" ref="R7:R11" si="8">241*Q7</f>
        <v>0</v>
      </c>
      <c r="S7" s="999"/>
      <c r="T7" s="999">
        <f t="shared" ref="T7:T10" si="9">241*S7</f>
        <v>0</v>
      </c>
      <c r="U7" s="999"/>
      <c r="V7" s="999">
        <f t="shared" ref="V7:V11" si="10">332*U7</f>
        <v>0</v>
      </c>
      <c r="W7" s="999"/>
      <c r="X7" s="19">
        <f t="shared" ref="X7:X11" si="11">W7*100</f>
        <v>0</v>
      </c>
      <c r="Y7" s="20">
        <f t="shared" si="0"/>
        <v>48106.16</v>
      </c>
    </row>
    <row r="8" spans="1:25" ht="35.25" customHeight="1" x14ac:dyDescent="0.25">
      <c r="A8" s="12">
        <v>1967020280</v>
      </c>
      <c r="B8" s="1001" t="s">
        <v>427</v>
      </c>
      <c r="C8" s="999">
        <v>16746</v>
      </c>
      <c r="D8" s="998">
        <f t="shared" si="1"/>
        <v>16285.485000000001</v>
      </c>
      <c r="E8" s="999"/>
      <c r="F8" s="999">
        <f t="shared" si="2"/>
        <v>0</v>
      </c>
      <c r="G8" s="999"/>
      <c r="H8" s="999">
        <f t="shared" si="3"/>
        <v>0</v>
      </c>
      <c r="I8" s="999"/>
      <c r="J8" s="999">
        <f t="shared" si="4"/>
        <v>0</v>
      </c>
      <c r="K8" s="999"/>
      <c r="L8" s="999">
        <f t="shared" si="5"/>
        <v>0</v>
      </c>
      <c r="M8" s="999"/>
      <c r="N8" s="998">
        <f t="shared" si="6"/>
        <v>0</v>
      </c>
      <c r="O8" s="999"/>
      <c r="P8" s="998">
        <f t="shared" si="7"/>
        <v>0</v>
      </c>
      <c r="Q8" s="998"/>
      <c r="R8" s="998">
        <f t="shared" si="8"/>
        <v>0</v>
      </c>
      <c r="S8" s="999"/>
      <c r="T8" s="999">
        <f t="shared" si="9"/>
        <v>0</v>
      </c>
      <c r="U8" s="999"/>
      <c r="V8" s="999">
        <f t="shared" si="10"/>
        <v>0</v>
      </c>
      <c r="W8" s="999"/>
      <c r="X8" s="19">
        <f t="shared" si="11"/>
        <v>0</v>
      </c>
      <c r="Y8" s="20">
        <f t="shared" si="0"/>
        <v>16285.485000000001</v>
      </c>
    </row>
    <row r="9" spans="1:25" ht="38.25" customHeight="1" x14ac:dyDescent="0.25">
      <c r="A9" s="12">
        <v>1984225580</v>
      </c>
      <c r="B9" s="1001" t="s">
        <v>75</v>
      </c>
      <c r="C9" s="999">
        <v>14588</v>
      </c>
      <c r="D9" s="998">
        <f t="shared" si="1"/>
        <v>14186.83</v>
      </c>
      <c r="E9" s="999"/>
      <c r="F9" s="999">
        <f t="shared" si="2"/>
        <v>0</v>
      </c>
      <c r="G9" s="999"/>
      <c r="H9" s="999">
        <f t="shared" si="3"/>
        <v>0</v>
      </c>
      <c r="I9" s="999">
        <v>300</v>
      </c>
      <c r="J9" s="999">
        <f t="shared" si="4"/>
        <v>5550</v>
      </c>
      <c r="K9" s="999"/>
      <c r="L9" s="999">
        <f t="shared" si="5"/>
        <v>0</v>
      </c>
      <c r="M9" s="999"/>
      <c r="N9" s="998">
        <f t="shared" si="6"/>
        <v>0</v>
      </c>
      <c r="O9" s="999"/>
      <c r="P9" s="998">
        <f t="shared" si="7"/>
        <v>0</v>
      </c>
      <c r="Q9" s="998"/>
      <c r="R9" s="998">
        <f t="shared" si="8"/>
        <v>0</v>
      </c>
      <c r="S9" s="999"/>
      <c r="T9" s="999">
        <f t="shared" si="9"/>
        <v>0</v>
      </c>
      <c r="U9" s="999"/>
      <c r="V9" s="999">
        <f t="shared" si="10"/>
        <v>0</v>
      </c>
      <c r="W9" s="999"/>
      <c r="X9" s="19">
        <f t="shared" si="11"/>
        <v>0</v>
      </c>
      <c r="Y9" s="20">
        <f t="shared" si="0"/>
        <v>19736.830000000002</v>
      </c>
    </row>
    <row r="10" spans="1:25" ht="35.25" customHeight="1" x14ac:dyDescent="0.25">
      <c r="A10" s="12">
        <v>1409935199</v>
      </c>
      <c r="C10" s="999">
        <v>82262</v>
      </c>
      <c r="D10" s="998">
        <f t="shared" si="1"/>
        <v>79999.794999999998</v>
      </c>
      <c r="E10" s="999"/>
      <c r="F10" s="999">
        <f t="shared" si="2"/>
        <v>0</v>
      </c>
      <c r="G10" s="999"/>
      <c r="H10" s="999">
        <f t="shared" si="3"/>
        <v>0</v>
      </c>
      <c r="I10" s="999"/>
      <c r="J10" s="999">
        <f t="shared" si="4"/>
        <v>0</v>
      </c>
      <c r="K10" s="999"/>
      <c r="L10" s="999">
        <f t="shared" si="5"/>
        <v>0</v>
      </c>
      <c r="M10" s="999"/>
      <c r="N10" s="998">
        <f t="shared" si="6"/>
        <v>0</v>
      </c>
      <c r="O10" s="999"/>
      <c r="P10" s="998">
        <f t="shared" si="7"/>
        <v>0</v>
      </c>
      <c r="Q10" s="998"/>
      <c r="R10" s="998">
        <f t="shared" si="8"/>
        <v>0</v>
      </c>
      <c r="S10" s="999"/>
      <c r="T10" s="999">
        <f t="shared" si="9"/>
        <v>0</v>
      </c>
      <c r="U10" s="999"/>
      <c r="V10" s="999">
        <f t="shared" si="10"/>
        <v>0</v>
      </c>
      <c r="W10" s="999"/>
      <c r="X10" s="19">
        <f t="shared" si="11"/>
        <v>0</v>
      </c>
      <c r="Y10" s="20">
        <f t="shared" si="0"/>
        <v>79999.794999999998</v>
      </c>
    </row>
    <row r="11" spans="1:25" ht="37.5" customHeight="1" x14ac:dyDescent="0.25">
      <c r="A11" s="12"/>
      <c r="B11" s="1000"/>
      <c r="C11" s="999"/>
      <c r="D11" s="22">
        <f t="shared" si="1"/>
        <v>0</v>
      </c>
      <c r="E11" s="999"/>
      <c r="F11" s="999">
        <f t="shared" si="2"/>
        <v>0</v>
      </c>
      <c r="G11" s="999"/>
      <c r="H11" s="999">
        <f t="shared" si="3"/>
        <v>0</v>
      </c>
      <c r="I11" s="999"/>
      <c r="J11" s="999">
        <f t="shared" si="4"/>
        <v>0</v>
      </c>
      <c r="K11" s="999"/>
      <c r="L11" s="999">
        <f t="shared" si="5"/>
        <v>0</v>
      </c>
      <c r="M11" s="999"/>
      <c r="N11" s="998">
        <f t="shared" si="6"/>
        <v>0</v>
      </c>
      <c r="O11" s="999"/>
      <c r="P11" s="998">
        <f t="shared" si="7"/>
        <v>0</v>
      </c>
      <c r="Q11" s="998"/>
      <c r="R11" s="998">
        <f t="shared" si="8"/>
        <v>0</v>
      </c>
      <c r="S11" s="999"/>
      <c r="T11" s="999">
        <f>341*S11</f>
        <v>0</v>
      </c>
      <c r="U11" s="999"/>
      <c r="V11" s="999">
        <f t="shared" si="10"/>
        <v>0</v>
      </c>
      <c r="W11" s="999"/>
      <c r="X11" s="19">
        <f t="shared" si="11"/>
        <v>0</v>
      </c>
      <c r="Y11" s="20">
        <f t="shared" si="0"/>
        <v>0</v>
      </c>
    </row>
    <row r="12" spans="1:25" ht="29.25" customHeight="1" x14ac:dyDescent="0.25">
      <c r="A12" s="2235" t="s">
        <v>31</v>
      </c>
      <c r="B12" s="2235"/>
      <c r="C12" s="18">
        <f t="shared" ref="C12:X12" si="12">SUM(C6:C11)</f>
        <v>146406</v>
      </c>
      <c r="D12" s="18">
        <f t="shared" si="12"/>
        <v>142379.83499999999</v>
      </c>
      <c r="E12" s="18">
        <f t="shared" si="12"/>
        <v>0</v>
      </c>
      <c r="F12" s="18">
        <f t="shared" si="12"/>
        <v>0</v>
      </c>
      <c r="G12" s="18">
        <f t="shared" si="12"/>
        <v>0</v>
      </c>
      <c r="H12" s="18">
        <f t="shared" si="12"/>
        <v>0</v>
      </c>
      <c r="I12" s="18">
        <f t="shared" si="12"/>
        <v>2400</v>
      </c>
      <c r="J12" s="18">
        <f t="shared" si="12"/>
        <v>44400</v>
      </c>
      <c r="K12" s="18">
        <f t="shared" si="12"/>
        <v>0</v>
      </c>
      <c r="L12" s="18">
        <f t="shared" si="12"/>
        <v>0</v>
      </c>
      <c r="M12" s="18">
        <f t="shared" si="12"/>
        <v>0</v>
      </c>
      <c r="N12" s="23">
        <f t="shared" si="12"/>
        <v>0</v>
      </c>
      <c r="O12" s="18">
        <f t="shared" si="12"/>
        <v>0</v>
      </c>
      <c r="P12" s="23">
        <f t="shared" si="12"/>
        <v>0</v>
      </c>
      <c r="Q12" s="23">
        <f t="shared" si="12"/>
        <v>0</v>
      </c>
      <c r="R12" s="23">
        <f>SUM(R6:R11)</f>
        <v>0</v>
      </c>
      <c r="S12" s="23">
        <f>SUM(S6:S11)</f>
        <v>0</v>
      </c>
      <c r="T12" s="18">
        <f t="shared" si="12"/>
        <v>0</v>
      </c>
      <c r="U12" s="18">
        <f t="shared" si="12"/>
        <v>0</v>
      </c>
      <c r="V12" s="18">
        <f t="shared" si="12"/>
        <v>0</v>
      </c>
      <c r="W12" s="18">
        <f t="shared" si="12"/>
        <v>0</v>
      </c>
      <c r="X12" s="18">
        <f t="shared" si="12"/>
        <v>0</v>
      </c>
      <c r="Y12" s="20">
        <f t="shared" si="0"/>
        <v>186779.83499999999</v>
      </c>
    </row>
    <row r="14" spans="1:25" ht="43.5" customHeight="1" x14ac:dyDescent="0.25">
      <c r="A14" s="30" t="s">
        <v>32</v>
      </c>
      <c r="B14" s="2236" t="s">
        <v>27</v>
      </c>
      <c r="C14" s="2236"/>
      <c r="D14" s="30" t="s">
        <v>333</v>
      </c>
      <c r="E14" s="30" t="s">
        <v>65</v>
      </c>
      <c r="F14" s="30" t="s">
        <v>34</v>
      </c>
      <c r="G14" s="30" t="s">
        <v>14</v>
      </c>
      <c r="H14" s="469" t="s">
        <v>173</v>
      </c>
      <c r="I14" s="30" t="s">
        <v>17</v>
      </c>
      <c r="J14" s="1007" t="s">
        <v>174</v>
      </c>
      <c r="K14" s="30" t="s">
        <v>36</v>
      </c>
      <c r="L14" s="1007" t="s">
        <v>403</v>
      </c>
      <c r="M14" s="30" t="s">
        <v>69</v>
      </c>
      <c r="N14" s="30" t="s">
        <v>70</v>
      </c>
      <c r="O14" s="1007" t="s">
        <v>114</v>
      </c>
      <c r="P14" s="1007"/>
      <c r="Q14" s="2300" t="s">
        <v>378</v>
      </c>
      <c r="R14" s="2301"/>
      <c r="S14" s="1007" t="s">
        <v>401</v>
      </c>
      <c r="T14" s="2235" t="s">
        <v>46</v>
      </c>
      <c r="U14" s="1001" t="s">
        <v>176</v>
      </c>
      <c r="V14" s="2260">
        <v>66770</v>
      </c>
      <c r="W14" s="2268"/>
      <c r="X14" s="2261"/>
    </row>
    <row r="15" spans="1:25" ht="22.5" customHeight="1" x14ac:dyDescent="0.25">
      <c r="A15" s="100" t="s">
        <v>38</v>
      </c>
      <c r="B15" s="2260">
        <v>595403</v>
      </c>
      <c r="C15" s="2261"/>
      <c r="D15" s="1004">
        <v>452</v>
      </c>
      <c r="E15" s="1004">
        <v>60</v>
      </c>
      <c r="F15" s="1004">
        <v>3070</v>
      </c>
      <c r="G15" s="1004">
        <v>0</v>
      </c>
      <c r="H15" s="1004">
        <v>411</v>
      </c>
      <c r="I15" s="1004">
        <v>0</v>
      </c>
      <c r="J15" s="1004">
        <v>5</v>
      </c>
      <c r="K15" s="1004">
        <v>59</v>
      </c>
      <c r="L15" s="1004">
        <v>8</v>
      </c>
      <c r="M15" s="1004">
        <v>0</v>
      </c>
      <c r="N15" s="1004">
        <v>100</v>
      </c>
      <c r="O15" s="1004">
        <v>0</v>
      </c>
      <c r="P15" s="1004"/>
      <c r="Q15" s="2260">
        <v>0</v>
      </c>
      <c r="R15" s="2261"/>
      <c r="S15" s="1001">
        <v>53</v>
      </c>
      <c r="T15" s="2235"/>
      <c r="U15" s="1001" t="s">
        <v>64</v>
      </c>
      <c r="V15" s="2262">
        <v>7947</v>
      </c>
      <c r="W15" s="2262"/>
      <c r="X15" s="2262"/>
    </row>
    <row r="16" spans="1:25" ht="24.75" customHeight="1" x14ac:dyDescent="0.25">
      <c r="A16" s="100" t="s">
        <v>39</v>
      </c>
      <c r="B16" s="2260">
        <v>210914</v>
      </c>
      <c r="C16" s="2261"/>
      <c r="D16" s="1004"/>
      <c r="E16" s="1004"/>
      <c r="F16" s="1004">
        <v>4500</v>
      </c>
      <c r="G16" s="1004"/>
      <c r="H16" s="1004"/>
      <c r="I16" s="1004">
        <v>200</v>
      </c>
      <c r="J16" s="1004"/>
      <c r="K16" s="1004"/>
      <c r="L16" s="1004"/>
      <c r="M16" s="1004"/>
      <c r="N16" s="1004"/>
      <c r="O16" s="1004"/>
      <c r="P16" s="1004"/>
      <c r="Q16" s="2225"/>
      <c r="R16" s="2225"/>
      <c r="S16" s="1004"/>
      <c r="T16" s="2254" t="s">
        <v>55</v>
      </c>
      <c r="U16" s="2254"/>
      <c r="V16" s="2267">
        <f>Y12</f>
        <v>186779.83499999999</v>
      </c>
      <c r="W16" s="2267"/>
      <c r="X16" s="2262"/>
    </row>
    <row r="17" spans="1:25" ht="28.5" customHeight="1" x14ac:dyDescent="0.25">
      <c r="A17" s="101" t="s">
        <v>44</v>
      </c>
      <c r="B17" s="2260"/>
      <c r="C17" s="2261"/>
      <c r="D17" s="1004"/>
      <c r="E17" s="1004"/>
      <c r="F17" s="1004"/>
      <c r="G17" s="1004"/>
      <c r="H17" s="1004"/>
      <c r="I17" s="1004"/>
      <c r="J17" s="1004"/>
      <c r="K17" s="1004"/>
      <c r="L17" s="1004"/>
      <c r="M17" s="1004"/>
      <c r="N17" s="1004"/>
      <c r="O17" s="1004"/>
      <c r="P17" s="1004"/>
      <c r="Q17" s="2225"/>
      <c r="R17" s="2225"/>
      <c r="S17" s="1000"/>
      <c r="T17" s="2294" t="s">
        <v>362</v>
      </c>
      <c r="U17" s="2295"/>
      <c r="V17" s="2296"/>
      <c r="W17" s="2296"/>
      <c r="X17" s="2296"/>
    </row>
    <row r="18" spans="1:25" ht="27" customHeight="1" x14ac:dyDescent="0.25">
      <c r="A18" s="100" t="s">
        <v>40</v>
      </c>
      <c r="B18" s="2264">
        <f>C12</f>
        <v>146406</v>
      </c>
      <c r="C18" s="2261"/>
      <c r="D18" s="1006">
        <f>E12</f>
        <v>0</v>
      </c>
      <c r="E18" s="1006">
        <f>G12</f>
        <v>0</v>
      </c>
      <c r="F18" s="1006">
        <f>I12</f>
        <v>2400</v>
      </c>
      <c r="G18" s="1006">
        <f>K12</f>
        <v>0</v>
      </c>
      <c r="H18" s="1004"/>
      <c r="I18" s="1006">
        <f>U12</f>
        <v>0</v>
      </c>
      <c r="J18" s="1004"/>
      <c r="K18" s="1006">
        <f>W12</f>
        <v>0</v>
      </c>
      <c r="L18" s="1004"/>
      <c r="M18" s="1006">
        <f>M12</f>
        <v>0</v>
      </c>
      <c r="N18" s="1006"/>
      <c r="O18" s="1005">
        <f>Q12</f>
        <v>0</v>
      </c>
      <c r="P18" s="1006"/>
      <c r="Q18" s="2262"/>
      <c r="R18" s="2262"/>
      <c r="S18" s="1001"/>
      <c r="T18" s="2254" t="s">
        <v>57</v>
      </c>
      <c r="U18" s="2254"/>
      <c r="V18" s="2262">
        <v>16570</v>
      </c>
      <c r="W18" s="2262"/>
      <c r="X18" s="2262"/>
      <c r="Y18" s="2269"/>
    </row>
    <row r="19" spans="1:25" ht="25.5" customHeight="1" x14ac:dyDescent="0.25">
      <c r="A19" s="100" t="s">
        <v>41</v>
      </c>
      <c r="B19" s="2260">
        <f>B15+B16+B17-B18</f>
        <v>659911</v>
      </c>
      <c r="C19" s="2261"/>
      <c r="D19" s="1004">
        <f>D15+D16+D17-D18</f>
        <v>452</v>
      </c>
      <c r="E19" s="1004">
        <f t="shared" ref="E19:N19" si="13">E15+E16+E17-E18</f>
        <v>60</v>
      </c>
      <c r="F19" s="1004">
        <f t="shared" si="13"/>
        <v>5170</v>
      </c>
      <c r="G19" s="1004">
        <f t="shared" si="13"/>
        <v>0</v>
      </c>
      <c r="H19" s="1004">
        <f t="shared" si="13"/>
        <v>411</v>
      </c>
      <c r="I19" s="1004">
        <f t="shared" si="13"/>
        <v>200</v>
      </c>
      <c r="J19" s="1004">
        <f t="shared" si="13"/>
        <v>5</v>
      </c>
      <c r="K19" s="1004">
        <f t="shared" si="13"/>
        <v>59</v>
      </c>
      <c r="L19" s="1004">
        <f t="shared" si="13"/>
        <v>8</v>
      </c>
      <c r="M19" s="1004">
        <f t="shared" si="13"/>
        <v>0</v>
      </c>
      <c r="N19" s="1004">
        <f t="shared" si="13"/>
        <v>100</v>
      </c>
      <c r="O19" s="1004">
        <f>O15+O16+O17-O18</f>
        <v>0</v>
      </c>
      <c r="P19" s="1004">
        <f>P15+P16+P17-P18</f>
        <v>0</v>
      </c>
      <c r="Q19" s="2260">
        <f t="shared" ref="Q19" si="14">Q15+Q16+Q17-Q18</f>
        <v>0</v>
      </c>
      <c r="R19" s="2261"/>
      <c r="S19" s="1001">
        <f>S15+S16-S17-S18</f>
        <v>53</v>
      </c>
      <c r="T19" s="2256" t="s">
        <v>48</v>
      </c>
      <c r="U19" s="49" t="s">
        <v>58</v>
      </c>
      <c r="V19" s="2262">
        <v>133000</v>
      </c>
      <c r="W19" s="2262"/>
      <c r="X19" s="2262"/>
      <c r="Y19" s="2269"/>
    </row>
    <row r="20" spans="1:25" ht="23.25" customHeight="1" x14ac:dyDescent="0.25">
      <c r="A20" s="289" t="s">
        <v>187</v>
      </c>
      <c r="B20" s="2286">
        <f>B19*0.9625</f>
        <v>635164.33750000002</v>
      </c>
      <c r="C20" s="2287"/>
      <c r="D20" s="290">
        <f>D19*66.41</f>
        <v>30017.32</v>
      </c>
      <c r="E20" s="290">
        <f>27.9368*E19</f>
        <v>1676.2080000000001</v>
      </c>
      <c r="F20" s="290">
        <f>18.31*F19</f>
        <v>94662.7</v>
      </c>
      <c r="G20" s="290">
        <f>27.9368*G19</f>
        <v>0</v>
      </c>
      <c r="H20" s="290">
        <f>241*H19</f>
        <v>99051</v>
      </c>
      <c r="I20" s="290">
        <f>323*I19</f>
        <v>64600</v>
      </c>
      <c r="J20" s="290">
        <f>241*J19</f>
        <v>1205</v>
      </c>
      <c r="K20" s="290">
        <f>K19*100</f>
        <v>5900</v>
      </c>
      <c r="L20" s="290">
        <f>241*L19</f>
        <v>1928</v>
      </c>
      <c r="M20" s="290">
        <f>9.65*M19</f>
        <v>0</v>
      </c>
      <c r="N20" s="290">
        <f>N19*48.2</f>
        <v>4820</v>
      </c>
      <c r="O20" s="290">
        <f>241*O19</f>
        <v>0</v>
      </c>
      <c r="P20" s="290">
        <f>241*P19</f>
        <v>0</v>
      </c>
      <c r="Q20" s="2286">
        <f>341*Q19</f>
        <v>0</v>
      </c>
      <c r="R20" s="2287"/>
      <c r="S20" s="290">
        <f>341*S19</f>
        <v>18073</v>
      </c>
      <c r="T20" s="2257"/>
      <c r="U20" s="49" t="s">
        <v>59</v>
      </c>
      <c r="V20" s="2262">
        <v>50000</v>
      </c>
      <c r="W20" s="2262"/>
      <c r="X20" s="2262"/>
      <c r="Y20" s="2269"/>
    </row>
    <row r="21" spans="1:25" ht="32.25" customHeight="1" x14ac:dyDescent="0.25">
      <c r="A21" s="291" t="s">
        <v>186</v>
      </c>
      <c r="B21" s="2293">
        <f>SUM(B20:S20)</f>
        <v>957097.56549999991</v>
      </c>
      <c r="C21" s="2293"/>
      <c r="O21" s="1008"/>
      <c r="P21" s="1008"/>
      <c r="Q21" s="1008"/>
      <c r="R21" s="1008"/>
      <c r="T21" s="2294" t="s">
        <v>366</v>
      </c>
      <c r="U21" s="2295"/>
      <c r="V21" s="2297"/>
      <c r="W21" s="2298"/>
      <c r="X21" s="2299"/>
      <c r="Y21" s="2269"/>
    </row>
    <row r="22" spans="1:25" ht="35.25" customHeight="1" x14ac:dyDescent="0.25">
      <c r="A22" s="15"/>
      <c r="B22" s="2288" t="s">
        <v>49</v>
      </c>
      <c r="C22" s="2291">
        <v>133000</v>
      </c>
      <c r="D22" s="2291">
        <v>133000</v>
      </c>
      <c r="E22" s="2291">
        <v>300000</v>
      </c>
      <c r="F22" s="2291">
        <f>C22-D22+E22</f>
        <v>300000</v>
      </c>
      <c r="G22" s="1008"/>
      <c r="Q22" s="1008"/>
      <c r="R22" s="1008"/>
      <c r="T22" s="2251" t="s">
        <v>83</v>
      </c>
      <c r="U22" s="50" t="s">
        <v>60</v>
      </c>
      <c r="V22" s="2262">
        <v>217801</v>
      </c>
      <c r="W22" s="2262"/>
      <c r="X22" s="2262"/>
      <c r="Y22" s="2269"/>
    </row>
    <row r="23" spans="1:25" ht="39.75" customHeight="1" x14ac:dyDescent="0.25">
      <c r="A23" s="1008"/>
      <c r="B23" s="2289"/>
      <c r="C23" s="2292"/>
      <c r="D23" s="2292"/>
      <c r="E23" s="2292"/>
      <c r="F23" s="2292"/>
      <c r="G23" s="1008"/>
      <c r="Q23" s="1008"/>
      <c r="R23" s="1008"/>
      <c r="T23" s="2252"/>
      <c r="U23" s="50" t="s">
        <v>61</v>
      </c>
      <c r="V23" s="2262">
        <v>183000</v>
      </c>
      <c r="W23" s="2262"/>
      <c r="X23" s="2262"/>
      <c r="Y23" s="2269"/>
    </row>
    <row r="24" spans="1:25" ht="48" customHeight="1" x14ac:dyDescent="0.25">
      <c r="A24" s="1008"/>
      <c r="B24" s="2290"/>
      <c r="C24" s="290" t="s">
        <v>46</v>
      </c>
      <c r="D24" s="290" t="s">
        <v>50</v>
      </c>
      <c r="E24" s="290" t="s">
        <v>51</v>
      </c>
      <c r="F24" s="290" t="s">
        <v>52</v>
      </c>
      <c r="G24" s="1008"/>
      <c r="Q24" s="1008"/>
      <c r="R24" s="1008"/>
      <c r="T24" s="2235" t="s">
        <v>47</v>
      </c>
      <c r="U24" s="51" t="s">
        <v>62</v>
      </c>
      <c r="V24" s="2263">
        <f>V14+V16+V17-V18-V19-V20-V22+V23-V21</f>
        <v>19178.834999999992</v>
      </c>
      <c r="W24" s="2263"/>
      <c r="X24" s="2263"/>
      <c r="Y24" s="2269"/>
    </row>
    <row r="25" spans="1:25" ht="40.5" customHeight="1" x14ac:dyDescent="0.25">
      <c r="T25" s="2235"/>
      <c r="U25" s="51" t="s">
        <v>63</v>
      </c>
      <c r="V25" s="2262">
        <f>V15+V22-V23</f>
        <v>42748</v>
      </c>
      <c r="W25" s="2262"/>
      <c r="X25" s="2262"/>
    </row>
    <row r="26" spans="1:25" ht="36" customHeight="1" x14ac:dyDescent="0.25">
      <c r="K26" s="314"/>
    </row>
    <row r="28" spans="1:25" x14ac:dyDescent="0.25">
      <c r="J28" s="14" t="s">
        <v>139</v>
      </c>
    </row>
    <row r="32" spans="1:25" x14ac:dyDescent="0.25">
      <c r="I32" s="2280"/>
      <c r="J32" s="2280"/>
      <c r="K32" s="2280"/>
      <c r="L32" s="2280"/>
    </row>
    <row r="33" spans="9:12" x14ac:dyDescent="0.25">
      <c r="I33" s="1008"/>
      <c r="J33" s="1008"/>
      <c r="K33" s="2280"/>
      <c r="L33" s="2280"/>
    </row>
  </sheetData>
  <mergeCells count="62">
    <mergeCell ref="A1:Y1"/>
    <mergeCell ref="A2:Y2"/>
    <mergeCell ref="T3:Y3"/>
    <mergeCell ref="A4:A5"/>
    <mergeCell ref="B4:B5"/>
    <mergeCell ref="C4:D4"/>
    <mergeCell ref="E4:F4"/>
    <mergeCell ref="G4:H4"/>
    <mergeCell ref="I4:J4"/>
    <mergeCell ref="K4:L4"/>
    <mergeCell ref="Y4:Y5"/>
    <mergeCell ref="M4:N4"/>
    <mergeCell ref="O4:P4"/>
    <mergeCell ref="Q4:R4"/>
    <mergeCell ref="S4:T4"/>
    <mergeCell ref="U4:V4"/>
    <mergeCell ref="W4:X4"/>
    <mergeCell ref="B16:C16"/>
    <mergeCell ref="Q16:R16"/>
    <mergeCell ref="T16:U16"/>
    <mergeCell ref="V16:X16"/>
    <mergeCell ref="A12:B12"/>
    <mergeCell ref="B14:C14"/>
    <mergeCell ref="Q14:R14"/>
    <mergeCell ref="T14:T15"/>
    <mergeCell ref="V14:X14"/>
    <mergeCell ref="B15:C15"/>
    <mergeCell ref="Q15:R15"/>
    <mergeCell ref="V15:X15"/>
    <mergeCell ref="B17:C17"/>
    <mergeCell ref="Q17:R17"/>
    <mergeCell ref="T17:U17"/>
    <mergeCell ref="V17:X17"/>
    <mergeCell ref="B18:C18"/>
    <mergeCell ref="Q18:R18"/>
    <mergeCell ref="T18:U18"/>
    <mergeCell ref="V18:X18"/>
    <mergeCell ref="Y18:Y24"/>
    <mergeCell ref="B19:C19"/>
    <mergeCell ref="Q19:R19"/>
    <mergeCell ref="T19:T20"/>
    <mergeCell ref="V19:X19"/>
    <mergeCell ref="B20:C20"/>
    <mergeCell ref="B22:B24"/>
    <mergeCell ref="C22:C23"/>
    <mergeCell ref="D22:D23"/>
    <mergeCell ref="E22:E23"/>
    <mergeCell ref="F22:F23"/>
    <mergeCell ref="Q20:R20"/>
    <mergeCell ref="V20:X20"/>
    <mergeCell ref="B21:C21"/>
    <mergeCell ref="T21:U21"/>
    <mergeCell ref="V21:X21"/>
    <mergeCell ref="I32:J32"/>
    <mergeCell ref="K32:L32"/>
    <mergeCell ref="K33:L33"/>
    <mergeCell ref="T22:T23"/>
    <mergeCell ref="V22:X22"/>
    <mergeCell ref="V23:X23"/>
    <mergeCell ref="T24:T25"/>
    <mergeCell ref="V24:X24"/>
    <mergeCell ref="V25:X25"/>
  </mergeCells>
  <pageMargins left="0.15748031496063" right="0.15748031496063" top="0" bottom="0" header="0" footer="0"/>
  <pageSetup paperSize="9" scale="45" orientation="landscape" r:id="rId1"/>
</worksheet>
</file>

<file path=xl/worksheets/sheet20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406456E-8B83-4964-996C-190E2ADE7831}">
  <sheetPr>
    <pageSetUpPr fitToPage="1"/>
  </sheetPr>
  <dimension ref="A1:Y33"/>
  <sheetViews>
    <sheetView topLeftCell="A10" zoomScale="70" zoomScaleNormal="70" zoomScaleSheetLayoutView="100" workbookViewId="0">
      <selection activeCell="M17" sqref="M17"/>
    </sheetView>
  </sheetViews>
  <sheetFormatPr defaultColWidth="9.140625" defaultRowHeight="15" x14ac:dyDescent="0.25"/>
  <cols>
    <col min="1" max="1" width="18.28515625" style="14" customWidth="1"/>
    <col min="2" max="2" width="10.7109375" style="14" customWidth="1"/>
    <col min="3" max="3" width="12.28515625" style="14" customWidth="1"/>
    <col min="4" max="4" width="13.140625" style="14" bestFit="1" customWidth="1"/>
    <col min="5" max="5" width="12" style="14" customWidth="1"/>
    <col min="6" max="6" width="12.5703125" style="14" bestFit="1" customWidth="1"/>
    <col min="7" max="7" width="16" style="14" bestFit="1" customWidth="1"/>
    <col min="8" max="8" width="10.140625" style="14" bestFit="1" customWidth="1"/>
    <col min="9" max="9" width="10.5703125" style="14" bestFit="1" customWidth="1"/>
    <col min="10" max="10" width="10.5703125" style="14" customWidth="1"/>
    <col min="11" max="11" width="10.28515625" style="14" bestFit="1" customWidth="1"/>
    <col min="12" max="12" width="10.42578125" style="14" bestFit="1" customWidth="1"/>
    <col min="13" max="13" width="12" style="14" bestFit="1" customWidth="1"/>
    <col min="14" max="14" width="10.140625" style="14" bestFit="1" customWidth="1"/>
    <col min="15" max="15" width="9" style="14" customWidth="1"/>
    <col min="16" max="16" width="12.85546875" style="14" bestFit="1" customWidth="1"/>
    <col min="17" max="18" width="9.42578125" style="14" customWidth="1"/>
    <col min="19" max="19" width="13.7109375" style="14" customWidth="1"/>
    <col min="20" max="20" width="12.140625" style="14" customWidth="1"/>
    <col min="21" max="21" width="21.7109375" style="14" customWidth="1"/>
    <col min="22" max="22" width="9.85546875" style="14" customWidth="1"/>
    <col min="23" max="23" width="10.140625" style="14" bestFit="1" customWidth="1"/>
    <col min="24" max="24" width="10.28515625" style="14" customWidth="1"/>
    <col min="25" max="25" width="28" style="14" customWidth="1"/>
    <col min="26" max="16384" width="9.140625" style="14"/>
  </cols>
  <sheetData>
    <row r="1" spans="1:25" ht="46.15" customHeight="1" x14ac:dyDescent="0.25">
      <c r="A1" s="2240" t="s">
        <v>148</v>
      </c>
      <c r="B1" s="2240"/>
      <c r="C1" s="2240"/>
      <c r="D1" s="2240"/>
      <c r="E1" s="2240"/>
      <c r="F1" s="2240"/>
      <c r="G1" s="2240"/>
      <c r="H1" s="2240"/>
      <c r="I1" s="2240"/>
      <c r="J1" s="2240"/>
      <c r="K1" s="2240"/>
      <c r="L1" s="2240"/>
      <c r="M1" s="2240"/>
      <c r="N1" s="2240"/>
      <c r="O1" s="2240"/>
      <c r="P1" s="2240"/>
      <c r="Q1" s="2240"/>
      <c r="R1" s="2240"/>
      <c r="S1" s="2240"/>
      <c r="T1" s="2240"/>
      <c r="U1" s="2240"/>
      <c r="V1" s="2240"/>
      <c r="W1" s="2240"/>
      <c r="X1" s="2240"/>
      <c r="Y1" s="2240"/>
    </row>
    <row r="2" spans="1:25" ht="21.6" customHeight="1" x14ac:dyDescent="0.25">
      <c r="A2" s="2241" t="s">
        <v>383</v>
      </c>
      <c r="B2" s="2241"/>
      <c r="C2" s="2241"/>
      <c r="D2" s="2241"/>
      <c r="E2" s="2241"/>
      <c r="F2" s="2241"/>
      <c r="G2" s="2241"/>
      <c r="H2" s="2241"/>
      <c r="I2" s="2241"/>
      <c r="J2" s="2241"/>
      <c r="K2" s="2241"/>
      <c r="L2" s="2241"/>
      <c r="M2" s="2241"/>
      <c r="N2" s="2241"/>
      <c r="O2" s="2241"/>
      <c r="P2" s="2241"/>
      <c r="Q2" s="2241"/>
      <c r="R2" s="2241"/>
      <c r="S2" s="2241"/>
      <c r="T2" s="2241"/>
      <c r="U2" s="2241"/>
      <c r="V2" s="2241"/>
      <c r="W2" s="2241"/>
      <c r="X2" s="2241"/>
      <c r="Y2" s="2241"/>
    </row>
    <row r="3" spans="1:25" ht="21" customHeight="1" x14ac:dyDescent="0.25">
      <c r="A3" s="1003"/>
      <c r="B3" s="1003"/>
      <c r="C3" s="1003"/>
      <c r="D3" s="1003"/>
      <c r="E3" s="1003"/>
      <c r="F3" s="1003"/>
      <c r="G3" s="1003"/>
      <c r="H3" s="1003"/>
      <c r="I3" s="1003"/>
      <c r="J3" s="1003"/>
      <c r="K3" s="1003"/>
      <c r="L3" s="1003"/>
      <c r="M3" s="1003"/>
      <c r="N3" s="1003"/>
      <c r="O3" s="1003"/>
      <c r="P3" s="1003"/>
      <c r="Q3" s="1003"/>
      <c r="R3" s="1003"/>
      <c r="S3" s="1003"/>
      <c r="T3" s="2242" t="s">
        <v>428</v>
      </c>
      <c r="U3" s="2242"/>
      <c r="V3" s="2242"/>
      <c r="W3" s="2242"/>
      <c r="X3" s="2242"/>
      <c r="Y3" s="2242"/>
    </row>
    <row r="4" spans="1:25" s="1003" customFormat="1" ht="18" customHeight="1" x14ac:dyDescent="0.25">
      <c r="A4" s="2243" t="s">
        <v>25</v>
      </c>
      <c r="B4" s="2243" t="s">
        <v>26</v>
      </c>
      <c r="C4" s="2244" t="s">
        <v>27</v>
      </c>
      <c r="D4" s="2244"/>
      <c r="E4" s="2244" t="s">
        <v>342</v>
      </c>
      <c r="F4" s="2244"/>
      <c r="G4" s="2244" t="s">
        <v>65</v>
      </c>
      <c r="H4" s="2244"/>
      <c r="I4" s="2244" t="s">
        <v>29</v>
      </c>
      <c r="J4" s="2244"/>
      <c r="K4" s="2245" t="s">
        <v>14</v>
      </c>
      <c r="L4" s="2246"/>
      <c r="M4" s="2245" t="s">
        <v>429</v>
      </c>
      <c r="N4" s="2246"/>
      <c r="O4" s="2245" t="s">
        <v>68</v>
      </c>
      <c r="P4" s="2246"/>
      <c r="Q4" s="2245" t="s">
        <v>114</v>
      </c>
      <c r="R4" s="2246"/>
      <c r="S4" s="2244" t="s">
        <v>35</v>
      </c>
      <c r="T4" s="2244"/>
      <c r="U4" s="2245" t="s">
        <v>17</v>
      </c>
      <c r="V4" s="2246"/>
      <c r="W4" s="2247" t="s">
        <v>36</v>
      </c>
      <c r="X4" s="2248"/>
      <c r="Y4" s="2238" t="s">
        <v>30</v>
      </c>
    </row>
    <row r="5" spans="1:25" s="1003" customFormat="1" ht="25.5" customHeight="1" x14ac:dyDescent="0.25">
      <c r="A5" s="2243"/>
      <c r="B5" s="2243"/>
      <c r="C5" s="1002" t="s">
        <v>42</v>
      </c>
      <c r="D5" s="1002" t="s">
        <v>43</v>
      </c>
      <c r="E5" s="1002" t="s">
        <v>42</v>
      </c>
      <c r="F5" s="1002" t="s">
        <v>43</v>
      </c>
      <c r="G5" s="1002" t="s">
        <v>42</v>
      </c>
      <c r="H5" s="1002" t="s">
        <v>43</v>
      </c>
      <c r="I5" s="1002" t="s">
        <v>42</v>
      </c>
      <c r="J5" s="1002" t="s">
        <v>43</v>
      </c>
      <c r="K5" s="1002" t="s">
        <v>42</v>
      </c>
      <c r="L5" s="1002" t="s">
        <v>43</v>
      </c>
      <c r="M5" s="1002" t="s">
        <v>42</v>
      </c>
      <c r="N5" s="1002" t="s">
        <v>43</v>
      </c>
      <c r="O5" s="1002" t="s">
        <v>42</v>
      </c>
      <c r="P5" s="1002" t="s">
        <v>43</v>
      </c>
      <c r="Q5" s="1002" t="s">
        <v>42</v>
      </c>
      <c r="R5" s="1002" t="s">
        <v>43</v>
      </c>
      <c r="S5" s="33" t="s">
        <v>42</v>
      </c>
      <c r="T5" s="33" t="s">
        <v>43</v>
      </c>
      <c r="U5" s="30" t="s">
        <v>42</v>
      </c>
      <c r="V5" s="30" t="s">
        <v>43</v>
      </c>
      <c r="W5" s="30" t="s">
        <v>42</v>
      </c>
      <c r="X5" s="30" t="s">
        <v>43</v>
      </c>
      <c r="Y5" s="2239"/>
    </row>
    <row r="6" spans="1:25" ht="34.5" customHeight="1" x14ac:dyDescent="0.25">
      <c r="A6" s="12">
        <v>1409935200</v>
      </c>
      <c r="B6" s="1001" t="s">
        <v>71</v>
      </c>
      <c r="C6" s="999">
        <v>19093</v>
      </c>
      <c r="D6" s="998">
        <f>0.9725*C6</f>
        <v>18567.942500000001</v>
      </c>
      <c r="E6" s="999">
        <v>5</v>
      </c>
      <c r="F6" s="999">
        <f>67.1*E6</f>
        <v>335.5</v>
      </c>
      <c r="G6" s="999"/>
      <c r="H6" s="999">
        <f>28.2*G6</f>
        <v>0</v>
      </c>
      <c r="I6" s="999">
        <v>550</v>
      </c>
      <c r="J6" s="999">
        <f>18.5*I6</f>
        <v>10175</v>
      </c>
      <c r="K6" s="999"/>
      <c r="L6" s="999">
        <f>28.2368*K6</f>
        <v>0</v>
      </c>
      <c r="M6" s="999"/>
      <c r="N6" s="998">
        <f>M6*47.6525</f>
        <v>0</v>
      </c>
      <c r="O6" s="999"/>
      <c r="P6" s="998">
        <f>O6*48.7</f>
        <v>0</v>
      </c>
      <c r="Q6" s="998"/>
      <c r="R6" s="998">
        <f>241*Q6</f>
        <v>0</v>
      </c>
      <c r="S6" s="999">
        <v>10</v>
      </c>
      <c r="T6" s="999">
        <f>241*S6</f>
        <v>2410</v>
      </c>
      <c r="U6" s="999"/>
      <c r="V6" s="999">
        <f>332*U6</f>
        <v>0</v>
      </c>
      <c r="W6" s="999"/>
      <c r="X6" s="19">
        <f>W6*100</f>
        <v>0</v>
      </c>
      <c r="Y6" s="20">
        <f t="shared" ref="Y6:Y12" si="0">D6+F6+H6+J6+L6+N6+P6+R6+T6+V6+X6</f>
        <v>31488.442500000001</v>
      </c>
    </row>
    <row r="7" spans="1:25" ht="31.5" customHeight="1" x14ac:dyDescent="0.25">
      <c r="A7" s="12">
        <v>1984225578</v>
      </c>
      <c r="B7" s="1001" t="s">
        <v>72</v>
      </c>
      <c r="C7" s="999">
        <v>16958</v>
      </c>
      <c r="D7" s="998">
        <f t="shared" ref="D7:D11" si="1">0.9725*C7</f>
        <v>16491.654999999999</v>
      </c>
      <c r="E7" s="999"/>
      <c r="F7" s="999">
        <f t="shared" ref="F7:F11" si="2">67.1*E7</f>
        <v>0</v>
      </c>
      <c r="G7" s="999"/>
      <c r="H7" s="999">
        <f t="shared" ref="H7:H11" si="3">28.2*G7</f>
        <v>0</v>
      </c>
      <c r="I7" s="999"/>
      <c r="J7" s="999">
        <f t="shared" ref="J7:J11" si="4">18.5*I7</f>
        <v>0</v>
      </c>
      <c r="K7" s="999"/>
      <c r="L7" s="999">
        <f t="shared" ref="L7:L11" si="5">28.2368*K7</f>
        <v>0</v>
      </c>
      <c r="M7" s="999"/>
      <c r="N7" s="998">
        <f t="shared" ref="N7:N11" si="6">M7*47.6525</f>
        <v>0</v>
      </c>
      <c r="O7" s="999"/>
      <c r="P7" s="998">
        <f t="shared" ref="P7:P11" si="7">O7*48.7</f>
        <v>0</v>
      </c>
      <c r="Q7" s="998"/>
      <c r="R7" s="998">
        <f t="shared" ref="R7:R11" si="8">241*Q7</f>
        <v>0</v>
      </c>
      <c r="S7" s="999">
        <v>25</v>
      </c>
      <c r="T7" s="999">
        <f t="shared" ref="T7:T10" si="9">241*S7</f>
        <v>6025</v>
      </c>
      <c r="U7" s="999"/>
      <c r="V7" s="999">
        <f t="shared" ref="V7:V11" si="10">332*U7</f>
        <v>0</v>
      </c>
      <c r="W7" s="999"/>
      <c r="X7" s="19">
        <f t="shared" ref="X7:X11" si="11">W7*100</f>
        <v>0</v>
      </c>
      <c r="Y7" s="20">
        <f t="shared" si="0"/>
        <v>22516.654999999999</v>
      </c>
    </row>
    <row r="8" spans="1:25" ht="35.25" customHeight="1" x14ac:dyDescent="0.25">
      <c r="A8" s="12">
        <v>1967020280</v>
      </c>
      <c r="B8" s="1001" t="s">
        <v>427</v>
      </c>
      <c r="C8" s="999">
        <v>16029</v>
      </c>
      <c r="D8" s="998">
        <f t="shared" si="1"/>
        <v>15588.202500000001</v>
      </c>
      <c r="E8" s="999"/>
      <c r="F8" s="999">
        <f t="shared" si="2"/>
        <v>0</v>
      </c>
      <c r="G8" s="999"/>
      <c r="H8" s="999">
        <f t="shared" si="3"/>
        <v>0</v>
      </c>
      <c r="I8" s="999"/>
      <c r="J8" s="999">
        <f t="shared" si="4"/>
        <v>0</v>
      </c>
      <c r="K8" s="999"/>
      <c r="L8" s="999">
        <f t="shared" si="5"/>
        <v>0</v>
      </c>
      <c r="M8" s="999"/>
      <c r="N8" s="998">
        <f t="shared" si="6"/>
        <v>0</v>
      </c>
      <c r="O8" s="999"/>
      <c r="P8" s="998">
        <f t="shared" si="7"/>
        <v>0</v>
      </c>
      <c r="Q8" s="998"/>
      <c r="R8" s="998">
        <f t="shared" si="8"/>
        <v>0</v>
      </c>
      <c r="S8" s="999"/>
      <c r="T8" s="999">
        <f t="shared" si="9"/>
        <v>0</v>
      </c>
      <c r="U8" s="999"/>
      <c r="V8" s="999">
        <f t="shared" si="10"/>
        <v>0</v>
      </c>
      <c r="W8" s="999"/>
      <c r="X8" s="19">
        <f t="shared" si="11"/>
        <v>0</v>
      </c>
      <c r="Y8" s="20">
        <f t="shared" si="0"/>
        <v>15588.202500000001</v>
      </c>
    </row>
    <row r="9" spans="1:25" ht="38.25" customHeight="1" x14ac:dyDescent="0.25">
      <c r="A9" s="12">
        <v>1984225580</v>
      </c>
      <c r="B9" s="1001" t="s">
        <v>75</v>
      </c>
      <c r="C9" s="999">
        <v>28562</v>
      </c>
      <c r="D9" s="998">
        <f t="shared" si="1"/>
        <v>27776.545000000002</v>
      </c>
      <c r="E9" s="999"/>
      <c r="F9" s="999">
        <f t="shared" si="2"/>
        <v>0</v>
      </c>
      <c r="G9" s="999"/>
      <c r="H9" s="999">
        <f t="shared" si="3"/>
        <v>0</v>
      </c>
      <c r="I9" s="999"/>
      <c r="J9" s="999">
        <f t="shared" si="4"/>
        <v>0</v>
      </c>
      <c r="K9" s="999"/>
      <c r="L9" s="999">
        <f t="shared" si="5"/>
        <v>0</v>
      </c>
      <c r="M9" s="999"/>
      <c r="N9" s="998">
        <f t="shared" si="6"/>
        <v>0</v>
      </c>
      <c r="O9" s="999"/>
      <c r="P9" s="998">
        <f t="shared" si="7"/>
        <v>0</v>
      </c>
      <c r="Q9" s="998"/>
      <c r="R9" s="998">
        <f t="shared" si="8"/>
        <v>0</v>
      </c>
      <c r="S9" s="999"/>
      <c r="T9" s="999">
        <f t="shared" si="9"/>
        <v>0</v>
      </c>
      <c r="U9" s="999"/>
      <c r="V9" s="999">
        <f t="shared" si="10"/>
        <v>0</v>
      </c>
      <c r="W9" s="999"/>
      <c r="X9" s="19">
        <f t="shared" si="11"/>
        <v>0</v>
      </c>
      <c r="Y9" s="20">
        <f t="shared" si="0"/>
        <v>27776.545000000002</v>
      </c>
    </row>
    <row r="10" spans="1:25" ht="35.25" customHeight="1" x14ac:dyDescent="0.25">
      <c r="A10" s="12">
        <v>1409935199</v>
      </c>
      <c r="C10" s="999">
        <v>163290</v>
      </c>
      <c r="D10" s="998">
        <f t="shared" si="1"/>
        <v>158799.52499999999</v>
      </c>
      <c r="E10" s="999"/>
      <c r="F10" s="999">
        <f t="shared" si="2"/>
        <v>0</v>
      </c>
      <c r="G10" s="999"/>
      <c r="H10" s="999">
        <f t="shared" si="3"/>
        <v>0</v>
      </c>
      <c r="I10" s="999"/>
      <c r="J10" s="999">
        <f t="shared" si="4"/>
        <v>0</v>
      </c>
      <c r="K10" s="999"/>
      <c r="L10" s="999">
        <f t="shared" si="5"/>
        <v>0</v>
      </c>
      <c r="M10" s="999"/>
      <c r="N10" s="998">
        <f t="shared" si="6"/>
        <v>0</v>
      </c>
      <c r="O10" s="999"/>
      <c r="P10" s="998">
        <f t="shared" si="7"/>
        <v>0</v>
      </c>
      <c r="Q10" s="998"/>
      <c r="R10" s="998">
        <f t="shared" si="8"/>
        <v>0</v>
      </c>
      <c r="S10" s="999"/>
      <c r="T10" s="999">
        <f t="shared" si="9"/>
        <v>0</v>
      </c>
      <c r="U10" s="999"/>
      <c r="V10" s="999">
        <f t="shared" si="10"/>
        <v>0</v>
      </c>
      <c r="W10" s="999"/>
      <c r="X10" s="19">
        <f t="shared" si="11"/>
        <v>0</v>
      </c>
      <c r="Y10" s="20">
        <f t="shared" si="0"/>
        <v>158799.52499999999</v>
      </c>
    </row>
    <row r="11" spans="1:25" ht="37.5" customHeight="1" x14ac:dyDescent="0.25">
      <c r="A11" s="12"/>
      <c r="B11" s="1000"/>
      <c r="C11" s="999">
        <v>88339</v>
      </c>
      <c r="D11" s="998">
        <f t="shared" si="1"/>
        <v>85909.677500000005</v>
      </c>
      <c r="E11" s="999"/>
      <c r="F11" s="999">
        <f t="shared" si="2"/>
        <v>0</v>
      </c>
      <c r="G11" s="999"/>
      <c r="H11" s="999">
        <f t="shared" si="3"/>
        <v>0</v>
      </c>
      <c r="I11" s="999"/>
      <c r="J11" s="999">
        <f t="shared" si="4"/>
        <v>0</v>
      </c>
      <c r="K11" s="999"/>
      <c r="L11" s="999">
        <f t="shared" si="5"/>
        <v>0</v>
      </c>
      <c r="M11" s="999"/>
      <c r="N11" s="998">
        <f t="shared" si="6"/>
        <v>0</v>
      </c>
      <c r="O11" s="999"/>
      <c r="P11" s="998">
        <f t="shared" si="7"/>
        <v>0</v>
      </c>
      <c r="Q11" s="998"/>
      <c r="R11" s="998">
        <f t="shared" si="8"/>
        <v>0</v>
      </c>
      <c r="S11" s="999">
        <v>46</v>
      </c>
      <c r="T11" s="999">
        <f>341*S11</f>
        <v>15686</v>
      </c>
      <c r="U11" s="999"/>
      <c r="V11" s="999">
        <f t="shared" si="10"/>
        <v>0</v>
      </c>
      <c r="W11" s="999"/>
      <c r="X11" s="19">
        <f t="shared" si="11"/>
        <v>0</v>
      </c>
      <c r="Y11" s="20">
        <f t="shared" si="0"/>
        <v>101595.67750000001</v>
      </c>
    </row>
    <row r="12" spans="1:25" ht="29.25" customHeight="1" x14ac:dyDescent="0.25">
      <c r="A12" s="2235" t="s">
        <v>31</v>
      </c>
      <c r="B12" s="2235"/>
      <c r="C12" s="18">
        <f t="shared" ref="C12:X12" si="12">SUM(C6:C11)</f>
        <v>332271</v>
      </c>
      <c r="D12" s="18">
        <f t="shared" si="12"/>
        <v>323133.54749999999</v>
      </c>
      <c r="E12" s="18">
        <f t="shared" si="12"/>
        <v>5</v>
      </c>
      <c r="F12" s="18">
        <f t="shared" si="12"/>
        <v>335.5</v>
      </c>
      <c r="G12" s="18">
        <f t="shared" si="12"/>
        <v>0</v>
      </c>
      <c r="H12" s="18">
        <f t="shared" si="12"/>
        <v>0</v>
      </c>
      <c r="I12" s="18">
        <f t="shared" si="12"/>
        <v>550</v>
      </c>
      <c r="J12" s="18">
        <f t="shared" si="12"/>
        <v>10175</v>
      </c>
      <c r="K12" s="18">
        <f t="shared" si="12"/>
        <v>0</v>
      </c>
      <c r="L12" s="18">
        <f t="shared" si="12"/>
        <v>0</v>
      </c>
      <c r="M12" s="18">
        <f t="shared" si="12"/>
        <v>0</v>
      </c>
      <c r="N12" s="23">
        <f t="shared" si="12"/>
        <v>0</v>
      </c>
      <c r="O12" s="18">
        <f t="shared" si="12"/>
        <v>0</v>
      </c>
      <c r="P12" s="23">
        <f t="shared" si="12"/>
        <v>0</v>
      </c>
      <c r="Q12" s="23">
        <f t="shared" si="12"/>
        <v>0</v>
      </c>
      <c r="R12" s="23">
        <f>SUM(R6:R11)</f>
        <v>0</v>
      </c>
      <c r="S12" s="23">
        <f>SUM(S6:S11)</f>
        <v>81</v>
      </c>
      <c r="T12" s="18">
        <f t="shared" si="12"/>
        <v>24121</v>
      </c>
      <c r="U12" s="18">
        <f t="shared" si="12"/>
        <v>0</v>
      </c>
      <c r="V12" s="18">
        <f t="shared" si="12"/>
        <v>0</v>
      </c>
      <c r="W12" s="18">
        <f t="shared" si="12"/>
        <v>0</v>
      </c>
      <c r="X12" s="18">
        <f t="shared" si="12"/>
        <v>0</v>
      </c>
      <c r="Y12" s="20">
        <f t="shared" si="0"/>
        <v>357765.04749999999</v>
      </c>
    </row>
    <row r="14" spans="1:25" ht="43.5" customHeight="1" x14ac:dyDescent="0.25">
      <c r="A14" s="30" t="s">
        <v>32</v>
      </c>
      <c r="B14" s="2236" t="s">
        <v>27</v>
      </c>
      <c r="C14" s="2236"/>
      <c r="D14" s="30" t="s">
        <v>333</v>
      </c>
      <c r="E14" s="30" t="s">
        <v>65</v>
      </c>
      <c r="F14" s="30" t="s">
        <v>34</v>
      </c>
      <c r="G14" s="30" t="s">
        <v>14</v>
      </c>
      <c r="H14" s="469" t="s">
        <v>173</v>
      </c>
      <c r="I14" s="30" t="s">
        <v>17</v>
      </c>
      <c r="J14" s="1007" t="s">
        <v>174</v>
      </c>
      <c r="K14" s="30" t="s">
        <v>36</v>
      </c>
      <c r="L14" s="1007" t="s">
        <v>403</v>
      </c>
      <c r="M14" s="30" t="s">
        <v>429</v>
      </c>
      <c r="N14" s="30" t="s">
        <v>70</v>
      </c>
      <c r="O14" s="1007" t="s">
        <v>114</v>
      </c>
      <c r="P14" s="1007"/>
      <c r="Q14" s="2300" t="s">
        <v>378</v>
      </c>
      <c r="R14" s="2301"/>
      <c r="S14" s="1007" t="s">
        <v>401</v>
      </c>
      <c r="T14" s="2235" t="s">
        <v>46</v>
      </c>
      <c r="U14" s="1001" t="s">
        <v>176</v>
      </c>
      <c r="V14" s="2260">
        <v>19179</v>
      </c>
      <c r="W14" s="2268"/>
      <c r="X14" s="2261"/>
    </row>
    <row r="15" spans="1:25" ht="22.5" customHeight="1" x14ac:dyDescent="0.25">
      <c r="A15" s="100" t="s">
        <v>38</v>
      </c>
      <c r="B15" s="2260">
        <v>659911</v>
      </c>
      <c r="C15" s="2261"/>
      <c r="D15" s="1004">
        <v>452</v>
      </c>
      <c r="E15" s="1004">
        <v>60</v>
      </c>
      <c r="F15" s="1004">
        <v>5170</v>
      </c>
      <c r="G15" s="1004">
        <v>0</v>
      </c>
      <c r="H15" s="1004">
        <v>411</v>
      </c>
      <c r="I15" s="1004">
        <v>200</v>
      </c>
      <c r="J15" s="1004">
        <v>5</v>
      </c>
      <c r="K15" s="1004">
        <v>59</v>
      </c>
      <c r="L15" s="1004">
        <v>8</v>
      </c>
      <c r="M15" s="1004">
        <v>0</v>
      </c>
      <c r="N15" s="1004">
        <v>100</v>
      </c>
      <c r="O15" s="1004">
        <v>0</v>
      </c>
      <c r="P15" s="1004"/>
      <c r="Q15" s="2260">
        <v>0</v>
      </c>
      <c r="R15" s="2261"/>
      <c r="S15" s="1001">
        <v>53</v>
      </c>
      <c r="T15" s="2235"/>
      <c r="U15" s="1001" t="s">
        <v>64</v>
      </c>
      <c r="V15" s="2262">
        <v>42748</v>
      </c>
      <c r="W15" s="2262"/>
      <c r="X15" s="2262"/>
    </row>
    <row r="16" spans="1:25" ht="24.75" customHeight="1" x14ac:dyDescent="0.25">
      <c r="A16" s="100" t="s">
        <v>39</v>
      </c>
      <c r="B16" s="2260">
        <v>31168</v>
      </c>
      <c r="C16" s="2261"/>
      <c r="D16" s="1004"/>
      <c r="E16" s="1004">
        <v>100</v>
      </c>
      <c r="F16" s="1004"/>
      <c r="G16" s="1004"/>
      <c r="H16" s="1004"/>
      <c r="I16" s="1004">
        <v>200</v>
      </c>
      <c r="J16" s="1004"/>
      <c r="K16" s="1004"/>
      <c r="L16" s="1004"/>
      <c r="M16" s="1004">
        <v>100</v>
      </c>
      <c r="N16" s="1004"/>
      <c r="O16" s="1004"/>
      <c r="P16" s="1004"/>
      <c r="Q16" s="2225"/>
      <c r="R16" s="2225"/>
      <c r="S16" s="1004"/>
      <c r="T16" s="2254" t="s">
        <v>55</v>
      </c>
      <c r="U16" s="2254"/>
      <c r="V16" s="2267">
        <f>Y12</f>
        <v>357765.04749999999</v>
      </c>
      <c r="W16" s="2267"/>
      <c r="X16" s="2262"/>
    </row>
    <row r="17" spans="1:25" ht="28.5" customHeight="1" x14ac:dyDescent="0.25">
      <c r="A17" s="101" t="s">
        <v>44</v>
      </c>
      <c r="B17" s="2260"/>
      <c r="C17" s="2261"/>
      <c r="D17" s="1004"/>
      <c r="E17" s="1004"/>
      <c r="F17" s="1004"/>
      <c r="G17" s="1004"/>
      <c r="H17" s="1004"/>
      <c r="I17" s="1004"/>
      <c r="J17" s="1004"/>
      <c r="K17" s="1004"/>
      <c r="L17" s="1004"/>
      <c r="M17" s="1004"/>
      <c r="N17" s="1004"/>
      <c r="O17" s="1004"/>
      <c r="P17" s="1004"/>
      <c r="Q17" s="2225"/>
      <c r="R17" s="2225"/>
      <c r="S17" s="1000"/>
      <c r="T17" s="2294" t="s">
        <v>362</v>
      </c>
      <c r="U17" s="2295"/>
      <c r="V17" s="2296"/>
      <c r="W17" s="2296"/>
      <c r="X17" s="2296"/>
    </row>
    <row r="18" spans="1:25" ht="27" customHeight="1" x14ac:dyDescent="0.25">
      <c r="A18" s="100" t="s">
        <v>40</v>
      </c>
      <c r="B18" s="2264">
        <f>C12</f>
        <v>332271</v>
      </c>
      <c r="C18" s="2261"/>
      <c r="D18" s="1006">
        <f>E12</f>
        <v>5</v>
      </c>
      <c r="E18" s="1006">
        <f>G12</f>
        <v>0</v>
      </c>
      <c r="F18" s="1006">
        <f>I12</f>
        <v>550</v>
      </c>
      <c r="G18" s="1006">
        <f>K12</f>
        <v>0</v>
      </c>
      <c r="H18" s="1004">
        <v>35</v>
      </c>
      <c r="I18" s="1006">
        <f>U12</f>
        <v>0</v>
      </c>
      <c r="J18" s="1004"/>
      <c r="K18" s="1006">
        <f>W12</f>
        <v>0</v>
      </c>
      <c r="L18" s="1004"/>
      <c r="M18" s="1006">
        <f>M12</f>
        <v>0</v>
      </c>
      <c r="N18" s="1006"/>
      <c r="O18" s="1005">
        <f>Q12</f>
        <v>0</v>
      </c>
      <c r="P18" s="1006"/>
      <c r="Q18" s="2262"/>
      <c r="R18" s="2262"/>
      <c r="S18" s="1001">
        <v>46</v>
      </c>
      <c r="T18" s="2254" t="s">
        <v>57</v>
      </c>
      <c r="U18" s="2254"/>
      <c r="V18" s="2262">
        <v>89702</v>
      </c>
      <c r="W18" s="2262"/>
      <c r="X18" s="2262"/>
      <c r="Y18" s="2269"/>
    </row>
    <row r="19" spans="1:25" ht="25.5" customHeight="1" x14ac:dyDescent="0.25">
      <c r="A19" s="100" t="s">
        <v>41</v>
      </c>
      <c r="B19" s="2260">
        <f>B15+B16+B17-B18</f>
        <v>358808</v>
      </c>
      <c r="C19" s="2261"/>
      <c r="D19" s="1004">
        <f>D15+D16+D17-D18</f>
        <v>447</v>
      </c>
      <c r="E19" s="1004">
        <f t="shared" ref="E19:N19" si="13">E15+E16+E17-E18</f>
        <v>160</v>
      </c>
      <c r="F19" s="1004">
        <f t="shared" si="13"/>
        <v>4620</v>
      </c>
      <c r="G19" s="1004">
        <f t="shared" si="13"/>
        <v>0</v>
      </c>
      <c r="H19" s="1004">
        <f t="shared" si="13"/>
        <v>376</v>
      </c>
      <c r="I19" s="1004">
        <f t="shared" si="13"/>
        <v>400</v>
      </c>
      <c r="J19" s="1004">
        <f t="shared" si="13"/>
        <v>5</v>
      </c>
      <c r="K19" s="1004">
        <f t="shared" si="13"/>
        <v>59</v>
      </c>
      <c r="L19" s="1004">
        <f t="shared" si="13"/>
        <v>8</v>
      </c>
      <c r="M19" s="1004">
        <f t="shared" si="13"/>
        <v>100</v>
      </c>
      <c r="N19" s="1004">
        <f t="shared" si="13"/>
        <v>100</v>
      </c>
      <c r="O19" s="1004">
        <f>O15+O16+O17-O18</f>
        <v>0</v>
      </c>
      <c r="P19" s="1004">
        <f>P15+P16+P17-P18</f>
        <v>0</v>
      </c>
      <c r="Q19" s="2260">
        <f t="shared" ref="Q19" si="14">Q15+Q16+Q17-Q18</f>
        <v>0</v>
      </c>
      <c r="R19" s="2261"/>
      <c r="S19" s="1001">
        <f>S15+S16-S17-S18</f>
        <v>7</v>
      </c>
      <c r="T19" s="2256" t="s">
        <v>48</v>
      </c>
      <c r="U19" s="49" t="s">
        <v>58</v>
      </c>
      <c r="V19" s="2262">
        <v>300000</v>
      </c>
      <c r="W19" s="2262"/>
      <c r="X19" s="2262"/>
      <c r="Y19" s="2269"/>
    </row>
    <row r="20" spans="1:25" ht="23.25" customHeight="1" x14ac:dyDescent="0.25">
      <c r="A20" s="289" t="s">
        <v>187</v>
      </c>
      <c r="B20" s="2286">
        <f>B19*0.9625</f>
        <v>345352.7</v>
      </c>
      <c r="C20" s="2287"/>
      <c r="D20" s="290">
        <f>D19*66.41</f>
        <v>29685.269999999997</v>
      </c>
      <c r="E20" s="290">
        <f>27.9368*E19</f>
        <v>4469.8879999999999</v>
      </c>
      <c r="F20" s="290">
        <f>18.31*F19</f>
        <v>84592.2</v>
      </c>
      <c r="G20" s="290">
        <f>27.9368*G19</f>
        <v>0</v>
      </c>
      <c r="H20" s="290">
        <f>241*H19</f>
        <v>90616</v>
      </c>
      <c r="I20" s="290">
        <f>323*I19</f>
        <v>129200</v>
      </c>
      <c r="J20" s="290">
        <f>241*J19</f>
        <v>1205</v>
      </c>
      <c r="K20" s="290">
        <f>K19*100</f>
        <v>5900</v>
      </c>
      <c r="L20" s="290">
        <f>241*L19</f>
        <v>1928</v>
      </c>
      <c r="M20" s="290">
        <f>9.65*M19</f>
        <v>965</v>
      </c>
      <c r="N20" s="290">
        <f>N19*48.2</f>
        <v>4820</v>
      </c>
      <c r="O20" s="290">
        <f>241*O19</f>
        <v>0</v>
      </c>
      <c r="P20" s="290">
        <f>241*P19</f>
        <v>0</v>
      </c>
      <c r="Q20" s="2286">
        <f>341*Q19</f>
        <v>0</v>
      </c>
      <c r="R20" s="2287"/>
      <c r="S20" s="290">
        <f>341*S19</f>
        <v>2387</v>
      </c>
      <c r="T20" s="2257"/>
      <c r="U20" s="49" t="s">
        <v>59</v>
      </c>
      <c r="V20" s="2262"/>
      <c r="W20" s="2262"/>
      <c r="X20" s="2262"/>
      <c r="Y20" s="2269"/>
    </row>
    <row r="21" spans="1:25" ht="32.25" customHeight="1" x14ac:dyDescent="0.25">
      <c r="A21" s="291" t="s">
        <v>186</v>
      </c>
      <c r="B21" s="2293">
        <f>SUM(B20:S20)</f>
        <v>701121.05799999996</v>
      </c>
      <c r="C21" s="2293"/>
      <c r="O21" s="1008"/>
      <c r="P21" s="1008"/>
      <c r="Q21" s="1008"/>
      <c r="R21" s="1008"/>
      <c r="T21" s="2294" t="s">
        <v>366</v>
      </c>
      <c r="U21" s="2295"/>
      <c r="V21" s="2297"/>
      <c r="W21" s="2298"/>
      <c r="X21" s="2299"/>
      <c r="Y21" s="2269"/>
    </row>
    <row r="22" spans="1:25" ht="35.25" customHeight="1" x14ac:dyDescent="0.25">
      <c r="A22" s="15"/>
      <c r="B22" s="2288" t="s">
        <v>49</v>
      </c>
      <c r="C22" s="2291">
        <v>300000</v>
      </c>
      <c r="D22" s="2291">
        <v>300000</v>
      </c>
      <c r="E22" s="2291">
        <v>102108</v>
      </c>
      <c r="F22" s="2291">
        <f>C22-D22+E22</f>
        <v>102108</v>
      </c>
      <c r="G22" s="1008"/>
      <c r="Q22" s="1008"/>
      <c r="R22" s="1008"/>
      <c r="T22" s="2251" t="s">
        <v>83</v>
      </c>
      <c r="U22" s="50" t="s">
        <v>60</v>
      </c>
      <c r="V22" s="2262">
        <v>265000</v>
      </c>
      <c r="W22" s="2262"/>
      <c r="X22" s="2262"/>
      <c r="Y22" s="2269"/>
    </row>
    <row r="23" spans="1:25" ht="39.75" customHeight="1" x14ac:dyDescent="0.25">
      <c r="A23" s="1008"/>
      <c r="B23" s="2289"/>
      <c r="C23" s="2292"/>
      <c r="D23" s="2292"/>
      <c r="E23" s="2292"/>
      <c r="F23" s="2292"/>
      <c r="G23" s="1008"/>
      <c r="Q23" s="1008"/>
      <c r="R23" s="1008"/>
      <c r="T23" s="2252"/>
      <c r="U23" s="50" t="s">
        <v>61</v>
      </c>
      <c r="V23" s="2262">
        <v>300000</v>
      </c>
      <c r="W23" s="2262"/>
      <c r="X23" s="2262"/>
      <c r="Y23" s="2269"/>
    </row>
    <row r="24" spans="1:25" ht="48" customHeight="1" x14ac:dyDescent="0.25">
      <c r="A24" s="1008"/>
      <c r="B24" s="2290"/>
      <c r="C24" s="290" t="s">
        <v>46</v>
      </c>
      <c r="D24" s="290" t="s">
        <v>50</v>
      </c>
      <c r="E24" s="290" t="s">
        <v>51</v>
      </c>
      <c r="F24" s="290" t="s">
        <v>52</v>
      </c>
      <c r="G24" s="1008"/>
      <c r="Q24" s="1008"/>
      <c r="R24" s="1008"/>
      <c r="T24" s="2235" t="s">
        <v>47</v>
      </c>
      <c r="U24" s="51" t="s">
        <v>62</v>
      </c>
      <c r="V24" s="2263">
        <f>V14+V16+V17-V18-V19-V20-V22+V23-V21</f>
        <v>22242.047499999986</v>
      </c>
      <c r="W24" s="2263"/>
      <c r="X24" s="2263"/>
      <c r="Y24" s="2269"/>
    </row>
    <row r="25" spans="1:25" ht="40.5" customHeight="1" x14ac:dyDescent="0.25">
      <c r="T25" s="2235"/>
      <c r="U25" s="51" t="s">
        <v>63</v>
      </c>
      <c r="V25" s="2262">
        <f>V15+V22-V23</f>
        <v>7748</v>
      </c>
      <c r="W25" s="2262"/>
      <c r="X25" s="2262"/>
    </row>
    <row r="26" spans="1:25" ht="36" customHeight="1" x14ac:dyDescent="0.25">
      <c r="K26" s="314"/>
    </row>
    <row r="28" spans="1:25" x14ac:dyDescent="0.25">
      <c r="J28" s="14" t="s">
        <v>139</v>
      </c>
    </row>
    <row r="32" spans="1:25" x14ac:dyDescent="0.25">
      <c r="I32" s="2280"/>
      <c r="J32" s="2280"/>
      <c r="K32" s="2280"/>
      <c r="L32" s="2280"/>
    </row>
    <row r="33" spans="9:12" x14ac:dyDescent="0.25">
      <c r="I33" s="1008"/>
      <c r="J33" s="1008"/>
      <c r="K33" s="2280"/>
      <c r="L33" s="2280"/>
    </row>
  </sheetData>
  <mergeCells count="62">
    <mergeCell ref="A1:Y1"/>
    <mergeCell ref="A2:Y2"/>
    <mergeCell ref="T3:Y3"/>
    <mergeCell ref="A4:A5"/>
    <mergeCell ref="B4:B5"/>
    <mergeCell ref="C4:D4"/>
    <mergeCell ref="E4:F4"/>
    <mergeCell ref="G4:H4"/>
    <mergeCell ref="I4:J4"/>
    <mergeCell ref="K4:L4"/>
    <mergeCell ref="Y4:Y5"/>
    <mergeCell ref="M4:N4"/>
    <mergeCell ref="O4:P4"/>
    <mergeCell ref="Q4:R4"/>
    <mergeCell ref="S4:T4"/>
    <mergeCell ref="U4:V4"/>
    <mergeCell ref="W4:X4"/>
    <mergeCell ref="B16:C16"/>
    <mergeCell ref="Q16:R16"/>
    <mergeCell ref="T16:U16"/>
    <mergeCell ref="V16:X16"/>
    <mergeCell ref="A12:B12"/>
    <mergeCell ref="B14:C14"/>
    <mergeCell ref="Q14:R14"/>
    <mergeCell ref="T14:T15"/>
    <mergeCell ref="V14:X14"/>
    <mergeCell ref="B15:C15"/>
    <mergeCell ref="Q15:R15"/>
    <mergeCell ref="V15:X15"/>
    <mergeCell ref="B17:C17"/>
    <mergeCell ref="Q17:R17"/>
    <mergeCell ref="T17:U17"/>
    <mergeCell ref="V17:X17"/>
    <mergeCell ref="B18:C18"/>
    <mergeCell ref="Q18:R18"/>
    <mergeCell ref="T18:U18"/>
    <mergeCell ref="V18:X18"/>
    <mergeCell ref="Y18:Y24"/>
    <mergeCell ref="B19:C19"/>
    <mergeCell ref="Q19:R19"/>
    <mergeCell ref="T19:T20"/>
    <mergeCell ref="V19:X19"/>
    <mergeCell ref="B20:C20"/>
    <mergeCell ref="B22:B24"/>
    <mergeCell ref="C22:C23"/>
    <mergeCell ref="D22:D23"/>
    <mergeCell ref="E22:E23"/>
    <mergeCell ref="F22:F23"/>
    <mergeCell ref="Q20:R20"/>
    <mergeCell ref="V20:X20"/>
    <mergeCell ref="B21:C21"/>
    <mergeCell ref="T21:U21"/>
    <mergeCell ref="V21:X21"/>
    <mergeCell ref="I32:J32"/>
    <mergeCell ref="K32:L32"/>
    <mergeCell ref="K33:L33"/>
    <mergeCell ref="T22:T23"/>
    <mergeCell ref="V22:X22"/>
    <mergeCell ref="V23:X23"/>
    <mergeCell ref="T24:T25"/>
    <mergeCell ref="V24:X24"/>
    <mergeCell ref="V25:X25"/>
  </mergeCells>
  <pageMargins left="0.15748031496063" right="0.15748031496063" top="0" bottom="0" header="0" footer="0"/>
  <pageSetup paperSize="9" scale="45" orientation="landscape" r:id="rId1"/>
</worksheet>
</file>

<file path=xl/worksheets/sheet20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B1E64D7-691E-4C2D-B9BB-507E4A070ADE}">
  <sheetPr>
    <pageSetUpPr fitToPage="1"/>
  </sheetPr>
  <dimension ref="A1:Y33"/>
  <sheetViews>
    <sheetView topLeftCell="A13" zoomScale="70" zoomScaleNormal="70" zoomScaleSheetLayoutView="100" workbookViewId="0">
      <selection activeCell="K32" sqref="K32:L32"/>
    </sheetView>
  </sheetViews>
  <sheetFormatPr defaultColWidth="9.140625" defaultRowHeight="15" x14ac:dyDescent="0.25"/>
  <cols>
    <col min="1" max="1" width="18.28515625" style="14" customWidth="1"/>
    <col min="2" max="2" width="10.7109375" style="14" customWidth="1"/>
    <col min="3" max="3" width="12.28515625" style="14" customWidth="1"/>
    <col min="4" max="4" width="13.140625" style="14" bestFit="1" customWidth="1"/>
    <col min="5" max="5" width="12" style="14" customWidth="1"/>
    <col min="6" max="6" width="12.5703125" style="14" bestFit="1" customWidth="1"/>
    <col min="7" max="7" width="16" style="14" bestFit="1" customWidth="1"/>
    <col min="8" max="8" width="10.140625" style="14" bestFit="1" customWidth="1"/>
    <col min="9" max="9" width="10.5703125" style="14" bestFit="1" customWidth="1"/>
    <col min="10" max="10" width="10.5703125" style="14" customWidth="1"/>
    <col min="11" max="11" width="10.28515625" style="14" bestFit="1" customWidth="1"/>
    <col min="12" max="12" width="10.42578125" style="14" bestFit="1" customWidth="1"/>
    <col min="13" max="13" width="12" style="14" bestFit="1" customWidth="1"/>
    <col min="14" max="14" width="10.140625" style="14" bestFit="1" customWidth="1"/>
    <col min="15" max="15" width="9" style="14" customWidth="1"/>
    <col min="16" max="16" width="12.85546875" style="14" bestFit="1" customWidth="1"/>
    <col min="17" max="18" width="9.42578125" style="14" customWidth="1"/>
    <col min="19" max="19" width="13.7109375" style="14" customWidth="1"/>
    <col min="20" max="20" width="12.140625" style="14" customWidth="1"/>
    <col min="21" max="21" width="21.7109375" style="14" customWidth="1"/>
    <col min="22" max="22" width="9.85546875" style="14" customWidth="1"/>
    <col min="23" max="23" width="10.140625" style="14" bestFit="1" customWidth="1"/>
    <col min="24" max="24" width="10.28515625" style="14" customWidth="1"/>
    <col min="25" max="25" width="28" style="14" customWidth="1"/>
    <col min="26" max="16384" width="9.140625" style="14"/>
  </cols>
  <sheetData>
    <row r="1" spans="1:25" ht="46.15" customHeight="1" x14ac:dyDescent="0.25">
      <c r="A1" s="2240" t="s">
        <v>148</v>
      </c>
      <c r="B1" s="2240"/>
      <c r="C1" s="2240"/>
      <c r="D1" s="2240"/>
      <c r="E1" s="2240"/>
      <c r="F1" s="2240"/>
      <c r="G1" s="2240"/>
      <c r="H1" s="2240"/>
      <c r="I1" s="2240"/>
      <c r="J1" s="2240"/>
      <c r="K1" s="2240"/>
      <c r="L1" s="2240"/>
      <c r="M1" s="2240"/>
      <c r="N1" s="2240"/>
      <c r="O1" s="2240"/>
      <c r="P1" s="2240"/>
      <c r="Q1" s="2240"/>
      <c r="R1" s="2240"/>
      <c r="S1" s="2240"/>
      <c r="T1" s="2240"/>
      <c r="U1" s="2240"/>
      <c r="V1" s="2240"/>
      <c r="W1" s="2240"/>
      <c r="X1" s="2240"/>
      <c r="Y1" s="2240"/>
    </row>
    <row r="2" spans="1:25" ht="21.6" customHeight="1" x14ac:dyDescent="0.25">
      <c r="A2" s="2241" t="s">
        <v>383</v>
      </c>
      <c r="B2" s="2241"/>
      <c r="C2" s="2241"/>
      <c r="D2" s="2241"/>
      <c r="E2" s="2241"/>
      <c r="F2" s="2241"/>
      <c r="G2" s="2241"/>
      <c r="H2" s="2241"/>
      <c r="I2" s="2241"/>
      <c r="J2" s="2241"/>
      <c r="K2" s="2241"/>
      <c r="L2" s="2241"/>
      <c r="M2" s="2241"/>
      <c r="N2" s="2241"/>
      <c r="O2" s="2241"/>
      <c r="P2" s="2241"/>
      <c r="Q2" s="2241"/>
      <c r="R2" s="2241"/>
      <c r="S2" s="2241"/>
      <c r="T2" s="2241"/>
      <c r="U2" s="2241"/>
      <c r="V2" s="2241"/>
      <c r="W2" s="2241"/>
      <c r="X2" s="2241"/>
      <c r="Y2" s="2241"/>
    </row>
    <row r="3" spans="1:25" ht="21" customHeight="1" x14ac:dyDescent="0.25">
      <c r="A3" s="1003"/>
      <c r="B3" s="1003"/>
      <c r="C3" s="1003"/>
      <c r="D3" s="1003"/>
      <c r="E3" s="1003"/>
      <c r="F3" s="1003"/>
      <c r="G3" s="1003"/>
      <c r="H3" s="1003"/>
      <c r="I3" s="1003"/>
      <c r="J3" s="1003"/>
      <c r="K3" s="1003"/>
      <c r="L3" s="1003"/>
      <c r="M3" s="1003"/>
      <c r="N3" s="1003"/>
      <c r="O3" s="1003"/>
      <c r="P3" s="1003"/>
      <c r="Q3" s="1003"/>
      <c r="R3" s="1003"/>
      <c r="S3" s="1003"/>
      <c r="T3" s="2242" t="s">
        <v>430</v>
      </c>
      <c r="U3" s="2242"/>
      <c r="V3" s="2242"/>
      <c r="W3" s="2242"/>
      <c r="X3" s="2242"/>
      <c r="Y3" s="2242"/>
    </row>
    <row r="4" spans="1:25" s="1003" customFormat="1" ht="18" customHeight="1" x14ac:dyDescent="0.25">
      <c r="A4" s="2243" t="s">
        <v>25</v>
      </c>
      <c r="B4" s="2243" t="s">
        <v>26</v>
      </c>
      <c r="C4" s="2244" t="s">
        <v>27</v>
      </c>
      <c r="D4" s="2244"/>
      <c r="E4" s="2244" t="s">
        <v>342</v>
      </c>
      <c r="F4" s="2244"/>
      <c r="G4" s="2244" t="s">
        <v>65</v>
      </c>
      <c r="H4" s="2244"/>
      <c r="I4" s="2244" t="s">
        <v>29</v>
      </c>
      <c r="J4" s="2244"/>
      <c r="K4" s="2245" t="s">
        <v>14</v>
      </c>
      <c r="L4" s="2246"/>
      <c r="M4" s="2245" t="s">
        <v>429</v>
      </c>
      <c r="N4" s="2246"/>
      <c r="O4" s="2245" t="s">
        <v>68</v>
      </c>
      <c r="P4" s="2246"/>
      <c r="Q4" s="2245" t="s">
        <v>114</v>
      </c>
      <c r="R4" s="2246"/>
      <c r="S4" s="2244" t="s">
        <v>35</v>
      </c>
      <c r="T4" s="2244"/>
      <c r="U4" s="2245" t="s">
        <v>17</v>
      </c>
      <c r="V4" s="2246"/>
      <c r="W4" s="2247" t="s">
        <v>36</v>
      </c>
      <c r="X4" s="2248"/>
      <c r="Y4" s="2238" t="s">
        <v>30</v>
      </c>
    </row>
    <row r="5" spans="1:25" s="1003" customFormat="1" ht="25.5" customHeight="1" x14ac:dyDescent="0.25">
      <c r="A5" s="2243"/>
      <c r="B5" s="2243"/>
      <c r="C5" s="1002" t="s">
        <v>42</v>
      </c>
      <c r="D5" s="1002" t="s">
        <v>43</v>
      </c>
      <c r="E5" s="1002" t="s">
        <v>42</v>
      </c>
      <c r="F5" s="1002" t="s">
        <v>43</v>
      </c>
      <c r="G5" s="1002" t="s">
        <v>42</v>
      </c>
      <c r="H5" s="1002" t="s">
        <v>43</v>
      </c>
      <c r="I5" s="1002" t="s">
        <v>42</v>
      </c>
      <c r="J5" s="1002" t="s">
        <v>43</v>
      </c>
      <c r="K5" s="1002" t="s">
        <v>42</v>
      </c>
      <c r="L5" s="1002" t="s">
        <v>43</v>
      </c>
      <c r="M5" s="1002" t="s">
        <v>42</v>
      </c>
      <c r="N5" s="1002" t="s">
        <v>43</v>
      </c>
      <c r="O5" s="1002" t="s">
        <v>42</v>
      </c>
      <c r="P5" s="1002" t="s">
        <v>43</v>
      </c>
      <c r="Q5" s="1002" t="s">
        <v>42</v>
      </c>
      <c r="R5" s="1002" t="s">
        <v>43</v>
      </c>
      <c r="S5" s="33" t="s">
        <v>42</v>
      </c>
      <c r="T5" s="33" t="s">
        <v>43</v>
      </c>
      <c r="U5" s="30" t="s">
        <v>42</v>
      </c>
      <c r="V5" s="30" t="s">
        <v>43</v>
      </c>
      <c r="W5" s="30" t="s">
        <v>42</v>
      </c>
      <c r="X5" s="30" t="s">
        <v>43</v>
      </c>
      <c r="Y5" s="2239"/>
    </row>
    <row r="6" spans="1:25" ht="34.5" customHeight="1" x14ac:dyDescent="0.25">
      <c r="A6" s="12">
        <v>1409935200</v>
      </c>
      <c r="B6" s="1001" t="s">
        <v>71</v>
      </c>
      <c r="C6" s="999">
        <v>46284</v>
      </c>
      <c r="D6" s="998">
        <f>0.9725*C6</f>
        <v>45011.19</v>
      </c>
      <c r="E6" s="999"/>
      <c r="F6" s="999">
        <f>67.1*E6</f>
        <v>0</v>
      </c>
      <c r="G6" s="999"/>
      <c r="H6" s="999">
        <f>28.2*G6</f>
        <v>0</v>
      </c>
      <c r="I6" s="999">
        <v>100</v>
      </c>
      <c r="J6" s="999">
        <f>18.5*I6</f>
        <v>1850</v>
      </c>
      <c r="K6" s="999"/>
      <c r="L6" s="999">
        <f>28.2368*K6</f>
        <v>0</v>
      </c>
      <c r="M6" s="999"/>
      <c r="N6" s="998">
        <f>M6*47.6525</f>
        <v>0</v>
      </c>
      <c r="O6" s="999"/>
      <c r="P6" s="998">
        <f>O6*48.7</f>
        <v>0</v>
      </c>
      <c r="Q6" s="998"/>
      <c r="R6" s="998">
        <f>241*Q6</f>
        <v>0</v>
      </c>
      <c r="S6" s="999"/>
      <c r="T6" s="999">
        <f>241*S6</f>
        <v>0</v>
      </c>
      <c r="U6" s="999"/>
      <c r="V6" s="999">
        <f>332*U6</f>
        <v>0</v>
      </c>
      <c r="W6" s="999"/>
      <c r="X6" s="19">
        <f>W6*100</f>
        <v>0</v>
      </c>
      <c r="Y6" s="20">
        <f t="shared" ref="Y6:Y12" si="0">D6+F6+H6+J6+L6+N6+P6+R6+T6+V6+X6</f>
        <v>46861.19</v>
      </c>
    </row>
    <row r="7" spans="1:25" ht="31.5" customHeight="1" x14ac:dyDescent="0.25">
      <c r="A7" s="12">
        <v>1984225578</v>
      </c>
      <c r="B7" s="1001" t="s">
        <v>72</v>
      </c>
      <c r="C7" s="999">
        <v>20608</v>
      </c>
      <c r="D7" s="998">
        <f t="shared" ref="D7:D11" si="1">0.9725*C7</f>
        <v>20041.28</v>
      </c>
      <c r="E7" s="999"/>
      <c r="F7" s="999">
        <f t="shared" ref="F7:F11" si="2">67.1*E7</f>
        <v>0</v>
      </c>
      <c r="G7" s="999"/>
      <c r="H7" s="999">
        <f t="shared" ref="H7:H11" si="3">28.2*G7</f>
        <v>0</v>
      </c>
      <c r="I7" s="999">
        <v>20</v>
      </c>
      <c r="J7" s="999">
        <f t="shared" ref="J7:J11" si="4">18.5*I7</f>
        <v>370</v>
      </c>
      <c r="K7" s="999"/>
      <c r="L7" s="999">
        <f t="shared" ref="L7:L11" si="5">28.2368*K7</f>
        <v>0</v>
      </c>
      <c r="M7" s="999"/>
      <c r="N7" s="998">
        <f t="shared" ref="N7:N11" si="6">M7*47.6525</f>
        <v>0</v>
      </c>
      <c r="O7" s="999"/>
      <c r="P7" s="998">
        <f t="shared" ref="P7:P11" si="7">O7*48.7</f>
        <v>0</v>
      </c>
      <c r="Q7" s="998"/>
      <c r="R7" s="998">
        <f t="shared" ref="R7:R11" si="8">241*Q7</f>
        <v>0</v>
      </c>
      <c r="S7" s="999"/>
      <c r="T7" s="999">
        <f t="shared" ref="T7:T10" si="9">241*S7</f>
        <v>0</v>
      </c>
      <c r="U7" s="999"/>
      <c r="V7" s="999">
        <f t="shared" ref="V7:V11" si="10">332*U7</f>
        <v>0</v>
      </c>
      <c r="W7" s="999"/>
      <c r="X7" s="19">
        <f t="shared" ref="X7:X11" si="11">W7*100</f>
        <v>0</v>
      </c>
      <c r="Y7" s="20">
        <f t="shared" si="0"/>
        <v>20411.28</v>
      </c>
    </row>
    <row r="8" spans="1:25" ht="35.25" customHeight="1" x14ac:dyDescent="0.25">
      <c r="A8" s="12">
        <v>1967020280</v>
      </c>
      <c r="B8" s="1001" t="s">
        <v>427</v>
      </c>
      <c r="C8" s="999">
        <v>17776</v>
      </c>
      <c r="D8" s="998">
        <f t="shared" si="1"/>
        <v>17287.16</v>
      </c>
      <c r="E8" s="999"/>
      <c r="F8" s="999">
        <f t="shared" si="2"/>
        <v>0</v>
      </c>
      <c r="G8" s="999"/>
      <c r="H8" s="999">
        <f t="shared" si="3"/>
        <v>0</v>
      </c>
      <c r="I8" s="999"/>
      <c r="J8" s="999">
        <f t="shared" si="4"/>
        <v>0</v>
      </c>
      <c r="K8" s="999"/>
      <c r="L8" s="999">
        <f t="shared" si="5"/>
        <v>0</v>
      </c>
      <c r="M8" s="999"/>
      <c r="N8" s="998">
        <f t="shared" si="6"/>
        <v>0</v>
      </c>
      <c r="O8" s="999"/>
      <c r="P8" s="998">
        <f t="shared" si="7"/>
        <v>0</v>
      </c>
      <c r="Q8" s="998"/>
      <c r="R8" s="998">
        <f t="shared" si="8"/>
        <v>0</v>
      </c>
      <c r="S8" s="999"/>
      <c r="T8" s="999">
        <f t="shared" si="9"/>
        <v>0</v>
      </c>
      <c r="U8" s="999"/>
      <c r="V8" s="999">
        <f t="shared" si="10"/>
        <v>0</v>
      </c>
      <c r="W8" s="999"/>
      <c r="X8" s="19">
        <f t="shared" si="11"/>
        <v>0</v>
      </c>
      <c r="Y8" s="20">
        <f t="shared" si="0"/>
        <v>17287.16</v>
      </c>
    </row>
    <row r="9" spans="1:25" ht="38.25" customHeight="1" x14ac:dyDescent="0.25">
      <c r="A9" s="12">
        <v>1984225580</v>
      </c>
      <c r="B9" s="1001" t="s">
        <v>75</v>
      </c>
      <c r="C9" s="999">
        <v>25082</v>
      </c>
      <c r="D9" s="998">
        <f t="shared" si="1"/>
        <v>24392.244999999999</v>
      </c>
      <c r="E9" s="999"/>
      <c r="F9" s="999">
        <f t="shared" si="2"/>
        <v>0</v>
      </c>
      <c r="G9" s="999"/>
      <c r="H9" s="999">
        <f t="shared" si="3"/>
        <v>0</v>
      </c>
      <c r="I9" s="999"/>
      <c r="J9" s="999">
        <f t="shared" si="4"/>
        <v>0</v>
      </c>
      <c r="K9" s="999"/>
      <c r="L9" s="999">
        <f t="shared" si="5"/>
        <v>0</v>
      </c>
      <c r="M9" s="999"/>
      <c r="N9" s="998">
        <f t="shared" si="6"/>
        <v>0</v>
      </c>
      <c r="O9" s="999"/>
      <c r="P9" s="998">
        <f t="shared" si="7"/>
        <v>0</v>
      </c>
      <c r="Q9" s="998"/>
      <c r="R9" s="998">
        <f t="shared" si="8"/>
        <v>0</v>
      </c>
      <c r="S9" s="999"/>
      <c r="T9" s="999">
        <f t="shared" si="9"/>
        <v>0</v>
      </c>
      <c r="U9" s="999"/>
      <c r="V9" s="999">
        <f t="shared" si="10"/>
        <v>0</v>
      </c>
      <c r="W9" s="999"/>
      <c r="X9" s="19">
        <f t="shared" si="11"/>
        <v>0</v>
      </c>
      <c r="Y9" s="20">
        <f t="shared" si="0"/>
        <v>24392.244999999999</v>
      </c>
    </row>
    <row r="10" spans="1:25" ht="35.25" customHeight="1" x14ac:dyDescent="0.25">
      <c r="A10" s="12">
        <v>1409935199</v>
      </c>
      <c r="C10" s="999"/>
      <c r="D10" s="998">
        <f t="shared" si="1"/>
        <v>0</v>
      </c>
      <c r="E10" s="999"/>
      <c r="F10" s="999">
        <f t="shared" si="2"/>
        <v>0</v>
      </c>
      <c r="G10" s="999"/>
      <c r="H10" s="999">
        <f t="shared" si="3"/>
        <v>0</v>
      </c>
      <c r="I10" s="999"/>
      <c r="J10" s="999">
        <f t="shared" si="4"/>
        <v>0</v>
      </c>
      <c r="K10" s="999"/>
      <c r="L10" s="999">
        <f t="shared" si="5"/>
        <v>0</v>
      </c>
      <c r="M10" s="999"/>
      <c r="N10" s="998">
        <f t="shared" si="6"/>
        <v>0</v>
      </c>
      <c r="O10" s="999"/>
      <c r="P10" s="998">
        <f t="shared" si="7"/>
        <v>0</v>
      </c>
      <c r="Q10" s="998"/>
      <c r="R10" s="998">
        <f t="shared" si="8"/>
        <v>0</v>
      </c>
      <c r="S10" s="999"/>
      <c r="T10" s="999">
        <f t="shared" si="9"/>
        <v>0</v>
      </c>
      <c r="U10" s="999"/>
      <c r="V10" s="999">
        <f t="shared" si="10"/>
        <v>0</v>
      </c>
      <c r="W10" s="999"/>
      <c r="X10" s="19">
        <f t="shared" si="11"/>
        <v>0</v>
      </c>
      <c r="Y10" s="20">
        <f t="shared" si="0"/>
        <v>0</v>
      </c>
    </row>
    <row r="11" spans="1:25" ht="37.5" customHeight="1" x14ac:dyDescent="0.25">
      <c r="A11" s="12"/>
      <c r="B11" s="1000"/>
      <c r="C11" s="999"/>
      <c r="D11" s="998">
        <f t="shared" si="1"/>
        <v>0</v>
      </c>
      <c r="E11" s="999"/>
      <c r="F11" s="999">
        <f t="shared" si="2"/>
        <v>0</v>
      </c>
      <c r="G11" s="999"/>
      <c r="H11" s="999">
        <f t="shared" si="3"/>
        <v>0</v>
      </c>
      <c r="I11" s="999"/>
      <c r="J11" s="999">
        <f t="shared" si="4"/>
        <v>0</v>
      </c>
      <c r="K11" s="999"/>
      <c r="L11" s="999">
        <f t="shared" si="5"/>
        <v>0</v>
      </c>
      <c r="M11" s="999"/>
      <c r="N11" s="998">
        <f t="shared" si="6"/>
        <v>0</v>
      </c>
      <c r="O11" s="999"/>
      <c r="P11" s="998">
        <f t="shared" si="7"/>
        <v>0</v>
      </c>
      <c r="Q11" s="998"/>
      <c r="R11" s="998">
        <f t="shared" si="8"/>
        <v>0</v>
      </c>
      <c r="S11" s="999"/>
      <c r="T11" s="999">
        <f>341*S11</f>
        <v>0</v>
      </c>
      <c r="U11" s="999"/>
      <c r="V11" s="999">
        <f t="shared" si="10"/>
        <v>0</v>
      </c>
      <c r="W11" s="999"/>
      <c r="X11" s="19">
        <f t="shared" si="11"/>
        <v>0</v>
      </c>
      <c r="Y11" s="20">
        <f t="shared" si="0"/>
        <v>0</v>
      </c>
    </row>
    <row r="12" spans="1:25" ht="29.25" customHeight="1" x14ac:dyDescent="0.25">
      <c r="A12" s="2235" t="s">
        <v>31</v>
      </c>
      <c r="B12" s="2235"/>
      <c r="C12" s="18">
        <f t="shared" ref="C12:X12" si="12">SUM(C6:C11)</f>
        <v>109750</v>
      </c>
      <c r="D12" s="18">
        <f t="shared" si="12"/>
        <v>106731.875</v>
      </c>
      <c r="E12" s="18">
        <f t="shared" si="12"/>
        <v>0</v>
      </c>
      <c r="F12" s="18">
        <f t="shared" si="12"/>
        <v>0</v>
      </c>
      <c r="G12" s="18">
        <f t="shared" si="12"/>
        <v>0</v>
      </c>
      <c r="H12" s="18">
        <f t="shared" si="12"/>
        <v>0</v>
      </c>
      <c r="I12" s="18">
        <f t="shared" si="12"/>
        <v>120</v>
      </c>
      <c r="J12" s="18">
        <f t="shared" si="12"/>
        <v>2220</v>
      </c>
      <c r="K12" s="18">
        <f t="shared" si="12"/>
        <v>0</v>
      </c>
      <c r="L12" s="18">
        <f t="shared" si="12"/>
        <v>0</v>
      </c>
      <c r="M12" s="18">
        <f t="shared" si="12"/>
        <v>0</v>
      </c>
      <c r="N12" s="23">
        <f t="shared" si="12"/>
        <v>0</v>
      </c>
      <c r="O12" s="18">
        <f t="shared" si="12"/>
        <v>0</v>
      </c>
      <c r="P12" s="23">
        <f t="shared" si="12"/>
        <v>0</v>
      </c>
      <c r="Q12" s="23">
        <f t="shared" si="12"/>
        <v>0</v>
      </c>
      <c r="R12" s="23">
        <f>SUM(R6:R11)</f>
        <v>0</v>
      </c>
      <c r="S12" s="23">
        <f>SUM(S6:S11)</f>
        <v>0</v>
      </c>
      <c r="T12" s="18">
        <f t="shared" si="12"/>
        <v>0</v>
      </c>
      <c r="U12" s="18">
        <f t="shared" si="12"/>
        <v>0</v>
      </c>
      <c r="V12" s="18">
        <f t="shared" si="12"/>
        <v>0</v>
      </c>
      <c r="W12" s="18">
        <f t="shared" si="12"/>
        <v>0</v>
      </c>
      <c r="X12" s="18">
        <f t="shared" si="12"/>
        <v>0</v>
      </c>
      <c r="Y12" s="20">
        <f t="shared" si="0"/>
        <v>108951.875</v>
      </c>
    </row>
    <row r="14" spans="1:25" ht="43.5" customHeight="1" x14ac:dyDescent="0.25">
      <c r="A14" s="30" t="s">
        <v>32</v>
      </c>
      <c r="B14" s="2236" t="s">
        <v>27</v>
      </c>
      <c r="C14" s="2236"/>
      <c r="D14" s="30" t="s">
        <v>333</v>
      </c>
      <c r="E14" s="30" t="s">
        <v>65</v>
      </c>
      <c r="F14" s="30" t="s">
        <v>34</v>
      </c>
      <c r="G14" s="30" t="s">
        <v>14</v>
      </c>
      <c r="H14" s="469" t="s">
        <v>173</v>
      </c>
      <c r="I14" s="30" t="s">
        <v>17</v>
      </c>
      <c r="J14" s="1007" t="s">
        <v>174</v>
      </c>
      <c r="K14" s="30" t="s">
        <v>36</v>
      </c>
      <c r="L14" s="1007" t="s">
        <v>403</v>
      </c>
      <c r="M14" s="30" t="s">
        <v>429</v>
      </c>
      <c r="N14" s="30" t="s">
        <v>70</v>
      </c>
      <c r="O14" s="1007" t="s">
        <v>114</v>
      </c>
      <c r="P14" s="1007"/>
      <c r="Q14" s="2300" t="s">
        <v>378</v>
      </c>
      <c r="R14" s="2301"/>
      <c r="S14" s="1007" t="s">
        <v>401</v>
      </c>
      <c r="T14" s="2235" t="s">
        <v>46</v>
      </c>
      <c r="U14" s="1001" t="s">
        <v>176</v>
      </c>
      <c r="V14" s="2260">
        <v>22242</v>
      </c>
      <c r="W14" s="2268"/>
      <c r="X14" s="2261"/>
    </row>
    <row r="15" spans="1:25" ht="22.5" customHeight="1" x14ac:dyDescent="0.25">
      <c r="A15" s="100" t="s">
        <v>38</v>
      </c>
      <c r="B15" s="2260">
        <v>358808</v>
      </c>
      <c r="C15" s="2261"/>
      <c r="D15" s="1004">
        <v>447</v>
      </c>
      <c r="E15" s="1004">
        <v>160</v>
      </c>
      <c r="F15" s="1004">
        <v>4620</v>
      </c>
      <c r="G15" s="1004">
        <v>0</v>
      </c>
      <c r="H15" s="1004">
        <v>376</v>
      </c>
      <c r="I15" s="1004">
        <v>400</v>
      </c>
      <c r="J15" s="1004">
        <v>5</v>
      </c>
      <c r="K15" s="1004">
        <v>59</v>
      </c>
      <c r="L15" s="1004">
        <v>8</v>
      </c>
      <c r="M15" s="1004">
        <v>100</v>
      </c>
      <c r="N15" s="1004">
        <v>100</v>
      </c>
      <c r="O15" s="1004">
        <v>0</v>
      </c>
      <c r="P15" s="1004"/>
      <c r="Q15" s="2260">
        <v>0</v>
      </c>
      <c r="R15" s="2261"/>
      <c r="S15" s="1001">
        <v>7</v>
      </c>
      <c r="T15" s="2235"/>
      <c r="U15" s="1001" t="s">
        <v>64</v>
      </c>
      <c r="V15" s="2262">
        <v>7748</v>
      </c>
      <c r="W15" s="2262"/>
      <c r="X15" s="2262"/>
    </row>
    <row r="16" spans="1:25" ht="24.75" customHeight="1" x14ac:dyDescent="0.25">
      <c r="A16" s="100" t="s">
        <v>39</v>
      </c>
      <c r="B16" s="2260">
        <v>114285</v>
      </c>
      <c r="C16" s="2261"/>
      <c r="D16" s="1004"/>
      <c r="E16" s="1004"/>
      <c r="F16" s="1004"/>
      <c r="G16" s="1004"/>
      <c r="H16" s="1004"/>
      <c r="I16" s="1004"/>
      <c r="J16" s="1004"/>
      <c r="K16" s="1004"/>
      <c r="L16" s="1004"/>
      <c r="M16" s="1004"/>
      <c r="N16" s="1004"/>
      <c r="O16" s="1004"/>
      <c r="P16" s="1004"/>
      <c r="Q16" s="2225"/>
      <c r="R16" s="2225"/>
      <c r="S16" s="1004"/>
      <c r="T16" s="2254" t="s">
        <v>55</v>
      </c>
      <c r="U16" s="2254"/>
      <c r="V16" s="2267">
        <f>Y12</f>
        <v>108951.875</v>
      </c>
      <c r="W16" s="2267"/>
      <c r="X16" s="2262"/>
    </row>
    <row r="17" spans="1:25" ht="28.5" customHeight="1" x14ac:dyDescent="0.25">
      <c r="A17" s="101" t="s">
        <v>44</v>
      </c>
      <c r="B17" s="2260"/>
      <c r="C17" s="2261"/>
      <c r="D17" s="1004"/>
      <c r="E17" s="1004"/>
      <c r="F17" s="1004"/>
      <c r="G17" s="1004"/>
      <c r="H17" s="1004"/>
      <c r="I17" s="1004"/>
      <c r="J17" s="1004"/>
      <c r="K17" s="1004"/>
      <c r="L17" s="1004"/>
      <c r="M17" s="1004"/>
      <c r="N17" s="1004"/>
      <c r="O17" s="1004"/>
      <c r="P17" s="1004"/>
      <c r="Q17" s="2225"/>
      <c r="R17" s="2225"/>
      <c r="S17" s="1000"/>
      <c r="T17" s="2294" t="s">
        <v>362</v>
      </c>
      <c r="U17" s="2295"/>
      <c r="V17" s="2296"/>
      <c r="W17" s="2296"/>
      <c r="X17" s="2296"/>
    </row>
    <row r="18" spans="1:25" ht="27" customHeight="1" x14ac:dyDescent="0.25">
      <c r="A18" s="100" t="s">
        <v>40</v>
      </c>
      <c r="B18" s="2264">
        <f>C12</f>
        <v>109750</v>
      </c>
      <c r="C18" s="2261"/>
      <c r="D18" s="1006">
        <f>E12</f>
        <v>0</v>
      </c>
      <c r="E18" s="1006">
        <f>G12</f>
        <v>0</v>
      </c>
      <c r="F18" s="1006">
        <f>I12</f>
        <v>120</v>
      </c>
      <c r="G18" s="1006">
        <f>K12</f>
        <v>0</v>
      </c>
      <c r="H18" s="1004"/>
      <c r="I18" s="1006">
        <f>U12</f>
        <v>0</v>
      </c>
      <c r="J18" s="1004"/>
      <c r="K18" s="1006">
        <f>W12</f>
        <v>0</v>
      </c>
      <c r="L18" s="1004"/>
      <c r="M18" s="1006">
        <f>M12</f>
        <v>0</v>
      </c>
      <c r="N18" s="1006"/>
      <c r="O18" s="1005">
        <f>Q12</f>
        <v>0</v>
      </c>
      <c r="P18" s="1006"/>
      <c r="Q18" s="2262"/>
      <c r="R18" s="2262"/>
      <c r="S18" s="1001"/>
      <c r="T18" s="2254" t="s">
        <v>57</v>
      </c>
      <c r="U18" s="2254"/>
      <c r="V18" s="2262">
        <v>570</v>
      </c>
      <c r="W18" s="2262"/>
      <c r="X18" s="2262"/>
      <c r="Y18" s="2269"/>
    </row>
    <row r="19" spans="1:25" ht="25.5" customHeight="1" x14ac:dyDescent="0.25">
      <c r="A19" s="100" t="s">
        <v>41</v>
      </c>
      <c r="B19" s="2260">
        <f>B15+B16+B17-B18</f>
        <v>363343</v>
      </c>
      <c r="C19" s="2261"/>
      <c r="D19" s="1004">
        <f>D15+D16+D17-D18</f>
        <v>447</v>
      </c>
      <c r="E19" s="1004">
        <f t="shared" ref="E19:N19" si="13">E15+E16+E17-E18</f>
        <v>160</v>
      </c>
      <c r="F19" s="1004">
        <f t="shared" si="13"/>
        <v>4500</v>
      </c>
      <c r="G19" s="1004">
        <f t="shared" si="13"/>
        <v>0</v>
      </c>
      <c r="H19" s="1004">
        <f t="shared" si="13"/>
        <v>376</v>
      </c>
      <c r="I19" s="1004">
        <f t="shared" si="13"/>
        <v>400</v>
      </c>
      <c r="J19" s="1004">
        <f t="shared" si="13"/>
        <v>5</v>
      </c>
      <c r="K19" s="1004">
        <f t="shared" si="13"/>
        <v>59</v>
      </c>
      <c r="L19" s="1004">
        <f t="shared" si="13"/>
        <v>8</v>
      </c>
      <c r="M19" s="1004">
        <f t="shared" si="13"/>
        <v>100</v>
      </c>
      <c r="N19" s="1004">
        <f t="shared" si="13"/>
        <v>100</v>
      </c>
      <c r="O19" s="1004">
        <f>O15+O16+O17-O18</f>
        <v>0</v>
      </c>
      <c r="P19" s="1004">
        <f>P15+P16+P17-P18</f>
        <v>0</v>
      </c>
      <c r="Q19" s="2260">
        <f t="shared" ref="Q19" si="14">Q15+Q16+Q17-Q18</f>
        <v>0</v>
      </c>
      <c r="R19" s="2261"/>
      <c r="S19" s="1001">
        <f>S15+S16-S17-S18</f>
        <v>7</v>
      </c>
      <c r="T19" s="2256" t="s">
        <v>48</v>
      </c>
      <c r="U19" s="49" t="s">
        <v>58</v>
      </c>
      <c r="V19" s="2262">
        <v>102108</v>
      </c>
      <c r="W19" s="2262"/>
      <c r="X19" s="2262"/>
      <c r="Y19" s="2269"/>
    </row>
    <row r="20" spans="1:25" ht="23.25" customHeight="1" x14ac:dyDescent="0.25">
      <c r="A20" s="289" t="s">
        <v>187</v>
      </c>
      <c r="B20" s="2286">
        <f>B19*0.9625</f>
        <v>349717.63750000001</v>
      </c>
      <c r="C20" s="2287"/>
      <c r="D20" s="290">
        <f>D19*66.41</f>
        <v>29685.269999999997</v>
      </c>
      <c r="E20" s="290">
        <f>27.9368*E19</f>
        <v>4469.8879999999999</v>
      </c>
      <c r="F20" s="290">
        <f>18.31*F19</f>
        <v>82395</v>
      </c>
      <c r="G20" s="290">
        <f>27.9368*G19</f>
        <v>0</v>
      </c>
      <c r="H20" s="290">
        <f>241*H19</f>
        <v>90616</v>
      </c>
      <c r="I20" s="290">
        <f>323*I19</f>
        <v>129200</v>
      </c>
      <c r="J20" s="290">
        <f>241*J19</f>
        <v>1205</v>
      </c>
      <c r="K20" s="290">
        <f>K19*100</f>
        <v>5900</v>
      </c>
      <c r="L20" s="290">
        <f>241*L19</f>
        <v>1928</v>
      </c>
      <c r="M20" s="290">
        <f>9.65*M19</f>
        <v>965</v>
      </c>
      <c r="N20" s="290">
        <f>N19*48.2</f>
        <v>4820</v>
      </c>
      <c r="O20" s="290">
        <f>241*O19</f>
        <v>0</v>
      </c>
      <c r="P20" s="290">
        <f>241*P19</f>
        <v>0</v>
      </c>
      <c r="Q20" s="2286">
        <f>341*Q19</f>
        <v>0</v>
      </c>
      <c r="R20" s="2287"/>
      <c r="S20" s="290">
        <f>341*S19</f>
        <v>2387</v>
      </c>
      <c r="T20" s="2257"/>
      <c r="U20" s="49" t="s">
        <v>59</v>
      </c>
      <c r="V20" s="2262"/>
      <c r="W20" s="2262"/>
      <c r="X20" s="2262"/>
      <c r="Y20" s="2269"/>
    </row>
    <row r="21" spans="1:25" ht="32.25" customHeight="1" x14ac:dyDescent="0.25">
      <c r="A21" s="291" t="s">
        <v>186</v>
      </c>
      <c r="B21" s="2293">
        <f>SUM(B20:S20)</f>
        <v>703288.79550000001</v>
      </c>
      <c r="C21" s="2293"/>
      <c r="O21" s="1008"/>
      <c r="P21" s="1008"/>
      <c r="Q21" s="1008"/>
      <c r="R21" s="1008"/>
      <c r="T21" s="2294" t="s">
        <v>366</v>
      </c>
      <c r="U21" s="2295"/>
      <c r="V21" s="2297"/>
      <c r="W21" s="2298"/>
      <c r="X21" s="2299"/>
      <c r="Y21" s="2269"/>
    </row>
    <row r="22" spans="1:25" ht="35.25" customHeight="1" x14ac:dyDescent="0.25">
      <c r="A22" s="15"/>
      <c r="B22" s="2288" t="s">
        <v>49</v>
      </c>
      <c r="C22" s="2291">
        <v>102108</v>
      </c>
      <c r="D22" s="2291">
        <v>102108</v>
      </c>
      <c r="E22" s="2291">
        <v>110000</v>
      </c>
      <c r="F22" s="2291">
        <f>C22-D22+E22</f>
        <v>110000</v>
      </c>
      <c r="G22" s="1008"/>
      <c r="Q22" s="1008"/>
      <c r="R22" s="1008"/>
      <c r="T22" s="2251" t="s">
        <v>83</v>
      </c>
      <c r="U22" s="50" t="s">
        <v>60</v>
      </c>
      <c r="V22" s="2262">
        <v>106380</v>
      </c>
      <c r="W22" s="2262"/>
      <c r="X22" s="2262"/>
      <c r="Y22" s="2269"/>
    </row>
    <row r="23" spans="1:25" ht="39.75" customHeight="1" x14ac:dyDescent="0.25">
      <c r="A23" s="1008"/>
      <c r="B23" s="2289"/>
      <c r="C23" s="2292"/>
      <c r="D23" s="2292"/>
      <c r="E23" s="2292"/>
      <c r="F23" s="2292"/>
      <c r="G23" s="1008"/>
      <c r="Q23" s="1008"/>
      <c r="R23" s="1008"/>
      <c r="T23" s="2252"/>
      <c r="U23" s="50" t="s">
        <v>61</v>
      </c>
      <c r="V23" s="2262">
        <v>102108</v>
      </c>
      <c r="W23" s="2262"/>
      <c r="X23" s="2262"/>
      <c r="Y23" s="2269"/>
    </row>
    <row r="24" spans="1:25" ht="48" customHeight="1" x14ac:dyDescent="0.25">
      <c r="A24" s="1008"/>
      <c r="B24" s="2290"/>
      <c r="C24" s="290" t="s">
        <v>46</v>
      </c>
      <c r="D24" s="290" t="s">
        <v>50</v>
      </c>
      <c r="E24" s="290" t="s">
        <v>51</v>
      </c>
      <c r="F24" s="290" t="s">
        <v>52</v>
      </c>
      <c r="G24" s="1008"/>
      <c r="Q24" s="1008"/>
      <c r="R24" s="1008"/>
      <c r="T24" s="2235" t="s">
        <v>47</v>
      </c>
      <c r="U24" s="51" t="s">
        <v>62</v>
      </c>
      <c r="V24" s="2263">
        <f>V14+V16+V17-V18-V19-V20-V22+V23-V21</f>
        <v>24243.875</v>
      </c>
      <c r="W24" s="2263"/>
      <c r="X24" s="2263"/>
      <c r="Y24" s="2269"/>
    </row>
    <row r="25" spans="1:25" ht="40.5" customHeight="1" x14ac:dyDescent="0.25">
      <c r="T25" s="2235"/>
      <c r="U25" s="51" t="s">
        <v>63</v>
      </c>
      <c r="V25" s="2262">
        <f>V15+V22-V23</f>
        <v>12020</v>
      </c>
      <c r="W25" s="2262"/>
      <c r="X25" s="2262"/>
    </row>
    <row r="26" spans="1:25" ht="36" customHeight="1" x14ac:dyDescent="0.25">
      <c r="K26" s="314"/>
    </row>
    <row r="28" spans="1:25" x14ac:dyDescent="0.25">
      <c r="J28" s="14" t="s">
        <v>139</v>
      </c>
    </row>
    <row r="32" spans="1:25" x14ac:dyDescent="0.25">
      <c r="I32" s="2280"/>
      <c r="J32" s="2280"/>
      <c r="K32" s="2280"/>
      <c r="L32" s="2280"/>
    </row>
    <row r="33" spans="9:12" x14ac:dyDescent="0.25">
      <c r="I33" s="1008"/>
      <c r="J33" s="1008"/>
      <c r="K33" s="2280"/>
      <c r="L33" s="2280"/>
    </row>
  </sheetData>
  <mergeCells count="62">
    <mergeCell ref="A1:Y1"/>
    <mergeCell ref="A2:Y2"/>
    <mergeCell ref="T3:Y3"/>
    <mergeCell ref="A4:A5"/>
    <mergeCell ref="B4:B5"/>
    <mergeCell ref="C4:D4"/>
    <mergeCell ref="E4:F4"/>
    <mergeCell ref="G4:H4"/>
    <mergeCell ref="I4:J4"/>
    <mergeCell ref="K4:L4"/>
    <mergeCell ref="Y4:Y5"/>
    <mergeCell ref="M4:N4"/>
    <mergeCell ref="O4:P4"/>
    <mergeCell ref="Q4:R4"/>
    <mergeCell ref="S4:T4"/>
    <mergeCell ref="U4:V4"/>
    <mergeCell ref="W4:X4"/>
    <mergeCell ref="B16:C16"/>
    <mergeCell ref="Q16:R16"/>
    <mergeCell ref="T16:U16"/>
    <mergeCell ref="V16:X16"/>
    <mergeCell ref="A12:B12"/>
    <mergeCell ref="B14:C14"/>
    <mergeCell ref="Q14:R14"/>
    <mergeCell ref="T14:T15"/>
    <mergeCell ref="V14:X14"/>
    <mergeCell ref="B15:C15"/>
    <mergeCell ref="Q15:R15"/>
    <mergeCell ref="V15:X15"/>
    <mergeCell ref="B17:C17"/>
    <mergeCell ref="Q17:R17"/>
    <mergeCell ref="T17:U17"/>
    <mergeCell ref="V17:X17"/>
    <mergeCell ref="B18:C18"/>
    <mergeCell ref="Q18:R18"/>
    <mergeCell ref="T18:U18"/>
    <mergeCell ref="V18:X18"/>
    <mergeCell ref="Y18:Y24"/>
    <mergeCell ref="B19:C19"/>
    <mergeCell ref="Q19:R19"/>
    <mergeCell ref="T19:T20"/>
    <mergeCell ref="V19:X19"/>
    <mergeCell ref="B20:C20"/>
    <mergeCell ref="B22:B24"/>
    <mergeCell ref="C22:C23"/>
    <mergeCell ref="D22:D23"/>
    <mergeCell ref="E22:E23"/>
    <mergeCell ref="F22:F23"/>
    <mergeCell ref="Q20:R20"/>
    <mergeCell ref="V20:X20"/>
    <mergeCell ref="B21:C21"/>
    <mergeCell ref="T21:U21"/>
    <mergeCell ref="V21:X21"/>
    <mergeCell ref="I32:J32"/>
    <mergeCell ref="K32:L32"/>
    <mergeCell ref="K33:L33"/>
    <mergeCell ref="T22:T23"/>
    <mergeCell ref="V22:X22"/>
    <mergeCell ref="V23:X23"/>
    <mergeCell ref="T24:T25"/>
    <mergeCell ref="V24:X24"/>
    <mergeCell ref="V25:X25"/>
  </mergeCells>
  <pageMargins left="0.15748031496063" right="0.15748031496063" top="0" bottom="0" header="0" footer="0"/>
  <pageSetup paperSize="9" scale="45" orientation="landscape" r:id="rId1"/>
</worksheet>
</file>

<file path=xl/worksheets/sheet20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16546E0-8EEF-4A3C-8DB3-58AA66D8A992}">
  <sheetPr>
    <pageSetUpPr fitToPage="1"/>
  </sheetPr>
  <dimension ref="A1:Y33"/>
  <sheetViews>
    <sheetView zoomScale="70" zoomScaleNormal="70" zoomScaleSheetLayoutView="100" workbookViewId="0">
      <selection activeCell="M24" sqref="M24"/>
    </sheetView>
  </sheetViews>
  <sheetFormatPr defaultColWidth="9.140625" defaultRowHeight="15" x14ac:dyDescent="0.25"/>
  <cols>
    <col min="1" max="1" width="18.28515625" style="14" customWidth="1"/>
    <col min="2" max="2" width="10.7109375" style="14" customWidth="1"/>
    <col min="3" max="3" width="12.28515625" style="14" customWidth="1"/>
    <col min="4" max="4" width="13.140625" style="14" bestFit="1" customWidth="1"/>
    <col min="5" max="5" width="12" style="14" customWidth="1"/>
    <col min="6" max="6" width="12.5703125" style="14" bestFit="1" customWidth="1"/>
    <col min="7" max="7" width="16" style="14" bestFit="1" customWidth="1"/>
    <col min="8" max="8" width="10.140625" style="14" bestFit="1" customWidth="1"/>
    <col min="9" max="9" width="10.5703125" style="14" bestFit="1" customWidth="1"/>
    <col min="10" max="10" width="10.5703125" style="14" customWidth="1"/>
    <col min="11" max="11" width="10.28515625" style="14" bestFit="1" customWidth="1"/>
    <col min="12" max="12" width="10.42578125" style="14" bestFit="1" customWidth="1"/>
    <col min="13" max="13" width="12" style="14" bestFit="1" customWidth="1"/>
    <col min="14" max="14" width="10.140625" style="14" bestFit="1" customWidth="1"/>
    <col min="15" max="15" width="9" style="14" customWidth="1"/>
    <col min="16" max="16" width="12.85546875" style="14" bestFit="1" customWidth="1"/>
    <col min="17" max="18" width="9.42578125" style="14" customWidth="1"/>
    <col min="19" max="19" width="13.7109375" style="14" customWidth="1"/>
    <col min="20" max="20" width="12.140625" style="14" customWidth="1"/>
    <col min="21" max="21" width="21.7109375" style="14" customWidth="1"/>
    <col min="22" max="22" width="9.85546875" style="14" customWidth="1"/>
    <col min="23" max="23" width="10.140625" style="14" bestFit="1" customWidth="1"/>
    <col min="24" max="24" width="10.28515625" style="14" customWidth="1"/>
    <col min="25" max="25" width="28" style="14" customWidth="1"/>
    <col min="26" max="16384" width="9.140625" style="14"/>
  </cols>
  <sheetData>
    <row r="1" spans="1:25" ht="46.15" customHeight="1" x14ac:dyDescent="0.25">
      <c r="A1" s="2240" t="s">
        <v>148</v>
      </c>
      <c r="B1" s="2240"/>
      <c r="C1" s="2240"/>
      <c r="D1" s="2240"/>
      <c r="E1" s="2240"/>
      <c r="F1" s="2240"/>
      <c r="G1" s="2240"/>
      <c r="H1" s="2240"/>
      <c r="I1" s="2240"/>
      <c r="J1" s="2240"/>
      <c r="K1" s="2240"/>
      <c r="L1" s="2240"/>
      <c r="M1" s="2240"/>
      <c r="N1" s="2240"/>
      <c r="O1" s="2240"/>
      <c r="P1" s="2240"/>
      <c r="Q1" s="2240"/>
      <c r="R1" s="2240"/>
      <c r="S1" s="2240"/>
      <c r="T1" s="2240"/>
      <c r="U1" s="2240"/>
      <c r="V1" s="2240"/>
      <c r="W1" s="2240"/>
      <c r="X1" s="2240"/>
      <c r="Y1" s="2240"/>
    </row>
    <row r="2" spans="1:25" ht="21.6" customHeight="1" x14ac:dyDescent="0.25">
      <c r="A2" s="2241" t="s">
        <v>383</v>
      </c>
      <c r="B2" s="2241"/>
      <c r="C2" s="2241"/>
      <c r="D2" s="2241"/>
      <c r="E2" s="2241"/>
      <c r="F2" s="2241"/>
      <c r="G2" s="2241"/>
      <c r="H2" s="2241"/>
      <c r="I2" s="2241"/>
      <c r="J2" s="2241"/>
      <c r="K2" s="2241"/>
      <c r="L2" s="2241"/>
      <c r="M2" s="2241"/>
      <c r="N2" s="2241"/>
      <c r="O2" s="2241"/>
      <c r="P2" s="2241"/>
      <c r="Q2" s="2241"/>
      <c r="R2" s="2241"/>
      <c r="S2" s="2241"/>
      <c r="T2" s="2241"/>
      <c r="U2" s="2241"/>
      <c r="V2" s="2241"/>
      <c r="W2" s="2241"/>
      <c r="X2" s="2241"/>
      <c r="Y2" s="2241"/>
    </row>
    <row r="3" spans="1:25" ht="21" customHeight="1" x14ac:dyDescent="0.25">
      <c r="A3" s="1003"/>
      <c r="B3" s="1003"/>
      <c r="C3" s="1003"/>
      <c r="D3" s="1003"/>
      <c r="E3" s="1003"/>
      <c r="F3" s="1003"/>
      <c r="G3" s="1003"/>
      <c r="H3" s="1003"/>
      <c r="I3" s="1003"/>
      <c r="J3" s="1003"/>
      <c r="K3" s="1003"/>
      <c r="L3" s="1003"/>
      <c r="M3" s="1003"/>
      <c r="N3" s="1003"/>
      <c r="O3" s="1003"/>
      <c r="P3" s="1003"/>
      <c r="Q3" s="1003"/>
      <c r="R3" s="1003"/>
      <c r="S3" s="1003"/>
      <c r="T3" s="2242" t="s">
        <v>431</v>
      </c>
      <c r="U3" s="2242"/>
      <c r="V3" s="2242"/>
      <c r="W3" s="2242"/>
      <c r="X3" s="2242"/>
      <c r="Y3" s="2242"/>
    </row>
    <row r="4" spans="1:25" s="1003" customFormat="1" ht="18" customHeight="1" x14ac:dyDescent="0.25">
      <c r="A4" s="2243" t="s">
        <v>25</v>
      </c>
      <c r="B4" s="2243" t="s">
        <v>26</v>
      </c>
      <c r="C4" s="2244" t="s">
        <v>27</v>
      </c>
      <c r="D4" s="2244"/>
      <c r="E4" s="2244" t="s">
        <v>342</v>
      </c>
      <c r="F4" s="2244"/>
      <c r="G4" s="2244" t="s">
        <v>65</v>
      </c>
      <c r="H4" s="2244"/>
      <c r="I4" s="2244" t="s">
        <v>29</v>
      </c>
      <c r="J4" s="2244"/>
      <c r="K4" s="2245" t="s">
        <v>14</v>
      </c>
      <c r="L4" s="2246"/>
      <c r="M4" s="2245" t="s">
        <v>429</v>
      </c>
      <c r="N4" s="2246"/>
      <c r="O4" s="2245" t="s">
        <v>68</v>
      </c>
      <c r="P4" s="2246"/>
      <c r="Q4" s="2245" t="s">
        <v>114</v>
      </c>
      <c r="R4" s="2246"/>
      <c r="S4" s="2244" t="s">
        <v>35</v>
      </c>
      <c r="T4" s="2244"/>
      <c r="U4" s="2245" t="s">
        <v>17</v>
      </c>
      <c r="V4" s="2246"/>
      <c r="W4" s="2247" t="s">
        <v>36</v>
      </c>
      <c r="X4" s="2248"/>
      <c r="Y4" s="2238" t="s">
        <v>30</v>
      </c>
    </row>
    <row r="5" spans="1:25" s="1003" customFormat="1" ht="25.5" customHeight="1" x14ac:dyDescent="0.25">
      <c r="A5" s="2243"/>
      <c r="B5" s="2243"/>
      <c r="C5" s="1002" t="s">
        <v>42</v>
      </c>
      <c r="D5" s="1002" t="s">
        <v>43</v>
      </c>
      <c r="E5" s="1002" t="s">
        <v>42</v>
      </c>
      <c r="F5" s="1002" t="s">
        <v>43</v>
      </c>
      <c r="G5" s="1002" t="s">
        <v>42</v>
      </c>
      <c r="H5" s="1002" t="s">
        <v>43</v>
      </c>
      <c r="I5" s="1002" t="s">
        <v>42</v>
      </c>
      <c r="J5" s="1002" t="s">
        <v>43</v>
      </c>
      <c r="K5" s="1002" t="s">
        <v>42</v>
      </c>
      <c r="L5" s="1002" t="s">
        <v>43</v>
      </c>
      <c r="M5" s="1002" t="s">
        <v>42</v>
      </c>
      <c r="N5" s="1002" t="s">
        <v>43</v>
      </c>
      <c r="O5" s="1002" t="s">
        <v>42</v>
      </c>
      <c r="P5" s="1002" t="s">
        <v>43</v>
      </c>
      <c r="Q5" s="1002" t="s">
        <v>42</v>
      </c>
      <c r="R5" s="1002" t="s">
        <v>43</v>
      </c>
      <c r="S5" s="33" t="s">
        <v>42</v>
      </c>
      <c r="T5" s="33" t="s">
        <v>43</v>
      </c>
      <c r="U5" s="30" t="s">
        <v>42</v>
      </c>
      <c r="V5" s="30" t="s">
        <v>43</v>
      </c>
      <c r="W5" s="30" t="s">
        <v>42</v>
      </c>
      <c r="X5" s="30" t="s">
        <v>43</v>
      </c>
      <c r="Y5" s="2239"/>
    </row>
    <row r="6" spans="1:25" ht="34.5" customHeight="1" x14ac:dyDescent="0.25">
      <c r="A6" s="12">
        <v>1409935200</v>
      </c>
      <c r="B6" s="1001" t="s">
        <v>71</v>
      </c>
      <c r="C6" s="999">
        <v>36002</v>
      </c>
      <c r="D6" s="998">
        <f>0.9725*C6</f>
        <v>35011.945</v>
      </c>
      <c r="E6" s="999"/>
      <c r="F6" s="999">
        <f>67.1*E6</f>
        <v>0</v>
      </c>
      <c r="G6" s="999"/>
      <c r="H6" s="999">
        <f>28.2*G6</f>
        <v>0</v>
      </c>
      <c r="I6" s="999"/>
      <c r="J6" s="999">
        <f>18.5*I6</f>
        <v>0</v>
      </c>
      <c r="K6" s="999"/>
      <c r="L6" s="999">
        <f>28.2368*K6</f>
        <v>0</v>
      </c>
      <c r="M6" s="999"/>
      <c r="N6" s="998">
        <f>M6*47.6525</f>
        <v>0</v>
      </c>
      <c r="O6" s="999"/>
      <c r="P6" s="998">
        <f>O6*48.7</f>
        <v>0</v>
      </c>
      <c r="Q6" s="998"/>
      <c r="R6" s="998">
        <f>241*Q6</f>
        <v>0</v>
      </c>
      <c r="S6" s="999"/>
      <c r="T6" s="999">
        <f>241*S6</f>
        <v>0</v>
      </c>
      <c r="U6" s="999"/>
      <c r="V6" s="999">
        <f>332*U6</f>
        <v>0</v>
      </c>
      <c r="W6" s="999"/>
      <c r="X6" s="19">
        <f>W6*100</f>
        <v>0</v>
      </c>
      <c r="Y6" s="20">
        <f t="shared" ref="Y6:Y12" si="0">D6+F6+H6+J6+L6+N6+P6+R6+T6+V6+X6</f>
        <v>35011.945</v>
      </c>
    </row>
    <row r="7" spans="1:25" ht="31.5" customHeight="1" x14ac:dyDescent="0.25">
      <c r="A7" s="12">
        <v>1984225578</v>
      </c>
      <c r="B7" s="1001" t="s">
        <v>72</v>
      </c>
      <c r="C7" s="999">
        <v>38947</v>
      </c>
      <c r="D7" s="998">
        <f t="shared" ref="D7:D11" si="1">0.9725*C7</f>
        <v>37875.957500000004</v>
      </c>
      <c r="E7" s="999"/>
      <c r="F7" s="999">
        <f t="shared" ref="F7:F11" si="2">67.1*E7</f>
        <v>0</v>
      </c>
      <c r="G7" s="999">
        <v>500</v>
      </c>
      <c r="H7" s="999">
        <f t="shared" ref="H7:H11" si="3">28.2*G7</f>
        <v>14100</v>
      </c>
      <c r="I7" s="999"/>
      <c r="J7" s="999">
        <f t="shared" ref="J7:J11" si="4">18.5*I7</f>
        <v>0</v>
      </c>
      <c r="K7" s="999"/>
      <c r="L7" s="999">
        <f t="shared" ref="L7:L11" si="5">28.2368*K7</f>
        <v>0</v>
      </c>
      <c r="M7" s="999"/>
      <c r="N7" s="998">
        <f t="shared" ref="N7:N11" si="6">M7*47.6525</f>
        <v>0</v>
      </c>
      <c r="O7" s="999"/>
      <c r="P7" s="998">
        <f t="shared" ref="P7:P11" si="7">O7*48.7</f>
        <v>0</v>
      </c>
      <c r="Q7" s="998"/>
      <c r="R7" s="998">
        <f t="shared" ref="R7:R11" si="8">241*Q7</f>
        <v>0</v>
      </c>
      <c r="S7" s="999"/>
      <c r="T7" s="999">
        <f t="shared" ref="T7:T10" si="9">241*S7</f>
        <v>0</v>
      </c>
      <c r="U7" s="999">
        <v>120</v>
      </c>
      <c r="V7" s="999">
        <f t="shared" ref="V7:V11" si="10">332*U7</f>
        <v>39840</v>
      </c>
      <c r="W7" s="999"/>
      <c r="X7" s="19">
        <f t="shared" ref="X7:X11" si="11">W7*100</f>
        <v>0</v>
      </c>
      <c r="Y7" s="20">
        <f t="shared" si="0"/>
        <v>91815.957500000004</v>
      </c>
    </row>
    <row r="8" spans="1:25" ht="35.25" customHeight="1" x14ac:dyDescent="0.25">
      <c r="A8" s="12">
        <v>1967020280</v>
      </c>
      <c r="B8" s="1001" t="s">
        <v>427</v>
      </c>
      <c r="C8" s="999">
        <v>34873</v>
      </c>
      <c r="D8" s="998">
        <f t="shared" si="1"/>
        <v>33913.9925</v>
      </c>
      <c r="E8" s="999"/>
      <c r="F8" s="999">
        <f t="shared" si="2"/>
        <v>0</v>
      </c>
      <c r="G8" s="999"/>
      <c r="H8" s="999">
        <f t="shared" si="3"/>
        <v>0</v>
      </c>
      <c r="I8" s="999"/>
      <c r="J8" s="999">
        <f t="shared" si="4"/>
        <v>0</v>
      </c>
      <c r="K8" s="999"/>
      <c r="L8" s="999">
        <f t="shared" si="5"/>
        <v>0</v>
      </c>
      <c r="M8" s="999"/>
      <c r="N8" s="998">
        <f t="shared" si="6"/>
        <v>0</v>
      </c>
      <c r="O8" s="999"/>
      <c r="P8" s="998">
        <f t="shared" si="7"/>
        <v>0</v>
      </c>
      <c r="Q8" s="998"/>
      <c r="R8" s="998">
        <f t="shared" si="8"/>
        <v>0</v>
      </c>
      <c r="S8" s="999"/>
      <c r="T8" s="999">
        <f t="shared" si="9"/>
        <v>0</v>
      </c>
      <c r="U8" s="999"/>
      <c r="V8" s="999">
        <f t="shared" si="10"/>
        <v>0</v>
      </c>
      <c r="W8" s="999"/>
      <c r="X8" s="19">
        <f t="shared" si="11"/>
        <v>0</v>
      </c>
      <c r="Y8" s="20">
        <f t="shared" si="0"/>
        <v>33913.9925</v>
      </c>
    </row>
    <row r="9" spans="1:25" ht="38.25" customHeight="1" x14ac:dyDescent="0.25">
      <c r="A9" s="12">
        <v>1984225580</v>
      </c>
      <c r="B9" s="1001" t="s">
        <v>75</v>
      </c>
      <c r="C9" s="999">
        <v>38442</v>
      </c>
      <c r="D9" s="998">
        <f t="shared" si="1"/>
        <v>37384.845000000001</v>
      </c>
      <c r="E9" s="999"/>
      <c r="F9" s="999">
        <f t="shared" si="2"/>
        <v>0</v>
      </c>
      <c r="G9" s="999"/>
      <c r="H9" s="999">
        <f t="shared" si="3"/>
        <v>0</v>
      </c>
      <c r="I9" s="999"/>
      <c r="J9" s="999">
        <f t="shared" si="4"/>
        <v>0</v>
      </c>
      <c r="K9" s="999"/>
      <c r="L9" s="999">
        <f t="shared" si="5"/>
        <v>0</v>
      </c>
      <c r="M9" s="999"/>
      <c r="N9" s="998">
        <f t="shared" si="6"/>
        <v>0</v>
      </c>
      <c r="O9" s="999"/>
      <c r="P9" s="998">
        <f t="shared" si="7"/>
        <v>0</v>
      </c>
      <c r="Q9" s="998"/>
      <c r="R9" s="998">
        <f t="shared" si="8"/>
        <v>0</v>
      </c>
      <c r="S9" s="999"/>
      <c r="T9" s="999">
        <f t="shared" si="9"/>
        <v>0</v>
      </c>
      <c r="U9" s="999">
        <v>65</v>
      </c>
      <c r="V9" s="999">
        <f t="shared" si="10"/>
        <v>21580</v>
      </c>
      <c r="W9" s="999"/>
      <c r="X9" s="19">
        <f t="shared" si="11"/>
        <v>0</v>
      </c>
      <c r="Y9" s="20">
        <f t="shared" si="0"/>
        <v>58964.845000000001</v>
      </c>
    </row>
    <row r="10" spans="1:25" ht="35.25" customHeight="1" x14ac:dyDescent="0.25">
      <c r="A10" s="12">
        <v>1409935199</v>
      </c>
      <c r="C10" s="999"/>
      <c r="D10" s="998">
        <f t="shared" si="1"/>
        <v>0</v>
      </c>
      <c r="E10" s="999"/>
      <c r="F10" s="999">
        <f t="shared" si="2"/>
        <v>0</v>
      </c>
      <c r="G10" s="999"/>
      <c r="H10" s="999">
        <f t="shared" si="3"/>
        <v>0</v>
      </c>
      <c r="I10" s="999"/>
      <c r="J10" s="999">
        <f t="shared" si="4"/>
        <v>0</v>
      </c>
      <c r="K10" s="999"/>
      <c r="L10" s="999">
        <f t="shared" si="5"/>
        <v>0</v>
      </c>
      <c r="M10" s="999"/>
      <c r="N10" s="998">
        <f t="shared" si="6"/>
        <v>0</v>
      </c>
      <c r="O10" s="999"/>
      <c r="P10" s="998">
        <f t="shared" si="7"/>
        <v>0</v>
      </c>
      <c r="Q10" s="998"/>
      <c r="R10" s="998">
        <f t="shared" si="8"/>
        <v>0</v>
      </c>
      <c r="S10" s="999"/>
      <c r="T10" s="999">
        <f t="shared" si="9"/>
        <v>0</v>
      </c>
      <c r="U10" s="999"/>
      <c r="V10" s="999">
        <f t="shared" si="10"/>
        <v>0</v>
      </c>
      <c r="W10" s="999"/>
      <c r="X10" s="19">
        <f t="shared" si="11"/>
        <v>0</v>
      </c>
      <c r="Y10" s="20">
        <f t="shared" si="0"/>
        <v>0</v>
      </c>
    </row>
    <row r="11" spans="1:25" ht="37.5" customHeight="1" x14ac:dyDescent="0.25">
      <c r="A11" s="12"/>
      <c r="B11" s="1000"/>
      <c r="C11" s="999"/>
      <c r="D11" s="998">
        <f t="shared" si="1"/>
        <v>0</v>
      </c>
      <c r="E11" s="999"/>
      <c r="F11" s="999">
        <f t="shared" si="2"/>
        <v>0</v>
      </c>
      <c r="G11" s="999"/>
      <c r="H11" s="999">
        <f t="shared" si="3"/>
        <v>0</v>
      </c>
      <c r="I11" s="999"/>
      <c r="J11" s="999">
        <f t="shared" si="4"/>
        <v>0</v>
      </c>
      <c r="K11" s="999"/>
      <c r="L11" s="999">
        <f t="shared" si="5"/>
        <v>0</v>
      </c>
      <c r="M11" s="999"/>
      <c r="N11" s="998">
        <f t="shared" si="6"/>
        <v>0</v>
      </c>
      <c r="O11" s="999"/>
      <c r="P11" s="998">
        <f t="shared" si="7"/>
        <v>0</v>
      </c>
      <c r="Q11" s="998"/>
      <c r="R11" s="998">
        <f t="shared" si="8"/>
        <v>0</v>
      </c>
      <c r="S11" s="999"/>
      <c r="T11" s="999">
        <f>341*S11</f>
        <v>0</v>
      </c>
      <c r="U11" s="999"/>
      <c r="V11" s="999">
        <f t="shared" si="10"/>
        <v>0</v>
      </c>
      <c r="W11" s="999"/>
      <c r="X11" s="19">
        <f t="shared" si="11"/>
        <v>0</v>
      </c>
      <c r="Y11" s="20">
        <f t="shared" si="0"/>
        <v>0</v>
      </c>
    </row>
    <row r="12" spans="1:25" ht="29.25" customHeight="1" x14ac:dyDescent="0.25">
      <c r="A12" s="2235" t="s">
        <v>31</v>
      </c>
      <c r="B12" s="2235"/>
      <c r="C12" s="18">
        <f t="shared" ref="C12:X12" si="12">SUM(C6:C11)</f>
        <v>148264</v>
      </c>
      <c r="D12" s="18">
        <f t="shared" si="12"/>
        <v>144186.74</v>
      </c>
      <c r="E12" s="18">
        <f t="shared" si="12"/>
        <v>0</v>
      </c>
      <c r="F12" s="18">
        <f t="shared" si="12"/>
        <v>0</v>
      </c>
      <c r="G12" s="18">
        <f t="shared" si="12"/>
        <v>500</v>
      </c>
      <c r="H12" s="18">
        <f t="shared" si="12"/>
        <v>14100</v>
      </c>
      <c r="I12" s="18">
        <f t="shared" si="12"/>
        <v>0</v>
      </c>
      <c r="J12" s="18">
        <f t="shared" si="12"/>
        <v>0</v>
      </c>
      <c r="K12" s="18">
        <f t="shared" si="12"/>
        <v>0</v>
      </c>
      <c r="L12" s="18">
        <f t="shared" si="12"/>
        <v>0</v>
      </c>
      <c r="M12" s="18">
        <f t="shared" si="12"/>
        <v>0</v>
      </c>
      <c r="N12" s="23">
        <f t="shared" si="12"/>
        <v>0</v>
      </c>
      <c r="O12" s="18">
        <f t="shared" si="12"/>
        <v>0</v>
      </c>
      <c r="P12" s="23">
        <f t="shared" si="12"/>
        <v>0</v>
      </c>
      <c r="Q12" s="23">
        <f t="shared" si="12"/>
        <v>0</v>
      </c>
      <c r="R12" s="23">
        <f>SUM(R6:R11)</f>
        <v>0</v>
      </c>
      <c r="S12" s="23">
        <f>SUM(S6:S11)</f>
        <v>0</v>
      </c>
      <c r="T12" s="18">
        <f t="shared" si="12"/>
        <v>0</v>
      </c>
      <c r="U12" s="18">
        <f t="shared" si="12"/>
        <v>185</v>
      </c>
      <c r="V12" s="18">
        <f t="shared" si="12"/>
        <v>61420</v>
      </c>
      <c r="W12" s="18">
        <f t="shared" si="12"/>
        <v>0</v>
      </c>
      <c r="X12" s="18">
        <f t="shared" si="12"/>
        <v>0</v>
      </c>
      <c r="Y12" s="20">
        <f t="shared" si="0"/>
        <v>219706.74</v>
      </c>
    </row>
    <row r="14" spans="1:25" ht="43.5" customHeight="1" x14ac:dyDescent="0.25">
      <c r="A14" s="30" t="s">
        <v>32</v>
      </c>
      <c r="B14" s="2236" t="s">
        <v>27</v>
      </c>
      <c r="C14" s="2236"/>
      <c r="D14" s="30" t="s">
        <v>333</v>
      </c>
      <c r="E14" s="30" t="s">
        <v>65</v>
      </c>
      <c r="F14" s="30" t="s">
        <v>34</v>
      </c>
      <c r="G14" s="30" t="s">
        <v>14</v>
      </c>
      <c r="H14" s="469" t="s">
        <v>173</v>
      </c>
      <c r="I14" s="30" t="s">
        <v>17</v>
      </c>
      <c r="J14" s="1007" t="s">
        <v>174</v>
      </c>
      <c r="K14" s="30" t="s">
        <v>36</v>
      </c>
      <c r="L14" s="1007" t="s">
        <v>403</v>
      </c>
      <c r="M14" s="30" t="s">
        <v>429</v>
      </c>
      <c r="N14" s="30" t="s">
        <v>70</v>
      </c>
      <c r="O14" s="1007" t="s">
        <v>114</v>
      </c>
      <c r="P14" s="1007"/>
      <c r="Q14" s="2300" t="s">
        <v>378</v>
      </c>
      <c r="R14" s="2301"/>
      <c r="S14" s="1007" t="s">
        <v>401</v>
      </c>
      <c r="T14" s="2235" t="s">
        <v>46</v>
      </c>
      <c r="U14" s="1001" t="s">
        <v>176</v>
      </c>
      <c r="V14" s="2260">
        <v>24244</v>
      </c>
      <c r="W14" s="2268"/>
      <c r="X14" s="2261"/>
    </row>
    <row r="15" spans="1:25" ht="22.5" customHeight="1" x14ac:dyDescent="0.25">
      <c r="A15" s="100" t="s">
        <v>38</v>
      </c>
      <c r="B15" s="2260">
        <v>363343</v>
      </c>
      <c r="C15" s="2261"/>
      <c r="D15" s="1004">
        <v>447</v>
      </c>
      <c r="E15" s="1004">
        <v>160</v>
      </c>
      <c r="F15" s="1004">
        <v>4500</v>
      </c>
      <c r="G15" s="1004">
        <v>0</v>
      </c>
      <c r="H15" s="1004">
        <v>376</v>
      </c>
      <c r="I15" s="1004">
        <v>400</v>
      </c>
      <c r="J15" s="1004">
        <v>5</v>
      </c>
      <c r="K15" s="1004">
        <v>59</v>
      </c>
      <c r="L15" s="1004">
        <v>8</v>
      </c>
      <c r="M15" s="1004">
        <v>100</v>
      </c>
      <c r="N15" s="1004">
        <v>100</v>
      </c>
      <c r="O15" s="1004">
        <v>0</v>
      </c>
      <c r="P15" s="1004"/>
      <c r="Q15" s="2260">
        <v>0</v>
      </c>
      <c r="R15" s="2261"/>
      <c r="S15" s="1001">
        <v>7</v>
      </c>
      <c r="T15" s="2235"/>
      <c r="U15" s="1001" t="s">
        <v>64</v>
      </c>
      <c r="V15" s="2262">
        <v>12020</v>
      </c>
      <c r="W15" s="2262"/>
      <c r="X15" s="2262"/>
    </row>
    <row r="16" spans="1:25" ht="24.75" customHeight="1" x14ac:dyDescent="0.25">
      <c r="A16" s="100" t="s">
        <v>39</v>
      </c>
      <c r="B16" s="2260">
        <v>308532</v>
      </c>
      <c r="C16" s="2261"/>
      <c r="D16" s="1004"/>
      <c r="E16" s="1004">
        <v>400</v>
      </c>
      <c r="F16" s="1004">
        <v>10000</v>
      </c>
      <c r="G16" s="1004">
        <v>1000</v>
      </c>
      <c r="H16" s="1004"/>
      <c r="I16" s="1004"/>
      <c r="J16" s="1004"/>
      <c r="K16" s="1004"/>
      <c r="L16" s="1004"/>
      <c r="M16" s="1004"/>
      <c r="N16" s="1004"/>
      <c r="O16" s="1004"/>
      <c r="P16" s="1004"/>
      <c r="Q16" s="2225"/>
      <c r="R16" s="2225"/>
      <c r="S16" s="1004"/>
      <c r="T16" s="2254" t="s">
        <v>55</v>
      </c>
      <c r="U16" s="2254"/>
      <c r="V16" s="2267">
        <f>Y12</f>
        <v>219706.74</v>
      </c>
      <c r="W16" s="2267"/>
      <c r="X16" s="2262"/>
    </row>
    <row r="17" spans="1:25" ht="28.5" customHeight="1" x14ac:dyDescent="0.25">
      <c r="A17" s="101" t="s">
        <v>44</v>
      </c>
      <c r="B17" s="2260"/>
      <c r="C17" s="2261"/>
      <c r="D17" s="1004"/>
      <c r="E17" s="1004"/>
      <c r="F17" s="1004"/>
      <c r="G17" s="1004"/>
      <c r="H17" s="1004"/>
      <c r="I17" s="1004"/>
      <c r="J17" s="1004"/>
      <c r="K17" s="1004"/>
      <c r="L17" s="1004"/>
      <c r="M17" s="1004"/>
      <c r="N17" s="1004"/>
      <c r="O17" s="1004"/>
      <c r="P17" s="1004"/>
      <c r="Q17" s="2225"/>
      <c r="R17" s="2225"/>
      <c r="S17" s="1000"/>
      <c r="T17" s="2294" t="s">
        <v>362</v>
      </c>
      <c r="U17" s="2295"/>
      <c r="V17" s="2296"/>
      <c r="W17" s="2296"/>
      <c r="X17" s="2296"/>
    </row>
    <row r="18" spans="1:25" ht="27" customHeight="1" x14ac:dyDescent="0.25">
      <c r="A18" s="100" t="s">
        <v>40</v>
      </c>
      <c r="B18" s="2264">
        <f>C12</f>
        <v>148264</v>
      </c>
      <c r="C18" s="2261"/>
      <c r="D18" s="1006">
        <f>E12</f>
        <v>0</v>
      </c>
      <c r="E18" s="1006">
        <f>G12</f>
        <v>500</v>
      </c>
      <c r="F18" s="1006">
        <f>I12</f>
        <v>0</v>
      </c>
      <c r="G18" s="1006">
        <f>K12</f>
        <v>0</v>
      </c>
      <c r="H18" s="1004"/>
      <c r="I18" s="1006">
        <f>U12</f>
        <v>185</v>
      </c>
      <c r="J18" s="1004"/>
      <c r="K18" s="1006">
        <f>W12</f>
        <v>0</v>
      </c>
      <c r="L18" s="1004"/>
      <c r="M18" s="1006">
        <f>M12</f>
        <v>0</v>
      </c>
      <c r="N18" s="1006"/>
      <c r="O18" s="1005">
        <f>Q12</f>
        <v>0</v>
      </c>
      <c r="P18" s="1006"/>
      <c r="Q18" s="2262"/>
      <c r="R18" s="2262"/>
      <c r="S18" s="1001"/>
      <c r="T18" s="2254" t="s">
        <v>57</v>
      </c>
      <c r="U18" s="2254"/>
      <c r="V18" s="2262">
        <v>520</v>
      </c>
      <c r="W18" s="2262"/>
      <c r="X18" s="2262"/>
      <c r="Y18" s="2269"/>
    </row>
    <row r="19" spans="1:25" ht="25.5" customHeight="1" x14ac:dyDescent="0.25">
      <c r="A19" s="100" t="s">
        <v>41</v>
      </c>
      <c r="B19" s="2260">
        <f>B15+B16+B17-B18</f>
        <v>523611</v>
      </c>
      <c r="C19" s="2261"/>
      <c r="D19" s="1004">
        <f>D15+D16+D17-D18</f>
        <v>447</v>
      </c>
      <c r="E19" s="1004">
        <f t="shared" ref="E19:N19" si="13">E15+E16+E17-E18</f>
        <v>60</v>
      </c>
      <c r="F19" s="1004">
        <f t="shared" si="13"/>
        <v>14500</v>
      </c>
      <c r="G19" s="1004">
        <f t="shared" si="13"/>
        <v>1000</v>
      </c>
      <c r="H19" s="1004">
        <f t="shared" si="13"/>
        <v>376</v>
      </c>
      <c r="I19" s="1004">
        <f t="shared" si="13"/>
        <v>215</v>
      </c>
      <c r="J19" s="1004">
        <f t="shared" si="13"/>
        <v>5</v>
      </c>
      <c r="K19" s="1004">
        <f t="shared" si="13"/>
        <v>59</v>
      </c>
      <c r="L19" s="1004">
        <f t="shared" si="13"/>
        <v>8</v>
      </c>
      <c r="M19" s="1004">
        <f t="shared" si="13"/>
        <v>100</v>
      </c>
      <c r="N19" s="1004">
        <f t="shared" si="13"/>
        <v>100</v>
      </c>
      <c r="O19" s="1004">
        <f>O15+O16+O17-O18</f>
        <v>0</v>
      </c>
      <c r="P19" s="1004">
        <f>P15+P16+P17-P18</f>
        <v>0</v>
      </c>
      <c r="Q19" s="2260">
        <f t="shared" ref="Q19" si="14">Q15+Q16+Q17-Q18</f>
        <v>0</v>
      </c>
      <c r="R19" s="2261"/>
      <c r="S19" s="1001">
        <f>S15+S16-S17-S18</f>
        <v>7</v>
      </c>
      <c r="T19" s="2256" t="s">
        <v>48</v>
      </c>
      <c r="U19" s="49" t="s">
        <v>58</v>
      </c>
      <c r="V19" s="2262">
        <v>121164</v>
      </c>
      <c r="W19" s="2262"/>
      <c r="X19" s="2262"/>
      <c r="Y19" s="2269"/>
    </row>
    <row r="20" spans="1:25" ht="23.25" customHeight="1" x14ac:dyDescent="0.25">
      <c r="A20" s="289" t="s">
        <v>187</v>
      </c>
      <c r="B20" s="2286">
        <f>B19*0.9625</f>
        <v>503975.58750000002</v>
      </c>
      <c r="C20" s="2287"/>
      <c r="D20" s="290">
        <f>D19*66.41</f>
        <v>29685.269999999997</v>
      </c>
      <c r="E20" s="290">
        <f>27.9368*E19</f>
        <v>1676.2080000000001</v>
      </c>
      <c r="F20" s="290">
        <f>18.31*F19</f>
        <v>265495</v>
      </c>
      <c r="G20" s="290">
        <f>27.9368*G19</f>
        <v>27936.800000000003</v>
      </c>
      <c r="H20" s="290">
        <f>241*H19</f>
        <v>90616</v>
      </c>
      <c r="I20" s="290">
        <f>323*I19</f>
        <v>69445</v>
      </c>
      <c r="J20" s="290">
        <f>241*J19</f>
        <v>1205</v>
      </c>
      <c r="K20" s="290">
        <f>K19*100</f>
        <v>5900</v>
      </c>
      <c r="L20" s="290">
        <f>241*L19</f>
        <v>1928</v>
      </c>
      <c r="M20" s="290">
        <f>9.65*M19</f>
        <v>965</v>
      </c>
      <c r="N20" s="290">
        <f>N19*48.2</f>
        <v>4820</v>
      </c>
      <c r="O20" s="290">
        <f>241*O19</f>
        <v>0</v>
      </c>
      <c r="P20" s="290">
        <f>241*P19</f>
        <v>0</v>
      </c>
      <c r="Q20" s="2286">
        <f>341*Q19</f>
        <v>0</v>
      </c>
      <c r="R20" s="2287"/>
      <c r="S20" s="290">
        <f>341*S19</f>
        <v>2387</v>
      </c>
      <c r="T20" s="2257"/>
      <c r="U20" s="49" t="s">
        <v>59</v>
      </c>
      <c r="V20" s="2262">
        <v>108000</v>
      </c>
      <c r="W20" s="2262"/>
      <c r="X20" s="2262"/>
      <c r="Y20" s="2269"/>
    </row>
    <row r="21" spans="1:25" ht="32.25" customHeight="1" x14ac:dyDescent="0.25">
      <c r="A21" s="291" t="s">
        <v>186</v>
      </c>
      <c r="B21" s="2293">
        <f>SUM(B20:S20)</f>
        <v>1006034.8655000001</v>
      </c>
      <c r="C21" s="2293"/>
      <c r="O21" s="1008"/>
      <c r="P21" s="1008"/>
      <c r="Q21" s="1008"/>
      <c r="R21" s="1008"/>
      <c r="T21" s="2294" t="s">
        <v>366</v>
      </c>
      <c r="U21" s="2295"/>
      <c r="V21" s="2297"/>
      <c r="W21" s="2298"/>
      <c r="X21" s="2299"/>
      <c r="Y21" s="2269"/>
    </row>
    <row r="22" spans="1:25" ht="35.25" customHeight="1" x14ac:dyDescent="0.25">
      <c r="A22" s="15"/>
      <c r="B22" s="2288" t="s">
        <v>49</v>
      </c>
      <c r="C22" s="2291">
        <v>110000</v>
      </c>
      <c r="D22" s="2291">
        <v>121164</v>
      </c>
      <c r="E22" s="2291">
        <v>411164</v>
      </c>
      <c r="F22" s="2291">
        <f>C22-D22+E22</f>
        <v>400000</v>
      </c>
      <c r="G22" s="1008"/>
      <c r="Q22" s="1008"/>
      <c r="R22" s="1008"/>
      <c r="T22" s="2251" t="s">
        <v>83</v>
      </c>
      <c r="U22" s="50" t="s">
        <v>60</v>
      </c>
      <c r="V22" s="2262">
        <v>224550</v>
      </c>
      <c r="W22" s="2262"/>
      <c r="X22" s="2262"/>
      <c r="Y22" s="2269"/>
    </row>
    <row r="23" spans="1:25" ht="39.75" customHeight="1" x14ac:dyDescent="0.25">
      <c r="A23" s="1008"/>
      <c r="B23" s="2289"/>
      <c r="C23" s="2292"/>
      <c r="D23" s="2292"/>
      <c r="E23" s="2292"/>
      <c r="F23" s="2292"/>
      <c r="G23" s="1008"/>
      <c r="Q23" s="1008"/>
      <c r="R23" s="1008"/>
      <c r="T23" s="2252"/>
      <c r="U23" s="50" t="s">
        <v>61</v>
      </c>
      <c r="V23" s="2262">
        <v>229164</v>
      </c>
      <c r="W23" s="2262"/>
      <c r="X23" s="2262"/>
      <c r="Y23" s="2269"/>
    </row>
    <row r="24" spans="1:25" ht="48" customHeight="1" x14ac:dyDescent="0.25">
      <c r="A24" s="1008"/>
      <c r="B24" s="2290"/>
      <c r="C24" s="290" t="s">
        <v>46</v>
      </c>
      <c r="D24" s="290" t="s">
        <v>50</v>
      </c>
      <c r="E24" s="290" t="s">
        <v>51</v>
      </c>
      <c r="F24" s="290" t="s">
        <v>52</v>
      </c>
      <c r="G24" s="1008"/>
      <c r="Q24" s="1008"/>
      <c r="R24" s="1008"/>
      <c r="T24" s="2235" t="s">
        <v>47</v>
      </c>
      <c r="U24" s="51" t="s">
        <v>62</v>
      </c>
      <c r="V24" s="2263">
        <f>V14+V16+V17-V18-V19-V20-V22+V23-V21</f>
        <v>18880.739999999991</v>
      </c>
      <c r="W24" s="2263"/>
      <c r="X24" s="2263"/>
      <c r="Y24" s="2269"/>
    </row>
    <row r="25" spans="1:25" ht="40.5" customHeight="1" x14ac:dyDescent="0.25">
      <c r="T25" s="2235"/>
      <c r="U25" s="51" t="s">
        <v>63</v>
      </c>
      <c r="V25" s="2262">
        <f>V15+V22-V23</f>
        <v>7406</v>
      </c>
      <c r="W25" s="2262"/>
      <c r="X25" s="2262"/>
    </row>
    <row r="26" spans="1:25" ht="36" customHeight="1" x14ac:dyDescent="0.25">
      <c r="K26" s="314"/>
    </row>
    <row r="28" spans="1:25" x14ac:dyDescent="0.25">
      <c r="J28" s="14" t="s">
        <v>139</v>
      </c>
    </row>
    <row r="32" spans="1:25" x14ac:dyDescent="0.25">
      <c r="I32" s="2280"/>
      <c r="J32" s="2280"/>
      <c r="K32" s="2280"/>
      <c r="L32" s="2280"/>
    </row>
    <row r="33" spans="9:12" x14ac:dyDescent="0.25">
      <c r="I33" s="1008"/>
      <c r="J33" s="1008"/>
      <c r="K33" s="2280"/>
      <c r="L33" s="2280"/>
    </row>
  </sheetData>
  <mergeCells count="62">
    <mergeCell ref="A1:Y1"/>
    <mergeCell ref="A2:Y2"/>
    <mergeCell ref="T3:Y3"/>
    <mergeCell ref="A4:A5"/>
    <mergeCell ref="B4:B5"/>
    <mergeCell ref="C4:D4"/>
    <mergeCell ref="E4:F4"/>
    <mergeCell ref="G4:H4"/>
    <mergeCell ref="I4:J4"/>
    <mergeCell ref="K4:L4"/>
    <mergeCell ref="Y4:Y5"/>
    <mergeCell ref="M4:N4"/>
    <mergeCell ref="O4:P4"/>
    <mergeCell ref="Q4:R4"/>
    <mergeCell ref="S4:T4"/>
    <mergeCell ref="U4:V4"/>
    <mergeCell ref="W4:X4"/>
    <mergeCell ref="B16:C16"/>
    <mergeCell ref="Q16:R16"/>
    <mergeCell ref="T16:U16"/>
    <mergeCell ref="V16:X16"/>
    <mergeCell ref="A12:B12"/>
    <mergeCell ref="B14:C14"/>
    <mergeCell ref="Q14:R14"/>
    <mergeCell ref="T14:T15"/>
    <mergeCell ref="V14:X14"/>
    <mergeCell ref="B15:C15"/>
    <mergeCell ref="Q15:R15"/>
    <mergeCell ref="V15:X15"/>
    <mergeCell ref="B17:C17"/>
    <mergeCell ref="Q17:R17"/>
    <mergeCell ref="T17:U17"/>
    <mergeCell ref="V17:X17"/>
    <mergeCell ref="B18:C18"/>
    <mergeCell ref="Q18:R18"/>
    <mergeCell ref="T18:U18"/>
    <mergeCell ref="V18:X18"/>
    <mergeCell ref="Y18:Y24"/>
    <mergeCell ref="B19:C19"/>
    <mergeCell ref="Q19:R19"/>
    <mergeCell ref="T19:T20"/>
    <mergeCell ref="V19:X19"/>
    <mergeCell ref="B20:C20"/>
    <mergeCell ref="B22:B24"/>
    <mergeCell ref="C22:C23"/>
    <mergeCell ref="D22:D23"/>
    <mergeCell ref="E22:E23"/>
    <mergeCell ref="F22:F23"/>
    <mergeCell ref="Q20:R20"/>
    <mergeCell ref="V20:X20"/>
    <mergeCell ref="B21:C21"/>
    <mergeCell ref="T21:U21"/>
    <mergeCell ref="V21:X21"/>
    <mergeCell ref="I32:J32"/>
    <mergeCell ref="K32:L32"/>
    <mergeCell ref="K33:L33"/>
    <mergeCell ref="T22:T23"/>
    <mergeCell ref="V22:X22"/>
    <mergeCell ref="V23:X23"/>
    <mergeCell ref="T24:T25"/>
    <mergeCell ref="V24:X24"/>
    <mergeCell ref="V25:X25"/>
  </mergeCells>
  <pageMargins left="0.15748031496063" right="0.15748031496063" top="0" bottom="0" header="0" footer="0"/>
  <pageSetup paperSize="9" scale="45" orientation="landscape" r:id="rId1"/>
</worksheet>
</file>

<file path=xl/worksheets/sheet20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D8BF9B5-D790-4E13-AC4B-6FAABF7391E1}">
  <sheetPr>
    <pageSetUpPr fitToPage="1"/>
  </sheetPr>
  <dimension ref="A1:Y33"/>
  <sheetViews>
    <sheetView topLeftCell="E10" zoomScale="70" zoomScaleNormal="70" zoomScaleSheetLayoutView="100" workbookViewId="0">
      <selection activeCell="J25" sqref="J25"/>
    </sheetView>
  </sheetViews>
  <sheetFormatPr defaultColWidth="9.140625" defaultRowHeight="15" x14ac:dyDescent="0.25"/>
  <cols>
    <col min="1" max="1" width="18.28515625" style="14" customWidth="1"/>
    <col min="2" max="2" width="10.7109375" style="14" customWidth="1"/>
    <col min="3" max="3" width="12.28515625" style="14" customWidth="1"/>
    <col min="4" max="4" width="13.140625" style="14" bestFit="1" customWidth="1"/>
    <col min="5" max="5" width="12" style="14" customWidth="1"/>
    <col min="6" max="6" width="12.5703125" style="14" bestFit="1" customWidth="1"/>
    <col min="7" max="7" width="16" style="14" bestFit="1" customWidth="1"/>
    <col min="8" max="8" width="10.140625" style="14" bestFit="1" customWidth="1"/>
    <col min="9" max="9" width="10.5703125" style="14" bestFit="1" customWidth="1"/>
    <col min="10" max="10" width="10.5703125" style="14" customWidth="1"/>
    <col min="11" max="11" width="10.28515625" style="14" bestFit="1" customWidth="1"/>
    <col min="12" max="12" width="10.42578125" style="14" bestFit="1" customWidth="1"/>
    <col min="13" max="13" width="12" style="14" bestFit="1" customWidth="1"/>
    <col min="14" max="14" width="10.140625" style="14" bestFit="1" customWidth="1"/>
    <col min="15" max="15" width="9" style="14" customWidth="1"/>
    <col min="16" max="16" width="12.85546875" style="14" bestFit="1" customWidth="1"/>
    <col min="17" max="18" width="9.42578125" style="14" customWidth="1"/>
    <col min="19" max="19" width="13.7109375" style="14" customWidth="1"/>
    <col min="20" max="20" width="12.140625" style="14" customWidth="1"/>
    <col min="21" max="21" width="21.7109375" style="14" customWidth="1"/>
    <col min="22" max="22" width="9.85546875" style="14" customWidth="1"/>
    <col min="23" max="23" width="10.140625" style="14" bestFit="1" customWidth="1"/>
    <col min="24" max="24" width="10.28515625" style="14" customWidth="1"/>
    <col min="25" max="25" width="28" style="14" customWidth="1"/>
    <col min="26" max="16384" width="9.140625" style="14"/>
  </cols>
  <sheetData>
    <row r="1" spans="1:25" ht="46.15" customHeight="1" x14ac:dyDescent="0.25">
      <c r="A1" s="2240" t="s">
        <v>148</v>
      </c>
      <c r="B1" s="2240"/>
      <c r="C1" s="2240"/>
      <c r="D1" s="2240"/>
      <c r="E1" s="2240"/>
      <c r="F1" s="2240"/>
      <c r="G1" s="2240"/>
      <c r="H1" s="2240"/>
      <c r="I1" s="2240"/>
      <c r="J1" s="2240"/>
      <c r="K1" s="2240"/>
      <c r="L1" s="2240"/>
      <c r="M1" s="2240"/>
      <c r="N1" s="2240"/>
      <c r="O1" s="2240"/>
      <c r="P1" s="2240"/>
      <c r="Q1" s="2240"/>
      <c r="R1" s="2240"/>
      <c r="S1" s="2240"/>
      <c r="T1" s="2240"/>
      <c r="U1" s="2240"/>
      <c r="V1" s="2240"/>
      <c r="W1" s="2240"/>
      <c r="X1" s="2240"/>
      <c r="Y1" s="2240"/>
    </row>
    <row r="2" spans="1:25" ht="21.6" customHeight="1" x14ac:dyDescent="0.25">
      <c r="A2" s="2241" t="s">
        <v>383</v>
      </c>
      <c r="B2" s="2241"/>
      <c r="C2" s="2241"/>
      <c r="D2" s="2241"/>
      <c r="E2" s="2241"/>
      <c r="F2" s="2241"/>
      <c r="G2" s="2241"/>
      <c r="H2" s="2241"/>
      <c r="I2" s="2241"/>
      <c r="J2" s="2241"/>
      <c r="K2" s="2241"/>
      <c r="L2" s="2241"/>
      <c r="M2" s="2241"/>
      <c r="N2" s="2241"/>
      <c r="O2" s="2241"/>
      <c r="P2" s="2241"/>
      <c r="Q2" s="2241"/>
      <c r="R2" s="2241"/>
      <c r="S2" s="2241"/>
      <c r="T2" s="2241"/>
      <c r="U2" s="2241"/>
      <c r="V2" s="2241"/>
      <c r="W2" s="2241"/>
      <c r="X2" s="2241"/>
      <c r="Y2" s="2241"/>
    </row>
    <row r="3" spans="1:25" ht="21" customHeight="1" x14ac:dyDescent="0.25">
      <c r="A3" s="1009"/>
      <c r="B3" s="1009"/>
      <c r="C3" s="1009"/>
      <c r="D3" s="1009"/>
      <c r="E3" s="1009"/>
      <c r="F3" s="1009"/>
      <c r="G3" s="1009"/>
      <c r="H3" s="1009"/>
      <c r="I3" s="1009"/>
      <c r="J3" s="1009"/>
      <c r="K3" s="1009"/>
      <c r="L3" s="1009"/>
      <c r="M3" s="1009"/>
      <c r="N3" s="1009"/>
      <c r="O3" s="1009"/>
      <c r="P3" s="1009"/>
      <c r="Q3" s="1009"/>
      <c r="R3" s="1009"/>
      <c r="S3" s="1009"/>
      <c r="T3" s="2242" t="s">
        <v>432</v>
      </c>
      <c r="U3" s="2242"/>
      <c r="V3" s="2242"/>
      <c r="W3" s="2242"/>
      <c r="X3" s="2242"/>
      <c r="Y3" s="2242"/>
    </row>
    <row r="4" spans="1:25" s="1009" customFormat="1" ht="18" customHeight="1" x14ac:dyDescent="0.25">
      <c r="A4" s="2243" t="s">
        <v>25</v>
      </c>
      <c r="B4" s="2243" t="s">
        <v>26</v>
      </c>
      <c r="C4" s="2244" t="s">
        <v>27</v>
      </c>
      <c r="D4" s="2244"/>
      <c r="E4" s="2244" t="s">
        <v>342</v>
      </c>
      <c r="F4" s="2244"/>
      <c r="G4" s="2244" t="s">
        <v>65</v>
      </c>
      <c r="H4" s="2244"/>
      <c r="I4" s="2244" t="s">
        <v>29</v>
      </c>
      <c r="J4" s="2244"/>
      <c r="K4" s="2245" t="s">
        <v>14</v>
      </c>
      <c r="L4" s="2246"/>
      <c r="M4" s="2245" t="s">
        <v>429</v>
      </c>
      <c r="N4" s="2246"/>
      <c r="O4" s="2245" t="s">
        <v>68</v>
      </c>
      <c r="P4" s="2246"/>
      <c r="Q4" s="2245" t="s">
        <v>114</v>
      </c>
      <c r="R4" s="2246"/>
      <c r="S4" s="2244" t="s">
        <v>35</v>
      </c>
      <c r="T4" s="2244"/>
      <c r="U4" s="2245" t="s">
        <v>17</v>
      </c>
      <c r="V4" s="2246"/>
      <c r="W4" s="2247" t="s">
        <v>36</v>
      </c>
      <c r="X4" s="2248"/>
      <c r="Y4" s="2238" t="s">
        <v>30</v>
      </c>
    </row>
    <row r="5" spans="1:25" s="1009" customFormat="1" ht="25.5" customHeight="1" x14ac:dyDescent="0.25">
      <c r="A5" s="2243"/>
      <c r="B5" s="2243"/>
      <c r="C5" s="1011" t="s">
        <v>42</v>
      </c>
      <c r="D5" s="1011" t="s">
        <v>43</v>
      </c>
      <c r="E5" s="1011" t="s">
        <v>42</v>
      </c>
      <c r="F5" s="1011" t="s">
        <v>43</v>
      </c>
      <c r="G5" s="1011" t="s">
        <v>42</v>
      </c>
      <c r="H5" s="1011" t="s">
        <v>43</v>
      </c>
      <c r="I5" s="1011" t="s">
        <v>42</v>
      </c>
      <c r="J5" s="1011" t="s">
        <v>43</v>
      </c>
      <c r="K5" s="1011" t="s">
        <v>42</v>
      </c>
      <c r="L5" s="1011" t="s">
        <v>43</v>
      </c>
      <c r="M5" s="1011" t="s">
        <v>42</v>
      </c>
      <c r="N5" s="1011" t="s">
        <v>43</v>
      </c>
      <c r="O5" s="1011" t="s">
        <v>42</v>
      </c>
      <c r="P5" s="1011" t="s">
        <v>43</v>
      </c>
      <c r="Q5" s="1011" t="s">
        <v>42</v>
      </c>
      <c r="R5" s="1011" t="s">
        <v>43</v>
      </c>
      <c r="S5" s="33" t="s">
        <v>42</v>
      </c>
      <c r="T5" s="33" t="s">
        <v>43</v>
      </c>
      <c r="U5" s="30" t="s">
        <v>42</v>
      </c>
      <c r="V5" s="30" t="s">
        <v>43</v>
      </c>
      <c r="W5" s="30" t="s">
        <v>42</v>
      </c>
      <c r="X5" s="30" t="s">
        <v>43</v>
      </c>
      <c r="Y5" s="2239"/>
    </row>
    <row r="6" spans="1:25" ht="34.5" customHeight="1" x14ac:dyDescent="0.25">
      <c r="A6" s="12">
        <v>1409935200</v>
      </c>
      <c r="B6" s="1010" t="s">
        <v>71</v>
      </c>
      <c r="C6" s="1013">
        <v>31656</v>
      </c>
      <c r="D6" s="1014">
        <f>0.9725*C6</f>
        <v>30785.460000000003</v>
      </c>
      <c r="E6" s="1013"/>
      <c r="F6" s="1013">
        <f>67.1*E6</f>
        <v>0</v>
      </c>
      <c r="G6" s="1013"/>
      <c r="H6" s="1013">
        <f>28.2*G6</f>
        <v>0</v>
      </c>
      <c r="I6" s="1013"/>
      <c r="J6" s="1013">
        <f>18.5*I6</f>
        <v>0</v>
      </c>
      <c r="K6" s="1013"/>
      <c r="L6" s="1013">
        <f>28.2368*K6</f>
        <v>0</v>
      </c>
      <c r="M6" s="1013"/>
      <c r="N6" s="1014">
        <f>M6*47.6525</f>
        <v>0</v>
      </c>
      <c r="O6" s="1013"/>
      <c r="P6" s="1014">
        <f>O6*48.7</f>
        <v>0</v>
      </c>
      <c r="Q6" s="1014"/>
      <c r="R6" s="1014">
        <f>241*Q6</f>
        <v>0</v>
      </c>
      <c r="S6" s="1013"/>
      <c r="T6" s="1013">
        <f>241*S6</f>
        <v>0</v>
      </c>
      <c r="U6" s="1013"/>
      <c r="V6" s="1013">
        <f>332*U6</f>
        <v>0</v>
      </c>
      <c r="W6" s="1013"/>
      <c r="X6" s="19">
        <f>W6*100</f>
        <v>0</v>
      </c>
      <c r="Y6" s="20">
        <f t="shared" ref="Y6:Y12" si="0">D6+F6+H6+J6+L6+N6+P6+R6+T6+V6+X6</f>
        <v>30785.460000000003</v>
      </c>
    </row>
    <row r="7" spans="1:25" ht="31.5" customHeight="1" x14ac:dyDescent="0.25">
      <c r="A7" s="12">
        <v>1984225578</v>
      </c>
      <c r="B7" s="1010" t="s">
        <v>72</v>
      </c>
      <c r="C7" s="1013">
        <v>17825</v>
      </c>
      <c r="D7" s="1014">
        <f t="shared" ref="D7:D11" si="1">0.9725*C7</f>
        <v>17334.8125</v>
      </c>
      <c r="E7" s="1013"/>
      <c r="F7" s="1013">
        <f t="shared" ref="F7:F11" si="2">67.1*E7</f>
        <v>0</v>
      </c>
      <c r="G7" s="1013"/>
      <c r="H7" s="1013">
        <f t="shared" ref="H7:H11" si="3">28.2*G7</f>
        <v>0</v>
      </c>
      <c r="I7" s="1013"/>
      <c r="J7" s="1013">
        <f t="shared" ref="J7:J11" si="4">18.5*I7</f>
        <v>0</v>
      </c>
      <c r="K7" s="1013"/>
      <c r="L7" s="1013">
        <f t="shared" ref="L7:L11" si="5">28.2368*K7</f>
        <v>0</v>
      </c>
      <c r="M7" s="1013"/>
      <c r="N7" s="1014">
        <f t="shared" ref="N7:N11" si="6">M7*47.6525</f>
        <v>0</v>
      </c>
      <c r="O7" s="1013"/>
      <c r="P7" s="1014">
        <f t="shared" ref="P7:P11" si="7">O7*48.7</f>
        <v>0</v>
      </c>
      <c r="Q7" s="1014"/>
      <c r="R7" s="1014">
        <f t="shared" ref="R7:R11" si="8">241*Q7</f>
        <v>0</v>
      </c>
      <c r="S7" s="1013"/>
      <c r="T7" s="1013">
        <f t="shared" ref="T7:T10" si="9">241*S7</f>
        <v>0</v>
      </c>
      <c r="U7" s="1013">
        <v>80</v>
      </c>
      <c r="V7" s="1013">
        <f t="shared" ref="V7:V11" si="10">332*U7</f>
        <v>26560</v>
      </c>
      <c r="W7" s="1013"/>
      <c r="X7" s="19">
        <f t="shared" ref="X7:X11" si="11">W7*100</f>
        <v>0</v>
      </c>
      <c r="Y7" s="20">
        <f t="shared" si="0"/>
        <v>43894.8125</v>
      </c>
    </row>
    <row r="8" spans="1:25" ht="35.25" customHeight="1" x14ac:dyDescent="0.25">
      <c r="A8" s="12">
        <v>1967020280</v>
      </c>
      <c r="B8" s="1010" t="s">
        <v>427</v>
      </c>
      <c r="C8" s="1013">
        <v>20758</v>
      </c>
      <c r="D8" s="1014">
        <f t="shared" si="1"/>
        <v>20187.154999999999</v>
      </c>
      <c r="E8" s="1013"/>
      <c r="F8" s="1013">
        <f t="shared" si="2"/>
        <v>0</v>
      </c>
      <c r="G8" s="1013"/>
      <c r="H8" s="1013">
        <f t="shared" si="3"/>
        <v>0</v>
      </c>
      <c r="I8" s="1013"/>
      <c r="J8" s="1013">
        <f t="shared" si="4"/>
        <v>0</v>
      </c>
      <c r="K8" s="1013"/>
      <c r="L8" s="1013">
        <f t="shared" si="5"/>
        <v>0</v>
      </c>
      <c r="M8" s="1013"/>
      <c r="N8" s="1014">
        <f t="shared" si="6"/>
        <v>0</v>
      </c>
      <c r="O8" s="1013"/>
      <c r="P8" s="1014">
        <f t="shared" si="7"/>
        <v>0</v>
      </c>
      <c r="Q8" s="1014"/>
      <c r="R8" s="1014">
        <f t="shared" si="8"/>
        <v>0</v>
      </c>
      <c r="S8" s="1013"/>
      <c r="T8" s="1013">
        <f t="shared" si="9"/>
        <v>0</v>
      </c>
      <c r="U8" s="1013"/>
      <c r="V8" s="1013">
        <f t="shared" si="10"/>
        <v>0</v>
      </c>
      <c r="W8" s="1013"/>
      <c r="X8" s="19">
        <f t="shared" si="11"/>
        <v>0</v>
      </c>
      <c r="Y8" s="20">
        <f t="shared" si="0"/>
        <v>20187.154999999999</v>
      </c>
    </row>
    <row r="9" spans="1:25" ht="38.25" customHeight="1" x14ac:dyDescent="0.25">
      <c r="A9" s="12">
        <v>1984225580</v>
      </c>
      <c r="B9" s="1010" t="s">
        <v>75</v>
      </c>
      <c r="C9" s="1013">
        <v>31758</v>
      </c>
      <c r="D9" s="1014">
        <f t="shared" si="1"/>
        <v>30884.655000000002</v>
      </c>
      <c r="E9" s="1013"/>
      <c r="F9" s="1013">
        <f t="shared" si="2"/>
        <v>0</v>
      </c>
      <c r="G9" s="1013"/>
      <c r="H9" s="1013">
        <f t="shared" si="3"/>
        <v>0</v>
      </c>
      <c r="I9" s="1013">
        <v>4000</v>
      </c>
      <c r="J9" s="1013">
        <f t="shared" si="4"/>
        <v>74000</v>
      </c>
      <c r="K9" s="1013"/>
      <c r="L9" s="1013">
        <f t="shared" si="5"/>
        <v>0</v>
      </c>
      <c r="M9" s="1013"/>
      <c r="N9" s="1014">
        <f t="shared" si="6"/>
        <v>0</v>
      </c>
      <c r="O9" s="1013"/>
      <c r="P9" s="1014">
        <f t="shared" si="7"/>
        <v>0</v>
      </c>
      <c r="Q9" s="1014"/>
      <c r="R9" s="1014">
        <f t="shared" si="8"/>
        <v>0</v>
      </c>
      <c r="S9" s="1013">
        <v>5</v>
      </c>
      <c r="T9" s="1013">
        <f t="shared" si="9"/>
        <v>1205</v>
      </c>
      <c r="U9" s="1013">
        <v>5</v>
      </c>
      <c r="V9" s="1013">
        <f t="shared" si="10"/>
        <v>1660</v>
      </c>
      <c r="W9" s="1013"/>
      <c r="X9" s="19">
        <f t="shared" si="11"/>
        <v>0</v>
      </c>
      <c r="Y9" s="20">
        <f t="shared" si="0"/>
        <v>107749.655</v>
      </c>
    </row>
    <row r="10" spans="1:25" ht="35.25" customHeight="1" x14ac:dyDescent="0.25">
      <c r="A10" s="12">
        <v>1409935199</v>
      </c>
      <c r="C10" s="1013"/>
      <c r="D10" s="1014">
        <f t="shared" si="1"/>
        <v>0</v>
      </c>
      <c r="E10" s="1013"/>
      <c r="F10" s="1013">
        <f t="shared" si="2"/>
        <v>0</v>
      </c>
      <c r="G10" s="1013"/>
      <c r="H10" s="1013">
        <f t="shared" si="3"/>
        <v>0</v>
      </c>
      <c r="I10" s="1013"/>
      <c r="J10" s="1013">
        <f t="shared" si="4"/>
        <v>0</v>
      </c>
      <c r="K10" s="1013"/>
      <c r="L10" s="1013">
        <f t="shared" si="5"/>
        <v>0</v>
      </c>
      <c r="M10" s="1013"/>
      <c r="N10" s="1014">
        <f t="shared" si="6"/>
        <v>0</v>
      </c>
      <c r="O10" s="1013"/>
      <c r="P10" s="1014">
        <f t="shared" si="7"/>
        <v>0</v>
      </c>
      <c r="Q10" s="1014"/>
      <c r="R10" s="1014">
        <f t="shared" si="8"/>
        <v>0</v>
      </c>
      <c r="S10" s="1013"/>
      <c r="T10" s="1013">
        <f t="shared" si="9"/>
        <v>0</v>
      </c>
      <c r="U10" s="1013"/>
      <c r="V10" s="1013">
        <f t="shared" si="10"/>
        <v>0</v>
      </c>
      <c r="W10" s="1013"/>
      <c r="X10" s="19">
        <f t="shared" si="11"/>
        <v>0</v>
      </c>
      <c r="Y10" s="20">
        <f t="shared" si="0"/>
        <v>0</v>
      </c>
    </row>
    <row r="11" spans="1:25" ht="37.5" customHeight="1" x14ac:dyDescent="0.25">
      <c r="A11" s="12"/>
      <c r="B11" s="1012"/>
      <c r="C11" s="1013"/>
      <c r="D11" s="1014">
        <f t="shared" si="1"/>
        <v>0</v>
      </c>
      <c r="E11" s="1013"/>
      <c r="F11" s="1013">
        <f t="shared" si="2"/>
        <v>0</v>
      </c>
      <c r="G11" s="1013"/>
      <c r="H11" s="1013">
        <f t="shared" si="3"/>
        <v>0</v>
      </c>
      <c r="I11" s="1013"/>
      <c r="J11" s="1013">
        <f t="shared" si="4"/>
        <v>0</v>
      </c>
      <c r="K11" s="1013"/>
      <c r="L11" s="1013">
        <f t="shared" si="5"/>
        <v>0</v>
      </c>
      <c r="M11" s="1013"/>
      <c r="N11" s="1014">
        <f t="shared" si="6"/>
        <v>0</v>
      </c>
      <c r="O11" s="1013"/>
      <c r="P11" s="1014">
        <f t="shared" si="7"/>
        <v>0</v>
      </c>
      <c r="Q11" s="1014"/>
      <c r="R11" s="1014">
        <f t="shared" si="8"/>
        <v>0</v>
      </c>
      <c r="S11" s="1013"/>
      <c r="T11" s="1013">
        <f>341*S11</f>
        <v>0</v>
      </c>
      <c r="U11" s="1013"/>
      <c r="V11" s="1013">
        <f t="shared" si="10"/>
        <v>0</v>
      </c>
      <c r="W11" s="1013"/>
      <c r="X11" s="19">
        <f t="shared" si="11"/>
        <v>0</v>
      </c>
      <c r="Y11" s="20">
        <f t="shared" si="0"/>
        <v>0</v>
      </c>
    </row>
    <row r="12" spans="1:25" ht="29.25" customHeight="1" x14ac:dyDescent="0.25">
      <c r="A12" s="2235" t="s">
        <v>31</v>
      </c>
      <c r="B12" s="2235"/>
      <c r="C12" s="18">
        <f t="shared" ref="C12:X12" si="12">SUM(C6:C11)</f>
        <v>101997</v>
      </c>
      <c r="D12" s="18">
        <f t="shared" si="12"/>
        <v>99192.082500000004</v>
      </c>
      <c r="E12" s="18">
        <f t="shared" si="12"/>
        <v>0</v>
      </c>
      <c r="F12" s="18">
        <f t="shared" si="12"/>
        <v>0</v>
      </c>
      <c r="G12" s="18">
        <f t="shared" si="12"/>
        <v>0</v>
      </c>
      <c r="H12" s="18">
        <f t="shared" si="12"/>
        <v>0</v>
      </c>
      <c r="I12" s="18">
        <f t="shared" si="12"/>
        <v>4000</v>
      </c>
      <c r="J12" s="18">
        <f t="shared" si="12"/>
        <v>74000</v>
      </c>
      <c r="K12" s="18">
        <f t="shared" si="12"/>
        <v>0</v>
      </c>
      <c r="L12" s="18">
        <f t="shared" si="12"/>
        <v>0</v>
      </c>
      <c r="M12" s="18">
        <f t="shared" si="12"/>
        <v>0</v>
      </c>
      <c r="N12" s="23">
        <f t="shared" si="12"/>
        <v>0</v>
      </c>
      <c r="O12" s="18">
        <f t="shared" si="12"/>
        <v>0</v>
      </c>
      <c r="P12" s="23">
        <f t="shared" si="12"/>
        <v>0</v>
      </c>
      <c r="Q12" s="23">
        <f t="shared" si="12"/>
        <v>0</v>
      </c>
      <c r="R12" s="23">
        <f>SUM(R6:R11)</f>
        <v>0</v>
      </c>
      <c r="S12" s="23">
        <f>SUM(S6:S11)</f>
        <v>5</v>
      </c>
      <c r="T12" s="18">
        <f t="shared" si="12"/>
        <v>1205</v>
      </c>
      <c r="U12" s="18">
        <f t="shared" si="12"/>
        <v>85</v>
      </c>
      <c r="V12" s="18">
        <f t="shared" si="12"/>
        <v>28220</v>
      </c>
      <c r="W12" s="18">
        <f t="shared" si="12"/>
        <v>0</v>
      </c>
      <c r="X12" s="18">
        <f t="shared" si="12"/>
        <v>0</v>
      </c>
      <c r="Y12" s="20">
        <f t="shared" si="0"/>
        <v>202617.08250000002</v>
      </c>
    </row>
    <row r="14" spans="1:25" ht="43.5" customHeight="1" x14ac:dyDescent="0.25">
      <c r="A14" s="30" t="s">
        <v>32</v>
      </c>
      <c r="B14" s="2236" t="s">
        <v>27</v>
      </c>
      <c r="C14" s="2236"/>
      <c r="D14" s="30" t="s">
        <v>333</v>
      </c>
      <c r="E14" s="30" t="s">
        <v>65</v>
      </c>
      <c r="F14" s="30" t="s">
        <v>34</v>
      </c>
      <c r="G14" s="30" t="s">
        <v>14</v>
      </c>
      <c r="H14" s="469" t="s">
        <v>173</v>
      </c>
      <c r="I14" s="30" t="s">
        <v>17</v>
      </c>
      <c r="J14" s="1018" t="s">
        <v>174</v>
      </c>
      <c r="K14" s="30" t="s">
        <v>36</v>
      </c>
      <c r="L14" s="1018" t="s">
        <v>403</v>
      </c>
      <c r="M14" s="30" t="s">
        <v>429</v>
      </c>
      <c r="N14" s="30" t="s">
        <v>70</v>
      </c>
      <c r="O14" s="1018" t="s">
        <v>114</v>
      </c>
      <c r="P14" s="1018"/>
      <c r="Q14" s="2300" t="s">
        <v>378</v>
      </c>
      <c r="R14" s="2301"/>
      <c r="S14" s="1018" t="s">
        <v>401</v>
      </c>
      <c r="T14" s="2235" t="s">
        <v>46</v>
      </c>
      <c r="U14" s="1010" t="s">
        <v>176</v>
      </c>
      <c r="V14" s="2260">
        <v>18881</v>
      </c>
      <c r="W14" s="2268"/>
      <c r="X14" s="2261"/>
    </row>
    <row r="15" spans="1:25" ht="22.5" customHeight="1" x14ac:dyDescent="0.25">
      <c r="A15" s="100" t="s">
        <v>38</v>
      </c>
      <c r="B15" s="2260">
        <v>523611</v>
      </c>
      <c r="C15" s="2261"/>
      <c r="D15" s="1015">
        <v>447</v>
      </c>
      <c r="E15" s="1015">
        <v>60</v>
      </c>
      <c r="F15" s="1015">
        <v>14500</v>
      </c>
      <c r="G15" s="1015">
        <v>1000</v>
      </c>
      <c r="H15" s="1015">
        <v>376</v>
      </c>
      <c r="I15" s="1015">
        <v>215</v>
      </c>
      <c r="J15" s="1015">
        <v>5</v>
      </c>
      <c r="K15" s="1015">
        <v>59</v>
      </c>
      <c r="L15" s="1015">
        <v>8</v>
      </c>
      <c r="M15" s="1015">
        <v>100</v>
      </c>
      <c r="N15" s="1015">
        <v>100</v>
      </c>
      <c r="O15" s="1015">
        <v>0</v>
      </c>
      <c r="P15" s="1015"/>
      <c r="Q15" s="2260">
        <v>0</v>
      </c>
      <c r="R15" s="2261"/>
      <c r="S15" s="1010">
        <v>7</v>
      </c>
      <c r="T15" s="2235"/>
      <c r="U15" s="1010" t="s">
        <v>64</v>
      </c>
      <c r="V15" s="2262">
        <v>7406</v>
      </c>
      <c r="W15" s="2262"/>
      <c r="X15" s="2262"/>
    </row>
    <row r="16" spans="1:25" ht="24.75" customHeight="1" x14ac:dyDescent="0.25">
      <c r="A16" s="100" t="s">
        <v>39</v>
      </c>
      <c r="B16" s="2260">
        <v>51948</v>
      </c>
      <c r="C16" s="2261"/>
      <c r="D16" s="1015"/>
      <c r="E16" s="1015"/>
      <c r="F16" s="1015"/>
      <c r="G16" s="1015"/>
      <c r="H16" s="1015"/>
      <c r="I16" s="1015"/>
      <c r="J16" s="1015"/>
      <c r="K16" s="1015"/>
      <c r="L16" s="1015"/>
      <c r="M16" s="1015"/>
      <c r="N16" s="1015"/>
      <c r="O16" s="1015"/>
      <c r="P16" s="1015"/>
      <c r="Q16" s="2225"/>
      <c r="R16" s="2225"/>
      <c r="S16" s="1015"/>
      <c r="T16" s="2254" t="s">
        <v>55</v>
      </c>
      <c r="U16" s="2254"/>
      <c r="V16" s="2267">
        <f>Y12</f>
        <v>202617.08250000002</v>
      </c>
      <c r="W16" s="2267"/>
      <c r="X16" s="2262"/>
    </row>
    <row r="17" spans="1:25" ht="28.5" customHeight="1" x14ac:dyDescent="0.25">
      <c r="A17" s="101" t="s">
        <v>44</v>
      </c>
      <c r="B17" s="2260"/>
      <c r="C17" s="2261"/>
      <c r="D17" s="1015"/>
      <c r="E17" s="1015"/>
      <c r="F17" s="1015"/>
      <c r="G17" s="1015"/>
      <c r="H17" s="1015"/>
      <c r="I17" s="1015"/>
      <c r="J17" s="1015"/>
      <c r="K17" s="1015"/>
      <c r="L17" s="1015"/>
      <c r="M17" s="1015"/>
      <c r="N17" s="1015"/>
      <c r="O17" s="1015"/>
      <c r="P17" s="1015"/>
      <c r="Q17" s="2225"/>
      <c r="R17" s="2225"/>
      <c r="S17" s="1012"/>
      <c r="T17" s="2294" t="s">
        <v>362</v>
      </c>
      <c r="U17" s="2295"/>
      <c r="V17" s="2296"/>
      <c r="W17" s="2296"/>
      <c r="X17" s="2296"/>
    </row>
    <row r="18" spans="1:25" ht="27" customHeight="1" x14ac:dyDescent="0.25">
      <c r="A18" s="100" t="s">
        <v>40</v>
      </c>
      <c r="B18" s="2264">
        <f>C12</f>
        <v>101997</v>
      </c>
      <c r="C18" s="2261"/>
      <c r="D18" s="1016">
        <f>E12</f>
        <v>0</v>
      </c>
      <c r="E18" s="1016">
        <f>G12</f>
        <v>0</v>
      </c>
      <c r="F18" s="1016">
        <f>I12</f>
        <v>4000</v>
      </c>
      <c r="G18" s="1016">
        <f>K12</f>
        <v>0</v>
      </c>
      <c r="H18" s="1015">
        <v>5</v>
      </c>
      <c r="I18" s="1016">
        <f>U12</f>
        <v>85</v>
      </c>
      <c r="J18" s="1015"/>
      <c r="K18" s="1016">
        <f>W12</f>
        <v>0</v>
      </c>
      <c r="L18" s="1015"/>
      <c r="M18" s="1016">
        <f>M12</f>
        <v>0</v>
      </c>
      <c r="N18" s="1016"/>
      <c r="O18" s="1017">
        <f>Q12</f>
        <v>0</v>
      </c>
      <c r="P18" s="1016"/>
      <c r="Q18" s="2262"/>
      <c r="R18" s="2262"/>
      <c r="S18" s="1010"/>
      <c r="T18" s="2254" t="s">
        <v>57</v>
      </c>
      <c r="U18" s="2254"/>
      <c r="V18" s="2262">
        <v>570</v>
      </c>
      <c r="W18" s="2262"/>
      <c r="X18" s="2262"/>
      <c r="Y18" s="2269"/>
    </row>
    <row r="19" spans="1:25" ht="25.5" customHeight="1" x14ac:dyDescent="0.25">
      <c r="A19" s="100" t="s">
        <v>41</v>
      </c>
      <c r="B19" s="2260">
        <f>B15+B16+B17-B18</f>
        <v>473562</v>
      </c>
      <c r="C19" s="2261"/>
      <c r="D19" s="1015">
        <f>D15+D16+D17-D18</f>
        <v>447</v>
      </c>
      <c r="E19" s="1015">
        <f t="shared" ref="E19:N19" si="13">E15+E16+E17-E18</f>
        <v>60</v>
      </c>
      <c r="F19" s="1015">
        <f t="shared" si="13"/>
        <v>10500</v>
      </c>
      <c r="G19" s="1015">
        <f t="shared" si="13"/>
        <v>1000</v>
      </c>
      <c r="H19" s="1015">
        <f t="shared" si="13"/>
        <v>371</v>
      </c>
      <c r="I19" s="1015">
        <f t="shared" si="13"/>
        <v>130</v>
      </c>
      <c r="J19" s="1015">
        <f t="shared" si="13"/>
        <v>5</v>
      </c>
      <c r="K19" s="1015">
        <f t="shared" si="13"/>
        <v>59</v>
      </c>
      <c r="L19" s="1015">
        <f t="shared" si="13"/>
        <v>8</v>
      </c>
      <c r="M19" s="1015">
        <f t="shared" si="13"/>
        <v>100</v>
      </c>
      <c r="N19" s="1015">
        <f t="shared" si="13"/>
        <v>100</v>
      </c>
      <c r="O19" s="1015">
        <f>O15+O16+O17-O18</f>
        <v>0</v>
      </c>
      <c r="P19" s="1015">
        <f>P15+P16+P17-P18</f>
        <v>0</v>
      </c>
      <c r="Q19" s="2260">
        <f t="shared" ref="Q19" si="14">Q15+Q16+Q17-Q18</f>
        <v>0</v>
      </c>
      <c r="R19" s="2261"/>
      <c r="S19" s="1010">
        <f>S15+S16-S17-S18</f>
        <v>7</v>
      </c>
      <c r="T19" s="2256" t="s">
        <v>48</v>
      </c>
      <c r="U19" s="49" t="s">
        <v>58</v>
      </c>
      <c r="V19" s="2262"/>
      <c r="W19" s="2262"/>
      <c r="X19" s="2262"/>
      <c r="Y19" s="2269"/>
    </row>
    <row r="20" spans="1:25" ht="23.25" customHeight="1" x14ac:dyDescent="0.25">
      <c r="A20" s="289" t="s">
        <v>187</v>
      </c>
      <c r="B20" s="2286">
        <f>B19*0.9625</f>
        <v>455803.42499999999</v>
      </c>
      <c r="C20" s="2287"/>
      <c r="D20" s="290">
        <f>D19*66.41</f>
        <v>29685.269999999997</v>
      </c>
      <c r="E20" s="290">
        <f>27.9368*E19</f>
        <v>1676.2080000000001</v>
      </c>
      <c r="F20" s="290">
        <f>18.31*F19</f>
        <v>192255</v>
      </c>
      <c r="G20" s="290">
        <f>27.9368*G19</f>
        <v>27936.800000000003</v>
      </c>
      <c r="H20" s="290">
        <f>241*H19</f>
        <v>89411</v>
      </c>
      <c r="I20" s="290">
        <f>323*I19</f>
        <v>41990</v>
      </c>
      <c r="J20" s="290">
        <f>241*J19</f>
        <v>1205</v>
      </c>
      <c r="K20" s="290">
        <f>K19*100</f>
        <v>5900</v>
      </c>
      <c r="L20" s="290">
        <f>241*L19</f>
        <v>1928</v>
      </c>
      <c r="M20" s="290">
        <f>9.65*M19</f>
        <v>965</v>
      </c>
      <c r="N20" s="290">
        <f>N19*48.2</f>
        <v>4820</v>
      </c>
      <c r="O20" s="290">
        <f>241*O19</f>
        <v>0</v>
      </c>
      <c r="P20" s="290">
        <f>241*P19</f>
        <v>0</v>
      </c>
      <c r="Q20" s="2286">
        <f>341*Q19</f>
        <v>0</v>
      </c>
      <c r="R20" s="2287"/>
      <c r="S20" s="290">
        <f>341*S19</f>
        <v>2387</v>
      </c>
      <c r="T20" s="2257"/>
      <c r="U20" s="49" t="s">
        <v>59</v>
      </c>
      <c r="V20" s="2262">
        <v>50000</v>
      </c>
      <c r="W20" s="2262"/>
      <c r="X20" s="2262"/>
      <c r="Y20" s="2269"/>
    </row>
    <row r="21" spans="1:25" ht="32.25" customHeight="1" x14ac:dyDescent="0.25">
      <c r="A21" s="291" t="s">
        <v>186</v>
      </c>
      <c r="B21" s="2293">
        <f>SUM(B20:S20)</f>
        <v>855962.70299999998</v>
      </c>
      <c r="C21" s="2293"/>
      <c r="O21" s="1019"/>
      <c r="P21" s="1019"/>
      <c r="Q21" s="1019"/>
      <c r="R21" s="1019"/>
      <c r="T21" s="2294" t="s">
        <v>366</v>
      </c>
      <c r="U21" s="2295"/>
      <c r="V21" s="2297"/>
      <c r="W21" s="2298"/>
      <c r="X21" s="2299"/>
      <c r="Y21" s="2269"/>
    </row>
    <row r="22" spans="1:25" ht="35.25" customHeight="1" x14ac:dyDescent="0.25">
      <c r="A22" s="15"/>
      <c r="B22" s="2288" t="s">
        <v>49</v>
      </c>
      <c r="C22" s="2291">
        <v>400000</v>
      </c>
      <c r="D22" s="2291"/>
      <c r="E22" s="2291"/>
      <c r="F22" s="2291">
        <f>C22-D22+E22</f>
        <v>400000</v>
      </c>
      <c r="G22" s="1019"/>
      <c r="Q22" s="1019"/>
      <c r="R22" s="1019"/>
      <c r="T22" s="2251" t="s">
        <v>83</v>
      </c>
      <c r="U22" s="50" t="s">
        <v>60</v>
      </c>
      <c r="V22" s="2262"/>
      <c r="W22" s="2262"/>
      <c r="X22" s="2262"/>
      <c r="Y22" s="2269"/>
    </row>
    <row r="23" spans="1:25" ht="39.75" customHeight="1" x14ac:dyDescent="0.25">
      <c r="A23" s="1019"/>
      <c r="B23" s="2289"/>
      <c r="C23" s="2292"/>
      <c r="D23" s="2292"/>
      <c r="E23" s="2292"/>
      <c r="F23" s="2292"/>
      <c r="G23" s="1019"/>
      <c r="Q23" s="1019"/>
      <c r="R23" s="1019"/>
      <c r="T23" s="2252"/>
      <c r="U23" s="50" t="s">
        <v>61</v>
      </c>
      <c r="V23" s="2262"/>
      <c r="W23" s="2262"/>
      <c r="X23" s="2262"/>
      <c r="Y23" s="2269"/>
    </row>
    <row r="24" spans="1:25" ht="48" customHeight="1" x14ac:dyDescent="0.25">
      <c r="A24" s="1019"/>
      <c r="B24" s="2290"/>
      <c r="C24" s="290" t="s">
        <v>46</v>
      </c>
      <c r="D24" s="290" t="s">
        <v>50</v>
      </c>
      <c r="E24" s="290" t="s">
        <v>51</v>
      </c>
      <c r="F24" s="290" t="s">
        <v>52</v>
      </c>
      <c r="G24" s="1019"/>
      <c r="Q24" s="1019"/>
      <c r="R24" s="1019"/>
      <c r="T24" s="2235" t="s">
        <v>47</v>
      </c>
      <c r="U24" s="51" t="s">
        <v>62</v>
      </c>
      <c r="V24" s="2263">
        <f>V14+V16+V17-V18-V19-V20-V22+V23-V21</f>
        <v>170928.08250000002</v>
      </c>
      <c r="W24" s="2263"/>
      <c r="X24" s="2263"/>
      <c r="Y24" s="2269"/>
    </row>
    <row r="25" spans="1:25" ht="40.5" customHeight="1" x14ac:dyDescent="0.25">
      <c r="T25" s="2235"/>
      <c r="U25" s="51" t="s">
        <v>63</v>
      </c>
      <c r="V25" s="2262">
        <f>V15+V22-V23</f>
        <v>7406</v>
      </c>
      <c r="W25" s="2262"/>
      <c r="X25" s="2262"/>
    </row>
    <row r="26" spans="1:25" ht="36" customHeight="1" x14ac:dyDescent="0.25">
      <c r="K26" s="314"/>
    </row>
    <row r="28" spans="1:25" x14ac:dyDescent="0.25">
      <c r="J28" s="14" t="s">
        <v>139</v>
      </c>
    </row>
    <row r="32" spans="1:25" x14ac:dyDescent="0.25">
      <c r="I32" s="2280"/>
      <c r="J32" s="2280"/>
      <c r="K32" s="2280"/>
      <c r="L32" s="2280"/>
    </row>
    <row r="33" spans="9:12" x14ac:dyDescent="0.25">
      <c r="I33" s="1019"/>
      <c r="J33" s="1019"/>
      <c r="K33" s="2280"/>
      <c r="L33" s="2280"/>
    </row>
  </sheetData>
  <mergeCells count="62">
    <mergeCell ref="I32:J32"/>
    <mergeCell ref="K32:L32"/>
    <mergeCell ref="K33:L33"/>
    <mergeCell ref="T22:T23"/>
    <mergeCell ref="V22:X22"/>
    <mergeCell ref="V23:X23"/>
    <mergeCell ref="T24:T25"/>
    <mergeCell ref="V24:X24"/>
    <mergeCell ref="V25:X25"/>
    <mergeCell ref="Y18:Y24"/>
    <mergeCell ref="B19:C19"/>
    <mergeCell ref="Q19:R19"/>
    <mergeCell ref="T19:T20"/>
    <mergeCell ref="V19:X19"/>
    <mergeCell ref="B20:C20"/>
    <mergeCell ref="B22:B24"/>
    <mergeCell ref="C22:C23"/>
    <mergeCell ref="D22:D23"/>
    <mergeCell ref="E22:E23"/>
    <mergeCell ref="F22:F23"/>
    <mergeCell ref="Q20:R20"/>
    <mergeCell ref="V20:X20"/>
    <mergeCell ref="B21:C21"/>
    <mergeCell ref="T21:U21"/>
    <mergeCell ref="V21:X21"/>
    <mergeCell ref="B17:C17"/>
    <mergeCell ref="Q17:R17"/>
    <mergeCell ref="T17:U17"/>
    <mergeCell ref="V17:X17"/>
    <mergeCell ref="B18:C18"/>
    <mergeCell ref="Q18:R18"/>
    <mergeCell ref="T18:U18"/>
    <mergeCell ref="V18:X18"/>
    <mergeCell ref="W4:X4"/>
    <mergeCell ref="B16:C16"/>
    <mergeCell ref="Q16:R16"/>
    <mergeCell ref="T16:U16"/>
    <mergeCell ref="V16:X16"/>
    <mergeCell ref="A12:B12"/>
    <mergeCell ref="B14:C14"/>
    <mergeCell ref="Q14:R14"/>
    <mergeCell ref="T14:T15"/>
    <mergeCell ref="V14:X14"/>
    <mergeCell ref="B15:C15"/>
    <mergeCell ref="Q15:R15"/>
    <mergeCell ref="V15:X15"/>
    <mergeCell ref="A1:Y1"/>
    <mergeCell ref="A2:Y2"/>
    <mergeCell ref="T3:Y3"/>
    <mergeCell ref="A4:A5"/>
    <mergeCell ref="B4:B5"/>
    <mergeCell ref="C4:D4"/>
    <mergeCell ref="E4:F4"/>
    <mergeCell ref="G4:H4"/>
    <mergeCell ref="I4:J4"/>
    <mergeCell ref="K4:L4"/>
    <mergeCell ref="Y4:Y5"/>
    <mergeCell ref="M4:N4"/>
    <mergeCell ref="O4:P4"/>
    <mergeCell ref="Q4:R4"/>
    <mergeCell ref="S4:T4"/>
    <mergeCell ref="U4:V4"/>
  </mergeCells>
  <pageMargins left="0.15748031496063" right="0.15748031496063" top="0" bottom="0" header="0" footer="0"/>
  <pageSetup paperSize="9" scale="45" orientation="landscape" r:id="rId1"/>
</worksheet>
</file>

<file path=xl/worksheets/sheet20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88412DF-61EF-492A-8D71-D77956859C98}">
  <sheetPr>
    <pageSetUpPr fitToPage="1"/>
  </sheetPr>
  <dimension ref="A1:Y33"/>
  <sheetViews>
    <sheetView zoomScale="70" zoomScaleNormal="70" zoomScaleSheetLayoutView="100" workbookViewId="0">
      <selection activeCell="M21" sqref="M21"/>
    </sheetView>
  </sheetViews>
  <sheetFormatPr defaultColWidth="9.140625" defaultRowHeight="15" x14ac:dyDescent="0.25"/>
  <cols>
    <col min="1" max="1" width="18.28515625" style="14" customWidth="1"/>
    <col min="2" max="2" width="10.7109375" style="14" customWidth="1"/>
    <col min="3" max="3" width="12.28515625" style="14" customWidth="1"/>
    <col min="4" max="4" width="13.140625" style="14" bestFit="1" customWidth="1"/>
    <col min="5" max="5" width="12" style="14" customWidth="1"/>
    <col min="6" max="6" width="12.5703125" style="14" bestFit="1" customWidth="1"/>
    <col min="7" max="7" width="16" style="14" bestFit="1" customWidth="1"/>
    <col min="8" max="8" width="10.140625" style="14" bestFit="1" customWidth="1"/>
    <col min="9" max="9" width="10.5703125" style="14" bestFit="1" customWidth="1"/>
    <col min="10" max="10" width="10.5703125" style="14" customWidth="1"/>
    <col min="11" max="11" width="10.28515625" style="14" bestFit="1" customWidth="1"/>
    <col min="12" max="12" width="10.42578125" style="14" bestFit="1" customWidth="1"/>
    <col min="13" max="13" width="12" style="14" bestFit="1" customWidth="1"/>
    <col min="14" max="14" width="10.140625" style="14" bestFit="1" customWidth="1"/>
    <col min="15" max="15" width="9" style="14" customWidth="1"/>
    <col min="16" max="16" width="12.85546875" style="14" bestFit="1" customWidth="1"/>
    <col min="17" max="18" width="9.42578125" style="14" customWidth="1"/>
    <col min="19" max="19" width="13.7109375" style="14" customWidth="1"/>
    <col min="20" max="20" width="12.140625" style="14" customWidth="1"/>
    <col min="21" max="21" width="21.7109375" style="14" customWidth="1"/>
    <col min="22" max="22" width="9.85546875" style="14" customWidth="1"/>
    <col min="23" max="23" width="10.140625" style="14" bestFit="1" customWidth="1"/>
    <col min="24" max="24" width="10.28515625" style="14" customWidth="1"/>
    <col min="25" max="25" width="28" style="14" customWidth="1"/>
    <col min="26" max="16384" width="9.140625" style="14"/>
  </cols>
  <sheetData>
    <row r="1" spans="1:25" ht="46.15" customHeight="1" x14ac:dyDescent="0.25">
      <c r="A1" s="2240" t="s">
        <v>148</v>
      </c>
      <c r="B1" s="2240"/>
      <c r="C1" s="2240"/>
      <c r="D1" s="2240"/>
      <c r="E1" s="2240"/>
      <c r="F1" s="2240"/>
      <c r="G1" s="2240"/>
      <c r="H1" s="2240"/>
      <c r="I1" s="2240"/>
      <c r="J1" s="2240"/>
      <c r="K1" s="2240"/>
      <c r="L1" s="2240"/>
      <c r="M1" s="2240"/>
      <c r="N1" s="2240"/>
      <c r="O1" s="2240"/>
      <c r="P1" s="2240"/>
      <c r="Q1" s="2240"/>
      <c r="R1" s="2240"/>
      <c r="S1" s="2240"/>
      <c r="T1" s="2240"/>
      <c r="U1" s="2240"/>
      <c r="V1" s="2240"/>
      <c r="W1" s="2240"/>
      <c r="X1" s="2240"/>
      <c r="Y1" s="2240"/>
    </row>
    <row r="2" spans="1:25" ht="21.6" customHeight="1" x14ac:dyDescent="0.25">
      <c r="A2" s="2241" t="s">
        <v>383</v>
      </c>
      <c r="B2" s="2241"/>
      <c r="C2" s="2241"/>
      <c r="D2" s="2241"/>
      <c r="E2" s="2241"/>
      <c r="F2" s="2241"/>
      <c r="G2" s="2241"/>
      <c r="H2" s="2241"/>
      <c r="I2" s="2241"/>
      <c r="J2" s="2241"/>
      <c r="K2" s="2241"/>
      <c r="L2" s="2241"/>
      <c r="M2" s="2241"/>
      <c r="N2" s="2241"/>
      <c r="O2" s="2241"/>
      <c r="P2" s="2241"/>
      <c r="Q2" s="2241"/>
      <c r="R2" s="2241"/>
      <c r="S2" s="2241"/>
      <c r="T2" s="2241"/>
      <c r="U2" s="2241"/>
      <c r="V2" s="2241"/>
      <c r="W2" s="2241"/>
      <c r="X2" s="2241"/>
      <c r="Y2" s="2241"/>
    </row>
    <row r="3" spans="1:25" ht="21" customHeight="1" x14ac:dyDescent="0.25">
      <c r="A3" s="1025"/>
      <c r="B3" s="1025"/>
      <c r="C3" s="1025"/>
      <c r="D3" s="1025"/>
      <c r="E3" s="1025"/>
      <c r="F3" s="1025"/>
      <c r="G3" s="1025"/>
      <c r="H3" s="1025"/>
      <c r="I3" s="1025"/>
      <c r="J3" s="1025"/>
      <c r="K3" s="1025"/>
      <c r="L3" s="1025"/>
      <c r="M3" s="1025"/>
      <c r="N3" s="1025"/>
      <c r="O3" s="1025"/>
      <c r="P3" s="1025"/>
      <c r="Q3" s="1025"/>
      <c r="R3" s="1025"/>
      <c r="S3" s="1025"/>
      <c r="T3" s="2242" t="s">
        <v>433</v>
      </c>
      <c r="U3" s="2242"/>
      <c r="V3" s="2242"/>
      <c r="W3" s="2242"/>
      <c r="X3" s="2242"/>
      <c r="Y3" s="2242"/>
    </row>
    <row r="4" spans="1:25" s="1025" customFormat="1" ht="18" customHeight="1" x14ac:dyDescent="0.25">
      <c r="A4" s="2243" t="s">
        <v>25</v>
      </c>
      <c r="B4" s="2243" t="s">
        <v>26</v>
      </c>
      <c r="C4" s="2244" t="s">
        <v>27</v>
      </c>
      <c r="D4" s="2244"/>
      <c r="E4" s="2244" t="s">
        <v>342</v>
      </c>
      <c r="F4" s="2244"/>
      <c r="G4" s="2244" t="s">
        <v>65</v>
      </c>
      <c r="H4" s="2244"/>
      <c r="I4" s="2244" t="s">
        <v>29</v>
      </c>
      <c r="J4" s="2244"/>
      <c r="K4" s="2245" t="s">
        <v>14</v>
      </c>
      <c r="L4" s="2246"/>
      <c r="M4" s="2245" t="s">
        <v>429</v>
      </c>
      <c r="N4" s="2246"/>
      <c r="O4" s="2245" t="s">
        <v>68</v>
      </c>
      <c r="P4" s="2246"/>
      <c r="Q4" s="2245" t="s">
        <v>114</v>
      </c>
      <c r="R4" s="2246"/>
      <c r="S4" s="2244" t="s">
        <v>35</v>
      </c>
      <c r="T4" s="2244"/>
      <c r="U4" s="2245" t="s">
        <v>17</v>
      </c>
      <c r="V4" s="2246"/>
      <c r="W4" s="2247" t="s">
        <v>36</v>
      </c>
      <c r="X4" s="2248"/>
      <c r="Y4" s="2238" t="s">
        <v>30</v>
      </c>
    </row>
    <row r="5" spans="1:25" s="1025" customFormat="1" ht="25.5" customHeight="1" x14ac:dyDescent="0.25">
      <c r="A5" s="2243"/>
      <c r="B5" s="2243"/>
      <c r="C5" s="1024" t="s">
        <v>42</v>
      </c>
      <c r="D5" s="1024" t="s">
        <v>43</v>
      </c>
      <c r="E5" s="1024" t="s">
        <v>42</v>
      </c>
      <c r="F5" s="1024" t="s">
        <v>43</v>
      </c>
      <c r="G5" s="1024" t="s">
        <v>42</v>
      </c>
      <c r="H5" s="1024" t="s">
        <v>43</v>
      </c>
      <c r="I5" s="1024" t="s">
        <v>42</v>
      </c>
      <c r="J5" s="1024" t="s">
        <v>43</v>
      </c>
      <c r="K5" s="1024" t="s">
        <v>42</v>
      </c>
      <c r="L5" s="1024" t="s">
        <v>43</v>
      </c>
      <c r="M5" s="1024" t="s">
        <v>42</v>
      </c>
      <c r="N5" s="1024" t="s">
        <v>43</v>
      </c>
      <c r="O5" s="1024" t="s">
        <v>42</v>
      </c>
      <c r="P5" s="1024" t="s">
        <v>43</v>
      </c>
      <c r="Q5" s="1024" t="s">
        <v>42</v>
      </c>
      <c r="R5" s="1024" t="s">
        <v>43</v>
      </c>
      <c r="S5" s="33" t="s">
        <v>42</v>
      </c>
      <c r="T5" s="33" t="s">
        <v>43</v>
      </c>
      <c r="U5" s="30" t="s">
        <v>42</v>
      </c>
      <c r="V5" s="30" t="s">
        <v>43</v>
      </c>
      <c r="W5" s="30" t="s">
        <v>42</v>
      </c>
      <c r="X5" s="30" t="s">
        <v>43</v>
      </c>
      <c r="Y5" s="2239"/>
    </row>
    <row r="6" spans="1:25" ht="34.5" customHeight="1" x14ac:dyDescent="0.25">
      <c r="A6" s="12">
        <v>1409935200</v>
      </c>
      <c r="B6" s="1023" t="s">
        <v>71</v>
      </c>
      <c r="C6" s="1021">
        <v>22815</v>
      </c>
      <c r="D6" s="1020">
        <f>0.9725*C6</f>
        <v>22187.587500000001</v>
      </c>
      <c r="E6" s="1021"/>
      <c r="F6" s="1021">
        <f>67.1*E6</f>
        <v>0</v>
      </c>
      <c r="G6" s="1021"/>
      <c r="H6" s="1021">
        <f>28.2*G6</f>
        <v>0</v>
      </c>
      <c r="I6" s="1021">
        <v>290</v>
      </c>
      <c r="J6" s="1021">
        <f>18.5*I6</f>
        <v>5365</v>
      </c>
      <c r="K6" s="1021"/>
      <c r="L6" s="1021">
        <f>28.2368*K6</f>
        <v>0</v>
      </c>
      <c r="M6" s="1021"/>
      <c r="N6" s="1020">
        <f>M6*47.6525</f>
        <v>0</v>
      </c>
      <c r="O6" s="1021"/>
      <c r="P6" s="1020">
        <f>O6*48.7</f>
        <v>0</v>
      </c>
      <c r="Q6" s="1020"/>
      <c r="R6" s="1020">
        <f>241*Q6</f>
        <v>0</v>
      </c>
      <c r="S6" s="1021"/>
      <c r="T6" s="1021">
        <f>241*S6</f>
        <v>0</v>
      </c>
      <c r="U6" s="1021">
        <v>10</v>
      </c>
      <c r="V6" s="1021">
        <f>332*U6</f>
        <v>3320</v>
      </c>
      <c r="W6" s="1021"/>
      <c r="X6" s="19">
        <f>W6*100</f>
        <v>0</v>
      </c>
      <c r="Y6" s="20">
        <f t="shared" ref="Y6:Y12" si="0">D6+F6+H6+J6+L6+N6+P6+R6+T6+V6+X6</f>
        <v>30872.587500000001</v>
      </c>
    </row>
    <row r="7" spans="1:25" ht="31.5" customHeight="1" x14ac:dyDescent="0.25">
      <c r="A7" s="12">
        <v>1984225578</v>
      </c>
      <c r="B7" s="1023" t="s">
        <v>72</v>
      </c>
      <c r="C7" s="1021">
        <v>19037</v>
      </c>
      <c r="D7" s="1020">
        <f t="shared" ref="D7:D11" si="1">0.9725*C7</f>
        <v>18513.482500000002</v>
      </c>
      <c r="E7" s="1021"/>
      <c r="F7" s="1021">
        <f t="shared" ref="F7:F11" si="2">67.1*E7</f>
        <v>0</v>
      </c>
      <c r="G7" s="1021"/>
      <c r="H7" s="1021">
        <f t="shared" ref="H7:H11" si="3">28.2*G7</f>
        <v>0</v>
      </c>
      <c r="I7" s="1021">
        <v>1250</v>
      </c>
      <c r="J7" s="1021">
        <f t="shared" ref="J7:J11" si="4">18.5*I7</f>
        <v>23125</v>
      </c>
      <c r="K7" s="1021"/>
      <c r="L7" s="1021">
        <f t="shared" ref="L7:L11" si="5">28.2368*K7</f>
        <v>0</v>
      </c>
      <c r="M7" s="1021"/>
      <c r="N7" s="1020">
        <f t="shared" ref="N7:N11" si="6">M7*47.6525</f>
        <v>0</v>
      </c>
      <c r="O7" s="1021"/>
      <c r="P7" s="1020">
        <f t="shared" ref="P7:P11" si="7">O7*48.7</f>
        <v>0</v>
      </c>
      <c r="Q7" s="1020"/>
      <c r="R7" s="1020">
        <f t="shared" ref="R7:R11" si="8">241*Q7</f>
        <v>0</v>
      </c>
      <c r="S7" s="1021"/>
      <c r="T7" s="1021">
        <f t="shared" ref="T7:T10" si="9">241*S7</f>
        <v>0</v>
      </c>
      <c r="U7" s="1021">
        <v>26</v>
      </c>
      <c r="V7" s="1021">
        <f t="shared" ref="V7:V11" si="10">332*U7</f>
        <v>8632</v>
      </c>
      <c r="W7" s="1021"/>
      <c r="X7" s="19">
        <f t="shared" ref="X7:X11" si="11">W7*100</f>
        <v>0</v>
      </c>
      <c r="Y7" s="20">
        <f t="shared" si="0"/>
        <v>50270.482499999998</v>
      </c>
    </row>
    <row r="8" spans="1:25" ht="35.25" customHeight="1" x14ac:dyDescent="0.25">
      <c r="A8" s="12">
        <v>1967020280</v>
      </c>
      <c r="B8" s="1023" t="s">
        <v>427</v>
      </c>
      <c r="C8" s="1021">
        <v>38540</v>
      </c>
      <c r="D8" s="1020">
        <f t="shared" si="1"/>
        <v>37480.15</v>
      </c>
      <c r="E8" s="1021"/>
      <c r="F8" s="1021">
        <f t="shared" si="2"/>
        <v>0</v>
      </c>
      <c r="G8" s="1021"/>
      <c r="H8" s="1021">
        <f t="shared" si="3"/>
        <v>0</v>
      </c>
      <c r="I8" s="1021">
        <v>1030</v>
      </c>
      <c r="J8" s="1021">
        <f t="shared" si="4"/>
        <v>19055</v>
      </c>
      <c r="K8" s="1021"/>
      <c r="L8" s="1021">
        <f t="shared" si="5"/>
        <v>0</v>
      </c>
      <c r="M8" s="1021"/>
      <c r="N8" s="1020">
        <f t="shared" si="6"/>
        <v>0</v>
      </c>
      <c r="O8" s="1021"/>
      <c r="P8" s="1020">
        <f t="shared" si="7"/>
        <v>0</v>
      </c>
      <c r="Q8" s="1020"/>
      <c r="R8" s="1020">
        <f t="shared" si="8"/>
        <v>0</v>
      </c>
      <c r="S8" s="1021"/>
      <c r="T8" s="1021">
        <f t="shared" si="9"/>
        <v>0</v>
      </c>
      <c r="U8" s="1021"/>
      <c r="V8" s="1021">
        <f t="shared" si="10"/>
        <v>0</v>
      </c>
      <c r="W8" s="1021"/>
      <c r="X8" s="19">
        <f t="shared" si="11"/>
        <v>0</v>
      </c>
      <c r="Y8" s="20">
        <f t="shared" si="0"/>
        <v>56535.15</v>
      </c>
    </row>
    <row r="9" spans="1:25" ht="38.25" customHeight="1" x14ac:dyDescent="0.25">
      <c r="A9" s="12">
        <v>1984225580</v>
      </c>
      <c r="B9" s="1023" t="s">
        <v>75</v>
      </c>
      <c r="C9" s="1021">
        <v>31758</v>
      </c>
      <c r="D9" s="1020">
        <f t="shared" si="1"/>
        <v>30884.655000000002</v>
      </c>
      <c r="E9" s="1021"/>
      <c r="F9" s="1021">
        <f t="shared" si="2"/>
        <v>0</v>
      </c>
      <c r="G9" s="1021"/>
      <c r="H9" s="1021">
        <f t="shared" si="3"/>
        <v>0</v>
      </c>
      <c r="I9" s="1021">
        <v>500</v>
      </c>
      <c r="J9" s="1021">
        <f t="shared" si="4"/>
        <v>9250</v>
      </c>
      <c r="K9" s="1021"/>
      <c r="L9" s="1021">
        <f t="shared" si="5"/>
        <v>0</v>
      </c>
      <c r="M9" s="1021"/>
      <c r="N9" s="1020">
        <f t="shared" si="6"/>
        <v>0</v>
      </c>
      <c r="O9" s="1021"/>
      <c r="P9" s="1020">
        <f t="shared" si="7"/>
        <v>0</v>
      </c>
      <c r="Q9" s="1020"/>
      <c r="R9" s="1020">
        <f t="shared" si="8"/>
        <v>0</v>
      </c>
      <c r="S9" s="1021"/>
      <c r="T9" s="1021">
        <f t="shared" si="9"/>
        <v>0</v>
      </c>
      <c r="U9" s="1021"/>
      <c r="V9" s="1021">
        <f t="shared" si="10"/>
        <v>0</v>
      </c>
      <c r="W9" s="1021"/>
      <c r="X9" s="19">
        <f t="shared" si="11"/>
        <v>0</v>
      </c>
      <c r="Y9" s="20">
        <f t="shared" si="0"/>
        <v>40134.654999999999</v>
      </c>
    </row>
    <row r="10" spans="1:25" ht="35.25" customHeight="1" x14ac:dyDescent="0.25">
      <c r="A10" s="12">
        <v>1409935199</v>
      </c>
      <c r="C10" s="1021"/>
      <c r="D10" s="1020">
        <f t="shared" si="1"/>
        <v>0</v>
      </c>
      <c r="E10" s="1021"/>
      <c r="F10" s="1021">
        <f t="shared" si="2"/>
        <v>0</v>
      </c>
      <c r="G10" s="1021"/>
      <c r="H10" s="1021">
        <f t="shared" si="3"/>
        <v>0</v>
      </c>
      <c r="I10" s="1021">
        <v>1000</v>
      </c>
      <c r="J10" s="1021">
        <f t="shared" si="4"/>
        <v>18500</v>
      </c>
      <c r="K10" s="1021"/>
      <c r="L10" s="1021">
        <f t="shared" si="5"/>
        <v>0</v>
      </c>
      <c r="M10" s="1021"/>
      <c r="N10" s="1020">
        <f t="shared" si="6"/>
        <v>0</v>
      </c>
      <c r="O10" s="1021"/>
      <c r="P10" s="1020">
        <f t="shared" si="7"/>
        <v>0</v>
      </c>
      <c r="Q10" s="1020"/>
      <c r="R10" s="1020">
        <f t="shared" si="8"/>
        <v>0</v>
      </c>
      <c r="S10" s="1021"/>
      <c r="T10" s="1021">
        <f t="shared" si="9"/>
        <v>0</v>
      </c>
      <c r="U10" s="1021"/>
      <c r="V10" s="1021">
        <f t="shared" si="10"/>
        <v>0</v>
      </c>
      <c r="W10" s="1021"/>
      <c r="X10" s="19">
        <f t="shared" si="11"/>
        <v>0</v>
      </c>
      <c r="Y10" s="20">
        <f t="shared" si="0"/>
        <v>18500</v>
      </c>
    </row>
    <row r="11" spans="1:25" ht="37.5" customHeight="1" x14ac:dyDescent="0.25">
      <c r="A11" s="12"/>
      <c r="B11" s="1022"/>
      <c r="C11" s="1021"/>
      <c r="D11" s="1020">
        <f t="shared" si="1"/>
        <v>0</v>
      </c>
      <c r="E11" s="1021"/>
      <c r="F11" s="1021">
        <f t="shared" si="2"/>
        <v>0</v>
      </c>
      <c r="G11" s="1021"/>
      <c r="H11" s="1021">
        <f t="shared" si="3"/>
        <v>0</v>
      </c>
      <c r="I11" s="1021"/>
      <c r="J11" s="1021">
        <f t="shared" si="4"/>
        <v>0</v>
      </c>
      <c r="K11" s="1021"/>
      <c r="L11" s="1021">
        <f t="shared" si="5"/>
        <v>0</v>
      </c>
      <c r="M11" s="1021"/>
      <c r="N11" s="1020">
        <f t="shared" si="6"/>
        <v>0</v>
      </c>
      <c r="O11" s="1021"/>
      <c r="P11" s="1020">
        <f t="shared" si="7"/>
        <v>0</v>
      </c>
      <c r="Q11" s="1020"/>
      <c r="R11" s="1020">
        <f t="shared" si="8"/>
        <v>0</v>
      </c>
      <c r="S11" s="1021"/>
      <c r="T11" s="1021">
        <f>341*S11</f>
        <v>0</v>
      </c>
      <c r="U11" s="1021"/>
      <c r="V11" s="1021">
        <f t="shared" si="10"/>
        <v>0</v>
      </c>
      <c r="W11" s="1021"/>
      <c r="X11" s="19">
        <f t="shared" si="11"/>
        <v>0</v>
      </c>
      <c r="Y11" s="20">
        <f t="shared" si="0"/>
        <v>0</v>
      </c>
    </row>
    <row r="12" spans="1:25" ht="29.25" customHeight="1" x14ac:dyDescent="0.25">
      <c r="A12" s="2235" t="s">
        <v>31</v>
      </c>
      <c r="B12" s="2235"/>
      <c r="C12" s="18">
        <f t="shared" ref="C12:X12" si="12">SUM(C6:C11)</f>
        <v>112150</v>
      </c>
      <c r="D12" s="18">
        <f t="shared" si="12"/>
        <v>109065.875</v>
      </c>
      <c r="E12" s="18">
        <f t="shared" si="12"/>
        <v>0</v>
      </c>
      <c r="F12" s="18">
        <f t="shared" si="12"/>
        <v>0</v>
      </c>
      <c r="G12" s="18">
        <f t="shared" si="12"/>
        <v>0</v>
      </c>
      <c r="H12" s="18">
        <f t="shared" si="12"/>
        <v>0</v>
      </c>
      <c r="I12" s="18">
        <f t="shared" si="12"/>
        <v>4070</v>
      </c>
      <c r="J12" s="18">
        <f t="shared" si="12"/>
        <v>75295</v>
      </c>
      <c r="K12" s="18">
        <f t="shared" si="12"/>
        <v>0</v>
      </c>
      <c r="L12" s="18">
        <f t="shared" si="12"/>
        <v>0</v>
      </c>
      <c r="M12" s="18">
        <f t="shared" si="12"/>
        <v>0</v>
      </c>
      <c r="N12" s="23">
        <f t="shared" si="12"/>
        <v>0</v>
      </c>
      <c r="O12" s="18">
        <f t="shared" si="12"/>
        <v>0</v>
      </c>
      <c r="P12" s="23">
        <f t="shared" si="12"/>
        <v>0</v>
      </c>
      <c r="Q12" s="23">
        <f t="shared" si="12"/>
        <v>0</v>
      </c>
      <c r="R12" s="23">
        <f>SUM(R6:R11)</f>
        <v>0</v>
      </c>
      <c r="S12" s="23">
        <f>SUM(S6:S11)</f>
        <v>0</v>
      </c>
      <c r="T12" s="18">
        <f t="shared" si="12"/>
        <v>0</v>
      </c>
      <c r="U12" s="18">
        <f t="shared" si="12"/>
        <v>36</v>
      </c>
      <c r="V12" s="18">
        <f t="shared" si="12"/>
        <v>11952</v>
      </c>
      <c r="W12" s="18">
        <f t="shared" si="12"/>
        <v>0</v>
      </c>
      <c r="X12" s="18">
        <f t="shared" si="12"/>
        <v>0</v>
      </c>
      <c r="Y12" s="20">
        <f t="shared" si="0"/>
        <v>196312.875</v>
      </c>
    </row>
    <row r="14" spans="1:25" ht="43.5" customHeight="1" x14ac:dyDescent="0.25">
      <c r="A14" s="30" t="s">
        <v>32</v>
      </c>
      <c r="B14" s="2236" t="s">
        <v>27</v>
      </c>
      <c r="C14" s="2236"/>
      <c r="D14" s="30" t="s">
        <v>333</v>
      </c>
      <c r="E14" s="30" t="s">
        <v>65</v>
      </c>
      <c r="F14" s="30" t="s">
        <v>34</v>
      </c>
      <c r="G14" s="30" t="s">
        <v>14</v>
      </c>
      <c r="H14" s="469" t="s">
        <v>173</v>
      </c>
      <c r="I14" s="30" t="s">
        <v>17</v>
      </c>
      <c r="J14" s="1029" t="s">
        <v>174</v>
      </c>
      <c r="K14" s="30" t="s">
        <v>36</v>
      </c>
      <c r="L14" s="1029" t="s">
        <v>403</v>
      </c>
      <c r="M14" s="30" t="s">
        <v>429</v>
      </c>
      <c r="N14" s="30" t="s">
        <v>70</v>
      </c>
      <c r="O14" s="1029" t="s">
        <v>114</v>
      </c>
      <c r="P14" s="1029"/>
      <c r="Q14" s="2300" t="s">
        <v>378</v>
      </c>
      <c r="R14" s="2301"/>
      <c r="S14" s="1029" t="s">
        <v>401</v>
      </c>
      <c r="T14" s="2235" t="s">
        <v>46</v>
      </c>
      <c r="U14" s="1023" t="s">
        <v>176</v>
      </c>
      <c r="V14" s="2260">
        <v>170928</v>
      </c>
      <c r="W14" s="2268"/>
      <c r="X14" s="2261"/>
    </row>
    <row r="15" spans="1:25" ht="22.5" customHeight="1" x14ac:dyDescent="0.25">
      <c r="A15" s="100" t="s">
        <v>38</v>
      </c>
      <c r="B15" s="2260">
        <v>473562</v>
      </c>
      <c r="C15" s="2261"/>
      <c r="D15" s="1026">
        <v>447</v>
      </c>
      <c r="E15" s="1026">
        <v>60</v>
      </c>
      <c r="F15" s="1026">
        <v>10500</v>
      </c>
      <c r="G15" s="1026">
        <v>1000</v>
      </c>
      <c r="H15" s="1026">
        <v>371</v>
      </c>
      <c r="I15" s="1026">
        <v>130</v>
      </c>
      <c r="J15" s="1026">
        <v>5</v>
      </c>
      <c r="K15" s="1026">
        <v>59</v>
      </c>
      <c r="L15" s="1026">
        <v>8</v>
      </c>
      <c r="M15" s="1026">
        <v>100</v>
      </c>
      <c r="N15" s="1026">
        <v>100</v>
      </c>
      <c r="O15" s="1026">
        <v>0</v>
      </c>
      <c r="P15" s="1026"/>
      <c r="Q15" s="2260">
        <v>0</v>
      </c>
      <c r="R15" s="2261"/>
      <c r="S15" s="1023">
        <v>7</v>
      </c>
      <c r="T15" s="2235"/>
      <c r="U15" s="1023" t="s">
        <v>64</v>
      </c>
      <c r="V15" s="2262">
        <v>7406</v>
      </c>
      <c r="W15" s="2262"/>
      <c r="X15" s="2262"/>
    </row>
    <row r="16" spans="1:25" ht="24.75" customHeight="1" x14ac:dyDescent="0.25">
      <c r="A16" s="100" t="s">
        <v>39</v>
      </c>
      <c r="B16" s="2260"/>
      <c r="C16" s="2261"/>
      <c r="D16" s="1026"/>
      <c r="E16" s="1026"/>
      <c r="F16" s="1026"/>
      <c r="G16" s="1026"/>
      <c r="H16" s="1026"/>
      <c r="I16" s="1026"/>
      <c r="J16" s="1026"/>
      <c r="K16" s="1026"/>
      <c r="L16" s="1026"/>
      <c r="M16" s="1026"/>
      <c r="N16" s="1026"/>
      <c r="O16" s="1026"/>
      <c r="P16" s="1026"/>
      <c r="Q16" s="2225"/>
      <c r="R16" s="2225"/>
      <c r="S16" s="1026"/>
      <c r="T16" s="2254" t="s">
        <v>55</v>
      </c>
      <c r="U16" s="2254"/>
      <c r="V16" s="2267">
        <f>Y12</f>
        <v>196312.875</v>
      </c>
      <c r="W16" s="2267"/>
      <c r="X16" s="2262"/>
    </row>
    <row r="17" spans="1:25" ht="28.5" customHeight="1" x14ac:dyDescent="0.25">
      <c r="A17" s="101" t="s">
        <v>44</v>
      </c>
      <c r="B17" s="2260"/>
      <c r="C17" s="2261"/>
      <c r="D17" s="1026"/>
      <c r="E17" s="1026"/>
      <c r="F17" s="1026"/>
      <c r="G17" s="1026"/>
      <c r="H17" s="1026"/>
      <c r="I17" s="1026"/>
      <c r="J17" s="1026"/>
      <c r="K17" s="1026"/>
      <c r="L17" s="1026"/>
      <c r="M17" s="1026"/>
      <c r="N17" s="1026"/>
      <c r="O17" s="1026"/>
      <c r="P17" s="1026"/>
      <c r="Q17" s="2225"/>
      <c r="R17" s="2225"/>
      <c r="S17" s="1022"/>
      <c r="T17" s="2294" t="s">
        <v>434</v>
      </c>
      <c r="U17" s="2295"/>
      <c r="V17" s="2296">
        <v>40000</v>
      </c>
      <c r="W17" s="2296"/>
      <c r="X17" s="2296"/>
    </row>
    <row r="18" spans="1:25" ht="27" customHeight="1" x14ac:dyDescent="0.25">
      <c r="A18" s="100" t="s">
        <v>40</v>
      </c>
      <c r="B18" s="2264">
        <f>C12</f>
        <v>112150</v>
      </c>
      <c r="C18" s="2261"/>
      <c r="D18" s="1028">
        <f>E12</f>
        <v>0</v>
      </c>
      <c r="E18" s="1028">
        <f>G12</f>
        <v>0</v>
      </c>
      <c r="F18" s="1028">
        <f>I12</f>
        <v>4070</v>
      </c>
      <c r="G18" s="1028">
        <f>K12</f>
        <v>0</v>
      </c>
      <c r="H18" s="1026"/>
      <c r="I18" s="1028">
        <f>U12</f>
        <v>36</v>
      </c>
      <c r="J18" s="1026"/>
      <c r="K18" s="1028">
        <f>W12</f>
        <v>0</v>
      </c>
      <c r="L18" s="1026"/>
      <c r="M18" s="1028">
        <f>M12</f>
        <v>0</v>
      </c>
      <c r="N18" s="1028"/>
      <c r="O18" s="1027">
        <f>Q12</f>
        <v>0</v>
      </c>
      <c r="P18" s="1028"/>
      <c r="Q18" s="2262"/>
      <c r="R18" s="2262"/>
      <c r="S18" s="1023"/>
      <c r="T18" s="2254" t="s">
        <v>57</v>
      </c>
      <c r="U18" s="2254"/>
      <c r="V18" s="2262">
        <v>2230</v>
      </c>
      <c r="W18" s="2262"/>
      <c r="X18" s="2262"/>
      <c r="Y18" s="2269"/>
    </row>
    <row r="19" spans="1:25" ht="25.5" customHeight="1" x14ac:dyDescent="0.25">
      <c r="A19" s="100" t="s">
        <v>41</v>
      </c>
      <c r="B19" s="2260">
        <f>B15+B16+B17-B18</f>
        <v>361412</v>
      </c>
      <c r="C19" s="2261"/>
      <c r="D19" s="1026">
        <f>D15+D16+D17-D18</f>
        <v>447</v>
      </c>
      <c r="E19" s="1026">
        <f t="shared" ref="E19:N19" si="13">E15+E16+E17-E18</f>
        <v>60</v>
      </c>
      <c r="F19" s="1026">
        <f t="shared" si="13"/>
        <v>6430</v>
      </c>
      <c r="G19" s="1026">
        <f t="shared" si="13"/>
        <v>1000</v>
      </c>
      <c r="H19" s="1026">
        <f t="shared" si="13"/>
        <v>371</v>
      </c>
      <c r="I19" s="1026">
        <f t="shared" si="13"/>
        <v>94</v>
      </c>
      <c r="J19" s="1026">
        <f t="shared" si="13"/>
        <v>5</v>
      </c>
      <c r="K19" s="1026">
        <f t="shared" si="13"/>
        <v>59</v>
      </c>
      <c r="L19" s="1026">
        <f t="shared" si="13"/>
        <v>8</v>
      </c>
      <c r="M19" s="1026">
        <f t="shared" si="13"/>
        <v>100</v>
      </c>
      <c r="N19" s="1026">
        <f t="shared" si="13"/>
        <v>100</v>
      </c>
      <c r="O19" s="1026">
        <f>O15+O16+O17-O18</f>
        <v>0</v>
      </c>
      <c r="P19" s="1026">
        <f>P15+P16+P17-P18</f>
        <v>0</v>
      </c>
      <c r="Q19" s="2260">
        <f t="shared" ref="Q19" si="14">Q15+Q16+Q17-Q18</f>
        <v>0</v>
      </c>
      <c r="R19" s="2261"/>
      <c r="S19" s="1023">
        <f>S15+S16-S17-S18</f>
        <v>7</v>
      </c>
      <c r="T19" s="2256" t="s">
        <v>48</v>
      </c>
      <c r="U19" s="49" t="s">
        <v>58</v>
      </c>
      <c r="V19" s="2262">
        <v>350000</v>
      </c>
      <c r="W19" s="2262"/>
      <c r="X19" s="2262"/>
      <c r="Y19" s="2269"/>
    </row>
    <row r="20" spans="1:25" ht="23.25" customHeight="1" x14ac:dyDescent="0.25">
      <c r="A20" s="289" t="s">
        <v>187</v>
      </c>
      <c r="B20" s="2286">
        <f>B19*0.9625</f>
        <v>347859.05</v>
      </c>
      <c r="C20" s="2287"/>
      <c r="D20" s="290">
        <f>D19*66.41</f>
        <v>29685.269999999997</v>
      </c>
      <c r="E20" s="290">
        <f>27.9368*E19</f>
        <v>1676.2080000000001</v>
      </c>
      <c r="F20" s="290">
        <f>18.31*F19</f>
        <v>117733.29999999999</v>
      </c>
      <c r="G20" s="290">
        <f>27.9368*G19</f>
        <v>27936.800000000003</v>
      </c>
      <c r="H20" s="290">
        <f>241*H19</f>
        <v>89411</v>
      </c>
      <c r="I20" s="290">
        <f>323*I19</f>
        <v>30362</v>
      </c>
      <c r="J20" s="290">
        <f>241*J19</f>
        <v>1205</v>
      </c>
      <c r="K20" s="290">
        <f>K19*100</f>
        <v>5900</v>
      </c>
      <c r="L20" s="290">
        <f>241*L19</f>
        <v>1928</v>
      </c>
      <c r="M20" s="290">
        <f>47.1625*M19</f>
        <v>4716.25</v>
      </c>
      <c r="N20" s="290">
        <f>N19*48.2</f>
        <v>4820</v>
      </c>
      <c r="O20" s="290">
        <f>241*O19</f>
        <v>0</v>
      </c>
      <c r="P20" s="290">
        <f>241*P19</f>
        <v>0</v>
      </c>
      <c r="Q20" s="2286">
        <f>341*Q19</f>
        <v>0</v>
      </c>
      <c r="R20" s="2287"/>
      <c r="S20" s="290">
        <f>341*S19</f>
        <v>2387</v>
      </c>
      <c r="T20" s="2257"/>
      <c r="U20" s="49" t="s">
        <v>59</v>
      </c>
      <c r="V20" s="2262"/>
      <c r="W20" s="2262"/>
      <c r="X20" s="2262"/>
      <c r="Y20" s="2269"/>
    </row>
    <row r="21" spans="1:25" ht="32.25" customHeight="1" x14ac:dyDescent="0.25">
      <c r="A21" s="291" t="s">
        <v>186</v>
      </c>
      <c r="B21" s="2293">
        <f>SUM(B20:S20)</f>
        <v>665619.87800000003</v>
      </c>
      <c r="C21" s="2293"/>
      <c r="O21" s="1030"/>
      <c r="P21" s="1030"/>
      <c r="Q21" s="1030"/>
      <c r="R21" s="1030"/>
      <c r="T21" s="2294" t="s">
        <v>435</v>
      </c>
      <c r="U21" s="2295"/>
      <c r="V21" s="2297">
        <v>40000</v>
      </c>
      <c r="W21" s="2298"/>
      <c r="X21" s="2299"/>
      <c r="Y21" s="2269"/>
    </row>
    <row r="22" spans="1:25" ht="35.25" customHeight="1" x14ac:dyDescent="0.25">
      <c r="A22" s="15"/>
      <c r="B22" s="2288" t="s">
        <v>49</v>
      </c>
      <c r="C22" s="2291">
        <v>400000</v>
      </c>
      <c r="D22" s="2291">
        <v>350000</v>
      </c>
      <c r="E22" s="2291"/>
      <c r="F22" s="2291">
        <f>C22-D22+E22</f>
        <v>50000</v>
      </c>
      <c r="G22" s="1030"/>
      <c r="Q22" s="1030"/>
      <c r="R22" s="1030"/>
      <c r="T22" s="2251" t="s">
        <v>83</v>
      </c>
      <c r="U22" s="50" t="s">
        <v>60</v>
      </c>
      <c r="V22" s="2262">
        <v>354080</v>
      </c>
      <c r="W22" s="2262"/>
      <c r="X22" s="2262"/>
      <c r="Y22" s="2269"/>
    </row>
    <row r="23" spans="1:25" ht="39.75" customHeight="1" x14ac:dyDescent="0.25">
      <c r="A23" s="1030"/>
      <c r="B23" s="2289"/>
      <c r="C23" s="2292"/>
      <c r="D23" s="2292"/>
      <c r="E23" s="2292"/>
      <c r="F23" s="2292"/>
      <c r="G23" s="1030"/>
      <c r="Q23" s="1030"/>
      <c r="R23" s="1030"/>
      <c r="T23" s="2252"/>
      <c r="U23" s="50" t="s">
        <v>61</v>
      </c>
      <c r="V23" s="2262">
        <v>350000</v>
      </c>
      <c r="W23" s="2262"/>
      <c r="X23" s="2262"/>
      <c r="Y23" s="2269"/>
    </row>
    <row r="24" spans="1:25" ht="48" customHeight="1" x14ac:dyDescent="0.25">
      <c r="A24" s="1030"/>
      <c r="B24" s="2290"/>
      <c r="C24" s="290" t="s">
        <v>46</v>
      </c>
      <c r="D24" s="290" t="s">
        <v>50</v>
      </c>
      <c r="E24" s="290" t="s">
        <v>51</v>
      </c>
      <c r="F24" s="290" t="s">
        <v>52</v>
      </c>
      <c r="G24" s="1030"/>
      <c r="Q24" s="1030"/>
      <c r="R24" s="1030"/>
      <c r="T24" s="2235" t="s">
        <v>47</v>
      </c>
      <c r="U24" s="51" t="s">
        <v>62</v>
      </c>
      <c r="V24" s="2263">
        <f>V14+V16+V17-V18-V19-V20-V22+V23-V21</f>
        <v>10930.875</v>
      </c>
      <c r="W24" s="2263"/>
      <c r="X24" s="2263"/>
      <c r="Y24" s="2269"/>
    </row>
    <row r="25" spans="1:25" ht="40.5" customHeight="1" x14ac:dyDescent="0.25">
      <c r="T25" s="2235"/>
      <c r="U25" s="51" t="s">
        <v>63</v>
      </c>
      <c r="V25" s="2262">
        <f>V15+V22-V23</f>
        <v>11486</v>
      </c>
      <c r="W25" s="2262"/>
      <c r="X25" s="2262"/>
    </row>
    <row r="26" spans="1:25" ht="36" customHeight="1" x14ac:dyDescent="0.25">
      <c r="K26" s="314"/>
    </row>
    <row r="28" spans="1:25" x14ac:dyDescent="0.25">
      <c r="J28" s="14" t="s">
        <v>139</v>
      </c>
    </row>
    <row r="32" spans="1:25" x14ac:dyDescent="0.25">
      <c r="I32" s="2280"/>
      <c r="J32" s="2280"/>
      <c r="K32" s="2280"/>
      <c r="L32" s="2280"/>
    </row>
    <row r="33" spans="9:12" x14ac:dyDescent="0.25">
      <c r="I33" s="1030"/>
      <c r="J33" s="1030"/>
      <c r="K33" s="2280"/>
      <c r="L33" s="2280"/>
    </row>
  </sheetData>
  <mergeCells count="62">
    <mergeCell ref="A1:Y1"/>
    <mergeCell ref="A2:Y2"/>
    <mergeCell ref="T3:Y3"/>
    <mergeCell ref="A4:A5"/>
    <mergeCell ref="B4:B5"/>
    <mergeCell ref="C4:D4"/>
    <mergeCell ref="E4:F4"/>
    <mergeCell ref="G4:H4"/>
    <mergeCell ref="I4:J4"/>
    <mergeCell ref="K4:L4"/>
    <mergeCell ref="Y4:Y5"/>
    <mergeCell ref="M4:N4"/>
    <mergeCell ref="O4:P4"/>
    <mergeCell ref="Q4:R4"/>
    <mergeCell ref="S4:T4"/>
    <mergeCell ref="U4:V4"/>
    <mergeCell ref="W4:X4"/>
    <mergeCell ref="B16:C16"/>
    <mergeCell ref="Q16:R16"/>
    <mergeCell ref="T16:U16"/>
    <mergeCell ref="V16:X16"/>
    <mergeCell ref="A12:B12"/>
    <mergeCell ref="B14:C14"/>
    <mergeCell ref="Q14:R14"/>
    <mergeCell ref="T14:T15"/>
    <mergeCell ref="V14:X14"/>
    <mergeCell ref="B15:C15"/>
    <mergeCell ref="Q15:R15"/>
    <mergeCell ref="V15:X15"/>
    <mergeCell ref="B17:C17"/>
    <mergeCell ref="Q17:R17"/>
    <mergeCell ref="T17:U17"/>
    <mergeCell ref="V17:X17"/>
    <mergeCell ref="B18:C18"/>
    <mergeCell ref="Q18:R18"/>
    <mergeCell ref="T18:U18"/>
    <mergeCell ref="V18:X18"/>
    <mergeCell ref="Y18:Y24"/>
    <mergeCell ref="B19:C19"/>
    <mergeCell ref="Q19:R19"/>
    <mergeCell ref="T19:T20"/>
    <mergeCell ref="V19:X19"/>
    <mergeCell ref="B20:C20"/>
    <mergeCell ref="B22:B24"/>
    <mergeCell ref="C22:C23"/>
    <mergeCell ref="D22:D23"/>
    <mergeCell ref="E22:E23"/>
    <mergeCell ref="F22:F23"/>
    <mergeCell ref="Q20:R20"/>
    <mergeCell ref="V20:X20"/>
    <mergeCell ref="B21:C21"/>
    <mergeCell ref="T21:U21"/>
    <mergeCell ref="V21:X21"/>
    <mergeCell ref="I32:J32"/>
    <mergeCell ref="K32:L32"/>
    <mergeCell ref="K33:L33"/>
    <mergeCell ref="T22:T23"/>
    <mergeCell ref="V22:X22"/>
    <mergeCell ref="V23:X23"/>
    <mergeCell ref="T24:T25"/>
    <mergeCell ref="V24:X24"/>
    <mergeCell ref="V25:X25"/>
  </mergeCells>
  <pageMargins left="0.15748031496063" right="0.15748031496063" top="0" bottom="0" header="0" footer="0"/>
  <pageSetup paperSize="9" scale="45" orientation="landscape" r:id="rId1"/>
</worksheet>
</file>

<file path=xl/worksheets/sheet20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7D461A5-2D83-4A16-8394-78EC4438A105}">
  <sheetPr>
    <pageSetUpPr fitToPage="1"/>
  </sheetPr>
  <dimension ref="A1:Y33"/>
  <sheetViews>
    <sheetView topLeftCell="A12" zoomScale="70" zoomScaleNormal="70" zoomScaleSheetLayoutView="100" workbookViewId="0">
      <selection activeCell="I25" sqref="I25"/>
    </sheetView>
  </sheetViews>
  <sheetFormatPr defaultColWidth="9.140625" defaultRowHeight="15" x14ac:dyDescent="0.25"/>
  <cols>
    <col min="1" max="1" width="18.28515625" style="14" customWidth="1"/>
    <col min="2" max="2" width="10.7109375" style="14" customWidth="1"/>
    <col min="3" max="3" width="12.28515625" style="14" customWidth="1"/>
    <col min="4" max="4" width="13.140625" style="14" bestFit="1" customWidth="1"/>
    <col min="5" max="5" width="12" style="14" customWidth="1"/>
    <col min="6" max="6" width="12.5703125" style="14" bestFit="1" customWidth="1"/>
    <col min="7" max="7" width="16" style="14" bestFit="1" customWidth="1"/>
    <col min="8" max="8" width="10.140625" style="14" bestFit="1" customWidth="1"/>
    <col min="9" max="9" width="10.5703125" style="14" bestFit="1" customWidth="1"/>
    <col min="10" max="10" width="10.5703125" style="14" customWidth="1"/>
    <col min="11" max="11" width="10.28515625" style="14" bestFit="1" customWidth="1"/>
    <col min="12" max="12" width="10.42578125" style="14" bestFit="1" customWidth="1"/>
    <col min="13" max="13" width="12" style="14" bestFit="1" customWidth="1"/>
    <col min="14" max="14" width="10.140625" style="14" bestFit="1" customWidth="1"/>
    <col min="15" max="15" width="9" style="14" customWidth="1"/>
    <col min="16" max="16" width="12.85546875" style="14" bestFit="1" customWidth="1"/>
    <col min="17" max="18" width="9.42578125" style="14" customWidth="1"/>
    <col min="19" max="19" width="13.7109375" style="14" customWidth="1"/>
    <col min="20" max="20" width="12.140625" style="14" customWidth="1"/>
    <col min="21" max="21" width="21.7109375" style="14" customWidth="1"/>
    <col min="22" max="22" width="9.85546875" style="14" customWidth="1"/>
    <col min="23" max="23" width="10.140625" style="14" bestFit="1" customWidth="1"/>
    <col min="24" max="24" width="10.28515625" style="14" customWidth="1"/>
    <col min="25" max="25" width="28" style="14" customWidth="1"/>
    <col min="26" max="16384" width="9.140625" style="14"/>
  </cols>
  <sheetData>
    <row r="1" spans="1:25" ht="46.15" customHeight="1" x14ac:dyDescent="0.25">
      <c r="A1" s="2240" t="s">
        <v>148</v>
      </c>
      <c r="B1" s="2240"/>
      <c r="C1" s="2240"/>
      <c r="D1" s="2240"/>
      <c r="E1" s="2240"/>
      <c r="F1" s="2240"/>
      <c r="G1" s="2240"/>
      <c r="H1" s="2240"/>
      <c r="I1" s="2240"/>
      <c r="J1" s="2240"/>
      <c r="K1" s="2240"/>
      <c r="L1" s="2240"/>
      <c r="M1" s="2240"/>
      <c r="N1" s="2240"/>
      <c r="O1" s="2240"/>
      <c r="P1" s="2240"/>
      <c r="Q1" s="2240"/>
      <c r="R1" s="2240"/>
      <c r="S1" s="2240"/>
      <c r="T1" s="2240"/>
      <c r="U1" s="2240"/>
      <c r="V1" s="2240"/>
      <c r="W1" s="2240"/>
      <c r="X1" s="2240"/>
      <c r="Y1" s="2240"/>
    </row>
    <row r="2" spans="1:25" ht="21.6" customHeight="1" x14ac:dyDescent="0.25">
      <c r="A2" s="2241" t="s">
        <v>383</v>
      </c>
      <c r="B2" s="2241"/>
      <c r="C2" s="2241"/>
      <c r="D2" s="2241"/>
      <c r="E2" s="2241"/>
      <c r="F2" s="2241"/>
      <c r="G2" s="2241"/>
      <c r="H2" s="2241"/>
      <c r="I2" s="2241"/>
      <c r="J2" s="2241"/>
      <c r="K2" s="2241"/>
      <c r="L2" s="2241"/>
      <c r="M2" s="2241"/>
      <c r="N2" s="2241"/>
      <c r="O2" s="2241"/>
      <c r="P2" s="2241"/>
      <c r="Q2" s="2241"/>
      <c r="R2" s="2241"/>
      <c r="S2" s="2241"/>
      <c r="T2" s="2241"/>
      <c r="U2" s="2241"/>
      <c r="V2" s="2241"/>
      <c r="W2" s="2241"/>
      <c r="X2" s="2241"/>
      <c r="Y2" s="2241"/>
    </row>
    <row r="3" spans="1:25" ht="21" customHeight="1" x14ac:dyDescent="0.25">
      <c r="A3" s="1031"/>
      <c r="B3" s="1031"/>
      <c r="C3" s="1031"/>
      <c r="D3" s="1031"/>
      <c r="E3" s="1031"/>
      <c r="F3" s="1031"/>
      <c r="G3" s="1031"/>
      <c r="H3" s="1031"/>
      <c r="I3" s="1031"/>
      <c r="J3" s="1031"/>
      <c r="K3" s="1031"/>
      <c r="L3" s="1031"/>
      <c r="M3" s="1031"/>
      <c r="N3" s="1031"/>
      <c r="O3" s="1031"/>
      <c r="P3" s="1031"/>
      <c r="Q3" s="1031"/>
      <c r="R3" s="1031"/>
      <c r="S3" s="1031"/>
      <c r="T3" s="2242" t="s">
        <v>436</v>
      </c>
      <c r="U3" s="2242"/>
      <c r="V3" s="2242"/>
      <c r="W3" s="2242"/>
      <c r="X3" s="2242"/>
      <c r="Y3" s="2242"/>
    </row>
    <row r="4" spans="1:25" s="1031" customFormat="1" ht="18" customHeight="1" x14ac:dyDescent="0.25">
      <c r="A4" s="2243" t="s">
        <v>25</v>
      </c>
      <c r="B4" s="2243" t="s">
        <v>26</v>
      </c>
      <c r="C4" s="2244" t="s">
        <v>27</v>
      </c>
      <c r="D4" s="2244"/>
      <c r="E4" s="2244" t="s">
        <v>342</v>
      </c>
      <c r="F4" s="2244"/>
      <c r="G4" s="2244" t="s">
        <v>65</v>
      </c>
      <c r="H4" s="2244"/>
      <c r="I4" s="2244" t="s">
        <v>29</v>
      </c>
      <c r="J4" s="2244"/>
      <c r="K4" s="2245" t="s">
        <v>14</v>
      </c>
      <c r="L4" s="2246"/>
      <c r="M4" s="2245" t="s">
        <v>429</v>
      </c>
      <c r="N4" s="2246"/>
      <c r="O4" s="2245" t="s">
        <v>68</v>
      </c>
      <c r="P4" s="2246"/>
      <c r="Q4" s="2245" t="s">
        <v>114</v>
      </c>
      <c r="R4" s="2246"/>
      <c r="S4" s="2244" t="s">
        <v>35</v>
      </c>
      <c r="T4" s="2244"/>
      <c r="U4" s="2245" t="s">
        <v>17</v>
      </c>
      <c r="V4" s="2246"/>
      <c r="W4" s="2247" t="s">
        <v>36</v>
      </c>
      <c r="X4" s="2248"/>
      <c r="Y4" s="2238" t="s">
        <v>30</v>
      </c>
    </row>
    <row r="5" spans="1:25" s="1031" customFormat="1" ht="25.5" customHeight="1" x14ac:dyDescent="0.25">
      <c r="A5" s="2243"/>
      <c r="B5" s="2243"/>
      <c r="C5" s="1033" t="s">
        <v>42</v>
      </c>
      <c r="D5" s="1033" t="s">
        <v>43</v>
      </c>
      <c r="E5" s="1033" t="s">
        <v>42</v>
      </c>
      <c r="F5" s="1033" t="s">
        <v>43</v>
      </c>
      <c r="G5" s="1033" t="s">
        <v>42</v>
      </c>
      <c r="H5" s="1033" t="s">
        <v>43</v>
      </c>
      <c r="I5" s="1033" t="s">
        <v>42</v>
      </c>
      <c r="J5" s="1033" t="s">
        <v>43</v>
      </c>
      <c r="K5" s="1033" t="s">
        <v>42</v>
      </c>
      <c r="L5" s="1033" t="s">
        <v>43</v>
      </c>
      <c r="M5" s="1033" t="s">
        <v>42</v>
      </c>
      <c r="N5" s="1033" t="s">
        <v>43</v>
      </c>
      <c r="O5" s="1033" t="s">
        <v>42</v>
      </c>
      <c r="P5" s="1033" t="s">
        <v>43</v>
      </c>
      <c r="Q5" s="1033" t="s">
        <v>42</v>
      </c>
      <c r="R5" s="1033" t="s">
        <v>43</v>
      </c>
      <c r="S5" s="33" t="s">
        <v>42</v>
      </c>
      <c r="T5" s="33" t="s">
        <v>43</v>
      </c>
      <c r="U5" s="30" t="s">
        <v>42</v>
      </c>
      <c r="V5" s="30" t="s">
        <v>43</v>
      </c>
      <c r="W5" s="30" t="s">
        <v>42</v>
      </c>
      <c r="X5" s="30" t="s">
        <v>43</v>
      </c>
      <c r="Y5" s="2239"/>
    </row>
    <row r="6" spans="1:25" ht="34.5" customHeight="1" x14ac:dyDescent="0.25">
      <c r="A6" s="12">
        <v>1409935200</v>
      </c>
      <c r="B6" s="1032" t="s">
        <v>71</v>
      </c>
      <c r="C6" s="1035">
        <v>41278</v>
      </c>
      <c r="D6" s="1036">
        <f>0.9725*C6</f>
        <v>40142.855000000003</v>
      </c>
      <c r="E6" s="1035"/>
      <c r="F6" s="1035">
        <f>67.1*E6</f>
        <v>0</v>
      </c>
      <c r="G6" s="1035"/>
      <c r="H6" s="1035">
        <f>28.2*G6</f>
        <v>0</v>
      </c>
      <c r="I6" s="1035">
        <v>2240</v>
      </c>
      <c r="J6" s="1035">
        <f>18.5*I6</f>
        <v>41440</v>
      </c>
      <c r="K6" s="1035">
        <v>40</v>
      </c>
      <c r="L6" s="1035">
        <f>28.2368*K6</f>
        <v>1129.472</v>
      </c>
      <c r="M6" s="1035">
        <v>10</v>
      </c>
      <c r="N6" s="1036">
        <f>M6*47.6525</f>
        <v>476.52500000000003</v>
      </c>
      <c r="O6" s="1035"/>
      <c r="P6" s="1036">
        <f>O6*48.7</f>
        <v>0</v>
      </c>
      <c r="Q6" s="1036"/>
      <c r="R6" s="1036">
        <f>241*Q6</f>
        <v>0</v>
      </c>
      <c r="S6" s="1035"/>
      <c r="T6" s="1035">
        <f>241*S6</f>
        <v>0</v>
      </c>
      <c r="U6" s="1035"/>
      <c r="V6" s="1035">
        <f>332*U6</f>
        <v>0</v>
      </c>
      <c r="W6" s="1035"/>
      <c r="X6" s="19">
        <f>W6*100</f>
        <v>0</v>
      </c>
      <c r="Y6" s="20">
        <f t="shared" ref="Y6:Y12" si="0">D6+F6+H6+J6+L6+N6+P6+R6+T6+V6+X6</f>
        <v>83188.851999999999</v>
      </c>
    </row>
    <row r="7" spans="1:25" ht="31.5" customHeight="1" x14ac:dyDescent="0.25">
      <c r="A7" s="12">
        <v>1984225578</v>
      </c>
      <c r="B7" s="1032" t="s">
        <v>72</v>
      </c>
      <c r="C7" s="1035">
        <v>18084</v>
      </c>
      <c r="D7" s="1036">
        <f t="shared" ref="D7:D11" si="1">0.9725*C7</f>
        <v>17586.690000000002</v>
      </c>
      <c r="E7" s="1035"/>
      <c r="F7" s="1035">
        <f t="shared" ref="F7:F11" si="2">67.1*E7</f>
        <v>0</v>
      </c>
      <c r="G7" s="1035"/>
      <c r="H7" s="1035">
        <f t="shared" ref="H7:H11" si="3">28.2*G7</f>
        <v>0</v>
      </c>
      <c r="I7" s="1035"/>
      <c r="J7" s="1035">
        <f t="shared" ref="J7:J11" si="4">18.5*I7</f>
        <v>0</v>
      </c>
      <c r="K7" s="1035"/>
      <c r="L7" s="1035">
        <f t="shared" ref="L7:L11" si="5">28.2368*K7</f>
        <v>0</v>
      </c>
      <c r="M7" s="1035"/>
      <c r="N7" s="1036">
        <f t="shared" ref="N7:N11" si="6">M7*47.6525</f>
        <v>0</v>
      </c>
      <c r="O7" s="1035"/>
      <c r="P7" s="1036">
        <f t="shared" ref="P7:P11" si="7">O7*48.7</f>
        <v>0</v>
      </c>
      <c r="Q7" s="1036"/>
      <c r="R7" s="1036">
        <f t="shared" ref="R7:R11" si="8">241*Q7</f>
        <v>0</v>
      </c>
      <c r="S7" s="1035"/>
      <c r="T7" s="1035">
        <f t="shared" ref="T7:T10" si="9">241*S7</f>
        <v>0</v>
      </c>
      <c r="U7" s="1035">
        <v>2</v>
      </c>
      <c r="V7" s="1035">
        <f t="shared" ref="V7:V11" si="10">332*U7</f>
        <v>664</v>
      </c>
      <c r="W7" s="1035"/>
      <c r="X7" s="19">
        <f t="shared" ref="X7:X11" si="11">W7*100</f>
        <v>0</v>
      </c>
      <c r="Y7" s="20">
        <f t="shared" si="0"/>
        <v>18250.690000000002</v>
      </c>
    </row>
    <row r="8" spans="1:25" ht="35.25" customHeight="1" x14ac:dyDescent="0.25">
      <c r="A8" s="12">
        <v>1967020280</v>
      </c>
      <c r="B8" s="1032" t="s">
        <v>427</v>
      </c>
      <c r="C8" s="1035">
        <v>19648</v>
      </c>
      <c r="D8" s="1036">
        <f t="shared" si="1"/>
        <v>19107.68</v>
      </c>
      <c r="E8" s="1035"/>
      <c r="F8" s="1035">
        <f t="shared" si="2"/>
        <v>0</v>
      </c>
      <c r="G8" s="1035"/>
      <c r="H8" s="1035">
        <f t="shared" si="3"/>
        <v>0</v>
      </c>
      <c r="I8" s="1035">
        <v>1320</v>
      </c>
      <c r="J8" s="1035">
        <f t="shared" si="4"/>
        <v>24420</v>
      </c>
      <c r="K8" s="1035">
        <v>50</v>
      </c>
      <c r="L8" s="1035">
        <f t="shared" si="5"/>
        <v>1411.84</v>
      </c>
      <c r="M8" s="1035"/>
      <c r="N8" s="1036">
        <f t="shared" si="6"/>
        <v>0</v>
      </c>
      <c r="O8" s="1035"/>
      <c r="P8" s="1036">
        <f t="shared" si="7"/>
        <v>0</v>
      </c>
      <c r="Q8" s="1036"/>
      <c r="R8" s="1036">
        <f t="shared" si="8"/>
        <v>0</v>
      </c>
      <c r="S8" s="1035"/>
      <c r="T8" s="1035">
        <f t="shared" si="9"/>
        <v>0</v>
      </c>
      <c r="U8" s="1035"/>
      <c r="V8" s="1035">
        <f t="shared" si="10"/>
        <v>0</v>
      </c>
      <c r="W8" s="1035"/>
      <c r="X8" s="19">
        <f t="shared" si="11"/>
        <v>0</v>
      </c>
      <c r="Y8" s="20">
        <f t="shared" si="0"/>
        <v>44939.519999999997</v>
      </c>
    </row>
    <row r="9" spans="1:25" ht="38.25" customHeight="1" x14ac:dyDescent="0.25">
      <c r="A9" s="12">
        <v>1984225580</v>
      </c>
      <c r="B9" s="1032" t="s">
        <v>75</v>
      </c>
      <c r="C9" s="1035">
        <v>30418</v>
      </c>
      <c r="D9" s="1036">
        <f t="shared" si="1"/>
        <v>29581.505000000001</v>
      </c>
      <c r="E9" s="1035"/>
      <c r="F9" s="1035">
        <f t="shared" si="2"/>
        <v>0</v>
      </c>
      <c r="G9" s="1035"/>
      <c r="H9" s="1035">
        <f t="shared" si="3"/>
        <v>0</v>
      </c>
      <c r="I9" s="1035">
        <v>830</v>
      </c>
      <c r="J9" s="1035">
        <f t="shared" si="4"/>
        <v>15355</v>
      </c>
      <c r="K9" s="1035"/>
      <c r="L9" s="1035">
        <f t="shared" si="5"/>
        <v>0</v>
      </c>
      <c r="M9" s="1035"/>
      <c r="N9" s="1036">
        <f t="shared" si="6"/>
        <v>0</v>
      </c>
      <c r="O9" s="1035"/>
      <c r="P9" s="1036">
        <f t="shared" si="7"/>
        <v>0</v>
      </c>
      <c r="Q9" s="1036"/>
      <c r="R9" s="1036">
        <f t="shared" si="8"/>
        <v>0</v>
      </c>
      <c r="S9" s="1035"/>
      <c r="T9" s="1035">
        <f t="shared" si="9"/>
        <v>0</v>
      </c>
      <c r="U9" s="1035"/>
      <c r="V9" s="1035">
        <f t="shared" si="10"/>
        <v>0</v>
      </c>
      <c r="W9" s="1035"/>
      <c r="X9" s="19">
        <f t="shared" si="11"/>
        <v>0</v>
      </c>
      <c r="Y9" s="20">
        <f t="shared" si="0"/>
        <v>44936.505000000005</v>
      </c>
    </row>
    <row r="10" spans="1:25" ht="35.25" customHeight="1" x14ac:dyDescent="0.25">
      <c r="A10" s="12">
        <v>1409935199</v>
      </c>
      <c r="C10" s="1035"/>
      <c r="D10" s="1036">
        <f t="shared" si="1"/>
        <v>0</v>
      </c>
      <c r="E10" s="1035"/>
      <c r="F10" s="1035">
        <f t="shared" si="2"/>
        <v>0</v>
      </c>
      <c r="G10" s="1035"/>
      <c r="H10" s="1035">
        <f t="shared" si="3"/>
        <v>0</v>
      </c>
      <c r="I10" s="1035"/>
      <c r="J10" s="1035">
        <f t="shared" si="4"/>
        <v>0</v>
      </c>
      <c r="K10" s="1035"/>
      <c r="L10" s="1035">
        <f t="shared" si="5"/>
        <v>0</v>
      </c>
      <c r="M10" s="1035"/>
      <c r="N10" s="1036">
        <f t="shared" si="6"/>
        <v>0</v>
      </c>
      <c r="O10" s="1035"/>
      <c r="P10" s="1036">
        <f t="shared" si="7"/>
        <v>0</v>
      </c>
      <c r="Q10" s="1036"/>
      <c r="R10" s="1036">
        <f t="shared" si="8"/>
        <v>0</v>
      </c>
      <c r="S10" s="1035"/>
      <c r="T10" s="1035">
        <f t="shared" si="9"/>
        <v>0</v>
      </c>
      <c r="U10" s="1035"/>
      <c r="V10" s="1035">
        <f t="shared" si="10"/>
        <v>0</v>
      </c>
      <c r="W10" s="1035"/>
      <c r="X10" s="19">
        <f t="shared" si="11"/>
        <v>0</v>
      </c>
      <c r="Y10" s="20">
        <f t="shared" si="0"/>
        <v>0</v>
      </c>
    </row>
    <row r="11" spans="1:25" ht="37.5" customHeight="1" x14ac:dyDescent="0.25">
      <c r="A11" s="12"/>
      <c r="B11" s="1034"/>
      <c r="C11" s="1035"/>
      <c r="D11" s="1036">
        <f t="shared" si="1"/>
        <v>0</v>
      </c>
      <c r="E11" s="1035"/>
      <c r="F11" s="1035">
        <f t="shared" si="2"/>
        <v>0</v>
      </c>
      <c r="G11" s="1035"/>
      <c r="H11" s="1035">
        <f t="shared" si="3"/>
        <v>0</v>
      </c>
      <c r="I11" s="1035"/>
      <c r="J11" s="1035">
        <f t="shared" si="4"/>
        <v>0</v>
      </c>
      <c r="K11" s="1035"/>
      <c r="L11" s="1035">
        <f t="shared" si="5"/>
        <v>0</v>
      </c>
      <c r="M11" s="1035"/>
      <c r="N11" s="1036">
        <f t="shared" si="6"/>
        <v>0</v>
      </c>
      <c r="O11" s="1035"/>
      <c r="P11" s="1036">
        <f t="shared" si="7"/>
        <v>0</v>
      </c>
      <c r="Q11" s="1036"/>
      <c r="R11" s="1036">
        <f t="shared" si="8"/>
        <v>0</v>
      </c>
      <c r="S11" s="1035"/>
      <c r="T11" s="1035">
        <f>341*S11</f>
        <v>0</v>
      </c>
      <c r="U11" s="1035"/>
      <c r="V11" s="1035">
        <f t="shared" si="10"/>
        <v>0</v>
      </c>
      <c r="W11" s="1035"/>
      <c r="X11" s="19">
        <f t="shared" si="11"/>
        <v>0</v>
      </c>
      <c r="Y11" s="20">
        <f t="shared" si="0"/>
        <v>0</v>
      </c>
    </row>
    <row r="12" spans="1:25" ht="29.25" customHeight="1" x14ac:dyDescent="0.25">
      <c r="A12" s="2235" t="s">
        <v>31</v>
      </c>
      <c r="B12" s="2235"/>
      <c r="C12" s="18">
        <f t="shared" ref="C12:X12" si="12">SUM(C6:C11)</f>
        <v>109428</v>
      </c>
      <c r="D12" s="18">
        <f t="shared" si="12"/>
        <v>106418.73000000001</v>
      </c>
      <c r="E12" s="18">
        <f t="shared" si="12"/>
        <v>0</v>
      </c>
      <c r="F12" s="18">
        <f t="shared" si="12"/>
        <v>0</v>
      </c>
      <c r="G12" s="18">
        <f t="shared" si="12"/>
        <v>0</v>
      </c>
      <c r="H12" s="18">
        <f t="shared" si="12"/>
        <v>0</v>
      </c>
      <c r="I12" s="18">
        <f t="shared" si="12"/>
        <v>4390</v>
      </c>
      <c r="J12" s="18">
        <f t="shared" si="12"/>
        <v>81215</v>
      </c>
      <c r="K12" s="18">
        <f t="shared" si="12"/>
        <v>90</v>
      </c>
      <c r="L12" s="18">
        <f t="shared" si="12"/>
        <v>2541.3119999999999</v>
      </c>
      <c r="M12" s="18">
        <f t="shared" si="12"/>
        <v>10</v>
      </c>
      <c r="N12" s="23">
        <f t="shared" si="12"/>
        <v>476.52500000000003</v>
      </c>
      <c r="O12" s="18">
        <f t="shared" si="12"/>
        <v>0</v>
      </c>
      <c r="P12" s="23">
        <f t="shared" si="12"/>
        <v>0</v>
      </c>
      <c r="Q12" s="23">
        <f t="shared" si="12"/>
        <v>0</v>
      </c>
      <c r="R12" s="23">
        <f>SUM(R6:R11)</f>
        <v>0</v>
      </c>
      <c r="S12" s="23">
        <f>SUM(S6:S11)</f>
        <v>0</v>
      </c>
      <c r="T12" s="18">
        <f t="shared" si="12"/>
        <v>0</v>
      </c>
      <c r="U12" s="18">
        <f t="shared" si="12"/>
        <v>2</v>
      </c>
      <c r="V12" s="18">
        <f t="shared" si="12"/>
        <v>664</v>
      </c>
      <c r="W12" s="18">
        <f t="shared" si="12"/>
        <v>0</v>
      </c>
      <c r="X12" s="18">
        <f t="shared" si="12"/>
        <v>0</v>
      </c>
      <c r="Y12" s="20">
        <f t="shared" si="0"/>
        <v>191315.56700000001</v>
      </c>
    </row>
    <row r="14" spans="1:25" ht="43.5" customHeight="1" x14ac:dyDescent="0.25">
      <c r="A14" s="30" t="s">
        <v>32</v>
      </c>
      <c r="B14" s="2236" t="s">
        <v>27</v>
      </c>
      <c r="C14" s="2236"/>
      <c r="D14" s="30" t="s">
        <v>333</v>
      </c>
      <c r="E14" s="30" t="s">
        <v>65</v>
      </c>
      <c r="F14" s="30" t="s">
        <v>34</v>
      </c>
      <c r="G14" s="30" t="s">
        <v>14</v>
      </c>
      <c r="H14" s="469" t="s">
        <v>173</v>
      </c>
      <c r="I14" s="30" t="s">
        <v>17</v>
      </c>
      <c r="J14" s="1040" t="s">
        <v>174</v>
      </c>
      <c r="K14" s="30" t="s">
        <v>36</v>
      </c>
      <c r="L14" s="1040" t="s">
        <v>403</v>
      </c>
      <c r="M14" s="30" t="s">
        <v>429</v>
      </c>
      <c r="N14" s="30" t="s">
        <v>70</v>
      </c>
      <c r="O14" s="1040" t="s">
        <v>114</v>
      </c>
      <c r="P14" s="1040" t="s">
        <v>439</v>
      </c>
      <c r="Q14" s="2300" t="s">
        <v>378</v>
      </c>
      <c r="R14" s="2301"/>
      <c r="S14" s="1040" t="s">
        <v>401</v>
      </c>
      <c r="T14" s="2235" t="s">
        <v>46</v>
      </c>
      <c r="U14" s="1032" t="s">
        <v>176</v>
      </c>
      <c r="V14" s="2260">
        <v>10931</v>
      </c>
      <c r="W14" s="2268"/>
      <c r="X14" s="2261"/>
    </row>
    <row r="15" spans="1:25" ht="22.5" customHeight="1" x14ac:dyDescent="0.25">
      <c r="A15" s="100" t="s">
        <v>38</v>
      </c>
      <c r="B15" s="2260">
        <v>361412</v>
      </c>
      <c r="C15" s="2261"/>
      <c r="D15" s="1037">
        <v>447</v>
      </c>
      <c r="E15" s="1037">
        <v>60</v>
      </c>
      <c r="F15" s="1037">
        <v>6430</v>
      </c>
      <c r="G15" s="1037">
        <v>1000</v>
      </c>
      <c r="H15" s="1037">
        <v>371</v>
      </c>
      <c r="I15" s="1037">
        <v>94</v>
      </c>
      <c r="J15" s="1037">
        <v>5</v>
      </c>
      <c r="K15" s="1037">
        <v>59</v>
      </c>
      <c r="L15" s="1037">
        <v>8</v>
      </c>
      <c r="M15" s="1037">
        <v>100</v>
      </c>
      <c r="N15" s="1037">
        <v>100</v>
      </c>
      <c r="O15" s="1037">
        <v>0</v>
      </c>
      <c r="P15" s="1037"/>
      <c r="Q15" s="2260">
        <v>0</v>
      </c>
      <c r="R15" s="2261"/>
      <c r="S15" s="1032">
        <v>7</v>
      </c>
      <c r="T15" s="2235"/>
      <c r="U15" s="1032" t="s">
        <v>64</v>
      </c>
      <c r="V15" s="2262">
        <v>11486</v>
      </c>
      <c r="W15" s="2262"/>
      <c r="X15" s="2262"/>
    </row>
    <row r="16" spans="1:25" ht="24.75" customHeight="1" x14ac:dyDescent="0.25">
      <c r="A16" s="100" t="s">
        <v>39</v>
      </c>
      <c r="B16" s="2260">
        <v>109091</v>
      </c>
      <c r="C16" s="2261"/>
      <c r="D16" s="1037"/>
      <c r="E16" s="1037"/>
      <c r="F16" s="1037"/>
      <c r="G16" s="1037"/>
      <c r="H16" s="1037"/>
      <c r="I16" s="1037"/>
      <c r="J16" s="1037"/>
      <c r="K16" s="1037"/>
      <c r="L16" s="1037"/>
      <c r="M16" s="1037"/>
      <c r="N16" s="1037"/>
      <c r="O16" s="1037"/>
      <c r="P16" s="1037">
        <v>20000</v>
      </c>
      <c r="Q16" s="2225"/>
      <c r="R16" s="2225"/>
      <c r="S16" s="1037"/>
      <c r="T16" s="2254" t="s">
        <v>55</v>
      </c>
      <c r="U16" s="2254"/>
      <c r="V16" s="2267">
        <f>Y12</f>
        <v>191315.56700000001</v>
      </c>
      <c r="W16" s="2267"/>
      <c r="X16" s="2262"/>
    </row>
    <row r="17" spans="1:25" ht="28.5" customHeight="1" x14ac:dyDescent="0.25">
      <c r="A17" s="101" t="s">
        <v>44</v>
      </c>
      <c r="B17" s="2260"/>
      <c r="C17" s="2261"/>
      <c r="D17" s="1037"/>
      <c r="E17" s="1037"/>
      <c r="F17" s="1037"/>
      <c r="G17" s="1037"/>
      <c r="H17" s="1037"/>
      <c r="I17" s="1037"/>
      <c r="J17" s="1037"/>
      <c r="K17" s="1037"/>
      <c r="L17" s="1037"/>
      <c r="M17" s="1037"/>
      <c r="N17" s="1037"/>
      <c r="O17" s="1037"/>
      <c r="P17" s="1037"/>
      <c r="Q17" s="2225"/>
      <c r="R17" s="2225"/>
      <c r="S17" s="1034"/>
      <c r="T17" s="2294" t="s">
        <v>437</v>
      </c>
      <c r="U17" s="2295"/>
      <c r="V17" s="2296">
        <v>10000</v>
      </c>
      <c r="W17" s="2296"/>
      <c r="X17" s="2296"/>
    </row>
    <row r="18" spans="1:25" ht="27" customHeight="1" x14ac:dyDescent="0.25">
      <c r="A18" s="100" t="s">
        <v>40</v>
      </c>
      <c r="B18" s="2264">
        <f>C12</f>
        <v>109428</v>
      </c>
      <c r="C18" s="2261"/>
      <c r="D18" s="1038">
        <f>E12</f>
        <v>0</v>
      </c>
      <c r="E18" s="1038">
        <f>G12</f>
        <v>0</v>
      </c>
      <c r="F18" s="1038">
        <f>I12</f>
        <v>4390</v>
      </c>
      <c r="G18" s="1038">
        <f>K12</f>
        <v>90</v>
      </c>
      <c r="H18" s="1037"/>
      <c r="I18" s="1038">
        <f>U12</f>
        <v>2</v>
      </c>
      <c r="J18" s="1037"/>
      <c r="K18" s="1038">
        <f>W12</f>
        <v>0</v>
      </c>
      <c r="L18" s="1037"/>
      <c r="M18" s="1038">
        <f>M12</f>
        <v>10</v>
      </c>
      <c r="N18" s="1038"/>
      <c r="O18" s="1039">
        <f>Q12</f>
        <v>0</v>
      </c>
      <c r="P18" s="1038"/>
      <c r="Q18" s="2262"/>
      <c r="R18" s="2262"/>
      <c r="S18" s="1032"/>
      <c r="T18" s="2254" t="s">
        <v>57</v>
      </c>
      <c r="U18" s="2254"/>
      <c r="V18" s="2262">
        <v>3370</v>
      </c>
      <c r="W18" s="2262"/>
      <c r="X18" s="2262"/>
      <c r="Y18" s="2269"/>
    </row>
    <row r="19" spans="1:25" ht="25.5" customHeight="1" x14ac:dyDescent="0.25">
      <c r="A19" s="100" t="s">
        <v>41</v>
      </c>
      <c r="B19" s="2260">
        <f>B15+B16+B17-B18</f>
        <v>361075</v>
      </c>
      <c r="C19" s="2261"/>
      <c r="D19" s="1037">
        <f>D15+D16+D17-D18</f>
        <v>447</v>
      </c>
      <c r="E19" s="1037">
        <f t="shared" ref="E19:N19" si="13">E15+E16+E17-E18</f>
        <v>60</v>
      </c>
      <c r="F19" s="1037">
        <f t="shared" si="13"/>
        <v>2040</v>
      </c>
      <c r="G19" s="1037">
        <f t="shared" si="13"/>
        <v>910</v>
      </c>
      <c r="H19" s="1037">
        <f t="shared" si="13"/>
        <v>371</v>
      </c>
      <c r="I19" s="1037">
        <f t="shared" si="13"/>
        <v>92</v>
      </c>
      <c r="J19" s="1037">
        <f t="shared" si="13"/>
        <v>5</v>
      </c>
      <c r="K19" s="1037">
        <f t="shared" si="13"/>
        <v>59</v>
      </c>
      <c r="L19" s="1037">
        <f t="shared" si="13"/>
        <v>8</v>
      </c>
      <c r="M19" s="1037">
        <f t="shared" si="13"/>
        <v>90</v>
      </c>
      <c r="N19" s="1037">
        <f t="shared" si="13"/>
        <v>100</v>
      </c>
      <c r="O19" s="1037">
        <f>O15+O16+O17-O18</f>
        <v>0</v>
      </c>
      <c r="P19" s="1037">
        <f>P15+P16+P17-P18</f>
        <v>20000</v>
      </c>
      <c r="Q19" s="2260">
        <f t="shared" ref="Q19" si="14">Q15+Q16+Q17-Q18</f>
        <v>0</v>
      </c>
      <c r="R19" s="2261"/>
      <c r="S19" s="1032">
        <f>S15+S16-S17-S18</f>
        <v>7</v>
      </c>
      <c r="T19" s="2256" t="s">
        <v>48</v>
      </c>
      <c r="U19" s="49" t="s">
        <v>58</v>
      </c>
      <c r="V19" s="2262">
        <v>50000</v>
      </c>
      <c r="W19" s="2262"/>
      <c r="X19" s="2262"/>
      <c r="Y19" s="2269"/>
    </row>
    <row r="20" spans="1:25" ht="23.25" customHeight="1" x14ac:dyDescent="0.25">
      <c r="A20" s="289" t="s">
        <v>187</v>
      </c>
      <c r="B20" s="2286">
        <f>B19*0.9625</f>
        <v>347534.6875</v>
      </c>
      <c r="C20" s="2287"/>
      <c r="D20" s="290">
        <f>D19*66.41</f>
        <v>29685.269999999997</v>
      </c>
      <c r="E20" s="290">
        <f>27.9368*E19</f>
        <v>1676.2080000000001</v>
      </c>
      <c r="F20" s="290">
        <f>18.31*F19</f>
        <v>37352.399999999994</v>
      </c>
      <c r="G20" s="290">
        <f>27.9368*G19</f>
        <v>25422.488000000001</v>
      </c>
      <c r="H20" s="290">
        <f>241*H19</f>
        <v>89411</v>
      </c>
      <c r="I20" s="290">
        <f>323*I19</f>
        <v>29716</v>
      </c>
      <c r="J20" s="290">
        <f>241*J19</f>
        <v>1205</v>
      </c>
      <c r="K20" s="290">
        <f>K19*100</f>
        <v>5900</v>
      </c>
      <c r="L20" s="290">
        <f>241*L19</f>
        <v>1928</v>
      </c>
      <c r="M20" s="290">
        <f>47.1625*M19</f>
        <v>4244.625</v>
      </c>
      <c r="N20" s="290">
        <f>N19*48.2</f>
        <v>4820</v>
      </c>
      <c r="O20" s="290">
        <f>241*O19</f>
        <v>0</v>
      </c>
      <c r="P20" s="290">
        <f>8.81*P19</f>
        <v>176200</v>
      </c>
      <c r="Q20" s="2286">
        <f>341*Q19</f>
        <v>0</v>
      </c>
      <c r="R20" s="2287"/>
      <c r="S20" s="290">
        <f>341*S19</f>
        <v>2387</v>
      </c>
      <c r="T20" s="2257"/>
      <c r="U20" s="49" t="s">
        <v>59</v>
      </c>
      <c r="V20" s="2262"/>
      <c r="W20" s="2262"/>
      <c r="X20" s="2262"/>
      <c r="Y20" s="2269"/>
    </row>
    <row r="21" spans="1:25" ht="32.25" customHeight="1" x14ac:dyDescent="0.25">
      <c r="A21" s="291" t="s">
        <v>186</v>
      </c>
      <c r="B21" s="2293">
        <f>SUM(B20:S20)</f>
        <v>757482.67850000004</v>
      </c>
      <c r="C21" s="2293"/>
      <c r="O21" s="1041"/>
      <c r="P21" s="1041"/>
      <c r="Q21" s="1041"/>
      <c r="R21" s="1041"/>
      <c r="T21" s="2294" t="s">
        <v>438</v>
      </c>
      <c r="U21" s="2295"/>
      <c r="V21" s="2297">
        <v>10000</v>
      </c>
      <c r="W21" s="2298"/>
      <c r="X21" s="2299"/>
      <c r="Y21" s="2269"/>
    </row>
    <row r="22" spans="1:25" ht="35.25" customHeight="1" x14ac:dyDescent="0.25">
      <c r="A22" s="15"/>
      <c r="B22" s="2288" t="s">
        <v>49</v>
      </c>
      <c r="C22" s="2291">
        <v>50000</v>
      </c>
      <c r="D22" s="2291">
        <v>50000</v>
      </c>
      <c r="E22" s="2291">
        <v>281200</v>
      </c>
      <c r="F22" s="2291">
        <f>C22-D22+E22</f>
        <v>281200</v>
      </c>
      <c r="G22" s="1041"/>
      <c r="Q22" s="1041"/>
      <c r="R22" s="1041"/>
      <c r="T22" s="2251" t="s">
        <v>83</v>
      </c>
      <c r="U22" s="50" t="s">
        <v>60</v>
      </c>
      <c r="V22" s="2262">
        <v>192370</v>
      </c>
      <c r="W22" s="2262"/>
      <c r="X22" s="2262"/>
      <c r="Y22" s="2269"/>
    </row>
    <row r="23" spans="1:25" ht="39.75" customHeight="1" x14ac:dyDescent="0.25">
      <c r="A23" s="1041"/>
      <c r="B23" s="2289"/>
      <c r="C23" s="2292"/>
      <c r="D23" s="2292"/>
      <c r="E23" s="2292"/>
      <c r="F23" s="2292"/>
      <c r="G23" s="1041"/>
      <c r="Q23" s="1041"/>
      <c r="R23" s="1041"/>
      <c r="T23" s="2252"/>
      <c r="U23" s="50" t="s">
        <v>61</v>
      </c>
      <c r="V23" s="2262">
        <v>60000</v>
      </c>
      <c r="W23" s="2262"/>
      <c r="X23" s="2262"/>
      <c r="Y23" s="2269"/>
    </row>
    <row r="24" spans="1:25" ht="48" customHeight="1" x14ac:dyDescent="0.25">
      <c r="A24" s="1041"/>
      <c r="B24" s="2290"/>
      <c r="C24" s="290" t="s">
        <v>46</v>
      </c>
      <c r="D24" s="290" t="s">
        <v>50</v>
      </c>
      <c r="E24" s="290" t="s">
        <v>51</v>
      </c>
      <c r="F24" s="290" t="s">
        <v>52</v>
      </c>
      <c r="G24" s="1041"/>
      <c r="Q24" s="1041"/>
      <c r="R24" s="1041"/>
      <c r="T24" s="2235" t="s">
        <v>47</v>
      </c>
      <c r="U24" s="51" t="s">
        <v>62</v>
      </c>
      <c r="V24" s="2263">
        <f>V14+V16+V17-V18-V19-V20-V22+V23-V21</f>
        <v>16506.56700000001</v>
      </c>
      <c r="W24" s="2263"/>
      <c r="X24" s="2263"/>
      <c r="Y24" s="2269"/>
    </row>
    <row r="25" spans="1:25" ht="40.5" customHeight="1" x14ac:dyDescent="0.25">
      <c r="T25" s="2235"/>
      <c r="U25" s="51" t="s">
        <v>63</v>
      </c>
      <c r="V25" s="2262">
        <f>V15+V22-V23</f>
        <v>143856</v>
      </c>
      <c r="W25" s="2262"/>
      <c r="X25" s="2262"/>
    </row>
    <row r="26" spans="1:25" ht="36" customHeight="1" x14ac:dyDescent="0.25">
      <c r="K26" s="314"/>
    </row>
    <row r="28" spans="1:25" x14ac:dyDescent="0.25">
      <c r="J28" s="14" t="s">
        <v>139</v>
      </c>
    </row>
    <row r="32" spans="1:25" x14ac:dyDescent="0.25">
      <c r="I32" s="2280"/>
      <c r="J32" s="2280"/>
      <c r="K32" s="2280"/>
      <c r="L32" s="2280"/>
    </row>
    <row r="33" spans="9:12" x14ac:dyDescent="0.25">
      <c r="I33" s="1041"/>
      <c r="J33" s="1041"/>
      <c r="K33" s="2280"/>
      <c r="L33" s="2280"/>
    </row>
  </sheetData>
  <mergeCells count="62">
    <mergeCell ref="I32:J32"/>
    <mergeCell ref="K32:L32"/>
    <mergeCell ref="K33:L33"/>
    <mergeCell ref="T22:T23"/>
    <mergeCell ref="V22:X22"/>
    <mergeCell ref="V23:X23"/>
    <mergeCell ref="T24:T25"/>
    <mergeCell ref="V24:X24"/>
    <mergeCell ref="V25:X25"/>
    <mergeCell ref="Y18:Y24"/>
    <mergeCell ref="B19:C19"/>
    <mergeCell ref="Q19:R19"/>
    <mergeCell ref="T19:T20"/>
    <mergeCell ref="V19:X19"/>
    <mergeCell ref="B20:C20"/>
    <mergeCell ref="B22:B24"/>
    <mergeCell ref="C22:C23"/>
    <mergeCell ref="D22:D23"/>
    <mergeCell ref="E22:E23"/>
    <mergeCell ref="F22:F23"/>
    <mergeCell ref="Q20:R20"/>
    <mergeCell ref="V20:X20"/>
    <mergeCell ref="B21:C21"/>
    <mergeCell ref="T21:U21"/>
    <mergeCell ref="V21:X21"/>
    <mergeCell ref="B17:C17"/>
    <mergeCell ref="Q17:R17"/>
    <mergeCell ref="T17:U17"/>
    <mergeCell ref="V17:X17"/>
    <mergeCell ref="B18:C18"/>
    <mergeCell ref="Q18:R18"/>
    <mergeCell ref="T18:U18"/>
    <mergeCell ref="V18:X18"/>
    <mergeCell ref="W4:X4"/>
    <mergeCell ref="B16:C16"/>
    <mergeCell ref="Q16:R16"/>
    <mergeCell ref="T16:U16"/>
    <mergeCell ref="V16:X16"/>
    <mergeCell ref="A12:B12"/>
    <mergeCell ref="B14:C14"/>
    <mergeCell ref="Q14:R14"/>
    <mergeCell ref="T14:T15"/>
    <mergeCell ref="V14:X14"/>
    <mergeCell ref="B15:C15"/>
    <mergeCell ref="Q15:R15"/>
    <mergeCell ref="V15:X15"/>
    <mergeCell ref="A1:Y1"/>
    <mergeCell ref="A2:Y2"/>
    <mergeCell ref="T3:Y3"/>
    <mergeCell ref="A4:A5"/>
    <mergeCell ref="B4:B5"/>
    <mergeCell ref="C4:D4"/>
    <mergeCell ref="E4:F4"/>
    <mergeCell ref="G4:H4"/>
    <mergeCell ref="I4:J4"/>
    <mergeCell ref="K4:L4"/>
    <mergeCell ref="Y4:Y5"/>
    <mergeCell ref="M4:N4"/>
    <mergeCell ref="O4:P4"/>
    <mergeCell ref="Q4:R4"/>
    <mergeCell ref="S4:T4"/>
    <mergeCell ref="U4:V4"/>
  </mergeCells>
  <pageMargins left="0.15748031496063" right="0.15748031496063" top="0" bottom="0" header="0" footer="0"/>
  <pageSetup paperSize="9" scale="45" orientation="landscape" r:id="rId1"/>
</worksheet>
</file>

<file path=xl/worksheets/sheet20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0399757-04C9-4FA0-B81C-DC3D23736D7A}">
  <sheetPr>
    <pageSetUpPr fitToPage="1"/>
  </sheetPr>
  <dimension ref="A1:Y33"/>
  <sheetViews>
    <sheetView topLeftCell="A8" zoomScale="70" zoomScaleNormal="70" zoomScaleSheetLayoutView="100" workbookViewId="0">
      <selection activeCell="N25" sqref="N25"/>
    </sheetView>
  </sheetViews>
  <sheetFormatPr defaultColWidth="9.140625" defaultRowHeight="15" x14ac:dyDescent="0.25"/>
  <cols>
    <col min="1" max="1" width="18.28515625" style="14" customWidth="1"/>
    <col min="2" max="2" width="10.7109375" style="14" customWidth="1"/>
    <col min="3" max="3" width="12.28515625" style="14" customWidth="1"/>
    <col min="4" max="4" width="13.140625" style="14" bestFit="1" customWidth="1"/>
    <col min="5" max="5" width="12" style="14" customWidth="1"/>
    <col min="6" max="6" width="12.5703125" style="14" bestFit="1" customWidth="1"/>
    <col min="7" max="7" width="16" style="14" bestFit="1" customWidth="1"/>
    <col min="8" max="8" width="10.140625" style="14" bestFit="1" customWidth="1"/>
    <col min="9" max="9" width="10.5703125" style="14" bestFit="1" customWidth="1"/>
    <col min="10" max="10" width="10.5703125" style="14" customWidth="1"/>
    <col min="11" max="11" width="10.28515625" style="14" bestFit="1" customWidth="1"/>
    <col min="12" max="12" width="10.42578125" style="14" bestFit="1" customWidth="1"/>
    <col min="13" max="14" width="12" style="14" bestFit="1" customWidth="1"/>
    <col min="15" max="15" width="9" style="14" customWidth="1"/>
    <col min="16" max="16" width="12.85546875" style="14" bestFit="1" customWidth="1"/>
    <col min="17" max="18" width="9.42578125" style="14" customWidth="1"/>
    <col min="19" max="19" width="13.7109375" style="14" customWidth="1"/>
    <col min="20" max="20" width="12.140625" style="14" customWidth="1"/>
    <col min="21" max="21" width="21.7109375" style="14" customWidth="1"/>
    <col min="22" max="22" width="9.85546875" style="14" customWidth="1"/>
    <col min="23" max="23" width="10.140625" style="14" bestFit="1" customWidth="1"/>
    <col min="24" max="24" width="10.28515625" style="14" customWidth="1"/>
    <col min="25" max="25" width="28" style="14" customWidth="1"/>
    <col min="26" max="16384" width="9.140625" style="14"/>
  </cols>
  <sheetData>
    <row r="1" spans="1:25" ht="46.15" customHeight="1" x14ac:dyDescent="0.25">
      <c r="A1" s="2240" t="s">
        <v>148</v>
      </c>
      <c r="B1" s="2240"/>
      <c r="C1" s="2240"/>
      <c r="D1" s="2240"/>
      <c r="E1" s="2240"/>
      <c r="F1" s="2240"/>
      <c r="G1" s="2240"/>
      <c r="H1" s="2240"/>
      <c r="I1" s="2240"/>
      <c r="J1" s="2240"/>
      <c r="K1" s="2240"/>
      <c r="L1" s="2240"/>
      <c r="M1" s="2240"/>
      <c r="N1" s="2240"/>
      <c r="O1" s="2240"/>
      <c r="P1" s="2240"/>
      <c r="Q1" s="2240"/>
      <c r="R1" s="2240"/>
      <c r="S1" s="2240"/>
      <c r="T1" s="2240"/>
      <c r="U1" s="2240"/>
      <c r="V1" s="2240"/>
      <c r="W1" s="2240"/>
      <c r="X1" s="2240"/>
      <c r="Y1" s="2240"/>
    </row>
    <row r="2" spans="1:25" ht="21.6" customHeight="1" x14ac:dyDescent="0.25">
      <c r="A2" s="2241" t="s">
        <v>383</v>
      </c>
      <c r="B2" s="2241"/>
      <c r="C2" s="2241"/>
      <c r="D2" s="2241"/>
      <c r="E2" s="2241"/>
      <c r="F2" s="2241"/>
      <c r="G2" s="2241"/>
      <c r="H2" s="2241"/>
      <c r="I2" s="2241"/>
      <c r="J2" s="2241"/>
      <c r="K2" s="2241"/>
      <c r="L2" s="2241"/>
      <c r="M2" s="2241"/>
      <c r="N2" s="2241"/>
      <c r="O2" s="2241"/>
      <c r="P2" s="2241"/>
      <c r="Q2" s="2241"/>
      <c r="R2" s="2241"/>
      <c r="S2" s="2241"/>
      <c r="T2" s="2241"/>
      <c r="U2" s="2241"/>
      <c r="V2" s="2241"/>
      <c r="W2" s="2241"/>
      <c r="X2" s="2241"/>
      <c r="Y2" s="2241"/>
    </row>
    <row r="3" spans="1:25" ht="21" customHeight="1" x14ac:dyDescent="0.25">
      <c r="A3" s="1047"/>
      <c r="B3" s="1047"/>
      <c r="C3" s="1047"/>
      <c r="D3" s="1047"/>
      <c r="E3" s="1047"/>
      <c r="F3" s="1047"/>
      <c r="G3" s="1047"/>
      <c r="H3" s="1047"/>
      <c r="I3" s="1047"/>
      <c r="J3" s="1047"/>
      <c r="K3" s="1047"/>
      <c r="L3" s="1047"/>
      <c r="M3" s="1047"/>
      <c r="N3" s="1047"/>
      <c r="O3" s="1047"/>
      <c r="P3" s="1047"/>
      <c r="Q3" s="1047"/>
      <c r="R3" s="1047"/>
      <c r="S3" s="1047"/>
      <c r="T3" s="2242" t="s">
        <v>440</v>
      </c>
      <c r="U3" s="2242"/>
      <c r="V3" s="2242"/>
      <c r="W3" s="2242"/>
      <c r="X3" s="2242"/>
      <c r="Y3" s="2242"/>
    </row>
    <row r="4" spans="1:25" s="1047" customFormat="1" ht="18" customHeight="1" x14ac:dyDescent="0.25">
      <c r="A4" s="2243" t="s">
        <v>25</v>
      </c>
      <c r="B4" s="2243" t="s">
        <v>26</v>
      </c>
      <c r="C4" s="2244" t="s">
        <v>27</v>
      </c>
      <c r="D4" s="2244"/>
      <c r="E4" s="2244" t="s">
        <v>342</v>
      </c>
      <c r="F4" s="2244"/>
      <c r="G4" s="2244" t="s">
        <v>65</v>
      </c>
      <c r="H4" s="2244"/>
      <c r="I4" s="2244" t="s">
        <v>29</v>
      </c>
      <c r="J4" s="2244"/>
      <c r="K4" s="2245" t="s">
        <v>14</v>
      </c>
      <c r="L4" s="2246"/>
      <c r="M4" s="2245" t="s">
        <v>429</v>
      </c>
      <c r="N4" s="2246"/>
      <c r="O4" s="2245" t="s">
        <v>441</v>
      </c>
      <c r="P4" s="2246"/>
      <c r="Q4" s="2245" t="s">
        <v>114</v>
      </c>
      <c r="R4" s="2246"/>
      <c r="S4" s="2244" t="s">
        <v>35</v>
      </c>
      <c r="T4" s="2244"/>
      <c r="U4" s="2245" t="s">
        <v>17</v>
      </c>
      <c r="V4" s="2246"/>
      <c r="W4" s="2247" t="s">
        <v>36</v>
      </c>
      <c r="X4" s="2248"/>
      <c r="Y4" s="2238" t="s">
        <v>30</v>
      </c>
    </row>
    <row r="5" spans="1:25" s="1047" customFormat="1" ht="25.5" customHeight="1" x14ac:dyDescent="0.25">
      <c r="A5" s="2243"/>
      <c r="B5" s="2243"/>
      <c r="C5" s="1046" t="s">
        <v>42</v>
      </c>
      <c r="D5" s="1046" t="s">
        <v>43</v>
      </c>
      <c r="E5" s="1046" t="s">
        <v>42</v>
      </c>
      <c r="F5" s="1046" t="s">
        <v>43</v>
      </c>
      <c r="G5" s="1046" t="s">
        <v>42</v>
      </c>
      <c r="H5" s="1046" t="s">
        <v>43</v>
      </c>
      <c r="I5" s="1046" t="s">
        <v>42</v>
      </c>
      <c r="J5" s="1046" t="s">
        <v>43</v>
      </c>
      <c r="K5" s="1046" t="s">
        <v>42</v>
      </c>
      <c r="L5" s="1046" t="s">
        <v>43</v>
      </c>
      <c r="M5" s="1046" t="s">
        <v>42</v>
      </c>
      <c r="N5" s="1046" t="s">
        <v>43</v>
      </c>
      <c r="O5" s="1046" t="s">
        <v>42</v>
      </c>
      <c r="P5" s="1046" t="s">
        <v>43</v>
      </c>
      <c r="Q5" s="1046" t="s">
        <v>42</v>
      </c>
      <c r="R5" s="1046" t="s">
        <v>43</v>
      </c>
      <c r="S5" s="33" t="s">
        <v>42</v>
      </c>
      <c r="T5" s="33" t="s">
        <v>43</v>
      </c>
      <c r="U5" s="30" t="s">
        <v>42</v>
      </c>
      <c r="V5" s="30" t="s">
        <v>43</v>
      </c>
      <c r="W5" s="30" t="s">
        <v>42</v>
      </c>
      <c r="X5" s="30" t="s">
        <v>43</v>
      </c>
      <c r="Y5" s="2239"/>
    </row>
    <row r="6" spans="1:25" ht="34.5" customHeight="1" x14ac:dyDescent="0.25">
      <c r="A6" s="12">
        <v>1409935200</v>
      </c>
      <c r="B6" s="1045" t="s">
        <v>71</v>
      </c>
      <c r="C6" s="1043">
        <v>28039</v>
      </c>
      <c r="D6" s="1042">
        <f>0.9725*C6</f>
        <v>27267.927500000002</v>
      </c>
      <c r="E6" s="1043"/>
      <c r="F6" s="1043">
        <f>67.1*E6</f>
        <v>0</v>
      </c>
      <c r="G6" s="1043"/>
      <c r="H6" s="1043">
        <f>28.2*G6</f>
        <v>0</v>
      </c>
      <c r="I6" s="1043">
        <v>100</v>
      </c>
      <c r="J6" s="1043">
        <f>18.5*I6</f>
        <v>1850</v>
      </c>
      <c r="K6" s="1043">
        <v>80</v>
      </c>
      <c r="L6" s="1043">
        <f>28.2368*K6</f>
        <v>2258.944</v>
      </c>
      <c r="M6" s="1043"/>
      <c r="N6" s="1042">
        <f>M6*47.6525</f>
        <v>0</v>
      </c>
      <c r="O6" s="1043"/>
      <c r="P6" s="1042">
        <f>O6*8.9</f>
        <v>0</v>
      </c>
      <c r="Q6" s="1042"/>
      <c r="R6" s="1042">
        <f>241*Q6</f>
        <v>0</v>
      </c>
      <c r="S6" s="1043">
        <v>11</v>
      </c>
      <c r="T6" s="1043">
        <f>241*S6</f>
        <v>2651</v>
      </c>
      <c r="U6" s="1043">
        <v>1</v>
      </c>
      <c r="V6" s="1043">
        <f>332*U6</f>
        <v>332</v>
      </c>
      <c r="W6" s="1043"/>
      <c r="X6" s="19">
        <f>W6*100</f>
        <v>0</v>
      </c>
      <c r="Y6" s="20">
        <f t="shared" ref="Y6:Y12" si="0">D6+F6+H6+J6+L6+N6+P6+R6+T6+V6+X6</f>
        <v>34359.871500000001</v>
      </c>
    </row>
    <row r="7" spans="1:25" ht="31.5" customHeight="1" x14ac:dyDescent="0.25">
      <c r="A7" s="12">
        <v>1984225578</v>
      </c>
      <c r="B7" s="1045" t="s">
        <v>72</v>
      </c>
      <c r="C7" s="1043">
        <v>140657</v>
      </c>
      <c r="D7" s="1042">
        <f t="shared" ref="D7:D11" si="1">0.9725*C7</f>
        <v>136788.9325</v>
      </c>
      <c r="E7" s="1043"/>
      <c r="F7" s="1043">
        <f t="shared" ref="F7:F11" si="2">67.1*E7</f>
        <v>0</v>
      </c>
      <c r="G7" s="1043"/>
      <c r="H7" s="1043">
        <f t="shared" ref="H7:H11" si="3">28.2*G7</f>
        <v>0</v>
      </c>
      <c r="I7" s="1043">
        <v>250</v>
      </c>
      <c r="J7" s="1043">
        <f t="shared" ref="J7:J11" si="4">18.5*I7</f>
        <v>4625</v>
      </c>
      <c r="K7" s="1043"/>
      <c r="L7" s="1043">
        <f t="shared" ref="L7:L11" si="5">28.2368*K7</f>
        <v>0</v>
      </c>
      <c r="M7" s="1043"/>
      <c r="N7" s="1042">
        <f t="shared" ref="N7:N11" si="6">M7*47.6525</f>
        <v>0</v>
      </c>
      <c r="O7" s="1043"/>
      <c r="P7" s="1042">
        <f t="shared" ref="P7:P11" si="7">O7*8.9</f>
        <v>0</v>
      </c>
      <c r="Q7" s="1042"/>
      <c r="R7" s="1042">
        <f t="shared" ref="R7:R11" si="8">241*Q7</f>
        <v>0</v>
      </c>
      <c r="S7" s="1043"/>
      <c r="T7" s="1043">
        <f t="shared" ref="T7:T10" si="9">241*S7</f>
        <v>0</v>
      </c>
      <c r="U7" s="1043">
        <v>10</v>
      </c>
      <c r="V7" s="1043">
        <f t="shared" ref="V7:V11" si="10">332*U7</f>
        <v>3320</v>
      </c>
      <c r="W7" s="1043"/>
      <c r="X7" s="19">
        <f t="shared" ref="X7:X11" si="11">W7*100</f>
        <v>0</v>
      </c>
      <c r="Y7" s="20">
        <f t="shared" si="0"/>
        <v>144733.9325</v>
      </c>
    </row>
    <row r="8" spans="1:25" ht="35.25" customHeight="1" x14ac:dyDescent="0.25">
      <c r="A8" s="12">
        <v>1967020280</v>
      </c>
      <c r="B8" s="1045" t="s">
        <v>427</v>
      </c>
      <c r="C8" s="1043">
        <v>31959</v>
      </c>
      <c r="D8" s="1042">
        <f t="shared" si="1"/>
        <v>31080.127500000002</v>
      </c>
      <c r="E8" s="1043"/>
      <c r="F8" s="1043">
        <f t="shared" si="2"/>
        <v>0</v>
      </c>
      <c r="G8" s="1043">
        <v>30</v>
      </c>
      <c r="H8" s="1043">
        <f t="shared" si="3"/>
        <v>846</v>
      </c>
      <c r="I8" s="1043">
        <v>50</v>
      </c>
      <c r="J8" s="1043">
        <f t="shared" si="4"/>
        <v>925</v>
      </c>
      <c r="K8" s="1043">
        <v>50</v>
      </c>
      <c r="L8" s="1043">
        <f t="shared" si="5"/>
        <v>1411.84</v>
      </c>
      <c r="M8" s="1043"/>
      <c r="N8" s="1042">
        <f t="shared" si="6"/>
        <v>0</v>
      </c>
      <c r="O8" s="1043"/>
      <c r="P8" s="1042">
        <f t="shared" si="7"/>
        <v>0</v>
      </c>
      <c r="Q8" s="1042"/>
      <c r="R8" s="1042">
        <f t="shared" si="8"/>
        <v>0</v>
      </c>
      <c r="S8" s="1043"/>
      <c r="T8" s="1043">
        <f t="shared" si="9"/>
        <v>0</v>
      </c>
      <c r="U8" s="1043"/>
      <c r="V8" s="1043">
        <f t="shared" si="10"/>
        <v>0</v>
      </c>
      <c r="W8" s="1043"/>
      <c r="X8" s="19">
        <f t="shared" si="11"/>
        <v>0</v>
      </c>
      <c r="Y8" s="20">
        <f t="shared" si="0"/>
        <v>34262.967499999999</v>
      </c>
    </row>
    <row r="9" spans="1:25" ht="38.25" customHeight="1" x14ac:dyDescent="0.25">
      <c r="A9" s="12">
        <v>1984225580</v>
      </c>
      <c r="B9" s="1045" t="s">
        <v>75</v>
      </c>
      <c r="C9" s="1043">
        <v>20028</v>
      </c>
      <c r="D9" s="1042">
        <f t="shared" si="1"/>
        <v>19477.23</v>
      </c>
      <c r="E9" s="1043"/>
      <c r="F9" s="1043">
        <f t="shared" si="2"/>
        <v>0</v>
      </c>
      <c r="G9" s="1043"/>
      <c r="H9" s="1043">
        <f t="shared" si="3"/>
        <v>0</v>
      </c>
      <c r="I9" s="1043">
        <v>990</v>
      </c>
      <c r="J9" s="1043">
        <f t="shared" si="4"/>
        <v>18315</v>
      </c>
      <c r="K9" s="1043"/>
      <c r="L9" s="1043">
        <f t="shared" si="5"/>
        <v>0</v>
      </c>
      <c r="M9" s="1043"/>
      <c r="N9" s="1042">
        <f t="shared" si="6"/>
        <v>0</v>
      </c>
      <c r="O9" s="1043"/>
      <c r="P9" s="1042">
        <f t="shared" si="7"/>
        <v>0</v>
      </c>
      <c r="Q9" s="1042"/>
      <c r="R9" s="1042">
        <f t="shared" si="8"/>
        <v>0</v>
      </c>
      <c r="S9" s="1043"/>
      <c r="T9" s="1043">
        <f t="shared" si="9"/>
        <v>0</v>
      </c>
      <c r="U9" s="1043"/>
      <c r="V9" s="1043">
        <f t="shared" si="10"/>
        <v>0</v>
      </c>
      <c r="W9" s="1043"/>
      <c r="X9" s="19">
        <f t="shared" si="11"/>
        <v>0</v>
      </c>
      <c r="Y9" s="20">
        <f t="shared" si="0"/>
        <v>37792.229999999996</v>
      </c>
    </row>
    <row r="10" spans="1:25" ht="35.25" customHeight="1" x14ac:dyDescent="0.25">
      <c r="A10" s="12">
        <v>1409935199</v>
      </c>
      <c r="C10" s="1043"/>
      <c r="D10" s="1042">
        <f t="shared" si="1"/>
        <v>0</v>
      </c>
      <c r="E10" s="1043"/>
      <c r="F10" s="1043">
        <f t="shared" si="2"/>
        <v>0</v>
      </c>
      <c r="G10" s="1043"/>
      <c r="H10" s="1043">
        <f t="shared" si="3"/>
        <v>0</v>
      </c>
      <c r="I10" s="1043"/>
      <c r="J10" s="1043">
        <f t="shared" si="4"/>
        <v>0</v>
      </c>
      <c r="K10" s="1043"/>
      <c r="L10" s="1043">
        <f t="shared" si="5"/>
        <v>0</v>
      </c>
      <c r="M10" s="1043"/>
      <c r="N10" s="1042">
        <f t="shared" si="6"/>
        <v>0</v>
      </c>
      <c r="O10" s="1043"/>
      <c r="P10" s="1042">
        <f t="shared" si="7"/>
        <v>0</v>
      </c>
      <c r="Q10" s="1042"/>
      <c r="R10" s="1042">
        <f t="shared" si="8"/>
        <v>0</v>
      </c>
      <c r="S10" s="1043"/>
      <c r="T10" s="1043">
        <f t="shared" si="9"/>
        <v>0</v>
      </c>
      <c r="U10" s="1043"/>
      <c r="V10" s="1043">
        <f t="shared" si="10"/>
        <v>0</v>
      </c>
      <c r="W10" s="1043"/>
      <c r="X10" s="19">
        <f t="shared" si="11"/>
        <v>0</v>
      </c>
      <c r="Y10" s="20">
        <f t="shared" si="0"/>
        <v>0</v>
      </c>
    </row>
    <row r="11" spans="1:25" ht="37.5" customHeight="1" x14ac:dyDescent="0.25">
      <c r="A11" s="12"/>
      <c r="B11" s="1044"/>
      <c r="C11" s="1043"/>
      <c r="D11" s="1042">
        <f t="shared" si="1"/>
        <v>0</v>
      </c>
      <c r="E11" s="1043"/>
      <c r="F11" s="1043">
        <f t="shared" si="2"/>
        <v>0</v>
      </c>
      <c r="G11" s="1043"/>
      <c r="H11" s="1043">
        <f t="shared" si="3"/>
        <v>0</v>
      </c>
      <c r="I11" s="1043"/>
      <c r="J11" s="1043">
        <f t="shared" si="4"/>
        <v>0</v>
      </c>
      <c r="K11" s="1043"/>
      <c r="L11" s="1043">
        <f t="shared" si="5"/>
        <v>0</v>
      </c>
      <c r="M11" s="1043"/>
      <c r="N11" s="1042">
        <f t="shared" si="6"/>
        <v>0</v>
      </c>
      <c r="O11" s="1043"/>
      <c r="P11" s="1042">
        <f t="shared" si="7"/>
        <v>0</v>
      </c>
      <c r="Q11" s="1042"/>
      <c r="R11" s="1042">
        <f t="shared" si="8"/>
        <v>0</v>
      </c>
      <c r="S11" s="1043"/>
      <c r="T11" s="1043">
        <f>341*S11</f>
        <v>0</v>
      </c>
      <c r="U11" s="1043"/>
      <c r="V11" s="1043">
        <f t="shared" si="10"/>
        <v>0</v>
      </c>
      <c r="W11" s="1043"/>
      <c r="X11" s="19">
        <f t="shared" si="11"/>
        <v>0</v>
      </c>
      <c r="Y11" s="20">
        <f t="shared" si="0"/>
        <v>0</v>
      </c>
    </row>
    <row r="12" spans="1:25" ht="29.25" customHeight="1" x14ac:dyDescent="0.25">
      <c r="A12" s="2235" t="s">
        <v>31</v>
      </c>
      <c r="B12" s="2235"/>
      <c r="C12" s="18">
        <f t="shared" ref="C12:X12" si="12">SUM(C6:C11)</f>
        <v>220683</v>
      </c>
      <c r="D12" s="18">
        <f t="shared" si="12"/>
        <v>214614.2175</v>
      </c>
      <c r="E12" s="18">
        <f t="shared" si="12"/>
        <v>0</v>
      </c>
      <c r="F12" s="18">
        <f t="shared" si="12"/>
        <v>0</v>
      </c>
      <c r="G12" s="18">
        <f t="shared" si="12"/>
        <v>30</v>
      </c>
      <c r="H12" s="18">
        <f t="shared" si="12"/>
        <v>846</v>
      </c>
      <c r="I12" s="18">
        <f t="shared" si="12"/>
        <v>1390</v>
      </c>
      <c r="J12" s="18">
        <f t="shared" si="12"/>
        <v>25715</v>
      </c>
      <c r="K12" s="18">
        <f t="shared" si="12"/>
        <v>130</v>
      </c>
      <c r="L12" s="18">
        <f t="shared" si="12"/>
        <v>3670.7839999999997</v>
      </c>
      <c r="M12" s="18">
        <f t="shared" si="12"/>
        <v>0</v>
      </c>
      <c r="N12" s="23">
        <f t="shared" si="12"/>
        <v>0</v>
      </c>
      <c r="O12" s="18">
        <f t="shared" si="12"/>
        <v>0</v>
      </c>
      <c r="P12" s="23">
        <f t="shared" si="12"/>
        <v>0</v>
      </c>
      <c r="Q12" s="23">
        <f t="shared" si="12"/>
        <v>0</v>
      </c>
      <c r="R12" s="23">
        <f>SUM(R6:R11)</f>
        <v>0</v>
      </c>
      <c r="S12" s="23">
        <f>SUM(S6:S11)</f>
        <v>11</v>
      </c>
      <c r="T12" s="18">
        <f t="shared" si="12"/>
        <v>2651</v>
      </c>
      <c r="U12" s="18">
        <f t="shared" si="12"/>
        <v>11</v>
      </c>
      <c r="V12" s="18">
        <f t="shared" si="12"/>
        <v>3652</v>
      </c>
      <c r="W12" s="18">
        <f t="shared" si="12"/>
        <v>0</v>
      </c>
      <c r="X12" s="18">
        <f t="shared" si="12"/>
        <v>0</v>
      </c>
      <c r="Y12" s="20">
        <f t="shared" si="0"/>
        <v>251149.00150000001</v>
      </c>
    </row>
    <row r="14" spans="1:25" ht="43.5" customHeight="1" x14ac:dyDescent="0.25">
      <c r="A14" s="30" t="s">
        <v>32</v>
      </c>
      <c r="B14" s="2236" t="s">
        <v>27</v>
      </c>
      <c r="C14" s="2236"/>
      <c r="D14" s="30" t="s">
        <v>333</v>
      </c>
      <c r="E14" s="30" t="s">
        <v>65</v>
      </c>
      <c r="F14" s="30" t="s">
        <v>34</v>
      </c>
      <c r="G14" s="30" t="s">
        <v>14</v>
      </c>
      <c r="H14" s="469" t="s">
        <v>173</v>
      </c>
      <c r="I14" s="30" t="s">
        <v>17</v>
      </c>
      <c r="J14" s="1051" t="s">
        <v>174</v>
      </c>
      <c r="K14" s="30" t="s">
        <v>36</v>
      </c>
      <c r="L14" s="1051" t="s">
        <v>403</v>
      </c>
      <c r="M14" s="30" t="s">
        <v>429</v>
      </c>
      <c r="N14" s="30" t="s">
        <v>442</v>
      </c>
      <c r="O14" s="1051" t="s">
        <v>114</v>
      </c>
      <c r="P14" s="30" t="s">
        <v>70</v>
      </c>
      <c r="Q14" s="2300" t="s">
        <v>378</v>
      </c>
      <c r="R14" s="2301"/>
      <c r="S14" s="1051" t="s">
        <v>401</v>
      </c>
      <c r="T14" s="2235" t="s">
        <v>46</v>
      </c>
      <c r="U14" s="1045" t="s">
        <v>176</v>
      </c>
      <c r="V14" s="2260">
        <v>16507</v>
      </c>
      <c r="W14" s="2268"/>
      <c r="X14" s="2261"/>
    </row>
    <row r="15" spans="1:25" ht="22.5" customHeight="1" x14ac:dyDescent="0.25">
      <c r="A15" s="100" t="s">
        <v>38</v>
      </c>
      <c r="B15" s="2260">
        <v>361075</v>
      </c>
      <c r="C15" s="2261"/>
      <c r="D15" s="1048">
        <v>447</v>
      </c>
      <c r="E15" s="1048">
        <v>60</v>
      </c>
      <c r="F15" s="1048">
        <v>2040</v>
      </c>
      <c r="G15" s="1048">
        <v>910</v>
      </c>
      <c r="H15" s="1048">
        <v>371</v>
      </c>
      <c r="I15" s="1048">
        <v>92</v>
      </c>
      <c r="J15" s="1048">
        <v>5</v>
      </c>
      <c r="K15" s="1048">
        <v>59</v>
      </c>
      <c r="L15" s="1048">
        <v>8</v>
      </c>
      <c r="M15" s="1048">
        <v>90</v>
      </c>
      <c r="N15" s="1048">
        <v>20000</v>
      </c>
      <c r="O15" s="1048">
        <v>0</v>
      </c>
      <c r="P15" s="1048">
        <v>100</v>
      </c>
      <c r="Q15" s="2260">
        <v>0</v>
      </c>
      <c r="R15" s="2261"/>
      <c r="S15" s="1045">
        <v>7</v>
      </c>
      <c r="T15" s="2235"/>
      <c r="U15" s="1045" t="s">
        <v>64</v>
      </c>
      <c r="V15" s="2262">
        <v>143856</v>
      </c>
      <c r="W15" s="2262"/>
      <c r="X15" s="2262"/>
    </row>
    <row r="16" spans="1:25" ht="24.75" customHeight="1" x14ac:dyDescent="0.25">
      <c r="A16" s="100" t="s">
        <v>39</v>
      </c>
      <c r="B16" s="2260">
        <v>218181</v>
      </c>
      <c r="C16" s="2261"/>
      <c r="D16" s="1048"/>
      <c r="E16" s="1048"/>
      <c r="F16" s="1048"/>
      <c r="G16" s="1048"/>
      <c r="H16" s="1048"/>
      <c r="I16" s="1048"/>
      <c r="J16" s="1048"/>
      <c r="K16" s="1048"/>
      <c r="L16" s="1048"/>
      <c r="M16" s="1048"/>
      <c r="N16" s="1048"/>
      <c r="O16" s="1048"/>
      <c r="P16" s="1048"/>
      <c r="Q16" s="2225"/>
      <c r="R16" s="2225"/>
      <c r="S16" s="1048"/>
      <c r="T16" s="2254" t="s">
        <v>55</v>
      </c>
      <c r="U16" s="2254"/>
      <c r="V16" s="2267">
        <f>Y12</f>
        <v>251149.00150000001</v>
      </c>
      <c r="W16" s="2267"/>
      <c r="X16" s="2262"/>
    </row>
    <row r="17" spans="1:25" ht="28.5" customHeight="1" x14ac:dyDescent="0.25">
      <c r="A17" s="101" t="s">
        <v>44</v>
      </c>
      <c r="B17" s="2260"/>
      <c r="C17" s="2261"/>
      <c r="D17" s="1048"/>
      <c r="E17" s="1048"/>
      <c r="F17" s="1048"/>
      <c r="G17" s="1048"/>
      <c r="H17" s="1048"/>
      <c r="I17" s="1048"/>
      <c r="J17" s="1048"/>
      <c r="K17" s="1048"/>
      <c r="L17" s="1048"/>
      <c r="M17" s="1048"/>
      <c r="N17" s="1048"/>
      <c r="O17" s="1048"/>
      <c r="P17" s="1048"/>
      <c r="Q17" s="2225"/>
      <c r="R17" s="2225"/>
      <c r="S17" s="1044"/>
      <c r="T17" s="2294" t="s">
        <v>437</v>
      </c>
      <c r="U17" s="2295"/>
      <c r="V17" s="2296"/>
      <c r="W17" s="2296"/>
      <c r="X17" s="2296"/>
    </row>
    <row r="18" spans="1:25" ht="27" customHeight="1" x14ac:dyDescent="0.25">
      <c r="A18" s="100" t="s">
        <v>40</v>
      </c>
      <c r="B18" s="2264">
        <f>C12</f>
        <v>220683</v>
      </c>
      <c r="C18" s="2261"/>
      <c r="D18" s="1050">
        <f>E12</f>
        <v>0</v>
      </c>
      <c r="E18" s="1050">
        <f>G12</f>
        <v>30</v>
      </c>
      <c r="F18" s="1050">
        <f>I12</f>
        <v>1390</v>
      </c>
      <c r="G18" s="1050">
        <f>K12</f>
        <v>130</v>
      </c>
      <c r="H18" s="1048">
        <v>11</v>
      </c>
      <c r="I18" s="1050">
        <f>U12</f>
        <v>11</v>
      </c>
      <c r="J18" s="1048"/>
      <c r="K18" s="1050">
        <f>W12</f>
        <v>0</v>
      </c>
      <c r="L18" s="1048"/>
      <c r="M18" s="1050">
        <f>M12</f>
        <v>0</v>
      </c>
      <c r="N18" s="1050">
        <f>O12</f>
        <v>0</v>
      </c>
      <c r="O18" s="1049">
        <f>Q12</f>
        <v>0</v>
      </c>
      <c r="P18" s="1050"/>
      <c r="Q18" s="2262"/>
      <c r="R18" s="2262"/>
      <c r="S18" s="1045"/>
      <c r="T18" s="2254" t="s">
        <v>57</v>
      </c>
      <c r="U18" s="2254"/>
      <c r="V18" s="2262">
        <v>2980</v>
      </c>
      <c r="W18" s="2262"/>
      <c r="X18" s="2262"/>
      <c r="Y18" s="2269"/>
    </row>
    <row r="19" spans="1:25" ht="25.5" customHeight="1" x14ac:dyDescent="0.25">
      <c r="A19" s="100" t="s">
        <v>41</v>
      </c>
      <c r="B19" s="2260">
        <f>B15+B16+B17-B18</f>
        <v>358573</v>
      </c>
      <c r="C19" s="2261"/>
      <c r="D19" s="1048">
        <f>D15+D16+D17-D18</f>
        <v>447</v>
      </c>
      <c r="E19" s="1048">
        <f t="shared" ref="E19:N19" si="13">E15+E16+E17-E18</f>
        <v>30</v>
      </c>
      <c r="F19" s="1048">
        <f t="shared" si="13"/>
        <v>650</v>
      </c>
      <c r="G19" s="1048">
        <f t="shared" si="13"/>
        <v>780</v>
      </c>
      <c r="H19" s="1048">
        <f t="shared" si="13"/>
        <v>360</v>
      </c>
      <c r="I19" s="1048">
        <f t="shared" si="13"/>
        <v>81</v>
      </c>
      <c r="J19" s="1048">
        <f t="shared" si="13"/>
        <v>5</v>
      </c>
      <c r="K19" s="1048">
        <f t="shared" si="13"/>
        <v>59</v>
      </c>
      <c r="L19" s="1048">
        <f t="shared" si="13"/>
        <v>8</v>
      </c>
      <c r="M19" s="1048">
        <f t="shared" si="13"/>
        <v>90</v>
      </c>
      <c r="N19" s="1048">
        <f t="shared" si="13"/>
        <v>20000</v>
      </c>
      <c r="O19" s="1048">
        <f>O15+O16+O17-O18</f>
        <v>0</v>
      </c>
      <c r="P19" s="1048">
        <f t="shared" ref="P19" si="14">P15+P16+P17-P18</f>
        <v>100</v>
      </c>
      <c r="Q19" s="2260">
        <f t="shared" ref="Q19" si="15">Q15+Q16+Q17-Q18</f>
        <v>0</v>
      </c>
      <c r="R19" s="2261"/>
      <c r="S19" s="1045">
        <f>S15+S16-S17-S18</f>
        <v>7</v>
      </c>
      <c r="T19" s="2256" t="s">
        <v>48</v>
      </c>
      <c r="U19" s="49" t="s">
        <v>58</v>
      </c>
      <c r="V19" s="2262">
        <v>281200</v>
      </c>
      <c r="W19" s="2262"/>
      <c r="X19" s="2262"/>
      <c r="Y19" s="2269"/>
    </row>
    <row r="20" spans="1:25" ht="23.25" customHeight="1" x14ac:dyDescent="0.25">
      <c r="A20" s="289" t="s">
        <v>187</v>
      </c>
      <c r="B20" s="2286">
        <f>B19*0.9625</f>
        <v>345126.51250000001</v>
      </c>
      <c r="C20" s="2287"/>
      <c r="D20" s="290">
        <f>D19*66.41</f>
        <v>29685.269999999997</v>
      </c>
      <c r="E20" s="290">
        <f>27.9368*E19</f>
        <v>838.10400000000004</v>
      </c>
      <c r="F20" s="290">
        <f>18.31*F19</f>
        <v>11901.5</v>
      </c>
      <c r="G20" s="290">
        <f>27.9368*G19</f>
        <v>21790.704000000002</v>
      </c>
      <c r="H20" s="290">
        <f>241*H19</f>
        <v>86760</v>
      </c>
      <c r="I20" s="290">
        <f>323*I19</f>
        <v>26163</v>
      </c>
      <c r="J20" s="290">
        <f>241*J19</f>
        <v>1205</v>
      </c>
      <c r="K20" s="290">
        <f>K19*100</f>
        <v>5900</v>
      </c>
      <c r="L20" s="290">
        <f>241*L19</f>
        <v>1928</v>
      </c>
      <c r="M20" s="290">
        <f>47.1625*M19</f>
        <v>4244.625</v>
      </c>
      <c r="N20" s="290">
        <f>N19*8.81</f>
        <v>176200</v>
      </c>
      <c r="O20" s="290">
        <f>241*O19</f>
        <v>0</v>
      </c>
      <c r="P20" s="290">
        <f>P19*48.2</f>
        <v>4820</v>
      </c>
      <c r="Q20" s="2286">
        <f>341*Q19</f>
        <v>0</v>
      </c>
      <c r="R20" s="2287"/>
      <c r="S20" s="290">
        <f>341*S19</f>
        <v>2387</v>
      </c>
      <c r="T20" s="2257"/>
      <c r="U20" s="49" t="s">
        <v>59</v>
      </c>
      <c r="V20" s="2262"/>
      <c r="W20" s="2262"/>
      <c r="X20" s="2262"/>
      <c r="Y20" s="2269"/>
    </row>
    <row r="21" spans="1:25" ht="32.25" customHeight="1" x14ac:dyDescent="0.25">
      <c r="A21" s="291" t="s">
        <v>186</v>
      </c>
      <c r="B21" s="2293">
        <f>SUM(B20:S20)</f>
        <v>718949.71550000005</v>
      </c>
      <c r="C21" s="2293"/>
      <c r="O21" s="1052"/>
      <c r="P21" s="1052"/>
      <c r="Q21" s="1052"/>
      <c r="R21" s="1052"/>
      <c r="T21" s="2294" t="s">
        <v>438</v>
      </c>
      <c r="U21" s="2295"/>
      <c r="V21" s="2297"/>
      <c r="W21" s="2298"/>
      <c r="X21" s="2299"/>
      <c r="Y21" s="2269"/>
    </row>
    <row r="22" spans="1:25" ht="35.25" customHeight="1" x14ac:dyDescent="0.25">
      <c r="A22" s="15"/>
      <c r="B22" s="2288" t="s">
        <v>49</v>
      </c>
      <c r="C22" s="2291">
        <v>281200</v>
      </c>
      <c r="D22" s="2291">
        <v>281200</v>
      </c>
      <c r="E22" s="2291">
        <v>210000</v>
      </c>
      <c r="F22" s="2291">
        <f>C22-D22+E22</f>
        <v>210000</v>
      </c>
      <c r="G22" s="1052"/>
      <c r="Q22" s="1052"/>
      <c r="R22" s="1052"/>
      <c r="T22" s="2251" t="s">
        <v>83</v>
      </c>
      <c r="U22" s="50" t="s">
        <v>60</v>
      </c>
      <c r="V22" s="2262">
        <v>248660</v>
      </c>
      <c r="W22" s="2262"/>
      <c r="X22" s="2262"/>
      <c r="Y22" s="2269"/>
    </row>
    <row r="23" spans="1:25" ht="39.75" customHeight="1" x14ac:dyDescent="0.25">
      <c r="A23" s="1052"/>
      <c r="B23" s="2289"/>
      <c r="C23" s="2292"/>
      <c r="D23" s="2292"/>
      <c r="E23" s="2292"/>
      <c r="F23" s="2292"/>
      <c r="G23" s="1052"/>
      <c r="Q23" s="1052"/>
      <c r="R23" s="1052"/>
      <c r="T23" s="2252"/>
      <c r="U23" s="50" t="s">
        <v>61</v>
      </c>
      <c r="V23" s="2262">
        <v>281200</v>
      </c>
      <c r="W23" s="2262"/>
      <c r="X23" s="2262"/>
      <c r="Y23" s="2269"/>
    </row>
    <row r="24" spans="1:25" ht="48" customHeight="1" x14ac:dyDescent="0.25">
      <c r="A24" s="1052"/>
      <c r="B24" s="2290"/>
      <c r="C24" s="290" t="s">
        <v>46</v>
      </c>
      <c r="D24" s="290" t="s">
        <v>50</v>
      </c>
      <c r="E24" s="290" t="s">
        <v>51</v>
      </c>
      <c r="F24" s="290" t="s">
        <v>52</v>
      </c>
      <c r="G24" s="1052"/>
      <c r="Q24" s="1052"/>
      <c r="R24" s="1052"/>
      <c r="T24" s="2235" t="s">
        <v>47</v>
      </c>
      <c r="U24" s="51" t="s">
        <v>62</v>
      </c>
      <c r="V24" s="2263">
        <f>V14+V16+V17-V18-V19-V20-V22+V23-V21</f>
        <v>16016.001500000013</v>
      </c>
      <c r="W24" s="2263"/>
      <c r="X24" s="2263"/>
      <c r="Y24" s="2269"/>
    </row>
    <row r="25" spans="1:25" ht="40.5" customHeight="1" x14ac:dyDescent="0.25">
      <c r="T25" s="2235"/>
      <c r="U25" s="51" t="s">
        <v>63</v>
      </c>
      <c r="V25" s="2262">
        <f>V15+V22-V23</f>
        <v>111316</v>
      </c>
      <c r="W25" s="2262"/>
      <c r="X25" s="2262"/>
    </row>
    <row r="26" spans="1:25" ht="36" customHeight="1" x14ac:dyDescent="0.25">
      <c r="K26" s="314"/>
    </row>
    <row r="28" spans="1:25" x14ac:dyDescent="0.25">
      <c r="J28" s="14" t="s">
        <v>139</v>
      </c>
    </row>
    <row r="32" spans="1:25" x14ac:dyDescent="0.25">
      <c r="I32" s="2280"/>
      <c r="J32" s="2280"/>
      <c r="K32" s="2280"/>
      <c r="L32" s="2280"/>
    </row>
    <row r="33" spans="9:12" x14ac:dyDescent="0.25">
      <c r="I33" s="1052"/>
      <c r="J33" s="1052"/>
      <c r="K33" s="2280"/>
      <c r="L33" s="2280"/>
    </row>
  </sheetData>
  <mergeCells count="62">
    <mergeCell ref="A1:Y1"/>
    <mergeCell ref="A2:Y2"/>
    <mergeCell ref="T3:Y3"/>
    <mergeCell ref="A4:A5"/>
    <mergeCell ref="B4:B5"/>
    <mergeCell ref="C4:D4"/>
    <mergeCell ref="E4:F4"/>
    <mergeCell ref="G4:H4"/>
    <mergeCell ref="I4:J4"/>
    <mergeCell ref="K4:L4"/>
    <mergeCell ref="Y4:Y5"/>
    <mergeCell ref="M4:N4"/>
    <mergeCell ref="O4:P4"/>
    <mergeCell ref="Q4:R4"/>
    <mergeCell ref="S4:T4"/>
    <mergeCell ref="U4:V4"/>
    <mergeCell ref="W4:X4"/>
    <mergeCell ref="B16:C16"/>
    <mergeCell ref="Q16:R16"/>
    <mergeCell ref="T16:U16"/>
    <mergeCell ref="V16:X16"/>
    <mergeCell ref="A12:B12"/>
    <mergeCell ref="B14:C14"/>
    <mergeCell ref="Q14:R14"/>
    <mergeCell ref="T14:T15"/>
    <mergeCell ref="V14:X14"/>
    <mergeCell ref="B15:C15"/>
    <mergeCell ref="Q15:R15"/>
    <mergeCell ref="V15:X15"/>
    <mergeCell ref="B17:C17"/>
    <mergeCell ref="Q17:R17"/>
    <mergeCell ref="T17:U17"/>
    <mergeCell ref="V17:X17"/>
    <mergeCell ref="B18:C18"/>
    <mergeCell ref="Q18:R18"/>
    <mergeCell ref="T18:U18"/>
    <mergeCell ref="V18:X18"/>
    <mergeCell ref="Y18:Y24"/>
    <mergeCell ref="B19:C19"/>
    <mergeCell ref="Q19:R19"/>
    <mergeCell ref="T19:T20"/>
    <mergeCell ref="V19:X19"/>
    <mergeCell ref="B20:C20"/>
    <mergeCell ref="B22:B24"/>
    <mergeCell ref="C22:C23"/>
    <mergeCell ref="D22:D23"/>
    <mergeCell ref="E22:E23"/>
    <mergeCell ref="F22:F23"/>
    <mergeCell ref="Q20:R20"/>
    <mergeCell ref="V20:X20"/>
    <mergeCell ref="B21:C21"/>
    <mergeCell ref="T21:U21"/>
    <mergeCell ref="V21:X21"/>
    <mergeCell ref="I32:J32"/>
    <mergeCell ref="K32:L32"/>
    <mergeCell ref="K33:L33"/>
    <mergeCell ref="T22:T23"/>
    <mergeCell ref="V22:X22"/>
    <mergeCell ref="V23:X23"/>
    <mergeCell ref="T24:T25"/>
    <mergeCell ref="V24:X24"/>
    <mergeCell ref="V25:X25"/>
  </mergeCells>
  <pageMargins left="0.15748031496063" right="0.15748031496063" top="0" bottom="0" header="0" footer="0"/>
  <pageSetup paperSize="9" scale="45" orientation="landscape" r:id="rId1"/>
</worksheet>
</file>

<file path=xl/worksheets/sheet20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8D38A76-6E2C-42EC-A66B-87D9F643AC87}">
  <sheetPr>
    <pageSetUpPr fitToPage="1"/>
  </sheetPr>
  <dimension ref="A1:Y33"/>
  <sheetViews>
    <sheetView topLeftCell="B12" zoomScale="70" zoomScaleNormal="70" zoomScaleSheetLayoutView="100" zoomScalePageLayoutView="68" workbookViewId="0">
      <selection activeCell="O23" sqref="O23"/>
    </sheetView>
  </sheetViews>
  <sheetFormatPr defaultColWidth="9.140625" defaultRowHeight="15" x14ac:dyDescent="0.25"/>
  <cols>
    <col min="1" max="1" width="18.28515625" style="14" customWidth="1"/>
    <col min="2" max="2" width="10.7109375" style="14" customWidth="1"/>
    <col min="3" max="3" width="12.28515625" style="14" customWidth="1"/>
    <col min="4" max="4" width="13.140625" style="14" bestFit="1" customWidth="1"/>
    <col min="5" max="5" width="12" style="14" customWidth="1"/>
    <col min="6" max="6" width="12.5703125" style="14" bestFit="1" customWidth="1"/>
    <col min="7" max="7" width="16" style="14" bestFit="1" customWidth="1"/>
    <col min="8" max="8" width="10.140625" style="14" bestFit="1" customWidth="1"/>
    <col min="9" max="9" width="10.5703125" style="14" bestFit="1" customWidth="1"/>
    <col min="10" max="10" width="10.5703125" style="14" customWidth="1"/>
    <col min="11" max="11" width="10.28515625" style="14" bestFit="1" customWidth="1"/>
    <col min="12" max="12" width="10.42578125" style="14" bestFit="1" customWidth="1"/>
    <col min="13" max="14" width="12" style="14" bestFit="1" customWidth="1"/>
    <col min="15" max="15" width="9" style="14" customWidth="1"/>
    <col min="16" max="16" width="12.85546875" style="14" bestFit="1" customWidth="1"/>
    <col min="17" max="18" width="9.42578125" style="14" customWidth="1"/>
    <col min="19" max="19" width="13.7109375" style="14" customWidth="1"/>
    <col min="20" max="20" width="12.140625" style="14" customWidth="1"/>
    <col min="21" max="21" width="21.7109375" style="14" customWidth="1"/>
    <col min="22" max="22" width="9.85546875" style="14" customWidth="1"/>
    <col min="23" max="23" width="10.140625" style="14" bestFit="1" customWidth="1"/>
    <col min="24" max="24" width="10.28515625" style="14" customWidth="1"/>
    <col min="25" max="25" width="28" style="14" customWidth="1"/>
    <col min="26" max="16384" width="9.140625" style="14"/>
  </cols>
  <sheetData>
    <row r="1" spans="1:25" ht="46.15" customHeight="1" x14ac:dyDescent="0.25">
      <c r="A1" s="2240" t="s">
        <v>148</v>
      </c>
      <c r="B1" s="2240"/>
      <c r="C1" s="2240"/>
      <c r="D1" s="2240"/>
      <c r="E1" s="2240"/>
      <c r="F1" s="2240"/>
      <c r="G1" s="2240"/>
      <c r="H1" s="2240"/>
      <c r="I1" s="2240"/>
      <c r="J1" s="2240"/>
      <c r="K1" s="2240"/>
      <c r="L1" s="2240"/>
      <c r="M1" s="2240"/>
      <c r="N1" s="2240"/>
      <c r="O1" s="2240"/>
      <c r="P1" s="2240"/>
      <c r="Q1" s="2240"/>
      <c r="R1" s="2240"/>
      <c r="S1" s="2240"/>
      <c r="T1" s="2240"/>
      <c r="U1" s="2240"/>
      <c r="V1" s="2240"/>
      <c r="W1" s="2240"/>
      <c r="X1" s="2240"/>
      <c r="Y1" s="2240"/>
    </row>
    <row r="2" spans="1:25" ht="21.6" customHeight="1" x14ac:dyDescent="0.25">
      <c r="A2" s="2241" t="s">
        <v>383</v>
      </c>
      <c r="B2" s="2241"/>
      <c r="C2" s="2241"/>
      <c r="D2" s="2241"/>
      <c r="E2" s="2241"/>
      <c r="F2" s="2241"/>
      <c r="G2" s="2241"/>
      <c r="H2" s="2241"/>
      <c r="I2" s="2241"/>
      <c r="J2" s="2241"/>
      <c r="K2" s="2241"/>
      <c r="L2" s="2241"/>
      <c r="M2" s="2241"/>
      <c r="N2" s="2241"/>
      <c r="O2" s="2241"/>
      <c r="P2" s="2241"/>
      <c r="Q2" s="2241"/>
      <c r="R2" s="2241"/>
      <c r="S2" s="2241"/>
      <c r="T2" s="2241"/>
      <c r="U2" s="2241"/>
      <c r="V2" s="2241"/>
      <c r="W2" s="2241"/>
      <c r="X2" s="2241"/>
      <c r="Y2" s="2241"/>
    </row>
    <row r="3" spans="1:25" ht="21" customHeight="1" x14ac:dyDescent="0.25">
      <c r="A3" s="1047"/>
      <c r="B3" s="1047"/>
      <c r="C3" s="1047"/>
      <c r="D3" s="1047"/>
      <c r="E3" s="1047"/>
      <c r="F3" s="1047"/>
      <c r="G3" s="1047"/>
      <c r="H3" s="1047"/>
      <c r="I3" s="1047"/>
      <c r="J3" s="1047"/>
      <c r="K3" s="1047"/>
      <c r="L3" s="1047"/>
      <c r="M3" s="1047"/>
      <c r="N3" s="1047"/>
      <c r="O3" s="1047"/>
      <c r="P3" s="1047"/>
      <c r="Q3" s="1047"/>
      <c r="R3" s="1047"/>
      <c r="S3" s="1047"/>
      <c r="T3" s="2242" t="s">
        <v>443</v>
      </c>
      <c r="U3" s="2242"/>
      <c r="V3" s="2242"/>
      <c r="W3" s="2242"/>
      <c r="X3" s="2242"/>
      <c r="Y3" s="2242"/>
    </row>
    <row r="4" spans="1:25" s="1047" customFormat="1" ht="18" customHeight="1" x14ac:dyDescent="0.25">
      <c r="A4" s="2243" t="s">
        <v>25</v>
      </c>
      <c r="B4" s="2243" t="s">
        <v>26</v>
      </c>
      <c r="C4" s="2244" t="s">
        <v>27</v>
      </c>
      <c r="D4" s="2244"/>
      <c r="E4" s="2244" t="s">
        <v>342</v>
      </c>
      <c r="F4" s="2244"/>
      <c r="G4" s="2244" t="s">
        <v>65</v>
      </c>
      <c r="H4" s="2244"/>
      <c r="I4" s="2244" t="s">
        <v>29</v>
      </c>
      <c r="J4" s="2244"/>
      <c r="K4" s="2245" t="s">
        <v>14</v>
      </c>
      <c r="L4" s="2246"/>
      <c r="M4" s="2245" t="s">
        <v>429</v>
      </c>
      <c r="N4" s="2246"/>
      <c r="O4" s="2245" t="s">
        <v>441</v>
      </c>
      <c r="P4" s="2246"/>
      <c r="Q4" s="2245" t="s">
        <v>114</v>
      </c>
      <c r="R4" s="2246"/>
      <c r="S4" s="2244" t="s">
        <v>35</v>
      </c>
      <c r="T4" s="2244"/>
      <c r="U4" s="2245" t="s">
        <v>17</v>
      </c>
      <c r="V4" s="2246"/>
      <c r="W4" s="2247" t="s">
        <v>36</v>
      </c>
      <c r="X4" s="2248"/>
      <c r="Y4" s="2238" t="s">
        <v>30</v>
      </c>
    </row>
    <row r="5" spans="1:25" s="1047" customFormat="1" ht="25.5" customHeight="1" x14ac:dyDescent="0.25">
      <c r="A5" s="2243"/>
      <c r="B5" s="2243"/>
      <c r="C5" s="1046" t="s">
        <v>42</v>
      </c>
      <c r="D5" s="1046" t="s">
        <v>43</v>
      </c>
      <c r="E5" s="1046" t="s">
        <v>42</v>
      </c>
      <c r="F5" s="1046" t="s">
        <v>43</v>
      </c>
      <c r="G5" s="1046" t="s">
        <v>42</v>
      </c>
      <c r="H5" s="1046" t="s">
        <v>43</v>
      </c>
      <c r="I5" s="1046" t="s">
        <v>42</v>
      </c>
      <c r="J5" s="1046" t="s">
        <v>43</v>
      </c>
      <c r="K5" s="1046" t="s">
        <v>42</v>
      </c>
      <c r="L5" s="1046" t="s">
        <v>43</v>
      </c>
      <c r="M5" s="1046" t="s">
        <v>42</v>
      </c>
      <c r="N5" s="1046" t="s">
        <v>43</v>
      </c>
      <c r="O5" s="1046" t="s">
        <v>42</v>
      </c>
      <c r="P5" s="1046" t="s">
        <v>43</v>
      </c>
      <c r="Q5" s="1046" t="s">
        <v>42</v>
      </c>
      <c r="R5" s="1046" t="s">
        <v>43</v>
      </c>
      <c r="S5" s="33" t="s">
        <v>42</v>
      </c>
      <c r="T5" s="33" t="s">
        <v>43</v>
      </c>
      <c r="U5" s="30" t="s">
        <v>42</v>
      </c>
      <c r="V5" s="30" t="s">
        <v>43</v>
      </c>
      <c r="W5" s="30" t="s">
        <v>42</v>
      </c>
      <c r="X5" s="30" t="s">
        <v>43</v>
      </c>
      <c r="Y5" s="2239"/>
    </row>
    <row r="6" spans="1:25" ht="34.5" customHeight="1" x14ac:dyDescent="0.25">
      <c r="A6" s="12">
        <v>1409935200</v>
      </c>
      <c r="B6" s="1045" t="s">
        <v>71</v>
      </c>
      <c r="C6" s="1043">
        <v>48441</v>
      </c>
      <c r="D6" s="1042">
        <f>0.9725*C6</f>
        <v>47108.872500000005</v>
      </c>
      <c r="E6" s="1043">
        <v>84</v>
      </c>
      <c r="F6" s="1043">
        <f>67.1*E6</f>
        <v>5636.4</v>
      </c>
      <c r="G6" s="1043"/>
      <c r="H6" s="1043">
        <f>28.2*G6</f>
        <v>0</v>
      </c>
      <c r="I6" s="1043"/>
      <c r="J6" s="1043">
        <f>18.5*I6</f>
        <v>0</v>
      </c>
      <c r="K6" s="1043">
        <v>110</v>
      </c>
      <c r="L6" s="1043">
        <f>28.2368*K6</f>
        <v>3106.0479999999998</v>
      </c>
      <c r="M6" s="1043">
        <v>30</v>
      </c>
      <c r="N6" s="1042">
        <f>M6*47.6525</f>
        <v>1429.575</v>
      </c>
      <c r="O6" s="1043">
        <v>2320</v>
      </c>
      <c r="P6" s="1042">
        <f>O6*8.9</f>
        <v>20648</v>
      </c>
      <c r="Q6" s="1042"/>
      <c r="R6" s="1042">
        <f>241*Q6</f>
        <v>0</v>
      </c>
      <c r="S6" s="1043"/>
      <c r="T6" s="1043">
        <f>241*S6</f>
        <v>0</v>
      </c>
      <c r="U6" s="1043">
        <v>3</v>
      </c>
      <c r="V6" s="1043">
        <f>332*U6</f>
        <v>996</v>
      </c>
      <c r="W6" s="1043"/>
      <c r="X6" s="19">
        <f>W6*100</f>
        <v>0</v>
      </c>
      <c r="Y6" s="20">
        <f t="shared" ref="Y6:Y12" si="0">D6+F6+H6+J6+L6+N6+P6+R6+T6+V6+X6</f>
        <v>78924.895500000013</v>
      </c>
    </row>
    <row r="7" spans="1:25" ht="31.5" customHeight="1" x14ac:dyDescent="0.25">
      <c r="A7" s="12">
        <v>1984225578</v>
      </c>
      <c r="B7" s="1045" t="s">
        <v>72</v>
      </c>
      <c r="C7" s="1043">
        <v>17983</v>
      </c>
      <c r="D7" s="1042">
        <f t="shared" ref="D7:D11" si="1">0.9725*C7</f>
        <v>17488.467499999999</v>
      </c>
      <c r="E7" s="1043"/>
      <c r="F7" s="1043">
        <f t="shared" ref="F7:F11" si="2">67.1*E7</f>
        <v>0</v>
      </c>
      <c r="G7" s="1043"/>
      <c r="H7" s="1043">
        <f t="shared" ref="H7:H11" si="3">28.2*G7</f>
        <v>0</v>
      </c>
      <c r="I7" s="1043"/>
      <c r="J7" s="1043">
        <f t="shared" ref="J7:J11" si="4">18.5*I7</f>
        <v>0</v>
      </c>
      <c r="K7" s="1043"/>
      <c r="L7" s="1043">
        <f t="shared" ref="L7:L11" si="5">28.2368*K7</f>
        <v>0</v>
      </c>
      <c r="M7" s="1043"/>
      <c r="N7" s="1042">
        <f t="shared" ref="N7:N11" si="6">M7*47.6525</f>
        <v>0</v>
      </c>
      <c r="O7" s="1043">
        <v>2300</v>
      </c>
      <c r="P7" s="1042">
        <f t="shared" ref="P7:P11" si="7">O7*8.9</f>
        <v>20470</v>
      </c>
      <c r="Q7" s="1042"/>
      <c r="R7" s="1042">
        <f t="shared" ref="R7:R11" si="8">241*Q7</f>
        <v>0</v>
      </c>
      <c r="S7" s="1043"/>
      <c r="T7" s="1043">
        <f t="shared" ref="T7:T10" si="9">241*S7</f>
        <v>0</v>
      </c>
      <c r="U7" s="1043"/>
      <c r="V7" s="1043">
        <f t="shared" ref="V7:V11" si="10">332*U7</f>
        <v>0</v>
      </c>
      <c r="W7" s="1043"/>
      <c r="X7" s="19">
        <f t="shared" ref="X7:X11" si="11">W7*100</f>
        <v>0</v>
      </c>
      <c r="Y7" s="20">
        <f t="shared" si="0"/>
        <v>37958.467499999999</v>
      </c>
    </row>
    <row r="8" spans="1:25" ht="35.25" customHeight="1" x14ac:dyDescent="0.25">
      <c r="A8" s="12">
        <v>1967020280</v>
      </c>
      <c r="B8" s="1045" t="s">
        <v>427</v>
      </c>
      <c r="C8" s="1043">
        <v>34141</v>
      </c>
      <c r="D8" s="1042">
        <f t="shared" si="1"/>
        <v>33202.122499999998</v>
      </c>
      <c r="E8" s="1043">
        <v>1</v>
      </c>
      <c r="F8" s="1043">
        <f t="shared" si="2"/>
        <v>67.099999999999994</v>
      </c>
      <c r="G8" s="1043"/>
      <c r="H8" s="1043">
        <f t="shared" si="3"/>
        <v>0</v>
      </c>
      <c r="I8" s="1043">
        <v>100</v>
      </c>
      <c r="J8" s="1043">
        <f t="shared" si="4"/>
        <v>1850</v>
      </c>
      <c r="K8" s="1043">
        <v>70</v>
      </c>
      <c r="L8" s="1043">
        <f t="shared" si="5"/>
        <v>1976.576</v>
      </c>
      <c r="M8" s="1043"/>
      <c r="N8" s="1042">
        <f t="shared" si="6"/>
        <v>0</v>
      </c>
      <c r="O8" s="1043">
        <v>20</v>
      </c>
      <c r="P8" s="1042">
        <f t="shared" si="7"/>
        <v>178</v>
      </c>
      <c r="Q8" s="1042"/>
      <c r="R8" s="1042">
        <f t="shared" si="8"/>
        <v>0</v>
      </c>
      <c r="S8" s="1043"/>
      <c r="T8" s="1043">
        <f t="shared" si="9"/>
        <v>0</v>
      </c>
      <c r="U8" s="1043"/>
      <c r="V8" s="1043">
        <f t="shared" si="10"/>
        <v>0</v>
      </c>
      <c r="W8" s="1043"/>
      <c r="X8" s="19">
        <f t="shared" si="11"/>
        <v>0</v>
      </c>
      <c r="Y8" s="20">
        <f t="shared" si="0"/>
        <v>37273.798499999997</v>
      </c>
    </row>
    <row r="9" spans="1:25" ht="38.25" customHeight="1" x14ac:dyDescent="0.25">
      <c r="A9" s="12">
        <v>1984225580</v>
      </c>
      <c r="B9" s="1045" t="s">
        <v>75</v>
      </c>
      <c r="C9" s="1043">
        <v>31756</v>
      </c>
      <c r="D9" s="1042">
        <f t="shared" si="1"/>
        <v>30882.710000000003</v>
      </c>
      <c r="E9" s="1043"/>
      <c r="F9" s="1043">
        <f t="shared" si="2"/>
        <v>0</v>
      </c>
      <c r="G9" s="1043"/>
      <c r="H9" s="1043">
        <f t="shared" si="3"/>
        <v>0</v>
      </c>
      <c r="I9" s="1043">
        <v>180</v>
      </c>
      <c r="J9" s="1043">
        <f t="shared" si="4"/>
        <v>3330</v>
      </c>
      <c r="K9" s="1043"/>
      <c r="L9" s="1043">
        <f t="shared" si="5"/>
        <v>0</v>
      </c>
      <c r="M9" s="1043"/>
      <c r="N9" s="1042">
        <f t="shared" si="6"/>
        <v>0</v>
      </c>
      <c r="O9" s="1043"/>
      <c r="P9" s="1042">
        <f t="shared" si="7"/>
        <v>0</v>
      </c>
      <c r="Q9" s="1042"/>
      <c r="R9" s="1042">
        <f t="shared" si="8"/>
        <v>0</v>
      </c>
      <c r="S9" s="1043"/>
      <c r="T9" s="1043">
        <f t="shared" si="9"/>
        <v>0</v>
      </c>
      <c r="U9" s="1043">
        <v>5</v>
      </c>
      <c r="V9" s="1043">
        <f t="shared" si="10"/>
        <v>1660</v>
      </c>
      <c r="W9" s="1043"/>
      <c r="X9" s="19">
        <f t="shared" si="11"/>
        <v>0</v>
      </c>
      <c r="Y9" s="20">
        <f t="shared" si="0"/>
        <v>35872.710000000006</v>
      </c>
    </row>
    <row r="10" spans="1:25" ht="35.25" customHeight="1" x14ac:dyDescent="0.25">
      <c r="A10" s="12">
        <v>1409935199</v>
      </c>
      <c r="C10" s="1043"/>
      <c r="D10" s="1042">
        <f t="shared" si="1"/>
        <v>0</v>
      </c>
      <c r="E10" s="1043"/>
      <c r="F10" s="1043">
        <f t="shared" si="2"/>
        <v>0</v>
      </c>
      <c r="G10" s="1043"/>
      <c r="H10" s="1043">
        <f t="shared" si="3"/>
        <v>0</v>
      </c>
      <c r="I10" s="1043"/>
      <c r="J10" s="1043">
        <f t="shared" si="4"/>
        <v>0</v>
      </c>
      <c r="K10" s="1043"/>
      <c r="L10" s="1043">
        <f t="shared" si="5"/>
        <v>0</v>
      </c>
      <c r="M10" s="1043"/>
      <c r="N10" s="1042">
        <f t="shared" si="6"/>
        <v>0</v>
      </c>
      <c r="O10" s="1043"/>
      <c r="P10" s="1042">
        <f t="shared" si="7"/>
        <v>0</v>
      </c>
      <c r="Q10" s="1042"/>
      <c r="R10" s="1042">
        <f t="shared" si="8"/>
        <v>0</v>
      </c>
      <c r="S10" s="1043"/>
      <c r="T10" s="1043">
        <f t="shared" si="9"/>
        <v>0</v>
      </c>
      <c r="U10" s="1043"/>
      <c r="V10" s="1043">
        <f t="shared" si="10"/>
        <v>0</v>
      </c>
      <c r="W10" s="1043"/>
      <c r="X10" s="19">
        <f t="shared" si="11"/>
        <v>0</v>
      </c>
      <c r="Y10" s="20">
        <f t="shared" si="0"/>
        <v>0</v>
      </c>
    </row>
    <row r="11" spans="1:25" ht="37.5" customHeight="1" x14ac:dyDescent="0.25">
      <c r="A11" s="12"/>
      <c r="B11" s="1044"/>
      <c r="C11" s="1043"/>
      <c r="D11" s="1042">
        <f t="shared" si="1"/>
        <v>0</v>
      </c>
      <c r="E11" s="1043"/>
      <c r="F11" s="1043">
        <f t="shared" si="2"/>
        <v>0</v>
      </c>
      <c r="G11" s="1043"/>
      <c r="H11" s="1043">
        <f t="shared" si="3"/>
        <v>0</v>
      </c>
      <c r="I11" s="1043"/>
      <c r="J11" s="1043">
        <f t="shared" si="4"/>
        <v>0</v>
      </c>
      <c r="K11" s="1043"/>
      <c r="L11" s="1043">
        <f t="shared" si="5"/>
        <v>0</v>
      </c>
      <c r="M11" s="1043"/>
      <c r="N11" s="1042">
        <f t="shared" si="6"/>
        <v>0</v>
      </c>
      <c r="O11" s="1043"/>
      <c r="P11" s="1042">
        <f t="shared" si="7"/>
        <v>0</v>
      </c>
      <c r="Q11" s="1042"/>
      <c r="R11" s="1042">
        <f t="shared" si="8"/>
        <v>0</v>
      </c>
      <c r="S11" s="1043"/>
      <c r="T11" s="1043">
        <f>341*S11</f>
        <v>0</v>
      </c>
      <c r="U11" s="1043"/>
      <c r="V11" s="1043">
        <f t="shared" si="10"/>
        <v>0</v>
      </c>
      <c r="W11" s="1043"/>
      <c r="X11" s="19">
        <f t="shared" si="11"/>
        <v>0</v>
      </c>
      <c r="Y11" s="20">
        <f t="shared" si="0"/>
        <v>0</v>
      </c>
    </row>
    <row r="12" spans="1:25" ht="29.25" customHeight="1" x14ac:dyDescent="0.25">
      <c r="A12" s="2235" t="s">
        <v>31</v>
      </c>
      <c r="B12" s="2235"/>
      <c r="C12" s="18">
        <f t="shared" ref="C12:X12" si="12">SUM(C6:C11)</f>
        <v>132321</v>
      </c>
      <c r="D12" s="18">
        <f t="shared" si="12"/>
        <v>128682.1725</v>
      </c>
      <c r="E12" s="18">
        <f t="shared" si="12"/>
        <v>85</v>
      </c>
      <c r="F12" s="18">
        <f t="shared" si="12"/>
        <v>5703.5</v>
      </c>
      <c r="G12" s="18">
        <f t="shared" si="12"/>
        <v>0</v>
      </c>
      <c r="H12" s="18">
        <f t="shared" si="12"/>
        <v>0</v>
      </c>
      <c r="I12" s="18">
        <f t="shared" si="12"/>
        <v>280</v>
      </c>
      <c r="J12" s="18">
        <f t="shared" si="12"/>
        <v>5180</v>
      </c>
      <c r="K12" s="18">
        <f t="shared" si="12"/>
        <v>180</v>
      </c>
      <c r="L12" s="18">
        <f t="shared" si="12"/>
        <v>5082.6239999999998</v>
      </c>
      <c r="M12" s="18">
        <f t="shared" si="12"/>
        <v>30</v>
      </c>
      <c r="N12" s="23">
        <f t="shared" si="12"/>
        <v>1429.575</v>
      </c>
      <c r="O12" s="18">
        <f t="shared" si="12"/>
        <v>4640</v>
      </c>
      <c r="P12" s="23">
        <f t="shared" si="12"/>
        <v>41296</v>
      </c>
      <c r="Q12" s="23">
        <f t="shared" si="12"/>
        <v>0</v>
      </c>
      <c r="R12" s="23">
        <f>SUM(R6:R11)</f>
        <v>0</v>
      </c>
      <c r="S12" s="23">
        <f>SUM(S6:S11)</f>
        <v>0</v>
      </c>
      <c r="T12" s="18">
        <f t="shared" si="12"/>
        <v>0</v>
      </c>
      <c r="U12" s="18">
        <f t="shared" si="12"/>
        <v>8</v>
      </c>
      <c r="V12" s="18">
        <f t="shared" si="12"/>
        <v>2656</v>
      </c>
      <c r="W12" s="18">
        <f t="shared" si="12"/>
        <v>0</v>
      </c>
      <c r="X12" s="18">
        <f t="shared" si="12"/>
        <v>0</v>
      </c>
      <c r="Y12" s="20">
        <f t="shared" si="0"/>
        <v>190029.87150000001</v>
      </c>
    </row>
    <row r="14" spans="1:25" ht="43.5" customHeight="1" x14ac:dyDescent="0.25">
      <c r="A14" s="30" t="s">
        <v>32</v>
      </c>
      <c r="B14" s="2236" t="s">
        <v>27</v>
      </c>
      <c r="C14" s="2236"/>
      <c r="D14" s="30" t="s">
        <v>333</v>
      </c>
      <c r="E14" s="30" t="s">
        <v>65</v>
      </c>
      <c r="F14" s="30" t="s">
        <v>34</v>
      </c>
      <c r="G14" s="30" t="s">
        <v>14</v>
      </c>
      <c r="H14" s="469" t="s">
        <v>173</v>
      </c>
      <c r="I14" s="30" t="s">
        <v>17</v>
      </c>
      <c r="J14" s="1051" t="s">
        <v>174</v>
      </c>
      <c r="K14" s="30" t="s">
        <v>36</v>
      </c>
      <c r="L14" s="1051" t="s">
        <v>403</v>
      </c>
      <c r="M14" s="30" t="s">
        <v>429</v>
      </c>
      <c r="N14" s="30" t="s">
        <v>442</v>
      </c>
      <c r="O14" s="1051" t="s">
        <v>114</v>
      </c>
      <c r="P14" s="30" t="s">
        <v>70</v>
      </c>
      <c r="Q14" s="2300" t="s">
        <v>378</v>
      </c>
      <c r="R14" s="2301"/>
      <c r="S14" s="1051" t="s">
        <v>401</v>
      </c>
      <c r="T14" s="2235" t="s">
        <v>46</v>
      </c>
      <c r="U14" s="1045" t="s">
        <v>176</v>
      </c>
      <c r="V14" s="2260">
        <v>16016</v>
      </c>
      <c r="W14" s="2268"/>
      <c r="X14" s="2261"/>
    </row>
    <row r="15" spans="1:25" ht="22.5" customHeight="1" x14ac:dyDescent="0.25">
      <c r="A15" s="100" t="s">
        <v>38</v>
      </c>
      <c r="B15" s="2260">
        <v>358573</v>
      </c>
      <c r="C15" s="2261"/>
      <c r="D15" s="1048">
        <v>447</v>
      </c>
      <c r="E15" s="1048">
        <v>30</v>
      </c>
      <c r="F15" s="1048">
        <v>650</v>
      </c>
      <c r="G15" s="1048">
        <v>780</v>
      </c>
      <c r="H15" s="1048">
        <v>360</v>
      </c>
      <c r="I15" s="1048">
        <v>81</v>
      </c>
      <c r="J15" s="1048">
        <v>5</v>
      </c>
      <c r="K15" s="1048">
        <v>59</v>
      </c>
      <c r="L15" s="1048">
        <v>8</v>
      </c>
      <c r="M15" s="1048">
        <v>90</v>
      </c>
      <c r="N15" s="1048">
        <v>20000</v>
      </c>
      <c r="O15" s="1048">
        <v>0</v>
      </c>
      <c r="P15" s="1048">
        <v>100</v>
      </c>
      <c r="Q15" s="2260">
        <v>0</v>
      </c>
      <c r="R15" s="2261"/>
      <c r="S15" s="1045">
        <v>7</v>
      </c>
      <c r="T15" s="2235"/>
      <c r="U15" s="1045" t="s">
        <v>64</v>
      </c>
      <c r="V15" s="2262">
        <v>111316</v>
      </c>
      <c r="W15" s="2262"/>
      <c r="X15" s="2262"/>
    </row>
    <row r="16" spans="1:25" ht="24.75" customHeight="1" x14ac:dyDescent="0.25">
      <c r="A16" s="100" t="s">
        <v>39</v>
      </c>
      <c r="B16" s="2260">
        <v>155844</v>
      </c>
      <c r="C16" s="2261"/>
      <c r="D16" s="1048"/>
      <c r="E16" s="1048"/>
      <c r="F16" s="1048"/>
      <c r="G16" s="1048"/>
      <c r="H16" s="1048"/>
      <c r="I16" s="1048"/>
      <c r="J16" s="1048"/>
      <c r="K16" s="1048"/>
      <c r="L16" s="1048"/>
      <c r="M16" s="1048"/>
      <c r="N16" s="1048"/>
      <c r="O16" s="1048"/>
      <c r="P16" s="1048"/>
      <c r="Q16" s="2225"/>
      <c r="R16" s="2225"/>
      <c r="S16" s="1048"/>
      <c r="T16" s="2254" t="s">
        <v>55</v>
      </c>
      <c r="U16" s="2254"/>
      <c r="V16" s="2267">
        <f>Y12</f>
        <v>190029.87150000001</v>
      </c>
      <c r="W16" s="2267"/>
      <c r="X16" s="2262"/>
    </row>
    <row r="17" spans="1:25" ht="28.5" customHeight="1" x14ac:dyDescent="0.25">
      <c r="A17" s="101" t="s">
        <v>44</v>
      </c>
      <c r="B17" s="2260"/>
      <c r="C17" s="2261"/>
      <c r="D17" s="1048"/>
      <c r="E17" s="1048"/>
      <c r="F17" s="1048"/>
      <c r="G17" s="1048"/>
      <c r="H17" s="1048"/>
      <c r="I17" s="1048"/>
      <c r="J17" s="1048"/>
      <c r="K17" s="1048"/>
      <c r="L17" s="1048"/>
      <c r="M17" s="1048"/>
      <c r="N17" s="1048"/>
      <c r="O17" s="1048"/>
      <c r="P17" s="1048"/>
      <c r="Q17" s="2225"/>
      <c r="R17" s="2225"/>
      <c r="S17" s="1044"/>
      <c r="T17" s="2294" t="s">
        <v>437</v>
      </c>
      <c r="U17" s="2295"/>
      <c r="V17" s="2296"/>
      <c r="W17" s="2296"/>
      <c r="X17" s="2296"/>
    </row>
    <row r="18" spans="1:25" ht="27" customHeight="1" x14ac:dyDescent="0.25">
      <c r="A18" s="100" t="s">
        <v>40</v>
      </c>
      <c r="B18" s="2264">
        <f>C12</f>
        <v>132321</v>
      </c>
      <c r="C18" s="2261"/>
      <c r="D18" s="1050">
        <f>E12</f>
        <v>85</v>
      </c>
      <c r="E18" s="1050">
        <f>G12</f>
        <v>0</v>
      </c>
      <c r="F18" s="1050">
        <f>I12</f>
        <v>280</v>
      </c>
      <c r="G18" s="1050">
        <f>K12</f>
        <v>180</v>
      </c>
      <c r="H18" s="1048"/>
      <c r="I18" s="1050">
        <f>U12</f>
        <v>8</v>
      </c>
      <c r="J18" s="1048"/>
      <c r="K18" s="1050">
        <f>W12</f>
        <v>0</v>
      </c>
      <c r="L18" s="1048"/>
      <c r="M18" s="1050">
        <f>M12</f>
        <v>30</v>
      </c>
      <c r="N18" s="1050">
        <f>O12</f>
        <v>4640</v>
      </c>
      <c r="O18" s="1049">
        <f>Q12</f>
        <v>0</v>
      </c>
      <c r="P18" s="1050"/>
      <c r="Q18" s="2262"/>
      <c r="R18" s="2262"/>
      <c r="S18" s="1045"/>
      <c r="T18" s="2254" t="s">
        <v>57</v>
      </c>
      <c r="U18" s="2254"/>
      <c r="V18" s="2262">
        <v>1471</v>
      </c>
      <c r="W18" s="2262"/>
      <c r="X18" s="2262"/>
      <c r="Y18" s="2269"/>
    </row>
    <row r="19" spans="1:25" ht="25.5" customHeight="1" x14ac:dyDescent="0.25">
      <c r="A19" s="100" t="s">
        <v>41</v>
      </c>
      <c r="B19" s="2260">
        <f>B15+B16+B17-B18</f>
        <v>382096</v>
      </c>
      <c r="C19" s="2261"/>
      <c r="D19" s="1048">
        <f>D15+D16+D17-D18</f>
        <v>362</v>
      </c>
      <c r="E19" s="1048">
        <f t="shared" ref="E19:N19" si="13">E15+E16+E17-E18</f>
        <v>30</v>
      </c>
      <c r="F19" s="1048">
        <f t="shared" si="13"/>
        <v>370</v>
      </c>
      <c r="G19" s="1048">
        <f t="shared" si="13"/>
        <v>600</v>
      </c>
      <c r="H19" s="1048">
        <f t="shared" si="13"/>
        <v>360</v>
      </c>
      <c r="I19" s="1048">
        <f t="shared" si="13"/>
        <v>73</v>
      </c>
      <c r="J19" s="1048">
        <f t="shared" si="13"/>
        <v>5</v>
      </c>
      <c r="K19" s="1048">
        <f t="shared" si="13"/>
        <v>59</v>
      </c>
      <c r="L19" s="1048">
        <f t="shared" si="13"/>
        <v>8</v>
      </c>
      <c r="M19" s="1048">
        <f t="shared" si="13"/>
        <v>60</v>
      </c>
      <c r="N19" s="1048">
        <f t="shared" si="13"/>
        <v>15360</v>
      </c>
      <c r="O19" s="1048">
        <f>O15+O16+O17-O18</f>
        <v>0</v>
      </c>
      <c r="P19" s="1048">
        <f t="shared" ref="P19:Q19" si="14">P15+P16+P17-P18</f>
        <v>100</v>
      </c>
      <c r="Q19" s="2260">
        <f t="shared" si="14"/>
        <v>0</v>
      </c>
      <c r="R19" s="2261"/>
      <c r="S19" s="1045">
        <f>S15+S16-S17-S18</f>
        <v>7</v>
      </c>
      <c r="T19" s="2256" t="s">
        <v>48</v>
      </c>
      <c r="U19" s="49" t="s">
        <v>58</v>
      </c>
      <c r="V19" s="2262">
        <v>210000</v>
      </c>
      <c r="W19" s="2262"/>
      <c r="X19" s="2262"/>
      <c r="Y19" s="2269"/>
    </row>
    <row r="20" spans="1:25" ht="23.25" customHeight="1" x14ac:dyDescent="0.25">
      <c r="A20" s="289" t="s">
        <v>187</v>
      </c>
      <c r="B20" s="2286">
        <f>B19*0.9625</f>
        <v>367767.4</v>
      </c>
      <c r="C20" s="2287"/>
      <c r="D20" s="290">
        <f>D19*66.41</f>
        <v>24040.42</v>
      </c>
      <c r="E20" s="290">
        <f>27.9368*E19</f>
        <v>838.10400000000004</v>
      </c>
      <c r="F20" s="290">
        <f>18.31*F19</f>
        <v>6774.7</v>
      </c>
      <c r="G20" s="290">
        <f>27.9368*G19</f>
        <v>16762.080000000002</v>
      </c>
      <c r="H20" s="290">
        <f>241*H19</f>
        <v>86760</v>
      </c>
      <c r="I20" s="290">
        <f>323*I19</f>
        <v>23579</v>
      </c>
      <c r="J20" s="290">
        <f>241*J19</f>
        <v>1205</v>
      </c>
      <c r="K20" s="290">
        <f>K19*100</f>
        <v>5900</v>
      </c>
      <c r="L20" s="290">
        <f>241*L19</f>
        <v>1928</v>
      </c>
      <c r="M20" s="290">
        <f>47.1625*M19</f>
        <v>2829.75</v>
      </c>
      <c r="N20" s="290">
        <f>N19*8.81</f>
        <v>135321.60000000001</v>
      </c>
      <c r="O20" s="290">
        <f>241*O19</f>
        <v>0</v>
      </c>
      <c r="P20" s="290">
        <f>P19*48.2</f>
        <v>4820</v>
      </c>
      <c r="Q20" s="2286">
        <f>341*Q19</f>
        <v>0</v>
      </c>
      <c r="R20" s="2287"/>
      <c r="S20" s="290">
        <f>341*S19</f>
        <v>2387</v>
      </c>
      <c r="T20" s="2257"/>
      <c r="U20" s="49" t="s">
        <v>59</v>
      </c>
      <c r="V20" s="2262"/>
      <c r="W20" s="2262"/>
      <c r="X20" s="2262"/>
      <c r="Y20" s="2269"/>
    </row>
    <row r="21" spans="1:25" ht="32.25" customHeight="1" x14ac:dyDescent="0.25">
      <c r="A21" s="291" t="s">
        <v>186</v>
      </c>
      <c r="B21" s="2293">
        <f>SUM(B20:S20)</f>
        <v>680913.054</v>
      </c>
      <c r="C21" s="2293"/>
      <c r="O21" s="1052"/>
      <c r="P21" s="1052"/>
      <c r="Q21" s="1052"/>
      <c r="R21" s="1052"/>
      <c r="T21" s="2294" t="s">
        <v>438</v>
      </c>
      <c r="U21" s="2295"/>
      <c r="V21" s="2297"/>
      <c r="W21" s="2298"/>
      <c r="X21" s="2299"/>
      <c r="Y21" s="2269"/>
    </row>
    <row r="22" spans="1:25" ht="35.25" customHeight="1" x14ac:dyDescent="0.25">
      <c r="A22" s="15"/>
      <c r="B22" s="2288" t="s">
        <v>49</v>
      </c>
      <c r="C22" s="2291">
        <v>210000</v>
      </c>
      <c r="D22" s="2291">
        <v>210000</v>
      </c>
      <c r="E22" s="2291">
        <v>150000</v>
      </c>
      <c r="F22" s="2291">
        <f>C22-D22+E22</f>
        <v>150000</v>
      </c>
      <c r="G22" s="1052"/>
      <c r="Q22" s="1052"/>
      <c r="R22" s="1052"/>
      <c r="T22" s="2251" t="s">
        <v>83</v>
      </c>
      <c r="U22" s="50" t="s">
        <v>60</v>
      </c>
      <c r="V22" s="2262">
        <v>182820</v>
      </c>
      <c r="W22" s="2262"/>
      <c r="X22" s="2262"/>
      <c r="Y22" s="2269"/>
    </row>
    <row r="23" spans="1:25" ht="39.75" customHeight="1" x14ac:dyDescent="0.25">
      <c r="A23" s="1052"/>
      <c r="B23" s="2289"/>
      <c r="C23" s="2292"/>
      <c r="D23" s="2292"/>
      <c r="E23" s="2292"/>
      <c r="F23" s="2292"/>
      <c r="G23" s="1052"/>
      <c r="Q23" s="1052"/>
      <c r="R23" s="1052"/>
      <c r="T23" s="2252"/>
      <c r="U23" s="50" t="s">
        <v>61</v>
      </c>
      <c r="V23" s="2262">
        <v>210000</v>
      </c>
      <c r="W23" s="2262"/>
      <c r="X23" s="2262"/>
      <c r="Y23" s="2269"/>
    </row>
    <row r="24" spans="1:25" ht="48" customHeight="1" x14ac:dyDescent="0.25">
      <c r="A24" s="1052"/>
      <c r="B24" s="2290"/>
      <c r="C24" s="290" t="s">
        <v>46</v>
      </c>
      <c r="D24" s="290" t="s">
        <v>50</v>
      </c>
      <c r="E24" s="290" t="s">
        <v>51</v>
      </c>
      <c r="F24" s="290" t="s">
        <v>52</v>
      </c>
      <c r="G24" s="1052"/>
      <c r="Q24" s="1052"/>
      <c r="R24" s="1052"/>
      <c r="T24" s="2235" t="s">
        <v>47</v>
      </c>
      <c r="U24" s="51" t="s">
        <v>62</v>
      </c>
      <c r="V24" s="2263">
        <f>V14+V16+V17-V18-V19-V20-V22+V23-V21</f>
        <v>21754.871500000008</v>
      </c>
      <c r="W24" s="2263"/>
      <c r="X24" s="2263"/>
      <c r="Y24" s="2269"/>
    </row>
    <row r="25" spans="1:25" ht="40.5" customHeight="1" x14ac:dyDescent="0.25">
      <c r="T25" s="2235"/>
      <c r="U25" s="51" t="s">
        <v>63</v>
      </c>
      <c r="V25" s="2262">
        <f>V15+V22-V23</f>
        <v>84136</v>
      </c>
      <c r="W25" s="2262"/>
      <c r="X25" s="2262"/>
    </row>
    <row r="26" spans="1:25" ht="36" customHeight="1" x14ac:dyDescent="0.25">
      <c r="K26" s="314"/>
    </row>
    <row r="28" spans="1:25" x14ac:dyDescent="0.25">
      <c r="J28" s="14" t="s">
        <v>139</v>
      </c>
    </row>
    <row r="32" spans="1:25" x14ac:dyDescent="0.25">
      <c r="I32" s="2280"/>
      <c r="J32" s="2280"/>
      <c r="K32" s="2280"/>
      <c r="L32" s="2280"/>
    </row>
    <row r="33" spans="9:12" x14ac:dyDescent="0.25">
      <c r="I33" s="1052"/>
      <c r="J33" s="1052"/>
      <c r="K33" s="2280"/>
      <c r="L33" s="2280"/>
    </row>
  </sheetData>
  <mergeCells count="62">
    <mergeCell ref="A1:Y1"/>
    <mergeCell ref="A2:Y2"/>
    <mergeCell ref="T3:Y3"/>
    <mergeCell ref="A4:A5"/>
    <mergeCell ref="B4:B5"/>
    <mergeCell ref="C4:D4"/>
    <mergeCell ref="E4:F4"/>
    <mergeCell ref="G4:H4"/>
    <mergeCell ref="I4:J4"/>
    <mergeCell ref="K4:L4"/>
    <mergeCell ref="Y4:Y5"/>
    <mergeCell ref="M4:N4"/>
    <mergeCell ref="O4:P4"/>
    <mergeCell ref="Q4:R4"/>
    <mergeCell ref="S4:T4"/>
    <mergeCell ref="U4:V4"/>
    <mergeCell ref="W4:X4"/>
    <mergeCell ref="B16:C16"/>
    <mergeCell ref="Q16:R16"/>
    <mergeCell ref="T16:U16"/>
    <mergeCell ref="V16:X16"/>
    <mergeCell ref="A12:B12"/>
    <mergeCell ref="B14:C14"/>
    <mergeCell ref="Q14:R14"/>
    <mergeCell ref="T14:T15"/>
    <mergeCell ref="V14:X14"/>
    <mergeCell ref="B15:C15"/>
    <mergeCell ref="Q15:R15"/>
    <mergeCell ref="V15:X15"/>
    <mergeCell ref="B17:C17"/>
    <mergeCell ref="Q17:R17"/>
    <mergeCell ref="T17:U17"/>
    <mergeCell ref="V17:X17"/>
    <mergeCell ref="B18:C18"/>
    <mergeCell ref="Q18:R18"/>
    <mergeCell ref="T18:U18"/>
    <mergeCell ref="V18:X18"/>
    <mergeCell ref="Y18:Y24"/>
    <mergeCell ref="B19:C19"/>
    <mergeCell ref="Q19:R19"/>
    <mergeCell ref="T19:T20"/>
    <mergeCell ref="V19:X19"/>
    <mergeCell ref="B20:C20"/>
    <mergeCell ref="B22:B24"/>
    <mergeCell ref="C22:C23"/>
    <mergeCell ref="D22:D23"/>
    <mergeCell ref="E22:E23"/>
    <mergeCell ref="F22:F23"/>
    <mergeCell ref="Q20:R20"/>
    <mergeCell ref="V20:X20"/>
    <mergeCell ref="B21:C21"/>
    <mergeCell ref="T21:U21"/>
    <mergeCell ref="V21:X21"/>
    <mergeCell ref="I32:J32"/>
    <mergeCell ref="K32:L32"/>
    <mergeCell ref="K33:L33"/>
    <mergeCell ref="T22:T23"/>
    <mergeCell ref="V22:X22"/>
    <mergeCell ref="V23:X23"/>
    <mergeCell ref="T24:T25"/>
    <mergeCell ref="V24:X24"/>
    <mergeCell ref="V25:X25"/>
  </mergeCells>
  <pageMargins left="0.15748031496063" right="0.15748031496063" top="0" bottom="0" header="0" footer="0"/>
  <pageSetup paperSize="9" scale="45" orientation="landscape" r:id="rId1"/>
</worksheet>
</file>

<file path=xl/worksheets/sheet2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DB8C744-AE1F-4199-9DFE-20AD66CBB2FA}">
  <sheetPr>
    <pageSetUpPr fitToPage="1"/>
  </sheetPr>
  <dimension ref="A1:Y33"/>
  <sheetViews>
    <sheetView topLeftCell="E1" zoomScale="70" zoomScaleNormal="70" zoomScaleSheetLayoutView="100" zoomScalePageLayoutView="68" workbookViewId="0">
      <selection activeCell="M23" sqref="M23"/>
    </sheetView>
  </sheetViews>
  <sheetFormatPr defaultColWidth="9.140625" defaultRowHeight="15" x14ac:dyDescent="0.25"/>
  <cols>
    <col min="1" max="1" width="18.28515625" style="14" customWidth="1"/>
    <col min="2" max="2" width="10.7109375" style="14" customWidth="1"/>
    <col min="3" max="3" width="12.28515625" style="14" customWidth="1"/>
    <col min="4" max="4" width="13.140625" style="14" bestFit="1" customWidth="1"/>
    <col min="5" max="5" width="12" style="14" customWidth="1"/>
    <col min="6" max="6" width="12.5703125" style="14" bestFit="1" customWidth="1"/>
    <col min="7" max="7" width="16" style="14" bestFit="1" customWidth="1"/>
    <col min="8" max="8" width="10.140625" style="14" bestFit="1" customWidth="1"/>
    <col min="9" max="9" width="10.5703125" style="14" bestFit="1" customWidth="1"/>
    <col min="10" max="10" width="10.5703125" style="14" customWidth="1"/>
    <col min="11" max="11" width="10.28515625" style="14" bestFit="1" customWidth="1"/>
    <col min="12" max="12" width="10.42578125" style="14" bestFit="1" customWidth="1"/>
    <col min="13" max="14" width="12" style="14" bestFit="1" customWidth="1"/>
    <col min="15" max="15" width="9" style="14" customWidth="1"/>
    <col min="16" max="16" width="12.85546875" style="14" bestFit="1" customWidth="1"/>
    <col min="17" max="18" width="9.42578125" style="14" customWidth="1"/>
    <col min="19" max="19" width="13.7109375" style="14" customWidth="1"/>
    <col min="20" max="20" width="12.140625" style="14" customWidth="1"/>
    <col min="21" max="21" width="21.7109375" style="14" customWidth="1"/>
    <col min="22" max="22" width="9.85546875" style="14" customWidth="1"/>
    <col min="23" max="23" width="10.140625" style="14" bestFit="1" customWidth="1"/>
    <col min="24" max="24" width="10.28515625" style="14" customWidth="1"/>
    <col min="25" max="25" width="28" style="14" customWidth="1"/>
    <col min="26" max="16384" width="9.140625" style="14"/>
  </cols>
  <sheetData>
    <row r="1" spans="1:25" ht="46.15" customHeight="1" x14ac:dyDescent="0.25">
      <c r="A1" s="2240" t="s">
        <v>148</v>
      </c>
      <c r="B1" s="2240"/>
      <c r="C1" s="2240"/>
      <c r="D1" s="2240"/>
      <c r="E1" s="2240"/>
      <c r="F1" s="2240"/>
      <c r="G1" s="2240"/>
      <c r="H1" s="2240"/>
      <c r="I1" s="2240"/>
      <c r="J1" s="2240"/>
      <c r="K1" s="2240"/>
      <c r="L1" s="2240"/>
      <c r="M1" s="2240"/>
      <c r="N1" s="2240"/>
      <c r="O1" s="2240"/>
      <c r="P1" s="2240"/>
      <c r="Q1" s="2240"/>
      <c r="R1" s="2240"/>
      <c r="S1" s="2240"/>
      <c r="T1" s="2240"/>
      <c r="U1" s="2240"/>
      <c r="V1" s="2240"/>
      <c r="W1" s="2240"/>
      <c r="X1" s="2240"/>
      <c r="Y1" s="2240"/>
    </row>
    <row r="2" spans="1:25" ht="21.6" customHeight="1" x14ac:dyDescent="0.25">
      <c r="A2" s="2241" t="s">
        <v>383</v>
      </c>
      <c r="B2" s="2241"/>
      <c r="C2" s="2241"/>
      <c r="D2" s="2241"/>
      <c r="E2" s="2241"/>
      <c r="F2" s="2241"/>
      <c r="G2" s="2241"/>
      <c r="H2" s="2241"/>
      <c r="I2" s="2241"/>
      <c r="J2" s="2241"/>
      <c r="K2" s="2241"/>
      <c r="L2" s="2241"/>
      <c r="M2" s="2241"/>
      <c r="N2" s="2241"/>
      <c r="O2" s="2241"/>
      <c r="P2" s="2241"/>
      <c r="Q2" s="2241"/>
      <c r="R2" s="2241"/>
      <c r="S2" s="2241"/>
      <c r="T2" s="2241"/>
      <c r="U2" s="2241"/>
      <c r="V2" s="2241"/>
      <c r="W2" s="2241"/>
      <c r="X2" s="2241"/>
      <c r="Y2" s="2241"/>
    </row>
    <row r="3" spans="1:25" ht="21" customHeight="1" x14ac:dyDescent="0.25">
      <c r="A3" s="1053"/>
      <c r="B3" s="1053"/>
      <c r="C3" s="1053"/>
      <c r="D3" s="1053"/>
      <c r="E3" s="1053"/>
      <c r="F3" s="1053"/>
      <c r="G3" s="1053"/>
      <c r="H3" s="1053"/>
      <c r="I3" s="1053"/>
      <c r="J3" s="1053"/>
      <c r="K3" s="1053"/>
      <c r="L3" s="1053"/>
      <c r="M3" s="1053"/>
      <c r="N3" s="1053"/>
      <c r="O3" s="1053"/>
      <c r="P3" s="1053"/>
      <c r="Q3" s="1053"/>
      <c r="R3" s="1053"/>
      <c r="S3" s="1053"/>
      <c r="T3" s="2242" t="s">
        <v>444</v>
      </c>
      <c r="U3" s="2242"/>
      <c r="V3" s="2242"/>
      <c r="W3" s="2242"/>
      <c r="X3" s="2242"/>
      <c r="Y3" s="2242"/>
    </row>
    <row r="4" spans="1:25" s="1053" customFormat="1" ht="18" customHeight="1" x14ac:dyDescent="0.25">
      <c r="A4" s="2243" t="s">
        <v>25</v>
      </c>
      <c r="B4" s="2243" t="s">
        <v>26</v>
      </c>
      <c r="C4" s="2244" t="s">
        <v>27</v>
      </c>
      <c r="D4" s="2244"/>
      <c r="E4" s="2244" t="s">
        <v>342</v>
      </c>
      <c r="F4" s="2244"/>
      <c r="G4" s="2244" t="s">
        <v>65</v>
      </c>
      <c r="H4" s="2244"/>
      <c r="I4" s="2244" t="s">
        <v>29</v>
      </c>
      <c r="J4" s="2244"/>
      <c r="K4" s="2245" t="s">
        <v>14</v>
      </c>
      <c r="L4" s="2246"/>
      <c r="M4" s="2245" t="s">
        <v>429</v>
      </c>
      <c r="N4" s="2246"/>
      <c r="O4" s="2245" t="s">
        <v>441</v>
      </c>
      <c r="P4" s="2246"/>
      <c r="Q4" s="2245" t="s">
        <v>114</v>
      </c>
      <c r="R4" s="2246"/>
      <c r="S4" s="2244" t="s">
        <v>35</v>
      </c>
      <c r="T4" s="2244"/>
      <c r="U4" s="2245" t="s">
        <v>17</v>
      </c>
      <c r="V4" s="2246"/>
      <c r="W4" s="2247" t="s">
        <v>36</v>
      </c>
      <c r="X4" s="2248"/>
      <c r="Y4" s="2238" t="s">
        <v>30</v>
      </c>
    </row>
    <row r="5" spans="1:25" s="1053" customFormat="1" ht="25.5" customHeight="1" x14ac:dyDescent="0.25">
      <c r="A5" s="2243"/>
      <c r="B5" s="2243"/>
      <c r="C5" s="1055" t="s">
        <v>42</v>
      </c>
      <c r="D5" s="1055" t="s">
        <v>43</v>
      </c>
      <c r="E5" s="1055" t="s">
        <v>42</v>
      </c>
      <c r="F5" s="1055" t="s">
        <v>43</v>
      </c>
      <c r="G5" s="1055" t="s">
        <v>42</v>
      </c>
      <c r="H5" s="1055" t="s">
        <v>43</v>
      </c>
      <c r="I5" s="1055" t="s">
        <v>42</v>
      </c>
      <c r="J5" s="1055" t="s">
        <v>43</v>
      </c>
      <c r="K5" s="1055" t="s">
        <v>42</v>
      </c>
      <c r="L5" s="1055" t="s">
        <v>43</v>
      </c>
      <c r="M5" s="1055" t="s">
        <v>42</v>
      </c>
      <c r="N5" s="1055" t="s">
        <v>43</v>
      </c>
      <c r="O5" s="1055" t="s">
        <v>42</v>
      </c>
      <c r="P5" s="1055" t="s">
        <v>43</v>
      </c>
      <c r="Q5" s="1055" t="s">
        <v>42</v>
      </c>
      <c r="R5" s="1055" t="s">
        <v>43</v>
      </c>
      <c r="S5" s="33" t="s">
        <v>42</v>
      </c>
      <c r="T5" s="33" t="s">
        <v>43</v>
      </c>
      <c r="U5" s="30" t="s">
        <v>42</v>
      </c>
      <c r="V5" s="30" t="s">
        <v>43</v>
      </c>
      <c r="W5" s="30" t="s">
        <v>42</v>
      </c>
      <c r="X5" s="30" t="s">
        <v>43</v>
      </c>
      <c r="Y5" s="2239"/>
    </row>
    <row r="6" spans="1:25" ht="34.5" customHeight="1" x14ac:dyDescent="0.25">
      <c r="A6" s="12">
        <v>1409935200</v>
      </c>
      <c r="B6" s="1054" t="s">
        <v>71</v>
      </c>
      <c r="C6" s="1057">
        <v>39010</v>
      </c>
      <c r="D6" s="1058">
        <f>0.9725*C6</f>
        <v>37937.224999999999</v>
      </c>
      <c r="E6" s="1057">
        <v>70</v>
      </c>
      <c r="F6" s="1058">
        <f>67.1*E6</f>
        <v>4697</v>
      </c>
      <c r="G6" s="1057"/>
      <c r="H6" s="1057">
        <f>28.2*G6</f>
        <v>0</v>
      </c>
      <c r="I6" s="1057">
        <v>80</v>
      </c>
      <c r="J6" s="1057">
        <f>18.5*I6</f>
        <v>1480</v>
      </c>
      <c r="K6" s="1057"/>
      <c r="L6" s="1058">
        <f>28.2368*K6</f>
        <v>0</v>
      </c>
      <c r="M6" s="1057"/>
      <c r="N6" s="1058">
        <f>M6*47.6525</f>
        <v>0</v>
      </c>
      <c r="O6" s="1057">
        <v>1770</v>
      </c>
      <c r="P6" s="1058">
        <f>O6*8.9</f>
        <v>15753</v>
      </c>
      <c r="Q6" s="1058"/>
      <c r="R6" s="1058">
        <f>241*Q6</f>
        <v>0</v>
      </c>
      <c r="S6" s="1057"/>
      <c r="T6" s="1057">
        <f>241*S6</f>
        <v>0</v>
      </c>
      <c r="U6" s="1057"/>
      <c r="V6" s="1057">
        <f>332*U6</f>
        <v>0</v>
      </c>
      <c r="W6" s="1057"/>
      <c r="X6" s="19">
        <f>W6*100</f>
        <v>0</v>
      </c>
      <c r="Y6" s="20">
        <f t="shared" ref="Y6:Y12" si="0">D6+F6+H6+J6+L6+N6+P6+R6+T6+V6+X6</f>
        <v>59867.224999999999</v>
      </c>
    </row>
    <row r="7" spans="1:25" ht="31.5" customHeight="1" x14ac:dyDescent="0.25">
      <c r="A7" s="12">
        <v>1984225578</v>
      </c>
      <c r="B7" s="1054" t="s">
        <v>72</v>
      </c>
      <c r="C7" s="1057">
        <v>50000</v>
      </c>
      <c r="D7" s="1058">
        <f t="shared" ref="D7:D11" si="1">0.9725*C7</f>
        <v>48625</v>
      </c>
      <c r="E7" s="1057"/>
      <c r="F7" s="1057">
        <f t="shared" ref="F7:F11" si="2">67.1*E7</f>
        <v>0</v>
      </c>
      <c r="G7" s="1057"/>
      <c r="H7" s="1057">
        <f t="shared" ref="H7:H11" si="3">28.2*G7</f>
        <v>0</v>
      </c>
      <c r="I7" s="1057"/>
      <c r="J7" s="1057">
        <f t="shared" ref="J7:J11" si="4">18.5*I7</f>
        <v>0</v>
      </c>
      <c r="K7" s="1057"/>
      <c r="L7" s="1058">
        <f t="shared" ref="L7:L11" si="5">28.2368*K7</f>
        <v>0</v>
      </c>
      <c r="M7" s="1057"/>
      <c r="N7" s="1058">
        <f t="shared" ref="N7:N11" si="6">M7*47.6525</f>
        <v>0</v>
      </c>
      <c r="O7" s="1057">
        <v>160</v>
      </c>
      <c r="P7" s="1058">
        <f t="shared" ref="P7:P11" si="7">O7*8.9</f>
        <v>1424</v>
      </c>
      <c r="Q7" s="1058"/>
      <c r="R7" s="1058">
        <f t="shared" ref="R7:R11" si="8">241*Q7</f>
        <v>0</v>
      </c>
      <c r="S7" s="1057"/>
      <c r="T7" s="1057">
        <f t="shared" ref="T7:T10" si="9">241*S7</f>
        <v>0</v>
      </c>
      <c r="U7" s="1057"/>
      <c r="V7" s="1057">
        <f t="shared" ref="V7:V11" si="10">332*U7</f>
        <v>0</v>
      </c>
      <c r="W7" s="1057"/>
      <c r="X7" s="19">
        <f t="shared" ref="X7:X11" si="11">W7*100</f>
        <v>0</v>
      </c>
      <c r="Y7" s="20">
        <f t="shared" si="0"/>
        <v>50049</v>
      </c>
    </row>
    <row r="8" spans="1:25" ht="35.25" customHeight="1" x14ac:dyDescent="0.25">
      <c r="A8" s="12">
        <v>1967020280</v>
      </c>
      <c r="B8" s="1054" t="s">
        <v>427</v>
      </c>
      <c r="C8" s="1057">
        <v>37908</v>
      </c>
      <c r="D8" s="1058">
        <f t="shared" si="1"/>
        <v>36865.53</v>
      </c>
      <c r="E8" s="1057"/>
      <c r="F8" s="1057">
        <f t="shared" si="2"/>
        <v>0</v>
      </c>
      <c r="G8" s="1057">
        <v>30</v>
      </c>
      <c r="H8" s="1058">
        <f t="shared" si="3"/>
        <v>846</v>
      </c>
      <c r="I8" s="1057"/>
      <c r="J8" s="1057">
        <f t="shared" si="4"/>
        <v>0</v>
      </c>
      <c r="K8" s="1057">
        <v>20</v>
      </c>
      <c r="L8" s="1058">
        <f t="shared" si="5"/>
        <v>564.73599999999999</v>
      </c>
      <c r="M8" s="1057"/>
      <c r="N8" s="1058">
        <f t="shared" si="6"/>
        <v>0</v>
      </c>
      <c r="O8" s="1057"/>
      <c r="P8" s="1058">
        <f t="shared" si="7"/>
        <v>0</v>
      </c>
      <c r="Q8" s="1058"/>
      <c r="R8" s="1058">
        <f t="shared" si="8"/>
        <v>0</v>
      </c>
      <c r="S8" s="1057">
        <v>5</v>
      </c>
      <c r="T8" s="1057">
        <f t="shared" si="9"/>
        <v>1205</v>
      </c>
      <c r="U8" s="1057"/>
      <c r="V8" s="1057">
        <f t="shared" si="10"/>
        <v>0</v>
      </c>
      <c r="W8" s="1057"/>
      <c r="X8" s="19">
        <f t="shared" si="11"/>
        <v>0</v>
      </c>
      <c r="Y8" s="20">
        <f t="shared" si="0"/>
        <v>39481.265999999996</v>
      </c>
    </row>
    <row r="9" spans="1:25" ht="38.25" customHeight="1" x14ac:dyDescent="0.25">
      <c r="A9" s="12">
        <v>1984225580</v>
      </c>
      <c r="B9" s="1054" t="s">
        <v>75</v>
      </c>
      <c r="C9" s="1057">
        <v>53409</v>
      </c>
      <c r="D9" s="1058">
        <f t="shared" si="1"/>
        <v>51940.252500000002</v>
      </c>
      <c r="E9" s="1057"/>
      <c r="F9" s="1057">
        <f t="shared" si="2"/>
        <v>0</v>
      </c>
      <c r="G9" s="1057"/>
      <c r="H9" s="1057">
        <f t="shared" si="3"/>
        <v>0</v>
      </c>
      <c r="I9" s="1057"/>
      <c r="J9" s="1057">
        <f t="shared" si="4"/>
        <v>0</v>
      </c>
      <c r="K9" s="1057"/>
      <c r="L9" s="1058">
        <f t="shared" si="5"/>
        <v>0</v>
      </c>
      <c r="M9" s="1057"/>
      <c r="N9" s="1058">
        <f t="shared" si="6"/>
        <v>0</v>
      </c>
      <c r="O9" s="1057"/>
      <c r="P9" s="1058">
        <f t="shared" si="7"/>
        <v>0</v>
      </c>
      <c r="Q9" s="1058"/>
      <c r="R9" s="1058">
        <f t="shared" si="8"/>
        <v>0</v>
      </c>
      <c r="S9" s="1057"/>
      <c r="T9" s="1057">
        <f t="shared" si="9"/>
        <v>0</v>
      </c>
      <c r="U9" s="1057"/>
      <c r="V9" s="1057">
        <f t="shared" si="10"/>
        <v>0</v>
      </c>
      <c r="W9" s="1057"/>
      <c r="X9" s="19">
        <f t="shared" si="11"/>
        <v>0</v>
      </c>
      <c r="Y9" s="20">
        <f t="shared" si="0"/>
        <v>51940.252500000002</v>
      </c>
    </row>
    <row r="10" spans="1:25" ht="35.25" customHeight="1" x14ac:dyDescent="0.25">
      <c r="A10" s="12">
        <v>1409935199</v>
      </c>
      <c r="C10" s="1057"/>
      <c r="D10" s="1058">
        <f t="shared" si="1"/>
        <v>0</v>
      </c>
      <c r="E10" s="1057"/>
      <c r="F10" s="1057">
        <f t="shared" si="2"/>
        <v>0</v>
      </c>
      <c r="G10" s="1057"/>
      <c r="H10" s="1057">
        <f t="shared" si="3"/>
        <v>0</v>
      </c>
      <c r="I10" s="1057"/>
      <c r="J10" s="1057">
        <f t="shared" si="4"/>
        <v>0</v>
      </c>
      <c r="K10" s="1057"/>
      <c r="L10" s="1058">
        <f t="shared" si="5"/>
        <v>0</v>
      </c>
      <c r="M10" s="1057"/>
      <c r="N10" s="1058">
        <f t="shared" si="6"/>
        <v>0</v>
      </c>
      <c r="O10" s="1057"/>
      <c r="P10" s="1058">
        <f t="shared" si="7"/>
        <v>0</v>
      </c>
      <c r="Q10" s="1058"/>
      <c r="R10" s="1058">
        <f t="shared" si="8"/>
        <v>0</v>
      </c>
      <c r="S10" s="1057"/>
      <c r="T10" s="1057">
        <f t="shared" si="9"/>
        <v>0</v>
      </c>
      <c r="U10" s="1057"/>
      <c r="V10" s="1057">
        <f t="shared" si="10"/>
        <v>0</v>
      </c>
      <c r="W10" s="1057"/>
      <c r="X10" s="19">
        <f t="shared" si="11"/>
        <v>0</v>
      </c>
      <c r="Y10" s="20">
        <f t="shared" si="0"/>
        <v>0</v>
      </c>
    </row>
    <row r="11" spans="1:25" ht="37.5" customHeight="1" x14ac:dyDescent="0.25">
      <c r="A11" s="12"/>
      <c r="B11" s="1056"/>
      <c r="C11" s="1057"/>
      <c r="D11" s="1058">
        <f t="shared" si="1"/>
        <v>0</v>
      </c>
      <c r="E11" s="1057"/>
      <c r="F11" s="1057">
        <f t="shared" si="2"/>
        <v>0</v>
      </c>
      <c r="G11" s="1057"/>
      <c r="H11" s="1057">
        <f t="shared" si="3"/>
        <v>0</v>
      </c>
      <c r="I11" s="1057"/>
      <c r="J11" s="1057">
        <f t="shared" si="4"/>
        <v>0</v>
      </c>
      <c r="K11" s="1057"/>
      <c r="L11" s="1058">
        <f t="shared" si="5"/>
        <v>0</v>
      </c>
      <c r="M11" s="1057"/>
      <c r="N11" s="1058">
        <f t="shared" si="6"/>
        <v>0</v>
      </c>
      <c r="O11" s="1057"/>
      <c r="P11" s="1058">
        <f t="shared" si="7"/>
        <v>0</v>
      </c>
      <c r="Q11" s="1058"/>
      <c r="R11" s="1058">
        <f t="shared" si="8"/>
        <v>0</v>
      </c>
      <c r="S11" s="1057"/>
      <c r="T11" s="1057">
        <f>341*S11</f>
        <v>0</v>
      </c>
      <c r="U11" s="1057"/>
      <c r="V11" s="1057">
        <f t="shared" si="10"/>
        <v>0</v>
      </c>
      <c r="W11" s="1057"/>
      <c r="X11" s="19">
        <f t="shared" si="11"/>
        <v>0</v>
      </c>
      <c r="Y11" s="20">
        <f t="shared" si="0"/>
        <v>0</v>
      </c>
    </row>
    <row r="12" spans="1:25" ht="29.25" customHeight="1" x14ac:dyDescent="0.25">
      <c r="A12" s="2235" t="s">
        <v>31</v>
      </c>
      <c r="B12" s="2235"/>
      <c r="C12" s="18">
        <f t="shared" ref="C12:X12" si="12">SUM(C6:C11)</f>
        <v>180327</v>
      </c>
      <c r="D12" s="18">
        <f t="shared" si="12"/>
        <v>175368.00750000001</v>
      </c>
      <c r="E12" s="18">
        <f t="shared" si="12"/>
        <v>70</v>
      </c>
      <c r="F12" s="18">
        <f t="shared" si="12"/>
        <v>4697</v>
      </c>
      <c r="G12" s="18">
        <f t="shared" si="12"/>
        <v>30</v>
      </c>
      <c r="H12" s="18">
        <f t="shared" si="12"/>
        <v>846</v>
      </c>
      <c r="I12" s="18">
        <f t="shared" si="12"/>
        <v>80</v>
      </c>
      <c r="J12" s="18">
        <f t="shared" si="12"/>
        <v>1480</v>
      </c>
      <c r="K12" s="18">
        <f t="shared" si="12"/>
        <v>20</v>
      </c>
      <c r="L12" s="18">
        <f t="shared" si="12"/>
        <v>564.73599999999999</v>
      </c>
      <c r="M12" s="18">
        <f t="shared" si="12"/>
        <v>0</v>
      </c>
      <c r="N12" s="23">
        <f t="shared" si="12"/>
        <v>0</v>
      </c>
      <c r="O12" s="18">
        <f t="shared" si="12"/>
        <v>1930</v>
      </c>
      <c r="P12" s="23">
        <f t="shared" si="12"/>
        <v>17177</v>
      </c>
      <c r="Q12" s="23">
        <f t="shared" si="12"/>
        <v>0</v>
      </c>
      <c r="R12" s="23">
        <f>SUM(R6:R11)</f>
        <v>0</v>
      </c>
      <c r="S12" s="23">
        <f>SUM(S6:S11)</f>
        <v>5</v>
      </c>
      <c r="T12" s="18">
        <f t="shared" si="12"/>
        <v>1205</v>
      </c>
      <c r="U12" s="18">
        <f t="shared" si="12"/>
        <v>0</v>
      </c>
      <c r="V12" s="18">
        <f t="shared" si="12"/>
        <v>0</v>
      </c>
      <c r="W12" s="18">
        <f t="shared" si="12"/>
        <v>0</v>
      </c>
      <c r="X12" s="18">
        <f t="shared" si="12"/>
        <v>0</v>
      </c>
      <c r="Y12" s="20">
        <f t="shared" si="0"/>
        <v>201337.74350000001</v>
      </c>
    </row>
    <row r="14" spans="1:25" ht="43.5" customHeight="1" x14ac:dyDescent="0.25">
      <c r="A14" s="30" t="s">
        <v>32</v>
      </c>
      <c r="B14" s="2236" t="s">
        <v>27</v>
      </c>
      <c r="C14" s="2236"/>
      <c r="D14" s="30" t="s">
        <v>333</v>
      </c>
      <c r="E14" s="30" t="s">
        <v>65</v>
      </c>
      <c r="F14" s="30" t="s">
        <v>34</v>
      </c>
      <c r="G14" s="30" t="s">
        <v>14</v>
      </c>
      <c r="H14" s="469" t="s">
        <v>173</v>
      </c>
      <c r="I14" s="30" t="s">
        <v>17</v>
      </c>
      <c r="J14" s="1062" t="s">
        <v>174</v>
      </c>
      <c r="K14" s="30" t="s">
        <v>36</v>
      </c>
      <c r="L14" s="1062" t="s">
        <v>403</v>
      </c>
      <c r="M14" s="30" t="s">
        <v>429</v>
      </c>
      <c r="N14" s="30" t="s">
        <v>442</v>
      </c>
      <c r="O14" s="1062" t="s">
        <v>114</v>
      </c>
      <c r="P14" s="30" t="s">
        <v>70</v>
      </c>
      <c r="Q14" s="2300" t="s">
        <v>378</v>
      </c>
      <c r="R14" s="2301"/>
      <c r="S14" s="1062" t="s">
        <v>401</v>
      </c>
      <c r="T14" s="2235" t="s">
        <v>46</v>
      </c>
      <c r="U14" s="1054" t="s">
        <v>176</v>
      </c>
      <c r="V14" s="2260">
        <v>21755</v>
      </c>
      <c r="W14" s="2268"/>
      <c r="X14" s="2261"/>
    </row>
    <row r="15" spans="1:25" ht="22.5" customHeight="1" x14ac:dyDescent="0.25">
      <c r="A15" s="100" t="s">
        <v>38</v>
      </c>
      <c r="B15" s="2260">
        <v>382096</v>
      </c>
      <c r="C15" s="2261"/>
      <c r="D15" s="1059">
        <v>362</v>
      </c>
      <c r="E15" s="1059">
        <v>30</v>
      </c>
      <c r="F15" s="1059">
        <v>370</v>
      </c>
      <c r="G15" s="1059">
        <v>600</v>
      </c>
      <c r="H15" s="1059">
        <v>360</v>
      </c>
      <c r="I15" s="1059">
        <v>73</v>
      </c>
      <c r="J15" s="1059">
        <v>5</v>
      </c>
      <c r="K15" s="1059">
        <v>59</v>
      </c>
      <c r="L15" s="1059">
        <v>8</v>
      </c>
      <c r="M15" s="1059">
        <v>60</v>
      </c>
      <c r="N15" s="1059">
        <v>15360</v>
      </c>
      <c r="O15" s="1059">
        <v>0</v>
      </c>
      <c r="P15" s="1059">
        <v>100</v>
      </c>
      <c r="Q15" s="2260">
        <v>0</v>
      </c>
      <c r="R15" s="2261"/>
      <c r="S15" s="1054">
        <v>7</v>
      </c>
      <c r="T15" s="2235"/>
      <c r="U15" s="1054" t="s">
        <v>64</v>
      </c>
      <c r="V15" s="2262">
        <v>84136</v>
      </c>
      <c r="W15" s="2262"/>
      <c r="X15" s="2262"/>
    </row>
    <row r="16" spans="1:25" ht="24.75" customHeight="1" x14ac:dyDescent="0.25">
      <c r="A16" s="100" t="s">
        <v>39</v>
      </c>
      <c r="B16" s="2260">
        <v>332467</v>
      </c>
      <c r="C16" s="2261"/>
      <c r="D16" s="1059"/>
      <c r="E16" s="1059"/>
      <c r="F16" s="1059"/>
      <c r="G16" s="1059"/>
      <c r="H16" s="1059"/>
      <c r="I16" s="1059"/>
      <c r="J16" s="1059"/>
      <c r="K16" s="1059"/>
      <c r="L16" s="1059"/>
      <c r="M16" s="1059"/>
      <c r="N16" s="1059"/>
      <c r="O16" s="1059"/>
      <c r="P16" s="1059"/>
      <c r="Q16" s="2225"/>
      <c r="R16" s="2225"/>
      <c r="S16" s="1059"/>
      <c r="T16" s="2254" t="s">
        <v>55</v>
      </c>
      <c r="U16" s="2254"/>
      <c r="V16" s="2267">
        <f>Y12</f>
        <v>201337.74350000001</v>
      </c>
      <c r="W16" s="2267"/>
      <c r="X16" s="2262"/>
    </row>
    <row r="17" spans="1:25" ht="28.5" customHeight="1" x14ac:dyDescent="0.25">
      <c r="A17" s="101" t="s">
        <v>44</v>
      </c>
      <c r="B17" s="2260"/>
      <c r="C17" s="2261"/>
      <c r="D17" s="1059"/>
      <c r="E17" s="1059"/>
      <c r="F17" s="1059"/>
      <c r="G17" s="1059"/>
      <c r="H17" s="1059"/>
      <c r="I17" s="1059"/>
      <c r="J17" s="1059"/>
      <c r="K17" s="1059"/>
      <c r="L17" s="1059"/>
      <c r="M17" s="1059"/>
      <c r="N17" s="1059"/>
      <c r="O17" s="1059"/>
      <c r="P17" s="1059"/>
      <c r="Q17" s="2225"/>
      <c r="R17" s="2225"/>
      <c r="S17" s="1056"/>
      <c r="T17" s="2294" t="s">
        <v>437</v>
      </c>
      <c r="U17" s="2295"/>
      <c r="V17" s="2296"/>
      <c r="W17" s="2296"/>
      <c r="X17" s="2296"/>
    </row>
    <row r="18" spans="1:25" ht="27" customHeight="1" x14ac:dyDescent="0.25">
      <c r="A18" s="100" t="s">
        <v>40</v>
      </c>
      <c r="B18" s="2264">
        <f>C12</f>
        <v>180327</v>
      </c>
      <c r="C18" s="2261"/>
      <c r="D18" s="1060">
        <f>E12</f>
        <v>70</v>
      </c>
      <c r="E18" s="1060">
        <f>G12</f>
        <v>30</v>
      </c>
      <c r="F18" s="1060">
        <f>I12</f>
        <v>80</v>
      </c>
      <c r="G18" s="1060">
        <f>K12</f>
        <v>20</v>
      </c>
      <c r="H18" s="1059">
        <v>5</v>
      </c>
      <c r="I18" s="1060">
        <f>U12</f>
        <v>0</v>
      </c>
      <c r="J18" s="1059"/>
      <c r="K18" s="1060">
        <f>W12</f>
        <v>0</v>
      </c>
      <c r="L18" s="1059"/>
      <c r="M18" s="1060">
        <f>M12</f>
        <v>0</v>
      </c>
      <c r="N18" s="1060">
        <f>O12</f>
        <v>1930</v>
      </c>
      <c r="O18" s="1061">
        <f>Q12</f>
        <v>0</v>
      </c>
      <c r="P18" s="1060"/>
      <c r="Q18" s="2262"/>
      <c r="R18" s="2262"/>
      <c r="S18" s="1054"/>
      <c r="T18" s="2254" t="s">
        <v>57</v>
      </c>
      <c r="U18" s="2254"/>
      <c r="V18" s="2262">
        <v>520</v>
      </c>
      <c r="W18" s="2262"/>
      <c r="X18" s="2262"/>
      <c r="Y18" s="2269"/>
    </row>
    <row r="19" spans="1:25" ht="25.5" customHeight="1" x14ac:dyDescent="0.25">
      <c r="A19" s="100" t="s">
        <v>41</v>
      </c>
      <c r="B19" s="2260">
        <f>B15+B16+B17-B18</f>
        <v>534236</v>
      </c>
      <c r="C19" s="2261"/>
      <c r="D19" s="1059">
        <f>D15+D16+D17-D18</f>
        <v>292</v>
      </c>
      <c r="E19" s="1059">
        <f t="shared" ref="E19:N19" si="13">E15+E16+E17-E18</f>
        <v>0</v>
      </c>
      <c r="F19" s="1059">
        <f t="shared" si="13"/>
        <v>290</v>
      </c>
      <c r="G19" s="1059">
        <f t="shared" si="13"/>
        <v>580</v>
      </c>
      <c r="H19" s="1059">
        <f t="shared" si="13"/>
        <v>355</v>
      </c>
      <c r="I19" s="1059">
        <f t="shared" si="13"/>
        <v>73</v>
      </c>
      <c r="J19" s="1059">
        <f t="shared" si="13"/>
        <v>5</v>
      </c>
      <c r="K19" s="1059">
        <f t="shared" si="13"/>
        <v>59</v>
      </c>
      <c r="L19" s="1059">
        <f t="shared" si="13"/>
        <v>8</v>
      </c>
      <c r="M19" s="1059">
        <f t="shared" si="13"/>
        <v>60</v>
      </c>
      <c r="N19" s="1059">
        <f t="shared" si="13"/>
        <v>13430</v>
      </c>
      <c r="O19" s="1059">
        <f>O15+O16+O17-O18</f>
        <v>0</v>
      </c>
      <c r="P19" s="1059">
        <f t="shared" ref="P19:Q19" si="14">P15+P16+P17-P18</f>
        <v>100</v>
      </c>
      <c r="Q19" s="2260">
        <f t="shared" si="14"/>
        <v>0</v>
      </c>
      <c r="R19" s="2261"/>
      <c r="S19" s="1054">
        <f>S15+S16-S17-S18</f>
        <v>7</v>
      </c>
      <c r="T19" s="2256" t="s">
        <v>48</v>
      </c>
      <c r="U19" s="49" t="s">
        <v>58</v>
      </c>
      <c r="V19" s="2262">
        <v>150000</v>
      </c>
      <c r="W19" s="2262"/>
      <c r="X19" s="2262"/>
      <c r="Y19" s="2269"/>
    </row>
    <row r="20" spans="1:25" ht="23.25" customHeight="1" x14ac:dyDescent="0.25">
      <c r="A20" s="289" t="s">
        <v>187</v>
      </c>
      <c r="B20" s="2286">
        <f>B19*0.9625</f>
        <v>514202.15</v>
      </c>
      <c r="C20" s="2287"/>
      <c r="D20" s="290">
        <f>D19*66.41</f>
        <v>19391.719999999998</v>
      </c>
      <c r="E20" s="290">
        <f>27.9368*E19</f>
        <v>0</v>
      </c>
      <c r="F20" s="290">
        <f>18.31*F19</f>
        <v>5309.9</v>
      </c>
      <c r="G20" s="290">
        <f>27.9368*G19</f>
        <v>16203.344000000001</v>
      </c>
      <c r="H20" s="290">
        <f>241*H19</f>
        <v>85555</v>
      </c>
      <c r="I20" s="290">
        <f>323*I19</f>
        <v>23579</v>
      </c>
      <c r="J20" s="290">
        <f>241*J19</f>
        <v>1205</v>
      </c>
      <c r="K20" s="290">
        <f>K19*100</f>
        <v>5900</v>
      </c>
      <c r="L20" s="290">
        <f>241*L19</f>
        <v>1928</v>
      </c>
      <c r="M20" s="290">
        <f>47.1625*M19</f>
        <v>2829.75</v>
      </c>
      <c r="N20" s="290">
        <f>N19*8.81</f>
        <v>118318.3</v>
      </c>
      <c r="O20" s="290">
        <f>241*O19</f>
        <v>0</v>
      </c>
      <c r="P20" s="290">
        <f>P19*48.2</f>
        <v>4820</v>
      </c>
      <c r="Q20" s="2286">
        <f>341*Q19</f>
        <v>0</v>
      </c>
      <c r="R20" s="2287"/>
      <c r="S20" s="290">
        <f>341*S19</f>
        <v>2387</v>
      </c>
      <c r="T20" s="2257"/>
      <c r="U20" s="49" t="s">
        <v>59</v>
      </c>
      <c r="V20" s="2262"/>
      <c r="W20" s="2262"/>
      <c r="X20" s="2262"/>
      <c r="Y20" s="2269"/>
    </row>
    <row r="21" spans="1:25" ht="32.25" customHeight="1" x14ac:dyDescent="0.25">
      <c r="A21" s="291" t="s">
        <v>186</v>
      </c>
      <c r="B21" s="2293">
        <f>SUM(B20:S20)</f>
        <v>801629.16400000011</v>
      </c>
      <c r="C21" s="2293"/>
      <c r="O21" s="1063"/>
      <c r="P21" s="1063"/>
      <c r="Q21" s="1063"/>
      <c r="R21" s="1063"/>
      <c r="T21" s="2294" t="s">
        <v>438</v>
      </c>
      <c r="U21" s="2295"/>
      <c r="V21" s="2297"/>
      <c r="W21" s="2298"/>
      <c r="X21" s="2299"/>
      <c r="Y21" s="2269"/>
    </row>
    <row r="22" spans="1:25" ht="35.25" customHeight="1" x14ac:dyDescent="0.25">
      <c r="A22" s="15"/>
      <c r="B22" s="2288" t="s">
        <v>49</v>
      </c>
      <c r="C22" s="2291">
        <v>150000</v>
      </c>
      <c r="D22" s="2291">
        <v>150000</v>
      </c>
      <c r="E22" s="2291">
        <v>320000</v>
      </c>
      <c r="F22" s="2291">
        <f>C22-D22+E22</f>
        <v>320000</v>
      </c>
      <c r="G22" s="1063"/>
      <c r="Q22" s="1063"/>
      <c r="R22" s="1063"/>
      <c r="T22" s="2251" t="s">
        <v>83</v>
      </c>
      <c r="U22" s="50" t="s">
        <v>60</v>
      </c>
      <c r="V22" s="2262">
        <v>131860</v>
      </c>
      <c r="W22" s="2262"/>
      <c r="X22" s="2262"/>
      <c r="Y22" s="2269"/>
    </row>
    <row r="23" spans="1:25" ht="39.75" customHeight="1" x14ac:dyDescent="0.25">
      <c r="A23" s="1063"/>
      <c r="B23" s="2289"/>
      <c r="C23" s="2292"/>
      <c r="D23" s="2292"/>
      <c r="E23" s="2292"/>
      <c r="F23" s="2292"/>
      <c r="G23" s="1063"/>
      <c r="Q23" s="1063"/>
      <c r="R23" s="1063"/>
      <c r="T23" s="2252"/>
      <c r="U23" s="50" t="s">
        <v>61</v>
      </c>
      <c r="V23" s="2262">
        <v>150000</v>
      </c>
      <c r="W23" s="2262"/>
      <c r="X23" s="2262"/>
      <c r="Y23" s="2269"/>
    </row>
    <row r="24" spans="1:25" ht="48" customHeight="1" x14ac:dyDescent="0.25">
      <c r="A24" s="1063"/>
      <c r="B24" s="2290"/>
      <c r="C24" s="290" t="s">
        <v>46</v>
      </c>
      <c r="D24" s="290" t="s">
        <v>50</v>
      </c>
      <c r="E24" s="290" t="s">
        <v>51</v>
      </c>
      <c r="F24" s="290" t="s">
        <v>52</v>
      </c>
      <c r="G24" s="1063"/>
      <c r="Q24" s="1063"/>
      <c r="R24" s="1063"/>
      <c r="T24" s="2235" t="s">
        <v>47</v>
      </c>
      <c r="U24" s="51" t="s">
        <v>62</v>
      </c>
      <c r="V24" s="2263">
        <f>V14+V16+V17-V18-V19-V20-V22+V23-V21</f>
        <v>90712.743500000011</v>
      </c>
      <c r="W24" s="2263"/>
      <c r="X24" s="2263"/>
      <c r="Y24" s="2269"/>
    </row>
    <row r="25" spans="1:25" ht="40.5" customHeight="1" x14ac:dyDescent="0.25">
      <c r="T25" s="2235"/>
      <c r="U25" s="51" t="s">
        <v>63</v>
      </c>
      <c r="V25" s="2262">
        <f>V15+V22-V23</f>
        <v>65996</v>
      </c>
      <c r="W25" s="2262"/>
      <c r="X25" s="2262"/>
    </row>
    <row r="26" spans="1:25" ht="36" customHeight="1" x14ac:dyDescent="0.25">
      <c r="K26" s="314"/>
    </row>
    <row r="28" spans="1:25" x14ac:dyDescent="0.25">
      <c r="J28" s="14" t="s">
        <v>139</v>
      </c>
    </row>
    <row r="32" spans="1:25" x14ac:dyDescent="0.25">
      <c r="I32" s="2280"/>
      <c r="J32" s="2280"/>
      <c r="K32" s="2280"/>
      <c r="L32" s="2280"/>
    </row>
    <row r="33" spans="9:12" x14ac:dyDescent="0.25">
      <c r="I33" s="1063"/>
      <c r="J33" s="1063"/>
      <c r="K33" s="2280"/>
      <c r="L33" s="2280"/>
    </row>
  </sheetData>
  <mergeCells count="62">
    <mergeCell ref="I32:J32"/>
    <mergeCell ref="K32:L32"/>
    <mergeCell ref="K33:L33"/>
    <mergeCell ref="T22:T23"/>
    <mergeCell ref="V22:X22"/>
    <mergeCell ref="V23:X23"/>
    <mergeCell ref="T24:T25"/>
    <mergeCell ref="V24:X24"/>
    <mergeCell ref="V25:X25"/>
    <mergeCell ref="Y18:Y24"/>
    <mergeCell ref="B19:C19"/>
    <mergeCell ref="Q19:R19"/>
    <mergeCell ref="T19:T20"/>
    <mergeCell ref="V19:X19"/>
    <mergeCell ref="B20:C20"/>
    <mergeCell ref="B22:B24"/>
    <mergeCell ref="C22:C23"/>
    <mergeCell ref="D22:D23"/>
    <mergeCell ref="E22:E23"/>
    <mergeCell ref="F22:F23"/>
    <mergeCell ref="Q20:R20"/>
    <mergeCell ref="V20:X20"/>
    <mergeCell ref="B21:C21"/>
    <mergeCell ref="T21:U21"/>
    <mergeCell ref="V21:X21"/>
    <mergeCell ref="B17:C17"/>
    <mergeCell ref="Q17:R17"/>
    <mergeCell ref="T17:U17"/>
    <mergeCell ref="V17:X17"/>
    <mergeCell ref="B18:C18"/>
    <mergeCell ref="Q18:R18"/>
    <mergeCell ref="T18:U18"/>
    <mergeCell ref="V18:X18"/>
    <mergeCell ref="W4:X4"/>
    <mergeCell ref="B16:C16"/>
    <mergeCell ref="Q16:R16"/>
    <mergeCell ref="T16:U16"/>
    <mergeCell ref="V16:X16"/>
    <mergeCell ref="A12:B12"/>
    <mergeCell ref="B14:C14"/>
    <mergeCell ref="Q14:R14"/>
    <mergeCell ref="T14:T15"/>
    <mergeCell ref="V14:X14"/>
    <mergeCell ref="B15:C15"/>
    <mergeCell ref="Q15:R15"/>
    <mergeCell ref="V15:X15"/>
    <mergeCell ref="A1:Y1"/>
    <mergeCell ref="A2:Y2"/>
    <mergeCell ref="T3:Y3"/>
    <mergeCell ref="A4:A5"/>
    <mergeCell ref="B4:B5"/>
    <mergeCell ref="C4:D4"/>
    <mergeCell ref="E4:F4"/>
    <mergeCell ref="G4:H4"/>
    <mergeCell ref="I4:J4"/>
    <mergeCell ref="K4:L4"/>
    <mergeCell ref="Y4:Y5"/>
    <mergeCell ref="M4:N4"/>
    <mergeCell ref="O4:P4"/>
    <mergeCell ref="Q4:R4"/>
    <mergeCell ref="S4:T4"/>
    <mergeCell ref="U4:V4"/>
  </mergeCells>
  <pageMargins left="0.15748031496063" right="0.15748031496063" top="0" bottom="0" header="0" footer="0"/>
  <pageSetup paperSize="9" scale="45" orientation="landscape" r:id="rId1"/>
</worksheet>
</file>

<file path=xl/worksheets/sheet2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DDE3F21-725F-4760-B7B1-55A51AA7EFED}">
  <sheetPr>
    <pageSetUpPr fitToPage="1"/>
  </sheetPr>
  <dimension ref="A1:Y33"/>
  <sheetViews>
    <sheetView topLeftCell="A10" zoomScale="70" zoomScaleNormal="70" zoomScaleSheetLayoutView="100" zoomScalePageLayoutView="68" workbookViewId="0">
      <selection activeCell="N24" sqref="N24"/>
    </sheetView>
  </sheetViews>
  <sheetFormatPr defaultColWidth="9.140625" defaultRowHeight="15" x14ac:dyDescent="0.25"/>
  <cols>
    <col min="1" max="1" width="18.28515625" style="14" customWidth="1"/>
    <col min="2" max="2" width="10.7109375" style="14" customWidth="1"/>
    <col min="3" max="3" width="12.28515625" style="14" customWidth="1"/>
    <col min="4" max="4" width="13.140625" style="14" bestFit="1" customWidth="1"/>
    <col min="5" max="5" width="12" style="14" customWidth="1"/>
    <col min="6" max="6" width="12.5703125" style="14" bestFit="1" customWidth="1"/>
    <col min="7" max="7" width="16" style="14" bestFit="1" customWidth="1"/>
    <col min="8" max="8" width="10.140625" style="14" bestFit="1" customWidth="1"/>
    <col min="9" max="9" width="10.5703125" style="14" bestFit="1" customWidth="1"/>
    <col min="10" max="10" width="10.5703125" style="14" customWidth="1"/>
    <col min="11" max="11" width="10.28515625" style="14" bestFit="1" customWidth="1"/>
    <col min="12" max="12" width="10.42578125" style="14" bestFit="1" customWidth="1"/>
    <col min="13" max="14" width="12" style="14" bestFit="1" customWidth="1"/>
    <col min="15" max="15" width="9" style="14" customWidth="1"/>
    <col min="16" max="16" width="12.85546875" style="14" bestFit="1" customWidth="1"/>
    <col min="17" max="18" width="9.42578125" style="14" customWidth="1"/>
    <col min="19" max="19" width="13.7109375" style="14" customWidth="1"/>
    <col min="20" max="20" width="12.140625" style="14" customWidth="1"/>
    <col min="21" max="21" width="21.7109375" style="14" customWidth="1"/>
    <col min="22" max="22" width="9.85546875" style="14" customWidth="1"/>
    <col min="23" max="23" width="10.140625" style="14" bestFit="1" customWidth="1"/>
    <col min="24" max="24" width="10.28515625" style="14" customWidth="1"/>
    <col min="25" max="25" width="28" style="14" customWidth="1"/>
    <col min="26" max="16384" width="9.140625" style="14"/>
  </cols>
  <sheetData>
    <row r="1" spans="1:25" ht="46.15" customHeight="1" x14ac:dyDescent="0.25">
      <c r="A1" s="2240" t="s">
        <v>148</v>
      </c>
      <c r="B1" s="2240"/>
      <c r="C1" s="2240"/>
      <c r="D1" s="2240"/>
      <c r="E1" s="2240"/>
      <c r="F1" s="2240"/>
      <c r="G1" s="2240"/>
      <c r="H1" s="2240"/>
      <c r="I1" s="2240"/>
      <c r="J1" s="2240"/>
      <c r="K1" s="2240"/>
      <c r="L1" s="2240"/>
      <c r="M1" s="2240"/>
      <c r="N1" s="2240"/>
      <c r="O1" s="2240"/>
      <c r="P1" s="2240"/>
      <c r="Q1" s="2240"/>
      <c r="R1" s="2240"/>
      <c r="S1" s="2240"/>
      <c r="T1" s="2240"/>
      <c r="U1" s="2240"/>
      <c r="V1" s="2240"/>
      <c r="W1" s="2240"/>
      <c r="X1" s="2240"/>
      <c r="Y1" s="2240"/>
    </row>
    <row r="2" spans="1:25" ht="21.6" customHeight="1" x14ac:dyDescent="0.25">
      <c r="A2" s="2241" t="s">
        <v>383</v>
      </c>
      <c r="B2" s="2241"/>
      <c r="C2" s="2241"/>
      <c r="D2" s="2241"/>
      <c r="E2" s="2241"/>
      <c r="F2" s="2241"/>
      <c r="G2" s="2241"/>
      <c r="H2" s="2241"/>
      <c r="I2" s="2241"/>
      <c r="J2" s="2241"/>
      <c r="K2" s="2241"/>
      <c r="L2" s="2241"/>
      <c r="M2" s="2241"/>
      <c r="N2" s="2241"/>
      <c r="O2" s="2241"/>
      <c r="P2" s="2241"/>
      <c r="Q2" s="2241"/>
      <c r="R2" s="2241"/>
      <c r="S2" s="2241"/>
      <c r="T2" s="2241"/>
      <c r="U2" s="2241"/>
      <c r="V2" s="2241"/>
      <c r="W2" s="2241"/>
      <c r="X2" s="2241"/>
      <c r="Y2" s="2241"/>
    </row>
    <row r="3" spans="1:25" ht="21" customHeight="1" x14ac:dyDescent="0.25">
      <c r="A3" s="1069"/>
      <c r="B3" s="1069"/>
      <c r="C3" s="1069"/>
      <c r="D3" s="1069"/>
      <c r="E3" s="1069"/>
      <c r="F3" s="1069"/>
      <c r="G3" s="1069"/>
      <c r="H3" s="1069"/>
      <c r="I3" s="1069"/>
      <c r="J3" s="1069"/>
      <c r="K3" s="1069"/>
      <c r="L3" s="1069"/>
      <c r="M3" s="1069"/>
      <c r="N3" s="1069"/>
      <c r="O3" s="1069"/>
      <c r="P3" s="1069"/>
      <c r="Q3" s="1069"/>
      <c r="R3" s="1069"/>
      <c r="S3" s="1069"/>
      <c r="T3" s="2242" t="s">
        <v>445</v>
      </c>
      <c r="U3" s="2242"/>
      <c r="V3" s="2242"/>
      <c r="W3" s="2242"/>
      <c r="X3" s="2242"/>
      <c r="Y3" s="2242"/>
    </row>
    <row r="4" spans="1:25" s="1069" customFormat="1" ht="18" customHeight="1" x14ac:dyDescent="0.25">
      <c r="A4" s="2243" t="s">
        <v>25</v>
      </c>
      <c r="B4" s="2243" t="s">
        <v>26</v>
      </c>
      <c r="C4" s="2244" t="s">
        <v>27</v>
      </c>
      <c r="D4" s="2244"/>
      <c r="E4" s="2244" t="s">
        <v>342</v>
      </c>
      <c r="F4" s="2244"/>
      <c r="G4" s="2244" t="s">
        <v>65</v>
      </c>
      <c r="H4" s="2244"/>
      <c r="I4" s="2244" t="s">
        <v>29</v>
      </c>
      <c r="J4" s="2244"/>
      <c r="K4" s="2245" t="s">
        <v>14</v>
      </c>
      <c r="L4" s="2246"/>
      <c r="M4" s="2245" t="s">
        <v>429</v>
      </c>
      <c r="N4" s="2246"/>
      <c r="O4" s="2245" t="s">
        <v>441</v>
      </c>
      <c r="P4" s="2246"/>
      <c r="Q4" s="2245" t="s">
        <v>114</v>
      </c>
      <c r="R4" s="2246"/>
      <c r="S4" s="2244" t="s">
        <v>35</v>
      </c>
      <c r="T4" s="2244"/>
      <c r="U4" s="2245" t="s">
        <v>17</v>
      </c>
      <c r="V4" s="2246"/>
      <c r="W4" s="2247" t="s">
        <v>36</v>
      </c>
      <c r="X4" s="2248"/>
      <c r="Y4" s="2238" t="s">
        <v>30</v>
      </c>
    </row>
    <row r="5" spans="1:25" s="1069" customFormat="1" ht="25.5" customHeight="1" x14ac:dyDescent="0.25">
      <c r="A5" s="2243"/>
      <c r="B5" s="2243"/>
      <c r="C5" s="1068" t="s">
        <v>42</v>
      </c>
      <c r="D5" s="1068" t="s">
        <v>43</v>
      </c>
      <c r="E5" s="1068" t="s">
        <v>42</v>
      </c>
      <c r="F5" s="1068" t="s">
        <v>43</v>
      </c>
      <c r="G5" s="1068" t="s">
        <v>42</v>
      </c>
      <c r="H5" s="1068" t="s">
        <v>43</v>
      </c>
      <c r="I5" s="1068" t="s">
        <v>42</v>
      </c>
      <c r="J5" s="1068" t="s">
        <v>43</v>
      </c>
      <c r="K5" s="1068" t="s">
        <v>42</v>
      </c>
      <c r="L5" s="1068" t="s">
        <v>43</v>
      </c>
      <c r="M5" s="1068" t="s">
        <v>42</v>
      </c>
      <c r="N5" s="1068" t="s">
        <v>43</v>
      </c>
      <c r="O5" s="1068" t="s">
        <v>42</v>
      </c>
      <c r="P5" s="1068" t="s">
        <v>43</v>
      </c>
      <c r="Q5" s="1068" t="s">
        <v>42</v>
      </c>
      <c r="R5" s="1068" t="s">
        <v>43</v>
      </c>
      <c r="S5" s="33" t="s">
        <v>42</v>
      </c>
      <c r="T5" s="33" t="s">
        <v>43</v>
      </c>
      <c r="U5" s="30" t="s">
        <v>42</v>
      </c>
      <c r="V5" s="30" t="s">
        <v>43</v>
      </c>
      <c r="W5" s="30" t="s">
        <v>42</v>
      </c>
      <c r="X5" s="30" t="s">
        <v>43</v>
      </c>
      <c r="Y5" s="2239"/>
    </row>
    <row r="6" spans="1:25" ht="34.5" customHeight="1" x14ac:dyDescent="0.25">
      <c r="A6" s="12">
        <v>1409935200</v>
      </c>
      <c r="B6" s="1067" t="s">
        <v>71</v>
      </c>
      <c r="C6" s="1065">
        <v>21919</v>
      </c>
      <c r="D6" s="1064">
        <f>0.9725*C6</f>
        <v>21316.227500000001</v>
      </c>
      <c r="E6" s="1065"/>
      <c r="F6" s="1064">
        <f>67.1*E6</f>
        <v>0</v>
      </c>
      <c r="G6" s="1065"/>
      <c r="H6" s="1065">
        <f>28.2*G6</f>
        <v>0</v>
      </c>
      <c r="I6" s="1065">
        <v>290</v>
      </c>
      <c r="J6" s="1065">
        <f>18.5*I6</f>
        <v>5365</v>
      </c>
      <c r="K6" s="1065"/>
      <c r="L6" s="1064">
        <f>28.2368*K6</f>
        <v>0</v>
      </c>
      <c r="M6" s="1065"/>
      <c r="N6" s="1064">
        <f>M6*47.6525</f>
        <v>0</v>
      </c>
      <c r="O6" s="1065">
        <v>810</v>
      </c>
      <c r="P6" s="1064">
        <f>O6*8.9</f>
        <v>7209</v>
      </c>
      <c r="Q6" s="1064"/>
      <c r="R6" s="1064">
        <f>241*Q6</f>
        <v>0</v>
      </c>
      <c r="S6" s="1065"/>
      <c r="T6" s="1065">
        <f>241*S6</f>
        <v>0</v>
      </c>
      <c r="U6" s="1065"/>
      <c r="V6" s="1065">
        <f>332*U6</f>
        <v>0</v>
      </c>
      <c r="W6" s="1065">
        <v>1</v>
      </c>
      <c r="X6" s="19">
        <f>W6*100</f>
        <v>100</v>
      </c>
      <c r="Y6" s="20">
        <f t="shared" ref="Y6:Y12" si="0">D6+F6+H6+J6+L6+N6+P6+R6+T6+V6+X6</f>
        <v>33990.227500000001</v>
      </c>
    </row>
    <row r="7" spans="1:25" ht="31.5" customHeight="1" x14ac:dyDescent="0.25">
      <c r="A7" s="12">
        <v>1984225578</v>
      </c>
      <c r="B7" s="1067" t="s">
        <v>72</v>
      </c>
      <c r="C7" s="1065">
        <v>23468</v>
      </c>
      <c r="D7" s="1064">
        <f t="shared" ref="D7:D11" si="1">0.9725*C7</f>
        <v>22822.63</v>
      </c>
      <c r="E7" s="1065"/>
      <c r="F7" s="1065">
        <f t="shared" ref="F7:F11" si="2">67.1*E7</f>
        <v>0</v>
      </c>
      <c r="G7" s="1065"/>
      <c r="H7" s="1065">
        <f t="shared" ref="H7:H11" si="3">28.2*G7</f>
        <v>0</v>
      </c>
      <c r="I7" s="1065"/>
      <c r="J7" s="1065">
        <f t="shared" ref="J7:J11" si="4">18.5*I7</f>
        <v>0</v>
      </c>
      <c r="K7" s="1065"/>
      <c r="L7" s="1064">
        <f t="shared" ref="L7:L11" si="5">28.2368*K7</f>
        <v>0</v>
      </c>
      <c r="M7" s="1065"/>
      <c r="N7" s="1064">
        <f t="shared" ref="N7:N11" si="6">M7*47.6525</f>
        <v>0</v>
      </c>
      <c r="O7" s="1065">
        <v>40</v>
      </c>
      <c r="P7" s="1064">
        <f t="shared" ref="P7:P11" si="7">O7*8.9</f>
        <v>356</v>
      </c>
      <c r="Q7" s="1064"/>
      <c r="R7" s="1064">
        <f t="shared" ref="R7:R11" si="8">241*Q7</f>
        <v>0</v>
      </c>
      <c r="S7" s="1065"/>
      <c r="T7" s="1065">
        <f t="shared" ref="T7:T10" si="9">241*S7</f>
        <v>0</v>
      </c>
      <c r="U7" s="1065"/>
      <c r="V7" s="1065">
        <f t="shared" ref="V7:V11" si="10">332*U7</f>
        <v>0</v>
      </c>
      <c r="W7" s="1065"/>
      <c r="X7" s="19">
        <f t="shared" ref="X7:X11" si="11">W7*100</f>
        <v>0</v>
      </c>
      <c r="Y7" s="20">
        <f t="shared" si="0"/>
        <v>23178.63</v>
      </c>
    </row>
    <row r="8" spans="1:25" ht="35.25" customHeight="1" x14ac:dyDescent="0.25">
      <c r="A8" s="12">
        <v>1967020280</v>
      </c>
      <c r="B8" s="1067" t="s">
        <v>427</v>
      </c>
      <c r="C8" s="1065">
        <v>26819</v>
      </c>
      <c r="D8" s="1064">
        <f t="shared" si="1"/>
        <v>26081.477500000001</v>
      </c>
      <c r="E8" s="1065">
        <v>10</v>
      </c>
      <c r="F8" s="1065">
        <f t="shared" si="2"/>
        <v>671</v>
      </c>
      <c r="G8" s="1065"/>
      <c r="H8" s="1064">
        <f t="shared" si="3"/>
        <v>0</v>
      </c>
      <c r="I8" s="1065"/>
      <c r="J8" s="1065">
        <f t="shared" si="4"/>
        <v>0</v>
      </c>
      <c r="K8" s="1065">
        <v>30</v>
      </c>
      <c r="L8" s="1064">
        <f t="shared" si="5"/>
        <v>847.10399999999993</v>
      </c>
      <c r="M8" s="1065"/>
      <c r="N8" s="1064">
        <f t="shared" si="6"/>
        <v>0</v>
      </c>
      <c r="O8" s="1065">
        <v>1010</v>
      </c>
      <c r="P8" s="1064">
        <f t="shared" si="7"/>
        <v>8989</v>
      </c>
      <c r="Q8" s="1064"/>
      <c r="R8" s="1064">
        <f t="shared" si="8"/>
        <v>0</v>
      </c>
      <c r="S8" s="1065"/>
      <c r="T8" s="1065">
        <f t="shared" si="9"/>
        <v>0</v>
      </c>
      <c r="U8" s="1065">
        <v>2</v>
      </c>
      <c r="V8" s="1065">
        <f t="shared" si="10"/>
        <v>664</v>
      </c>
      <c r="W8" s="1065"/>
      <c r="X8" s="19">
        <f t="shared" si="11"/>
        <v>0</v>
      </c>
      <c r="Y8" s="20">
        <f t="shared" si="0"/>
        <v>37252.5815</v>
      </c>
    </row>
    <row r="9" spans="1:25" ht="38.25" customHeight="1" x14ac:dyDescent="0.25">
      <c r="A9" s="12">
        <v>1984225580</v>
      </c>
      <c r="B9" s="1067" t="s">
        <v>75</v>
      </c>
      <c r="C9" s="1065">
        <v>19936</v>
      </c>
      <c r="D9" s="1064">
        <f t="shared" si="1"/>
        <v>19387.760000000002</v>
      </c>
      <c r="E9" s="1065"/>
      <c r="F9" s="1065">
        <f t="shared" si="2"/>
        <v>0</v>
      </c>
      <c r="G9" s="1065"/>
      <c r="H9" s="1065">
        <f t="shared" si="3"/>
        <v>0</v>
      </c>
      <c r="I9" s="1065"/>
      <c r="J9" s="1065">
        <f t="shared" si="4"/>
        <v>0</v>
      </c>
      <c r="K9" s="1065"/>
      <c r="L9" s="1064">
        <f t="shared" si="5"/>
        <v>0</v>
      </c>
      <c r="M9" s="1065"/>
      <c r="N9" s="1064">
        <f t="shared" si="6"/>
        <v>0</v>
      </c>
      <c r="O9" s="1065"/>
      <c r="P9" s="1064">
        <f t="shared" si="7"/>
        <v>0</v>
      </c>
      <c r="Q9" s="1064"/>
      <c r="R9" s="1064">
        <f t="shared" si="8"/>
        <v>0</v>
      </c>
      <c r="S9" s="1065"/>
      <c r="T9" s="1065">
        <f t="shared" si="9"/>
        <v>0</v>
      </c>
      <c r="U9" s="1065"/>
      <c r="V9" s="1065">
        <f t="shared" si="10"/>
        <v>0</v>
      </c>
      <c r="W9" s="1065"/>
      <c r="X9" s="19">
        <f t="shared" si="11"/>
        <v>0</v>
      </c>
      <c r="Y9" s="20">
        <f t="shared" si="0"/>
        <v>19387.760000000002</v>
      </c>
    </row>
    <row r="10" spans="1:25" ht="35.25" customHeight="1" x14ac:dyDescent="0.25">
      <c r="A10" s="12">
        <v>1409935199</v>
      </c>
      <c r="C10" s="1065">
        <v>25707</v>
      </c>
      <c r="D10" s="1064">
        <f t="shared" si="1"/>
        <v>25000.057499999999</v>
      </c>
      <c r="E10" s="1065"/>
      <c r="F10" s="1065">
        <f t="shared" si="2"/>
        <v>0</v>
      </c>
      <c r="G10" s="1065"/>
      <c r="H10" s="1065">
        <f t="shared" si="3"/>
        <v>0</v>
      </c>
      <c r="I10" s="1065"/>
      <c r="J10" s="1065">
        <f t="shared" si="4"/>
        <v>0</v>
      </c>
      <c r="K10" s="1065"/>
      <c r="L10" s="1064">
        <f t="shared" si="5"/>
        <v>0</v>
      </c>
      <c r="M10" s="1065"/>
      <c r="N10" s="1064">
        <f t="shared" si="6"/>
        <v>0</v>
      </c>
      <c r="O10" s="1065"/>
      <c r="P10" s="1064">
        <f t="shared" si="7"/>
        <v>0</v>
      </c>
      <c r="Q10" s="1064"/>
      <c r="R10" s="1064">
        <f t="shared" si="8"/>
        <v>0</v>
      </c>
      <c r="S10" s="1065"/>
      <c r="T10" s="1065">
        <f t="shared" si="9"/>
        <v>0</v>
      </c>
      <c r="U10" s="1065"/>
      <c r="V10" s="1065">
        <f t="shared" si="10"/>
        <v>0</v>
      </c>
      <c r="W10" s="1065"/>
      <c r="X10" s="19">
        <f t="shared" si="11"/>
        <v>0</v>
      </c>
      <c r="Y10" s="20">
        <f t="shared" si="0"/>
        <v>25000.057499999999</v>
      </c>
    </row>
    <row r="11" spans="1:25" ht="37.5" customHeight="1" x14ac:dyDescent="0.25">
      <c r="A11" s="12"/>
      <c r="B11" s="1066"/>
      <c r="C11" s="1065"/>
      <c r="D11" s="1064">
        <f t="shared" si="1"/>
        <v>0</v>
      </c>
      <c r="E11" s="1065"/>
      <c r="F11" s="1065">
        <f t="shared" si="2"/>
        <v>0</v>
      </c>
      <c r="G11" s="1065"/>
      <c r="H11" s="1065">
        <f t="shared" si="3"/>
        <v>0</v>
      </c>
      <c r="I11" s="1065"/>
      <c r="J11" s="1065">
        <f t="shared" si="4"/>
        <v>0</v>
      </c>
      <c r="K11" s="1065"/>
      <c r="L11" s="1064">
        <f t="shared" si="5"/>
        <v>0</v>
      </c>
      <c r="M11" s="1065"/>
      <c r="N11" s="1064">
        <f t="shared" si="6"/>
        <v>0</v>
      </c>
      <c r="O11" s="1065"/>
      <c r="P11" s="1064">
        <f t="shared" si="7"/>
        <v>0</v>
      </c>
      <c r="Q11" s="1064"/>
      <c r="R11" s="1064">
        <f t="shared" si="8"/>
        <v>0</v>
      </c>
      <c r="S11" s="1065"/>
      <c r="T11" s="1065">
        <f>341*S11</f>
        <v>0</v>
      </c>
      <c r="U11" s="1065"/>
      <c r="V11" s="1065">
        <f t="shared" si="10"/>
        <v>0</v>
      </c>
      <c r="W11" s="1065"/>
      <c r="X11" s="19">
        <f t="shared" si="11"/>
        <v>0</v>
      </c>
      <c r="Y11" s="20">
        <f t="shared" si="0"/>
        <v>0</v>
      </c>
    </row>
    <row r="12" spans="1:25" ht="29.25" customHeight="1" x14ac:dyDescent="0.25">
      <c r="A12" s="2235" t="s">
        <v>31</v>
      </c>
      <c r="B12" s="2235"/>
      <c r="C12" s="18">
        <f t="shared" ref="C12:X12" si="12">SUM(C6:C11)</f>
        <v>117849</v>
      </c>
      <c r="D12" s="18">
        <f t="shared" si="12"/>
        <v>114608.1525</v>
      </c>
      <c r="E12" s="18">
        <f t="shared" si="12"/>
        <v>10</v>
      </c>
      <c r="F12" s="18">
        <f t="shared" si="12"/>
        <v>671</v>
      </c>
      <c r="G12" s="18">
        <f t="shared" si="12"/>
        <v>0</v>
      </c>
      <c r="H12" s="18">
        <f t="shared" si="12"/>
        <v>0</v>
      </c>
      <c r="I12" s="18">
        <f t="shared" si="12"/>
        <v>290</v>
      </c>
      <c r="J12" s="18">
        <f t="shared" si="12"/>
        <v>5365</v>
      </c>
      <c r="K12" s="18">
        <f t="shared" si="12"/>
        <v>30</v>
      </c>
      <c r="L12" s="18">
        <f t="shared" si="12"/>
        <v>847.10399999999993</v>
      </c>
      <c r="M12" s="18">
        <f t="shared" si="12"/>
        <v>0</v>
      </c>
      <c r="N12" s="23">
        <f t="shared" si="12"/>
        <v>0</v>
      </c>
      <c r="O12" s="18">
        <f t="shared" si="12"/>
        <v>1860</v>
      </c>
      <c r="P12" s="23">
        <f t="shared" si="12"/>
        <v>16554</v>
      </c>
      <c r="Q12" s="23">
        <f t="shared" si="12"/>
        <v>0</v>
      </c>
      <c r="R12" s="23">
        <f>SUM(R6:R11)</f>
        <v>0</v>
      </c>
      <c r="S12" s="23">
        <f>SUM(S6:S11)</f>
        <v>0</v>
      </c>
      <c r="T12" s="18">
        <f t="shared" si="12"/>
        <v>0</v>
      </c>
      <c r="U12" s="18">
        <f t="shared" si="12"/>
        <v>2</v>
      </c>
      <c r="V12" s="18">
        <f t="shared" si="12"/>
        <v>664</v>
      </c>
      <c r="W12" s="18">
        <f t="shared" si="12"/>
        <v>1</v>
      </c>
      <c r="X12" s="18">
        <f t="shared" si="12"/>
        <v>100</v>
      </c>
      <c r="Y12" s="20">
        <f t="shared" si="0"/>
        <v>138809.25650000002</v>
      </c>
    </row>
    <row r="14" spans="1:25" ht="43.5" customHeight="1" x14ac:dyDescent="0.25">
      <c r="A14" s="30" t="s">
        <v>32</v>
      </c>
      <c r="B14" s="2236" t="s">
        <v>27</v>
      </c>
      <c r="C14" s="2236"/>
      <c r="D14" s="30" t="s">
        <v>333</v>
      </c>
      <c r="E14" s="30" t="s">
        <v>65</v>
      </c>
      <c r="F14" s="30" t="s">
        <v>34</v>
      </c>
      <c r="G14" s="30" t="s">
        <v>14</v>
      </c>
      <c r="H14" s="469" t="s">
        <v>173</v>
      </c>
      <c r="I14" s="30" t="s">
        <v>17</v>
      </c>
      <c r="J14" s="1073" t="s">
        <v>174</v>
      </c>
      <c r="K14" s="30" t="s">
        <v>36</v>
      </c>
      <c r="L14" s="1073" t="s">
        <v>403</v>
      </c>
      <c r="M14" s="30" t="s">
        <v>429</v>
      </c>
      <c r="N14" s="30" t="s">
        <v>442</v>
      </c>
      <c r="O14" s="1073" t="s">
        <v>114</v>
      </c>
      <c r="P14" s="30" t="s">
        <v>70</v>
      </c>
      <c r="Q14" s="2300" t="s">
        <v>378</v>
      </c>
      <c r="R14" s="2301"/>
      <c r="S14" s="1073" t="s">
        <v>401</v>
      </c>
      <c r="T14" s="2235" t="s">
        <v>46</v>
      </c>
      <c r="U14" s="1067" t="s">
        <v>176</v>
      </c>
      <c r="V14" s="2260">
        <v>90713</v>
      </c>
      <c r="W14" s="2268"/>
      <c r="X14" s="2261"/>
    </row>
    <row r="15" spans="1:25" ht="22.5" customHeight="1" x14ac:dyDescent="0.25">
      <c r="A15" s="100" t="s">
        <v>38</v>
      </c>
      <c r="B15" s="2260">
        <v>534236</v>
      </c>
      <c r="C15" s="2261"/>
      <c r="D15" s="1070">
        <v>292</v>
      </c>
      <c r="E15" s="1070">
        <v>0</v>
      </c>
      <c r="F15" s="1070">
        <v>290</v>
      </c>
      <c r="G15" s="1070">
        <v>580</v>
      </c>
      <c r="H15" s="1070">
        <v>355</v>
      </c>
      <c r="I15" s="1070">
        <v>73</v>
      </c>
      <c r="J15" s="1070">
        <v>5</v>
      </c>
      <c r="K15" s="1070">
        <v>59</v>
      </c>
      <c r="L15" s="1070">
        <v>8</v>
      </c>
      <c r="M15" s="1070">
        <v>60</v>
      </c>
      <c r="N15" s="1070">
        <v>13430</v>
      </c>
      <c r="O15" s="1070">
        <v>0</v>
      </c>
      <c r="P15" s="1070">
        <v>100</v>
      </c>
      <c r="Q15" s="2260">
        <v>0</v>
      </c>
      <c r="R15" s="2261"/>
      <c r="S15" s="1067">
        <v>7</v>
      </c>
      <c r="T15" s="2235"/>
      <c r="U15" s="1067" t="s">
        <v>64</v>
      </c>
      <c r="V15" s="2262">
        <v>65996</v>
      </c>
      <c r="W15" s="2262"/>
      <c r="X15" s="2262"/>
    </row>
    <row r="16" spans="1:25" ht="24.75" customHeight="1" x14ac:dyDescent="0.25">
      <c r="A16" s="100" t="s">
        <v>39</v>
      </c>
      <c r="B16" s="2260"/>
      <c r="C16" s="2261"/>
      <c r="D16" s="1070"/>
      <c r="E16" s="1070"/>
      <c r="F16" s="1070"/>
      <c r="G16" s="1070"/>
      <c r="H16" s="1070"/>
      <c r="I16" s="1070"/>
      <c r="J16" s="1070"/>
      <c r="K16" s="1070"/>
      <c r="L16" s="1070"/>
      <c r="M16" s="1070"/>
      <c r="N16" s="1070"/>
      <c r="O16" s="1070"/>
      <c r="P16" s="1070"/>
      <c r="Q16" s="2225"/>
      <c r="R16" s="2225"/>
      <c r="S16" s="1070"/>
      <c r="T16" s="2254" t="s">
        <v>55</v>
      </c>
      <c r="U16" s="2254"/>
      <c r="V16" s="2267">
        <f>Y12</f>
        <v>138809.25650000002</v>
      </c>
      <c r="W16" s="2267"/>
      <c r="X16" s="2262"/>
    </row>
    <row r="17" spans="1:25" ht="28.5" customHeight="1" x14ac:dyDescent="0.25">
      <c r="A17" s="101" t="s">
        <v>44</v>
      </c>
      <c r="B17" s="2260">
        <v>145113</v>
      </c>
      <c r="C17" s="2261"/>
      <c r="D17" s="1070"/>
      <c r="E17" s="1070"/>
      <c r="F17" s="1070"/>
      <c r="G17" s="1070"/>
      <c r="H17" s="1070"/>
      <c r="I17" s="1070"/>
      <c r="J17" s="1070"/>
      <c r="K17" s="1070"/>
      <c r="L17" s="1070"/>
      <c r="M17" s="1070"/>
      <c r="N17" s="1070"/>
      <c r="O17" s="1070"/>
      <c r="P17" s="1070"/>
      <c r="Q17" s="2225"/>
      <c r="R17" s="2225"/>
      <c r="S17" s="1066"/>
      <c r="T17" s="2294" t="s">
        <v>447</v>
      </c>
      <c r="U17" s="2295"/>
      <c r="V17" s="2296">
        <v>2000</v>
      </c>
      <c r="W17" s="2296"/>
      <c r="X17" s="2296"/>
    </row>
    <row r="18" spans="1:25" ht="27" customHeight="1" x14ac:dyDescent="0.25">
      <c r="A18" s="100" t="s">
        <v>40</v>
      </c>
      <c r="B18" s="2264">
        <f>C12</f>
        <v>117849</v>
      </c>
      <c r="C18" s="2261"/>
      <c r="D18" s="1072">
        <f>E12</f>
        <v>10</v>
      </c>
      <c r="E18" s="1072">
        <f>G12</f>
        <v>0</v>
      </c>
      <c r="F18" s="1072">
        <f>I12</f>
        <v>290</v>
      </c>
      <c r="G18" s="1072">
        <f>K12</f>
        <v>30</v>
      </c>
      <c r="H18" s="1070"/>
      <c r="I18" s="1072">
        <f>U12</f>
        <v>2</v>
      </c>
      <c r="J18" s="1070"/>
      <c r="K18" s="1072">
        <f>W12</f>
        <v>1</v>
      </c>
      <c r="L18" s="1070"/>
      <c r="M18" s="1072">
        <f>M12</f>
        <v>0</v>
      </c>
      <c r="N18" s="1072">
        <f>O12</f>
        <v>1860</v>
      </c>
      <c r="O18" s="1071">
        <f>Q12</f>
        <v>0</v>
      </c>
      <c r="P18" s="1072"/>
      <c r="Q18" s="2262"/>
      <c r="R18" s="2262"/>
      <c r="S18" s="1067"/>
      <c r="T18" s="2254" t="s">
        <v>57</v>
      </c>
      <c r="U18" s="2254"/>
      <c r="V18" s="2262">
        <v>39570</v>
      </c>
      <c r="W18" s="2262"/>
      <c r="X18" s="2262"/>
      <c r="Y18" s="2269"/>
    </row>
    <row r="19" spans="1:25" ht="25.5" customHeight="1" x14ac:dyDescent="0.25">
      <c r="A19" s="100" t="s">
        <v>41</v>
      </c>
      <c r="B19" s="2260">
        <f>B15+B16+B17-B18</f>
        <v>561500</v>
      </c>
      <c r="C19" s="2261"/>
      <c r="D19" s="1070">
        <f>D15+D16+D17-D18</f>
        <v>282</v>
      </c>
      <c r="E19" s="1070">
        <f t="shared" ref="E19:N19" si="13">E15+E16+E17-E18</f>
        <v>0</v>
      </c>
      <c r="F19" s="1070">
        <f t="shared" si="13"/>
        <v>0</v>
      </c>
      <c r="G19" s="1070">
        <f t="shared" si="13"/>
        <v>550</v>
      </c>
      <c r="H19" s="1070">
        <f t="shared" si="13"/>
        <v>355</v>
      </c>
      <c r="I19" s="1070">
        <f t="shared" si="13"/>
        <v>71</v>
      </c>
      <c r="J19" s="1070">
        <f t="shared" si="13"/>
        <v>5</v>
      </c>
      <c r="K19" s="1070">
        <f t="shared" si="13"/>
        <v>58</v>
      </c>
      <c r="L19" s="1070">
        <f t="shared" si="13"/>
        <v>8</v>
      </c>
      <c r="M19" s="1070">
        <f t="shared" si="13"/>
        <v>60</v>
      </c>
      <c r="N19" s="1070">
        <f t="shared" si="13"/>
        <v>11570</v>
      </c>
      <c r="O19" s="1070">
        <f>O15+O16+O17-O18</f>
        <v>0</v>
      </c>
      <c r="P19" s="1070">
        <f t="shared" ref="P19:Q19" si="14">P15+P16+P17-P18</f>
        <v>100</v>
      </c>
      <c r="Q19" s="2260">
        <f t="shared" si="14"/>
        <v>0</v>
      </c>
      <c r="R19" s="2261"/>
      <c r="S19" s="1067">
        <f>S15+S16-S17-S18</f>
        <v>7</v>
      </c>
      <c r="T19" s="2256" t="s">
        <v>48</v>
      </c>
      <c r="U19" s="49" t="s">
        <v>58</v>
      </c>
      <c r="V19" s="2262"/>
      <c r="W19" s="2262"/>
      <c r="X19" s="2262"/>
      <c r="Y19" s="2269"/>
    </row>
    <row r="20" spans="1:25" ht="23.25" customHeight="1" x14ac:dyDescent="0.25">
      <c r="A20" s="289" t="s">
        <v>187</v>
      </c>
      <c r="B20" s="2286">
        <f>B19*0.9625</f>
        <v>540443.75</v>
      </c>
      <c r="C20" s="2287"/>
      <c r="D20" s="290">
        <f>D19*66.41</f>
        <v>18727.62</v>
      </c>
      <c r="E20" s="290">
        <f>27.9368*E19</f>
        <v>0</v>
      </c>
      <c r="F20" s="290">
        <f>18.31*F19</f>
        <v>0</v>
      </c>
      <c r="G20" s="290">
        <f>27.9368*G19</f>
        <v>15365.240000000002</v>
      </c>
      <c r="H20" s="290">
        <f>241*H19</f>
        <v>85555</v>
      </c>
      <c r="I20" s="290">
        <f>323*I19</f>
        <v>22933</v>
      </c>
      <c r="J20" s="290">
        <f>241*J19</f>
        <v>1205</v>
      </c>
      <c r="K20" s="290">
        <f>K19*100</f>
        <v>5800</v>
      </c>
      <c r="L20" s="290">
        <f>241*L19</f>
        <v>1928</v>
      </c>
      <c r="M20" s="290">
        <f>47.1625*M19</f>
        <v>2829.75</v>
      </c>
      <c r="N20" s="290">
        <f>N19*8.81</f>
        <v>101931.70000000001</v>
      </c>
      <c r="O20" s="290">
        <f>241*O19</f>
        <v>0</v>
      </c>
      <c r="P20" s="290">
        <f>P19*48.2</f>
        <v>4820</v>
      </c>
      <c r="Q20" s="2286">
        <f>341*Q19</f>
        <v>0</v>
      </c>
      <c r="R20" s="2287"/>
      <c r="S20" s="290">
        <f>341*S19</f>
        <v>2387</v>
      </c>
      <c r="T20" s="2257"/>
      <c r="U20" s="49" t="s">
        <v>59</v>
      </c>
      <c r="V20" s="2262"/>
      <c r="W20" s="2262"/>
      <c r="X20" s="2262"/>
      <c r="Y20" s="2269"/>
    </row>
    <row r="21" spans="1:25" ht="32.25" customHeight="1" x14ac:dyDescent="0.25">
      <c r="A21" s="291" t="s">
        <v>186</v>
      </c>
      <c r="B21" s="2293">
        <f>SUM(B20:S20)</f>
        <v>803926.06</v>
      </c>
      <c r="C21" s="2293"/>
      <c r="O21" s="1074"/>
      <c r="P21" s="1074"/>
      <c r="Q21" s="1074"/>
      <c r="R21" s="1074"/>
      <c r="T21" s="2294" t="s">
        <v>446</v>
      </c>
      <c r="U21" s="2295"/>
      <c r="V21" s="2297">
        <v>2000</v>
      </c>
      <c r="W21" s="2298"/>
      <c r="X21" s="2299"/>
      <c r="Y21" s="2269"/>
    </row>
    <row r="22" spans="1:25" ht="35.25" customHeight="1" x14ac:dyDescent="0.25">
      <c r="A22" s="15"/>
      <c r="B22" s="2288" t="s">
        <v>49</v>
      </c>
      <c r="C22" s="2291">
        <v>320000</v>
      </c>
      <c r="D22" s="2291"/>
      <c r="E22" s="2291"/>
      <c r="F22" s="2291">
        <f>C22-D22+E22</f>
        <v>320000</v>
      </c>
      <c r="G22" s="1074"/>
      <c r="Q22" s="1074"/>
      <c r="R22" s="1074"/>
      <c r="T22" s="2251" t="s">
        <v>83</v>
      </c>
      <c r="U22" s="50" t="s">
        <v>60</v>
      </c>
      <c r="V22" s="2262"/>
      <c r="W22" s="2262"/>
      <c r="X22" s="2262"/>
      <c r="Y22" s="2269"/>
    </row>
    <row r="23" spans="1:25" ht="39.75" customHeight="1" x14ac:dyDescent="0.25">
      <c r="A23" s="1074"/>
      <c r="B23" s="2289"/>
      <c r="C23" s="2292"/>
      <c r="D23" s="2292"/>
      <c r="E23" s="2292"/>
      <c r="F23" s="2292"/>
      <c r="G23" s="1074"/>
      <c r="Q23" s="1074"/>
      <c r="R23" s="1074"/>
      <c r="T23" s="2252"/>
      <c r="U23" s="50" t="s">
        <v>61</v>
      </c>
      <c r="V23" s="2262"/>
      <c r="W23" s="2262"/>
      <c r="X23" s="2262"/>
      <c r="Y23" s="2269"/>
    </row>
    <row r="24" spans="1:25" ht="48" customHeight="1" x14ac:dyDescent="0.25">
      <c r="A24" s="1074"/>
      <c r="B24" s="2290"/>
      <c r="C24" s="290" t="s">
        <v>46</v>
      </c>
      <c r="D24" s="290" t="s">
        <v>50</v>
      </c>
      <c r="E24" s="290" t="s">
        <v>51</v>
      </c>
      <c r="F24" s="290" t="s">
        <v>52</v>
      </c>
      <c r="G24" s="1074"/>
      <c r="Q24" s="1074"/>
      <c r="R24" s="1074"/>
      <c r="T24" s="2235" t="s">
        <v>47</v>
      </c>
      <c r="U24" s="51" t="s">
        <v>62</v>
      </c>
      <c r="V24" s="2263">
        <f>V14+V16+V17-V18-V19-V20-V22+V23-V21</f>
        <v>189952.25650000002</v>
      </c>
      <c r="W24" s="2263"/>
      <c r="X24" s="2263"/>
      <c r="Y24" s="2269"/>
    </row>
    <row r="25" spans="1:25" ht="40.5" customHeight="1" x14ac:dyDescent="0.25">
      <c r="T25" s="2235"/>
      <c r="U25" s="51" t="s">
        <v>63</v>
      </c>
      <c r="V25" s="2262">
        <f>V15+V22-V23</f>
        <v>65996</v>
      </c>
      <c r="W25" s="2262"/>
      <c r="X25" s="2262"/>
    </row>
    <row r="26" spans="1:25" ht="36" customHeight="1" x14ac:dyDescent="0.25">
      <c r="K26" s="314"/>
    </row>
    <row r="28" spans="1:25" x14ac:dyDescent="0.25">
      <c r="J28" s="14" t="s">
        <v>139</v>
      </c>
    </row>
    <row r="32" spans="1:25" x14ac:dyDescent="0.25">
      <c r="I32" s="2280"/>
      <c r="J32" s="2280"/>
      <c r="K32" s="2280"/>
      <c r="L32" s="2280"/>
    </row>
    <row r="33" spans="9:12" x14ac:dyDescent="0.25">
      <c r="I33" s="1074"/>
      <c r="J33" s="1074"/>
      <c r="K33" s="2280"/>
      <c r="L33" s="2280"/>
    </row>
  </sheetData>
  <mergeCells count="62">
    <mergeCell ref="A1:Y1"/>
    <mergeCell ref="A2:Y2"/>
    <mergeCell ref="T3:Y3"/>
    <mergeCell ref="A4:A5"/>
    <mergeCell ref="B4:B5"/>
    <mergeCell ref="C4:D4"/>
    <mergeCell ref="E4:F4"/>
    <mergeCell ref="G4:H4"/>
    <mergeCell ref="I4:J4"/>
    <mergeCell ref="K4:L4"/>
    <mergeCell ref="Y4:Y5"/>
    <mergeCell ref="M4:N4"/>
    <mergeCell ref="O4:P4"/>
    <mergeCell ref="Q4:R4"/>
    <mergeCell ref="S4:T4"/>
    <mergeCell ref="U4:V4"/>
    <mergeCell ref="W4:X4"/>
    <mergeCell ref="B16:C16"/>
    <mergeCell ref="Q16:R16"/>
    <mergeCell ref="T16:U16"/>
    <mergeCell ref="V16:X16"/>
    <mergeCell ref="A12:B12"/>
    <mergeCell ref="B14:C14"/>
    <mergeCell ref="Q14:R14"/>
    <mergeCell ref="T14:T15"/>
    <mergeCell ref="V14:X14"/>
    <mergeCell ref="B15:C15"/>
    <mergeCell ref="Q15:R15"/>
    <mergeCell ref="V15:X15"/>
    <mergeCell ref="B17:C17"/>
    <mergeCell ref="Q17:R17"/>
    <mergeCell ref="T17:U17"/>
    <mergeCell ref="V17:X17"/>
    <mergeCell ref="B18:C18"/>
    <mergeCell ref="Q18:R18"/>
    <mergeCell ref="T18:U18"/>
    <mergeCell ref="V18:X18"/>
    <mergeCell ref="Y18:Y24"/>
    <mergeCell ref="B19:C19"/>
    <mergeCell ref="Q19:R19"/>
    <mergeCell ref="T19:T20"/>
    <mergeCell ref="V19:X19"/>
    <mergeCell ref="B20:C20"/>
    <mergeCell ref="B22:B24"/>
    <mergeCell ref="C22:C23"/>
    <mergeCell ref="D22:D23"/>
    <mergeCell ref="E22:E23"/>
    <mergeCell ref="F22:F23"/>
    <mergeCell ref="Q20:R20"/>
    <mergeCell ref="V20:X20"/>
    <mergeCell ref="B21:C21"/>
    <mergeCell ref="T21:U21"/>
    <mergeCell ref="V21:X21"/>
    <mergeCell ref="I32:J32"/>
    <mergeCell ref="K32:L32"/>
    <mergeCell ref="K33:L33"/>
    <mergeCell ref="T22:T23"/>
    <mergeCell ref="V22:X22"/>
    <mergeCell ref="V23:X23"/>
    <mergeCell ref="T24:T25"/>
    <mergeCell ref="V24:X24"/>
    <mergeCell ref="V25:X25"/>
  </mergeCells>
  <pageMargins left="0.15748031496063" right="0.15748031496063" top="0" bottom="0" header="0" footer="0"/>
  <pageSetup paperSize="9" scale="45" orientation="landscape" r:id="rId1"/>
</worksheet>
</file>

<file path=xl/worksheets/sheet2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B4CBC2F-05E7-470B-AEF9-7D03F8A2FAB2}">
  <sheetPr>
    <pageSetUpPr fitToPage="1"/>
  </sheetPr>
  <dimension ref="A1:Y33"/>
  <sheetViews>
    <sheetView topLeftCell="A10" zoomScale="70" zoomScaleNormal="70" zoomScaleSheetLayoutView="100" zoomScalePageLayoutView="68" workbookViewId="0">
      <selection activeCell="J24" sqref="J24"/>
    </sheetView>
  </sheetViews>
  <sheetFormatPr defaultColWidth="9.140625" defaultRowHeight="15" x14ac:dyDescent="0.25"/>
  <cols>
    <col min="1" max="1" width="18.28515625" style="14" customWidth="1"/>
    <col min="2" max="2" width="10.7109375" style="14" customWidth="1"/>
    <col min="3" max="3" width="12.28515625" style="14" customWidth="1"/>
    <col min="4" max="4" width="13.140625" style="14" bestFit="1" customWidth="1"/>
    <col min="5" max="5" width="12" style="14" customWidth="1"/>
    <col min="6" max="6" width="12.5703125" style="14" bestFit="1" customWidth="1"/>
    <col min="7" max="7" width="16" style="14" bestFit="1" customWidth="1"/>
    <col min="8" max="8" width="10.140625" style="14" bestFit="1" customWidth="1"/>
    <col min="9" max="9" width="10.5703125" style="14" bestFit="1" customWidth="1"/>
    <col min="10" max="10" width="10.5703125" style="14" customWidth="1"/>
    <col min="11" max="11" width="10.28515625" style="14" bestFit="1" customWidth="1"/>
    <col min="12" max="12" width="10.42578125" style="14" bestFit="1" customWidth="1"/>
    <col min="13" max="14" width="12" style="14" bestFit="1" customWidth="1"/>
    <col min="15" max="15" width="9" style="14" customWidth="1"/>
    <col min="16" max="16" width="12.85546875" style="14" bestFit="1" customWidth="1"/>
    <col min="17" max="18" width="9.42578125" style="14" customWidth="1"/>
    <col min="19" max="19" width="13.7109375" style="14" customWidth="1"/>
    <col min="20" max="20" width="12.140625" style="14" customWidth="1"/>
    <col min="21" max="21" width="21.7109375" style="14" customWidth="1"/>
    <col min="22" max="22" width="9.85546875" style="14" customWidth="1"/>
    <col min="23" max="23" width="10.140625" style="14" bestFit="1" customWidth="1"/>
    <col min="24" max="24" width="10.28515625" style="14" customWidth="1"/>
    <col min="25" max="25" width="28" style="14" customWidth="1"/>
    <col min="26" max="16384" width="9.140625" style="14"/>
  </cols>
  <sheetData>
    <row r="1" spans="1:25" ht="46.15" customHeight="1" x14ac:dyDescent="0.25">
      <c r="A1" s="2240" t="s">
        <v>148</v>
      </c>
      <c r="B1" s="2240"/>
      <c r="C1" s="2240"/>
      <c r="D1" s="2240"/>
      <c r="E1" s="2240"/>
      <c r="F1" s="2240"/>
      <c r="G1" s="2240"/>
      <c r="H1" s="2240"/>
      <c r="I1" s="2240"/>
      <c r="J1" s="2240"/>
      <c r="K1" s="2240"/>
      <c r="L1" s="2240"/>
      <c r="M1" s="2240"/>
      <c r="N1" s="2240"/>
      <c r="O1" s="2240"/>
      <c r="P1" s="2240"/>
      <c r="Q1" s="2240"/>
      <c r="R1" s="2240"/>
      <c r="S1" s="2240"/>
      <c r="T1" s="2240"/>
      <c r="U1" s="2240"/>
      <c r="V1" s="2240"/>
      <c r="W1" s="2240"/>
      <c r="X1" s="2240"/>
      <c r="Y1" s="2240"/>
    </row>
    <row r="2" spans="1:25" ht="21.6" customHeight="1" x14ac:dyDescent="0.25">
      <c r="A2" s="2241" t="s">
        <v>383</v>
      </c>
      <c r="B2" s="2241"/>
      <c r="C2" s="2241"/>
      <c r="D2" s="2241"/>
      <c r="E2" s="2241"/>
      <c r="F2" s="2241"/>
      <c r="G2" s="2241"/>
      <c r="H2" s="2241"/>
      <c r="I2" s="2241"/>
      <c r="J2" s="2241"/>
      <c r="K2" s="2241"/>
      <c r="L2" s="2241"/>
      <c r="M2" s="2241"/>
      <c r="N2" s="2241"/>
      <c r="O2" s="2241"/>
      <c r="P2" s="2241"/>
      <c r="Q2" s="2241"/>
      <c r="R2" s="2241"/>
      <c r="S2" s="2241"/>
      <c r="T2" s="2241"/>
      <c r="U2" s="2241"/>
      <c r="V2" s="2241"/>
      <c r="W2" s="2241"/>
      <c r="X2" s="2241"/>
      <c r="Y2" s="2241"/>
    </row>
    <row r="3" spans="1:25" ht="21" customHeight="1" x14ac:dyDescent="0.25">
      <c r="A3" s="1080"/>
      <c r="B3" s="1080"/>
      <c r="C3" s="1080"/>
      <c r="D3" s="1080"/>
      <c r="E3" s="1080"/>
      <c r="F3" s="1080"/>
      <c r="G3" s="1080"/>
      <c r="H3" s="1080"/>
      <c r="I3" s="1080"/>
      <c r="J3" s="1080"/>
      <c r="K3" s="1080"/>
      <c r="L3" s="1080"/>
      <c r="M3" s="1080"/>
      <c r="N3" s="1080"/>
      <c r="O3" s="1080"/>
      <c r="P3" s="1080"/>
      <c r="Q3" s="1080"/>
      <c r="R3" s="1080"/>
      <c r="S3" s="1080"/>
      <c r="T3" s="2242" t="s">
        <v>448</v>
      </c>
      <c r="U3" s="2242"/>
      <c r="V3" s="2242"/>
      <c r="W3" s="2242"/>
      <c r="X3" s="2242"/>
      <c r="Y3" s="2242"/>
    </row>
    <row r="4" spans="1:25" s="1080" customFormat="1" ht="18" customHeight="1" x14ac:dyDescent="0.25">
      <c r="A4" s="2243" t="s">
        <v>25</v>
      </c>
      <c r="B4" s="2243" t="s">
        <v>26</v>
      </c>
      <c r="C4" s="2244" t="s">
        <v>27</v>
      </c>
      <c r="D4" s="2244"/>
      <c r="E4" s="2244" t="s">
        <v>342</v>
      </c>
      <c r="F4" s="2244"/>
      <c r="G4" s="2244" t="s">
        <v>65</v>
      </c>
      <c r="H4" s="2244"/>
      <c r="I4" s="2244" t="s">
        <v>29</v>
      </c>
      <c r="J4" s="2244"/>
      <c r="K4" s="2245" t="s">
        <v>14</v>
      </c>
      <c r="L4" s="2246"/>
      <c r="M4" s="2245" t="s">
        <v>429</v>
      </c>
      <c r="N4" s="2246"/>
      <c r="O4" s="2245" t="s">
        <v>441</v>
      </c>
      <c r="P4" s="2246"/>
      <c r="Q4" s="2245" t="s">
        <v>114</v>
      </c>
      <c r="R4" s="2246"/>
      <c r="S4" s="2244" t="s">
        <v>35</v>
      </c>
      <c r="T4" s="2244"/>
      <c r="U4" s="2245" t="s">
        <v>17</v>
      </c>
      <c r="V4" s="2246"/>
      <c r="W4" s="2247" t="s">
        <v>36</v>
      </c>
      <c r="X4" s="2248"/>
      <c r="Y4" s="2238" t="s">
        <v>30</v>
      </c>
    </row>
    <row r="5" spans="1:25" s="1080" customFormat="1" ht="25.5" customHeight="1" x14ac:dyDescent="0.25">
      <c r="A5" s="2243"/>
      <c r="B5" s="2243"/>
      <c r="C5" s="1079" t="s">
        <v>42</v>
      </c>
      <c r="D5" s="1079" t="s">
        <v>43</v>
      </c>
      <c r="E5" s="1079" t="s">
        <v>42</v>
      </c>
      <c r="F5" s="1079" t="s">
        <v>43</v>
      </c>
      <c r="G5" s="1079" t="s">
        <v>42</v>
      </c>
      <c r="H5" s="1079" t="s">
        <v>43</v>
      </c>
      <c r="I5" s="1079" t="s">
        <v>42</v>
      </c>
      <c r="J5" s="1079" t="s">
        <v>43</v>
      </c>
      <c r="K5" s="1079" t="s">
        <v>42</v>
      </c>
      <c r="L5" s="1079" t="s">
        <v>43</v>
      </c>
      <c r="M5" s="1079" t="s">
        <v>42</v>
      </c>
      <c r="N5" s="1079" t="s">
        <v>43</v>
      </c>
      <c r="O5" s="1079" t="s">
        <v>42</v>
      </c>
      <c r="P5" s="1079" t="s">
        <v>43</v>
      </c>
      <c r="Q5" s="1079" t="s">
        <v>42</v>
      </c>
      <c r="R5" s="1079" t="s">
        <v>43</v>
      </c>
      <c r="S5" s="33" t="s">
        <v>42</v>
      </c>
      <c r="T5" s="33" t="s">
        <v>43</v>
      </c>
      <c r="U5" s="30" t="s">
        <v>42</v>
      </c>
      <c r="V5" s="30" t="s">
        <v>43</v>
      </c>
      <c r="W5" s="30" t="s">
        <v>42</v>
      </c>
      <c r="X5" s="30" t="s">
        <v>43</v>
      </c>
      <c r="Y5" s="2239"/>
    </row>
    <row r="6" spans="1:25" ht="34.5" customHeight="1" x14ac:dyDescent="0.25">
      <c r="A6" s="12">
        <v>1409935200</v>
      </c>
      <c r="B6" s="1078" t="s">
        <v>71</v>
      </c>
      <c r="C6" s="1076">
        <v>55766</v>
      </c>
      <c r="D6" s="1075">
        <f>0.9725*C6</f>
        <v>54232.435000000005</v>
      </c>
      <c r="E6" s="1076"/>
      <c r="F6" s="1075">
        <f>67.1*E6</f>
        <v>0</v>
      </c>
      <c r="G6" s="1076"/>
      <c r="H6" s="1076">
        <f>28.2*G6</f>
        <v>0</v>
      </c>
      <c r="I6" s="1076"/>
      <c r="J6" s="1076">
        <f>18.5*I6</f>
        <v>0</v>
      </c>
      <c r="K6" s="1076"/>
      <c r="L6" s="1075">
        <f>28.2368*K6</f>
        <v>0</v>
      </c>
      <c r="M6" s="1076"/>
      <c r="N6" s="1075">
        <f>M6*47.6525</f>
        <v>0</v>
      </c>
      <c r="O6" s="1076">
        <v>2430</v>
      </c>
      <c r="P6" s="1075">
        <f>O6*8.9</f>
        <v>21627</v>
      </c>
      <c r="Q6" s="1075"/>
      <c r="R6" s="1075">
        <f>241*Q6</f>
        <v>0</v>
      </c>
      <c r="S6" s="1076"/>
      <c r="T6" s="1076">
        <f>241*S6</f>
        <v>0</v>
      </c>
      <c r="U6" s="1076">
        <v>1</v>
      </c>
      <c r="V6" s="1076">
        <f>332*U6</f>
        <v>332</v>
      </c>
      <c r="W6" s="1076"/>
      <c r="X6" s="19">
        <f>W6*100</f>
        <v>0</v>
      </c>
      <c r="Y6" s="20">
        <f t="shared" ref="Y6:Y12" si="0">D6+F6+H6+J6+L6+N6+P6+R6+T6+V6+X6</f>
        <v>76191.434999999998</v>
      </c>
    </row>
    <row r="7" spans="1:25" ht="31.5" customHeight="1" x14ac:dyDescent="0.25">
      <c r="A7" s="12">
        <v>1984225578</v>
      </c>
      <c r="B7" s="1078" t="s">
        <v>72</v>
      </c>
      <c r="C7" s="1076">
        <v>25573</v>
      </c>
      <c r="D7" s="1075">
        <f t="shared" ref="D7:D11" si="1">0.9725*C7</f>
        <v>24869.7425</v>
      </c>
      <c r="E7" s="1076"/>
      <c r="F7" s="1076">
        <f t="shared" ref="F7:F11" si="2">67.1*E7</f>
        <v>0</v>
      </c>
      <c r="G7" s="1076"/>
      <c r="H7" s="1076">
        <f t="shared" ref="H7:H11" si="3">28.2*G7</f>
        <v>0</v>
      </c>
      <c r="I7" s="1076"/>
      <c r="J7" s="1076">
        <f t="shared" ref="J7:J11" si="4">18.5*I7</f>
        <v>0</v>
      </c>
      <c r="K7" s="1076"/>
      <c r="L7" s="1075">
        <f t="shared" ref="L7:L11" si="5">28.2368*K7</f>
        <v>0</v>
      </c>
      <c r="M7" s="1076"/>
      <c r="N7" s="1075">
        <f t="shared" ref="N7:N11" si="6">M7*47.6525</f>
        <v>0</v>
      </c>
      <c r="O7" s="1076"/>
      <c r="P7" s="1075">
        <f t="shared" ref="P7:P11" si="7">O7*8.9</f>
        <v>0</v>
      </c>
      <c r="Q7" s="1075"/>
      <c r="R7" s="1075">
        <f t="shared" ref="R7:R11" si="8">241*Q7</f>
        <v>0</v>
      </c>
      <c r="S7" s="1076"/>
      <c r="T7" s="1076">
        <f t="shared" ref="T7:T10" si="9">241*S7</f>
        <v>0</v>
      </c>
      <c r="U7" s="1076"/>
      <c r="V7" s="1076">
        <f t="shared" ref="V7:V11" si="10">332*U7</f>
        <v>0</v>
      </c>
      <c r="W7" s="1076"/>
      <c r="X7" s="19">
        <f t="shared" ref="X7:X11" si="11">W7*100</f>
        <v>0</v>
      </c>
      <c r="Y7" s="20">
        <f t="shared" si="0"/>
        <v>24869.7425</v>
      </c>
    </row>
    <row r="8" spans="1:25" ht="35.25" customHeight="1" x14ac:dyDescent="0.25">
      <c r="A8" s="12">
        <v>1967020280</v>
      </c>
      <c r="B8" s="1078" t="s">
        <v>427</v>
      </c>
      <c r="C8" s="1076">
        <v>60591</v>
      </c>
      <c r="D8" s="1075">
        <f t="shared" si="1"/>
        <v>58924.747500000005</v>
      </c>
      <c r="E8" s="1076"/>
      <c r="F8" s="1076">
        <f t="shared" si="2"/>
        <v>0</v>
      </c>
      <c r="G8" s="1076"/>
      <c r="H8" s="1075">
        <f t="shared" si="3"/>
        <v>0</v>
      </c>
      <c r="I8" s="1076"/>
      <c r="J8" s="1076">
        <f t="shared" si="4"/>
        <v>0</v>
      </c>
      <c r="K8" s="1076"/>
      <c r="L8" s="1075">
        <f t="shared" si="5"/>
        <v>0</v>
      </c>
      <c r="M8" s="1076"/>
      <c r="N8" s="1075">
        <f t="shared" si="6"/>
        <v>0</v>
      </c>
      <c r="O8" s="1076"/>
      <c r="P8" s="1075">
        <f t="shared" si="7"/>
        <v>0</v>
      </c>
      <c r="Q8" s="1075"/>
      <c r="R8" s="1075">
        <f t="shared" si="8"/>
        <v>0</v>
      </c>
      <c r="S8" s="1076"/>
      <c r="T8" s="1076">
        <f t="shared" si="9"/>
        <v>0</v>
      </c>
      <c r="U8" s="1076"/>
      <c r="V8" s="1076">
        <f t="shared" si="10"/>
        <v>0</v>
      </c>
      <c r="W8" s="1076"/>
      <c r="X8" s="19">
        <f t="shared" si="11"/>
        <v>0</v>
      </c>
      <c r="Y8" s="20">
        <f t="shared" si="0"/>
        <v>58924.747500000005</v>
      </c>
    </row>
    <row r="9" spans="1:25" ht="38.25" customHeight="1" x14ac:dyDescent="0.25">
      <c r="A9" s="12">
        <v>1984225580</v>
      </c>
      <c r="B9" s="1078" t="s">
        <v>75</v>
      </c>
      <c r="C9" s="1076">
        <v>45214</v>
      </c>
      <c r="D9" s="1075">
        <f t="shared" si="1"/>
        <v>43970.614999999998</v>
      </c>
      <c r="E9" s="1076"/>
      <c r="F9" s="1076">
        <f t="shared" si="2"/>
        <v>0</v>
      </c>
      <c r="G9" s="1076"/>
      <c r="H9" s="1076">
        <f t="shared" si="3"/>
        <v>0</v>
      </c>
      <c r="I9" s="1076"/>
      <c r="J9" s="1076">
        <f t="shared" si="4"/>
        <v>0</v>
      </c>
      <c r="K9" s="1076"/>
      <c r="L9" s="1075">
        <f t="shared" si="5"/>
        <v>0</v>
      </c>
      <c r="M9" s="1076"/>
      <c r="N9" s="1075">
        <f t="shared" si="6"/>
        <v>0</v>
      </c>
      <c r="O9" s="1076">
        <v>2330</v>
      </c>
      <c r="P9" s="1075">
        <f t="shared" si="7"/>
        <v>20737</v>
      </c>
      <c r="Q9" s="1075"/>
      <c r="R9" s="1075">
        <f t="shared" si="8"/>
        <v>0</v>
      </c>
      <c r="S9" s="1076"/>
      <c r="T9" s="1076">
        <f t="shared" si="9"/>
        <v>0</v>
      </c>
      <c r="U9" s="1076"/>
      <c r="V9" s="1076">
        <f t="shared" si="10"/>
        <v>0</v>
      </c>
      <c r="W9" s="1076"/>
      <c r="X9" s="19">
        <f t="shared" si="11"/>
        <v>0</v>
      </c>
      <c r="Y9" s="20">
        <f t="shared" si="0"/>
        <v>64707.614999999998</v>
      </c>
    </row>
    <row r="10" spans="1:25" ht="35.25" customHeight="1" x14ac:dyDescent="0.25">
      <c r="A10" s="12">
        <v>1409935199</v>
      </c>
      <c r="C10" s="1076">
        <v>73313</v>
      </c>
      <c r="D10" s="1075">
        <f t="shared" si="1"/>
        <v>71296.892500000002</v>
      </c>
      <c r="E10" s="1076"/>
      <c r="F10" s="1076">
        <f t="shared" si="2"/>
        <v>0</v>
      </c>
      <c r="G10" s="1076"/>
      <c r="H10" s="1076">
        <f t="shared" si="3"/>
        <v>0</v>
      </c>
      <c r="I10" s="1076"/>
      <c r="J10" s="1076">
        <f t="shared" si="4"/>
        <v>0</v>
      </c>
      <c r="K10" s="1076"/>
      <c r="L10" s="1075">
        <f t="shared" si="5"/>
        <v>0</v>
      </c>
      <c r="M10" s="1076"/>
      <c r="N10" s="1075">
        <f t="shared" si="6"/>
        <v>0</v>
      </c>
      <c r="O10" s="1076"/>
      <c r="P10" s="1075">
        <f t="shared" si="7"/>
        <v>0</v>
      </c>
      <c r="Q10" s="1075"/>
      <c r="R10" s="1075">
        <f t="shared" si="8"/>
        <v>0</v>
      </c>
      <c r="S10" s="1076"/>
      <c r="T10" s="1076">
        <f t="shared" si="9"/>
        <v>0</v>
      </c>
      <c r="U10" s="1076"/>
      <c r="V10" s="1076">
        <f t="shared" si="10"/>
        <v>0</v>
      </c>
      <c r="W10" s="1076"/>
      <c r="X10" s="19">
        <f t="shared" si="11"/>
        <v>0</v>
      </c>
      <c r="Y10" s="20">
        <f t="shared" si="0"/>
        <v>71296.892500000002</v>
      </c>
    </row>
    <row r="11" spans="1:25" ht="37.5" customHeight="1" x14ac:dyDescent="0.25">
      <c r="A11" s="12"/>
      <c r="B11" s="1077"/>
      <c r="C11" s="1076"/>
      <c r="D11" s="1075">
        <f t="shared" si="1"/>
        <v>0</v>
      </c>
      <c r="E11" s="1076"/>
      <c r="F11" s="1076">
        <f t="shared" si="2"/>
        <v>0</v>
      </c>
      <c r="G11" s="1076"/>
      <c r="H11" s="1076">
        <f t="shared" si="3"/>
        <v>0</v>
      </c>
      <c r="I11" s="1076"/>
      <c r="J11" s="1076">
        <f t="shared" si="4"/>
        <v>0</v>
      </c>
      <c r="K11" s="1076"/>
      <c r="L11" s="1075">
        <f t="shared" si="5"/>
        <v>0</v>
      </c>
      <c r="M11" s="1076"/>
      <c r="N11" s="1075">
        <f t="shared" si="6"/>
        <v>0</v>
      </c>
      <c r="O11" s="1076"/>
      <c r="P11" s="1075">
        <f t="shared" si="7"/>
        <v>0</v>
      </c>
      <c r="Q11" s="1075"/>
      <c r="R11" s="1075">
        <f t="shared" si="8"/>
        <v>0</v>
      </c>
      <c r="S11" s="1076"/>
      <c r="T11" s="1076">
        <f>341*S11</f>
        <v>0</v>
      </c>
      <c r="U11" s="1076"/>
      <c r="V11" s="1076">
        <f t="shared" si="10"/>
        <v>0</v>
      </c>
      <c r="W11" s="1076"/>
      <c r="X11" s="19">
        <f t="shared" si="11"/>
        <v>0</v>
      </c>
      <c r="Y11" s="20">
        <f t="shared" si="0"/>
        <v>0</v>
      </c>
    </row>
    <row r="12" spans="1:25" ht="29.25" customHeight="1" x14ac:dyDescent="0.25">
      <c r="A12" s="2235" t="s">
        <v>31</v>
      </c>
      <c r="B12" s="2235"/>
      <c r="C12" s="18">
        <f t="shared" ref="C12:X12" si="12">SUM(C6:C11)</f>
        <v>260457</v>
      </c>
      <c r="D12" s="18">
        <f t="shared" si="12"/>
        <v>253294.4325</v>
      </c>
      <c r="E12" s="18">
        <f t="shared" si="12"/>
        <v>0</v>
      </c>
      <c r="F12" s="18">
        <f t="shared" si="12"/>
        <v>0</v>
      </c>
      <c r="G12" s="18">
        <f t="shared" si="12"/>
        <v>0</v>
      </c>
      <c r="H12" s="18">
        <f t="shared" si="12"/>
        <v>0</v>
      </c>
      <c r="I12" s="18">
        <f t="shared" si="12"/>
        <v>0</v>
      </c>
      <c r="J12" s="18">
        <f t="shared" si="12"/>
        <v>0</v>
      </c>
      <c r="K12" s="18">
        <f t="shared" si="12"/>
        <v>0</v>
      </c>
      <c r="L12" s="18">
        <f t="shared" si="12"/>
        <v>0</v>
      </c>
      <c r="M12" s="18">
        <f t="shared" si="12"/>
        <v>0</v>
      </c>
      <c r="N12" s="23">
        <f t="shared" si="12"/>
        <v>0</v>
      </c>
      <c r="O12" s="18">
        <f t="shared" si="12"/>
        <v>4760</v>
      </c>
      <c r="P12" s="23">
        <f t="shared" si="12"/>
        <v>42364</v>
      </c>
      <c r="Q12" s="23">
        <f t="shared" si="12"/>
        <v>0</v>
      </c>
      <c r="R12" s="23">
        <f>SUM(R6:R11)</f>
        <v>0</v>
      </c>
      <c r="S12" s="23">
        <f>SUM(S6:S11)</f>
        <v>0</v>
      </c>
      <c r="T12" s="18">
        <f t="shared" si="12"/>
        <v>0</v>
      </c>
      <c r="U12" s="18">
        <f t="shared" si="12"/>
        <v>1</v>
      </c>
      <c r="V12" s="18">
        <f t="shared" si="12"/>
        <v>332</v>
      </c>
      <c r="W12" s="18">
        <f t="shared" si="12"/>
        <v>0</v>
      </c>
      <c r="X12" s="18">
        <f t="shared" si="12"/>
        <v>0</v>
      </c>
      <c r="Y12" s="20">
        <f t="shared" si="0"/>
        <v>295990.4325</v>
      </c>
    </row>
    <row r="14" spans="1:25" ht="43.5" customHeight="1" x14ac:dyDescent="0.25">
      <c r="A14" s="30" t="s">
        <v>32</v>
      </c>
      <c r="B14" s="2236" t="s">
        <v>27</v>
      </c>
      <c r="C14" s="2236"/>
      <c r="D14" s="30" t="s">
        <v>333</v>
      </c>
      <c r="E14" s="30" t="s">
        <v>65</v>
      </c>
      <c r="F14" s="30" t="s">
        <v>34</v>
      </c>
      <c r="G14" s="30" t="s">
        <v>14</v>
      </c>
      <c r="H14" s="469" t="s">
        <v>173</v>
      </c>
      <c r="I14" s="30" t="s">
        <v>17</v>
      </c>
      <c r="J14" s="1084" t="s">
        <v>174</v>
      </c>
      <c r="K14" s="30" t="s">
        <v>36</v>
      </c>
      <c r="L14" s="1084" t="s">
        <v>403</v>
      </c>
      <c r="M14" s="30" t="s">
        <v>429</v>
      </c>
      <c r="N14" s="30" t="s">
        <v>442</v>
      </c>
      <c r="O14" s="1084" t="s">
        <v>114</v>
      </c>
      <c r="P14" s="30" t="s">
        <v>70</v>
      </c>
      <c r="Q14" s="2300" t="s">
        <v>378</v>
      </c>
      <c r="R14" s="2301"/>
      <c r="S14" s="1084" t="s">
        <v>401</v>
      </c>
      <c r="T14" s="2235" t="s">
        <v>46</v>
      </c>
      <c r="U14" s="1078" t="s">
        <v>176</v>
      </c>
      <c r="V14" s="2260">
        <v>189952</v>
      </c>
      <c r="W14" s="2268"/>
      <c r="X14" s="2261"/>
    </row>
    <row r="15" spans="1:25" ht="22.5" customHeight="1" x14ac:dyDescent="0.25">
      <c r="A15" s="100" t="s">
        <v>38</v>
      </c>
      <c r="B15" s="2260">
        <v>561500</v>
      </c>
      <c r="C15" s="2261"/>
      <c r="D15" s="1081">
        <v>282</v>
      </c>
      <c r="E15" s="1081">
        <v>0</v>
      </c>
      <c r="F15" s="1081">
        <v>0</v>
      </c>
      <c r="G15" s="1081">
        <v>550</v>
      </c>
      <c r="H15" s="1081">
        <v>355</v>
      </c>
      <c r="I15" s="1081">
        <v>71</v>
      </c>
      <c r="J15" s="1081">
        <v>5</v>
      </c>
      <c r="K15" s="1081">
        <v>58</v>
      </c>
      <c r="L15" s="1081">
        <v>8</v>
      </c>
      <c r="M15" s="1081">
        <v>60</v>
      </c>
      <c r="N15" s="1081">
        <v>11570</v>
      </c>
      <c r="O15" s="1081">
        <v>0</v>
      </c>
      <c r="P15" s="1081">
        <v>100</v>
      </c>
      <c r="Q15" s="2260">
        <v>0</v>
      </c>
      <c r="R15" s="2261"/>
      <c r="S15" s="1078">
        <v>7</v>
      </c>
      <c r="T15" s="2235"/>
      <c r="U15" s="1078" t="s">
        <v>64</v>
      </c>
      <c r="V15" s="2262">
        <v>65996</v>
      </c>
      <c r="W15" s="2262"/>
      <c r="X15" s="2262"/>
    </row>
    <row r="16" spans="1:25" ht="24.75" customHeight="1" x14ac:dyDescent="0.25">
      <c r="A16" s="100" t="s">
        <v>39</v>
      </c>
      <c r="B16" s="2260">
        <v>51948</v>
      </c>
      <c r="C16" s="2261"/>
      <c r="D16" s="1081"/>
      <c r="E16" s="1081"/>
      <c r="F16" s="1081"/>
      <c r="G16" s="1081"/>
      <c r="H16" s="1081"/>
      <c r="I16" s="1081"/>
      <c r="J16" s="1081"/>
      <c r="K16" s="1081">
        <v>25</v>
      </c>
      <c r="L16" s="1081"/>
      <c r="M16" s="1081"/>
      <c r="N16" s="1081"/>
      <c r="O16" s="1081"/>
      <c r="P16" s="1081"/>
      <c r="Q16" s="2225"/>
      <c r="R16" s="2225"/>
      <c r="S16" s="1081"/>
      <c r="T16" s="2254" t="s">
        <v>55</v>
      </c>
      <c r="U16" s="2254"/>
      <c r="V16" s="2267">
        <f>Y12</f>
        <v>295990.4325</v>
      </c>
      <c r="W16" s="2267"/>
      <c r="X16" s="2262"/>
    </row>
    <row r="17" spans="1:25" ht="28.5" customHeight="1" x14ac:dyDescent="0.25">
      <c r="A17" s="101" t="s">
        <v>44</v>
      </c>
      <c r="B17" s="2260"/>
      <c r="C17" s="2261"/>
      <c r="D17" s="1081"/>
      <c r="E17" s="1081"/>
      <c r="F17" s="1081"/>
      <c r="G17" s="1081"/>
      <c r="H17" s="1081"/>
      <c r="I17" s="1081"/>
      <c r="J17" s="1081"/>
      <c r="K17" s="1081"/>
      <c r="L17" s="1081"/>
      <c r="M17" s="1081"/>
      <c r="N17" s="1081"/>
      <c r="O17" s="1081"/>
      <c r="P17" s="1081"/>
      <c r="Q17" s="2225"/>
      <c r="R17" s="2225"/>
      <c r="S17" s="1077"/>
      <c r="T17" s="2294" t="s">
        <v>447</v>
      </c>
      <c r="U17" s="2295"/>
      <c r="V17" s="2296"/>
      <c r="W17" s="2296"/>
      <c r="X17" s="2296"/>
    </row>
    <row r="18" spans="1:25" ht="27" customHeight="1" x14ac:dyDescent="0.25">
      <c r="A18" s="100" t="s">
        <v>40</v>
      </c>
      <c r="B18" s="2264">
        <f>C12</f>
        <v>260457</v>
      </c>
      <c r="C18" s="2261"/>
      <c r="D18" s="1083">
        <f>E12</f>
        <v>0</v>
      </c>
      <c r="E18" s="1083">
        <f>G12</f>
        <v>0</v>
      </c>
      <c r="F18" s="1083">
        <f>I12</f>
        <v>0</v>
      </c>
      <c r="G18" s="1083">
        <f>K12</f>
        <v>0</v>
      </c>
      <c r="H18" s="1081"/>
      <c r="I18" s="1083">
        <f>U12</f>
        <v>1</v>
      </c>
      <c r="J18" s="1081"/>
      <c r="K18" s="1083">
        <f>W12</f>
        <v>0</v>
      </c>
      <c r="L18" s="1081"/>
      <c r="M18" s="1083">
        <f>M12</f>
        <v>0</v>
      </c>
      <c r="N18" s="1083">
        <f>O12</f>
        <v>4760</v>
      </c>
      <c r="O18" s="1082">
        <f>Q12</f>
        <v>0</v>
      </c>
      <c r="P18" s="1083"/>
      <c r="Q18" s="2262"/>
      <c r="R18" s="2262"/>
      <c r="S18" s="1078"/>
      <c r="T18" s="2254" t="s">
        <v>57</v>
      </c>
      <c r="U18" s="2254"/>
      <c r="V18" s="2262">
        <v>19829</v>
      </c>
      <c r="W18" s="2262"/>
      <c r="X18" s="2262"/>
      <c r="Y18" s="2269"/>
    </row>
    <row r="19" spans="1:25" ht="25.5" customHeight="1" x14ac:dyDescent="0.25">
      <c r="A19" s="100" t="s">
        <v>41</v>
      </c>
      <c r="B19" s="2260">
        <f>B15+B16+B17-B18</f>
        <v>352991</v>
      </c>
      <c r="C19" s="2261"/>
      <c r="D19" s="1081">
        <f>D15+D16+D17-D18</f>
        <v>282</v>
      </c>
      <c r="E19" s="1081">
        <f t="shared" ref="E19:N19" si="13">E15+E16+E17-E18</f>
        <v>0</v>
      </c>
      <c r="F19" s="1081">
        <f t="shared" si="13"/>
        <v>0</v>
      </c>
      <c r="G19" s="1081">
        <f t="shared" si="13"/>
        <v>550</v>
      </c>
      <c r="H19" s="1081">
        <f t="shared" si="13"/>
        <v>355</v>
      </c>
      <c r="I19" s="1081">
        <f t="shared" si="13"/>
        <v>70</v>
      </c>
      <c r="J19" s="1081">
        <f t="shared" si="13"/>
        <v>5</v>
      </c>
      <c r="K19" s="1081">
        <f t="shared" si="13"/>
        <v>83</v>
      </c>
      <c r="L19" s="1081">
        <f t="shared" si="13"/>
        <v>8</v>
      </c>
      <c r="M19" s="1081">
        <f t="shared" si="13"/>
        <v>60</v>
      </c>
      <c r="N19" s="1081">
        <f t="shared" si="13"/>
        <v>6810</v>
      </c>
      <c r="O19" s="1081">
        <f>O15+O16+O17-O18</f>
        <v>0</v>
      </c>
      <c r="P19" s="1081">
        <f t="shared" ref="P19:Q19" si="14">P15+P16+P17-P18</f>
        <v>100</v>
      </c>
      <c r="Q19" s="2260">
        <f t="shared" si="14"/>
        <v>0</v>
      </c>
      <c r="R19" s="2261"/>
      <c r="S19" s="1078">
        <f>S15+S16-S17-S18</f>
        <v>7</v>
      </c>
      <c r="T19" s="2256" t="s">
        <v>48</v>
      </c>
      <c r="U19" s="49" t="s">
        <v>58</v>
      </c>
      <c r="V19" s="2262">
        <v>277000</v>
      </c>
      <c r="W19" s="2262"/>
      <c r="X19" s="2262"/>
      <c r="Y19" s="2269"/>
    </row>
    <row r="20" spans="1:25" ht="23.25" customHeight="1" x14ac:dyDescent="0.25">
      <c r="A20" s="289" t="s">
        <v>187</v>
      </c>
      <c r="B20" s="2286">
        <f>B19*0.9625</f>
        <v>339753.83750000002</v>
      </c>
      <c r="C20" s="2287"/>
      <c r="D20" s="290">
        <f>D19*66.41</f>
        <v>18727.62</v>
      </c>
      <c r="E20" s="290">
        <f>27.9368*E19</f>
        <v>0</v>
      </c>
      <c r="F20" s="290">
        <f>18.31*F19</f>
        <v>0</v>
      </c>
      <c r="G20" s="290">
        <f>27.9368*G19</f>
        <v>15365.240000000002</v>
      </c>
      <c r="H20" s="290">
        <f>241*H19</f>
        <v>85555</v>
      </c>
      <c r="I20" s="290">
        <f>323*I19</f>
        <v>22610</v>
      </c>
      <c r="J20" s="290">
        <f>241*J19</f>
        <v>1205</v>
      </c>
      <c r="K20" s="290">
        <f>K19*100</f>
        <v>8300</v>
      </c>
      <c r="L20" s="290">
        <f>241*L19</f>
        <v>1928</v>
      </c>
      <c r="M20" s="290">
        <f>47.1625*M19</f>
        <v>2829.75</v>
      </c>
      <c r="N20" s="290">
        <f>N19*8.81</f>
        <v>59996.100000000006</v>
      </c>
      <c r="O20" s="290">
        <f>241*O19</f>
        <v>0</v>
      </c>
      <c r="P20" s="290">
        <f>P19*48.2</f>
        <v>4820</v>
      </c>
      <c r="Q20" s="2286">
        <f>341*Q19</f>
        <v>0</v>
      </c>
      <c r="R20" s="2287"/>
      <c r="S20" s="290">
        <f>341*S19</f>
        <v>2387</v>
      </c>
      <c r="T20" s="2257"/>
      <c r="U20" s="49" t="s">
        <v>59</v>
      </c>
      <c r="V20" s="2262"/>
      <c r="W20" s="2262"/>
      <c r="X20" s="2262"/>
      <c r="Y20" s="2269"/>
    </row>
    <row r="21" spans="1:25" ht="32.25" customHeight="1" x14ac:dyDescent="0.25">
      <c r="A21" s="291" t="s">
        <v>186</v>
      </c>
      <c r="B21" s="2293">
        <f>SUM(B20:S20)</f>
        <v>563477.54749999999</v>
      </c>
      <c r="C21" s="2293"/>
      <c r="O21" s="1085"/>
      <c r="P21" s="1085"/>
      <c r="Q21" s="1085"/>
      <c r="R21" s="1085"/>
      <c r="T21" s="2294" t="s">
        <v>446</v>
      </c>
      <c r="U21" s="2295"/>
      <c r="V21" s="2297"/>
      <c r="W21" s="2298"/>
      <c r="X21" s="2299"/>
      <c r="Y21" s="2269"/>
    </row>
    <row r="22" spans="1:25" ht="35.25" customHeight="1" x14ac:dyDescent="0.25">
      <c r="A22" s="15"/>
      <c r="B22" s="2288" t="s">
        <v>49</v>
      </c>
      <c r="C22" s="2291">
        <v>320000</v>
      </c>
      <c r="D22" s="2291">
        <v>277000</v>
      </c>
      <c r="E22" s="2291">
        <v>52500</v>
      </c>
      <c r="F22" s="2291">
        <f>C22-D22+E22</f>
        <v>95500</v>
      </c>
      <c r="G22" s="1085"/>
      <c r="Q22" s="1085"/>
      <c r="R22" s="1085"/>
      <c r="T22" s="2251" t="s">
        <v>83</v>
      </c>
      <c r="U22" s="50" t="s">
        <v>60</v>
      </c>
      <c r="V22" s="2262">
        <v>221900</v>
      </c>
      <c r="W22" s="2262"/>
      <c r="X22" s="2262"/>
      <c r="Y22" s="2269"/>
    </row>
    <row r="23" spans="1:25" ht="39.75" customHeight="1" x14ac:dyDescent="0.25">
      <c r="A23" s="1085"/>
      <c r="B23" s="2289"/>
      <c r="C23" s="2292"/>
      <c r="D23" s="2292"/>
      <c r="E23" s="2292"/>
      <c r="F23" s="2292"/>
      <c r="G23" s="1085"/>
      <c r="Q23" s="1085"/>
      <c r="R23" s="1085"/>
      <c r="T23" s="2252"/>
      <c r="U23" s="50" t="s">
        <v>61</v>
      </c>
      <c r="V23" s="2262">
        <v>277000</v>
      </c>
      <c r="W23" s="2262"/>
      <c r="X23" s="2262"/>
      <c r="Y23" s="2269"/>
    </row>
    <row r="24" spans="1:25" ht="48" customHeight="1" x14ac:dyDescent="0.25">
      <c r="A24" s="1085"/>
      <c r="B24" s="2290"/>
      <c r="C24" s="290" t="s">
        <v>46</v>
      </c>
      <c r="D24" s="290" t="s">
        <v>50</v>
      </c>
      <c r="E24" s="290" t="s">
        <v>51</v>
      </c>
      <c r="F24" s="290" t="s">
        <v>52</v>
      </c>
      <c r="G24" s="1085"/>
      <c r="Q24" s="1085"/>
      <c r="R24" s="1085"/>
      <c r="T24" s="2235" t="s">
        <v>47</v>
      </c>
      <c r="U24" s="51" t="s">
        <v>62</v>
      </c>
      <c r="V24" s="2263">
        <f>V14+V16+V17-V18-V19-V20-V22+V23-V21</f>
        <v>244213.4325</v>
      </c>
      <c r="W24" s="2263"/>
      <c r="X24" s="2263"/>
      <c r="Y24" s="2269"/>
    </row>
    <row r="25" spans="1:25" ht="40.5" customHeight="1" x14ac:dyDescent="0.25">
      <c r="T25" s="2235"/>
      <c r="U25" s="51" t="s">
        <v>63</v>
      </c>
      <c r="V25" s="2262">
        <f>V15+V22-V23</f>
        <v>10896</v>
      </c>
      <c r="W25" s="2262"/>
      <c r="X25" s="2262"/>
    </row>
    <row r="26" spans="1:25" ht="36" customHeight="1" x14ac:dyDescent="0.25">
      <c r="K26" s="314"/>
    </row>
    <row r="28" spans="1:25" x14ac:dyDescent="0.25">
      <c r="J28" s="14" t="s">
        <v>139</v>
      </c>
    </row>
    <row r="32" spans="1:25" x14ac:dyDescent="0.25">
      <c r="I32" s="2280"/>
      <c r="J32" s="2280"/>
      <c r="K32" s="2280"/>
      <c r="L32" s="2280"/>
    </row>
    <row r="33" spans="9:12" x14ac:dyDescent="0.25">
      <c r="I33" s="1085"/>
      <c r="J33" s="1085"/>
      <c r="K33" s="2280"/>
      <c r="L33" s="2280"/>
    </row>
  </sheetData>
  <mergeCells count="62">
    <mergeCell ref="A1:Y1"/>
    <mergeCell ref="A2:Y2"/>
    <mergeCell ref="T3:Y3"/>
    <mergeCell ref="A4:A5"/>
    <mergeCell ref="B4:B5"/>
    <mergeCell ref="C4:D4"/>
    <mergeCell ref="E4:F4"/>
    <mergeCell ref="G4:H4"/>
    <mergeCell ref="I4:J4"/>
    <mergeCell ref="K4:L4"/>
    <mergeCell ref="Y4:Y5"/>
    <mergeCell ref="M4:N4"/>
    <mergeCell ref="O4:P4"/>
    <mergeCell ref="Q4:R4"/>
    <mergeCell ref="S4:T4"/>
    <mergeCell ref="U4:V4"/>
    <mergeCell ref="W4:X4"/>
    <mergeCell ref="B16:C16"/>
    <mergeCell ref="Q16:R16"/>
    <mergeCell ref="T16:U16"/>
    <mergeCell ref="V16:X16"/>
    <mergeCell ref="A12:B12"/>
    <mergeCell ref="B14:C14"/>
    <mergeCell ref="Q14:R14"/>
    <mergeCell ref="T14:T15"/>
    <mergeCell ref="V14:X14"/>
    <mergeCell ref="B15:C15"/>
    <mergeCell ref="Q15:R15"/>
    <mergeCell ref="V15:X15"/>
    <mergeCell ref="B17:C17"/>
    <mergeCell ref="Q17:R17"/>
    <mergeCell ref="T17:U17"/>
    <mergeCell ref="V17:X17"/>
    <mergeCell ref="B18:C18"/>
    <mergeCell ref="Q18:R18"/>
    <mergeCell ref="T18:U18"/>
    <mergeCell ref="V18:X18"/>
    <mergeCell ref="Y18:Y24"/>
    <mergeCell ref="B19:C19"/>
    <mergeCell ref="Q19:R19"/>
    <mergeCell ref="T19:T20"/>
    <mergeCell ref="V19:X19"/>
    <mergeCell ref="B20:C20"/>
    <mergeCell ref="B22:B24"/>
    <mergeCell ref="C22:C23"/>
    <mergeCell ref="D22:D23"/>
    <mergeCell ref="E22:E23"/>
    <mergeCell ref="F22:F23"/>
    <mergeCell ref="Q20:R20"/>
    <mergeCell ref="V20:X20"/>
    <mergeCell ref="B21:C21"/>
    <mergeCell ref="T21:U21"/>
    <mergeCell ref="V21:X21"/>
    <mergeCell ref="I32:J32"/>
    <mergeCell ref="K32:L32"/>
    <mergeCell ref="K33:L33"/>
    <mergeCell ref="T22:T23"/>
    <mergeCell ref="V22:X22"/>
    <mergeCell ref="V23:X23"/>
    <mergeCell ref="T24:T25"/>
    <mergeCell ref="V24:X24"/>
    <mergeCell ref="V25:X25"/>
  </mergeCells>
  <pageMargins left="0.15748031496063" right="0.15748031496063" top="0" bottom="0" header="0" footer="0"/>
  <pageSetup paperSize="9" scale="45" orientation="landscape" r:id="rId1"/>
</worksheet>
</file>

<file path=xl/worksheets/sheet2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4231F3C-1608-4677-8BE5-23C73A603442}">
  <sheetPr>
    <pageSetUpPr fitToPage="1"/>
  </sheetPr>
  <dimension ref="A1:Y33"/>
  <sheetViews>
    <sheetView topLeftCell="A4" zoomScale="70" zoomScaleNormal="70" zoomScaleSheetLayoutView="100" zoomScalePageLayoutView="68" workbookViewId="0">
      <selection activeCell="K11" sqref="K11"/>
    </sheetView>
  </sheetViews>
  <sheetFormatPr defaultColWidth="9.140625" defaultRowHeight="15" x14ac:dyDescent="0.25"/>
  <cols>
    <col min="1" max="1" width="18.28515625" style="14" customWidth="1"/>
    <col min="2" max="2" width="10.7109375" style="14" customWidth="1"/>
    <col min="3" max="3" width="12.28515625" style="14" customWidth="1"/>
    <col min="4" max="4" width="13.140625" style="14" bestFit="1" customWidth="1"/>
    <col min="5" max="5" width="12" style="14" customWidth="1"/>
    <col min="6" max="6" width="12.5703125" style="14" bestFit="1" customWidth="1"/>
    <col min="7" max="7" width="16" style="14" bestFit="1" customWidth="1"/>
    <col min="8" max="8" width="10.140625" style="14" bestFit="1" customWidth="1"/>
    <col min="9" max="9" width="10.5703125" style="14" bestFit="1" customWidth="1"/>
    <col min="10" max="10" width="10.5703125" style="14" customWidth="1"/>
    <col min="11" max="11" width="10.28515625" style="14" bestFit="1" customWidth="1"/>
    <col min="12" max="12" width="10.42578125" style="14" bestFit="1" customWidth="1"/>
    <col min="13" max="14" width="12" style="14" bestFit="1" customWidth="1"/>
    <col min="15" max="15" width="9" style="14" customWidth="1"/>
    <col min="16" max="16" width="12.85546875" style="14" bestFit="1" customWidth="1"/>
    <col min="17" max="18" width="9.42578125" style="14" customWidth="1"/>
    <col min="19" max="19" width="13.7109375" style="14" customWidth="1"/>
    <col min="20" max="20" width="12.140625" style="14" customWidth="1"/>
    <col min="21" max="21" width="21.7109375" style="14" customWidth="1"/>
    <col min="22" max="22" width="9.85546875" style="14" customWidth="1"/>
    <col min="23" max="23" width="10.140625" style="14" bestFit="1" customWidth="1"/>
    <col min="24" max="24" width="10.28515625" style="14" customWidth="1"/>
    <col min="25" max="25" width="28" style="14" customWidth="1"/>
    <col min="26" max="16384" width="9.140625" style="14"/>
  </cols>
  <sheetData>
    <row r="1" spans="1:25" ht="46.15" customHeight="1" x14ac:dyDescent="0.25">
      <c r="A1" s="2240" t="s">
        <v>148</v>
      </c>
      <c r="B1" s="2240"/>
      <c r="C1" s="2240"/>
      <c r="D1" s="2240"/>
      <c r="E1" s="2240"/>
      <c r="F1" s="2240"/>
      <c r="G1" s="2240"/>
      <c r="H1" s="2240"/>
      <c r="I1" s="2240"/>
      <c r="J1" s="2240"/>
      <c r="K1" s="2240"/>
      <c r="L1" s="2240"/>
      <c r="M1" s="2240"/>
      <c r="N1" s="2240"/>
      <c r="O1" s="2240"/>
      <c r="P1" s="2240"/>
      <c r="Q1" s="2240"/>
      <c r="R1" s="2240"/>
      <c r="S1" s="2240"/>
      <c r="T1" s="2240"/>
      <c r="U1" s="2240"/>
      <c r="V1" s="2240"/>
      <c r="W1" s="2240"/>
      <c r="X1" s="2240"/>
      <c r="Y1" s="2240"/>
    </row>
    <row r="2" spans="1:25" ht="21.6" customHeight="1" x14ac:dyDescent="0.25">
      <c r="A2" s="2241" t="s">
        <v>383</v>
      </c>
      <c r="B2" s="2241"/>
      <c r="C2" s="2241"/>
      <c r="D2" s="2241"/>
      <c r="E2" s="2241"/>
      <c r="F2" s="2241"/>
      <c r="G2" s="2241"/>
      <c r="H2" s="2241"/>
      <c r="I2" s="2241"/>
      <c r="J2" s="2241"/>
      <c r="K2" s="2241"/>
      <c r="L2" s="2241"/>
      <c r="M2" s="2241"/>
      <c r="N2" s="2241"/>
      <c r="O2" s="2241"/>
      <c r="P2" s="2241"/>
      <c r="Q2" s="2241"/>
      <c r="R2" s="2241"/>
      <c r="S2" s="2241"/>
      <c r="T2" s="2241"/>
      <c r="U2" s="2241"/>
      <c r="V2" s="2241"/>
      <c r="W2" s="2241"/>
      <c r="X2" s="2241"/>
      <c r="Y2" s="2241"/>
    </row>
    <row r="3" spans="1:25" ht="21" customHeight="1" x14ac:dyDescent="0.25">
      <c r="A3" s="1086"/>
      <c r="B3" s="1086"/>
      <c r="C3" s="1086"/>
      <c r="D3" s="1086"/>
      <c r="E3" s="1086"/>
      <c r="F3" s="1086"/>
      <c r="G3" s="1086"/>
      <c r="H3" s="1086"/>
      <c r="I3" s="1086"/>
      <c r="J3" s="1086"/>
      <c r="K3" s="1086"/>
      <c r="L3" s="1086"/>
      <c r="M3" s="1086"/>
      <c r="N3" s="1086"/>
      <c r="O3" s="1086"/>
      <c r="P3" s="1086"/>
      <c r="Q3" s="1086"/>
      <c r="R3" s="1086"/>
      <c r="S3" s="1086"/>
      <c r="T3" s="2242" t="s">
        <v>449</v>
      </c>
      <c r="U3" s="2242"/>
      <c r="V3" s="2242"/>
      <c r="W3" s="2242"/>
      <c r="X3" s="2242"/>
      <c r="Y3" s="2242"/>
    </row>
    <row r="4" spans="1:25" s="1086" customFormat="1" ht="18" customHeight="1" x14ac:dyDescent="0.25">
      <c r="A4" s="2243" t="s">
        <v>25</v>
      </c>
      <c r="B4" s="2243" t="s">
        <v>26</v>
      </c>
      <c r="C4" s="2244" t="s">
        <v>27</v>
      </c>
      <c r="D4" s="2244"/>
      <c r="E4" s="2244" t="s">
        <v>342</v>
      </c>
      <c r="F4" s="2244"/>
      <c r="G4" s="2244" t="s">
        <v>65</v>
      </c>
      <c r="H4" s="2244"/>
      <c r="I4" s="2244" t="s">
        <v>29</v>
      </c>
      <c r="J4" s="2244"/>
      <c r="K4" s="2245" t="s">
        <v>14</v>
      </c>
      <c r="L4" s="2246"/>
      <c r="M4" s="2245" t="s">
        <v>429</v>
      </c>
      <c r="N4" s="2246"/>
      <c r="O4" s="2245" t="s">
        <v>441</v>
      </c>
      <c r="P4" s="2246"/>
      <c r="Q4" s="2245" t="s">
        <v>114</v>
      </c>
      <c r="R4" s="2246"/>
      <c r="S4" s="2244" t="s">
        <v>35</v>
      </c>
      <c r="T4" s="2244"/>
      <c r="U4" s="2245" t="s">
        <v>17</v>
      </c>
      <c r="V4" s="2246"/>
      <c r="W4" s="2247" t="s">
        <v>36</v>
      </c>
      <c r="X4" s="2248"/>
      <c r="Y4" s="2238" t="s">
        <v>30</v>
      </c>
    </row>
    <row r="5" spans="1:25" s="1086" customFormat="1" ht="25.5" customHeight="1" x14ac:dyDescent="0.25">
      <c r="A5" s="2243"/>
      <c r="B5" s="2243"/>
      <c r="C5" s="1088" t="s">
        <v>42</v>
      </c>
      <c r="D5" s="1088" t="s">
        <v>43</v>
      </c>
      <c r="E5" s="1088" t="s">
        <v>42</v>
      </c>
      <c r="F5" s="1088" t="s">
        <v>43</v>
      </c>
      <c r="G5" s="1088" t="s">
        <v>42</v>
      </c>
      <c r="H5" s="1088" t="s">
        <v>43</v>
      </c>
      <c r="I5" s="1088" t="s">
        <v>42</v>
      </c>
      <c r="J5" s="1088" t="s">
        <v>43</v>
      </c>
      <c r="K5" s="1088" t="s">
        <v>42</v>
      </c>
      <c r="L5" s="1088" t="s">
        <v>43</v>
      </c>
      <c r="M5" s="1088" t="s">
        <v>42</v>
      </c>
      <c r="N5" s="1088" t="s">
        <v>43</v>
      </c>
      <c r="O5" s="1088" t="s">
        <v>42</v>
      </c>
      <c r="P5" s="1088" t="s">
        <v>43</v>
      </c>
      <c r="Q5" s="1088" t="s">
        <v>42</v>
      </c>
      <c r="R5" s="1088" t="s">
        <v>43</v>
      </c>
      <c r="S5" s="33" t="s">
        <v>42</v>
      </c>
      <c r="T5" s="33" t="s">
        <v>43</v>
      </c>
      <c r="U5" s="30" t="s">
        <v>42</v>
      </c>
      <c r="V5" s="30" t="s">
        <v>43</v>
      </c>
      <c r="W5" s="30" t="s">
        <v>42</v>
      </c>
      <c r="X5" s="30" t="s">
        <v>43</v>
      </c>
      <c r="Y5" s="2239"/>
    </row>
    <row r="6" spans="1:25" ht="34.5" customHeight="1" x14ac:dyDescent="0.25">
      <c r="A6" s="12">
        <v>1409935200</v>
      </c>
      <c r="B6" s="1087" t="s">
        <v>71</v>
      </c>
      <c r="C6" s="1090">
        <v>22817</v>
      </c>
      <c r="D6" s="1091">
        <f>0.9725*C6</f>
        <v>22189.532500000001</v>
      </c>
      <c r="E6" s="1090"/>
      <c r="F6" s="1091">
        <f>67.1*E6</f>
        <v>0</v>
      </c>
      <c r="G6" s="1090"/>
      <c r="H6" s="1090">
        <f>28.2*G6</f>
        <v>0</v>
      </c>
      <c r="I6" s="1090"/>
      <c r="J6" s="1090">
        <f>18.5*I6</f>
        <v>0</v>
      </c>
      <c r="K6" s="1090"/>
      <c r="L6" s="1091">
        <f>28.2368*K6</f>
        <v>0</v>
      </c>
      <c r="M6" s="1090"/>
      <c r="N6" s="1091">
        <f>M6*47.6525</f>
        <v>0</v>
      </c>
      <c r="O6" s="1090">
        <v>890</v>
      </c>
      <c r="P6" s="1091">
        <f>O6*8.9</f>
        <v>7921</v>
      </c>
      <c r="Q6" s="1091"/>
      <c r="R6" s="1091">
        <f>241*Q6</f>
        <v>0</v>
      </c>
      <c r="S6" s="1090"/>
      <c r="T6" s="1090">
        <f>241*S6</f>
        <v>0</v>
      </c>
      <c r="U6" s="1090"/>
      <c r="V6" s="1090">
        <f>332*U6</f>
        <v>0</v>
      </c>
      <c r="W6" s="1090">
        <v>1</v>
      </c>
      <c r="X6" s="19">
        <f>W6*100</f>
        <v>100</v>
      </c>
      <c r="Y6" s="20">
        <f t="shared" ref="Y6:Y12" si="0">D6+F6+H6+J6+L6+N6+P6+R6+T6+V6+X6</f>
        <v>30210.532500000001</v>
      </c>
    </row>
    <row r="7" spans="1:25" ht="31.5" customHeight="1" x14ac:dyDescent="0.25">
      <c r="A7" s="12">
        <v>1984225578</v>
      </c>
      <c r="B7" s="1087" t="s">
        <v>72</v>
      </c>
      <c r="C7" s="1090">
        <v>41879</v>
      </c>
      <c r="D7" s="1091">
        <f t="shared" ref="D7:D11" si="1">0.9725*C7</f>
        <v>40727.327499999999</v>
      </c>
      <c r="E7" s="1090">
        <v>10</v>
      </c>
      <c r="F7" s="1090">
        <f t="shared" ref="F7:F11" si="2">67.1*E7</f>
        <v>671</v>
      </c>
      <c r="G7" s="1090"/>
      <c r="H7" s="1090">
        <f t="shared" ref="H7:H11" si="3">28.2*G7</f>
        <v>0</v>
      </c>
      <c r="I7" s="1090"/>
      <c r="J7" s="1090">
        <f t="shared" ref="J7:J11" si="4">18.5*I7</f>
        <v>0</v>
      </c>
      <c r="K7" s="1090"/>
      <c r="L7" s="1091">
        <f t="shared" ref="L7:L11" si="5">28.2368*K7</f>
        <v>0</v>
      </c>
      <c r="M7" s="1090"/>
      <c r="N7" s="1091">
        <f t="shared" ref="N7:N11" si="6">M7*47.6525</f>
        <v>0</v>
      </c>
      <c r="O7" s="1090">
        <v>780</v>
      </c>
      <c r="P7" s="1091">
        <f t="shared" ref="P7:P11" si="7">O7*8.9</f>
        <v>6942</v>
      </c>
      <c r="Q7" s="1091"/>
      <c r="R7" s="1091">
        <f t="shared" ref="R7:R11" si="8">241*Q7</f>
        <v>0</v>
      </c>
      <c r="S7" s="1090"/>
      <c r="T7" s="1090">
        <f t="shared" ref="T7:T10" si="9">241*S7</f>
        <v>0</v>
      </c>
      <c r="U7" s="1090">
        <v>25</v>
      </c>
      <c r="V7" s="1090">
        <f t="shared" ref="V7:V11" si="10">332*U7</f>
        <v>8300</v>
      </c>
      <c r="W7" s="1090"/>
      <c r="X7" s="19">
        <f t="shared" ref="X7:X11" si="11">W7*100</f>
        <v>0</v>
      </c>
      <c r="Y7" s="20">
        <f t="shared" si="0"/>
        <v>56640.327499999999</v>
      </c>
    </row>
    <row r="8" spans="1:25" ht="35.25" customHeight="1" x14ac:dyDescent="0.25">
      <c r="A8" s="12">
        <v>1967020280</v>
      </c>
      <c r="B8" s="1087" t="s">
        <v>427</v>
      </c>
      <c r="C8" s="1090">
        <v>25381</v>
      </c>
      <c r="D8" s="1091">
        <f t="shared" si="1"/>
        <v>24683.022499999999</v>
      </c>
      <c r="E8" s="1090">
        <v>40</v>
      </c>
      <c r="F8" s="1090">
        <f t="shared" si="2"/>
        <v>2684</v>
      </c>
      <c r="G8" s="1090"/>
      <c r="H8" s="1091">
        <f t="shared" si="3"/>
        <v>0</v>
      </c>
      <c r="I8" s="1090"/>
      <c r="J8" s="1090">
        <f t="shared" si="4"/>
        <v>0</v>
      </c>
      <c r="K8" s="1090">
        <v>70</v>
      </c>
      <c r="L8" s="1091">
        <f t="shared" si="5"/>
        <v>1976.576</v>
      </c>
      <c r="M8" s="1090"/>
      <c r="N8" s="1091">
        <f t="shared" si="6"/>
        <v>0</v>
      </c>
      <c r="O8" s="1090">
        <v>1470</v>
      </c>
      <c r="P8" s="1091">
        <f t="shared" si="7"/>
        <v>13083</v>
      </c>
      <c r="Q8" s="1091"/>
      <c r="R8" s="1091">
        <f t="shared" si="8"/>
        <v>0</v>
      </c>
      <c r="S8" s="1090"/>
      <c r="T8" s="1090">
        <f t="shared" si="9"/>
        <v>0</v>
      </c>
      <c r="U8" s="1090"/>
      <c r="V8" s="1090">
        <f t="shared" si="10"/>
        <v>0</v>
      </c>
      <c r="W8" s="1090"/>
      <c r="X8" s="19">
        <f t="shared" si="11"/>
        <v>0</v>
      </c>
      <c r="Y8" s="20">
        <f t="shared" si="0"/>
        <v>42426.5985</v>
      </c>
    </row>
    <row r="9" spans="1:25" ht="38.25" customHeight="1" x14ac:dyDescent="0.25">
      <c r="A9" s="12">
        <v>1984225580</v>
      </c>
      <c r="B9" s="1087" t="s">
        <v>75</v>
      </c>
      <c r="C9" s="1090">
        <v>28260</v>
      </c>
      <c r="D9" s="1091">
        <f t="shared" si="1"/>
        <v>27482.850000000002</v>
      </c>
      <c r="E9" s="1090">
        <v>20</v>
      </c>
      <c r="F9" s="1090">
        <f t="shared" si="2"/>
        <v>1342</v>
      </c>
      <c r="G9" s="1090"/>
      <c r="H9" s="1090">
        <f t="shared" si="3"/>
        <v>0</v>
      </c>
      <c r="I9" s="1090"/>
      <c r="J9" s="1090">
        <f t="shared" si="4"/>
        <v>0</v>
      </c>
      <c r="K9" s="1090"/>
      <c r="L9" s="1091">
        <f t="shared" si="5"/>
        <v>0</v>
      </c>
      <c r="M9" s="1090"/>
      <c r="N9" s="1091">
        <f t="shared" si="6"/>
        <v>0</v>
      </c>
      <c r="O9" s="1090">
        <v>170</v>
      </c>
      <c r="P9" s="1091">
        <f t="shared" si="7"/>
        <v>1513</v>
      </c>
      <c r="Q9" s="1091"/>
      <c r="R9" s="1091">
        <f t="shared" si="8"/>
        <v>0</v>
      </c>
      <c r="S9" s="1090"/>
      <c r="T9" s="1090">
        <f t="shared" si="9"/>
        <v>0</v>
      </c>
      <c r="U9" s="1090"/>
      <c r="V9" s="1090">
        <f t="shared" si="10"/>
        <v>0</v>
      </c>
      <c r="W9" s="1090"/>
      <c r="X9" s="19">
        <f t="shared" si="11"/>
        <v>0</v>
      </c>
      <c r="Y9" s="20">
        <f t="shared" si="0"/>
        <v>30337.850000000002</v>
      </c>
    </row>
    <row r="10" spans="1:25" ht="35.25" customHeight="1" x14ac:dyDescent="0.25">
      <c r="A10" s="12">
        <v>1409935199</v>
      </c>
      <c r="C10" s="1090"/>
      <c r="D10" s="1091">
        <f t="shared" si="1"/>
        <v>0</v>
      </c>
      <c r="E10" s="1090"/>
      <c r="F10" s="1090">
        <f t="shared" si="2"/>
        <v>0</v>
      </c>
      <c r="G10" s="1090"/>
      <c r="H10" s="1090">
        <f t="shared" si="3"/>
        <v>0</v>
      </c>
      <c r="I10" s="1090"/>
      <c r="J10" s="1090">
        <f t="shared" si="4"/>
        <v>0</v>
      </c>
      <c r="K10" s="1090"/>
      <c r="L10" s="1091">
        <f t="shared" si="5"/>
        <v>0</v>
      </c>
      <c r="M10" s="1090"/>
      <c r="N10" s="1091">
        <f t="shared" si="6"/>
        <v>0</v>
      </c>
      <c r="O10" s="1090"/>
      <c r="P10" s="1091">
        <f t="shared" si="7"/>
        <v>0</v>
      </c>
      <c r="Q10" s="1091"/>
      <c r="R10" s="1091">
        <f t="shared" si="8"/>
        <v>0</v>
      </c>
      <c r="S10" s="1090"/>
      <c r="T10" s="1090">
        <f t="shared" si="9"/>
        <v>0</v>
      </c>
      <c r="U10" s="1090"/>
      <c r="V10" s="1090">
        <f t="shared" si="10"/>
        <v>0</v>
      </c>
      <c r="W10" s="1090"/>
      <c r="X10" s="19">
        <f t="shared" si="11"/>
        <v>0</v>
      </c>
      <c r="Y10" s="20">
        <f t="shared" si="0"/>
        <v>0</v>
      </c>
    </row>
    <row r="11" spans="1:25" ht="37.5" customHeight="1" x14ac:dyDescent="0.25">
      <c r="A11" s="12"/>
      <c r="B11" s="1089"/>
      <c r="C11" s="1090"/>
      <c r="D11" s="1091">
        <f t="shared" si="1"/>
        <v>0</v>
      </c>
      <c r="E11" s="1090"/>
      <c r="F11" s="1090">
        <f t="shared" si="2"/>
        <v>0</v>
      </c>
      <c r="G11" s="1090"/>
      <c r="H11" s="1090">
        <f t="shared" si="3"/>
        <v>0</v>
      </c>
      <c r="I11" s="1090"/>
      <c r="J11" s="1090">
        <f t="shared" si="4"/>
        <v>0</v>
      </c>
      <c r="K11" s="1090"/>
      <c r="L11" s="1091">
        <f t="shared" si="5"/>
        <v>0</v>
      </c>
      <c r="M11" s="1090"/>
      <c r="N11" s="1091">
        <f t="shared" si="6"/>
        <v>0</v>
      </c>
      <c r="O11" s="1090"/>
      <c r="P11" s="1091">
        <f t="shared" si="7"/>
        <v>0</v>
      </c>
      <c r="Q11" s="1091"/>
      <c r="R11" s="1091">
        <f t="shared" si="8"/>
        <v>0</v>
      </c>
      <c r="S11" s="1090"/>
      <c r="T11" s="1090">
        <f>341*S11</f>
        <v>0</v>
      </c>
      <c r="U11" s="1090"/>
      <c r="V11" s="1090">
        <f t="shared" si="10"/>
        <v>0</v>
      </c>
      <c r="W11" s="1090"/>
      <c r="X11" s="19">
        <f t="shared" si="11"/>
        <v>0</v>
      </c>
      <c r="Y11" s="20">
        <f t="shared" si="0"/>
        <v>0</v>
      </c>
    </row>
    <row r="12" spans="1:25" ht="29.25" customHeight="1" x14ac:dyDescent="0.25">
      <c r="A12" s="2235" t="s">
        <v>31</v>
      </c>
      <c r="B12" s="2235"/>
      <c r="C12" s="18">
        <f t="shared" ref="C12:X12" si="12">SUM(C6:C11)</f>
        <v>118337</v>
      </c>
      <c r="D12" s="18">
        <f t="shared" si="12"/>
        <v>115082.73250000001</v>
      </c>
      <c r="E12" s="18">
        <f t="shared" si="12"/>
        <v>70</v>
      </c>
      <c r="F12" s="18">
        <f t="shared" si="12"/>
        <v>4697</v>
      </c>
      <c r="G12" s="18">
        <f t="shared" si="12"/>
        <v>0</v>
      </c>
      <c r="H12" s="18">
        <f t="shared" si="12"/>
        <v>0</v>
      </c>
      <c r="I12" s="18">
        <f t="shared" si="12"/>
        <v>0</v>
      </c>
      <c r="J12" s="18">
        <f t="shared" si="12"/>
        <v>0</v>
      </c>
      <c r="K12" s="18">
        <f t="shared" si="12"/>
        <v>70</v>
      </c>
      <c r="L12" s="18">
        <f t="shared" si="12"/>
        <v>1976.576</v>
      </c>
      <c r="M12" s="18">
        <f t="shared" si="12"/>
        <v>0</v>
      </c>
      <c r="N12" s="23">
        <f t="shared" si="12"/>
        <v>0</v>
      </c>
      <c r="O12" s="18">
        <f t="shared" si="12"/>
        <v>3310</v>
      </c>
      <c r="P12" s="23">
        <f t="shared" si="12"/>
        <v>29459</v>
      </c>
      <c r="Q12" s="23">
        <f t="shared" si="12"/>
        <v>0</v>
      </c>
      <c r="R12" s="23">
        <f>SUM(R6:R11)</f>
        <v>0</v>
      </c>
      <c r="S12" s="23">
        <f>SUM(S6:S11)</f>
        <v>0</v>
      </c>
      <c r="T12" s="18">
        <f t="shared" si="12"/>
        <v>0</v>
      </c>
      <c r="U12" s="18">
        <f t="shared" si="12"/>
        <v>25</v>
      </c>
      <c r="V12" s="18">
        <f t="shared" si="12"/>
        <v>8300</v>
      </c>
      <c r="W12" s="18">
        <f t="shared" si="12"/>
        <v>1</v>
      </c>
      <c r="X12" s="18">
        <f t="shared" si="12"/>
        <v>100</v>
      </c>
      <c r="Y12" s="20">
        <f t="shared" si="0"/>
        <v>159615.30850000001</v>
      </c>
    </row>
    <row r="14" spans="1:25" ht="43.5" customHeight="1" x14ac:dyDescent="0.25">
      <c r="A14" s="30" t="s">
        <v>32</v>
      </c>
      <c r="B14" s="2236" t="s">
        <v>27</v>
      </c>
      <c r="C14" s="2236"/>
      <c r="D14" s="30" t="s">
        <v>333</v>
      </c>
      <c r="E14" s="30" t="s">
        <v>65</v>
      </c>
      <c r="F14" s="30" t="s">
        <v>34</v>
      </c>
      <c r="G14" s="30" t="s">
        <v>14</v>
      </c>
      <c r="H14" s="469" t="s">
        <v>173</v>
      </c>
      <c r="I14" s="30" t="s">
        <v>17</v>
      </c>
      <c r="J14" s="1095" t="s">
        <v>174</v>
      </c>
      <c r="K14" s="30" t="s">
        <v>36</v>
      </c>
      <c r="L14" s="1095" t="s">
        <v>403</v>
      </c>
      <c r="M14" s="30" t="s">
        <v>429</v>
      </c>
      <c r="N14" s="30" t="s">
        <v>442</v>
      </c>
      <c r="O14" s="1095" t="s">
        <v>114</v>
      </c>
      <c r="P14" s="30" t="s">
        <v>70</v>
      </c>
      <c r="Q14" s="2300" t="s">
        <v>378</v>
      </c>
      <c r="R14" s="2301"/>
      <c r="S14" s="1095" t="s">
        <v>401</v>
      </c>
      <c r="T14" s="2235" t="s">
        <v>46</v>
      </c>
      <c r="U14" s="1087" t="s">
        <v>176</v>
      </c>
      <c r="V14" s="2260">
        <v>244213</v>
      </c>
      <c r="W14" s="2268"/>
      <c r="X14" s="2261"/>
    </row>
    <row r="15" spans="1:25" ht="22.5" customHeight="1" x14ac:dyDescent="0.25">
      <c r="A15" s="100" t="s">
        <v>38</v>
      </c>
      <c r="B15" s="2260">
        <v>352991</v>
      </c>
      <c r="C15" s="2261"/>
      <c r="D15" s="1092">
        <v>282</v>
      </c>
      <c r="E15" s="1092">
        <v>0</v>
      </c>
      <c r="F15" s="1092">
        <v>0</v>
      </c>
      <c r="G15" s="1092">
        <v>550</v>
      </c>
      <c r="H15" s="1092">
        <v>355</v>
      </c>
      <c r="I15" s="1092">
        <v>70</v>
      </c>
      <c r="J15" s="1092">
        <v>5</v>
      </c>
      <c r="K15" s="1092">
        <v>83</v>
      </c>
      <c r="L15" s="1092">
        <v>8</v>
      </c>
      <c r="M15" s="1092">
        <v>60</v>
      </c>
      <c r="N15" s="1092">
        <v>6810</v>
      </c>
      <c r="O15" s="1092">
        <v>0</v>
      </c>
      <c r="P15" s="1092">
        <v>100</v>
      </c>
      <c r="Q15" s="2260">
        <v>0</v>
      </c>
      <c r="R15" s="2261"/>
      <c r="S15" s="1087">
        <v>7</v>
      </c>
      <c r="T15" s="2235"/>
      <c r="U15" s="1087" t="s">
        <v>64</v>
      </c>
      <c r="V15" s="2262">
        <v>10896</v>
      </c>
      <c r="W15" s="2262"/>
      <c r="X15" s="2262"/>
    </row>
    <row r="16" spans="1:25" ht="24.75" customHeight="1" x14ac:dyDescent="0.25">
      <c r="A16" s="100" t="s">
        <v>39</v>
      </c>
      <c r="B16" s="2260">
        <v>51948</v>
      </c>
      <c r="C16" s="2261"/>
      <c r="D16" s="1092"/>
      <c r="E16" s="1092"/>
      <c r="F16" s="1092">
        <v>12500</v>
      </c>
      <c r="G16" s="1092"/>
      <c r="H16" s="1092"/>
      <c r="I16" s="1092"/>
      <c r="J16" s="1092"/>
      <c r="K16" s="1092"/>
      <c r="L16" s="1092"/>
      <c r="M16" s="1092"/>
      <c r="N16" s="1092"/>
      <c r="O16" s="1092"/>
      <c r="P16" s="1092"/>
      <c r="Q16" s="2225"/>
      <c r="R16" s="2225"/>
      <c r="S16" s="1092"/>
      <c r="T16" s="2254" t="s">
        <v>55</v>
      </c>
      <c r="U16" s="2254"/>
      <c r="V16" s="2267">
        <f>Y12</f>
        <v>159615.30850000001</v>
      </c>
      <c r="W16" s="2267"/>
      <c r="X16" s="2262"/>
    </row>
    <row r="17" spans="1:25" ht="28.5" customHeight="1" x14ac:dyDescent="0.25">
      <c r="A17" s="101" t="s">
        <v>44</v>
      </c>
      <c r="B17" s="2260"/>
      <c r="C17" s="2261"/>
      <c r="D17" s="1092"/>
      <c r="E17" s="1092"/>
      <c r="F17" s="1092"/>
      <c r="G17" s="1092"/>
      <c r="H17" s="1092"/>
      <c r="I17" s="1092"/>
      <c r="J17" s="1092"/>
      <c r="K17" s="1092"/>
      <c r="L17" s="1092"/>
      <c r="M17" s="1092"/>
      <c r="N17" s="1092"/>
      <c r="O17" s="1092"/>
      <c r="P17" s="1092"/>
      <c r="Q17" s="2225"/>
      <c r="R17" s="2225"/>
      <c r="S17" s="1089"/>
      <c r="T17" s="2294" t="s">
        <v>450</v>
      </c>
      <c r="U17" s="2295"/>
      <c r="V17" s="2296"/>
      <c r="W17" s="2296"/>
      <c r="X17" s="2296"/>
    </row>
    <row r="18" spans="1:25" ht="27" customHeight="1" x14ac:dyDescent="0.25">
      <c r="A18" s="100" t="s">
        <v>40</v>
      </c>
      <c r="B18" s="2264">
        <f>C12</f>
        <v>118337</v>
      </c>
      <c r="C18" s="2261"/>
      <c r="D18" s="1093">
        <f>E12</f>
        <v>70</v>
      </c>
      <c r="E18" s="1093">
        <f>G12</f>
        <v>0</v>
      </c>
      <c r="F18" s="1093">
        <f>I12</f>
        <v>0</v>
      </c>
      <c r="G18" s="1093">
        <f>K12</f>
        <v>70</v>
      </c>
      <c r="H18" s="1092"/>
      <c r="I18" s="1093">
        <f>U12</f>
        <v>25</v>
      </c>
      <c r="J18" s="1092"/>
      <c r="K18" s="1093">
        <f>W12</f>
        <v>1</v>
      </c>
      <c r="L18" s="1092"/>
      <c r="M18" s="1093">
        <f>M12</f>
        <v>0</v>
      </c>
      <c r="N18" s="1093">
        <f>O12</f>
        <v>3310</v>
      </c>
      <c r="O18" s="1094">
        <f>Q12</f>
        <v>0</v>
      </c>
      <c r="P18" s="1093"/>
      <c r="Q18" s="2262"/>
      <c r="R18" s="2262"/>
      <c r="S18" s="1087"/>
      <c r="T18" s="2254" t="s">
        <v>57</v>
      </c>
      <c r="U18" s="2254"/>
      <c r="V18" s="2262">
        <v>580</v>
      </c>
      <c r="W18" s="2262"/>
      <c r="X18" s="2262"/>
      <c r="Y18" s="2269"/>
    </row>
    <row r="19" spans="1:25" ht="25.5" customHeight="1" x14ac:dyDescent="0.25">
      <c r="A19" s="100" t="s">
        <v>41</v>
      </c>
      <c r="B19" s="2260">
        <f>B15+B16+B17-B18</f>
        <v>286602</v>
      </c>
      <c r="C19" s="2261"/>
      <c r="D19" s="1092">
        <f>D15+D16+D17-D18</f>
        <v>212</v>
      </c>
      <c r="E19" s="1092">
        <f t="shared" ref="E19:N19" si="13">E15+E16+E17-E18</f>
        <v>0</v>
      </c>
      <c r="F19" s="1092">
        <f t="shared" si="13"/>
        <v>12500</v>
      </c>
      <c r="G19" s="1092">
        <f t="shared" si="13"/>
        <v>480</v>
      </c>
      <c r="H19" s="1092">
        <f t="shared" si="13"/>
        <v>355</v>
      </c>
      <c r="I19" s="1092">
        <f t="shared" si="13"/>
        <v>45</v>
      </c>
      <c r="J19" s="1092">
        <f t="shared" si="13"/>
        <v>5</v>
      </c>
      <c r="K19" s="1092">
        <f t="shared" si="13"/>
        <v>82</v>
      </c>
      <c r="L19" s="1092">
        <f t="shared" si="13"/>
        <v>8</v>
      </c>
      <c r="M19" s="1092">
        <f t="shared" si="13"/>
        <v>60</v>
      </c>
      <c r="N19" s="1092">
        <f t="shared" si="13"/>
        <v>3500</v>
      </c>
      <c r="O19" s="1092">
        <f>O15+O16+O17-O18</f>
        <v>0</v>
      </c>
      <c r="P19" s="1092">
        <f t="shared" ref="P19:Q19" si="14">P15+P16+P17-P18</f>
        <v>100</v>
      </c>
      <c r="Q19" s="2260">
        <f t="shared" si="14"/>
        <v>0</v>
      </c>
      <c r="R19" s="2261"/>
      <c r="S19" s="1087">
        <f>S15+S16-S17-S18</f>
        <v>7</v>
      </c>
      <c r="T19" s="2256" t="s">
        <v>48</v>
      </c>
      <c r="U19" s="49" t="s">
        <v>58</v>
      </c>
      <c r="V19" s="2262">
        <v>95500</v>
      </c>
      <c r="W19" s="2262"/>
      <c r="X19" s="2262"/>
      <c r="Y19" s="2269"/>
    </row>
    <row r="20" spans="1:25" ht="23.25" customHeight="1" x14ac:dyDescent="0.25">
      <c r="A20" s="289" t="s">
        <v>187</v>
      </c>
      <c r="B20" s="2286">
        <f>B19*0.9625</f>
        <v>275854.42499999999</v>
      </c>
      <c r="C20" s="2287"/>
      <c r="D20" s="290">
        <f>D19*66.41</f>
        <v>14078.92</v>
      </c>
      <c r="E20" s="290">
        <f>27.9368*E19</f>
        <v>0</v>
      </c>
      <c r="F20" s="290">
        <f>18.31*F19</f>
        <v>228874.99999999997</v>
      </c>
      <c r="G20" s="290">
        <f>27.9368*G19</f>
        <v>13409.664000000001</v>
      </c>
      <c r="H20" s="290">
        <f>241*H19</f>
        <v>85555</v>
      </c>
      <c r="I20" s="290">
        <f>323*I19</f>
        <v>14535</v>
      </c>
      <c r="J20" s="290">
        <f>241*J19</f>
        <v>1205</v>
      </c>
      <c r="K20" s="290">
        <f>K19*100</f>
        <v>8200</v>
      </c>
      <c r="L20" s="290">
        <f>241*L19</f>
        <v>1928</v>
      </c>
      <c r="M20" s="290">
        <f>47.1625*M19</f>
        <v>2829.75</v>
      </c>
      <c r="N20" s="290">
        <f>N19*8.81</f>
        <v>30835</v>
      </c>
      <c r="O20" s="290">
        <f>241*O19</f>
        <v>0</v>
      </c>
      <c r="P20" s="290">
        <f>P19*48.2</f>
        <v>4820</v>
      </c>
      <c r="Q20" s="2286">
        <f>341*Q19</f>
        <v>0</v>
      </c>
      <c r="R20" s="2287"/>
      <c r="S20" s="290">
        <f>341*S19</f>
        <v>2387</v>
      </c>
      <c r="T20" s="2257"/>
      <c r="U20" s="49" t="s">
        <v>59</v>
      </c>
      <c r="V20" s="2262"/>
      <c r="W20" s="2262"/>
      <c r="X20" s="2262"/>
      <c r="Y20" s="2269"/>
    </row>
    <row r="21" spans="1:25" ht="32.25" customHeight="1" x14ac:dyDescent="0.25">
      <c r="A21" s="291" t="s">
        <v>186</v>
      </c>
      <c r="B21" s="2293">
        <f>SUM(B20:S20)</f>
        <v>684512.75899999996</v>
      </c>
      <c r="C21" s="2293"/>
      <c r="O21" s="1096"/>
      <c r="P21" s="1096"/>
      <c r="Q21" s="1096"/>
      <c r="R21" s="1096"/>
      <c r="T21" s="2294" t="s">
        <v>451</v>
      </c>
      <c r="U21" s="2295"/>
      <c r="V21" s="2297"/>
      <c r="W21" s="2298"/>
      <c r="X21" s="2299"/>
      <c r="Y21" s="2269"/>
    </row>
    <row r="22" spans="1:25" ht="35.25" customHeight="1" x14ac:dyDescent="0.25">
      <c r="A22" s="15"/>
      <c r="B22" s="2288" t="s">
        <v>49</v>
      </c>
      <c r="C22" s="2291">
        <v>95500</v>
      </c>
      <c r="D22" s="2291">
        <v>95500</v>
      </c>
      <c r="E22" s="2291">
        <v>278875</v>
      </c>
      <c r="F22" s="2291">
        <f>C22-D22+E22</f>
        <v>278875</v>
      </c>
      <c r="G22" s="1096"/>
      <c r="Q22" s="1096"/>
      <c r="R22" s="1096"/>
      <c r="T22" s="2251" t="s">
        <v>83</v>
      </c>
      <c r="U22" s="50" t="s">
        <v>60</v>
      </c>
      <c r="V22" s="2262">
        <v>377410</v>
      </c>
      <c r="W22" s="2262"/>
      <c r="X22" s="2262"/>
      <c r="Y22" s="2269"/>
    </row>
    <row r="23" spans="1:25" ht="39.75" customHeight="1" x14ac:dyDescent="0.25">
      <c r="A23" s="1096"/>
      <c r="B23" s="2289"/>
      <c r="C23" s="2292"/>
      <c r="D23" s="2292"/>
      <c r="E23" s="2292"/>
      <c r="F23" s="2292"/>
      <c r="G23" s="1096"/>
      <c r="Q23" s="1096"/>
      <c r="R23" s="1096"/>
      <c r="T23" s="2252"/>
      <c r="U23" s="50" t="s">
        <v>61</v>
      </c>
      <c r="V23" s="2262">
        <v>95500</v>
      </c>
      <c r="W23" s="2262"/>
      <c r="X23" s="2262"/>
      <c r="Y23" s="2269"/>
    </row>
    <row r="24" spans="1:25" ht="48" customHeight="1" x14ac:dyDescent="0.25">
      <c r="A24" s="1096"/>
      <c r="B24" s="2290"/>
      <c r="C24" s="290" t="s">
        <v>46</v>
      </c>
      <c r="D24" s="290" t="s">
        <v>50</v>
      </c>
      <c r="E24" s="290" t="s">
        <v>51</v>
      </c>
      <c r="F24" s="290" t="s">
        <v>52</v>
      </c>
      <c r="G24" s="1096"/>
      <c r="Q24" s="1096"/>
      <c r="R24" s="1096"/>
      <c r="T24" s="2235" t="s">
        <v>47</v>
      </c>
      <c r="U24" s="51" t="s">
        <v>62</v>
      </c>
      <c r="V24" s="2263">
        <f>V14+V16+V17-V18-V19-V20-V22+V23-V21</f>
        <v>25838.308500000043</v>
      </c>
      <c r="W24" s="2263"/>
      <c r="X24" s="2263"/>
      <c r="Y24" s="2269"/>
    </row>
    <row r="25" spans="1:25" ht="40.5" customHeight="1" x14ac:dyDescent="0.25">
      <c r="T25" s="2235"/>
      <c r="U25" s="51" t="s">
        <v>63</v>
      </c>
      <c r="V25" s="2262">
        <f>V15+V22-V23</f>
        <v>292806</v>
      </c>
      <c r="W25" s="2262"/>
      <c r="X25" s="2262"/>
    </row>
    <row r="26" spans="1:25" ht="36" customHeight="1" x14ac:dyDescent="0.25">
      <c r="K26" s="314"/>
    </row>
    <row r="28" spans="1:25" x14ac:dyDescent="0.25">
      <c r="J28" s="14" t="s">
        <v>139</v>
      </c>
    </row>
    <row r="32" spans="1:25" x14ac:dyDescent="0.25">
      <c r="I32" s="2280"/>
      <c r="J32" s="2280"/>
      <c r="K32" s="2280"/>
      <c r="L32" s="2280"/>
    </row>
    <row r="33" spans="9:12" x14ac:dyDescent="0.25">
      <c r="I33" s="1096"/>
      <c r="J33" s="1096"/>
      <c r="K33" s="2280"/>
      <c r="L33" s="2280"/>
    </row>
  </sheetData>
  <mergeCells count="62">
    <mergeCell ref="I32:J32"/>
    <mergeCell ref="K32:L32"/>
    <mergeCell ref="K33:L33"/>
    <mergeCell ref="T22:T23"/>
    <mergeCell ref="V22:X22"/>
    <mergeCell ref="V23:X23"/>
    <mergeCell ref="T24:T25"/>
    <mergeCell ref="V24:X24"/>
    <mergeCell ref="V25:X25"/>
    <mergeCell ref="Y18:Y24"/>
    <mergeCell ref="B19:C19"/>
    <mergeCell ref="Q19:R19"/>
    <mergeCell ref="T19:T20"/>
    <mergeCell ref="V19:X19"/>
    <mergeCell ref="B20:C20"/>
    <mergeCell ref="B22:B24"/>
    <mergeCell ref="C22:C23"/>
    <mergeCell ref="D22:D23"/>
    <mergeCell ref="E22:E23"/>
    <mergeCell ref="F22:F23"/>
    <mergeCell ref="Q20:R20"/>
    <mergeCell ref="V20:X20"/>
    <mergeCell ref="B21:C21"/>
    <mergeCell ref="T21:U21"/>
    <mergeCell ref="V21:X21"/>
    <mergeCell ref="B17:C17"/>
    <mergeCell ref="Q17:R17"/>
    <mergeCell ref="T17:U17"/>
    <mergeCell ref="V17:X17"/>
    <mergeCell ref="B18:C18"/>
    <mergeCell ref="Q18:R18"/>
    <mergeCell ref="T18:U18"/>
    <mergeCell ref="V18:X18"/>
    <mergeCell ref="W4:X4"/>
    <mergeCell ref="B16:C16"/>
    <mergeCell ref="Q16:R16"/>
    <mergeCell ref="T16:U16"/>
    <mergeCell ref="V16:X16"/>
    <mergeCell ref="A12:B12"/>
    <mergeCell ref="B14:C14"/>
    <mergeCell ref="Q14:R14"/>
    <mergeCell ref="T14:T15"/>
    <mergeCell ref="V14:X14"/>
    <mergeCell ref="B15:C15"/>
    <mergeCell ref="Q15:R15"/>
    <mergeCell ref="V15:X15"/>
    <mergeCell ref="A1:Y1"/>
    <mergeCell ref="A2:Y2"/>
    <mergeCell ref="T3:Y3"/>
    <mergeCell ref="A4:A5"/>
    <mergeCell ref="B4:B5"/>
    <mergeCell ref="C4:D4"/>
    <mergeCell ref="E4:F4"/>
    <mergeCell ref="G4:H4"/>
    <mergeCell ref="I4:J4"/>
    <mergeCell ref="K4:L4"/>
    <mergeCell ref="Y4:Y5"/>
    <mergeCell ref="M4:N4"/>
    <mergeCell ref="O4:P4"/>
    <mergeCell ref="Q4:R4"/>
    <mergeCell ref="S4:T4"/>
    <mergeCell ref="U4:V4"/>
  </mergeCells>
  <pageMargins left="0.15748031496063" right="0.15748031496063" top="0" bottom="0" header="0" footer="0"/>
  <pageSetup paperSize="9" scale="45" orientation="landscape" r:id="rId1"/>
</worksheet>
</file>

<file path=xl/worksheets/sheet2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157A507-0569-495E-A7DF-6EDF20EB7F3B}">
  <sheetPr>
    <pageSetUpPr fitToPage="1"/>
  </sheetPr>
  <dimension ref="A1:Y33"/>
  <sheetViews>
    <sheetView topLeftCell="E15" zoomScale="70" zoomScaleNormal="70" zoomScaleSheetLayoutView="100" zoomScalePageLayoutView="68" workbookViewId="0">
      <selection activeCell="O24" sqref="O24"/>
    </sheetView>
  </sheetViews>
  <sheetFormatPr defaultColWidth="9.140625" defaultRowHeight="15" x14ac:dyDescent="0.25"/>
  <cols>
    <col min="1" max="1" width="18.28515625" style="14" customWidth="1"/>
    <col min="2" max="2" width="10.7109375" style="14" customWidth="1"/>
    <col min="3" max="3" width="12.28515625" style="14" customWidth="1"/>
    <col min="4" max="4" width="13.140625" style="14" bestFit="1" customWidth="1"/>
    <col min="5" max="5" width="12" style="14" customWidth="1"/>
    <col min="6" max="6" width="12.5703125" style="14" bestFit="1" customWidth="1"/>
    <col min="7" max="7" width="16" style="14" bestFit="1" customWidth="1"/>
    <col min="8" max="8" width="10.140625" style="14" bestFit="1" customWidth="1"/>
    <col min="9" max="9" width="10.5703125" style="14" bestFit="1" customWidth="1"/>
    <col min="10" max="10" width="10.5703125" style="14" customWidth="1"/>
    <col min="11" max="11" width="10.28515625" style="14" bestFit="1" customWidth="1"/>
    <col min="12" max="12" width="10.42578125" style="14" bestFit="1" customWidth="1"/>
    <col min="13" max="14" width="12" style="14" bestFit="1" customWidth="1"/>
    <col min="15" max="15" width="9" style="14" customWidth="1"/>
    <col min="16" max="16" width="12.85546875" style="14" bestFit="1" customWidth="1"/>
    <col min="17" max="18" width="9.42578125" style="14" customWidth="1"/>
    <col min="19" max="19" width="13.7109375" style="14" customWidth="1"/>
    <col min="20" max="20" width="12.140625" style="14" customWidth="1"/>
    <col min="21" max="21" width="21.7109375" style="14" customWidth="1"/>
    <col min="22" max="22" width="9.85546875" style="14" customWidth="1"/>
    <col min="23" max="23" width="10.140625" style="14" bestFit="1" customWidth="1"/>
    <col min="24" max="24" width="10.28515625" style="14" customWidth="1"/>
    <col min="25" max="25" width="28" style="14" customWidth="1"/>
    <col min="26" max="16384" width="9.140625" style="14"/>
  </cols>
  <sheetData>
    <row r="1" spans="1:25" ht="46.15" customHeight="1" x14ac:dyDescent="0.25">
      <c r="A1" s="2240" t="s">
        <v>148</v>
      </c>
      <c r="B1" s="2240"/>
      <c r="C1" s="2240"/>
      <c r="D1" s="2240"/>
      <c r="E1" s="2240"/>
      <c r="F1" s="2240"/>
      <c r="G1" s="2240"/>
      <c r="H1" s="2240"/>
      <c r="I1" s="2240"/>
      <c r="J1" s="2240"/>
      <c r="K1" s="2240"/>
      <c r="L1" s="2240"/>
      <c r="M1" s="2240"/>
      <c r="N1" s="2240"/>
      <c r="O1" s="2240"/>
      <c r="P1" s="2240"/>
      <c r="Q1" s="2240"/>
      <c r="R1" s="2240"/>
      <c r="S1" s="2240"/>
      <c r="T1" s="2240"/>
      <c r="U1" s="2240"/>
      <c r="V1" s="2240"/>
      <c r="W1" s="2240"/>
      <c r="X1" s="2240"/>
      <c r="Y1" s="2240"/>
    </row>
    <row r="2" spans="1:25" ht="21.6" customHeight="1" x14ac:dyDescent="0.25">
      <c r="A2" s="2241" t="s">
        <v>383</v>
      </c>
      <c r="B2" s="2241"/>
      <c r="C2" s="2241"/>
      <c r="D2" s="2241"/>
      <c r="E2" s="2241"/>
      <c r="F2" s="2241"/>
      <c r="G2" s="2241"/>
      <c r="H2" s="2241"/>
      <c r="I2" s="2241"/>
      <c r="J2" s="2241"/>
      <c r="K2" s="2241"/>
      <c r="L2" s="2241"/>
      <c r="M2" s="2241"/>
      <c r="N2" s="2241"/>
      <c r="O2" s="2241"/>
      <c r="P2" s="2241"/>
      <c r="Q2" s="2241"/>
      <c r="R2" s="2241"/>
      <c r="S2" s="2241"/>
      <c r="T2" s="2241"/>
      <c r="U2" s="2241"/>
      <c r="V2" s="2241"/>
      <c r="W2" s="2241"/>
      <c r="X2" s="2241"/>
      <c r="Y2" s="2241"/>
    </row>
    <row r="3" spans="1:25" ht="21" customHeight="1" x14ac:dyDescent="0.25">
      <c r="A3" s="1102"/>
      <c r="B3" s="1102"/>
      <c r="C3" s="1102"/>
      <c r="D3" s="1102"/>
      <c r="E3" s="1102"/>
      <c r="F3" s="1102"/>
      <c r="G3" s="1102"/>
      <c r="H3" s="1102"/>
      <c r="I3" s="1102"/>
      <c r="J3" s="1102"/>
      <c r="K3" s="1102"/>
      <c r="L3" s="1102"/>
      <c r="M3" s="1102"/>
      <c r="N3" s="1102"/>
      <c r="O3" s="1102"/>
      <c r="P3" s="1102"/>
      <c r="Q3" s="1102"/>
      <c r="R3" s="1102"/>
      <c r="S3" s="1102"/>
      <c r="T3" s="2242" t="s">
        <v>452</v>
      </c>
      <c r="U3" s="2242"/>
      <c r="V3" s="2242"/>
      <c r="W3" s="2242"/>
      <c r="X3" s="2242"/>
      <c r="Y3" s="2242"/>
    </row>
    <row r="4" spans="1:25" s="1102" customFormat="1" ht="18" customHeight="1" x14ac:dyDescent="0.25">
      <c r="A4" s="2243" t="s">
        <v>25</v>
      </c>
      <c r="B4" s="2243" t="s">
        <v>26</v>
      </c>
      <c r="C4" s="2244" t="s">
        <v>27</v>
      </c>
      <c r="D4" s="2244"/>
      <c r="E4" s="2244" t="s">
        <v>342</v>
      </c>
      <c r="F4" s="2244"/>
      <c r="G4" s="2244" t="s">
        <v>65</v>
      </c>
      <c r="H4" s="2244"/>
      <c r="I4" s="2244" t="s">
        <v>29</v>
      </c>
      <c r="J4" s="2244"/>
      <c r="K4" s="2245" t="s">
        <v>14</v>
      </c>
      <c r="L4" s="2246"/>
      <c r="M4" s="2245" t="s">
        <v>429</v>
      </c>
      <c r="N4" s="2246"/>
      <c r="O4" s="2245" t="s">
        <v>441</v>
      </c>
      <c r="P4" s="2246"/>
      <c r="Q4" s="2245" t="s">
        <v>114</v>
      </c>
      <c r="R4" s="2246"/>
      <c r="S4" s="2244" t="s">
        <v>35</v>
      </c>
      <c r="T4" s="2244"/>
      <c r="U4" s="2245" t="s">
        <v>17</v>
      </c>
      <c r="V4" s="2246"/>
      <c r="W4" s="2247" t="s">
        <v>36</v>
      </c>
      <c r="X4" s="2248"/>
      <c r="Y4" s="2238" t="s">
        <v>30</v>
      </c>
    </row>
    <row r="5" spans="1:25" s="1102" customFormat="1" ht="25.5" customHeight="1" x14ac:dyDescent="0.25">
      <c r="A5" s="2243"/>
      <c r="B5" s="2243"/>
      <c r="C5" s="1101" t="s">
        <v>42</v>
      </c>
      <c r="D5" s="1101" t="s">
        <v>43</v>
      </c>
      <c r="E5" s="1101" t="s">
        <v>42</v>
      </c>
      <c r="F5" s="1101" t="s">
        <v>43</v>
      </c>
      <c r="G5" s="1101" t="s">
        <v>42</v>
      </c>
      <c r="H5" s="1101" t="s">
        <v>43</v>
      </c>
      <c r="I5" s="1101" t="s">
        <v>42</v>
      </c>
      <c r="J5" s="1101" t="s">
        <v>43</v>
      </c>
      <c r="K5" s="1101" t="s">
        <v>42</v>
      </c>
      <c r="L5" s="1101" t="s">
        <v>43</v>
      </c>
      <c r="M5" s="1101" t="s">
        <v>42</v>
      </c>
      <c r="N5" s="1101" t="s">
        <v>43</v>
      </c>
      <c r="O5" s="1101" t="s">
        <v>42</v>
      </c>
      <c r="P5" s="1101" t="s">
        <v>43</v>
      </c>
      <c r="Q5" s="1101" t="s">
        <v>42</v>
      </c>
      <c r="R5" s="1101" t="s">
        <v>43</v>
      </c>
      <c r="S5" s="33" t="s">
        <v>42</v>
      </c>
      <c r="T5" s="33" t="s">
        <v>43</v>
      </c>
      <c r="U5" s="30" t="s">
        <v>42</v>
      </c>
      <c r="V5" s="30" t="s">
        <v>43</v>
      </c>
      <c r="W5" s="30" t="s">
        <v>42</v>
      </c>
      <c r="X5" s="30" t="s">
        <v>43</v>
      </c>
      <c r="Y5" s="2239"/>
    </row>
    <row r="6" spans="1:25" ht="34.5" customHeight="1" x14ac:dyDescent="0.25">
      <c r="A6" s="12">
        <v>1409935200</v>
      </c>
      <c r="B6" s="1100" t="s">
        <v>71</v>
      </c>
      <c r="C6" s="1098">
        <v>44506</v>
      </c>
      <c r="D6" s="1097">
        <f>0.9725*C6</f>
        <v>43282.084999999999</v>
      </c>
      <c r="E6" s="1098"/>
      <c r="F6" s="1097">
        <f>67.1*E6</f>
        <v>0</v>
      </c>
      <c r="G6" s="1098"/>
      <c r="H6" s="1098">
        <f>28.2*G6</f>
        <v>0</v>
      </c>
      <c r="I6" s="1098"/>
      <c r="J6" s="1098">
        <f>18.5*I6</f>
        <v>0</v>
      </c>
      <c r="K6" s="1098"/>
      <c r="L6" s="1097">
        <f>28.2368*K6</f>
        <v>0</v>
      </c>
      <c r="M6" s="1098">
        <v>30</v>
      </c>
      <c r="N6" s="1097">
        <f>M6*47.6525</f>
        <v>1429.575</v>
      </c>
      <c r="O6" s="1098">
        <v>430</v>
      </c>
      <c r="P6" s="1097">
        <f>O6*8.9</f>
        <v>3827</v>
      </c>
      <c r="Q6" s="1097"/>
      <c r="R6" s="1097">
        <f>241*Q6</f>
        <v>0</v>
      </c>
      <c r="S6" s="1098"/>
      <c r="T6" s="1098">
        <f>241*S6</f>
        <v>0</v>
      </c>
      <c r="U6" s="1098"/>
      <c r="V6" s="1098">
        <f>332*U6</f>
        <v>0</v>
      </c>
      <c r="W6" s="1098"/>
      <c r="X6" s="19">
        <f>W6*100</f>
        <v>0</v>
      </c>
      <c r="Y6" s="20">
        <f t="shared" ref="Y6:Y12" si="0">D6+F6+H6+J6+L6+N6+P6+R6+T6+V6+X6</f>
        <v>48538.659999999996</v>
      </c>
    </row>
    <row r="7" spans="1:25" ht="31.5" customHeight="1" x14ac:dyDescent="0.25">
      <c r="A7" s="12">
        <v>1984225578</v>
      </c>
      <c r="B7" s="1100" t="s">
        <v>72</v>
      </c>
      <c r="C7" s="1098">
        <v>11565</v>
      </c>
      <c r="D7" s="1097">
        <f t="shared" ref="D7:D11" si="1">0.9725*C7</f>
        <v>11246.9625</v>
      </c>
      <c r="E7" s="1098"/>
      <c r="F7" s="1098">
        <f t="shared" ref="F7:F11" si="2">67.1*E7</f>
        <v>0</v>
      </c>
      <c r="G7" s="1098"/>
      <c r="H7" s="1098">
        <f t="shared" ref="H7:H11" si="3">28.2*G7</f>
        <v>0</v>
      </c>
      <c r="I7" s="1098"/>
      <c r="J7" s="1098">
        <f t="shared" ref="J7:J11" si="4">18.5*I7</f>
        <v>0</v>
      </c>
      <c r="K7" s="1098"/>
      <c r="L7" s="1097">
        <f t="shared" ref="L7:L11" si="5">28.2368*K7</f>
        <v>0</v>
      </c>
      <c r="M7" s="1098"/>
      <c r="N7" s="1097">
        <f t="shared" ref="N7:N11" si="6">M7*47.6525</f>
        <v>0</v>
      </c>
      <c r="O7" s="1098"/>
      <c r="P7" s="1097">
        <f t="shared" ref="P7:P11" si="7">O7*8.9</f>
        <v>0</v>
      </c>
      <c r="Q7" s="1097"/>
      <c r="R7" s="1097">
        <f t="shared" ref="R7:R11" si="8">241*Q7</f>
        <v>0</v>
      </c>
      <c r="S7" s="1098"/>
      <c r="T7" s="1098">
        <f t="shared" ref="T7:T10" si="9">241*S7</f>
        <v>0</v>
      </c>
      <c r="U7" s="1098">
        <v>25</v>
      </c>
      <c r="V7" s="1098">
        <f t="shared" ref="V7:V11" si="10">332*U7</f>
        <v>8300</v>
      </c>
      <c r="W7" s="1098"/>
      <c r="X7" s="19">
        <f t="shared" ref="X7:X11" si="11">W7*100</f>
        <v>0</v>
      </c>
      <c r="Y7" s="20">
        <f t="shared" si="0"/>
        <v>19546.962500000001</v>
      </c>
    </row>
    <row r="8" spans="1:25" ht="35.25" customHeight="1" x14ac:dyDescent="0.25">
      <c r="A8" s="12">
        <v>1967020280</v>
      </c>
      <c r="B8" s="1100" t="s">
        <v>427</v>
      </c>
      <c r="C8" s="1098">
        <v>32990</v>
      </c>
      <c r="D8" s="1097">
        <f t="shared" si="1"/>
        <v>32082.775000000001</v>
      </c>
      <c r="E8" s="1098">
        <v>12</v>
      </c>
      <c r="F8" s="1098">
        <f t="shared" si="2"/>
        <v>805.19999999999993</v>
      </c>
      <c r="G8" s="1098"/>
      <c r="H8" s="1097">
        <f t="shared" si="3"/>
        <v>0</v>
      </c>
      <c r="I8" s="1098"/>
      <c r="J8" s="1098">
        <f t="shared" si="4"/>
        <v>0</v>
      </c>
      <c r="K8" s="1098">
        <v>140</v>
      </c>
      <c r="L8" s="1097">
        <f t="shared" si="5"/>
        <v>3953.152</v>
      </c>
      <c r="M8" s="1098"/>
      <c r="N8" s="1097">
        <f t="shared" si="6"/>
        <v>0</v>
      </c>
      <c r="O8" s="1098">
        <v>470</v>
      </c>
      <c r="P8" s="1097">
        <f t="shared" si="7"/>
        <v>4183</v>
      </c>
      <c r="Q8" s="1097"/>
      <c r="R8" s="1097">
        <f t="shared" si="8"/>
        <v>0</v>
      </c>
      <c r="S8" s="1098"/>
      <c r="T8" s="1098">
        <f t="shared" si="9"/>
        <v>0</v>
      </c>
      <c r="U8" s="1098"/>
      <c r="V8" s="1098">
        <f t="shared" si="10"/>
        <v>0</v>
      </c>
      <c r="W8" s="1098"/>
      <c r="X8" s="19">
        <f t="shared" si="11"/>
        <v>0</v>
      </c>
      <c r="Y8" s="20">
        <f t="shared" si="0"/>
        <v>41024.127</v>
      </c>
    </row>
    <row r="9" spans="1:25" ht="38.25" customHeight="1" x14ac:dyDescent="0.25">
      <c r="A9" s="12">
        <v>1984225580</v>
      </c>
      <c r="B9" s="1100" t="s">
        <v>75</v>
      </c>
      <c r="C9" s="1098">
        <v>29870</v>
      </c>
      <c r="D9" s="1097">
        <f t="shared" si="1"/>
        <v>29048.575000000001</v>
      </c>
      <c r="E9" s="1098"/>
      <c r="F9" s="1098">
        <f t="shared" si="2"/>
        <v>0</v>
      </c>
      <c r="G9" s="1098"/>
      <c r="H9" s="1098">
        <f t="shared" si="3"/>
        <v>0</v>
      </c>
      <c r="I9" s="1098"/>
      <c r="J9" s="1098">
        <f t="shared" si="4"/>
        <v>0</v>
      </c>
      <c r="K9" s="1098"/>
      <c r="L9" s="1097">
        <f t="shared" si="5"/>
        <v>0</v>
      </c>
      <c r="M9" s="1098"/>
      <c r="N9" s="1097">
        <f t="shared" si="6"/>
        <v>0</v>
      </c>
      <c r="O9" s="1098">
        <v>1000</v>
      </c>
      <c r="P9" s="1097">
        <f t="shared" si="7"/>
        <v>8900</v>
      </c>
      <c r="Q9" s="1097"/>
      <c r="R9" s="1097">
        <f t="shared" si="8"/>
        <v>0</v>
      </c>
      <c r="S9" s="1098">
        <v>1</v>
      </c>
      <c r="T9" s="1098">
        <f t="shared" si="9"/>
        <v>241</v>
      </c>
      <c r="U9" s="1098"/>
      <c r="V9" s="1098">
        <f t="shared" si="10"/>
        <v>0</v>
      </c>
      <c r="W9" s="1098"/>
      <c r="X9" s="19">
        <f t="shared" si="11"/>
        <v>0</v>
      </c>
      <c r="Y9" s="20">
        <f t="shared" si="0"/>
        <v>38189.574999999997</v>
      </c>
    </row>
    <row r="10" spans="1:25" ht="35.25" customHeight="1" x14ac:dyDescent="0.25">
      <c r="A10" s="12">
        <v>1409935199</v>
      </c>
      <c r="C10" s="1098"/>
      <c r="D10" s="1097">
        <f t="shared" si="1"/>
        <v>0</v>
      </c>
      <c r="E10" s="1098"/>
      <c r="F10" s="1098">
        <f t="shared" si="2"/>
        <v>0</v>
      </c>
      <c r="G10" s="1098"/>
      <c r="H10" s="1098">
        <f t="shared" si="3"/>
        <v>0</v>
      </c>
      <c r="I10" s="1098"/>
      <c r="J10" s="1098">
        <f t="shared" si="4"/>
        <v>0</v>
      </c>
      <c r="K10" s="1098"/>
      <c r="L10" s="1097">
        <f t="shared" si="5"/>
        <v>0</v>
      </c>
      <c r="M10" s="1098"/>
      <c r="N10" s="1097">
        <f t="shared" si="6"/>
        <v>0</v>
      </c>
      <c r="O10" s="1098"/>
      <c r="P10" s="1097">
        <f t="shared" si="7"/>
        <v>0</v>
      </c>
      <c r="Q10" s="1097"/>
      <c r="R10" s="1097">
        <f t="shared" si="8"/>
        <v>0</v>
      </c>
      <c r="S10" s="1098">
        <v>9</v>
      </c>
      <c r="T10" s="1098">
        <f t="shared" si="9"/>
        <v>2169</v>
      </c>
      <c r="U10" s="1098"/>
      <c r="V10" s="1098">
        <f t="shared" si="10"/>
        <v>0</v>
      </c>
      <c r="W10" s="1098"/>
      <c r="X10" s="19">
        <f t="shared" si="11"/>
        <v>0</v>
      </c>
      <c r="Y10" s="20">
        <f t="shared" si="0"/>
        <v>2169</v>
      </c>
    </row>
    <row r="11" spans="1:25" ht="37.5" customHeight="1" x14ac:dyDescent="0.25">
      <c r="A11" s="12"/>
      <c r="B11" s="1099"/>
      <c r="C11" s="1098"/>
      <c r="D11" s="1097">
        <f t="shared" si="1"/>
        <v>0</v>
      </c>
      <c r="E11" s="1098"/>
      <c r="F11" s="1098">
        <f t="shared" si="2"/>
        <v>0</v>
      </c>
      <c r="G11" s="1098"/>
      <c r="H11" s="1098">
        <f t="shared" si="3"/>
        <v>0</v>
      </c>
      <c r="I11" s="1098"/>
      <c r="J11" s="1098">
        <f t="shared" si="4"/>
        <v>0</v>
      </c>
      <c r="K11" s="1098"/>
      <c r="L11" s="1097">
        <f t="shared" si="5"/>
        <v>0</v>
      </c>
      <c r="M11" s="1098"/>
      <c r="N11" s="1097">
        <f t="shared" si="6"/>
        <v>0</v>
      </c>
      <c r="O11" s="1098"/>
      <c r="P11" s="1097">
        <f t="shared" si="7"/>
        <v>0</v>
      </c>
      <c r="Q11" s="1097"/>
      <c r="R11" s="1097">
        <f t="shared" si="8"/>
        <v>0</v>
      </c>
      <c r="S11" s="1098">
        <v>1</v>
      </c>
      <c r="T11" s="1098">
        <f>341*S11</f>
        <v>341</v>
      </c>
      <c r="U11" s="1098"/>
      <c r="V11" s="1098">
        <f t="shared" si="10"/>
        <v>0</v>
      </c>
      <c r="W11" s="1098"/>
      <c r="X11" s="19">
        <f t="shared" si="11"/>
        <v>0</v>
      </c>
      <c r="Y11" s="20">
        <f t="shared" si="0"/>
        <v>341</v>
      </c>
    </row>
    <row r="12" spans="1:25" ht="29.25" customHeight="1" x14ac:dyDescent="0.25">
      <c r="A12" s="2235" t="s">
        <v>31</v>
      </c>
      <c r="B12" s="2235"/>
      <c r="C12" s="18">
        <f t="shared" ref="C12:X12" si="12">SUM(C6:C11)</f>
        <v>118931</v>
      </c>
      <c r="D12" s="18">
        <f t="shared" si="12"/>
        <v>115660.39750000001</v>
      </c>
      <c r="E12" s="18">
        <f t="shared" si="12"/>
        <v>12</v>
      </c>
      <c r="F12" s="18">
        <f t="shared" si="12"/>
        <v>805.19999999999993</v>
      </c>
      <c r="G12" s="18">
        <f t="shared" si="12"/>
        <v>0</v>
      </c>
      <c r="H12" s="18">
        <f t="shared" si="12"/>
        <v>0</v>
      </c>
      <c r="I12" s="18">
        <f t="shared" si="12"/>
        <v>0</v>
      </c>
      <c r="J12" s="18">
        <f t="shared" si="12"/>
        <v>0</v>
      </c>
      <c r="K12" s="18">
        <f t="shared" si="12"/>
        <v>140</v>
      </c>
      <c r="L12" s="18">
        <f t="shared" si="12"/>
        <v>3953.152</v>
      </c>
      <c r="M12" s="18">
        <f t="shared" si="12"/>
        <v>30</v>
      </c>
      <c r="N12" s="23">
        <f t="shared" si="12"/>
        <v>1429.575</v>
      </c>
      <c r="O12" s="18">
        <f t="shared" si="12"/>
        <v>1900</v>
      </c>
      <c r="P12" s="23">
        <f t="shared" si="12"/>
        <v>16910</v>
      </c>
      <c r="Q12" s="23">
        <f t="shared" si="12"/>
        <v>0</v>
      </c>
      <c r="R12" s="23">
        <f>SUM(R6:R11)</f>
        <v>0</v>
      </c>
      <c r="S12" s="23">
        <f>SUM(S6:S11)</f>
        <v>11</v>
      </c>
      <c r="T12" s="18">
        <f t="shared" si="12"/>
        <v>2751</v>
      </c>
      <c r="U12" s="18">
        <f t="shared" si="12"/>
        <v>25</v>
      </c>
      <c r="V12" s="18">
        <f t="shared" si="12"/>
        <v>8300</v>
      </c>
      <c r="W12" s="18">
        <f t="shared" si="12"/>
        <v>0</v>
      </c>
      <c r="X12" s="18">
        <f t="shared" si="12"/>
        <v>0</v>
      </c>
      <c r="Y12" s="20">
        <f t="shared" si="0"/>
        <v>149809.32449999999</v>
      </c>
    </row>
    <row r="14" spans="1:25" ht="43.5" customHeight="1" x14ac:dyDescent="0.25">
      <c r="A14" s="30" t="s">
        <v>32</v>
      </c>
      <c r="B14" s="2236" t="s">
        <v>27</v>
      </c>
      <c r="C14" s="2236"/>
      <c r="D14" s="30" t="s">
        <v>333</v>
      </c>
      <c r="E14" s="30" t="s">
        <v>65</v>
      </c>
      <c r="F14" s="30" t="s">
        <v>34</v>
      </c>
      <c r="G14" s="30" t="s">
        <v>14</v>
      </c>
      <c r="H14" s="469" t="s">
        <v>173</v>
      </c>
      <c r="I14" s="30" t="s">
        <v>17</v>
      </c>
      <c r="J14" s="1106" t="s">
        <v>174</v>
      </c>
      <c r="K14" s="30" t="s">
        <v>36</v>
      </c>
      <c r="L14" s="1106" t="s">
        <v>403</v>
      </c>
      <c r="M14" s="30" t="s">
        <v>429</v>
      </c>
      <c r="N14" s="30" t="s">
        <v>442</v>
      </c>
      <c r="O14" s="1106" t="s">
        <v>114</v>
      </c>
      <c r="P14" s="30" t="s">
        <v>70</v>
      </c>
      <c r="Q14" s="2300" t="s">
        <v>378</v>
      </c>
      <c r="R14" s="2301"/>
      <c r="S14" s="1106" t="s">
        <v>401</v>
      </c>
      <c r="T14" s="2235" t="s">
        <v>46</v>
      </c>
      <c r="U14" s="1100" t="s">
        <v>176</v>
      </c>
      <c r="V14" s="2260">
        <v>25838</v>
      </c>
      <c r="W14" s="2268"/>
      <c r="X14" s="2261"/>
    </row>
    <row r="15" spans="1:25" ht="22.5" customHeight="1" x14ac:dyDescent="0.25">
      <c r="A15" s="100" t="s">
        <v>38</v>
      </c>
      <c r="B15" s="2260">
        <v>286602</v>
      </c>
      <c r="C15" s="2261"/>
      <c r="D15" s="1103">
        <v>212</v>
      </c>
      <c r="E15" s="1103">
        <v>0</v>
      </c>
      <c r="F15" s="1103">
        <v>12500</v>
      </c>
      <c r="G15" s="1103">
        <v>480</v>
      </c>
      <c r="H15" s="1103">
        <v>355</v>
      </c>
      <c r="I15" s="1103">
        <v>45</v>
      </c>
      <c r="J15" s="1103">
        <v>5</v>
      </c>
      <c r="K15" s="1103">
        <v>82</v>
      </c>
      <c r="L15" s="1103">
        <v>8</v>
      </c>
      <c r="M15" s="1103">
        <v>60</v>
      </c>
      <c r="N15" s="1103">
        <v>3500</v>
      </c>
      <c r="O15" s="1103">
        <v>0</v>
      </c>
      <c r="P15" s="1103">
        <v>100</v>
      </c>
      <c r="Q15" s="2260">
        <v>0</v>
      </c>
      <c r="R15" s="2261"/>
      <c r="S15" s="1100">
        <v>7</v>
      </c>
      <c r="T15" s="2235"/>
      <c r="U15" s="1100" t="s">
        <v>64</v>
      </c>
      <c r="V15" s="2262">
        <v>292806</v>
      </c>
      <c r="W15" s="2262"/>
      <c r="X15" s="2262"/>
    </row>
    <row r="16" spans="1:25" ht="24.75" customHeight="1" x14ac:dyDescent="0.25">
      <c r="A16" s="100" t="s">
        <v>39</v>
      </c>
      <c r="B16" s="2260">
        <v>187013</v>
      </c>
      <c r="C16" s="2261"/>
      <c r="D16" s="1103"/>
      <c r="E16" s="1103"/>
      <c r="F16" s="1103"/>
      <c r="G16" s="1103"/>
      <c r="H16" s="1103"/>
      <c r="I16" s="1103"/>
      <c r="J16" s="1103"/>
      <c r="K16" s="1103"/>
      <c r="L16" s="1103"/>
      <c r="M16" s="1103"/>
      <c r="N16" s="1103"/>
      <c r="O16" s="1103"/>
      <c r="P16" s="1103"/>
      <c r="Q16" s="2225"/>
      <c r="R16" s="2225"/>
      <c r="S16" s="1103"/>
      <c r="T16" s="2254" t="s">
        <v>55</v>
      </c>
      <c r="U16" s="2254"/>
      <c r="V16" s="2267">
        <f>Y12</f>
        <v>149809.32449999999</v>
      </c>
      <c r="W16" s="2267"/>
      <c r="X16" s="2262"/>
    </row>
    <row r="17" spans="1:25" ht="28.5" customHeight="1" x14ac:dyDescent="0.25">
      <c r="A17" s="101" t="s">
        <v>44</v>
      </c>
      <c r="B17" s="2260"/>
      <c r="C17" s="2261"/>
      <c r="D17" s="1103"/>
      <c r="E17" s="1103"/>
      <c r="F17" s="1103"/>
      <c r="G17" s="1103"/>
      <c r="H17" s="1103"/>
      <c r="I17" s="1103"/>
      <c r="J17" s="1103"/>
      <c r="K17" s="1103"/>
      <c r="L17" s="1103"/>
      <c r="M17" s="1103"/>
      <c r="N17" s="1103"/>
      <c r="O17" s="1103"/>
      <c r="P17" s="1103"/>
      <c r="Q17" s="2225"/>
      <c r="R17" s="2225"/>
      <c r="S17" s="1099"/>
      <c r="T17" s="2294" t="s">
        <v>450</v>
      </c>
      <c r="U17" s="2295"/>
      <c r="V17" s="2296"/>
      <c r="W17" s="2296"/>
      <c r="X17" s="2296"/>
    </row>
    <row r="18" spans="1:25" ht="27" customHeight="1" x14ac:dyDescent="0.25">
      <c r="A18" s="100" t="s">
        <v>40</v>
      </c>
      <c r="B18" s="2264">
        <f>C12</f>
        <v>118931</v>
      </c>
      <c r="C18" s="2261"/>
      <c r="D18" s="1105">
        <f>E12</f>
        <v>12</v>
      </c>
      <c r="E18" s="1105">
        <f>G12</f>
        <v>0</v>
      </c>
      <c r="F18" s="1105">
        <f>I12</f>
        <v>0</v>
      </c>
      <c r="G18" s="1105">
        <f>K12</f>
        <v>140</v>
      </c>
      <c r="H18" s="1103">
        <v>1</v>
      </c>
      <c r="I18" s="1105">
        <f>U12</f>
        <v>25</v>
      </c>
      <c r="J18" s="1103">
        <v>1</v>
      </c>
      <c r="K18" s="1105">
        <f>W12</f>
        <v>0</v>
      </c>
      <c r="L18" s="1103">
        <v>8</v>
      </c>
      <c r="M18" s="1105">
        <f>M12</f>
        <v>30</v>
      </c>
      <c r="N18" s="1105">
        <f>O12</f>
        <v>1900</v>
      </c>
      <c r="O18" s="1104">
        <f>Q12</f>
        <v>0</v>
      </c>
      <c r="P18" s="1105"/>
      <c r="Q18" s="2262"/>
      <c r="R18" s="2262"/>
      <c r="S18" s="1100">
        <v>1</v>
      </c>
      <c r="T18" s="2254" t="s">
        <v>57</v>
      </c>
      <c r="U18" s="2254"/>
      <c r="V18" s="2262">
        <v>49053</v>
      </c>
      <c r="W18" s="2262"/>
      <c r="X18" s="2262"/>
      <c r="Y18" s="2269"/>
    </row>
    <row r="19" spans="1:25" ht="25.5" customHeight="1" x14ac:dyDescent="0.25">
      <c r="A19" s="100" t="s">
        <v>41</v>
      </c>
      <c r="B19" s="2260">
        <f>B15+B16+B17-B18</f>
        <v>354684</v>
      </c>
      <c r="C19" s="2261"/>
      <c r="D19" s="1103">
        <f>D15+D16+D17-D18</f>
        <v>200</v>
      </c>
      <c r="E19" s="1103">
        <f t="shared" ref="E19:N19" si="13">E15+E16+E17-E18</f>
        <v>0</v>
      </c>
      <c r="F19" s="1103">
        <f t="shared" si="13"/>
        <v>12500</v>
      </c>
      <c r="G19" s="1103">
        <f t="shared" si="13"/>
        <v>340</v>
      </c>
      <c r="H19" s="1103">
        <f t="shared" si="13"/>
        <v>354</v>
      </c>
      <c r="I19" s="1103">
        <f t="shared" si="13"/>
        <v>20</v>
      </c>
      <c r="J19" s="1103">
        <f t="shared" si="13"/>
        <v>4</v>
      </c>
      <c r="K19" s="1103">
        <f t="shared" si="13"/>
        <v>82</v>
      </c>
      <c r="L19" s="1103">
        <f t="shared" si="13"/>
        <v>0</v>
      </c>
      <c r="M19" s="1103">
        <f t="shared" si="13"/>
        <v>30</v>
      </c>
      <c r="N19" s="1103">
        <f t="shared" si="13"/>
        <v>1600</v>
      </c>
      <c r="O19" s="1103">
        <f>O15+O16+O17-O18</f>
        <v>0</v>
      </c>
      <c r="P19" s="1103">
        <f t="shared" ref="P19:Q19" si="14">P15+P16+P17-P18</f>
        <v>100</v>
      </c>
      <c r="Q19" s="2260">
        <f t="shared" si="14"/>
        <v>0</v>
      </c>
      <c r="R19" s="2261"/>
      <c r="S19" s="1100">
        <f>S15+S16-S17-S18</f>
        <v>6</v>
      </c>
      <c r="T19" s="2256" t="s">
        <v>48</v>
      </c>
      <c r="U19" s="49" t="s">
        <v>58</v>
      </c>
      <c r="V19" s="2262">
        <v>278875</v>
      </c>
      <c r="W19" s="2262"/>
      <c r="X19" s="2262"/>
      <c r="Y19" s="2269"/>
    </row>
    <row r="20" spans="1:25" ht="23.25" customHeight="1" x14ac:dyDescent="0.25">
      <c r="A20" s="289" t="s">
        <v>187</v>
      </c>
      <c r="B20" s="2286">
        <f>B19*0.9625</f>
        <v>341383.35000000003</v>
      </c>
      <c r="C20" s="2287"/>
      <c r="D20" s="290">
        <f>D19*66.41</f>
        <v>13282</v>
      </c>
      <c r="E20" s="290">
        <f>27.9368*E19</f>
        <v>0</v>
      </c>
      <c r="F20" s="290">
        <f>18.31*F19</f>
        <v>228874.99999999997</v>
      </c>
      <c r="G20" s="290">
        <f>27.9368*G19</f>
        <v>9498.5120000000006</v>
      </c>
      <c r="H20" s="290">
        <f>241*H19</f>
        <v>85314</v>
      </c>
      <c r="I20" s="290">
        <f>323*I19</f>
        <v>6460</v>
      </c>
      <c r="J20" s="290">
        <f>241*J19</f>
        <v>964</v>
      </c>
      <c r="K20" s="290">
        <f>K19*100</f>
        <v>8200</v>
      </c>
      <c r="L20" s="290">
        <f>241*L19</f>
        <v>0</v>
      </c>
      <c r="M20" s="290">
        <f>47.1625*M19</f>
        <v>1414.875</v>
      </c>
      <c r="N20" s="290">
        <f>N19*8.81</f>
        <v>14096</v>
      </c>
      <c r="O20" s="290">
        <f>241*O19</f>
        <v>0</v>
      </c>
      <c r="P20" s="290">
        <f>P19*48.2</f>
        <v>4820</v>
      </c>
      <c r="Q20" s="2286">
        <f>341*Q19</f>
        <v>0</v>
      </c>
      <c r="R20" s="2287"/>
      <c r="S20" s="290">
        <f>341*S19</f>
        <v>2046</v>
      </c>
      <c r="T20" s="2257"/>
      <c r="U20" s="49" t="s">
        <v>59</v>
      </c>
      <c r="V20" s="2262"/>
      <c r="W20" s="2262"/>
      <c r="X20" s="2262"/>
      <c r="Y20" s="2269"/>
    </row>
    <row r="21" spans="1:25" ht="32.25" customHeight="1" x14ac:dyDescent="0.25">
      <c r="A21" s="291" t="s">
        <v>186</v>
      </c>
      <c r="B21" s="2293">
        <f>SUM(B20:S20)</f>
        <v>716353.73699999996</v>
      </c>
      <c r="C21" s="2293"/>
      <c r="O21" s="1107"/>
      <c r="P21" s="1107"/>
      <c r="Q21" s="1107"/>
      <c r="R21" s="1107"/>
      <c r="T21" s="2294" t="s">
        <v>451</v>
      </c>
      <c r="U21" s="2295"/>
      <c r="V21" s="2297"/>
      <c r="W21" s="2298"/>
      <c r="X21" s="2299"/>
      <c r="Y21" s="2269"/>
    </row>
    <row r="22" spans="1:25" ht="35.25" customHeight="1" x14ac:dyDescent="0.25">
      <c r="A22" s="15"/>
      <c r="B22" s="2288" t="s">
        <v>49</v>
      </c>
      <c r="C22" s="2291">
        <v>278875</v>
      </c>
      <c r="D22" s="2291">
        <v>278875</v>
      </c>
      <c r="E22" s="2291">
        <v>180000</v>
      </c>
      <c r="F22" s="2291">
        <f>C22-D22+E22</f>
        <v>180000</v>
      </c>
      <c r="G22" s="1107"/>
      <c r="Q22" s="1107"/>
      <c r="R22" s="1107"/>
      <c r="T22" s="2251" t="s">
        <v>83</v>
      </c>
      <c r="U22" s="50" t="s">
        <v>60</v>
      </c>
      <c r="V22" s="2262">
        <v>48000</v>
      </c>
      <c r="W22" s="2262"/>
      <c r="X22" s="2262"/>
      <c r="Y22" s="2269"/>
    </row>
    <row r="23" spans="1:25" ht="39.75" customHeight="1" x14ac:dyDescent="0.25">
      <c r="A23" s="1107"/>
      <c r="B23" s="2289"/>
      <c r="C23" s="2292"/>
      <c r="D23" s="2292"/>
      <c r="E23" s="2292"/>
      <c r="F23" s="2292"/>
      <c r="G23" s="1107"/>
      <c r="Q23" s="1107"/>
      <c r="R23" s="1107"/>
      <c r="T23" s="2252"/>
      <c r="U23" s="50" t="s">
        <v>61</v>
      </c>
      <c r="V23" s="2262">
        <v>278875</v>
      </c>
      <c r="W23" s="2262"/>
      <c r="X23" s="2262"/>
      <c r="Y23" s="2269"/>
    </row>
    <row r="24" spans="1:25" ht="48" customHeight="1" x14ac:dyDescent="0.25">
      <c r="A24" s="1107"/>
      <c r="B24" s="2290"/>
      <c r="C24" s="290" t="s">
        <v>46</v>
      </c>
      <c r="D24" s="290" t="s">
        <v>50</v>
      </c>
      <c r="E24" s="290" t="s">
        <v>51</v>
      </c>
      <c r="F24" s="290" t="s">
        <v>52</v>
      </c>
      <c r="G24" s="1107"/>
      <c r="Q24" s="1107"/>
      <c r="R24" s="1107"/>
      <c r="T24" s="2235" t="s">
        <v>47</v>
      </c>
      <c r="U24" s="51" t="s">
        <v>62</v>
      </c>
      <c r="V24" s="2263">
        <f>V14+V16+V17-V18-V19-V20-V22+V23-V21</f>
        <v>78594.324499999988</v>
      </c>
      <c r="W24" s="2263"/>
      <c r="X24" s="2263"/>
      <c r="Y24" s="2269"/>
    </row>
    <row r="25" spans="1:25" ht="40.5" customHeight="1" x14ac:dyDescent="0.25">
      <c r="T25" s="2235"/>
      <c r="U25" s="51" t="s">
        <v>63</v>
      </c>
      <c r="V25" s="2262">
        <f>V15+V22-V23</f>
        <v>61931</v>
      </c>
      <c r="W25" s="2262"/>
      <c r="X25" s="2262"/>
    </row>
    <row r="26" spans="1:25" ht="36" customHeight="1" x14ac:dyDescent="0.25">
      <c r="K26" s="314"/>
    </row>
    <row r="28" spans="1:25" x14ac:dyDescent="0.25">
      <c r="J28" s="14" t="s">
        <v>139</v>
      </c>
    </row>
    <row r="32" spans="1:25" x14ac:dyDescent="0.25">
      <c r="I32" s="2280"/>
      <c r="J32" s="2280"/>
      <c r="K32" s="2280"/>
      <c r="L32" s="2280"/>
    </row>
    <row r="33" spans="9:12" x14ac:dyDescent="0.25">
      <c r="I33" s="1107"/>
      <c r="J33" s="1107"/>
      <c r="K33" s="2280"/>
      <c r="L33" s="2280"/>
    </row>
  </sheetData>
  <mergeCells count="62">
    <mergeCell ref="A1:Y1"/>
    <mergeCell ref="A2:Y2"/>
    <mergeCell ref="T3:Y3"/>
    <mergeCell ref="A4:A5"/>
    <mergeCell ref="B4:B5"/>
    <mergeCell ref="C4:D4"/>
    <mergeCell ref="E4:F4"/>
    <mergeCell ref="G4:H4"/>
    <mergeCell ref="I4:J4"/>
    <mergeCell ref="K4:L4"/>
    <mergeCell ref="Y4:Y5"/>
    <mergeCell ref="M4:N4"/>
    <mergeCell ref="O4:P4"/>
    <mergeCell ref="Q4:R4"/>
    <mergeCell ref="S4:T4"/>
    <mergeCell ref="U4:V4"/>
    <mergeCell ref="W4:X4"/>
    <mergeCell ref="B16:C16"/>
    <mergeCell ref="Q16:R16"/>
    <mergeCell ref="T16:U16"/>
    <mergeCell ref="V16:X16"/>
    <mergeCell ref="A12:B12"/>
    <mergeCell ref="B14:C14"/>
    <mergeCell ref="Q14:R14"/>
    <mergeCell ref="T14:T15"/>
    <mergeCell ref="V14:X14"/>
    <mergeCell ref="B15:C15"/>
    <mergeCell ref="Q15:R15"/>
    <mergeCell ref="V15:X15"/>
    <mergeCell ref="B17:C17"/>
    <mergeCell ref="Q17:R17"/>
    <mergeCell ref="T17:U17"/>
    <mergeCell ref="V17:X17"/>
    <mergeCell ref="B18:C18"/>
    <mergeCell ref="Q18:R18"/>
    <mergeCell ref="T18:U18"/>
    <mergeCell ref="V18:X18"/>
    <mergeCell ref="Y18:Y24"/>
    <mergeCell ref="B19:C19"/>
    <mergeCell ref="Q19:R19"/>
    <mergeCell ref="T19:T20"/>
    <mergeCell ref="V19:X19"/>
    <mergeCell ref="B20:C20"/>
    <mergeCell ref="B22:B24"/>
    <mergeCell ref="C22:C23"/>
    <mergeCell ref="D22:D23"/>
    <mergeCell ref="E22:E23"/>
    <mergeCell ref="F22:F23"/>
    <mergeCell ref="Q20:R20"/>
    <mergeCell ref="V20:X20"/>
    <mergeCell ref="B21:C21"/>
    <mergeCell ref="T21:U21"/>
    <mergeCell ref="V21:X21"/>
    <mergeCell ref="I32:J32"/>
    <mergeCell ref="K32:L32"/>
    <mergeCell ref="K33:L33"/>
    <mergeCell ref="T22:T23"/>
    <mergeCell ref="V22:X22"/>
    <mergeCell ref="V23:X23"/>
    <mergeCell ref="T24:T25"/>
    <mergeCell ref="V24:X24"/>
    <mergeCell ref="V25:X25"/>
  </mergeCells>
  <pageMargins left="0.15748031496063" right="0.15748031496063" top="0" bottom="0" header="0" footer="0"/>
  <pageSetup paperSize="9" scale="45" orientation="landscape" r:id="rId1"/>
</worksheet>
</file>

<file path=xl/worksheets/sheet2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C298999-A050-4905-AE11-2A32A2CD3EA3}">
  <sheetPr>
    <pageSetUpPr fitToPage="1"/>
  </sheetPr>
  <dimension ref="A1:Y33"/>
  <sheetViews>
    <sheetView topLeftCell="A10" zoomScale="70" zoomScaleNormal="70" zoomScaleSheetLayoutView="100" zoomScalePageLayoutView="68" workbookViewId="0">
      <selection activeCell="I22" sqref="I22"/>
    </sheetView>
  </sheetViews>
  <sheetFormatPr defaultColWidth="9.140625" defaultRowHeight="15" x14ac:dyDescent="0.25"/>
  <cols>
    <col min="1" max="1" width="18.28515625" style="14" customWidth="1"/>
    <col min="2" max="2" width="10.7109375" style="14" customWidth="1"/>
    <col min="3" max="3" width="12.28515625" style="14" customWidth="1"/>
    <col min="4" max="4" width="13.140625" style="14" bestFit="1" customWidth="1"/>
    <col min="5" max="5" width="12" style="14" customWidth="1"/>
    <col min="6" max="6" width="12.5703125" style="14" bestFit="1" customWidth="1"/>
    <col min="7" max="7" width="16" style="14" bestFit="1" customWidth="1"/>
    <col min="8" max="8" width="10.140625" style="14" bestFit="1" customWidth="1"/>
    <col min="9" max="9" width="10.5703125" style="14" bestFit="1" customWidth="1"/>
    <col min="10" max="10" width="10.5703125" style="14" customWidth="1"/>
    <col min="11" max="11" width="10.28515625" style="14" bestFit="1" customWidth="1"/>
    <col min="12" max="12" width="10.42578125" style="14" bestFit="1" customWidth="1"/>
    <col min="13" max="14" width="12" style="14" bestFit="1" customWidth="1"/>
    <col min="15" max="15" width="9" style="14" customWidth="1"/>
    <col min="16" max="16" width="12.85546875" style="14" bestFit="1" customWidth="1"/>
    <col min="17" max="18" width="9.42578125" style="14" customWidth="1"/>
    <col min="19" max="19" width="13.7109375" style="14" customWidth="1"/>
    <col min="20" max="20" width="12.140625" style="14" customWidth="1"/>
    <col min="21" max="21" width="21.7109375" style="14" customWidth="1"/>
    <col min="22" max="22" width="9.85546875" style="14" customWidth="1"/>
    <col min="23" max="23" width="10.140625" style="14" bestFit="1" customWidth="1"/>
    <col min="24" max="24" width="10.28515625" style="14" customWidth="1"/>
    <col min="25" max="25" width="28" style="14" customWidth="1"/>
    <col min="26" max="16384" width="9.140625" style="14"/>
  </cols>
  <sheetData>
    <row r="1" spans="1:25" ht="46.15" customHeight="1" x14ac:dyDescent="0.25">
      <c r="A1" s="2240" t="s">
        <v>148</v>
      </c>
      <c r="B1" s="2240"/>
      <c r="C1" s="2240"/>
      <c r="D1" s="2240"/>
      <c r="E1" s="2240"/>
      <c r="F1" s="2240"/>
      <c r="G1" s="2240"/>
      <c r="H1" s="2240"/>
      <c r="I1" s="2240"/>
      <c r="J1" s="2240"/>
      <c r="K1" s="2240"/>
      <c r="L1" s="2240"/>
      <c r="M1" s="2240"/>
      <c r="N1" s="2240"/>
      <c r="O1" s="2240"/>
      <c r="P1" s="2240"/>
      <c r="Q1" s="2240"/>
      <c r="R1" s="2240"/>
      <c r="S1" s="2240"/>
      <c r="T1" s="2240"/>
      <c r="U1" s="2240"/>
      <c r="V1" s="2240"/>
      <c r="W1" s="2240"/>
      <c r="X1" s="2240"/>
      <c r="Y1" s="2240"/>
    </row>
    <row r="2" spans="1:25" ht="21.6" customHeight="1" x14ac:dyDescent="0.25">
      <c r="A2" s="2241" t="s">
        <v>383</v>
      </c>
      <c r="B2" s="2241"/>
      <c r="C2" s="2241"/>
      <c r="D2" s="2241"/>
      <c r="E2" s="2241"/>
      <c r="F2" s="2241"/>
      <c r="G2" s="2241"/>
      <c r="H2" s="2241"/>
      <c r="I2" s="2241"/>
      <c r="J2" s="2241"/>
      <c r="K2" s="2241"/>
      <c r="L2" s="2241"/>
      <c r="M2" s="2241"/>
      <c r="N2" s="2241"/>
      <c r="O2" s="2241"/>
      <c r="P2" s="2241"/>
      <c r="Q2" s="2241"/>
      <c r="R2" s="2241"/>
      <c r="S2" s="2241"/>
      <c r="T2" s="2241"/>
      <c r="U2" s="2241"/>
      <c r="V2" s="2241"/>
      <c r="W2" s="2241"/>
      <c r="X2" s="2241"/>
      <c r="Y2" s="2241"/>
    </row>
    <row r="3" spans="1:25" ht="21" customHeight="1" x14ac:dyDescent="0.25">
      <c r="A3" s="1108"/>
      <c r="B3" s="1108"/>
      <c r="C3" s="1108"/>
      <c r="D3" s="1108"/>
      <c r="E3" s="1108"/>
      <c r="F3" s="1108"/>
      <c r="G3" s="1108"/>
      <c r="H3" s="1108"/>
      <c r="I3" s="1108"/>
      <c r="J3" s="1108"/>
      <c r="K3" s="1108"/>
      <c r="L3" s="1108"/>
      <c r="M3" s="1108"/>
      <c r="N3" s="1108"/>
      <c r="O3" s="1108"/>
      <c r="P3" s="1108"/>
      <c r="Q3" s="1108"/>
      <c r="R3" s="1108"/>
      <c r="S3" s="1108"/>
      <c r="T3" s="2242" t="s">
        <v>453</v>
      </c>
      <c r="U3" s="2242"/>
      <c r="V3" s="2242"/>
      <c r="W3" s="2242"/>
      <c r="X3" s="2242"/>
      <c r="Y3" s="2242"/>
    </row>
    <row r="4" spans="1:25" s="1108" customFormat="1" ht="18" customHeight="1" x14ac:dyDescent="0.25">
      <c r="A4" s="2243" t="s">
        <v>25</v>
      </c>
      <c r="B4" s="2243" t="s">
        <v>26</v>
      </c>
      <c r="C4" s="2244" t="s">
        <v>27</v>
      </c>
      <c r="D4" s="2244"/>
      <c r="E4" s="2244" t="s">
        <v>342</v>
      </c>
      <c r="F4" s="2244"/>
      <c r="G4" s="2244" t="s">
        <v>65</v>
      </c>
      <c r="H4" s="2244"/>
      <c r="I4" s="2244" t="s">
        <v>29</v>
      </c>
      <c r="J4" s="2244"/>
      <c r="K4" s="2245" t="s">
        <v>14</v>
      </c>
      <c r="L4" s="2246"/>
      <c r="M4" s="2245" t="s">
        <v>429</v>
      </c>
      <c r="N4" s="2246"/>
      <c r="O4" s="2245" t="s">
        <v>441</v>
      </c>
      <c r="P4" s="2246"/>
      <c r="Q4" s="2245" t="s">
        <v>114</v>
      </c>
      <c r="R4" s="2246"/>
      <c r="S4" s="2244" t="s">
        <v>35</v>
      </c>
      <c r="T4" s="2244"/>
      <c r="U4" s="2245" t="s">
        <v>17</v>
      </c>
      <c r="V4" s="2246"/>
      <c r="W4" s="2247" t="s">
        <v>36</v>
      </c>
      <c r="X4" s="2248"/>
      <c r="Y4" s="2238" t="s">
        <v>30</v>
      </c>
    </row>
    <row r="5" spans="1:25" s="1108" customFormat="1" ht="25.5" customHeight="1" x14ac:dyDescent="0.25">
      <c r="A5" s="2243"/>
      <c r="B5" s="2243"/>
      <c r="C5" s="1110" t="s">
        <v>42</v>
      </c>
      <c r="D5" s="1110" t="s">
        <v>43</v>
      </c>
      <c r="E5" s="1110" t="s">
        <v>42</v>
      </c>
      <c r="F5" s="1110" t="s">
        <v>43</v>
      </c>
      <c r="G5" s="1110" t="s">
        <v>42</v>
      </c>
      <c r="H5" s="1110" t="s">
        <v>43</v>
      </c>
      <c r="I5" s="1110" t="s">
        <v>42</v>
      </c>
      <c r="J5" s="1110" t="s">
        <v>43</v>
      </c>
      <c r="K5" s="1110" t="s">
        <v>42</v>
      </c>
      <c r="L5" s="1110" t="s">
        <v>43</v>
      </c>
      <c r="M5" s="1110" t="s">
        <v>42</v>
      </c>
      <c r="N5" s="1110" t="s">
        <v>43</v>
      </c>
      <c r="O5" s="1110" t="s">
        <v>42</v>
      </c>
      <c r="P5" s="1110" t="s">
        <v>43</v>
      </c>
      <c r="Q5" s="1110" t="s">
        <v>42</v>
      </c>
      <c r="R5" s="1110" t="s">
        <v>43</v>
      </c>
      <c r="S5" s="33" t="s">
        <v>42</v>
      </c>
      <c r="T5" s="33" t="s">
        <v>43</v>
      </c>
      <c r="U5" s="30" t="s">
        <v>42</v>
      </c>
      <c r="V5" s="30" t="s">
        <v>43</v>
      </c>
      <c r="W5" s="30" t="s">
        <v>42</v>
      </c>
      <c r="X5" s="30" t="s">
        <v>43</v>
      </c>
      <c r="Y5" s="2239"/>
    </row>
    <row r="6" spans="1:25" ht="34.5" customHeight="1" x14ac:dyDescent="0.25">
      <c r="A6" s="12">
        <v>1409935200</v>
      </c>
      <c r="B6" s="1109" t="s">
        <v>71</v>
      </c>
      <c r="C6" s="1112">
        <v>39162</v>
      </c>
      <c r="D6" s="1113">
        <f>0.9725*C6</f>
        <v>38085.044999999998</v>
      </c>
      <c r="E6" s="1112"/>
      <c r="F6" s="1113">
        <f>67.1*E6</f>
        <v>0</v>
      </c>
      <c r="G6" s="1112"/>
      <c r="H6" s="1112">
        <f>28.2*G6</f>
        <v>0</v>
      </c>
      <c r="I6" s="1112"/>
      <c r="J6" s="1112">
        <f>18.5*I6</f>
        <v>0</v>
      </c>
      <c r="K6" s="1112"/>
      <c r="L6" s="1113">
        <f>28.2368*K6</f>
        <v>0</v>
      </c>
      <c r="M6" s="1112"/>
      <c r="N6" s="1113">
        <f>M6*47.6525</f>
        <v>0</v>
      </c>
      <c r="O6" s="1112">
        <v>170</v>
      </c>
      <c r="P6" s="1113">
        <f>O6*8.9</f>
        <v>1513</v>
      </c>
      <c r="Q6" s="1113"/>
      <c r="R6" s="1113">
        <f>241*Q6</f>
        <v>0</v>
      </c>
      <c r="S6" s="1112"/>
      <c r="T6" s="1112">
        <f>241*S6</f>
        <v>0</v>
      </c>
      <c r="U6" s="1112"/>
      <c r="V6" s="1112">
        <f>332*U6</f>
        <v>0</v>
      </c>
      <c r="W6" s="1112"/>
      <c r="X6" s="19">
        <f>W6*100</f>
        <v>0</v>
      </c>
      <c r="Y6" s="20">
        <f t="shared" ref="Y6:Y12" si="0">D6+F6+H6+J6+L6+N6+P6+R6+T6+V6+X6</f>
        <v>39598.044999999998</v>
      </c>
    </row>
    <row r="7" spans="1:25" ht="31.5" customHeight="1" x14ac:dyDescent="0.25">
      <c r="A7" s="12">
        <v>1984225578</v>
      </c>
      <c r="B7" s="1109" t="s">
        <v>72</v>
      </c>
      <c r="C7" s="1112">
        <v>53852</v>
      </c>
      <c r="D7" s="1113">
        <f t="shared" ref="D7:D11" si="1">0.9725*C7</f>
        <v>52371.07</v>
      </c>
      <c r="E7" s="1112"/>
      <c r="F7" s="1112">
        <f t="shared" ref="F7:F11" si="2">67.1*E7</f>
        <v>0</v>
      </c>
      <c r="G7" s="1112"/>
      <c r="H7" s="1112">
        <f t="shared" ref="H7:H11" si="3">28.2*G7</f>
        <v>0</v>
      </c>
      <c r="I7" s="1112"/>
      <c r="J7" s="1112">
        <f t="shared" ref="J7:J11" si="4">18.5*I7</f>
        <v>0</v>
      </c>
      <c r="K7" s="1112"/>
      <c r="L7" s="1113">
        <f t="shared" ref="L7:L11" si="5">28.2368*K7</f>
        <v>0</v>
      </c>
      <c r="M7" s="1112"/>
      <c r="N7" s="1113">
        <f t="shared" ref="N7:N11" si="6">M7*47.6525</f>
        <v>0</v>
      </c>
      <c r="O7" s="1112"/>
      <c r="P7" s="1113">
        <f t="shared" ref="P7:P11" si="7">O7*8.9</f>
        <v>0</v>
      </c>
      <c r="Q7" s="1113"/>
      <c r="R7" s="1113">
        <f t="shared" ref="R7:R11" si="8">241*Q7</f>
        <v>0</v>
      </c>
      <c r="S7" s="1112">
        <v>25</v>
      </c>
      <c r="T7" s="1112">
        <f t="shared" ref="T7:T10" si="9">241*S7</f>
        <v>6025</v>
      </c>
      <c r="U7" s="1112"/>
      <c r="V7" s="1112">
        <f t="shared" ref="V7:V11" si="10">332*U7</f>
        <v>0</v>
      </c>
      <c r="W7" s="1112"/>
      <c r="X7" s="19">
        <f t="shared" ref="X7:X11" si="11">W7*100</f>
        <v>0</v>
      </c>
      <c r="Y7" s="20">
        <f t="shared" si="0"/>
        <v>58396.07</v>
      </c>
    </row>
    <row r="8" spans="1:25" ht="35.25" customHeight="1" x14ac:dyDescent="0.25">
      <c r="A8" s="12">
        <v>1967020280</v>
      </c>
      <c r="B8" s="1109" t="s">
        <v>427</v>
      </c>
      <c r="C8" s="1112">
        <v>62678</v>
      </c>
      <c r="D8" s="1113">
        <f t="shared" si="1"/>
        <v>60954.355000000003</v>
      </c>
      <c r="E8" s="1112"/>
      <c r="F8" s="1112">
        <f t="shared" si="2"/>
        <v>0</v>
      </c>
      <c r="G8" s="1112"/>
      <c r="H8" s="1113">
        <f t="shared" si="3"/>
        <v>0</v>
      </c>
      <c r="I8" s="1112"/>
      <c r="J8" s="1112">
        <f t="shared" si="4"/>
        <v>0</v>
      </c>
      <c r="K8" s="1112">
        <v>70</v>
      </c>
      <c r="L8" s="1113">
        <f t="shared" si="5"/>
        <v>1976.576</v>
      </c>
      <c r="M8" s="1112"/>
      <c r="N8" s="1113">
        <f t="shared" si="6"/>
        <v>0</v>
      </c>
      <c r="O8" s="1112">
        <v>30</v>
      </c>
      <c r="P8" s="1113">
        <f t="shared" si="7"/>
        <v>267</v>
      </c>
      <c r="Q8" s="1113"/>
      <c r="R8" s="1113">
        <f t="shared" si="8"/>
        <v>0</v>
      </c>
      <c r="S8" s="1112"/>
      <c r="T8" s="1112">
        <f t="shared" si="9"/>
        <v>0</v>
      </c>
      <c r="U8" s="1112"/>
      <c r="V8" s="1112">
        <f t="shared" si="10"/>
        <v>0</v>
      </c>
      <c r="W8" s="1112"/>
      <c r="X8" s="19">
        <f t="shared" si="11"/>
        <v>0</v>
      </c>
      <c r="Y8" s="20">
        <f t="shared" si="0"/>
        <v>63197.931000000004</v>
      </c>
    </row>
    <row r="9" spans="1:25" ht="38.25" customHeight="1" x14ac:dyDescent="0.25">
      <c r="A9" s="12">
        <v>1984225580</v>
      </c>
      <c r="B9" s="1109" t="s">
        <v>75</v>
      </c>
      <c r="C9" s="1112">
        <v>54792</v>
      </c>
      <c r="D9" s="1113">
        <f t="shared" si="1"/>
        <v>53285.22</v>
      </c>
      <c r="E9" s="1112"/>
      <c r="F9" s="1112">
        <f t="shared" si="2"/>
        <v>0</v>
      </c>
      <c r="G9" s="1112"/>
      <c r="H9" s="1112">
        <f t="shared" si="3"/>
        <v>0</v>
      </c>
      <c r="I9" s="1112"/>
      <c r="J9" s="1112">
        <f t="shared" si="4"/>
        <v>0</v>
      </c>
      <c r="K9" s="1112"/>
      <c r="L9" s="1113">
        <f t="shared" si="5"/>
        <v>0</v>
      </c>
      <c r="M9" s="1112"/>
      <c r="N9" s="1113">
        <f t="shared" si="6"/>
        <v>0</v>
      </c>
      <c r="O9" s="1112"/>
      <c r="P9" s="1113">
        <f t="shared" si="7"/>
        <v>0</v>
      </c>
      <c r="Q9" s="1113"/>
      <c r="R9" s="1113">
        <f t="shared" si="8"/>
        <v>0</v>
      </c>
      <c r="S9" s="1112"/>
      <c r="T9" s="1112">
        <f t="shared" si="9"/>
        <v>0</v>
      </c>
      <c r="U9" s="1112"/>
      <c r="V9" s="1112">
        <f t="shared" si="10"/>
        <v>0</v>
      </c>
      <c r="W9" s="1112"/>
      <c r="X9" s="19">
        <f t="shared" si="11"/>
        <v>0</v>
      </c>
      <c r="Y9" s="20">
        <f t="shared" si="0"/>
        <v>53285.22</v>
      </c>
    </row>
    <row r="10" spans="1:25" ht="35.25" customHeight="1" x14ac:dyDescent="0.25">
      <c r="A10" s="12">
        <v>1409935199</v>
      </c>
      <c r="C10" s="1112"/>
      <c r="D10" s="1113">
        <f t="shared" si="1"/>
        <v>0</v>
      </c>
      <c r="E10" s="1112"/>
      <c r="F10" s="1112">
        <f t="shared" si="2"/>
        <v>0</v>
      </c>
      <c r="G10" s="1112"/>
      <c r="H10" s="1112">
        <f t="shared" si="3"/>
        <v>0</v>
      </c>
      <c r="I10" s="1112"/>
      <c r="J10" s="1112">
        <f t="shared" si="4"/>
        <v>0</v>
      </c>
      <c r="K10" s="1112"/>
      <c r="L10" s="1113">
        <f t="shared" si="5"/>
        <v>0</v>
      </c>
      <c r="M10" s="1112"/>
      <c r="N10" s="1113">
        <f t="shared" si="6"/>
        <v>0</v>
      </c>
      <c r="O10" s="1112"/>
      <c r="P10" s="1113">
        <f t="shared" si="7"/>
        <v>0</v>
      </c>
      <c r="Q10" s="1113"/>
      <c r="R10" s="1113">
        <f t="shared" si="8"/>
        <v>0</v>
      </c>
      <c r="S10" s="1112"/>
      <c r="T10" s="1112">
        <f t="shared" si="9"/>
        <v>0</v>
      </c>
      <c r="U10" s="1112"/>
      <c r="V10" s="1112">
        <f t="shared" si="10"/>
        <v>0</v>
      </c>
      <c r="W10" s="1112"/>
      <c r="X10" s="19">
        <f t="shared" si="11"/>
        <v>0</v>
      </c>
      <c r="Y10" s="20">
        <f t="shared" si="0"/>
        <v>0</v>
      </c>
    </row>
    <row r="11" spans="1:25" ht="37.5" customHeight="1" x14ac:dyDescent="0.25">
      <c r="A11" s="12"/>
      <c r="B11" s="1111"/>
      <c r="C11" s="1112"/>
      <c r="D11" s="1113">
        <f t="shared" si="1"/>
        <v>0</v>
      </c>
      <c r="E11" s="1112"/>
      <c r="F11" s="1112">
        <f t="shared" si="2"/>
        <v>0</v>
      </c>
      <c r="G11" s="1112"/>
      <c r="H11" s="1112">
        <f t="shared" si="3"/>
        <v>0</v>
      </c>
      <c r="I11" s="1112"/>
      <c r="J11" s="1112">
        <f t="shared" si="4"/>
        <v>0</v>
      </c>
      <c r="K11" s="1112"/>
      <c r="L11" s="1113">
        <f t="shared" si="5"/>
        <v>0</v>
      </c>
      <c r="M11" s="1112"/>
      <c r="N11" s="1113">
        <f t="shared" si="6"/>
        <v>0</v>
      </c>
      <c r="O11" s="1112"/>
      <c r="P11" s="1113">
        <f t="shared" si="7"/>
        <v>0</v>
      </c>
      <c r="Q11" s="1113"/>
      <c r="R11" s="1113">
        <f t="shared" si="8"/>
        <v>0</v>
      </c>
      <c r="S11" s="1112"/>
      <c r="T11" s="1112">
        <f>341*S11</f>
        <v>0</v>
      </c>
      <c r="U11" s="1112"/>
      <c r="V11" s="1112">
        <f t="shared" si="10"/>
        <v>0</v>
      </c>
      <c r="W11" s="1112"/>
      <c r="X11" s="19">
        <f t="shared" si="11"/>
        <v>0</v>
      </c>
      <c r="Y11" s="20">
        <f t="shared" si="0"/>
        <v>0</v>
      </c>
    </row>
    <row r="12" spans="1:25" ht="29.25" customHeight="1" x14ac:dyDescent="0.25">
      <c r="A12" s="2235" t="s">
        <v>31</v>
      </c>
      <c r="B12" s="2235"/>
      <c r="C12" s="18">
        <f t="shared" ref="C12:X12" si="12">SUM(C6:C11)</f>
        <v>210484</v>
      </c>
      <c r="D12" s="18">
        <f t="shared" si="12"/>
        <v>204695.69</v>
      </c>
      <c r="E12" s="18">
        <f t="shared" si="12"/>
        <v>0</v>
      </c>
      <c r="F12" s="18">
        <f t="shared" si="12"/>
        <v>0</v>
      </c>
      <c r="G12" s="18">
        <f t="shared" si="12"/>
        <v>0</v>
      </c>
      <c r="H12" s="18">
        <f t="shared" si="12"/>
        <v>0</v>
      </c>
      <c r="I12" s="18">
        <f t="shared" si="12"/>
        <v>0</v>
      </c>
      <c r="J12" s="18">
        <f t="shared" si="12"/>
        <v>0</v>
      </c>
      <c r="K12" s="18">
        <f t="shared" si="12"/>
        <v>70</v>
      </c>
      <c r="L12" s="18">
        <f t="shared" si="12"/>
        <v>1976.576</v>
      </c>
      <c r="M12" s="18">
        <f t="shared" si="12"/>
        <v>0</v>
      </c>
      <c r="N12" s="23">
        <f t="shared" si="12"/>
        <v>0</v>
      </c>
      <c r="O12" s="18">
        <f t="shared" si="12"/>
        <v>200</v>
      </c>
      <c r="P12" s="23">
        <f t="shared" si="12"/>
        <v>1780</v>
      </c>
      <c r="Q12" s="23">
        <f t="shared" si="12"/>
        <v>0</v>
      </c>
      <c r="R12" s="23">
        <f>SUM(R6:R11)</f>
        <v>0</v>
      </c>
      <c r="S12" s="23">
        <f>SUM(S6:S11)</f>
        <v>25</v>
      </c>
      <c r="T12" s="18">
        <f t="shared" si="12"/>
        <v>6025</v>
      </c>
      <c r="U12" s="18">
        <f t="shared" si="12"/>
        <v>0</v>
      </c>
      <c r="V12" s="18">
        <f t="shared" si="12"/>
        <v>0</v>
      </c>
      <c r="W12" s="18">
        <f t="shared" si="12"/>
        <v>0</v>
      </c>
      <c r="X12" s="18">
        <f t="shared" si="12"/>
        <v>0</v>
      </c>
      <c r="Y12" s="20">
        <f t="shared" si="0"/>
        <v>214477.266</v>
      </c>
    </row>
    <row r="14" spans="1:25" ht="43.5" customHeight="1" x14ac:dyDescent="0.25">
      <c r="A14" s="30" t="s">
        <v>32</v>
      </c>
      <c r="B14" s="2236" t="s">
        <v>27</v>
      </c>
      <c r="C14" s="2236"/>
      <c r="D14" s="30" t="s">
        <v>333</v>
      </c>
      <c r="E14" s="30" t="s">
        <v>65</v>
      </c>
      <c r="F14" s="30" t="s">
        <v>34</v>
      </c>
      <c r="G14" s="30" t="s">
        <v>14</v>
      </c>
      <c r="H14" s="469" t="s">
        <v>173</v>
      </c>
      <c r="I14" s="30" t="s">
        <v>17</v>
      </c>
      <c r="J14" s="1117" t="s">
        <v>174</v>
      </c>
      <c r="K14" s="30" t="s">
        <v>36</v>
      </c>
      <c r="L14" s="1117" t="s">
        <v>403</v>
      </c>
      <c r="M14" s="30" t="s">
        <v>429</v>
      </c>
      <c r="N14" s="30" t="s">
        <v>442</v>
      </c>
      <c r="O14" s="1117" t="s">
        <v>114</v>
      </c>
      <c r="P14" s="30" t="s">
        <v>70</v>
      </c>
      <c r="Q14" s="2300" t="s">
        <v>378</v>
      </c>
      <c r="R14" s="2301"/>
      <c r="S14" s="1117" t="s">
        <v>401</v>
      </c>
      <c r="T14" s="2235" t="s">
        <v>46</v>
      </c>
      <c r="U14" s="1109" t="s">
        <v>176</v>
      </c>
      <c r="V14" s="2260">
        <v>78594</v>
      </c>
      <c r="W14" s="2268"/>
      <c r="X14" s="2261"/>
    </row>
    <row r="15" spans="1:25" ht="22.5" customHeight="1" x14ac:dyDescent="0.25">
      <c r="A15" s="100" t="s">
        <v>38</v>
      </c>
      <c r="B15" s="2260">
        <v>354684</v>
      </c>
      <c r="C15" s="2261"/>
      <c r="D15" s="1114">
        <v>200</v>
      </c>
      <c r="E15" s="1114">
        <v>0</v>
      </c>
      <c r="F15" s="1114">
        <v>12500</v>
      </c>
      <c r="G15" s="1114">
        <v>340</v>
      </c>
      <c r="H15" s="1114">
        <v>354</v>
      </c>
      <c r="I15" s="1114">
        <v>20</v>
      </c>
      <c r="J15" s="1114">
        <v>4</v>
      </c>
      <c r="K15" s="1114">
        <v>82</v>
      </c>
      <c r="L15" s="1114">
        <v>0</v>
      </c>
      <c r="M15" s="1114">
        <v>30</v>
      </c>
      <c r="N15" s="1114">
        <v>1600</v>
      </c>
      <c r="O15" s="1114">
        <v>0</v>
      </c>
      <c r="P15" s="1114">
        <v>100</v>
      </c>
      <c r="Q15" s="2260">
        <v>0</v>
      </c>
      <c r="R15" s="2261"/>
      <c r="S15" s="1109">
        <v>6</v>
      </c>
      <c r="T15" s="2235"/>
      <c r="U15" s="1109" t="s">
        <v>64</v>
      </c>
      <c r="V15" s="2262">
        <v>61931</v>
      </c>
      <c r="W15" s="2262"/>
      <c r="X15" s="2262"/>
    </row>
    <row r="16" spans="1:25" ht="24.75" customHeight="1" x14ac:dyDescent="0.25">
      <c r="A16" s="100" t="s">
        <v>39</v>
      </c>
      <c r="B16" s="2260">
        <v>415584</v>
      </c>
      <c r="C16" s="2261"/>
      <c r="D16" s="1114"/>
      <c r="E16" s="1114"/>
      <c r="F16" s="1114"/>
      <c r="G16" s="1114"/>
      <c r="H16" s="1114"/>
      <c r="I16" s="1114"/>
      <c r="J16" s="1114"/>
      <c r="K16" s="1114"/>
      <c r="L16" s="1114"/>
      <c r="M16" s="1114"/>
      <c r="N16" s="1114"/>
      <c r="O16" s="1114"/>
      <c r="P16" s="1114"/>
      <c r="Q16" s="2225"/>
      <c r="R16" s="2225"/>
      <c r="S16" s="1114"/>
      <c r="T16" s="2254" t="s">
        <v>55</v>
      </c>
      <c r="U16" s="2254"/>
      <c r="V16" s="2267">
        <f>Y12</f>
        <v>214477.266</v>
      </c>
      <c r="W16" s="2267"/>
      <c r="X16" s="2262"/>
    </row>
    <row r="17" spans="1:25" ht="28.5" customHeight="1" x14ac:dyDescent="0.25">
      <c r="A17" s="101" t="s">
        <v>44</v>
      </c>
      <c r="B17" s="2260"/>
      <c r="C17" s="2261"/>
      <c r="D17" s="1114"/>
      <c r="E17" s="1114"/>
      <c r="F17" s="1114"/>
      <c r="G17" s="1114"/>
      <c r="H17" s="1114"/>
      <c r="I17" s="1114"/>
      <c r="J17" s="1114"/>
      <c r="K17" s="1114"/>
      <c r="L17" s="1114"/>
      <c r="M17" s="1114"/>
      <c r="N17" s="1114"/>
      <c r="O17" s="1114"/>
      <c r="P17" s="1114"/>
      <c r="Q17" s="2225"/>
      <c r="R17" s="2225"/>
      <c r="S17" s="1111"/>
      <c r="T17" s="2294" t="s">
        <v>450</v>
      </c>
      <c r="U17" s="2295"/>
      <c r="V17" s="2296"/>
      <c r="W17" s="2296"/>
      <c r="X17" s="2296"/>
    </row>
    <row r="18" spans="1:25" ht="27" customHeight="1" x14ac:dyDescent="0.25">
      <c r="A18" s="100" t="s">
        <v>40</v>
      </c>
      <c r="B18" s="2264">
        <f>C12</f>
        <v>210484</v>
      </c>
      <c r="C18" s="2261"/>
      <c r="D18" s="1115">
        <f>E12</f>
        <v>0</v>
      </c>
      <c r="E18" s="1115">
        <f>G12</f>
        <v>0</v>
      </c>
      <c r="F18" s="1115">
        <f>I12</f>
        <v>0</v>
      </c>
      <c r="G18" s="1115">
        <f>K12</f>
        <v>70</v>
      </c>
      <c r="H18" s="1114">
        <v>25</v>
      </c>
      <c r="I18" s="1115">
        <f>U12</f>
        <v>0</v>
      </c>
      <c r="J18" s="1114"/>
      <c r="K18" s="1115">
        <f>W12</f>
        <v>0</v>
      </c>
      <c r="L18" s="1114"/>
      <c r="M18" s="1115">
        <f>M12</f>
        <v>0</v>
      </c>
      <c r="N18" s="1115">
        <f>O12</f>
        <v>200</v>
      </c>
      <c r="O18" s="1116">
        <f>Q12</f>
        <v>0</v>
      </c>
      <c r="P18" s="1115"/>
      <c r="Q18" s="2262"/>
      <c r="R18" s="2262"/>
      <c r="S18" s="1109"/>
      <c r="T18" s="2254" t="s">
        <v>57</v>
      </c>
      <c r="U18" s="2254"/>
      <c r="V18" s="2262">
        <v>520</v>
      </c>
      <c r="W18" s="2262"/>
      <c r="X18" s="2262"/>
      <c r="Y18" s="2269"/>
    </row>
    <row r="19" spans="1:25" ht="25.5" customHeight="1" x14ac:dyDescent="0.25">
      <c r="A19" s="100" t="s">
        <v>41</v>
      </c>
      <c r="B19" s="2260">
        <f>B15+B16+B17-B18</f>
        <v>559784</v>
      </c>
      <c r="C19" s="2261"/>
      <c r="D19" s="1114">
        <f>D15+D16+D17-D18</f>
        <v>200</v>
      </c>
      <c r="E19" s="1114">
        <f t="shared" ref="E19:N19" si="13">E15+E16+E17-E18</f>
        <v>0</v>
      </c>
      <c r="F19" s="1114">
        <f t="shared" si="13"/>
        <v>12500</v>
      </c>
      <c r="G19" s="1114">
        <f t="shared" si="13"/>
        <v>270</v>
      </c>
      <c r="H19" s="1114">
        <f t="shared" si="13"/>
        <v>329</v>
      </c>
      <c r="I19" s="1114">
        <f t="shared" si="13"/>
        <v>20</v>
      </c>
      <c r="J19" s="1114">
        <f t="shared" si="13"/>
        <v>4</v>
      </c>
      <c r="K19" s="1114">
        <f t="shared" si="13"/>
        <v>82</v>
      </c>
      <c r="L19" s="1114">
        <f t="shared" si="13"/>
        <v>0</v>
      </c>
      <c r="M19" s="1114">
        <f t="shared" si="13"/>
        <v>30</v>
      </c>
      <c r="N19" s="1114">
        <f t="shared" si="13"/>
        <v>1400</v>
      </c>
      <c r="O19" s="1114">
        <f>O15+O16+O17-O18</f>
        <v>0</v>
      </c>
      <c r="P19" s="1114">
        <f t="shared" ref="P19:Q19" si="14">P15+P16+P17-P18</f>
        <v>100</v>
      </c>
      <c r="Q19" s="2260">
        <f t="shared" si="14"/>
        <v>0</v>
      </c>
      <c r="R19" s="2261"/>
      <c r="S19" s="1109">
        <f>S15+S16-S17-S18</f>
        <v>6</v>
      </c>
      <c r="T19" s="2256" t="s">
        <v>48</v>
      </c>
      <c r="U19" s="49" t="s">
        <v>58</v>
      </c>
      <c r="V19" s="2262">
        <v>180000</v>
      </c>
      <c r="W19" s="2262"/>
      <c r="X19" s="2262"/>
      <c r="Y19" s="2269"/>
    </row>
    <row r="20" spans="1:25" ht="23.25" customHeight="1" x14ac:dyDescent="0.25">
      <c r="A20" s="289" t="s">
        <v>187</v>
      </c>
      <c r="B20" s="2286">
        <f>B19*0.9625</f>
        <v>538792.1</v>
      </c>
      <c r="C20" s="2287"/>
      <c r="D20" s="290">
        <f>D19*66.41</f>
        <v>13282</v>
      </c>
      <c r="E20" s="290">
        <f>27.9368*E19</f>
        <v>0</v>
      </c>
      <c r="F20" s="290">
        <f>18.31*F19</f>
        <v>228874.99999999997</v>
      </c>
      <c r="G20" s="290">
        <f>27.9368*G19</f>
        <v>7542.9360000000006</v>
      </c>
      <c r="H20" s="290">
        <f>241*H19</f>
        <v>79289</v>
      </c>
      <c r="I20" s="290">
        <f>323*I19</f>
        <v>6460</v>
      </c>
      <c r="J20" s="290">
        <f>241*J19</f>
        <v>964</v>
      </c>
      <c r="K20" s="290">
        <f>K19*100</f>
        <v>8200</v>
      </c>
      <c r="L20" s="290">
        <f>241*L19</f>
        <v>0</v>
      </c>
      <c r="M20" s="290">
        <f>47.1625*M19</f>
        <v>1414.875</v>
      </c>
      <c r="N20" s="290">
        <f>N19*8.81</f>
        <v>12334</v>
      </c>
      <c r="O20" s="290">
        <f>241*O19</f>
        <v>0</v>
      </c>
      <c r="P20" s="290">
        <f>P19*48.2</f>
        <v>4820</v>
      </c>
      <c r="Q20" s="2286">
        <f>341*Q19</f>
        <v>0</v>
      </c>
      <c r="R20" s="2287"/>
      <c r="S20" s="290">
        <f>341*S19</f>
        <v>2046</v>
      </c>
      <c r="T20" s="2257"/>
      <c r="U20" s="49" t="s">
        <v>59</v>
      </c>
      <c r="V20" s="2262">
        <v>20000</v>
      </c>
      <c r="W20" s="2262"/>
      <c r="X20" s="2262"/>
      <c r="Y20" s="2269"/>
    </row>
    <row r="21" spans="1:25" ht="32.25" customHeight="1" x14ac:dyDescent="0.25">
      <c r="A21" s="291" t="s">
        <v>186</v>
      </c>
      <c r="B21" s="2293">
        <f>SUM(B20:S20)</f>
        <v>904019.91099999996</v>
      </c>
      <c r="C21" s="2293"/>
      <c r="O21" s="1118"/>
      <c r="P21" s="1118"/>
      <c r="Q21" s="1118"/>
      <c r="R21" s="1118"/>
      <c r="T21" s="2294" t="s">
        <v>451</v>
      </c>
      <c r="U21" s="2295"/>
      <c r="V21" s="2297"/>
      <c r="W21" s="2298"/>
      <c r="X21" s="2299"/>
      <c r="Y21" s="2269"/>
    </row>
    <row r="22" spans="1:25" ht="35.25" customHeight="1" x14ac:dyDescent="0.25">
      <c r="A22" s="15"/>
      <c r="B22" s="2288" t="s">
        <v>49</v>
      </c>
      <c r="C22" s="2291">
        <v>180000</v>
      </c>
      <c r="D22" s="2291">
        <v>180000</v>
      </c>
      <c r="E22" s="2291">
        <v>380000</v>
      </c>
      <c r="F22" s="2291">
        <f>C22-D22+E22</f>
        <v>380000</v>
      </c>
      <c r="G22" s="1118"/>
      <c r="Q22" s="1118"/>
      <c r="R22" s="1118"/>
      <c r="T22" s="2251" t="s">
        <v>83</v>
      </c>
      <c r="U22" s="50" t="s">
        <v>60</v>
      </c>
      <c r="V22" s="2262">
        <v>213840</v>
      </c>
      <c r="W22" s="2262"/>
      <c r="X22" s="2262"/>
      <c r="Y22" s="2269"/>
    </row>
    <row r="23" spans="1:25" ht="39.75" customHeight="1" x14ac:dyDescent="0.25">
      <c r="A23" s="1118"/>
      <c r="B23" s="2289"/>
      <c r="C23" s="2292"/>
      <c r="D23" s="2292"/>
      <c r="E23" s="2292"/>
      <c r="F23" s="2292"/>
      <c r="G23" s="1118"/>
      <c r="Q23" s="1118"/>
      <c r="R23" s="1118"/>
      <c r="T23" s="2252"/>
      <c r="U23" s="50" t="s">
        <v>61</v>
      </c>
      <c r="V23" s="2262">
        <v>200000</v>
      </c>
      <c r="W23" s="2262"/>
      <c r="X23" s="2262"/>
      <c r="Y23" s="2269"/>
    </row>
    <row r="24" spans="1:25" ht="48" customHeight="1" x14ac:dyDescent="0.25">
      <c r="A24" s="1118"/>
      <c r="B24" s="2290"/>
      <c r="C24" s="290" t="s">
        <v>46</v>
      </c>
      <c r="D24" s="290" t="s">
        <v>50</v>
      </c>
      <c r="E24" s="290" t="s">
        <v>51</v>
      </c>
      <c r="F24" s="290" t="s">
        <v>52</v>
      </c>
      <c r="G24" s="1118"/>
      <c r="Q24" s="1118"/>
      <c r="R24" s="1118"/>
      <c r="T24" s="2235" t="s">
        <v>47</v>
      </c>
      <c r="U24" s="51" t="s">
        <v>62</v>
      </c>
      <c r="V24" s="2263">
        <f>V14+V16+V17-V18-V19-V20-V22+V23-V21</f>
        <v>78711.266000000003</v>
      </c>
      <c r="W24" s="2263"/>
      <c r="X24" s="2263"/>
      <c r="Y24" s="2269"/>
    </row>
    <row r="25" spans="1:25" ht="40.5" customHeight="1" x14ac:dyDescent="0.25">
      <c r="T25" s="2235"/>
      <c r="U25" s="51" t="s">
        <v>63</v>
      </c>
      <c r="V25" s="2262">
        <f>V15+V22-V23</f>
        <v>75771</v>
      </c>
      <c r="W25" s="2262"/>
      <c r="X25" s="2262"/>
    </row>
    <row r="26" spans="1:25" ht="36" customHeight="1" x14ac:dyDescent="0.25">
      <c r="K26" s="314"/>
    </row>
    <row r="28" spans="1:25" x14ac:dyDescent="0.25">
      <c r="J28" s="14" t="s">
        <v>139</v>
      </c>
    </row>
    <row r="32" spans="1:25" x14ac:dyDescent="0.25">
      <c r="I32" s="2280"/>
      <c r="J32" s="2280"/>
      <c r="K32" s="2280"/>
      <c r="L32" s="2280"/>
    </row>
    <row r="33" spans="9:12" x14ac:dyDescent="0.25">
      <c r="I33" s="1118"/>
      <c r="J33" s="1118"/>
      <c r="K33" s="2280"/>
      <c r="L33" s="2280"/>
    </row>
  </sheetData>
  <mergeCells count="62">
    <mergeCell ref="I32:J32"/>
    <mergeCell ref="K32:L32"/>
    <mergeCell ref="K33:L33"/>
    <mergeCell ref="T22:T23"/>
    <mergeCell ref="V22:X22"/>
    <mergeCell ref="V23:X23"/>
    <mergeCell ref="T24:T25"/>
    <mergeCell ref="V24:X24"/>
    <mergeCell ref="V25:X25"/>
    <mergeCell ref="Y18:Y24"/>
    <mergeCell ref="B19:C19"/>
    <mergeCell ref="Q19:R19"/>
    <mergeCell ref="T19:T20"/>
    <mergeCell ref="V19:X19"/>
    <mergeCell ref="B20:C20"/>
    <mergeCell ref="B22:B24"/>
    <mergeCell ref="C22:C23"/>
    <mergeCell ref="D22:D23"/>
    <mergeCell ref="E22:E23"/>
    <mergeCell ref="F22:F23"/>
    <mergeCell ref="Q20:R20"/>
    <mergeCell ref="V20:X20"/>
    <mergeCell ref="B21:C21"/>
    <mergeCell ref="T21:U21"/>
    <mergeCell ref="V21:X21"/>
    <mergeCell ref="B17:C17"/>
    <mergeCell ref="Q17:R17"/>
    <mergeCell ref="T17:U17"/>
    <mergeCell ref="V17:X17"/>
    <mergeCell ref="B18:C18"/>
    <mergeCell ref="Q18:R18"/>
    <mergeCell ref="T18:U18"/>
    <mergeCell ref="V18:X18"/>
    <mergeCell ref="W4:X4"/>
    <mergeCell ref="B16:C16"/>
    <mergeCell ref="Q16:R16"/>
    <mergeCell ref="T16:U16"/>
    <mergeCell ref="V16:X16"/>
    <mergeCell ref="A12:B12"/>
    <mergeCell ref="B14:C14"/>
    <mergeCell ref="Q14:R14"/>
    <mergeCell ref="T14:T15"/>
    <mergeCell ref="V14:X14"/>
    <mergeCell ref="B15:C15"/>
    <mergeCell ref="Q15:R15"/>
    <mergeCell ref="V15:X15"/>
    <mergeCell ref="A1:Y1"/>
    <mergeCell ref="A2:Y2"/>
    <mergeCell ref="T3:Y3"/>
    <mergeCell ref="A4:A5"/>
    <mergeCell ref="B4:B5"/>
    <mergeCell ref="C4:D4"/>
    <mergeCell ref="E4:F4"/>
    <mergeCell ref="G4:H4"/>
    <mergeCell ref="I4:J4"/>
    <mergeCell ref="K4:L4"/>
    <mergeCell ref="Y4:Y5"/>
    <mergeCell ref="M4:N4"/>
    <mergeCell ref="O4:P4"/>
    <mergeCell ref="Q4:R4"/>
    <mergeCell ref="S4:T4"/>
    <mergeCell ref="U4:V4"/>
  </mergeCells>
  <pageMargins left="0.15748031496063" right="0.15748031496063" top="0" bottom="0" header="0" footer="0"/>
  <pageSetup paperSize="9" scale="45" orientation="landscape" r:id="rId1"/>
</worksheet>
</file>

<file path=xl/worksheets/sheet2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887FDDB-68FC-4614-B7D5-B89B45142084}">
  <sheetPr>
    <pageSetUpPr fitToPage="1"/>
  </sheetPr>
  <dimension ref="A1:Y33"/>
  <sheetViews>
    <sheetView topLeftCell="E3" zoomScale="70" zoomScaleNormal="70" zoomScaleSheetLayoutView="100" zoomScalePageLayoutView="68" workbookViewId="0">
      <selection activeCell="Y18" sqref="Y18:Y24"/>
    </sheetView>
  </sheetViews>
  <sheetFormatPr defaultColWidth="9.140625" defaultRowHeight="15" x14ac:dyDescent="0.25"/>
  <cols>
    <col min="1" max="1" width="18.28515625" style="14" customWidth="1"/>
    <col min="2" max="2" width="10.7109375" style="14" customWidth="1"/>
    <col min="3" max="3" width="12.28515625" style="14" customWidth="1"/>
    <col min="4" max="4" width="13.140625" style="14" bestFit="1" customWidth="1"/>
    <col min="5" max="5" width="12" style="14" customWidth="1"/>
    <col min="6" max="6" width="12.5703125" style="14" bestFit="1" customWidth="1"/>
    <col min="7" max="7" width="16" style="14" bestFit="1" customWidth="1"/>
    <col min="8" max="8" width="10.140625" style="14" bestFit="1" customWidth="1"/>
    <col min="9" max="9" width="10.5703125" style="14" bestFit="1" customWidth="1"/>
    <col min="10" max="10" width="10.5703125" style="14" customWidth="1"/>
    <col min="11" max="11" width="10.28515625" style="14" bestFit="1" customWidth="1"/>
    <col min="12" max="12" width="10.42578125" style="14" bestFit="1" customWidth="1"/>
    <col min="13" max="14" width="12" style="14" bestFit="1" customWidth="1"/>
    <col min="15" max="15" width="9" style="14" customWidth="1"/>
    <col min="16" max="16" width="12.85546875" style="14" bestFit="1" customWidth="1"/>
    <col min="17" max="18" width="9.42578125" style="14" customWidth="1"/>
    <col min="19" max="19" width="13.7109375" style="14" customWidth="1"/>
    <col min="20" max="20" width="12.140625" style="14" customWidth="1"/>
    <col min="21" max="21" width="21.7109375" style="14" customWidth="1"/>
    <col min="22" max="22" width="9.85546875" style="14" customWidth="1"/>
    <col min="23" max="23" width="10.140625" style="14" bestFit="1" customWidth="1"/>
    <col min="24" max="24" width="10.28515625" style="14" customWidth="1"/>
    <col min="25" max="25" width="28" style="14" customWidth="1"/>
    <col min="26" max="16384" width="9.140625" style="14"/>
  </cols>
  <sheetData>
    <row r="1" spans="1:25" ht="46.15" customHeight="1" x14ac:dyDescent="0.25">
      <c r="A1" s="2240" t="s">
        <v>148</v>
      </c>
      <c r="B1" s="2240"/>
      <c r="C1" s="2240"/>
      <c r="D1" s="2240"/>
      <c r="E1" s="2240"/>
      <c r="F1" s="2240"/>
      <c r="G1" s="2240"/>
      <c r="H1" s="2240"/>
      <c r="I1" s="2240"/>
      <c r="J1" s="2240"/>
      <c r="K1" s="2240"/>
      <c r="L1" s="2240"/>
      <c r="M1" s="2240"/>
      <c r="N1" s="2240"/>
      <c r="O1" s="2240"/>
      <c r="P1" s="2240"/>
      <c r="Q1" s="2240"/>
      <c r="R1" s="2240"/>
      <c r="S1" s="2240"/>
      <c r="T1" s="2240"/>
      <c r="U1" s="2240"/>
      <c r="V1" s="2240"/>
      <c r="W1" s="2240"/>
      <c r="X1" s="2240"/>
      <c r="Y1" s="2240"/>
    </row>
    <row r="2" spans="1:25" ht="21.6" customHeight="1" x14ac:dyDescent="0.25">
      <c r="A2" s="2241" t="s">
        <v>383</v>
      </c>
      <c r="B2" s="2241"/>
      <c r="C2" s="2241"/>
      <c r="D2" s="2241"/>
      <c r="E2" s="2241"/>
      <c r="F2" s="2241"/>
      <c r="G2" s="2241"/>
      <c r="H2" s="2241"/>
      <c r="I2" s="2241"/>
      <c r="J2" s="2241"/>
      <c r="K2" s="2241"/>
      <c r="L2" s="2241"/>
      <c r="M2" s="2241"/>
      <c r="N2" s="2241"/>
      <c r="O2" s="2241"/>
      <c r="P2" s="2241"/>
      <c r="Q2" s="2241"/>
      <c r="R2" s="2241"/>
      <c r="S2" s="2241"/>
      <c r="T2" s="2241"/>
      <c r="U2" s="2241"/>
      <c r="V2" s="2241"/>
      <c r="W2" s="2241"/>
      <c r="X2" s="2241"/>
      <c r="Y2" s="2241"/>
    </row>
    <row r="3" spans="1:25" ht="21" customHeight="1" x14ac:dyDescent="0.25">
      <c r="A3" s="1124"/>
      <c r="B3" s="1124"/>
      <c r="C3" s="1124"/>
      <c r="D3" s="1124"/>
      <c r="E3" s="1124"/>
      <c r="F3" s="1124"/>
      <c r="G3" s="1124"/>
      <c r="H3" s="1124"/>
      <c r="I3" s="1124"/>
      <c r="J3" s="1124"/>
      <c r="K3" s="1124"/>
      <c r="L3" s="1124"/>
      <c r="M3" s="1124"/>
      <c r="N3" s="1124"/>
      <c r="O3" s="1124"/>
      <c r="P3" s="1124"/>
      <c r="Q3" s="1124"/>
      <c r="R3" s="1124"/>
      <c r="S3" s="1124"/>
      <c r="T3" s="2242" t="s">
        <v>454</v>
      </c>
      <c r="U3" s="2242"/>
      <c r="V3" s="2242"/>
      <c r="W3" s="2242"/>
      <c r="X3" s="2242"/>
      <c r="Y3" s="2242"/>
    </row>
    <row r="4" spans="1:25" s="1124" customFormat="1" ht="18" customHeight="1" x14ac:dyDescent="0.25">
      <c r="A4" s="2243" t="s">
        <v>25</v>
      </c>
      <c r="B4" s="2243" t="s">
        <v>26</v>
      </c>
      <c r="C4" s="2244" t="s">
        <v>27</v>
      </c>
      <c r="D4" s="2244"/>
      <c r="E4" s="2244" t="s">
        <v>342</v>
      </c>
      <c r="F4" s="2244"/>
      <c r="G4" s="2244" t="s">
        <v>65</v>
      </c>
      <c r="H4" s="2244"/>
      <c r="I4" s="2244" t="s">
        <v>29</v>
      </c>
      <c r="J4" s="2244"/>
      <c r="K4" s="2245" t="s">
        <v>14</v>
      </c>
      <c r="L4" s="2246"/>
      <c r="M4" s="2245" t="s">
        <v>429</v>
      </c>
      <c r="N4" s="2246"/>
      <c r="O4" s="2245" t="s">
        <v>441</v>
      </c>
      <c r="P4" s="2246"/>
      <c r="Q4" s="2245" t="s">
        <v>114</v>
      </c>
      <c r="R4" s="2246"/>
      <c r="S4" s="2244" t="s">
        <v>35</v>
      </c>
      <c r="T4" s="2244"/>
      <c r="U4" s="2245" t="s">
        <v>17</v>
      </c>
      <c r="V4" s="2246"/>
      <c r="W4" s="2247" t="s">
        <v>36</v>
      </c>
      <c r="X4" s="2248"/>
      <c r="Y4" s="2238" t="s">
        <v>30</v>
      </c>
    </row>
    <row r="5" spans="1:25" s="1124" customFormat="1" ht="25.5" customHeight="1" x14ac:dyDescent="0.25">
      <c r="A5" s="2243"/>
      <c r="B5" s="2243"/>
      <c r="C5" s="1123" t="s">
        <v>42</v>
      </c>
      <c r="D5" s="1123" t="s">
        <v>43</v>
      </c>
      <c r="E5" s="1123" t="s">
        <v>42</v>
      </c>
      <c r="F5" s="1123" t="s">
        <v>43</v>
      </c>
      <c r="G5" s="1123" t="s">
        <v>42</v>
      </c>
      <c r="H5" s="1123" t="s">
        <v>43</v>
      </c>
      <c r="I5" s="1123" t="s">
        <v>42</v>
      </c>
      <c r="J5" s="1123" t="s">
        <v>43</v>
      </c>
      <c r="K5" s="1123" t="s">
        <v>42</v>
      </c>
      <c r="L5" s="1123" t="s">
        <v>43</v>
      </c>
      <c r="M5" s="1123" t="s">
        <v>42</v>
      </c>
      <c r="N5" s="1123" t="s">
        <v>43</v>
      </c>
      <c r="O5" s="1123" t="s">
        <v>42</v>
      </c>
      <c r="P5" s="1123" t="s">
        <v>43</v>
      </c>
      <c r="Q5" s="1123" t="s">
        <v>42</v>
      </c>
      <c r="R5" s="1123" t="s">
        <v>43</v>
      </c>
      <c r="S5" s="33" t="s">
        <v>42</v>
      </c>
      <c r="T5" s="33" t="s">
        <v>43</v>
      </c>
      <c r="U5" s="30" t="s">
        <v>42</v>
      </c>
      <c r="V5" s="30" t="s">
        <v>43</v>
      </c>
      <c r="W5" s="30" t="s">
        <v>42</v>
      </c>
      <c r="X5" s="30" t="s">
        <v>43</v>
      </c>
      <c r="Y5" s="2239"/>
    </row>
    <row r="6" spans="1:25" ht="34.5" customHeight="1" x14ac:dyDescent="0.25">
      <c r="A6" s="12">
        <v>1409935200</v>
      </c>
      <c r="B6" s="1122" t="s">
        <v>71</v>
      </c>
      <c r="C6" s="1120">
        <v>19217</v>
      </c>
      <c r="D6" s="1119">
        <f>0.9725*C6</f>
        <v>18688.532500000001</v>
      </c>
      <c r="E6" s="1120"/>
      <c r="F6" s="1119">
        <f>67.1*E6</f>
        <v>0</v>
      </c>
      <c r="G6" s="1120"/>
      <c r="H6" s="1120">
        <f>28.2*G6</f>
        <v>0</v>
      </c>
      <c r="I6" s="1120">
        <v>500</v>
      </c>
      <c r="J6" s="1120">
        <f>18.5*I6</f>
        <v>9250</v>
      </c>
      <c r="K6" s="1120"/>
      <c r="L6" s="1119">
        <f>28.2368*K6</f>
        <v>0</v>
      </c>
      <c r="M6" s="1120">
        <v>10</v>
      </c>
      <c r="N6" s="1119">
        <f>M6*47.6525</f>
        <v>476.52500000000003</v>
      </c>
      <c r="O6" s="1120">
        <v>900</v>
      </c>
      <c r="P6" s="1119">
        <f>O6*8.9</f>
        <v>8010</v>
      </c>
      <c r="Q6" s="1119"/>
      <c r="R6" s="1119">
        <f>241*Q6</f>
        <v>0</v>
      </c>
      <c r="S6" s="1120"/>
      <c r="T6" s="1120">
        <f>241*S6</f>
        <v>0</v>
      </c>
      <c r="U6" s="1120"/>
      <c r="V6" s="1120">
        <f>332*U6</f>
        <v>0</v>
      </c>
      <c r="W6" s="1120"/>
      <c r="X6" s="19">
        <f>W6*100</f>
        <v>0</v>
      </c>
      <c r="Y6" s="20">
        <f t="shared" ref="Y6:Y12" si="0">D6+F6+H6+J6+L6+N6+P6+R6+T6+V6+X6</f>
        <v>36425.057500000003</v>
      </c>
    </row>
    <row r="7" spans="1:25" ht="31.5" customHeight="1" x14ac:dyDescent="0.25">
      <c r="A7" s="12">
        <v>1984225578</v>
      </c>
      <c r="B7" s="1122" t="s">
        <v>72</v>
      </c>
      <c r="C7" s="1120">
        <v>20000</v>
      </c>
      <c r="D7" s="1119">
        <f t="shared" ref="D7:D11" si="1">0.9725*C7</f>
        <v>19450</v>
      </c>
      <c r="E7" s="1120"/>
      <c r="F7" s="1120">
        <f t="shared" ref="F7:F11" si="2">67.1*E7</f>
        <v>0</v>
      </c>
      <c r="G7" s="1120"/>
      <c r="H7" s="1120">
        <f t="shared" ref="H7:H11" si="3">28.2*G7</f>
        <v>0</v>
      </c>
      <c r="I7" s="1120">
        <v>2000</v>
      </c>
      <c r="J7" s="1120">
        <f t="shared" ref="J7:J11" si="4">18.5*I7</f>
        <v>37000</v>
      </c>
      <c r="K7" s="1120"/>
      <c r="L7" s="1119">
        <f t="shared" ref="L7:L11" si="5">28.2368*K7</f>
        <v>0</v>
      </c>
      <c r="M7" s="1120"/>
      <c r="N7" s="1119">
        <f t="shared" ref="N7:N11" si="6">M7*47.6525</f>
        <v>0</v>
      </c>
      <c r="O7" s="1120">
        <v>220</v>
      </c>
      <c r="P7" s="1119">
        <f t="shared" ref="P7:P11" si="7">O7*8.9</f>
        <v>1958</v>
      </c>
      <c r="Q7" s="1119"/>
      <c r="R7" s="1119">
        <f t="shared" ref="R7:R11" si="8">241*Q7</f>
        <v>0</v>
      </c>
      <c r="S7" s="1120"/>
      <c r="T7" s="1120">
        <f t="shared" ref="T7:T10" si="9">241*S7</f>
        <v>0</v>
      </c>
      <c r="U7" s="1120"/>
      <c r="V7" s="1120">
        <f t="shared" ref="V7:V11" si="10">332*U7</f>
        <v>0</v>
      </c>
      <c r="W7" s="1120"/>
      <c r="X7" s="19">
        <f t="shared" ref="X7:X11" si="11">W7*100</f>
        <v>0</v>
      </c>
      <c r="Y7" s="20">
        <f t="shared" si="0"/>
        <v>58408</v>
      </c>
    </row>
    <row r="8" spans="1:25" ht="35.25" customHeight="1" x14ac:dyDescent="0.25">
      <c r="A8" s="12">
        <v>1967020280</v>
      </c>
      <c r="B8" s="1122" t="s">
        <v>427</v>
      </c>
      <c r="C8" s="1120">
        <v>20345</v>
      </c>
      <c r="D8" s="1119">
        <f t="shared" si="1"/>
        <v>19785.512500000001</v>
      </c>
      <c r="E8" s="1120">
        <v>20</v>
      </c>
      <c r="F8" s="1120">
        <f t="shared" si="2"/>
        <v>1342</v>
      </c>
      <c r="G8" s="1120"/>
      <c r="H8" s="1119">
        <f t="shared" si="3"/>
        <v>0</v>
      </c>
      <c r="I8" s="1120">
        <v>1890</v>
      </c>
      <c r="J8" s="1120">
        <f t="shared" si="4"/>
        <v>34965</v>
      </c>
      <c r="K8" s="1120"/>
      <c r="L8" s="1119">
        <f t="shared" si="5"/>
        <v>0</v>
      </c>
      <c r="M8" s="1120"/>
      <c r="N8" s="1119">
        <f t="shared" si="6"/>
        <v>0</v>
      </c>
      <c r="O8" s="1120"/>
      <c r="P8" s="1119">
        <f t="shared" si="7"/>
        <v>0</v>
      </c>
      <c r="Q8" s="1119"/>
      <c r="R8" s="1119">
        <f t="shared" si="8"/>
        <v>0</v>
      </c>
      <c r="S8" s="1120"/>
      <c r="T8" s="1120">
        <f t="shared" si="9"/>
        <v>0</v>
      </c>
      <c r="U8" s="1120"/>
      <c r="V8" s="1120">
        <f t="shared" si="10"/>
        <v>0</v>
      </c>
      <c r="W8" s="1120"/>
      <c r="X8" s="19">
        <f t="shared" si="11"/>
        <v>0</v>
      </c>
      <c r="Y8" s="20">
        <f t="shared" si="0"/>
        <v>56092.512499999997</v>
      </c>
    </row>
    <row r="9" spans="1:25" ht="38.25" customHeight="1" x14ac:dyDescent="0.25">
      <c r="A9" s="12">
        <v>1984225580</v>
      </c>
      <c r="B9" s="1122" t="s">
        <v>75</v>
      </c>
      <c r="C9" s="1120">
        <v>26001</v>
      </c>
      <c r="D9" s="1119">
        <f t="shared" si="1"/>
        <v>25285.9725</v>
      </c>
      <c r="E9" s="1120"/>
      <c r="F9" s="1120">
        <f t="shared" si="2"/>
        <v>0</v>
      </c>
      <c r="G9" s="1120"/>
      <c r="H9" s="1120">
        <f t="shared" si="3"/>
        <v>0</v>
      </c>
      <c r="I9" s="1120">
        <v>4020</v>
      </c>
      <c r="J9" s="1120">
        <f t="shared" si="4"/>
        <v>74370</v>
      </c>
      <c r="K9" s="1120"/>
      <c r="L9" s="1119">
        <f t="shared" si="5"/>
        <v>0</v>
      </c>
      <c r="M9" s="1120"/>
      <c r="N9" s="1119">
        <f t="shared" si="6"/>
        <v>0</v>
      </c>
      <c r="O9" s="1120"/>
      <c r="P9" s="1119">
        <f t="shared" si="7"/>
        <v>0</v>
      </c>
      <c r="Q9" s="1119"/>
      <c r="R9" s="1119">
        <f t="shared" si="8"/>
        <v>0</v>
      </c>
      <c r="S9" s="1120">
        <v>1</v>
      </c>
      <c r="T9" s="1120">
        <f t="shared" si="9"/>
        <v>241</v>
      </c>
      <c r="U9" s="1120"/>
      <c r="V9" s="1120">
        <f t="shared" si="10"/>
        <v>0</v>
      </c>
      <c r="W9" s="1120"/>
      <c r="X9" s="19">
        <f t="shared" si="11"/>
        <v>0</v>
      </c>
      <c r="Y9" s="20">
        <f t="shared" si="0"/>
        <v>99896.972500000003</v>
      </c>
    </row>
    <row r="10" spans="1:25" ht="35.25" customHeight="1" x14ac:dyDescent="0.25">
      <c r="A10" s="12">
        <v>1409935199</v>
      </c>
      <c r="C10" s="1120">
        <v>6684</v>
      </c>
      <c r="D10" s="1119">
        <f t="shared" si="1"/>
        <v>6500.1900000000005</v>
      </c>
      <c r="E10" s="1120"/>
      <c r="F10" s="1120">
        <f t="shared" si="2"/>
        <v>0</v>
      </c>
      <c r="G10" s="1120"/>
      <c r="H10" s="1120">
        <f t="shared" si="3"/>
        <v>0</v>
      </c>
      <c r="I10" s="1120"/>
      <c r="J10" s="1120">
        <f t="shared" si="4"/>
        <v>0</v>
      </c>
      <c r="K10" s="1120"/>
      <c r="L10" s="1119">
        <f t="shared" si="5"/>
        <v>0</v>
      </c>
      <c r="M10" s="1120"/>
      <c r="N10" s="1119">
        <f t="shared" si="6"/>
        <v>0</v>
      </c>
      <c r="O10" s="1120"/>
      <c r="P10" s="1119">
        <f t="shared" si="7"/>
        <v>0</v>
      </c>
      <c r="Q10" s="1119"/>
      <c r="R10" s="1119">
        <f t="shared" si="8"/>
        <v>0</v>
      </c>
      <c r="S10" s="1120"/>
      <c r="T10" s="1120">
        <f t="shared" si="9"/>
        <v>0</v>
      </c>
      <c r="U10" s="1120"/>
      <c r="V10" s="1120">
        <f t="shared" si="10"/>
        <v>0</v>
      </c>
      <c r="W10" s="1120"/>
      <c r="X10" s="19">
        <f t="shared" si="11"/>
        <v>0</v>
      </c>
      <c r="Y10" s="20">
        <f t="shared" si="0"/>
        <v>6500.1900000000005</v>
      </c>
    </row>
    <row r="11" spans="1:25" ht="37.5" customHeight="1" x14ac:dyDescent="0.25">
      <c r="A11" s="12"/>
      <c r="B11" s="1121"/>
      <c r="C11" s="1120"/>
      <c r="D11" s="1119">
        <f t="shared" si="1"/>
        <v>0</v>
      </c>
      <c r="E11" s="1120"/>
      <c r="F11" s="1120">
        <f t="shared" si="2"/>
        <v>0</v>
      </c>
      <c r="G11" s="1120"/>
      <c r="H11" s="1120">
        <f t="shared" si="3"/>
        <v>0</v>
      </c>
      <c r="I11" s="1120"/>
      <c r="J11" s="1120">
        <f t="shared" si="4"/>
        <v>0</v>
      </c>
      <c r="K11" s="1120"/>
      <c r="L11" s="1119">
        <f t="shared" si="5"/>
        <v>0</v>
      </c>
      <c r="M11" s="1120"/>
      <c r="N11" s="1119">
        <f t="shared" si="6"/>
        <v>0</v>
      </c>
      <c r="O11" s="1120"/>
      <c r="P11" s="1119">
        <f t="shared" si="7"/>
        <v>0</v>
      </c>
      <c r="Q11" s="1119"/>
      <c r="R11" s="1119">
        <f t="shared" si="8"/>
        <v>0</v>
      </c>
      <c r="S11" s="1120"/>
      <c r="T11" s="1120">
        <f>341*S11</f>
        <v>0</v>
      </c>
      <c r="U11" s="1120"/>
      <c r="V11" s="1120">
        <f t="shared" si="10"/>
        <v>0</v>
      </c>
      <c r="W11" s="1120"/>
      <c r="X11" s="19">
        <f t="shared" si="11"/>
        <v>0</v>
      </c>
      <c r="Y11" s="20">
        <f t="shared" si="0"/>
        <v>0</v>
      </c>
    </row>
    <row r="12" spans="1:25" ht="29.25" customHeight="1" x14ac:dyDescent="0.25">
      <c r="A12" s="2235" t="s">
        <v>31</v>
      </c>
      <c r="B12" s="2235"/>
      <c r="C12" s="18">
        <f t="shared" ref="C12:X12" si="12">SUM(C6:C11)</f>
        <v>92247</v>
      </c>
      <c r="D12" s="18">
        <f t="shared" si="12"/>
        <v>89710.207500000004</v>
      </c>
      <c r="E12" s="18">
        <f t="shared" si="12"/>
        <v>20</v>
      </c>
      <c r="F12" s="18">
        <f t="shared" si="12"/>
        <v>1342</v>
      </c>
      <c r="G12" s="18">
        <f t="shared" si="12"/>
        <v>0</v>
      </c>
      <c r="H12" s="18">
        <f t="shared" si="12"/>
        <v>0</v>
      </c>
      <c r="I12" s="18">
        <f t="shared" si="12"/>
        <v>8410</v>
      </c>
      <c r="J12" s="18">
        <f t="shared" si="12"/>
        <v>155585</v>
      </c>
      <c r="K12" s="18">
        <f t="shared" si="12"/>
        <v>0</v>
      </c>
      <c r="L12" s="18">
        <f t="shared" si="12"/>
        <v>0</v>
      </c>
      <c r="M12" s="18">
        <f t="shared" si="12"/>
        <v>10</v>
      </c>
      <c r="N12" s="23">
        <f t="shared" si="12"/>
        <v>476.52500000000003</v>
      </c>
      <c r="O12" s="18">
        <f t="shared" si="12"/>
        <v>1120</v>
      </c>
      <c r="P12" s="23">
        <f t="shared" si="12"/>
        <v>9968</v>
      </c>
      <c r="Q12" s="23">
        <f t="shared" si="12"/>
        <v>0</v>
      </c>
      <c r="R12" s="23">
        <f>SUM(R6:R11)</f>
        <v>0</v>
      </c>
      <c r="S12" s="23">
        <f>SUM(S6:S11)</f>
        <v>1</v>
      </c>
      <c r="T12" s="18">
        <f t="shared" si="12"/>
        <v>241</v>
      </c>
      <c r="U12" s="18">
        <f t="shared" si="12"/>
        <v>0</v>
      </c>
      <c r="V12" s="18">
        <f t="shared" si="12"/>
        <v>0</v>
      </c>
      <c r="W12" s="18">
        <f t="shared" si="12"/>
        <v>0</v>
      </c>
      <c r="X12" s="18">
        <f t="shared" si="12"/>
        <v>0</v>
      </c>
      <c r="Y12" s="20">
        <f t="shared" si="0"/>
        <v>257322.73250000001</v>
      </c>
    </row>
    <row r="14" spans="1:25" ht="43.5" customHeight="1" x14ac:dyDescent="0.25">
      <c r="A14" s="30" t="s">
        <v>32</v>
      </c>
      <c r="B14" s="2236" t="s">
        <v>27</v>
      </c>
      <c r="C14" s="2236"/>
      <c r="D14" s="30" t="s">
        <v>333</v>
      </c>
      <c r="E14" s="30" t="s">
        <v>65</v>
      </c>
      <c r="F14" s="30" t="s">
        <v>34</v>
      </c>
      <c r="G14" s="30" t="s">
        <v>14</v>
      </c>
      <c r="H14" s="469" t="s">
        <v>173</v>
      </c>
      <c r="I14" s="30" t="s">
        <v>17</v>
      </c>
      <c r="J14" s="1128" t="s">
        <v>174</v>
      </c>
      <c r="K14" s="30" t="s">
        <v>36</v>
      </c>
      <c r="L14" s="1128" t="s">
        <v>403</v>
      </c>
      <c r="M14" s="30" t="s">
        <v>429</v>
      </c>
      <c r="N14" s="30" t="s">
        <v>442</v>
      </c>
      <c r="O14" s="1128" t="s">
        <v>114</v>
      </c>
      <c r="P14" s="30" t="s">
        <v>70</v>
      </c>
      <c r="Q14" s="2300" t="s">
        <v>378</v>
      </c>
      <c r="R14" s="2301"/>
      <c r="S14" s="1128" t="s">
        <v>401</v>
      </c>
      <c r="T14" s="2235" t="s">
        <v>46</v>
      </c>
      <c r="U14" s="1122" t="s">
        <v>176</v>
      </c>
      <c r="V14" s="2260">
        <v>78711</v>
      </c>
      <c r="W14" s="2268"/>
      <c r="X14" s="2261"/>
    </row>
    <row r="15" spans="1:25" ht="22.5" customHeight="1" x14ac:dyDescent="0.25">
      <c r="A15" s="100" t="s">
        <v>38</v>
      </c>
      <c r="B15" s="2260">
        <v>559784</v>
      </c>
      <c r="C15" s="2261"/>
      <c r="D15" s="1125">
        <v>200</v>
      </c>
      <c r="E15" s="1125">
        <v>0</v>
      </c>
      <c r="F15" s="1125">
        <v>12500</v>
      </c>
      <c r="G15" s="1125">
        <v>270</v>
      </c>
      <c r="H15" s="1125">
        <v>329</v>
      </c>
      <c r="I15" s="1125">
        <v>20</v>
      </c>
      <c r="J15" s="1125">
        <v>4</v>
      </c>
      <c r="K15" s="1125">
        <v>82</v>
      </c>
      <c r="L15" s="1125">
        <v>0</v>
      </c>
      <c r="M15" s="1125">
        <v>30</v>
      </c>
      <c r="N15" s="1125">
        <v>1400</v>
      </c>
      <c r="O15" s="1125">
        <v>0</v>
      </c>
      <c r="P15" s="1125">
        <v>100</v>
      </c>
      <c r="Q15" s="2260">
        <v>0</v>
      </c>
      <c r="R15" s="2261"/>
      <c r="S15" s="1122">
        <v>6</v>
      </c>
      <c r="T15" s="2235"/>
      <c r="U15" s="1122" t="s">
        <v>64</v>
      </c>
      <c r="V15" s="2262">
        <v>75771</v>
      </c>
      <c r="W15" s="2262"/>
      <c r="X15" s="2262"/>
    </row>
    <row r="16" spans="1:25" ht="24.75" customHeight="1" x14ac:dyDescent="0.25">
      <c r="A16" s="100" t="s">
        <v>39</v>
      </c>
      <c r="B16" s="2260"/>
      <c r="C16" s="2261"/>
      <c r="D16" s="1125"/>
      <c r="E16" s="1125"/>
      <c r="F16" s="1125"/>
      <c r="G16" s="1125"/>
      <c r="H16" s="1125"/>
      <c r="I16" s="1125"/>
      <c r="J16" s="1125"/>
      <c r="K16" s="1125"/>
      <c r="L16" s="1125"/>
      <c r="M16" s="1125"/>
      <c r="N16" s="1125"/>
      <c r="O16" s="1125"/>
      <c r="P16" s="1125"/>
      <c r="Q16" s="2225"/>
      <c r="R16" s="2225"/>
      <c r="S16" s="1125"/>
      <c r="T16" s="2254" t="s">
        <v>55</v>
      </c>
      <c r="U16" s="2254"/>
      <c r="V16" s="2267">
        <f>Y12</f>
        <v>257322.73250000001</v>
      </c>
      <c r="W16" s="2267"/>
      <c r="X16" s="2262"/>
    </row>
    <row r="17" spans="1:25" ht="28.5" customHeight="1" x14ac:dyDescent="0.25">
      <c r="A17" s="101" t="s">
        <v>44</v>
      </c>
      <c r="B17" s="2260"/>
      <c r="C17" s="2261"/>
      <c r="D17" s="1125"/>
      <c r="E17" s="1125"/>
      <c r="F17" s="1125"/>
      <c r="G17" s="1125"/>
      <c r="H17" s="1125"/>
      <c r="I17" s="1125"/>
      <c r="J17" s="1125"/>
      <c r="K17" s="1125"/>
      <c r="L17" s="1125"/>
      <c r="M17" s="1125"/>
      <c r="N17" s="1125"/>
      <c r="O17" s="1125"/>
      <c r="P17" s="1125"/>
      <c r="Q17" s="2225"/>
      <c r="R17" s="2225"/>
      <c r="S17" s="1121"/>
      <c r="T17" s="2294" t="s">
        <v>450</v>
      </c>
      <c r="U17" s="2295"/>
      <c r="V17" s="2296"/>
      <c r="W17" s="2296"/>
      <c r="X17" s="2296"/>
    </row>
    <row r="18" spans="1:25" ht="27" customHeight="1" x14ac:dyDescent="0.25">
      <c r="A18" s="100" t="s">
        <v>40</v>
      </c>
      <c r="B18" s="2264">
        <f>C12</f>
        <v>92247</v>
      </c>
      <c r="C18" s="2261"/>
      <c r="D18" s="1127">
        <f>E12</f>
        <v>20</v>
      </c>
      <c r="E18" s="1127">
        <f>G12</f>
        <v>0</v>
      </c>
      <c r="F18" s="1127">
        <f>I12</f>
        <v>8410</v>
      </c>
      <c r="G18" s="1127">
        <f>K12</f>
        <v>0</v>
      </c>
      <c r="H18" s="1125">
        <v>1</v>
      </c>
      <c r="I18" s="1127">
        <f>U12</f>
        <v>0</v>
      </c>
      <c r="J18" s="1125"/>
      <c r="K18" s="1127">
        <f>W12</f>
        <v>0</v>
      </c>
      <c r="L18" s="1125"/>
      <c r="M18" s="1127">
        <f>M12</f>
        <v>10</v>
      </c>
      <c r="N18" s="1127">
        <f>O12</f>
        <v>1120</v>
      </c>
      <c r="O18" s="1126">
        <f>Q12</f>
        <v>0</v>
      </c>
      <c r="P18" s="1127"/>
      <c r="Q18" s="2262"/>
      <c r="R18" s="2262"/>
      <c r="S18" s="1122"/>
      <c r="T18" s="2254" t="s">
        <v>57</v>
      </c>
      <c r="U18" s="2254"/>
      <c r="V18" s="2262">
        <v>680</v>
      </c>
      <c r="W18" s="2262"/>
      <c r="X18" s="2262"/>
      <c r="Y18" s="2269"/>
    </row>
    <row r="19" spans="1:25" ht="25.5" customHeight="1" x14ac:dyDescent="0.25">
      <c r="A19" s="100" t="s">
        <v>41</v>
      </c>
      <c r="B19" s="2260">
        <f>B15+B16+B17-B18</f>
        <v>467537</v>
      </c>
      <c r="C19" s="2261"/>
      <c r="D19" s="1125">
        <f>D15+D16+D17-D18</f>
        <v>180</v>
      </c>
      <c r="E19" s="1125">
        <f t="shared" ref="E19:N19" si="13">E15+E16+E17-E18</f>
        <v>0</v>
      </c>
      <c r="F19" s="1125">
        <f t="shared" si="13"/>
        <v>4090</v>
      </c>
      <c r="G19" s="1125">
        <f t="shared" si="13"/>
        <v>270</v>
      </c>
      <c r="H19" s="1125">
        <f t="shared" si="13"/>
        <v>328</v>
      </c>
      <c r="I19" s="1125">
        <f t="shared" si="13"/>
        <v>20</v>
      </c>
      <c r="J19" s="1125">
        <f t="shared" si="13"/>
        <v>4</v>
      </c>
      <c r="K19" s="1125">
        <f t="shared" si="13"/>
        <v>82</v>
      </c>
      <c r="L19" s="1125">
        <f t="shared" si="13"/>
        <v>0</v>
      </c>
      <c r="M19" s="1125">
        <f t="shared" si="13"/>
        <v>20</v>
      </c>
      <c r="N19" s="1125">
        <f t="shared" si="13"/>
        <v>280</v>
      </c>
      <c r="O19" s="1125">
        <f>O15+O16+O17-O18</f>
        <v>0</v>
      </c>
      <c r="P19" s="1125">
        <f t="shared" ref="P19:Q19" si="14">P15+P16+P17-P18</f>
        <v>100</v>
      </c>
      <c r="Q19" s="2260">
        <f t="shared" si="14"/>
        <v>0</v>
      </c>
      <c r="R19" s="2261"/>
      <c r="S19" s="1122">
        <f>S15+S16-S17-S18</f>
        <v>6</v>
      </c>
      <c r="T19" s="2256" t="s">
        <v>48</v>
      </c>
      <c r="U19" s="49" t="s">
        <v>58</v>
      </c>
      <c r="V19" s="2262"/>
      <c r="W19" s="2262"/>
      <c r="X19" s="2262"/>
      <c r="Y19" s="2269"/>
    </row>
    <row r="20" spans="1:25" ht="23.25" customHeight="1" x14ac:dyDescent="0.25">
      <c r="A20" s="289" t="s">
        <v>187</v>
      </c>
      <c r="B20" s="2286">
        <f>B19*0.9625</f>
        <v>450004.36249999999</v>
      </c>
      <c r="C20" s="2287"/>
      <c r="D20" s="290">
        <f>D19*66.41</f>
        <v>11953.8</v>
      </c>
      <c r="E20" s="290">
        <f>27.9368*E19</f>
        <v>0</v>
      </c>
      <c r="F20" s="290">
        <f>18.31*F19</f>
        <v>74887.899999999994</v>
      </c>
      <c r="G20" s="290">
        <f>27.9368*G19</f>
        <v>7542.9360000000006</v>
      </c>
      <c r="H20" s="290">
        <f>241*H19</f>
        <v>79048</v>
      </c>
      <c r="I20" s="290">
        <f>323*I19</f>
        <v>6460</v>
      </c>
      <c r="J20" s="290">
        <f>241*J19</f>
        <v>964</v>
      </c>
      <c r="K20" s="290">
        <f>K19*100</f>
        <v>8200</v>
      </c>
      <c r="L20" s="290">
        <f>241*L19</f>
        <v>0</v>
      </c>
      <c r="M20" s="290">
        <f>47.1625*M19</f>
        <v>943.25</v>
      </c>
      <c r="N20" s="290">
        <f>N19*8.81</f>
        <v>2466.8000000000002</v>
      </c>
      <c r="O20" s="290">
        <f>241*O19</f>
        <v>0</v>
      </c>
      <c r="P20" s="290">
        <f>P19*48.2</f>
        <v>4820</v>
      </c>
      <c r="Q20" s="2286">
        <f>341*Q19</f>
        <v>0</v>
      </c>
      <c r="R20" s="2287"/>
      <c r="S20" s="290">
        <f>341*S19</f>
        <v>2046</v>
      </c>
      <c r="T20" s="2257"/>
      <c r="U20" s="49" t="s">
        <v>59</v>
      </c>
      <c r="V20" s="2262"/>
      <c r="W20" s="2262"/>
      <c r="X20" s="2262"/>
      <c r="Y20" s="2269"/>
    </row>
    <row r="21" spans="1:25" ht="32.25" customHeight="1" x14ac:dyDescent="0.25">
      <c r="A21" s="291" t="s">
        <v>186</v>
      </c>
      <c r="B21" s="2293">
        <f>SUM(B20:S20)</f>
        <v>649337.04850000003</v>
      </c>
      <c r="C21" s="2293"/>
      <c r="O21" s="1129"/>
      <c r="P21" s="1129"/>
      <c r="Q21" s="1129"/>
      <c r="R21" s="1129"/>
      <c r="T21" s="2294" t="s">
        <v>451</v>
      </c>
      <c r="U21" s="2295"/>
      <c r="V21" s="2297"/>
      <c r="W21" s="2298"/>
      <c r="X21" s="2299"/>
      <c r="Y21" s="2269"/>
    </row>
    <row r="22" spans="1:25" ht="35.25" customHeight="1" x14ac:dyDescent="0.25">
      <c r="A22" s="15"/>
      <c r="B22" s="2288" t="s">
        <v>49</v>
      </c>
      <c r="C22" s="2291">
        <v>380000</v>
      </c>
      <c r="D22" s="2291"/>
      <c r="E22" s="2291"/>
      <c r="F22" s="2291">
        <f>C22-D22+E22</f>
        <v>380000</v>
      </c>
      <c r="G22" s="1129"/>
      <c r="Q22" s="1129"/>
      <c r="R22" s="1129"/>
      <c r="T22" s="2251" t="s">
        <v>83</v>
      </c>
      <c r="U22" s="50" t="s">
        <v>60</v>
      </c>
      <c r="V22" s="2262"/>
      <c r="W22" s="2262"/>
      <c r="X22" s="2262"/>
      <c r="Y22" s="2269"/>
    </row>
    <row r="23" spans="1:25" ht="39.75" customHeight="1" x14ac:dyDescent="0.25">
      <c r="A23" s="1129"/>
      <c r="B23" s="2289"/>
      <c r="C23" s="2292"/>
      <c r="D23" s="2292"/>
      <c r="E23" s="2292"/>
      <c r="F23" s="2292"/>
      <c r="G23" s="1129"/>
      <c r="Q23" s="1129"/>
      <c r="R23" s="1129"/>
      <c r="T23" s="2252"/>
      <c r="U23" s="50" t="s">
        <v>61</v>
      </c>
      <c r="V23" s="2262"/>
      <c r="W23" s="2262"/>
      <c r="X23" s="2262"/>
      <c r="Y23" s="2269"/>
    </row>
    <row r="24" spans="1:25" ht="48" customHeight="1" x14ac:dyDescent="0.25">
      <c r="A24" s="1129"/>
      <c r="B24" s="2290"/>
      <c r="C24" s="290" t="s">
        <v>46</v>
      </c>
      <c r="D24" s="290" t="s">
        <v>50</v>
      </c>
      <c r="E24" s="290" t="s">
        <v>51</v>
      </c>
      <c r="F24" s="290" t="s">
        <v>52</v>
      </c>
      <c r="G24" s="1129"/>
      <c r="Q24" s="1129"/>
      <c r="R24" s="1129"/>
      <c r="T24" s="2235" t="s">
        <v>47</v>
      </c>
      <c r="U24" s="51" t="s">
        <v>62</v>
      </c>
      <c r="V24" s="2263">
        <f>V14+V16+V17-V18-V19-V20-V22+V23-V21</f>
        <v>335353.73250000004</v>
      </c>
      <c r="W24" s="2263"/>
      <c r="X24" s="2263"/>
      <c r="Y24" s="2269"/>
    </row>
    <row r="25" spans="1:25" ht="40.5" customHeight="1" x14ac:dyDescent="0.25">
      <c r="T25" s="2235"/>
      <c r="U25" s="51" t="s">
        <v>63</v>
      </c>
      <c r="V25" s="2262">
        <f>V15+V22-V23</f>
        <v>75771</v>
      </c>
      <c r="W25" s="2262"/>
      <c r="X25" s="2262"/>
    </row>
    <row r="26" spans="1:25" ht="36" customHeight="1" x14ac:dyDescent="0.25">
      <c r="K26" s="314"/>
    </row>
    <row r="28" spans="1:25" x14ac:dyDescent="0.25">
      <c r="J28" s="14" t="s">
        <v>139</v>
      </c>
    </row>
    <row r="32" spans="1:25" x14ac:dyDescent="0.25">
      <c r="I32" s="2280"/>
      <c r="J32" s="2280"/>
      <c r="K32" s="2280"/>
      <c r="L32" s="2280"/>
    </row>
    <row r="33" spans="9:12" x14ac:dyDescent="0.25">
      <c r="I33" s="1129"/>
      <c r="J33" s="1129"/>
      <c r="K33" s="2280"/>
      <c r="L33" s="2280"/>
    </row>
  </sheetData>
  <mergeCells count="62">
    <mergeCell ref="A1:Y1"/>
    <mergeCell ref="A2:Y2"/>
    <mergeCell ref="T3:Y3"/>
    <mergeCell ref="A4:A5"/>
    <mergeCell ref="B4:B5"/>
    <mergeCell ref="C4:D4"/>
    <mergeCell ref="E4:F4"/>
    <mergeCell ref="G4:H4"/>
    <mergeCell ref="I4:J4"/>
    <mergeCell ref="K4:L4"/>
    <mergeCell ref="Y4:Y5"/>
    <mergeCell ref="M4:N4"/>
    <mergeCell ref="O4:P4"/>
    <mergeCell ref="Q4:R4"/>
    <mergeCell ref="S4:T4"/>
    <mergeCell ref="U4:V4"/>
    <mergeCell ref="W4:X4"/>
    <mergeCell ref="B16:C16"/>
    <mergeCell ref="Q16:R16"/>
    <mergeCell ref="T16:U16"/>
    <mergeCell ref="V16:X16"/>
    <mergeCell ref="A12:B12"/>
    <mergeCell ref="B14:C14"/>
    <mergeCell ref="Q14:R14"/>
    <mergeCell ref="T14:T15"/>
    <mergeCell ref="V14:X14"/>
    <mergeCell ref="B15:C15"/>
    <mergeCell ref="Q15:R15"/>
    <mergeCell ref="V15:X15"/>
    <mergeCell ref="B17:C17"/>
    <mergeCell ref="Q17:R17"/>
    <mergeCell ref="T17:U17"/>
    <mergeCell ref="V17:X17"/>
    <mergeCell ref="B18:C18"/>
    <mergeCell ref="Q18:R18"/>
    <mergeCell ref="T18:U18"/>
    <mergeCell ref="V18:X18"/>
    <mergeCell ref="Y18:Y24"/>
    <mergeCell ref="B19:C19"/>
    <mergeCell ref="Q19:R19"/>
    <mergeCell ref="T19:T20"/>
    <mergeCell ref="V19:X19"/>
    <mergeCell ref="B20:C20"/>
    <mergeCell ref="B22:B24"/>
    <mergeCell ref="C22:C23"/>
    <mergeCell ref="D22:D23"/>
    <mergeCell ref="E22:E23"/>
    <mergeCell ref="F22:F23"/>
    <mergeCell ref="Q20:R20"/>
    <mergeCell ref="V20:X20"/>
    <mergeCell ref="B21:C21"/>
    <mergeCell ref="T21:U21"/>
    <mergeCell ref="V21:X21"/>
    <mergeCell ref="I32:J32"/>
    <mergeCell ref="K32:L32"/>
    <mergeCell ref="K33:L33"/>
    <mergeCell ref="T22:T23"/>
    <mergeCell ref="V22:X22"/>
    <mergeCell ref="V23:X23"/>
    <mergeCell ref="T24:T25"/>
    <mergeCell ref="V24:X24"/>
    <mergeCell ref="V25:X25"/>
  </mergeCells>
  <pageMargins left="0.15748031496063" right="0.15748031496063" top="0" bottom="0" header="0" footer="0"/>
  <pageSetup paperSize="9" scale="45" orientation="landscape" r:id="rId1"/>
</worksheet>
</file>

<file path=xl/worksheets/sheet2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A193A68-9C4C-4C18-8DEA-5DB0B9168BA7}">
  <sheetPr>
    <pageSetUpPr fitToPage="1"/>
  </sheetPr>
  <dimension ref="A1:Y33"/>
  <sheetViews>
    <sheetView topLeftCell="E13" zoomScale="70" zoomScaleNormal="70" zoomScaleSheetLayoutView="100" zoomScalePageLayoutView="68" workbookViewId="0">
      <selection activeCell="O23" sqref="O23"/>
    </sheetView>
  </sheetViews>
  <sheetFormatPr defaultColWidth="9.140625" defaultRowHeight="15" x14ac:dyDescent="0.25"/>
  <cols>
    <col min="1" max="1" width="18.28515625" style="14" customWidth="1"/>
    <col min="2" max="2" width="10.7109375" style="14" customWidth="1"/>
    <col min="3" max="3" width="12.28515625" style="14" customWidth="1"/>
    <col min="4" max="4" width="13.140625" style="14" bestFit="1" customWidth="1"/>
    <col min="5" max="5" width="12" style="14" customWidth="1"/>
    <col min="6" max="6" width="12.5703125" style="14" bestFit="1" customWidth="1"/>
    <col min="7" max="7" width="16" style="14" bestFit="1" customWidth="1"/>
    <col min="8" max="8" width="10.140625" style="14" bestFit="1" customWidth="1"/>
    <col min="9" max="9" width="10.5703125" style="14" bestFit="1" customWidth="1"/>
    <col min="10" max="10" width="10.5703125" style="14" customWidth="1"/>
    <col min="11" max="11" width="10.28515625" style="14" bestFit="1" customWidth="1"/>
    <col min="12" max="12" width="10.42578125" style="14" bestFit="1" customWidth="1"/>
    <col min="13" max="14" width="12" style="14" bestFit="1" customWidth="1"/>
    <col min="15" max="15" width="9" style="14" customWidth="1"/>
    <col min="16" max="16" width="12.85546875" style="14" bestFit="1" customWidth="1"/>
    <col min="17" max="18" width="9.42578125" style="14" customWidth="1"/>
    <col min="19" max="19" width="13.7109375" style="14" customWidth="1"/>
    <col min="20" max="20" width="12.140625" style="14" customWidth="1"/>
    <col min="21" max="21" width="21.7109375" style="14" customWidth="1"/>
    <col min="22" max="22" width="9.85546875" style="14" customWidth="1"/>
    <col min="23" max="23" width="10.140625" style="14" bestFit="1" customWidth="1"/>
    <col min="24" max="24" width="10.28515625" style="14" customWidth="1"/>
    <col min="25" max="25" width="28" style="14" customWidth="1"/>
    <col min="26" max="16384" width="9.140625" style="14"/>
  </cols>
  <sheetData>
    <row r="1" spans="1:25" ht="46.15" customHeight="1" x14ac:dyDescent="0.25">
      <c r="A1" s="2240" t="s">
        <v>148</v>
      </c>
      <c r="B1" s="2240"/>
      <c r="C1" s="2240"/>
      <c r="D1" s="2240"/>
      <c r="E1" s="2240"/>
      <c r="F1" s="2240"/>
      <c r="G1" s="2240"/>
      <c r="H1" s="2240"/>
      <c r="I1" s="2240"/>
      <c r="J1" s="2240"/>
      <c r="K1" s="2240"/>
      <c r="L1" s="2240"/>
      <c r="M1" s="2240"/>
      <c r="N1" s="2240"/>
      <c r="O1" s="2240"/>
      <c r="P1" s="2240"/>
      <c r="Q1" s="2240"/>
      <c r="R1" s="2240"/>
      <c r="S1" s="2240"/>
      <c r="T1" s="2240"/>
      <c r="U1" s="2240"/>
      <c r="V1" s="2240"/>
      <c r="W1" s="2240"/>
      <c r="X1" s="2240"/>
      <c r="Y1" s="2240"/>
    </row>
    <row r="2" spans="1:25" ht="21.6" customHeight="1" x14ac:dyDescent="0.25">
      <c r="A2" s="2241" t="s">
        <v>383</v>
      </c>
      <c r="B2" s="2241"/>
      <c r="C2" s="2241"/>
      <c r="D2" s="2241"/>
      <c r="E2" s="2241"/>
      <c r="F2" s="2241"/>
      <c r="G2" s="2241"/>
      <c r="H2" s="2241"/>
      <c r="I2" s="2241"/>
      <c r="J2" s="2241"/>
      <c r="K2" s="2241"/>
      <c r="L2" s="2241"/>
      <c r="M2" s="2241"/>
      <c r="N2" s="2241"/>
      <c r="O2" s="2241"/>
      <c r="P2" s="2241"/>
      <c r="Q2" s="2241"/>
      <c r="R2" s="2241"/>
      <c r="S2" s="2241"/>
      <c r="T2" s="2241"/>
      <c r="U2" s="2241"/>
      <c r="V2" s="2241"/>
      <c r="W2" s="2241"/>
      <c r="X2" s="2241"/>
      <c r="Y2" s="2241"/>
    </row>
    <row r="3" spans="1:25" ht="21" customHeight="1" x14ac:dyDescent="0.25">
      <c r="A3" s="1130"/>
      <c r="B3" s="1130"/>
      <c r="C3" s="1130"/>
      <c r="D3" s="1130"/>
      <c r="E3" s="1130"/>
      <c r="F3" s="1130"/>
      <c r="G3" s="1130"/>
      <c r="H3" s="1130"/>
      <c r="I3" s="1130"/>
      <c r="J3" s="1130"/>
      <c r="K3" s="1130"/>
      <c r="L3" s="1130"/>
      <c r="M3" s="1130"/>
      <c r="N3" s="1130"/>
      <c r="O3" s="1130"/>
      <c r="P3" s="1130"/>
      <c r="Q3" s="1130"/>
      <c r="R3" s="1130"/>
      <c r="S3" s="1130"/>
      <c r="T3" s="2242" t="s">
        <v>455</v>
      </c>
      <c r="U3" s="2242"/>
      <c r="V3" s="2242"/>
      <c r="W3" s="2242"/>
      <c r="X3" s="2242"/>
      <c r="Y3" s="2242"/>
    </row>
    <row r="4" spans="1:25" s="1130" customFormat="1" ht="18" customHeight="1" x14ac:dyDescent="0.25">
      <c r="A4" s="2243" t="s">
        <v>25</v>
      </c>
      <c r="B4" s="2243" t="s">
        <v>26</v>
      </c>
      <c r="C4" s="2244" t="s">
        <v>27</v>
      </c>
      <c r="D4" s="2244"/>
      <c r="E4" s="2244" t="s">
        <v>342</v>
      </c>
      <c r="F4" s="2244"/>
      <c r="G4" s="2244" t="s">
        <v>65</v>
      </c>
      <c r="H4" s="2244"/>
      <c r="I4" s="2244" t="s">
        <v>29</v>
      </c>
      <c r="J4" s="2244"/>
      <c r="K4" s="2245" t="s">
        <v>14</v>
      </c>
      <c r="L4" s="2246"/>
      <c r="M4" s="2245" t="s">
        <v>429</v>
      </c>
      <c r="N4" s="2246"/>
      <c r="O4" s="2245" t="s">
        <v>441</v>
      </c>
      <c r="P4" s="2246"/>
      <c r="Q4" s="2245" t="s">
        <v>114</v>
      </c>
      <c r="R4" s="2246"/>
      <c r="S4" s="2244" t="s">
        <v>35</v>
      </c>
      <c r="T4" s="2244"/>
      <c r="U4" s="2245" t="s">
        <v>17</v>
      </c>
      <c r="V4" s="2246"/>
      <c r="W4" s="2247" t="s">
        <v>36</v>
      </c>
      <c r="X4" s="2248"/>
      <c r="Y4" s="2238" t="s">
        <v>30</v>
      </c>
    </row>
    <row r="5" spans="1:25" s="1130" customFormat="1" ht="25.5" customHeight="1" x14ac:dyDescent="0.25">
      <c r="A5" s="2243"/>
      <c r="B5" s="2243"/>
      <c r="C5" s="1132" t="s">
        <v>42</v>
      </c>
      <c r="D5" s="1132" t="s">
        <v>43</v>
      </c>
      <c r="E5" s="1132" t="s">
        <v>42</v>
      </c>
      <c r="F5" s="1132" t="s">
        <v>43</v>
      </c>
      <c r="G5" s="1132" t="s">
        <v>42</v>
      </c>
      <c r="H5" s="1132" t="s">
        <v>43</v>
      </c>
      <c r="I5" s="1132" t="s">
        <v>42</v>
      </c>
      <c r="J5" s="1132" t="s">
        <v>43</v>
      </c>
      <c r="K5" s="1132" t="s">
        <v>42</v>
      </c>
      <c r="L5" s="1132" t="s">
        <v>43</v>
      </c>
      <c r="M5" s="1132" t="s">
        <v>42</v>
      </c>
      <c r="N5" s="1132" t="s">
        <v>43</v>
      </c>
      <c r="O5" s="1132" t="s">
        <v>42</v>
      </c>
      <c r="P5" s="1132" t="s">
        <v>43</v>
      </c>
      <c r="Q5" s="1132" t="s">
        <v>42</v>
      </c>
      <c r="R5" s="1132" t="s">
        <v>43</v>
      </c>
      <c r="S5" s="33" t="s">
        <v>42</v>
      </c>
      <c r="T5" s="33" t="s">
        <v>43</v>
      </c>
      <c r="U5" s="30" t="s">
        <v>42</v>
      </c>
      <c r="V5" s="30" t="s">
        <v>43</v>
      </c>
      <c r="W5" s="30" t="s">
        <v>42</v>
      </c>
      <c r="X5" s="30" t="s">
        <v>43</v>
      </c>
      <c r="Y5" s="2239"/>
    </row>
    <row r="6" spans="1:25" ht="34.5" customHeight="1" x14ac:dyDescent="0.25">
      <c r="A6" s="12">
        <v>1409935200</v>
      </c>
      <c r="B6" s="1131" t="s">
        <v>71</v>
      </c>
      <c r="C6" s="1134">
        <v>32896</v>
      </c>
      <c r="D6" s="1135">
        <f>0.9725*C6</f>
        <v>31991.360000000001</v>
      </c>
      <c r="E6" s="1134"/>
      <c r="F6" s="1135">
        <f>67.1*E6</f>
        <v>0</v>
      </c>
      <c r="G6" s="1134"/>
      <c r="H6" s="1134">
        <f>28.2*G6</f>
        <v>0</v>
      </c>
      <c r="I6" s="1134">
        <v>370</v>
      </c>
      <c r="J6" s="1134">
        <f>18.5*I6</f>
        <v>6845</v>
      </c>
      <c r="K6" s="1134"/>
      <c r="L6" s="1135">
        <f>28.2368*K6</f>
        <v>0</v>
      </c>
      <c r="M6" s="1134"/>
      <c r="N6" s="1135">
        <f>M6*47.6525</f>
        <v>0</v>
      </c>
      <c r="O6" s="1134"/>
      <c r="P6" s="1135">
        <f>O6*8.9</f>
        <v>0</v>
      </c>
      <c r="Q6" s="1135"/>
      <c r="R6" s="1135">
        <f>241*Q6</f>
        <v>0</v>
      </c>
      <c r="S6" s="1134"/>
      <c r="T6" s="1134">
        <f>241*S6</f>
        <v>0</v>
      </c>
      <c r="U6" s="1134"/>
      <c r="V6" s="1134">
        <f>332*U6</f>
        <v>0</v>
      </c>
      <c r="W6" s="1134"/>
      <c r="X6" s="19">
        <f>W6*100</f>
        <v>0</v>
      </c>
      <c r="Y6" s="20">
        <f t="shared" ref="Y6:Y12" si="0">D6+F6+H6+J6+L6+N6+P6+R6+T6+V6+X6</f>
        <v>38836.36</v>
      </c>
    </row>
    <row r="7" spans="1:25" ht="31.5" customHeight="1" x14ac:dyDescent="0.25">
      <c r="A7" s="12">
        <v>1984225578</v>
      </c>
      <c r="B7" s="1131" t="s">
        <v>72</v>
      </c>
      <c r="C7" s="1134">
        <v>25997</v>
      </c>
      <c r="D7" s="1135">
        <f t="shared" ref="D7:D11" si="1">0.9725*C7</f>
        <v>25282.0825</v>
      </c>
      <c r="E7" s="1134"/>
      <c r="F7" s="1134">
        <f t="shared" ref="F7:F11" si="2">67.1*E7</f>
        <v>0</v>
      </c>
      <c r="G7" s="1134"/>
      <c r="H7" s="1134">
        <f t="shared" ref="H7:H11" si="3">28.2*G7</f>
        <v>0</v>
      </c>
      <c r="I7" s="1134">
        <v>500</v>
      </c>
      <c r="J7" s="1134">
        <f t="shared" ref="J7:J11" si="4">18.5*I7</f>
        <v>9250</v>
      </c>
      <c r="K7" s="1134"/>
      <c r="L7" s="1135">
        <f t="shared" ref="L7:L11" si="5">28.2368*K7</f>
        <v>0</v>
      </c>
      <c r="M7" s="1134"/>
      <c r="N7" s="1135">
        <f t="shared" ref="N7:N11" si="6">M7*47.6525</f>
        <v>0</v>
      </c>
      <c r="O7" s="1134"/>
      <c r="P7" s="1135">
        <f t="shared" ref="P7:P11" si="7">O7*8.9</f>
        <v>0</v>
      </c>
      <c r="Q7" s="1135"/>
      <c r="R7" s="1135">
        <f t="shared" ref="R7:R11" si="8">241*Q7</f>
        <v>0</v>
      </c>
      <c r="S7" s="1134">
        <v>10</v>
      </c>
      <c r="T7" s="1134">
        <f t="shared" ref="T7:T10" si="9">241*S7</f>
        <v>2410</v>
      </c>
      <c r="U7" s="1134"/>
      <c r="V7" s="1134">
        <f t="shared" ref="V7:V11" si="10">332*U7</f>
        <v>0</v>
      </c>
      <c r="W7" s="1134"/>
      <c r="X7" s="19">
        <f t="shared" ref="X7:X11" si="11">W7*100</f>
        <v>0</v>
      </c>
      <c r="Y7" s="20">
        <f t="shared" si="0"/>
        <v>36942.082500000004</v>
      </c>
    </row>
    <row r="8" spans="1:25" ht="35.25" customHeight="1" x14ac:dyDescent="0.25">
      <c r="A8" s="12">
        <v>1967020280</v>
      </c>
      <c r="B8" s="1131" t="s">
        <v>427</v>
      </c>
      <c r="C8" s="1134">
        <v>27024</v>
      </c>
      <c r="D8" s="1135">
        <f t="shared" si="1"/>
        <v>26280.84</v>
      </c>
      <c r="E8" s="1134"/>
      <c r="F8" s="1134">
        <f t="shared" si="2"/>
        <v>0</v>
      </c>
      <c r="G8" s="1134"/>
      <c r="H8" s="1135">
        <f t="shared" si="3"/>
        <v>0</v>
      </c>
      <c r="I8" s="1134">
        <v>760</v>
      </c>
      <c r="J8" s="1134">
        <f t="shared" si="4"/>
        <v>14060</v>
      </c>
      <c r="K8" s="1134"/>
      <c r="L8" s="1135">
        <f t="shared" si="5"/>
        <v>0</v>
      </c>
      <c r="M8" s="1134">
        <v>17</v>
      </c>
      <c r="N8" s="1135">
        <f t="shared" si="6"/>
        <v>810.09250000000009</v>
      </c>
      <c r="O8" s="1134"/>
      <c r="P8" s="1135">
        <f t="shared" si="7"/>
        <v>0</v>
      </c>
      <c r="Q8" s="1135"/>
      <c r="R8" s="1135">
        <f t="shared" si="8"/>
        <v>0</v>
      </c>
      <c r="S8" s="1134"/>
      <c r="T8" s="1134">
        <f t="shared" si="9"/>
        <v>0</v>
      </c>
      <c r="U8" s="1134"/>
      <c r="V8" s="1134">
        <f t="shared" si="10"/>
        <v>0</v>
      </c>
      <c r="W8" s="1134"/>
      <c r="X8" s="19">
        <f t="shared" si="11"/>
        <v>0</v>
      </c>
      <c r="Y8" s="20">
        <f t="shared" si="0"/>
        <v>41150.932499999995</v>
      </c>
    </row>
    <row r="9" spans="1:25" ht="38.25" customHeight="1" x14ac:dyDescent="0.25">
      <c r="A9" s="12">
        <v>1984225580</v>
      </c>
      <c r="B9" s="1131" t="s">
        <v>75</v>
      </c>
      <c r="C9" s="1134">
        <v>44097</v>
      </c>
      <c r="D9" s="1135">
        <f t="shared" si="1"/>
        <v>42884.332500000004</v>
      </c>
      <c r="E9" s="1134"/>
      <c r="F9" s="1134">
        <f t="shared" si="2"/>
        <v>0</v>
      </c>
      <c r="G9" s="1134"/>
      <c r="H9" s="1134">
        <f t="shared" si="3"/>
        <v>0</v>
      </c>
      <c r="I9" s="1134">
        <v>630</v>
      </c>
      <c r="J9" s="1134">
        <f t="shared" si="4"/>
        <v>11655</v>
      </c>
      <c r="K9" s="1134"/>
      <c r="L9" s="1135">
        <f t="shared" si="5"/>
        <v>0</v>
      </c>
      <c r="M9" s="1134"/>
      <c r="N9" s="1135">
        <f t="shared" si="6"/>
        <v>0</v>
      </c>
      <c r="O9" s="1134"/>
      <c r="P9" s="1135">
        <f t="shared" si="7"/>
        <v>0</v>
      </c>
      <c r="Q9" s="1135"/>
      <c r="R9" s="1135">
        <f t="shared" si="8"/>
        <v>0</v>
      </c>
      <c r="S9" s="1134">
        <v>17</v>
      </c>
      <c r="T9" s="1134">
        <f t="shared" si="9"/>
        <v>4097</v>
      </c>
      <c r="U9" s="1134"/>
      <c r="V9" s="1134">
        <f t="shared" si="10"/>
        <v>0</v>
      </c>
      <c r="W9" s="1134"/>
      <c r="X9" s="19">
        <f t="shared" si="11"/>
        <v>0</v>
      </c>
      <c r="Y9" s="20">
        <f t="shared" si="0"/>
        <v>58636.332500000004</v>
      </c>
    </row>
    <row r="10" spans="1:25" ht="35.25" customHeight="1" x14ac:dyDescent="0.25">
      <c r="A10" s="12">
        <v>1409935199</v>
      </c>
      <c r="C10" s="1134"/>
      <c r="D10" s="1135">
        <f t="shared" si="1"/>
        <v>0</v>
      </c>
      <c r="E10" s="1134"/>
      <c r="F10" s="1134">
        <f t="shared" si="2"/>
        <v>0</v>
      </c>
      <c r="G10" s="1134"/>
      <c r="H10" s="1134">
        <f t="shared" si="3"/>
        <v>0</v>
      </c>
      <c r="I10" s="1134"/>
      <c r="J10" s="1134">
        <f t="shared" si="4"/>
        <v>0</v>
      </c>
      <c r="K10" s="1134"/>
      <c r="L10" s="1135">
        <f t="shared" si="5"/>
        <v>0</v>
      </c>
      <c r="M10" s="1134"/>
      <c r="N10" s="1135">
        <f t="shared" si="6"/>
        <v>0</v>
      </c>
      <c r="O10" s="1134"/>
      <c r="P10" s="1135">
        <f t="shared" si="7"/>
        <v>0</v>
      </c>
      <c r="Q10" s="1135"/>
      <c r="R10" s="1135">
        <f t="shared" si="8"/>
        <v>0</v>
      </c>
      <c r="S10" s="1134"/>
      <c r="T10" s="1134">
        <f t="shared" si="9"/>
        <v>0</v>
      </c>
      <c r="U10" s="1134"/>
      <c r="V10" s="1134">
        <f t="shared" si="10"/>
        <v>0</v>
      </c>
      <c r="W10" s="1134"/>
      <c r="X10" s="19">
        <f t="shared" si="11"/>
        <v>0</v>
      </c>
      <c r="Y10" s="20">
        <f t="shared" si="0"/>
        <v>0</v>
      </c>
    </row>
    <row r="11" spans="1:25" ht="37.5" customHeight="1" x14ac:dyDescent="0.25">
      <c r="A11" s="12"/>
      <c r="B11" s="1133"/>
      <c r="C11" s="1134"/>
      <c r="D11" s="1135">
        <f t="shared" si="1"/>
        <v>0</v>
      </c>
      <c r="E11" s="1134"/>
      <c r="F11" s="1134">
        <f t="shared" si="2"/>
        <v>0</v>
      </c>
      <c r="G11" s="1134"/>
      <c r="H11" s="1134">
        <f t="shared" si="3"/>
        <v>0</v>
      </c>
      <c r="I11" s="1134"/>
      <c r="J11" s="1134">
        <f t="shared" si="4"/>
        <v>0</v>
      </c>
      <c r="K11" s="1134"/>
      <c r="L11" s="1135">
        <f t="shared" si="5"/>
        <v>0</v>
      </c>
      <c r="M11" s="1134"/>
      <c r="N11" s="1135">
        <f t="shared" si="6"/>
        <v>0</v>
      </c>
      <c r="O11" s="1134"/>
      <c r="P11" s="1135">
        <f t="shared" si="7"/>
        <v>0</v>
      </c>
      <c r="Q11" s="1135"/>
      <c r="R11" s="1135">
        <f t="shared" si="8"/>
        <v>0</v>
      </c>
      <c r="S11" s="1134"/>
      <c r="T11" s="1134">
        <f>341*S11</f>
        <v>0</v>
      </c>
      <c r="U11" s="1134"/>
      <c r="V11" s="1134">
        <f t="shared" si="10"/>
        <v>0</v>
      </c>
      <c r="W11" s="1134"/>
      <c r="X11" s="19">
        <f t="shared" si="11"/>
        <v>0</v>
      </c>
      <c r="Y11" s="20">
        <f t="shared" si="0"/>
        <v>0</v>
      </c>
    </row>
    <row r="12" spans="1:25" ht="29.25" customHeight="1" x14ac:dyDescent="0.25">
      <c r="A12" s="2235" t="s">
        <v>31</v>
      </c>
      <c r="B12" s="2235"/>
      <c r="C12" s="18">
        <f t="shared" ref="C12:X12" si="12">SUM(C6:C11)</f>
        <v>130014</v>
      </c>
      <c r="D12" s="18">
        <f t="shared" si="12"/>
        <v>126438.61500000001</v>
      </c>
      <c r="E12" s="18">
        <f t="shared" si="12"/>
        <v>0</v>
      </c>
      <c r="F12" s="18">
        <f t="shared" si="12"/>
        <v>0</v>
      </c>
      <c r="G12" s="18">
        <f t="shared" si="12"/>
        <v>0</v>
      </c>
      <c r="H12" s="18">
        <f t="shared" si="12"/>
        <v>0</v>
      </c>
      <c r="I12" s="18">
        <f t="shared" si="12"/>
        <v>2260</v>
      </c>
      <c r="J12" s="18">
        <f t="shared" si="12"/>
        <v>41810</v>
      </c>
      <c r="K12" s="18">
        <f t="shared" si="12"/>
        <v>0</v>
      </c>
      <c r="L12" s="18">
        <f t="shared" si="12"/>
        <v>0</v>
      </c>
      <c r="M12" s="18">
        <f t="shared" si="12"/>
        <v>17</v>
      </c>
      <c r="N12" s="23">
        <f t="shared" si="12"/>
        <v>810.09250000000009</v>
      </c>
      <c r="O12" s="18">
        <f t="shared" si="12"/>
        <v>0</v>
      </c>
      <c r="P12" s="23">
        <f t="shared" si="12"/>
        <v>0</v>
      </c>
      <c r="Q12" s="23">
        <f t="shared" si="12"/>
        <v>0</v>
      </c>
      <c r="R12" s="23">
        <f>SUM(R6:R11)</f>
        <v>0</v>
      </c>
      <c r="S12" s="23">
        <f>SUM(S6:S11)</f>
        <v>27</v>
      </c>
      <c r="T12" s="18">
        <f t="shared" si="12"/>
        <v>6507</v>
      </c>
      <c r="U12" s="18">
        <f t="shared" si="12"/>
        <v>0</v>
      </c>
      <c r="V12" s="18">
        <f t="shared" si="12"/>
        <v>0</v>
      </c>
      <c r="W12" s="18">
        <f t="shared" si="12"/>
        <v>0</v>
      </c>
      <c r="X12" s="18">
        <f t="shared" si="12"/>
        <v>0</v>
      </c>
      <c r="Y12" s="20">
        <f t="shared" si="0"/>
        <v>175565.70749999999</v>
      </c>
    </row>
    <row r="14" spans="1:25" ht="43.5" customHeight="1" x14ac:dyDescent="0.25">
      <c r="A14" s="30" t="s">
        <v>32</v>
      </c>
      <c r="B14" s="2236" t="s">
        <v>27</v>
      </c>
      <c r="C14" s="2236"/>
      <c r="D14" s="30" t="s">
        <v>333</v>
      </c>
      <c r="E14" s="30" t="s">
        <v>65</v>
      </c>
      <c r="F14" s="30" t="s">
        <v>34</v>
      </c>
      <c r="G14" s="30" t="s">
        <v>14</v>
      </c>
      <c r="H14" s="469" t="s">
        <v>173</v>
      </c>
      <c r="I14" s="30" t="s">
        <v>17</v>
      </c>
      <c r="J14" s="1139" t="s">
        <v>174</v>
      </c>
      <c r="K14" s="30" t="s">
        <v>36</v>
      </c>
      <c r="L14" s="1139" t="s">
        <v>403</v>
      </c>
      <c r="M14" s="30" t="s">
        <v>429</v>
      </c>
      <c r="N14" s="30" t="s">
        <v>442</v>
      </c>
      <c r="O14" s="1139" t="s">
        <v>114</v>
      </c>
      <c r="P14" s="30" t="s">
        <v>70</v>
      </c>
      <c r="Q14" s="2300" t="s">
        <v>378</v>
      </c>
      <c r="R14" s="2301"/>
      <c r="S14" s="1139" t="s">
        <v>401</v>
      </c>
      <c r="T14" s="2235" t="s">
        <v>46</v>
      </c>
      <c r="U14" s="1131" t="s">
        <v>176</v>
      </c>
      <c r="V14" s="2260">
        <v>335354</v>
      </c>
      <c r="W14" s="2268"/>
      <c r="X14" s="2261"/>
    </row>
    <row r="15" spans="1:25" ht="22.5" customHeight="1" x14ac:dyDescent="0.25">
      <c r="A15" s="100" t="s">
        <v>38</v>
      </c>
      <c r="B15" s="2260">
        <v>467537</v>
      </c>
      <c r="C15" s="2261"/>
      <c r="D15" s="1136">
        <v>180</v>
      </c>
      <c r="E15" s="1136">
        <v>0</v>
      </c>
      <c r="F15" s="1136">
        <v>4090</v>
      </c>
      <c r="G15" s="1136">
        <v>270</v>
      </c>
      <c r="H15" s="1136">
        <v>328</v>
      </c>
      <c r="I15" s="1136">
        <v>20</v>
      </c>
      <c r="J15" s="1136">
        <v>4</v>
      </c>
      <c r="K15" s="1136">
        <v>82</v>
      </c>
      <c r="L15" s="1136">
        <v>0</v>
      </c>
      <c r="M15" s="1136">
        <v>20</v>
      </c>
      <c r="N15" s="1136">
        <v>280</v>
      </c>
      <c r="O15" s="1136">
        <v>0</v>
      </c>
      <c r="P15" s="1136">
        <v>100</v>
      </c>
      <c r="Q15" s="2260">
        <v>0</v>
      </c>
      <c r="R15" s="2261"/>
      <c r="S15" s="1131">
        <v>6</v>
      </c>
      <c r="T15" s="2235"/>
      <c r="U15" s="1131" t="s">
        <v>64</v>
      </c>
      <c r="V15" s="2262">
        <v>75771</v>
      </c>
      <c r="W15" s="2262"/>
      <c r="X15" s="2262"/>
    </row>
    <row r="16" spans="1:25" ht="24.75" customHeight="1" x14ac:dyDescent="0.25">
      <c r="A16" s="100" t="s">
        <v>39</v>
      </c>
      <c r="B16" s="2260"/>
      <c r="C16" s="2261"/>
      <c r="D16" s="1136"/>
      <c r="E16" s="1136"/>
      <c r="F16" s="1136">
        <v>17500</v>
      </c>
      <c r="G16" s="1136"/>
      <c r="H16" s="1136"/>
      <c r="I16" s="1136"/>
      <c r="J16" s="1136"/>
      <c r="K16" s="1136"/>
      <c r="L16" s="1136"/>
      <c r="M16" s="1136"/>
      <c r="N16" s="1136"/>
      <c r="O16" s="1136"/>
      <c r="P16" s="1136"/>
      <c r="Q16" s="2225"/>
      <c r="R16" s="2225"/>
      <c r="S16" s="1136"/>
      <c r="T16" s="2254" t="s">
        <v>55</v>
      </c>
      <c r="U16" s="2254"/>
      <c r="V16" s="2267">
        <f>Y12</f>
        <v>175565.70749999999</v>
      </c>
      <c r="W16" s="2267"/>
      <c r="X16" s="2262"/>
    </row>
    <row r="17" spans="1:25" ht="28.5" customHeight="1" x14ac:dyDescent="0.25">
      <c r="A17" s="101" t="s">
        <v>44</v>
      </c>
      <c r="B17" s="2260">
        <v>16223</v>
      </c>
      <c r="C17" s="2261"/>
      <c r="D17" s="1136"/>
      <c r="E17" s="1136"/>
      <c r="F17" s="1136"/>
      <c r="G17" s="1136"/>
      <c r="H17" s="1136"/>
      <c r="I17" s="1136"/>
      <c r="J17" s="1136"/>
      <c r="K17" s="1136"/>
      <c r="L17" s="1136"/>
      <c r="M17" s="1136"/>
      <c r="N17" s="1136"/>
      <c r="O17" s="1136"/>
      <c r="P17" s="1136"/>
      <c r="Q17" s="2225"/>
      <c r="R17" s="2225"/>
      <c r="S17" s="1133"/>
      <c r="T17" s="2294" t="s">
        <v>450</v>
      </c>
      <c r="U17" s="2295"/>
      <c r="V17" s="2296"/>
      <c r="W17" s="2296"/>
      <c r="X17" s="2296"/>
    </row>
    <row r="18" spans="1:25" ht="27" customHeight="1" x14ac:dyDescent="0.25">
      <c r="A18" s="100" t="s">
        <v>40</v>
      </c>
      <c r="B18" s="2264">
        <f>C12</f>
        <v>130014</v>
      </c>
      <c r="C18" s="2261"/>
      <c r="D18" s="1137">
        <f>E12</f>
        <v>0</v>
      </c>
      <c r="E18" s="1137">
        <f>G12</f>
        <v>0</v>
      </c>
      <c r="F18" s="1137">
        <f>I12</f>
        <v>2260</v>
      </c>
      <c r="G18" s="1137">
        <f>K12</f>
        <v>0</v>
      </c>
      <c r="H18" s="1136">
        <v>27</v>
      </c>
      <c r="I18" s="1137">
        <f>U12</f>
        <v>0</v>
      </c>
      <c r="J18" s="1136"/>
      <c r="K18" s="1137">
        <f>W12</f>
        <v>0</v>
      </c>
      <c r="L18" s="1136"/>
      <c r="M18" s="1137">
        <f>M12</f>
        <v>17</v>
      </c>
      <c r="N18" s="1137">
        <f>O12</f>
        <v>0</v>
      </c>
      <c r="O18" s="1138">
        <f>Q12</f>
        <v>0</v>
      </c>
      <c r="P18" s="1137"/>
      <c r="Q18" s="2262"/>
      <c r="R18" s="2262"/>
      <c r="S18" s="1131"/>
      <c r="T18" s="2254" t="s">
        <v>57</v>
      </c>
      <c r="U18" s="2254"/>
      <c r="V18" s="2262">
        <v>4530</v>
      </c>
      <c r="W18" s="2262"/>
      <c r="X18" s="2262"/>
      <c r="Y18" s="2269"/>
    </row>
    <row r="19" spans="1:25" ht="25.5" customHeight="1" x14ac:dyDescent="0.25">
      <c r="A19" s="100" t="s">
        <v>41</v>
      </c>
      <c r="B19" s="2260">
        <f>B15+B16+B17-B18</f>
        <v>353746</v>
      </c>
      <c r="C19" s="2261"/>
      <c r="D19" s="1136">
        <f>D15+D16+D17-D18</f>
        <v>180</v>
      </c>
      <c r="E19" s="1136">
        <f t="shared" ref="E19:N19" si="13">E15+E16+E17-E18</f>
        <v>0</v>
      </c>
      <c r="F19" s="1136">
        <f t="shared" si="13"/>
        <v>19330</v>
      </c>
      <c r="G19" s="1136">
        <f t="shared" si="13"/>
        <v>270</v>
      </c>
      <c r="H19" s="1136">
        <f t="shared" si="13"/>
        <v>301</v>
      </c>
      <c r="I19" s="1136">
        <f t="shared" si="13"/>
        <v>20</v>
      </c>
      <c r="J19" s="1136">
        <f t="shared" si="13"/>
        <v>4</v>
      </c>
      <c r="K19" s="1136">
        <f t="shared" si="13"/>
        <v>82</v>
      </c>
      <c r="L19" s="1136">
        <f t="shared" si="13"/>
        <v>0</v>
      </c>
      <c r="M19" s="1136">
        <f t="shared" si="13"/>
        <v>3</v>
      </c>
      <c r="N19" s="1136">
        <f t="shared" si="13"/>
        <v>280</v>
      </c>
      <c r="O19" s="1136">
        <f>O15+O16+O17-O18</f>
        <v>0</v>
      </c>
      <c r="P19" s="1136">
        <f t="shared" ref="P19:Q19" si="14">P15+P16+P17-P18</f>
        <v>100</v>
      </c>
      <c r="Q19" s="2260">
        <f t="shared" si="14"/>
        <v>0</v>
      </c>
      <c r="R19" s="2261"/>
      <c r="S19" s="1131">
        <f>S15+S16-S17-S18</f>
        <v>6</v>
      </c>
      <c r="T19" s="2256" t="s">
        <v>48</v>
      </c>
      <c r="U19" s="49" t="s">
        <v>58</v>
      </c>
      <c r="V19" s="2262">
        <v>380000</v>
      </c>
      <c r="W19" s="2262"/>
      <c r="X19" s="2262"/>
      <c r="Y19" s="2269"/>
    </row>
    <row r="20" spans="1:25" ht="23.25" customHeight="1" x14ac:dyDescent="0.25">
      <c r="A20" s="289" t="s">
        <v>187</v>
      </c>
      <c r="B20" s="2286">
        <f>B19*0.9625</f>
        <v>340480.52500000002</v>
      </c>
      <c r="C20" s="2287"/>
      <c r="D20" s="290">
        <f>D19*66.41</f>
        <v>11953.8</v>
      </c>
      <c r="E20" s="290">
        <f>27.9368*E19</f>
        <v>0</v>
      </c>
      <c r="F20" s="290">
        <f>18.31*F19</f>
        <v>353932.3</v>
      </c>
      <c r="G20" s="290">
        <f>27.9368*G19</f>
        <v>7542.9360000000006</v>
      </c>
      <c r="H20" s="290">
        <f>241*H19</f>
        <v>72541</v>
      </c>
      <c r="I20" s="290">
        <f>323*I19</f>
        <v>6460</v>
      </c>
      <c r="J20" s="290">
        <f>241*J19</f>
        <v>964</v>
      </c>
      <c r="K20" s="290">
        <f>K19*100</f>
        <v>8200</v>
      </c>
      <c r="L20" s="290">
        <f>241*L19</f>
        <v>0</v>
      </c>
      <c r="M20" s="290">
        <f>47.1625*M19</f>
        <v>141.48750000000001</v>
      </c>
      <c r="N20" s="290">
        <f>N19*8.81</f>
        <v>2466.8000000000002</v>
      </c>
      <c r="O20" s="290">
        <f>241*O19</f>
        <v>0</v>
      </c>
      <c r="P20" s="290">
        <f>P19*48.2</f>
        <v>4820</v>
      </c>
      <c r="Q20" s="2286">
        <f>341*Q19</f>
        <v>0</v>
      </c>
      <c r="R20" s="2287"/>
      <c r="S20" s="290">
        <f>341*S19</f>
        <v>2046</v>
      </c>
      <c r="T20" s="2257"/>
      <c r="U20" s="49" t="s">
        <v>59</v>
      </c>
      <c r="V20" s="2262"/>
      <c r="W20" s="2262"/>
      <c r="X20" s="2262"/>
      <c r="Y20" s="2269"/>
    </row>
    <row r="21" spans="1:25" ht="32.25" customHeight="1" x14ac:dyDescent="0.25">
      <c r="A21" s="291" t="s">
        <v>186</v>
      </c>
      <c r="B21" s="2293">
        <f>SUM(B20:S20)</f>
        <v>811548.84850000008</v>
      </c>
      <c r="C21" s="2293"/>
      <c r="O21" s="1140"/>
      <c r="P21" s="1140"/>
      <c r="Q21" s="1140"/>
      <c r="R21" s="1140"/>
      <c r="T21" s="2294" t="s">
        <v>451</v>
      </c>
      <c r="U21" s="2295"/>
      <c r="V21" s="2297"/>
      <c r="W21" s="2298"/>
      <c r="X21" s="2299"/>
      <c r="Y21" s="2269"/>
    </row>
    <row r="22" spans="1:25" ht="35.25" customHeight="1" x14ac:dyDescent="0.25">
      <c r="A22" s="15"/>
      <c r="B22" s="2288" t="s">
        <v>49</v>
      </c>
      <c r="C22" s="2291">
        <v>380000</v>
      </c>
      <c r="D22" s="2291">
        <v>380000</v>
      </c>
      <c r="E22" s="2291">
        <v>320425</v>
      </c>
      <c r="F22" s="2291">
        <f>C22-D22+E22</f>
        <v>320425</v>
      </c>
      <c r="G22" s="1140"/>
      <c r="Q22" s="1140"/>
      <c r="R22" s="1140"/>
      <c r="T22" s="2251" t="s">
        <v>83</v>
      </c>
      <c r="U22" s="50" t="s">
        <v>60</v>
      </c>
      <c r="V22" s="2262">
        <v>443560</v>
      </c>
      <c r="W22" s="2262"/>
      <c r="X22" s="2262"/>
      <c r="Y22" s="2269"/>
    </row>
    <row r="23" spans="1:25" ht="39.75" customHeight="1" x14ac:dyDescent="0.25">
      <c r="A23" s="1140"/>
      <c r="B23" s="2289"/>
      <c r="C23" s="2292"/>
      <c r="D23" s="2292"/>
      <c r="E23" s="2292"/>
      <c r="F23" s="2292"/>
      <c r="G23" s="1140"/>
      <c r="Q23" s="1140"/>
      <c r="R23" s="1140"/>
      <c r="T23" s="2252"/>
      <c r="U23" s="50" t="s">
        <v>61</v>
      </c>
      <c r="V23" s="2262">
        <v>380000</v>
      </c>
      <c r="W23" s="2262"/>
      <c r="X23" s="2262"/>
      <c r="Y23" s="2269"/>
    </row>
    <row r="24" spans="1:25" ht="48" customHeight="1" x14ac:dyDescent="0.25">
      <c r="A24" s="1140"/>
      <c r="B24" s="2290"/>
      <c r="C24" s="290" t="s">
        <v>46</v>
      </c>
      <c r="D24" s="290" t="s">
        <v>50</v>
      </c>
      <c r="E24" s="290" t="s">
        <v>51</v>
      </c>
      <c r="F24" s="290" t="s">
        <v>52</v>
      </c>
      <c r="G24" s="1140"/>
      <c r="Q24" s="1140"/>
      <c r="R24" s="1140"/>
      <c r="T24" s="2235" t="s">
        <v>47</v>
      </c>
      <c r="U24" s="51" t="s">
        <v>62</v>
      </c>
      <c r="V24" s="2263">
        <f>V14+V16+V17-V18-V19-V20-V22+V23-V21</f>
        <v>62829.707500000019</v>
      </c>
      <c r="W24" s="2263"/>
      <c r="X24" s="2263"/>
      <c r="Y24" s="2269"/>
    </row>
    <row r="25" spans="1:25" ht="40.5" customHeight="1" x14ac:dyDescent="0.25">
      <c r="T25" s="2235"/>
      <c r="U25" s="51" t="s">
        <v>63</v>
      </c>
      <c r="V25" s="2262">
        <f>V15+V22-V23</f>
        <v>139331</v>
      </c>
      <c r="W25" s="2262"/>
      <c r="X25" s="2262"/>
    </row>
    <row r="26" spans="1:25" ht="36" customHeight="1" x14ac:dyDescent="0.25">
      <c r="K26" s="314"/>
    </row>
    <row r="28" spans="1:25" x14ac:dyDescent="0.25">
      <c r="J28" s="14" t="s">
        <v>139</v>
      </c>
    </row>
    <row r="32" spans="1:25" x14ac:dyDescent="0.25">
      <c r="I32" s="2280"/>
      <c r="J32" s="2280"/>
      <c r="K32" s="2280"/>
      <c r="L32" s="2280"/>
    </row>
    <row r="33" spans="9:12" x14ac:dyDescent="0.25">
      <c r="I33" s="1140"/>
      <c r="J33" s="1140"/>
      <c r="K33" s="2280"/>
      <c r="L33" s="2280"/>
    </row>
  </sheetData>
  <mergeCells count="62">
    <mergeCell ref="I32:J32"/>
    <mergeCell ref="K32:L32"/>
    <mergeCell ref="K33:L33"/>
    <mergeCell ref="T22:T23"/>
    <mergeCell ref="V22:X22"/>
    <mergeCell ref="V23:X23"/>
    <mergeCell ref="T24:T25"/>
    <mergeCell ref="V24:X24"/>
    <mergeCell ref="V25:X25"/>
    <mergeCell ref="Y18:Y24"/>
    <mergeCell ref="B19:C19"/>
    <mergeCell ref="Q19:R19"/>
    <mergeCell ref="T19:T20"/>
    <mergeCell ref="V19:X19"/>
    <mergeCell ref="B20:C20"/>
    <mergeCell ref="B22:B24"/>
    <mergeCell ref="C22:C23"/>
    <mergeCell ref="D22:D23"/>
    <mergeCell ref="E22:E23"/>
    <mergeCell ref="F22:F23"/>
    <mergeCell ref="Q20:R20"/>
    <mergeCell ref="V20:X20"/>
    <mergeCell ref="B21:C21"/>
    <mergeCell ref="T21:U21"/>
    <mergeCell ref="V21:X21"/>
    <mergeCell ref="B17:C17"/>
    <mergeCell ref="Q17:R17"/>
    <mergeCell ref="T17:U17"/>
    <mergeCell ref="V17:X17"/>
    <mergeCell ref="B18:C18"/>
    <mergeCell ref="Q18:R18"/>
    <mergeCell ref="T18:U18"/>
    <mergeCell ref="V18:X18"/>
    <mergeCell ref="W4:X4"/>
    <mergeCell ref="B16:C16"/>
    <mergeCell ref="Q16:R16"/>
    <mergeCell ref="T16:U16"/>
    <mergeCell ref="V16:X16"/>
    <mergeCell ref="A12:B12"/>
    <mergeCell ref="B14:C14"/>
    <mergeCell ref="Q14:R14"/>
    <mergeCell ref="T14:T15"/>
    <mergeCell ref="V14:X14"/>
    <mergeCell ref="B15:C15"/>
    <mergeCell ref="Q15:R15"/>
    <mergeCell ref="V15:X15"/>
    <mergeCell ref="A1:Y1"/>
    <mergeCell ref="A2:Y2"/>
    <mergeCell ref="T3:Y3"/>
    <mergeCell ref="A4:A5"/>
    <mergeCell ref="B4:B5"/>
    <mergeCell ref="C4:D4"/>
    <mergeCell ref="E4:F4"/>
    <mergeCell ref="G4:H4"/>
    <mergeCell ref="I4:J4"/>
    <mergeCell ref="K4:L4"/>
    <mergeCell ref="Y4:Y5"/>
    <mergeCell ref="M4:N4"/>
    <mergeCell ref="O4:P4"/>
    <mergeCell ref="Q4:R4"/>
    <mergeCell ref="S4:T4"/>
    <mergeCell ref="U4:V4"/>
  </mergeCells>
  <pageMargins left="0.15748031496063" right="0.15748031496063" top="0" bottom="0" header="0" footer="0"/>
  <pageSetup paperSize="9" scale="45" orientation="landscape" r:id="rId1"/>
</worksheet>
</file>

<file path=xl/worksheets/sheet2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859BF50-4BB7-49DC-8EBB-1ACEACBB6257}">
  <sheetPr>
    <pageSetUpPr fitToPage="1"/>
  </sheetPr>
  <dimension ref="A1:Y33"/>
  <sheetViews>
    <sheetView topLeftCell="E7" zoomScale="70" zoomScaleNormal="70" zoomScaleSheetLayoutView="100" zoomScalePageLayoutView="68" workbookViewId="0">
      <selection activeCell="Y14" sqref="Y14"/>
    </sheetView>
  </sheetViews>
  <sheetFormatPr defaultColWidth="9.140625" defaultRowHeight="15" x14ac:dyDescent="0.25"/>
  <cols>
    <col min="1" max="1" width="18.28515625" style="14" customWidth="1"/>
    <col min="2" max="2" width="10.7109375" style="14" customWidth="1"/>
    <col min="3" max="3" width="12.28515625" style="14" customWidth="1"/>
    <col min="4" max="4" width="13.140625" style="14" bestFit="1" customWidth="1"/>
    <col min="5" max="5" width="12" style="14" customWidth="1"/>
    <col min="6" max="6" width="12.5703125" style="14" bestFit="1" customWidth="1"/>
    <col min="7" max="7" width="16" style="14" bestFit="1" customWidth="1"/>
    <col min="8" max="8" width="10.140625" style="14" bestFit="1" customWidth="1"/>
    <col min="9" max="9" width="10.5703125" style="14" bestFit="1" customWidth="1"/>
    <col min="10" max="10" width="10.5703125" style="14" customWidth="1"/>
    <col min="11" max="11" width="10.28515625" style="14" bestFit="1" customWidth="1"/>
    <col min="12" max="12" width="10.42578125" style="14" bestFit="1" customWidth="1"/>
    <col min="13" max="14" width="12" style="14" bestFit="1" customWidth="1"/>
    <col min="15" max="15" width="9" style="14" customWidth="1"/>
    <col min="16" max="16" width="12.85546875" style="14" bestFit="1" customWidth="1"/>
    <col min="17" max="18" width="9.42578125" style="14" customWidth="1"/>
    <col min="19" max="19" width="13.7109375" style="14" customWidth="1"/>
    <col min="20" max="20" width="12.140625" style="14" customWidth="1"/>
    <col min="21" max="21" width="21.7109375" style="14" customWidth="1"/>
    <col min="22" max="22" width="9.85546875" style="14" customWidth="1"/>
    <col min="23" max="23" width="10.140625" style="14" bestFit="1" customWidth="1"/>
    <col min="24" max="24" width="10.28515625" style="14" customWidth="1"/>
    <col min="25" max="25" width="28" style="14" customWidth="1"/>
    <col min="26" max="16384" width="9.140625" style="14"/>
  </cols>
  <sheetData>
    <row r="1" spans="1:25" ht="46.15" customHeight="1" x14ac:dyDescent="0.25">
      <c r="A1" s="2240" t="s">
        <v>148</v>
      </c>
      <c r="B1" s="2240"/>
      <c r="C1" s="2240"/>
      <c r="D1" s="2240"/>
      <c r="E1" s="2240"/>
      <c r="F1" s="2240"/>
      <c r="G1" s="2240"/>
      <c r="H1" s="2240"/>
      <c r="I1" s="2240"/>
      <c r="J1" s="2240"/>
      <c r="K1" s="2240"/>
      <c r="L1" s="2240"/>
      <c r="M1" s="2240"/>
      <c r="N1" s="2240"/>
      <c r="O1" s="2240"/>
      <c r="P1" s="2240"/>
      <c r="Q1" s="2240"/>
      <c r="R1" s="2240"/>
      <c r="S1" s="2240"/>
      <c r="T1" s="2240"/>
      <c r="U1" s="2240"/>
      <c r="V1" s="2240"/>
      <c r="W1" s="2240"/>
      <c r="X1" s="2240"/>
      <c r="Y1" s="2240"/>
    </row>
    <row r="2" spans="1:25" ht="21.6" customHeight="1" x14ac:dyDescent="0.25">
      <c r="A2" s="2241" t="s">
        <v>383</v>
      </c>
      <c r="B2" s="2241"/>
      <c r="C2" s="2241"/>
      <c r="D2" s="2241"/>
      <c r="E2" s="2241"/>
      <c r="F2" s="2241"/>
      <c r="G2" s="2241"/>
      <c r="H2" s="2241"/>
      <c r="I2" s="2241"/>
      <c r="J2" s="2241"/>
      <c r="K2" s="2241"/>
      <c r="L2" s="2241"/>
      <c r="M2" s="2241"/>
      <c r="N2" s="2241"/>
      <c r="O2" s="2241"/>
      <c r="P2" s="2241"/>
      <c r="Q2" s="2241"/>
      <c r="R2" s="2241"/>
      <c r="S2" s="2241"/>
      <c r="T2" s="2241"/>
      <c r="U2" s="2241"/>
      <c r="V2" s="2241"/>
      <c r="W2" s="2241"/>
      <c r="X2" s="2241"/>
      <c r="Y2" s="2241"/>
    </row>
    <row r="3" spans="1:25" ht="21" customHeight="1" x14ac:dyDescent="0.25">
      <c r="A3" s="1146"/>
      <c r="B3" s="1146"/>
      <c r="C3" s="1146"/>
      <c r="D3" s="1146"/>
      <c r="E3" s="1146"/>
      <c r="F3" s="1146"/>
      <c r="G3" s="1146"/>
      <c r="H3" s="1146"/>
      <c r="I3" s="1146"/>
      <c r="J3" s="1146"/>
      <c r="K3" s="1146"/>
      <c r="L3" s="1146"/>
      <c r="M3" s="1146"/>
      <c r="N3" s="1146"/>
      <c r="O3" s="1146"/>
      <c r="P3" s="1146"/>
      <c r="Q3" s="1146"/>
      <c r="R3" s="1146"/>
      <c r="S3" s="1146"/>
      <c r="T3" s="2242" t="s">
        <v>456</v>
      </c>
      <c r="U3" s="2242"/>
      <c r="V3" s="2242"/>
      <c r="W3" s="2242"/>
      <c r="X3" s="2242"/>
      <c r="Y3" s="2242"/>
    </row>
    <row r="4" spans="1:25" s="1146" customFormat="1" ht="18" customHeight="1" x14ac:dyDescent="0.25">
      <c r="A4" s="2243" t="s">
        <v>25</v>
      </c>
      <c r="B4" s="2243" t="s">
        <v>26</v>
      </c>
      <c r="C4" s="2244" t="s">
        <v>27</v>
      </c>
      <c r="D4" s="2244"/>
      <c r="E4" s="2244" t="s">
        <v>342</v>
      </c>
      <c r="F4" s="2244"/>
      <c r="G4" s="2244" t="s">
        <v>65</v>
      </c>
      <c r="H4" s="2244"/>
      <c r="I4" s="2244" t="s">
        <v>29</v>
      </c>
      <c r="J4" s="2244"/>
      <c r="K4" s="2245" t="s">
        <v>14</v>
      </c>
      <c r="L4" s="2246"/>
      <c r="M4" s="2245" t="s">
        <v>429</v>
      </c>
      <c r="N4" s="2246"/>
      <c r="O4" s="2245" t="s">
        <v>441</v>
      </c>
      <c r="P4" s="2246"/>
      <c r="Q4" s="2245" t="s">
        <v>114</v>
      </c>
      <c r="R4" s="2246"/>
      <c r="S4" s="2244" t="s">
        <v>35</v>
      </c>
      <c r="T4" s="2244"/>
      <c r="U4" s="2245" t="s">
        <v>17</v>
      </c>
      <c r="V4" s="2246"/>
      <c r="W4" s="2247" t="s">
        <v>36</v>
      </c>
      <c r="X4" s="2248"/>
      <c r="Y4" s="2238" t="s">
        <v>30</v>
      </c>
    </row>
    <row r="5" spans="1:25" s="1146" customFormat="1" ht="25.5" customHeight="1" x14ac:dyDescent="0.25">
      <c r="A5" s="2243"/>
      <c r="B5" s="2243"/>
      <c r="C5" s="1145" t="s">
        <v>42</v>
      </c>
      <c r="D5" s="1145" t="s">
        <v>43</v>
      </c>
      <c r="E5" s="1145" t="s">
        <v>42</v>
      </c>
      <c r="F5" s="1145" t="s">
        <v>43</v>
      </c>
      <c r="G5" s="1145" t="s">
        <v>42</v>
      </c>
      <c r="H5" s="1145" t="s">
        <v>43</v>
      </c>
      <c r="I5" s="1145" t="s">
        <v>42</v>
      </c>
      <c r="J5" s="1145" t="s">
        <v>43</v>
      </c>
      <c r="K5" s="1145" t="s">
        <v>42</v>
      </c>
      <c r="L5" s="1145" t="s">
        <v>43</v>
      </c>
      <c r="M5" s="1145" t="s">
        <v>42</v>
      </c>
      <c r="N5" s="1145" t="s">
        <v>43</v>
      </c>
      <c r="O5" s="1145" t="s">
        <v>42</v>
      </c>
      <c r="P5" s="1145" t="s">
        <v>43</v>
      </c>
      <c r="Q5" s="1145" t="s">
        <v>42</v>
      </c>
      <c r="R5" s="1145" t="s">
        <v>43</v>
      </c>
      <c r="S5" s="33" t="s">
        <v>42</v>
      </c>
      <c r="T5" s="33" t="s">
        <v>43</v>
      </c>
      <c r="U5" s="30" t="s">
        <v>42</v>
      </c>
      <c r="V5" s="30" t="s">
        <v>43</v>
      </c>
      <c r="W5" s="30" t="s">
        <v>42</v>
      </c>
      <c r="X5" s="30" t="s">
        <v>43</v>
      </c>
      <c r="Y5" s="2239"/>
    </row>
    <row r="6" spans="1:25" ht="34.5" customHeight="1" x14ac:dyDescent="0.25">
      <c r="A6" s="12">
        <v>1409935200</v>
      </c>
      <c r="B6" s="1144" t="s">
        <v>71</v>
      </c>
      <c r="C6" s="1142">
        <v>30716</v>
      </c>
      <c r="D6" s="1141">
        <f>0.9725*C6</f>
        <v>29871.31</v>
      </c>
      <c r="E6" s="1142"/>
      <c r="F6" s="1141">
        <f>67.1*E6</f>
        <v>0</v>
      </c>
      <c r="G6" s="1142"/>
      <c r="H6" s="1142">
        <f>28.2*G6</f>
        <v>0</v>
      </c>
      <c r="I6" s="1142">
        <v>130</v>
      </c>
      <c r="J6" s="1142">
        <f>18.5*I6</f>
        <v>2405</v>
      </c>
      <c r="K6" s="1142"/>
      <c r="L6" s="1141">
        <f>28.2368*K6</f>
        <v>0</v>
      </c>
      <c r="M6" s="1142"/>
      <c r="N6" s="1141">
        <f>M6*47.6525</f>
        <v>0</v>
      </c>
      <c r="O6" s="1142"/>
      <c r="P6" s="1141">
        <f>O6*8.9</f>
        <v>0</v>
      </c>
      <c r="Q6" s="1141"/>
      <c r="R6" s="1141">
        <f>241*Q6</f>
        <v>0</v>
      </c>
      <c r="S6" s="1142"/>
      <c r="T6" s="1142">
        <f>241*S6</f>
        <v>0</v>
      </c>
      <c r="U6" s="1142"/>
      <c r="V6" s="1142">
        <f>332*U6</f>
        <v>0</v>
      </c>
      <c r="W6" s="1142"/>
      <c r="X6" s="19">
        <f>W6*100</f>
        <v>0</v>
      </c>
      <c r="Y6" s="20">
        <f t="shared" ref="Y6:Y12" si="0">D6+F6+H6+J6+L6+N6+P6+R6+T6+V6+X6</f>
        <v>32276.31</v>
      </c>
    </row>
    <row r="7" spans="1:25" ht="31.5" customHeight="1" x14ac:dyDescent="0.25">
      <c r="A7" s="12">
        <v>1984225578</v>
      </c>
      <c r="B7" s="1144" t="s">
        <v>72</v>
      </c>
      <c r="C7" s="1142">
        <v>55514</v>
      </c>
      <c r="D7" s="1141">
        <f t="shared" ref="D7:D11" si="1">0.9725*C7</f>
        <v>53987.365000000005</v>
      </c>
      <c r="E7" s="1142"/>
      <c r="F7" s="1142">
        <f t="shared" ref="F7:F11" si="2">67.1*E7</f>
        <v>0</v>
      </c>
      <c r="G7" s="1142"/>
      <c r="H7" s="1142">
        <f t="shared" ref="H7:H11" si="3">28.2*G7</f>
        <v>0</v>
      </c>
      <c r="I7" s="1142"/>
      <c r="J7" s="1142">
        <f t="shared" ref="J7:J11" si="4">18.5*I7</f>
        <v>0</v>
      </c>
      <c r="K7" s="1142"/>
      <c r="L7" s="1141">
        <f t="shared" ref="L7:L11" si="5">28.2368*K7</f>
        <v>0</v>
      </c>
      <c r="M7" s="1142"/>
      <c r="N7" s="1141">
        <f t="shared" ref="N7:N11" si="6">M7*47.6525</f>
        <v>0</v>
      </c>
      <c r="O7" s="1142"/>
      <c r="P7" s="1141">
        <f t="shared" ref="P7:P11" si="7">O7*8.9</f>
        <v>0</v>
      </c>
      <c r="Q7" s="1141"/>
      <c r="R7" s="1141">
        <f t="shared" ref="R7:R11" si="8">241*Q7</f>
        <v>0</v>
      </c>
      <c r="S7" s="1142"/>
      <c r="T7" s="1142">
        <f t="shared" ref="T7:T10" si="9">241*S7</f>
        <v>0</v>
      </c>
      <c r="U7" s="1142"/>
      <c r="V7" s="1142">
        <f t="shared" ref="V7:V11" si="10">332*U7</f>
        <v>0</v>
      </c>
      <c r="W7" s="1142"/>
      <c r="X7" s="19">
        <f t="shared" ref="X7:X11" si="11">W7*100</f>
        <v>0</v>
      </c>
      <c r="Y7" s="20">
        <f t="shared" si="0"/>
        <v>53987.365000000005</v>
      </c>
    </row>
    <row r="8" spans="1:25" ht="35.25" customHeight="1" x14ac:dyDescent="0.25">
      <c r="A8" s="12">
        <v>1967020280</v>
      </c>
      <c r="B8" s="1144" t="s">
        <v>427</v>
      </c>
      <c r="C8" s="1142">
        <v>18923</v>
      </c>
      <c r="D8" s="1141">
        <f t="shared" si="1"/>
        <v>18402.6175</v>
      </c>
      <c r="E8" s="1142"/>
      <c r="F8" s="1142">
        <f t="shared" si="2"/>
        <v>0</v>
      </c>
      <c r="G8" s="1142"/>
      <c r="H8" s="1141">
        <f t="shared" si="3"/>
        <v>0</v>
      </c>
      <c r="I8" s="1142">
        <v>350</v>
      </c>
      <c r="J8" s="1142">
        <f t="shared" si="4"/>
        <v>6475</v>
      </c>
      <c r="K8" s="1142">
        <v>110</v>
      </c>
      <c r="L8" s="1141">
        <f t="shared" si="5"/>
        <v>3106.0479999999998</v>
      </c>
      <c r="M8" s="1142">
        <v>3</v>
      </c>
      <c r="N8" s="1141">
        <f t="shared" si="6"/>
        <v>142.95750000000001</v>
      </c>
      <c r="O8" s="1142"/>
      <c r="P8" s="1141">
        <f t="shared" si="7"/>
        <v>0</v>
      </c>
      <c r="Q8" s="1141"/>
      <c r="R8" s="1141">
        <f t="shared" si="8"/>
        <v>0</v>
      </c>
      <c r="S8" s="1142"/>
      <c r="T8" s="1142">
        <f t="shared" si="9"/>
        <v>0</v>
      </c>
      <c r="U8" s="1142"/>
      <c r="V8" s="1142">
        <f t="shared" si="10"/>
        <v>0</v>
      </c>
      <c r="W8" s="1142"/>
      <c r="X8" s="19">
        <f t="shared" si="11"/>
        <v>0</v>
      </c>
      <c r="Y8" s="20">
        <f t="shared" si="0"/>
        <v>28126.623</v>
      </c>
    </row>
    <row r="9" spans="1:25" ht="38.25" customHeight="1" x14ac:dyDescent="0.25">
      <c r="A9" s="12">
        <v>1984225580</v>
      </c>
      <c r="B9" s="1144" t="s">
        <v>75</v>
      </c>
      <c r="C9" s="1142">
        <v>24353</v>
      </c>
      <c r="D9" s="1141">
        <f t="shared" si="1"/>
        <v>23683.2925</v>
      </c>
      <c r="E9" s="1142"/>
      <c r="F9" s="1142">
        <f t="shared" si="2"/>
        <v>0</v>
      </c>
      <c r="G9" s="1142"/>
      <c r="H9" s="1142">
        <f t="shared" si="3"/>
        <v>0</v>
      </c>
      <c r="I9" s="1142">
        <v>350</v>
      </c>
      <c r="J9" s="1142">
        <f t="shared" si="4"/>
        <v>6475</v>
      </c>
      <c r="K9" s="1142"/>
      <c r="L9" s="1141">
        <f t="shared" si="5"/>
        <v>0</v>
      </c>
      <c r="M9" s="1142"/>
      <c r="N9" s="1141">
        <f t="shared" si="6"/>
        <v>0</v>
      </c>
      <c r="O9" s="1142"/>
      <c r="P9" s="1141">
        <f t="shared" si="7"/>
        <v>0</v>
      </c>
      <c r="Q9" s="1141"/>
      <c r="R9" s="1141">
        <f t="shared" si="8"/>
        <v>0</v>
      </c>
      <c r="S9" s="1142"/>
      <c r="T9" s="1142">
        <f t="shared" si="9"/>
        <v>0</v>
      </c>
      <c r="U9" s="1142"/>
      <c r="V9" s="1142">
        <f t="shared" si="10"/>
        <v>0</v>
      </c>
      <c r="W9" s="1142"/>
      <c r="X9" s="19">
        <f t="shared" si="11"/>
        <v>0</v>
      </c>
      <c r="Y9" s="20">
        <f t="shared" si="0"/>
        <v>30158.2925</v>
      </c>
    </row>
    <row r="10" spans="1:25" ht="35.25" customHeight="1" x14ac:dyDescent="0.25">
      <c r="A10" s="12">
        <v>1409935199</v>
      </c>
      <c r="C10" s="1142"/>
      <c r="D10" s="1141">
        <f t="shared" si="1"/>
        <v>0</v>
      </c>
      <c r="E10" s="1142"/>
      <c r="F10" s="1142">
        <f t="shared" si="2"/>
        <v>0</v>
      </c>
      <c r="G10" s="1142"/>
      <c r="H10" s="1142">
        <f t="shared" si="3"/>
        <v>0</v>
      </c>
      <c r="I10" s="1142">
        <v>600</v>
      </c>
      <c r="J10" s="1142">
        <f t="shared" si="4"/>
        <v>11100</v>
      </c>
      <c r="K10" s="1142"/>
      <c r="L10" s="1141">
        <f t="shared" si="5"/>
        <v>0</v>
      </c>
      <c r="M10" s="1142"/>
      <c r="N10" s="1141">
        <f t="shared" si="6"/>
        <v>0</v>
      </c>
      <c r="O10" s="1142"/>
      <c r="P10" s="1141">
        <f t="shared" si="7"/>
        <v>0</v>
      </c>
      <c r="Q10" s="1141"/>
      <c r="R10" s="1141">
        <f t="shared" si="8"/>
        <v>0</v>
      </c>
      <c r="S10" s="1142">
        <v>8</v>
      </c>
      <c r="T10" s="1142">
        <f t="shared" si="9"/>
        <v>1928</v>
      </c>
      <c r="U10" s="1142"/>
      <c r="V10" s="1142">
        <f t="shared" si="10"/>
        <v>0</v>
      </c>
      <c r="W10" s="1142"/>
      <c r="X10" s="19">
        <f t="shared" si="11"/>
        <v>0</v>
      </c>
      <c r="Y10" s="20">
        <f t="shared" si="0"/>
        <v>13028</v>
      </c>
    </row>
    <row r="11" spans="1:25" ht="37.5" customHeight="1" x14ac:dyDescent="0.25">
      <c r="A11" s="12"/>
      <c r="B11" s="1143"/>
      <c r="C11" s="1142"/>
      <c r="D11" s="1141">
        <f t="shared" si="1"/>
        <v>0</v>
      </c>
      <c r="E11" s="1142"/>
      <c r="F11" s="1142">
        <f t="shared" si="2"/>
        <v>0</v>
      </c>
      <c r="G11" s="1142"/>
      <c r="H11" s="1142">
        <f t="shared" si="3"/>
        <v>0</v>
      </c>
      <c r="I11" s="1142"/>
      <c r="J11" s="1142">
        <f t="shared" si="4"/>
        <v>0</v>
      </c>
      <c r="K11" s="1142"/>
      <c r="L11" s="1141">
        <f t="shared" si="5"/>
        <v>0</v>
      </c>
      <c r="M11" s="1142"/>
      <c r="N11" s="1141">
        <f t="shared" si="6"/>
        <v>0</v>
      </c>
      <c r="O11" s="1142"/>
      <c r="P11" s="1141">
        <f t="shared" si="7"/>
        <v>0</v>
      </c>
      <c r="Q11" s="1141"/>
      <c r="R11" s="1141">
        <f t="shared" si="8"/>
        <v>0</v>
      </c>
      <c r="S11" s="1142"/>
      <c r="T11" s="1142">
        <f>341*S11</f>
        <v>0</v>
      </c>
      <c r="U11" s="1142"/>
      <c r="V11" s="1142">
        <f t="shared" si="10"/>
        <v>0</v>
      </c>
      <c r="W11" s="1142"/>
      <c r="X11" s="19">
        <f t="shared" si="11"/>
        <v>0</v>
      </c>
      <c r="Y11" s="20">
        <f t="shared" si="0"/>
        <v>0</v>
      </c>
    </row>
    <row r="12" spans="1:25" ht="29.25" customHeight="1" x14ac:dyDescent="0.25">
      <c r="A12" s="2235" t="s">
        <v>31</v>
      </c>
      <c r="B12" s="2235"/>
      <c r="C12" s="18">
        <f t="shared" ref="C12:X12" si="12">SUM(C6:C11)</f>
        <v>129506</v>
      </c>
      <c r="D12" s="18">
        <f t="shared" si="12"/>
        <v>125944.58500000001</v>
      </c>
      <c r="E12" s="18">
        <f t="shared" si="12"/>
        <v>0</v>
      </c>
      <c r="F12" s="18">
        <f t="shared" si="12"/>
        <v>0</v>
      </c>
      <c r="G12" s="18">
        <f t="shared" si="12"/>
        <v>0</v>
      </c>
      <c r="H12" s="18">
        <f t="shared" si="12"/>
        <v>0</v>
      </c>
      <c r="I12" s="18">
        <f t="shared" si="12"/>
        <v>1430</v>
      </c>
      <c r="J12" s="18">
        <f t="shared" si="12"/>
        <v>26455</v>
      </c>
      <c r="K12" s="18">
        <f t="shared" si="12"/>
        <v>110</v>
      </c>
      <c r="L12" s="18">
        <f t="shared" si="12"/>
        <v>3106.0479999999998</v>
      </c>
      <c r="M12" s="18">
        <f t="shared" si="12"/>
        <v>3</v>
      </c>
      <c r="N12" s="23">
        <f t="shared" si="12"/>
        <v>142.95750000000001</v>
      </c>
      <c r="O12" s="18">
        <f t="shared" si="12"/>
        <v>0</v>
      </c>
      <c r="P12" s="23">
        <f t="shared" si="12"/>
        <v>0</v>
      </c>
      <c r="Q12" s="23">
        <f t="shared" si="12"/>
        <v>0</v>
      </c>
      <c r="R12" s="23">
        <f>SUM(R6:R11)</f>
        <v>0</v>
      </c>
      <c r="S12" s="23">
        <f>SUM(S6:S11)</f>
        <v>8</v>
      </c>
      <c r="T12" s="18">
        <f t="shared" si="12"/>
        <v>1928</v>
      </c>
      <c r="U12" s="18">
        <f t="shared" si="12"/>
        <v>0</v>
      </c>
      <c r="V12" s="18">
        <f t="shared" si="12"/>
        <v>0</v>
      </c>
      <c r="W12" s="18">
        <f t="shared" si="12"/>
        <v>0</v>
      </c>
      <c r="X12" s="18">
        <f t="shared" si="12"/>
        <v>0</v>
      </c>
      <c r="Y12" s="20">
        <f t="shared" si="0"/>
        <v>157576.59050000002</v>
      </c>
    </row>
    <row r="14" spans="1:25" ht="43.5" customHeight="1" x14ac:dyDescent="0.25">
      <c r="A14" s="30" t="s">
        <v>32</v>
      </c>
      <c r="B14" s="2236" t="s">
        <v>27</v>
      </c>
      <c r="C14" s="2236"/>
      <c r="D14" s="30" t="s">
        <v>333</v>
      </c>
      <c r="E14" s="30" t="s">
        <v>65</v>
      </c>
      <c r="F14" s="30" t="s">
        <v>34</v>
      </c>
      <c r="G14" s="30" t="s">
        <v>14</v>
      </c>
      <c r="H14" s="469" t="s">
        <v>173</v>
      </c>
      <c r="I14" s="30" t="s">
        <v>17</v>
      </c>
      <c r="J14" s="1150" t="s">
        <v>174</v>
      </c>
      <c r="K14" s="30" t="s">
        <v>36</v>
      </c>
      <c r="L14" s="1150" t="s">
        <v>403</v>
      </c>
      <c r="M14" s="30" t="s">
        <v>429</v>
      </c>
      <c r="N14" s="30" t="s">
        <v>442</v>
      </c>
      <c r="O14" s="1150" t="s">
        <v>114</v>
      </c>
      <c r="P14" s="30" t="s">
        <v>70</v>
      </c>
      <c r="Q14" s="2300" t="s">
        <v>378</v>
      </c>
      <c r="R14" s="2301"/>
      <c r="S14" s="1150" t="s">
        <v>401</v>
      </c>
      <c r="T14" s="2235" t="s">
        <v>46</v>
      </c>
      <c r="U14" s="1144" t="s">
        <v>176</v>
      </c>
      <c r="V14" s="2260">
        <v>62830</v>
      </c>
      <c r="W14" s="2268"/>
      <c r="X14" s="2261"/>
    </row>
    <row r="15" spans="1:25" ht="22.5" customHeight="1" x14ac:dyDescent="0.25">
      <c r="A15" s="100" t="s">
        <v>38</v>
      </c>
      <c r="B15" s="2260">
        <v>353746</v>
      </c>
      <c r="C15" s="2261"/>
      <c r="D15" s="1147">
        <v>180</v>
      </c>
      <c r="E15" s="1147">
        <v>0</v>
      </c>
      <c r="F15" s="1147">
        <v>19330</v>
      </c>
      <c r="G15" s="1147">
        <v>270</v>
      </c>
      <c r="H15" s="1147">
        <v>301</v>
      </c>
      <c r="I15" s="1147">
        <v>20</v>
      </c>
      <c r="J15" s="1147">
        <v>4</v>
      </c>
      <c r="K15" s="1147">
        <v>82</v>
      </c>
      <c r="L15" s="1147">
        <v>0</v>
      </c>
      <c r="M15" s="1147">
        <v>3</v>
      </c>
      <c r="N15" s="1147">
        <v>280</v>
      </c>
      <c r="O15" s="1147">
        <v>0</v>
      </c>
      <c r="P15" s="1147">
        <v>100</v>
      </c>
      <c r="Q15" s="2260">
        <v>0</v>
      </c>
      <c r="R15" s="2261"/>
      <c r="S15" s="1144">
        <v>6</v>
      </c>
      <c r="T15" s="2235"/>
      <c r="U15" s="1144" t="s">
        <v>64</v>
      </c>
      <c r="V15" s="2262">
        <v>139331</v>
      </c>
      <c r="W15" s="2262"/>
      <c r="X15" s="2262"/>
    </row>
    <row r="16" spans="1:25" ht="24.75" customHeight="1" x14ac:dyDescent="0.25">
      <c r="A16" s="100" t="s">
        <v>39</v>
      </c>
      <c r="B16" s="2260">
        <v>93506</v>
      </c>
      <c r="C16" s="2261"/>
      <c r="D16" s="1147"/>
      <c r="E16" s="1147"/>
      <c r="F16" s="1147"/>
      <c r="G16" s="1147"/>
      <c r="H16" s="1147"/>
      <c r="I16" s="1147"/>
      <c r="J16" s="1147"/>
      <c r="K16" s="1147"/>
      <c r="L16" s="1147"/>
      <c r="M16" s="1147"/>
      <c r="N16" s="1147"/>
      <c r="O16" s="1147"/>
      <c r="P16" s="1147"/>
      <c r="Q16" s="2225"/>
      <c r="R16" s="2225"/>
      <c r="S16" s="1147"/>
      <c r="T16" s="2254" t="s">
        <v>55</v>
      </c>
      <c r="U16" s="2254"/>
      <c r="V16" s="2267">
        <f>Y12</f>
        <v>157576.59050000002</v>
      </c>
      <c r="W16" s="2267"/>
      <c r="X16" s="2262"/>
    </row>
    <row r="17" spans="1:25" ht="28.5" customHeight="1" x14ac:dyDescent="0.25">
      <c r="A17" s="101" t="s">
        <v>44</v>
      </c>
      <c r="B17" s="2260"/>
      <c r="C17" s="2261"/>
      <c r="D17" s="1147"/>
      <c r="E17" s="1147"/>
      <c r="F17" s="1147"/>
      <c r="G17" s="1147"/>
      <c r="H17" s="1147"/>
      <c r="I17" s="1147"/>
      <c r="J17" s="1147"/>
      <c r="K17" s="1147"/>
      <c r="L17" s="1147"/>
      <c r="M17" s="1147"/>
      <c r="N17" s="1147"/>
      <c r="O17" s="1147"/>
      <c r="P17" s="1147"/>
      <c r="Q17" s="2225"/>
      <c r="R17" s="2225"/>
      <c r="S17" s="1143"/>
      <c r="T17" s="2294" t="s">
        <v>450</v>
      </c>
      <c r="U17" s="2295"/>
      <c r="V17" s="2296"/>
      <c r="W17" s="2296"/>
      <c r="X17" s="2296"/>
    </row>
    <row r="18" spans="1:25" ht="27" customHeight="1" x14ac:dyDescent="0.25">
      <c r="A18" s="100" t="s">
        <v>40</v>
      </c>
      <c r="B18" s="2264">
        <f>C12</f>
        <v>129506</v>
      </c>
      <c r="C18" s="2261"/>
      <c r="D18" s="1149">
        <f>E12</f>
        <v>0</v>
      </c>
      <c r="E18" s="1149">
        <f>G12</f>
        <v>0</v>
      </c>
      <c r="F18" s="1149">
        <f>I12</f>
        <v>1430</v>
      </c>
      <c r="G18" s="1149">
        <f>K12</f>
        <v>110</v>
      </c>
      <c r="H18" s="1147">
        <v>8</v>
      </c>
      <c r="I18" s="1149">
        <f>U12</f>
        <v>0</v>
      </c>
      <c r="J18" s="1147"/>
      <c r="K18" s="1149">
        <f>W12</f>
        <v>0</v>
      </c>
      <c r="L18" s="1147"/>
      <c r="M18" s="1149">
        <f>M12</f>
        <v>3</v>
      </c>
      <c r="N18" s="1149">
        <f>O12</f>
        <v>0</v>
      </c>
      <c r="O18" s="1148">
        <f>Q12</f>
        <v>0</v>
      </c>
      <c r="P18" s="1149"/>
      <c r="Q18" s="2262"/>
      <c r="R18" s="2262"/>
      <c r="S18" s="1144"/>
      <c r="T18" s="2254" t="s">
        <v>57</v>
      </c>
      <c r="U18" s="2254"/>
      <c r="V18" s="2262">
        <v>9820</v>
      </c>
      <c r="W18" s="2262"/>
      <c r="X18" s="2262"/>
      <c r="Y18" s="2269"/>
    </row>
    <row r="19" spans="1:25" ht="25.5" customHeight="1" x14ac:dyDescent="0.25">
      <c r="A19" s="100" t="s">
        <v>41</v>
      </c>
      <c r="B19" s="2260">
        <f>B15+B16+B17-B18</f>
        <v>317746</v>
      </c>
      <c r="C19" s="2261"/>
      <c r="D19" s="1147">
        <f>D15+D16+D17-D18</f>
        <v>180</v>
      </c>
      <c r="E19" s="1147">
        <f t="shared" ref="E19:N19" si="13">E15+E16+E17-E18</f>
        <v>0</v>
      </c>
      <c r="F19" s="1147">
        <f t="shared" si="13"/>
        <v>17900</v>
      </c>
      <c r="G19" s="1147">
        <f t="shared" si="13"/>
        <v>160</v>
      </c>
      <c r="H19" s="1147">
        <f t="shared" si="13"/>
        <v>293</v>
      </c>
      <c r="I19" s="1147">
        <f t="shared" si="13"/>
        <v>20</v>
      </c>
      <c r="J19" s="1147">
        <f t="shared" si="13"/>
        <v>4</v>
      </c>
      <c r="K19" s="1147">
        <f t="shared" si="13"/>
        <v>82</v>
      </c>
      <c r="L19" s="1147">
        <f t="shared" si="13"/>
        <v>0</v>
      </c>
      <c r="M19" s="1147">
        <f t="shared" si="13"/>
        <v>0</v>
      </c>
      <c r="N19" s="1147">
        <f t="shared" si="13"/>
        <v>280</v>
      </c>
      <c r="O19" s="1147">
        <f>O15+O16+O17-O18</f>
        <v>0</v>
      </c>
      <c r="P19" s="1147">
        <f t="shared" ref="P19:Q19" si="14">P15+P16+P17-P18</f>
        <v>100</v>
      </c>
      <c r="Q19" s="2260">
        <f t="shared" si="14"/>
        <v>0</v>
      </c>
      <c r="R19" s="2261"/>
      <c r="S19" s="1144">
        <f>S15+S16-S17-S18</f>
        <v>6</v>
      </c>
      <c r="T19" s="2256" t="s">
        <v>48</v>
      </c>
      <c r="U19" s="49" t="s">
        <v>58</v>
      </c>
      <c r="V19" s="2262">
        <v>320425</v>
      </c>
      <c r="W19" s="2262"/>
      <c r="X19" s="2262"/>
      <c r="Y19" s="2269"/>
    </row>
    <row r="20" spans="1:25" ht="23.25" customHeight="1" x14ac:dyDescent="0.25">
      <c r="A20" s="289" t="s">
        <v>187</v>
      </c>
      <c r="B20" s="2286">
        <f>B19*0.9625</f>
        <v>305830.52500000002</v>
      </c>
      <c r="C20" s="2287"/>
      <c r="D20" s="290">
        <f>D19*66.41</f>
        <v>11953.8</v>
      </c>
      <c r="E20" s="290">
        <f>27.9368*E19</f>
        <v>0</v>
      </c>
      <c r="F20" s="290">
        <f>18.31*F19</f>
        <v>327749</v>
      </c>
      <c r="G20" s="290">
        <f>27.9368*G19</f>
        <v>4469.8879999999999</v>
      </c>
      <c r="H20" s="290">
        <f>241*H19</f>
        <v>70613</v>
      </c>
      <c r="I20" s="290">
        <f>323*I19</f>
        <v>6460</v>
      </c>
      <c r="J20" s="290">
        <f>241*J19</f>
        <v>964</v>
      </c>
      <c r="K20" s="290">
        <f>K19*100</f>
        <v>8200</v>
      </c>
      <c r="L20" s="290">
        <f>241*L19</f>
        <v>0</v>
      </c>
      <c r="M20" s="290">
        <f>47.1625*M19</f>
        <v>0</v>
      </c>
      <c r="N20" s="290">
        <f>N19*8.81</f>
        <v>2466.8000000000002</v>
      </c>
      <c r="O20" s="290">
        <f>241*O19</f>
        <v>0</v>
      </c>
      <c r="P20" s="290">
        <f>P19*48.2</f>
        <v>4820</v>
      </c>
      <c r="Q20" s="2286">
        <f>341*Q19</f>
        <v>0</v>
      </c>
      <c r="R20" s="2287"/>
      <c r="S20" s="290">
        <f>341*S19</f>
        <v>2046</v>
      </c>
      <c r="T20" s="2257"/>
      <c r="U20" s="49" t="s">
        <v>59</v>
      </c>
      <c r="V20" s="2262"/>
      <c r="W20" s="2262"/>
      <c r="X20" s="2262"/>
      <c r="Y20" s="2269"/>
    </row>
    <row r="21" spans="1:25" ht="32.25" customHeight="1" x14ac:dyDescent="0.25">
      <c r="A21" s="291" t="s">
        <v>186</v>
      </c>
      <c r="B21" s="2293">
        <f>SUM(B20:S20)</f>
        <v>745573.01300000004</v>
      </c>
      <c r="C21" s="2293"/>
      <c r="O21" s="1151"/>
      <c r="P21" s="1151"/>
      <c r="Q21" s="1151"/>
      <c r="R21" s="1151"/>
      <c r="T21" s="2294" t="s">
        <v>451</v>
      </c>
      <c r="U21" s="2295"/>
      <c r="V21" s="2297"/>
      <c r="W21" s="2298"/>
      <c r="X21" s="2299"/>
      <c r="Y21" s="2269"/>
    </row>
    <row r="22" spans="1:25" ht="35.25" customHeight="1" x14ac:dyDescent="0.25">
      <c r="A22" s="15"/>
      <c r="B22" s="2288" t="s">
        <v>49</v>
      </c>
      <c r="C22" s="2291">
        <v>320425</v>
      </c>
      <c r="D22" s="2291">
        <v>320425</v>
      </c>
      <c r="E22" s="2291">
        <v>90000</v>
      </c>
      <c r="F22" s="2291">
        <f>C22-D22+E22</f>
        <v>90000</v>
      </c>
      <c r="G22" s="1151"/>
      <c r="Q22" s="1151"/>
      <c r="R22" s="1151"/>
      <c r="T22" s="2251" t="s">
        <v>83</v>
      </c>
      <c r="U22" s="50" t="s">
        <v>60</v>
      </c>
      <c r="V22" s="2262">
        <v>187695</v>
      </c>
      <c r="W22" s="2262"/>
      <c r="X22" s="2262"/>
      <c r="Y22" s="2269"/>
    </row>
    <row r="23" spans="1:25" ht="39.75" customHeight="1" x14ac:dyDescent="0.25">
      <c r="A23" s="1151"/>
      <c r="B23" s="2289"/>
      <c r="C23" s="2292"/>
      <c r="D23" s="2292"/>
      <c r="E23" s="2292"/>
      <c r="F23" s="2292"/>
      <c r="G23" s="1151"/>
      <c r="Q23" s="1151"/>
      <c r="R23" s="1151"/>
      <c r="T23" s="2252"/>
      <c r="U23" s="50" t="s">
        <v>61</v>
      </c>
      <c r="V23" s="2262">
        <v>320425</v>
      </c>
      <c r="W23" s="2262"/>
      <c r="X23" s="2262"/>
      <c r="Y23" s="2269"/>
    </row>
    <row r="24" spans="1:25" ht="48" customHeight="1" x14ac:dyDescent="0.25">
      <c r="A24" s="1151"/>
      <c r="B24" s="2290"/>
      <c r="C24" s="290" t="s">
        <v>46</v>
      </c>
      <c r="D24" s="290" t="s">
        <v>50</v>
      </c>
      <c r="E24" s="290" t="s">
        <v>51</v>
      </c>
      <c r="F24" s="290" t="s">
        <v>52</v>
      </c>
      <c r="G24" s="1151"/>
      <c r="Q24" s="1151"/>
      <c r="R24" s="1151"/>
      <c r="T24" s="2235" t="s">
        <v>47</v>
      </c>
      <c r="U24" s="51" t="s">
        <v>62</v>
      </c>
      <c r="V24" s="2263">
        <f>V14+V16+V17-V18-V19-V20-V22+V23-V21</f>
        <v>22891.590500000049</v>
      </c>
      <c r="W24" s="2263"/>
      <c r="X24" s="2263"/>
      <c r="Y24" s="2269"/>
    </row>
    <row r="25" spans="1:25" ht="40.5" customHeight="1" x14ac:dyDescent="0.25">
      <c r="T25" s="2235"/>
      <c r="U25" s="51" t="s">
        <v>63</v>
      </c>
      <c r="V25" s="2262">
        <f>V15+V22-V23</f>
        <v>6601</v>
      </c>
      <c r="W25" s="2262"/>
      <c r="X25" s="2262"/>
    </row>
    <row r="26" spans="1:25" ht="36" customHeight="1" x14ac:dyDescent="0.25">
      <c r="K26" s="314"/>
    </row>
    <row r="28" spans="1:25" x14ac:dyDescent="0.25">
      <c r="J28" s="14" t="s">
        <v>139</v>
      </c>
    </row>
    <row r="32" spans="1:25" x14ac:dyDescent="0.25">
      <c r="I32" s="2280"/>
      <c r="J32" s="2280"/>
      <c r="K32" s="2280"/>
      <c r="L32" s="2280"/>
    </row>
    <row r="33" spans="9:12" x14ac:dyDescent="0.25">
      <c r="I33" s="1151"/>
      <c r="J33" s="1151"/>
      <c r="K33" s="2280"/>
      <c r="L33" s="2280"/>
    </row>
  </sheetData>
  <mergeCells count="62">
    <mergeCell ref="A1:Y1"/>
    <mergeCell ref="A2:Y2"/>
    <mergeCell ref="T3:Y3"/>
    <mergeCell ref="A4:A5"/>
    <mergeCell ref="B4:B5"/>
    <mergeCell ref="C4:D4"/>
    <mergeCell ref="E4:F4"/>
    <mergeCell ref="G4:H4"/>
    <mergeCell ref="I4:J4"/>
    <mergeCell ref="K4:L4"/>
    <mergeCell ref="Y4:Y5"/>
    <mergeCell ref="M4:N4"/>
    <mergeCell ref="O4:P4"/>
    <mergeCell ref="Q4:R4"/>
    <mergeCell ref="S4:T4"/>
    <mergeCell ref="U4:V4"/>
    <mergeCell ref="W4:X4"/>
    <mergeCell ref="B16:C16"/>
    <mergeCell ref="Q16:R16"/>
    <mergeCell ref="T16:U16"/>
    <mergeCell ref="V16:X16"/>
    <mergeCell ref="A12:B12"/>
    <mergeCell ref="B14:C14"/>
    <mergeCell ref="Q14:R14"/>
    <mergeCell ref="T14:T15"/>
    <mergeCell ref="V14:X14"/>
    <mergeCell ref="B15:C15"/>
    <mergeCell ref="Q15:R15"/>
    <mergeCell ref="V15:X15"/>
    <mergeCell ref="B17:C17"/>
    <mergeCell ref="Q17:R17"/>
    <mergeCell ref="T17:U17"/>
    <mergeCell ref="V17:X17"/>
    <mergeCell ref="B18:C18"/>
    <mergeCell ref="Q18:R18"/>
    <mergeCell ref="T18:U18"/>
    <mergeCell ref="V18:X18"/>
    <mergeCell ref="Y18:Y24"/>
    <mergeCell ref="B19:C19"/>
    <mergeCell ref="Q19:R19"/>
    <mergeCell ref="T19:T20"/>
    <mergeCell ref="V19:X19"/>
    <mergeCell ref="B20:C20"/>
    <mergeCell ref="B22:B24"/>
    <mergeCell ref="C22:C23"/>
    <mergeCell ref="D22:D23"/>
    <mergeCell ref="E22:E23"/>
    <mergeCell ref="F22:F23"/>
    <mergeCell ref="Q20:R20"/>
    <mergeCell ref="V20:X20"/>
    <mergeCell ref="B21:C21"/>
    <mergeCell ref="T21:U21"/>
    <mergeCell ref="V21:X21"/>
    <mergeCell ref="I32:J32"/>
    <mergeCell ref="K32:L32"/>
    <mergeCell ref="K33:L33"/>
    <mergeCell ref="T22:T23"/>
    <mergeCell ref="V22:X22"/>
    <mergeCell ref="V23:X23"/>
    <mergeCell ref="T24:T25"/>
    <mergeCell ref="V24:X24"/>
    <mergeCell ref="V25:X25"/>
  </mergeCells>
  <pageMargins left="0.15748031496063" right="0.15748031496063" top="0" bottom="0" header="0" footer="0"/>
  <pageSetup paperSize="9" scale="45" orientation="landscape" r:id="rId1"/>
</worksheet>
</file>

<file path=xl/worksheets/sheet2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46D5CBC-4F0C-420A-BC9E-6632ED9B94E7}">
  <sheetPr>
    <pageSetUpPr fitToPage="1"/>
  </sheetPr>
  <dimension ref="A1:Y33"/>
  <sheetViews>
    <sheetView topLeftCell="E10" zoomScale="70" zoomScaleNormal="70" zoomScaleSheetLayoutView="100" zoomScalePageLayoutView="68" workbookViewId="0">
      <selection activeCell="Y15" sqref="Y15"/>
    </sheetView>
  </sheetViews>
  <sheetFormatPr defaultColWidth="9.140625" defaultRowHeight="15" x14ac:dyDescent="0.25"/>
  <cols>
    <col min="1" max="1" width="18.28515625" style="14" customWidth="1"/>
    <col min="2" max="2" width="10.7109375" style="14" customWidth="1"/>
    <col min="3" max="3" width="12.28515625" style="14" customWidth="1"/>
    <col min="4" max="4" width="13.140625" style="14" bestFit="1" customWidth="1"/>
    <col min="5" max="5" width="12" style="14" customWidth="1"/>
    <col min="6" max="6" width="12.5703125" style="14" bestFit="1" customWidth="1"/>
    <col min="7" max="7" width="16" style="14" bestFit="1" customWidth="1"/>
    <col min="8" max="8" width="10.140625" style="14" bestFit="1" customWidth="1"/>
    <col min="9" max="9" width="10.5703125" style="14" bestFit="1" customWidth="1"/>
    <col min="10" max="10" width="10.5703125" style="14" customWidth="1"/>
    <col min="11" max="11" width="10.28515625" style="14" bestFit="1" customWidth="1"/>
    <col min="12" max="12" width="10.42578125" style="14" bestFit="1" customWidth="1"/>
    <col min="13" max="14" width="12" style="14" bestFit="1" customWidth="1"/>
    <col min="15" max="15" width="9" style="14" customWidth="1"/>
    <col min="16" max="16" width="12.85546875" style="14" bestFit="1" customWidth="1"/>
    <col min="17" max="18" width="9.42578125" style="14" customWidth="1"/>
    <col min="19" max="19" width="13.7109375" style="14" customWidth="1"/>
    <col min="20" max="20" width="12.140625" style="14" customWidth="1"/>
    <col min="21" max="21" width="21.7109375" style="14" customWidth="1"/>
    <col min="22" max="22" width="9.85546875" style="14" customWidth="1"/>
    <col min="23" max="23" width="10.140625" style="14" bestFit="1" customWidth="1"/>
    <col min="24" max="24" width="10.28515625" style="14" customWidth="1"/>
    <col min="25" max="25" width="28" style="14" customWidth="1"/>
    <col min="26" max="16384" width="9.140625" style="14"/>
  </cols>
  <sheetData>
    <row r="1" spans="1:25" ht="46.15" customHeight="1" x14ac:dyDescent="0.25">
      <c r="A1" s="2240" t="s">
        <v>148</v>
      </c>
      <c r="B1" s="2240"/>
      <c r="C1" s="2240"/>
      <c r="D1" s="2240"/>
      <c r="E1" s="2240"/>
      <c r="F1" s="2240"/>
      <c r="G1" s="2240"/>
      <c r="H1" s="2240"/>
      <c r="I1" s="2240"/>
      <c r="J1" s="2240"/>
      <c r="K1" s="2240"/>
      <c r="L1" s="2240"/>
      <c r="M1" s="2240"/>
      <c r="N1" s="2240"/>
      <c r="O1" s="2240"/>
      <c r="P1" s="2240"/>
      <c r="Q1" s="2240"/>
      <c r="R1" s="2240"/>
      <c r="S1" s="2240"/>
      <c r="T1" s="2240"/>
      <c r="U1" s="2240"/>
      <c r="V1" s="2240"/>
      <c r="W1" s="2240"/>
      <c r="X1" s="2240"/>
      <c r="Y1" s="2240"/>
    </row>
    <row r="2" spans="1:25" ht="21.6" customHeight="1" x14ac:dyDescent="0.25">
      <c r="A2" s="2241" t="s">
        <v>383</v>
      </c>
      <c r="B2" s="2241"/>
      <c r="C2" s="2241"/>
      <c r="D2" s="2241"/>
      <c r="E2" s="2241"/>
      <c r="F2" s="2241"/>
      <c r="G2" s="2241"/>
      <c r="H2" s="2241"/>
      <c r="I2" s="2241"/>
      <c r="J2" s="2241"/>
      <c r="K2" s="2241"/>
      <c r="L2" s="2241"/>
      <c r="M2" s="2241"/>
      <c r="N2" s="2241"/>
      <c r="O2" s="2241"/>
      <c r="P2" s="2241"/>
      <c r="Q2" s="2241"/>
      <c r="R2" s="2241"/>
      <c r="S2" s="2241"/>
      <c r="T2" s="2241"/>
      <c r="U2" s="2241"/>
      <c r="V2" s="2241"/>
      <c r="W2" s="2241"/>
      <c r="X2" s="2241"/>
      <c r="Y2" s="2241"/>
    </row>
    <row r="3" spans="1:25" ht="21" customHeight="1" x14ac:dyDescent="0.25">
      <c r="A3" s="1152"/>
      <c r="B3" s="1152"/>
      <c r="C3" s="1152"/>
      <c r="D3" s="1152"/>
      <c r="E3" s="1152"/>
      <c r="F3" s="1152"/>
      <c r="G3" s="1152"/>
      <c r="H3" s="1152"/>
      <c r="I3" s="1152"/>
      <c r="J3" s="1152"/>
      <c r="K3" s="1152"/>
      <c r="L3" s="1152"/>
      <c r="M3" s="1152"/>
      <c r="N3" s="1152"/>
      <c r="O3" s="1152"/>
      <c r="P3" s="1152"/>
      <c r="Q3" s="1152"/>
      <c r="R3" s="1152"/>
      <c r="S3" s="1152"/>
      <c r="T3" s="2242" t="s">
        <v>457</v>
      </c>
      <c r="U3" s="2242"/>
      <c r="V3" s="2242"/>
      <c r="W3" s="2242"/>
      <c r="X3" s="2242"/>
      <c r="Y3" s="2242"/>
    </row>
    <row r="4" spans="1:25" s="1152" customFormat="1" ht="18" customHeight="1" x14ac:dyDescent="0.25">
      <c r="A4" s="2243" t="s">
        <v>25</v>
      </c>
      <c r="B4" s="2243" t="s">
        <v>26</v>
      </c>
      <c r="C4" s="2244" t="s">
        <v>27</v>
      </c>
      <c r="D4" s="2244"/>
      <c r="E4" s="2244" t="s">
        <v>342</v>
      </c>
      <c r="F4" s="2244"/>
      <c r="G4" s="2244" t="s">
        <v>65</v>
      </c>
      <c r="H4" s="2244"/>
      <c r="I4" s="2244" t="s">
        <v>29</v>
      </c>
      <c r="J4" s="2244"/>
      <c r="K4" s="2245" t="s">
        <v>14</v>
      </c>
      <c r="L4" s="2246"/>
      <c r="M4" s="2245" t="s">
        <v>429</v>
      </c>
      <c r="N4" s="2246"/>
      <c r="O4" s="2245" t="s">
        <v>441</v>
      </c>
      <c r="P4" s="2246"/>
      <c r="Q4" s="2245" t="s">
        <v>114</v>
      </c>
      <c r="R4" s="2246"/>
      <c r="S4" s="2244" t="s">
        <v>35</v>
      </c>
      <c r="T4" s="2244"/>
      <c r="U4" s="2245" t="s">
        <v>17</v>
      </c>
      <c r="V4" s="2246"/>
      <c r="W4" s="2247" t="s">
        <v>36</v>
      </c>
      <c r="X4" s="2248"/>
      <c r="Y4" s="2238" t="s">
        <v>30</v>
      </c>
    </row>
    <row r="5" spans="1:25" s="1152" customFormat="1" ht="25.5" customHeight="1" x14ac:dyDescent="0.25">
      <c r="A5" s="2243"/>
      <c r="B5" s="2243"/>
      <c r="C5" s="1154" t="s">
        <v>42</v>
      </c>
      <c r="D5" s="1154" t="s">
        <v>43</v>
      </c>
      <c r="E5" s="1154" t="s">
        <v>42</v>
      </c>
      <c r="F5" s="1154" t="s">
        <v>43</v>
      </c>
      <c r="G5" s="1154" t="s">
        <v>42</v>
      </c>
      <c r="H5" s="1154" t="s">
        <v>43</v>
      </c>
      <c r="I5" s="1154" t="s">
        <v>42</v>
      </c>
      <c r="J5" s="1154" t="s">
        <v>43</v>
      </c>
      <c r="K5" s="1154" t="s">
        <v>42</v>
      </c>
      <c r="L5" s="1154" t="s">
        <v>43</v>
      </c>
      <c r="M5" s="1154" t="s">
        <v>42</v>
      </c>
      <c r="N5" s="1154" t="s">
        <v>43</v>
      </c>
      <c r="O5" s="1154" t="s">
        <v>42</v>
      </c>
      <c r="P5" s="1154" t="s">
        <v>43</v>
      </c>
      <c r="Q5" s="1154" t="s">
        <v>42</v>
      </c>
      <c r="R5" s="1154" t="s">
        <v>43</v>
      </c>
      <c r="S5" s="33" t="s">
        <v>42</v>
      </c>
      <c r="T5" s="33" t="s">
        <v>43</v>
      </c>
      <c r="U5" s="30" t="s">
        <v>42</v>
      </c>
      <c r="V5" s="30" t="s">
        <v>43</v>
      </c>
      <c r="W5" s="30" t="s">
        <v>42</v>
      </c>
      <c r="X5" s="30" t="s">
        <v>43</v>
      </c>
      <c r="Y5" s="2239"/>
    </row>
    <row r="6" spans="1:25" ht="34.5" customHeight="1" x14ac:dyDescent="0.25">
      <c r="A6" s="12">
        <v>1409935200</v>
      </c>
      <c r="B6" s="1153" t="s">
        <v>71</v>
      </c>
      <c r="C6" s="1156">
        <v>20938</v>
      </c>
      <c r="D6" s="1157">
        <f>0.9725*C6</f>
        <v>20362.205000000002</v>
      </c>
      <c r="E6" s="1156"/>
      <c r="F6" s="1157">
        <f>67.1*E6</f>
        <v>0</v>
      </c>
      <c r="G6" s="1156"/>
      <c r="H6" s="1156">
        <f>28.2*G6</f>
        <v>0</v>
      </c>
      <c r="I6" s="1156">
        <v>270</v>
      </c>
      <c r="J6" s="1156">
        <f>18.5*I6</f>
        <v>4995</v>
      </c>
      <c r="K6" s="1156"/>
      <c r="L6" s="1157">
        <f>28.2368*K6</f>
        <v>0</v>
      </c>
      <c r="M6" s="1156"/>
      <c r="N6" s="1157">
        <f>M6*47.6525</f>
        <v>0</v>
      </c>
      <c r="O6" s="1156"/>
      <c r="P6" s="1157">
        <f>O6*8.9</f>
        <v>0</v>
      </c>
      <c r="Q6" s="1157"/>
      <c r="R6" s="1157">
        <f>241*Q6</f>
        <v>0</v>
      </c>
      <c r="S6" s="1156"/>
      <c r="T6" s="1156">
        <f>241*S6</f>
        <v>0</v>
      </c>
      <c r="U6" s="1156"/>
      <c r="V6" s="1156">
        <f>332*U6</f>
        <v>0</v>
      </c>
      <c r="W6" s="1156">
        <v>1</v>
      </c>
      <c r="X6" s="19">
        <f>W6*100</f>
        <v>100</v>
      </c>
      <c r="Y6" s="20">
        <f t="shared" ref="Y6:Y12" si="0">D6+F6+H6+J6+L6+N6+P6+R6+T6+V6+X6</f>
        <v>25457.205000000002</v>
      </c>
    </row>
    <row r="7" spans="1:25" ht="31.5" customHeight="1" x14ac:dyDescent="0.25">
      <c r="A7" s="12">
        <v>1984225578</v>
      </c>
      <c r="B7" s="1153" t="s">
        <v>72</v>
      </c>
      <c r="C7" s="1156">
        <v>30151</v>
      </c>
      <c r="D7" s="1157">
        <f t="shared" ref="D7:D11" si="1">0.9725*C7</f>
        <v>29321.8475</v>
      </c>
      <c r="E7" s="1156"/>
      <c r="F7" s="1156">
        <f t="shared" ref="F7:F11" si="2">67.1*E7</f>
        <v>0</v>
      </c>
      <c r="G7" s="1156"/>
      <c r="H7" s="1156">
        <f t="shared" ref="H7:H11" si="3">28.2*G7</f>
        <v>0</v>
      </c>
      <c r="I7" s="1156"/>
      <c r="J7" s="1156">
        <f t="shared" ref="J7:J11" si="4">18.5*I7</f>
        <v>0</v>
      </c>
      <c r="K7" s="1156"/>
      <c r="L7" s="1157">
        <f t="shared" ref="L7:L11" si="5">28.2368*K7</f>
        <v>0</v>
      </c>
      <c r="M7" s="1156"/>
      <c r="N7" s="1157">
        <f t="shared" ref="N7:N11" si="6">M7*47.6525</f>
        <v>0</v>
      </c>
      <c r="O7" s="1156"/>
      <c r="P7" s="1157">
        <f t="shared" ref="P7:P11" si="7">O7*8.9</f>
        <v>0</v>
      </c>
      <c r="Q7" s="1157"/>
      <c r="R7" s="1157">
        <f t="shared" ref="R7:R11" si="8">241*Q7</f>
        <v>0</v>
      </c>
      <c r="S7" s="1156"/>
      <c r="T7" s="1156">
        <f t="shared" ref="T7:T10" si="9">241*S7</f>
        <v>0</v>
      </c>
      <c r="U7" s="1156"/>
      <c r="V7" s="1156">
        <f t="shared" ref="V7:V11" si="10">332*U7</f>
        <v>0</v>
      </c>
      <c r="W7" s="1156"/>
      <c r="X7" s="19">
        <f t="shared" ref="X7:X11" si="11">W7*100</f>
        <v>0</v>
      </c>
      <c r="Y7" s="20">
        <f t="shared" si="0"/>
        <v>29321.8475</v>
      </c>
    </row>
    <row r="8" spans="1:25" ht="35.25" customHeight="1" x14ac:dyDescent="0.25">
      <c r="A8" s="12">
        <v>1967020280</v>
      </c>
      <c r="B8" s="1153" t="s">
        <v>427</v>
      </c>
      <c r="C8" s="1156">
        <v>31136</v>
      </c>
      <c r="D8" s="1157">
        <f t="shared" si="1"/>
        <v>30279.760000000002</v>
      </c>
      <c r="E8" s="1156"/>
      <c r="F8" s="1156">
        <f t="shared" si="2"/>
        <v>0</v>
      </c>
      <c r="G8" s="1156"/>
      <c r="H8" s="1157">
        <f t="shared" si="3"/>
        <v>0</v>
      </c>
      <c r="I8" s="1156">
        <v>80</v>
      </c>
      <c r="J8" s="1156">
        <f t="shared" si="4"/>
        <v>1480</v>
      </c>
      <c r="K8" s="1156">
        <v>160</v>
      </c>
      <c r="L8" s="1157">
        <f t="shared" si="5"/>
        <v>4517.8879999999999</v>
      </c>
      <c r="M8" s="1156"/>
      <c r="N8" s="1157">
        <f t="shared" si="6"/>
        <v>0</v>
      </c>
      <c r="O8" s="1156"/>
      <c r="P8" s="1157">
        <f t="shared" si="7"/>
        <v>0</v>
      </c>
      <c r="Q8" s="1157"/>
      <c r="R8" s="1157">
        <f t="shared" si="8"/>
        <v>0</v>
      </c>
      <c r="S8" s="1156"/>
      <c r="T8" s="1156">
        <f t="shared" si="9"/>
        <v>0</v>
      </c>
      <c r="U8" s="1156"/>
      <c r="V8" s="1156">
        <f t="shared" si="10"/>
        <v>0</v>
      </c>
      <c r="W8" s="1156"/>
      <c r="X8" s="19">
        <f t="shared" si="11"/>
        <v>0</v>
      </c>
      <c r="Y8" s="20">
        <f t="shared" si="0"/>
        <v>36277.648000000001</v>
      </c>
    </row>
    <row r="9" spans="1:25" ht="38.25" customHeight="1" x14ac:dyDescent="0.25">
      <c r="A9" s="12">
        <v>1984225580</v>
      </c>
      <c r="B9" s="1153" t="s">
        <v>75</v>
      </c>
      <c r="C9" s="1156">
        <v>28984</v>
      </c>
      <c r="D9" s="1157">
        <f t="shared" si="1"/>
        <v>28186.940000000002</v>
      </c>
      <c r="E9" s="1156"/>
      <c r="F9" s="1156">
        <f t="shared" si="2"/>
        <v>0</v>
      </c>
      <c r="G9" s="1156"/>
      <c r="H9" s="1156">
        <f t="shared" si="3"/>
        <v>0</v>
      </c>
      <c r="I9" s="1156"/>
      <c r="J9" s="1156">
        <f t="shared" si="4"/>
        <v>0</v>
      </c>
      <c r="K9" s="1156"/>
      <c r="L9" s="1157">
        <f t="shared" si="5"/>
        <v>0</v>
      </c>
      <c r="M9" s="1156"/>
      <c r="N9" s="1157">
        <f t="shared" si="6"/>
        <v>0</v>
      </c>
      <c r="O9" s="1156"/>
      <c r="P9" s="1157">
        <f t="shared" si="7"/>
        <v>0</v>
      </c>
      <c r="Q9" s="1157"/>
      <c r="R9" s="1157">
        <f t="shared" si="8"/>
        <v>0</v>
      </c>
      <c r="S9" s="1156"/>
      <c r="T9" s="1156">
        <f t="shared" si="9"/>
        <v>0</v>
      </c>
      <c r="U9" s="1156"/>
      <c r="V9" s="1156">
        <f t="shared" si="10"/>
        <v>0</v>
      </c>
      <c r="W9" s="1156"/>
      <c r="X9" s="19">
        <f t="shared" si="11"/>
        <v>0</v>
      </c>
      <c r="Y9" s="20">
        <f t="shared" si="0"/>
        <v>28186.940000000002</v>
      </c>
    </row>
    <row r="10" spans="1:25" ht="35.25" customHeight="1" x14ac:dyDescent="0.25">
      <c r="A10" s="12">
        <v>1409935199</v>
      </c>
      <c r="C10" s="1156">
        <v>21876</v>
      </c>
      <c r="D10" s="1157">
        <f t="shared" si="1"/>
        <v>21274.41</v>
      </c>
      <c r="E10" s="1156"/>
      <c r="F10" s="1156">
        <f t="shared" si="2"/>
        <v>0</v>
      </c>
      <c r="G10" s="1156"/>
      <c r="H10" s="1156">
        <f t="shared" si="3"/>
        <v>0</v>
      </c>
      <c r="I10" s="1156"/>
      <c r="J10" s="1156">
        <f t="shared" si="4"/>
        <v>0</v>
      </c>
      <c r="K10" s="1156"/>
      <c r="L10" s="1157">
        <f t="shared" si="5"/>
        <v>0</v>
      </c>
      <c r="M10" s="1156"/>
      <c r="N10" s="1157">
        <f t="shared" si="6"/>
        <v>0</v>
      </c>
      <c r="O10" s="1156"/>
      <c r="P10" s="1157">
        <f t="shared" si="7"/>
        <v>0</v>
      </c>
      <c r="Q10" s="1157"/>
      <c r="R10" s="1157">
        <f t="shared" si="8"/>
        <v>0</v>
      </c>
      <c r="S10" s="1156">
        <v>5</v>
      </c>
      <c r="T10" s="1156">
        <f t="shared" si="9"/>
        <v>1205</v>
      </c>
      <c r="U10" s="1156"/>
      <c r="V10" s="1156">
        <f t="shared" si="10"/>
        <v>0</v>
      </c>
      <c r="W10" s="1156"/>
      <c r="X10" s="19">
        <f t="shared" si="11"/>
        <v>0</v>
      </c>
      <c r="Y10" s="20">
        <f t="shared" si="0"/>
        <v>22479.41</v>
      </c>
    </row>
    <row r="11" spans="1:25" ht="37.5" customHeight="1" x14ac:dyDescent="0.25">
      <c r="A11" s="12"/>
      <c r="B11" s="1155"/>
      <c r="C11" s="1156"/>
      <c r="D11" s="1157">
        <f t="shared" si="1"/>
        <v>0</v>
      </c>
      <c r="E11" s="1156"/>
      <c r="F11" s="1156">
        <f t="shared" si="2"/>
        <v>0</v>
      </c>
      <c r="G11" s="1156"/>
      <c r="H11" s="1156">
        <f t="shared" si="3"/>
        <v>0</v>
      </c>
      <c r="I11" s="1156"/>
      <c r="J11" s="1156">
        <f t="shared" si="4"/>
        <v>0</v>
      </c>
      <c r="K11" s="1156"/>
      <c r="L11" s="1157">
        <f t="shared" si="5"/>
        <v>0</v>
      </c>
      <c r="M11" s="1156"/>
      <c r="N11" s="1157">
        <f t="shared" si="6"/>
        <v>0</v>
      </c>
      <c r="O11" s="1156"/>
      <c r="P11" s="1157">
        <f t="shared" si="7"/>
        <v>0</v>
      </c>
      <c r="Q11" s="1157"/>
      <c r="R11" s="1157">
        <f t="shared" si="8"/>
        <v>0</v>
      </c>
      <c r="S11" s="1156"/>
      <c r="T11" s="1156">
        <f>341*S11</f>
        <v>0</v>
      </c>
      <c r="U11" s="1156"/>
      <c r="V11" s="1156">
        <f t="shared" si="10"/>
        <v>0</v>
      </c>
      <c r="W11" s="1156"/>
      <c r="X11" s="19">
        <f t="shared" si="11"/>
        <v>0</v>
      </c>
      <c r="Y11" s="20">
        <f t="shared" si="0"/>
        <v>0</v>
      </c>
    </row>
    <row r="12" spans="1:25" ht="29.25" customHeight="1" x14ac:dyDescent="0.25">
      <c r="A12" s="2235" t="s">
        <v>31</v>
      </c>
      <c r="B12" s="2235"/>
      <c r="C12" s="18">
        <f t="shared" ref="C12:X12" si="12">SUM(C6:C11)</f>
        <v>133085</v>
      </c>
      <c r="D12" s="18">
        <f t="shared" si="12"/>
        <v>129425.16250000001</v>
      </c>
      <c r="E12" s="18">
        <f t="shared" si="12"/>
        <v>0</v>
      </c>
      <c r="F12" s="18">
        <f t="shared" si="12"/>
        <v>0</v>
      </c>
      <c r="G12" s="18">
        <f t="shared" si="12"/>
        <v>0</v>
      </c>
      <c r="H12" s="18">
        <f t="shared" si="12"/>
        <v>0</v>
      </c>
      <c r="I12" s="18">
        <f t="shared" si="12"/>
        <v>350</v>
      </c>
      <c r="J12" s="18">
        <f t="shared" si="12"/>
        <v>6475</v>
      </c>
      <c r="K12" s="18">
        <f t="shared" si="12"/>
        <v>160</v>
      </c>
      <c r="L12" s="18">
        <f t="shared" si="12"/>
        <v>4517.8879999999999</v>
      </c>
      <c r="M12" s="18">
        <f t="shared" si="12"/>
        <v>0</v>
      </c>
      <c r="N12" s="23">
        <f t="shared" si="12"/>
        <v>0</v>
      </c>
      <c r="O12" s="18">
        <f t="shared" si="12"/>
        <v>0</v>
      </c>
      <c r="P12" s="23">
        <f t="shared" si="12"/>
        <v>0</v>
      </c>
      <c r="Q12" s="23">
        <f t="shared" si="12"/>
        <v>0</v>
      </c>
      <c r="R12" s="23">
        <f>SUM(R6:R11)</f>
        <v>0</v>
      </c>
      <c r="S12" s="23">
        <f>SUM(S6:S11)</f>
        <v>5</v>
      </c>
      <c r="T12" s="18">
        <f t="shared" si="12"/>
        <v>1205</v>
      </c>
      <c r="U12" s="18">
        <f t="shared" si="12"/>
        <v>0</v>
      </c>
      <c r="V12" s="18">
        <f t="shared" si="12"/>
        <v>0</v>
      </c>
      <c r="W12" s="18">
        <f t="shared" si="12"/>
        <v>1</v>
      </c>
      <c r="X12" s="18">
        <f t="shared" si="12"/>
        <v>100</v>
      </c>
      <c r="Y12" s="20">
        <f t="shared" si="0"/>
        <v>141723.05050000001</v>
      </c>
    </row>
    <row r="14" spans="1:25" ht="43.5" customHeight="1" x14ac:dyDescent="0.25">
      <c r="A14" s="30" t="s">
        <v>32</v>
      </c>
      <c r="B14" s="2236" t="s">
        <v>27</v>
      </c>
      <c r="C14" s="2236"/>
      <c r="D14" s="30" t="s">
        <v>333</v>
      </c>
      <c r="E14" s="30" t="s">
        <v>65</v>
      </c>
      <c r="F14" s="30" t="s">
        <v>34</v>
      </c>
      <c r="G14" s="30" t="s">
        <v>14</v>
      </c>
      <c r="H14" s="469" t="s">
        <v>173</v>
      </c>
      <c r="I14" s="30" t="s">
        <v>17</v>
      </c>
      <c r="J14" s="1161" t="s">
        <v>174</v>
      </c>
      <c r="K14" s="30" t="s">
        <v>36</v>
      </c>
      <c r="L14" s="1161" t="s">
        <v>403</v>
      </c>
      <c r="M14" s="30" t="s">
        <v>429</v>
      </c>
      <c r="N14" s="30" t="s">
        <v>442</v>
      </c>
      <c r="O14" s="1161" t="s">
        <v>114</v>
      </c>
      <c r="P14" s="30" t="s">
        <v>70</v>
      </c>
      <c r="Q14" s="2300" t="s">
        <v>378</v>
      </c>
      <c r="R14" s="2301"/>
      <c r="S14" s="1161" t="s">
        <v>401</v>
      </c>
      <c r="T14" s="2235" t="s">
        <v>46</v>
      </c>
      <c r="U14" s="1153" t="s">
        <v>176</v>
      </c>
      <c r="V14" s="2260">
        <v>22892</v>
      </c>
      <c r="W14" s="2268"/>
      <c r="X14" s="2261"/>
    </row>
    <row r="15" spans="1:25" ht="22.5" customHeight="1" x14ac:dyDescent="0.25">
      <c r="A15" s="100" t="s">
        <v>38</v>
      </c>
      <c r="B15" s="2260">
        <v>317746</v>
      </c>
      <c r="C15" s="2261"/>
      <c r="D15" s="1158">
        <v>180</v>
      </c>
      <c r="E15" s="1158">
        <v>0</v>
      </c>
      <c r="F15" s="1158">
        <v>17900</v>
      </c>
      <c r="G15" s="1158">
        <v>160</v>
      </c>
      <c r="H15" s="1158">
        <v>293</v>
      </c>
      <c r="I15" s="1158">
        <v>20</v>
      </c>
      <c r="J15" s="1158">
        <v>4</v>
      </c>
      <c r="K15" s="1158">
        <v>82</v>
      </c>
      <c r="L15" s="1158">
        <v>0</v>
      </c>
      <c r="M15" s="1158">
        <v>0</v>
      </c>
      <c r="N15" s="1158">
        <v>280</v>
      </c>
      <c r="O15" s="1158">
        <v>0</v>
      </c>
      <c r="P15" s="1158">
        <v>100</v>
      </c>
      <c r="Q15" s="2260">
        <v>0</v>
      </c>
      <c r="R15" s="2261"/>
      <c r="S15" s="1153">
        <v>6</v>
      </c>
      <c r="T15" s="2235"/>
      <c r="U15" s="1153" t="s">
        <v>64</v>
      </c>
      <c r="V15" s="2262">
        <v>6601</v>
      </c>
      <c r="W15" s="2262"/>
      <c r="X15" s="2262"/>
    </row>
    <row r="16" spans="1:25" ht="24.75" customHeight="1" x14ac:dyDescent="0.25">
      <c r="A16" s="100" t="s">
        <v>39</v>
      </c>
      <c r="B16" s="2260">
        <v>114285</v>
      </c>
      <c r="C16" s="2261"/>
      <c r="D16" s="1158"/>
      <c r="E16" s="1158"/>
      <c r="F16" s="1158"/>
      <c r="G16" s="1158"/>
      <c r="H16" s="1158"/>
      <c r="I16" s="1158"/>
      <c r="J16" s="1158"/>
      <c r="K16" s="1158"/>
      <c r="L16" s="1158"/>
      <c r="M16" s="1158"/>
      <c r="N16" s="1158"/>
      <c r="O16" s="1158"/>
      <c r="P16" s="1158"/>
      <c r="Q16" s="2225"/>
      <c r="R16" s="2225"/>
      <c r="S16" s="1158"/>
      <c r="T16" s="2254" t="s">
        <v>55</v>
      </c>
      <c r="U16" s="2254"/>
      <c r="V16" s="2267">
        <f>Y12</f>
        <v>141723.05050000001</v>
      </c>
      <c r="W16" s="2267"/>
      <c r="X16" s="2262"/>
    </row>
    <row r="17" spans="1:25" ht="28.5" customHeight="1" x14ac:dyDescent="0.25">
      <c r="A17" s="101" t="s">
        <v>44</v>
      </c>
      <c r="B17" s="2260"/>
      <c r="C17" s="2261"/>
      <c r="D17" s="1158"/>
      <c r="E17" s="1158"/>
      <c r="F17" s="1158"/>
      <c r="G17" s="1158"/>
      <c r="H17" s="1158"/>
      <c r="I17" s="1158"/>
      <c r="J17" s="1158"/>
      <c r="K17" s="1158"/>
      <c r="L17" s="1158"/>
      <c r="M17" s="1158"/>
      <c r="N17" s="1158"/>
      <c r="O17" s="1158"/>
      <c r="P17" s="1158"/>
      <c r="Q17" s="2225"/>
      <c r="R17" s="2225"/>
      <c r="S17" s="1155"/>
      <c r="T17" s="2294" t="s">
        <v>450</v>
      </c>
      <c r="U17" s="2295"/>
      <c r="V17" s="2296"/>
      <c r="W17" s="2296"/>
      <c r="X17" s="2296"/>
    </row>
    <row r="18" spans="1:25" ht="27" customHeight="1" x14ac:dyDescent="0.25">
      <c r="A18" s="100" t="s">
        <v>40</v>
      </c>
      <c r="B18" s="2264">
        <f>C12</f>
        <v>133085</v>
      </c>
      <c r="C18" s="2261"/>
      <c r="D18" s="1159">
        <f>E12</f>
        <v>0</v>
      </c>
      <c r="E18" s="1159">
        <f>G12</f>
        <v>0</v>
      </c>
      <c r="F18" s="1159">
        <f>I12</f>
        <v>350</v>
      </c>
      <c r="G18" s="1159">
        <f>K12</f>
        <v>160</v>
      </c>
      <c r="H18" s="1158">
        <v>5</v>
      </c>
      <c r="I18" s="1159">
        <f>U12</f>
        <v>0</v>
      </c>
      <c r="J18" s="1158"/>
      <c r="K18" s="1159">
        <f>W12</f>
        <v>1</v>
      </c>
      <c r="L18" s="1158"/>
      <c r="M18" s="1159">
        <f>M12</f>
        <v>0</v>
      </c>
      <c r="N18" s="1159">
        <f>O12</f>
        <v>0</v>
      </c>
      <c r="O18" s="1160">
        <f>Q12</f>
        <v>0</v>
      </c>
      <c r="P18" s="1159"/>
      <c r="Q18" s="2262"/>
      <c r="R18" s="2262"/>
      <c r="S18" s="1153"/>
      <c r="T18" s="2254" t="s">
        <v>57</v>
      </c>
      <c r="U18" s="2254"/>
      <c r="V18" s="2262">
        <v>28549</v>
      </c>
      <c r="W18" s="2262"/>
      <c r="X18" s="2262"/>
      <c r="Y18" s="2269"/>
    </row>
    <row r="19" spans="1:25" ht="25.5" customHeight="1" x14ac:dyDescent="0.25">
      <c r="A19" s="100" t="s">
        <v>41</v>
      </c>
      <c r="B19" s="2260">
        <f>B15+B16+B17-B18</f>
        <v>298946</v>
      </c>
      <c r="C19" s="2261"/>
      <c r="D19" s="1158">
        <f>D15+D16+D17-D18</f>
        <v>180</v>
      </c>
      <c r="E19" s="1158">
        <f t="shared" ref="E19:N19" si="13">E15+E16+E17-E18</f>
        <v>0</v>
      </c>
      <c r="F19" s="1158">
        <f t="shared" si="13"/>
        <v>17550</v>
      </c>
      <c r="G19" s="1158">
        <f t="shared" si="13"/>
        <v>0</v>
      </c>
      <c r="H19" s="1158">
        <f t="shared" si="13"/>
        <v>288</v>
      </c>
      <c r="I19" s="1158">
        <f t="shared" si="13"/>
        <v>20</v>
      </c>
      <c r="J19" s="1158">
        <f t="shared" si="13"/>
        <v>4</v>
      </c>
      <c r="K19" s="1158">
        <f t="shared" si="13"/>
        <v>81</v>
      </c>
      <c r="L19" s="1158">
        <f t="shared" si="13"/>
        <v>0</v>
      </c>
      <c r="M19" s="1158">
        <f t="shared" si="13"/>
        <v>0</v>
      </c>
      <c r="N19" s="1158">
        <f t="shared" si="13"/>
        <v>280</v>
      </c>
      <c r="O19" s="1158">
        <f>O15+O16+O17-O18</f>
        <v>0</v>
      </c>
      <c r="P19" s="1158">
        <f t="shared" ref="P19:Q19" si="14">P15+P16+P17-P18</f>
        <v>100</v>
      </c>
      <c r="Q19" s="2260">
        <f t="shared" si="14"/>
        <v>0</v>
      </c>
      <c r="R19" s="2261"/>
      <c r="S19" s="1153">
        <f>S15+S16-S17-S18</f>
        <v>6</v>
      </c>
      <c r="T19" s="2256" t="s">
        <v>48</v>
      </c>
      <c r="U19" s="49" t="s">
        <v>58</v>
      </c>
      <c r="V19" s="2262">
        <v>90000</v>
      </c>
      <c r="W19" s="2262"/>
      <c r="X19" s="2262"/>
      <c r="Y19" s="2269"/>
    </row>
    <row r="20" spans="1:25" ht="23.25" customHeight="1" x14ac:dyDescent="0.25">
      <c r="A20" s="289" t="s">
        <v>187</v>
      </c>
      <c r="B20" s="2286">
        <f>B19*0.9625</f>
        <v>287735.52500000002</v>
      </c>
      <c r="C20" s="2287"/>
      <c r="D20" s="290">
        <f>D19*66.41</f>
        <v>11953.8</v>
      </c>
      <c r="E20" s="290">
        <f>27.9368*E19</f>
        <v>0</v>
      </c>
      <c r="F20" s="290">
        <f>18.31*F19</f>
        <v>321340.5</v>
      </c>
      <c r="G20" s="290">
        <f>27.9368*G19</f>
        <v>0</v>
      </c>
      <c r="H20" s="290">
        <f>241*H19</f>
        <v>69408</v>
      </c>
      <c r="I20" s="290">
        <f>323*I19</f>
        <v>6460</v>
      </c>
      <c r="J20" s="290">
        <f>241*J19</f>
        <v>964</v>
      </c>
      <c r="K20" s="290">
        <f>K19*100</f>
        <v>8100</v>
      </c>
      <c r="L20" s="290">
        <f>241*L19</f>
        <v>0</v>
      </c>
      <c r="M20" s="290">
        <f>47.1625*M19</f>
        <v>0</v>
      </c>
      <c r="N20" s="290">
        <f>N19*8.81</f>
        <v>2466.8000000000002</v>
      </c>
      <c r="O20" s="290">
        <f>241*O19</f>
        <v>0</v>
      </c>
      <c r="P20" s="290">
        <f>P19*48.2</f>
        <v>4820</v>
      </c>
      <c r="Q20" s="2286">
        <f>341*Q19</f>
        <v>0</v>
      </c>
      <c r="R20" s="2287"/>
      <c r="S20" s="290">
        <f>341*S19</f>
        <v>2046</v>
      </c>
      <c r="T20" s="2257"/>
      <c r="U20" s="49" t="s">
        <v>59</v>
      </c>
      <c r="V20" s="2262"/>
      <c r="W20" s="2262"/>
      <c r="X20" s="2262"/>
      <c r="Y20" s="2269"/>
    </row>
    <row r="21" spans="1:25" ht="32.25" customHeight="1" x14ac:dyDescent="0.25">
      <c r="A21" s="291" t="s">
        <v>186</v>
      </c>
      <c r="B21" s="2293">
        <f>SUM(B20:S20)</f>
        <v>715294.625</v>
      </c>
      <c r="C21" s="2293"/>
      <c r="O21" s="1162"/>
      <c r="P21" s="1162"/>
      <c r="Q21" s="1162"/>
      <c r="R21" s="1162"/>
      <c r="T21" s="2294" t="s">
        <v>451</v>
      </c>
      <c r="U21" s="2295"/>
      <c r="V21" s="2297"/>
      <c r="W21" s="2298"/>
      <c r="X21" s="2299"/>
      <c r="Y21" s="2269"/>
    </row>
    <row r="22" spans="1:25" ht="35.25" customHeight="1" x14ac:dyDescent="0.25">
      <c r="A22" s="15"/>
      <c r="B22" s="2288" t="s">
        <v>49</v>
      </c>
      <c r="C22" s="2291">
        <v>90000</v>
      </c>
      <c r="D22" s="2291">
        <v>90000</v>
      </c>
      <c r="E22" s="2291">
        <v>110000</v>
      </c>
      <c r="F22" s="2291">
        <f>C22-D22+E22</f>
        <v>110000</v>
      </c>
      <c r="G22" s="1162"/>
      <c r="Q22" s="1162"/>
      <c r="R22" s="1162"/>
      <c r="T22" s="2251" t="s">
        <v>83</v>
      </c>
      <c r="U22" s="50" t="s">
        <v>60</v>
      </c>
      <c r="V22" s="2262">
        <v>112990</v>
      </c>
      <c r="W22" s="2262"/>
      <c r="X22" s="2262"/>
      <c r="Y22" s="2269"/>
    </row>
    <row r="23" spans="1:25" ht="39.75" customHeight="1" x14ac:dyDescent="0.25">
      <c r="A23" s="1162"/>
      <c r="B23" s="2289"/>
      <c r="C23" s="2292"/>
      <c r="D23" s="2292"/>
      <c r="E23" s="2292"/>
      <c r="F23" s="2292"/>
      <c r="G23" s="1162"/>
      <c r="Q23" s="1162"/>
      <c r="R23" s="1162"/>
      <c r="T23" s="2252"/>
      <c r="U23" s="50" t="s">
        <v>61</v>
      </c>
      <c r="V23" s="2262">
        <v>90000</v>
      </c>
      <c r="W23" s="2262"/>
      <c r="X23" s="2262"/>
      <c r="Y23" s="2269"/>
    </row>
    <row r="24" spans="1:25" ht="48" customHeight="1" x14ac:dyDescent="0.25">
      <c r="A24" s="1162"/>
      <c r="B24" s="2290"/>
      <c r="C24" s="290" t="s">
        <v>46</v>
      </c>
      <c r="D24" s="290" t="s">
        <v>50</v>
      </c>
      <c r="E24" s="290" t="s">
        <v>51</v>
      </c>
      <c r="F24" s="290" t="s">
        <v>52</v>
      </c>
      <c r="G24" s="1162"/>
      <c r="Q24" s="1162"/>
      <c r="R24" s="1162"/>
      <c r="T24" s="2235" t="s">
        <v>47</v>
      </c>
      <c r="U24" s="51" t="s">
        <v>62</v>
      </c>
      <c r="V24" s="2263">
        <f>V14+V16+V17-V18-V19-V20-V22+V23-V21</f>
        <v>23076.050500000012</v>
      </c>
      <c r="W24" s="2263"/>
      <c r="X24" s="2263"/>
      <c r="Y24" s="2269"/>
    </row>
    <row r="25" spans="1:25" ht="40.5" customHeight="1" x14ac:dyDescent="0.25">
      <c r="T25" s="2235"/>
      <c r="U25" s="51" t="s">
        <v>63</v>
      </c>
      <c r="V25" s="2262">
        <f>V15+V22-V23</f>
        <v>29591</v>
      </c>
      <c r="W25" s="2262"/>
      <c r="X25" s="2262"/>
    </row>
    <row r="26" spans="1:25" ht="36" customHeight="1" x14ac:dyDescent="0.25">
      <c r="K26" s="314"/>
    </row>
    <row r="28" spans="1:25" x14ac:dyDescent="0.25">
      <c r="J28" s="14" t="s">
        <v>139</v>
      </c>
    </row>
    <row r="32" spans="1:25" x14ac:dyDescent="0.25">
      <c r="I32" s="2280"/>
      <c r="J32" s="2280"/>
      <c r="K32" s="2280"/>
      <c r="L32" s="2280"/>
    </row>
    <row r="33" spans="9:12" x14ac:dyDescent="0.25">
      <c r="I33" s="1162"/>
      <c r="J33" s="1162"/>
      <c r="K33" s="2280"/>
      <c r="L33" s="2280"/>
    </row>
  </sheetData>
  <mergeCells count="62">
    <mergeCell ref="I32:J32"/>
    <mergeCell ref="K32:L32"/>
    <mergeCell ref="K33:L33"/>
    <mergeCell ref="T22:T23"/>
    <mergeCell ref="V22:X22"/>
    <mergeCell ref="V23:X23"/>
    <mergeCell ref="T24:T25"/>
    <mergeCell ref="V24:X24"/>
    <mergeCell ref="V25:X25"/>
    <mergeCell ref="Y18:Y24"/>
    <mergeCell ref="B19:C19"/>
    <mergeCell ref="Q19:R19"/>
    <mergeCell ref="T19:T20"/>
    <mergeCell ref="V19:X19"/>
    <mergeCell ref="B20:C20"/>
    <mergeCell ref="B22:B24"/>
    <mergeCell ref="C22:C23"/>
    <mergeCell ref="D22:D23"/>
    <mergeCell ref="E22:E23"/>
    <mergeCell ref="F22:F23"/>
    <mergeCell ref="Q20:R20"/>
    <mergeCell ref="V20:X20"/>
    <mergeCell ref="B21:C21"/>
    <mergeCell ref="T21:U21"/>
    <mergeCell ref="V21:X21"/>
    <mergeCell ref="B17:C17"/>
    <mergeCell ref="Q17:R17"/>
    <mergeCell ref="T17:U17"/>
    <mergeCell ref="V17:X17"/>
    <mergeCell ref="B18:C18"/>
    <mergeCell ref="Q18:R18"/>
    <mergeCell ref="T18:U18"/>
    <mergeCell ref="V18:X18"/>
    <mergeCell ref="W4:X4"/>
    <mergeCell ref="B16:C16"/>
    <mergeCell ref="Q16:R16"/>
    <mergeCell ref="T16:U16"/>
    <mergeCell ref="V16:X16"/>
    <mergeCell ref="A12:B12"/>
    <mergeCell ref="B14:C14"/>
    <mergeCell ref="Q14:R14"/>
    <mergeCell ref="T14:T15"/>
    <mergeCell ref="V14:X14"/>
    <mergeCell ref="B15:C15"/>
    <mergeCell ref="Q15:R15"/>
    <mergeCell ref="V15:X15"/>
    <mergeCell ref="A1:Y1"/>
    <mergeCell ref="A2:Y2"/>
    <mergeCell ref="T3:Y3"/>
    <mergeCell ref="A4:A5"/>
    <mergeCell ref="B4:B5"/>
    <mergeCell ref="C4:D4"/>
    <mergeCell ref="E4:F4"/>
    <mergeCell ref="G4:H4"/>
    <mergeCell ref="I4:J4"/>
    <mergeCell ref="K4:L4"/>
    <mergeCell ref="Y4:Y5"/>
    <mergeCell ref="M4:N4"/>
    <mergeCell ref="O4:P4"/>
    <mergeCell ref="Q4:R4"/>
    <mergeCell ref="S4:T4"/>
    <mergeCell ref="U4:V4"/>
  </mergeCells>
  <pageMargins left="0.15748031496063" right="0.15748031496063" top="0" bottom="0" header="0" footer="0"/>
  <pageSetup paperSize="9" scale="45" orientation="landscape" r:id="rId1"/>
</worksheet>
</file>

<file path=xl/worksheets/sheet2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56E2BD5-60AC-4480-8E92-6049355B972D}">
  <sheetPr>
    <pageSetUpPr fitToPage="1"/>
  </sheetPr>
  <dimension ref="A1:Y33"/>
  <sheetViews>
    <sheetView topLeftCell="E1" zoomScale="70" zoomScaleNormal="70" zoomScaleSheetLayoutView="100" zoomScalePageLayoutView="68" workbookViewId="0">
      <selection activeCell="L24" sqref="L24"/>
    </sheetView>
  </sheetViews>
  <sheetFormatPr defaultColWidth="9.140625" defaultRowHeight="15" x14ac:dyDescent="0.25"/>
  <cols>
    <col min="1" max="1" width="18.28515625" style="14" customWidth="1"/>
    <col min="2" max="2" width="10.7109375" style="14" customWidth="1"/>
    <col min="3" max="3" width="12.28515625" style="14" customWidth="1"/>
    <col min="4" max="4" width="13.140625" style="14" bestFit="1" customWidth="1"/>
    <col min="5" max="5" width="12" style="14" customWidth="1"/>
    <col min="6" max="6" width="12.5703125" style="14" bestFit="1" customWidth="1"/>
    <col min="7" max="7" width="16" style="14" bestFit="1" customWidth="1"/>
    <col min="8" max="8" width="10.140625" style="14" bestFit="1" customWidth="1"/>
    <col min="9" max="9" width="10.5703125" style="14" bestFit="1" customWidth="1"/>
    <col min="10" max="10" width="10.5703125" style="14" customWidth="1"/>
    <col min="11" max="11" width="10.28515625" style="14" bestFit="1" customWidth="1"/>
    <col min="12" max="12" width="10.42578125" style="14" bestFit="1" customWidth="1"/>
    <col min="13" max="14" width="12" style="14" bestFit="1" customWidth="1"/>
    <col min="15" max="15" width="9" style="14" customWidth="1"/>
    <col min="16" max="16" width="12.85546875" style="14" bestFit="1" customWidth="1"/>
    <col min="17" max="18" width="9.42578125" style="14" customWidth="1"/>
    <col min="19" max="19" width="13.7109375" style="14" customWidth="1"/>
    <col min="20" max="20" width="12.140625" style="14" customWidth="1"/>
    <col min="21" max="21" width="21.7109375" style="14" customWidth="1"/>
    <col min="22" max="22" width="9.85546875" style="14" customWidth="1"/>
    <col min="23" max="23" width="10.140625" style="14" bestFit="1" customWidth="1"/>
    <col min="24" max="24" width="10.28515625" style="14" customWidth="1"/>
    <col min="25" max="25" width="28" style="14" customWidth="1"/>
    <col min="26" max="16384" width="9.140625" style="14"/>
  </cols>
  <sheetData>
    <row r="1" spans="1:25" ht="46.15" customHeight="1" x14ac:dyDescent="0.25">
      <c r="A1" s="2240" t="s">
        <v>148</v>
      </c>
      <c r="B1" s="2240"/>
      <c r="C1" s="2240"/>
      <c r="D1" s="2240"/>
      <c r="E1" s="2240"/>
      <c r="F1" s="2240"/>
      <c r="G1" s="2240"/>
      <c r="H1" s="2240"/>
      <c r="I1" s="2240"/>
      <c r="J1" s="2240"/>
      <c r="K1" s="2240"/>
      <c r="L1" s="2240"/>
      <c r="M1" s="2240"/>
      <c r="N1" s="2240"/>
      <c r="O1" s="2240"/>
      <c r="P1" s="2240"/>
      <c r="Q1" s="2240"/>
      <c r="R1" s="2240"/>
      <c r="S1" s="2240"/>
      <c r="T1" s="2240"/>
      <c r="U1" s="2240"/>
      <c r="V1" s="2240"/>
      <c r="W1" s="2240"/>
      <c r="X1" s="2240"/>
      <c r="Y1" s="2240"/>
    </row>
    <row r="2" spans="1:25" ht="21.6" customHeight="1" x14ac:dyDescent="0.25">
      <c r="A2" s="2241" t="s">
        <v>383</v>
      </c>
      <c r="B2" s="2241"/>
      <c r="C2" s="2241"/>
      <c r="D2" s="2241"/>
      <c r="E2" s="2241"/>
      <c r="F2" s="2241"/>
      <c r="G2" s="2241"/>
      <c r="H2" s="2241"/>
      <c r="I2" s="2241"/>
      <c r="J2" s="2241"/>
      <c r="K2" s="2241"/>
      <c r="L2" s="2241"/>
      <c r="M2" s="2241"/>
      <c r="N2" s="2241"/>
      <c r="O2" s="2241"/>
      <c r="P2" s="2241"/>
      <c r="Q2" s="2241"/>
      <c r="R2" s="2241"/>
      <c r="S2" s="2241"/>
      <c r="T2" s="2241"/>
      <c r="U2" s="2241"/>
      <c r="V2" s="2241"/>
      <c r="W2" s="2241"/>
      <c r="X2" s="2241"/>
      <c r="Y2" s="2241"/>
    </row>
    <row r="3" spans="1:25" ht="21" customHeight="1" x14ac:dyDescent="0.25">
      <c r="A3" s="1168"/>
      <c r="B3" s="1168"/>
      <c r="C3" s="1168"/>
      <c r="D3" s="1168"/>
      <c r="E3" s="1168"/>
      <c r="F3" s="1168"/>
      <c r="G3" s="1168"/>
      <c r="H3" s="1168"/>
      <c r="I3" s="1168"/>
      <c r="J3" s="1168"/>
      <c r="K3" s="1168"/>
      <c r="L3" s="1168"/>
      <c r="M3" s="1168"/>
      <c r="N3" s="1168"/>
      <c r="O3" s="1168"/>
      <c r="P3" s="1168"/>
      <c r="Q3" s="1168"/>
      <c r="R3" s="1168"/>
      <c r="S3" s="1168"/>
      <c r="T3" s="2242" t="s">
        <v>458</v>
      </c>
      <c r="U3" s="2242"/>
      <c r="V3" s="2242"/>
      <c r="W3" s="2242"/>
      <c r="X3" s="2242"/>
      <c r="Y3" s="2242"/>
    </row>
    <row r="4" spans="1:25" s="1168" customFormat="1" ht="18" customHeight="1" x14ac:dyDescent="0.25">
      <c r="A4" s="2243" t="s">
        <v>25</v>
      </c>
      <c r="B4" s="2243" t="s">
        <v>26</v>
      </c>
      <c r="C4" s="2244" t="s">
        <v>27</v>
      </c>
      <c r="D4" s="2244"/>
      <c r="E4" s="2244" t="s">
        <v>342</v>
      </c>
      <c r="F4" s="2244"/>
      <c r="G4" s="2244" t="s">
        <v>65</v>
      </c>
      <c r="H4" s="2244"/>
      <c r="I4" s="2244" t="s">
        <v>29</v>
      </c>
      <c r="J4" s="2244"/>
      <c r="K4" s="2245" t="s">
        <v>14</v>
      </c>
      <c r="L4" s="2246"/>
      <c r="M4" s="2245" t="s">
        <v>429</v>
      </c>
      <c r="N4" s="2246"/>
      <c r="O4" s="2245" t="s">
        <v>441</v>
      </c>
      <c r="P4" s="2246"/>
      <c r="Q4" s="2245" t="s">
        <v>114</v>
      </c>
      <c r="R4" s="2246"/>
      <c r="S4" s="2244" t="s">
        <v>35</v>
      </c>
      <c r="T4" s="2244"/>
      <c r="U4" s="2245" t="s">
        <v>17</v>
      </c>
      <c r="V4" s="2246"/>
      <c r="W4" s="2247" t="s">
        <v>36</v>
      </c>
      <c r="X4" s="2248"/>
      <c r="Y4" s="2238" t="s">
        <v>30</v>
      </c>
    </row>
    <row r="5" spans="1:25" s="1168" customFormat="1" ht="25.5" customHeight="1" x14ac:dyDescent="0.25">
      <c r="A5" s="2243"/>
      <c r="B5" s="2243"/>
      <c r="C5" s="1167" t="s">
        <v>42</v>
      </c>
      <c r="D5" s="1167" t="s">
        <v>43</v>
      </c>
      <c r="E5" s="1167" t="s">
        <v>42</v>
      </c>
      <c r="F5" s="1167" t="s">
        <v>43</v>
      </c>
      <c r="G5" s="1167" t="s">
        <v>42</v>
      </c>
      <c r="H5" s="1167" t="s">
        <v>43</v>
      </c>
      <c r="I5" s="1167" t="s">
        <v>42</v>
      </c>
      <c r="J5" s="1167" t="s">
        <v>43</v>
      </c>
      <c r="K5" s="1167" t="s">
        <v>42</v>
      </c>
      <c r="L5" s="1167" t="s">
        <v>43</v>
      </c>
      <c r="M5" s="1167" t="s">
        <v>42</v>
      </c>
      <c r="N5" s="1167" t="s">
        <v>43</v>
      </c>
      <c r="O5" s="1167" t="s">
        <v>42</v>
      </c>
      <c r="P5" s="1167" t="s">
        <v>43</v>
      </c>
      <c r="Q5" s="1167" t="s">
        <v>42</v>
      </c>
      <c r="R5" s="1167" t="s">
        <v>43</v>
      </c>
      <c r="S5" s="33" t="s">
        <v>42</v>
      </c>
      <c r="T5" s="33" t="s">
        <v>43</v>
      </c>
      <c r="U5" s="30" t="s">
        <v>42</v>
      </c>
      <c r="V5" s="30" t="s">
        <v>43</v>
      </c>
      <c r="W5" s="30" t="s">
        <v>42</v>
      </c>
      <c r="X5" s="30" t="s">
        <v>43</v>
      </c>
      <c r="Y5" s="2239"/>
    </row>
    <row r="6" spans="1:25" ht="34.5" customHeight="1" x14ac:dyDescent="0.25">
      <c r="A6" s="12">
        <v>1409935200</v>
      </c>
      <c r="B6" s="1166" t="s">
        <v>71</v>
      </c>
      <c r="C6" s="1164">
        <v>53867</v>
      </c>
      <c r="D6" s="1163">
        <f>0.9725*C6</f>
        <v>52385.657500000001</v>
      </c>
      <c r="E6" s="1164"/>
      <c r="F6" s="1163">
        <f>67.1*E6</f>
        <v>0</v>
      </c>
      <c r="G6" s="1164"/>
      <c r="H6" s="1164">
        <f>28.2*G6</f>
        <v>0</v>
      </c>
      <c r="I6" s="1164">
        <v>230</v>
      </c>
      <c r="J6" s="1164">
        <f>18.5*I6</f>
        <v>4255</v>
      </c>
      <c r="K6" s="1164"/>
      <c r="L6" s="1163">
        <f>28.2368*K6</f>
        <v>0</v>
      </c>
      <c r="M6" s="1164"/>
      <c r="N6" s="1163">
        <f>M6*47.6525</f>
        <v>0</v>
      </c>
      <c r="O6" s="1164"/>
      <c r="P6" s="1163">
        <f>O6*8.9</f>
        <v>0</v>
      </c>
      <c r="Q6" s="1163"/>
      <c r="R6" s="1163">
        <f>241*Q6</f>
        <v>0</v>
      </c>
      <c r="S6" s="1164"/>
      <c r="T6" s="1164">
        <f>241*S6</f>
        <v>0</v>
      </c>
      <c r="U6" s="1164">
        <v>1</v>
      </c>
      <c r="V6" s="1164">
        <f>332*U6</f>
        <v>332</v>
      </c>
      <c r="W6" s="1164">
        <v>1</v>
      </c>
      <c r="X6" s="19">
        <f>W6*100</f>
        <v>100</v>
      </c>
      <c r="Y6" s="20">
        <f t="shared" ref="Y6:Y12" si="0">D6+F6+H6+J6+L6+N6+P6+R6+T6+V6+X6</f>
        <v>57072.657500000001</v>
      </c>
    </row>
    <row r="7" spans="1:25" ht="31.5" customHeight="1" x14ac:dyDescent="0.25">
      <c r="A7" s="12">
        <v>1984225578</v>
      </c>
      <c r="B7" s="1166" t="s">
        <v>72</v>
      </c>
      <c r="C7" s="1164">
        <v>39994</v>
      </c>
      <c r="D7" s="1163">
        <f t="shared" ref="D7:D11" si="1">0.9725*C7</f>
        <v>38894.165000000001</v>
      </c>
      <c r="E7" s="1164"/>
      <c r="F7" s="1164">
        <f t="shared" ref="F7:F11" si="2">67.1*E7</f>
        <v>0</v>
      </c>
      <c r="G7" s="1164"/>
      <c r="H7" s="1164">
        <f t="shared" ref="H7:H11" si="3">28.2*G7</f>
        <v>0</v>
      </c>
      <c r="I7" s="1164">
        <v>1100</v>
      </c>
      <c r="J7" s="1164">
        <f t="shared" ref="J7:J11" si="4">18.5*I7</f>
        <v>20350</v>
      </c>
      <c r="K7" s="1164"/>
      <c r="L7" s="1163">
        <f t="shared" ref="L7:L11" si="5">28.2368*K7</f>
        <v>0</v>
      </c>
      <c r="M7" s="1164"/>
      <c r="N7" s="1163">
        <f t="shared" ref="N7:N11" si="6">M7*47.6525</f>
        <v>0</v>
      </c>
      <c r="O7" s="1164"/>
      <c r="P7" s="1163">
        <f t="shared" ref="P7:P11" si="7">O7*8.9</f>
        <v>0</v>
      </c>
      <c r="Q7" s="1163"/>
      <c r="R7" s="1163">
        <f t="shared" ref="R7:R11" si="8">241*Q7</f>
        <v>0</v>
      </c>
      <c r="S7" s="1164"/>
      <c r="T7" s="1164">
        <f t="shared" ref="T7:T10" si="9">241*S7</f>
        <v>0</v>
      </c>
      <c r="U7" s="1164"/>
      <c r="V7" s="1164">
        <f t="shared" ref="V7:V11" si="10">332*U7</f>
        <v>0</v>
      </c>
      <c r="W7" s="1164"/>
      <c r="X7" s="19">
        <f t="shared" ref="X7:X11" si="11">W7*100</f>
        <v>0</v>
      </c>
      <c r="Y7" s="20">
        <f t="shared" si="0"/>
        <v>59244.165000000001</v>
      </c>
    </row>
    <row r="8" spans="1:25" ht="35.25" customHeight="1" x14ac:dyDescent="0.25">
      <c r="A8" s="12">
        <v>1967020280</v>
      </c>
      <c r="B8" s="1166" t="s">
        <v>427</v>
      </c>
      <c r="C8" s="1164">
        <v>18394</v>
      </c>
      <c r="D8" s="1163">
        <f t="shared" si="1"/>
        <v>17888.165000000001</v>
      </c>
      <c r="E8" s="1164"/>
      <c r="F8" s="1164">
        <f t="shared" si="2"/>
        <v>0</v>
      </c>
      <c r="G8" s="1164"/>
      <c r="H8" s="1163">
        <f t="shared" si="3"/>
        <v>0</v>
      </c>
      <c r="I8" s="1164"/>
      <c r="J8" s="1164">
        <f t="shared" si="4"/>
        <v>0</v>
      </c>
      <c r="K8" s="1164"/>
      <c r="L8" s="1163">
        <f t="shared" si="5"/>
        <v>0</v>
      </c>
      <c r="M8" s="1164"/>
      <c r="N8" s="1163">
        <f t="shared" si="6"/>
        <v>0</v>
      </c>
      <c r="O8" s="1164"/>
      <c r="P8" s="1163">
        <f t="shared" si="7"/>
        <v>0</v>
      </c>
      <c r="Q8" s="1163"/>
      <c r="R8" s="1163">
        <f t="shared" si="8"/>
        <v>0</v>
      </c>
      <c r="S8" s="1164"/>
      <c r="T8" s="1164">
        <f t="shared" si="9"/>
        <v>0</v>
      </c>
      <c r="U8" s="1164">
        <v>1</v>
      </c>
      <c r="V8" s="1164">
        <f t="shared" si="10"/>
        <v>332</v>
      </c>
      <c r="W8" s="1164"/>
      <c r="X8" s="19">
        <f t="shared" si="11"/>
        <v>0</v>
      </c>
      <c r="Y8" s="20">
        <f t="shared" si="0"/>
        <v>18220.165000000001</v>
      </c>
    </row>
    <row r="9" spans="1:25" ht="38.25" customHeight="1" x14ac:dyDescent="0.25">
      <c r="A9" s="12">
        <v>1984225580</v>
      </c>
      <c r="B9" s="1166" t="s">
        <v>75</v>
      </c>
      <c r="C9" s="1164">
        <v>44627</v>
      </c>
      <c r="D9" s="1163">
        <f t="shared" si="1"/>
        <v>43399.7575</v>
      </c>
      <c r="E9" s="1164"/>
      <c r="F9" s="1164">
        <f t="shared" si="2"/>
        <v>0</v>
      </c>
      <c r="G9" s="1164"/>
      <c r="H9" s="1164">
        <f t="shared" si="3"/>
        <v>0</v>
      </c>
      <c r="I9" s="1164">
        <v>330</v>
      </c>
      <c r="J9" s="1164">
        <f t="shared" si="4"/>
        <v>6105</v>
      </c>
      <c r="K9" s="1164"/>
      <c r="L9" s="1163">
        <f t="shared" si="5"/>
        <v>0</v>
      </c>
      <c r="M9" s="1164"/>
      <c r="N9" s="1163">
        <f t="shared" si="6"/>
        <v>0</v>
      </c>
      <c r="O9" s="1164"/>
      <c r="P9" s="1163">
        <f t="shared" si="7"/>
        <v>0</v>
      </c>
      <c r="Q9" s="1163"/>
      <c r="R9" s="1163">
        <f t="shared" si="8"/>
        <v>0</v>
      </c>
      <c r="S9" s="1164">
        <v>5</v>
      </c>
      <c r="T9" s="1164">
        <f t="shared" si="9"/>
        <v>1205</v>
      </c>
      <c r="U9" s="1164"/>
      <c r="V9" s="1164">
        <f t="shared" si="10"/>
        <v>0</v>
      </c>
      <c r="W9" s="1164"/>
      <c r="X9" s="19">
        <f t="shared" si="11"/>
        <v>0</v>
      </c>
      <c r="Y9" s="20">
        <f t="shared" si="0"/>
        <v>50709.7575</v>
      </c>
    </row>
    <row r="10" spans="1:25" ht="35.25" customHeight="1" x14ac:dyDescent="0.25">
      <c r="A10" s="12">
        <v>1409935199</v>
      </c>
      <c r="C10" s="1164"/>
      <c r="D10" s="1163">
        <f t="shared" si="1"/>
        <v>0</v>
      </c>
      <c r="E10" s="1164"/>
      <c r="F10" s="1164">
        <f t="shared" si="2"/>
        <v>0</v>
      </c>
      <c r="G10" s="1164"/>
      <c r="H10" s="1164">
        <f t="shared" si="3"/>
        <v>0</v>
      </c>
      <c r="I10" s="1164"/>
      <c r="J10" s="1164">
        <f t="shared" si="4"/>
        <v>0</v>
      </c>
      <c r="K10" s="1164"/>
      <c r="L10" s="1163">
        <f t="shared" si="5"/>
        <v>0</v>
      </c>
      <c r="M10" s="1164"/>
      <c r="N10" s="1163">
        <f t="shared" si="6"/>
        <v>0</v>
      </c>
      <c r="O10" s="1164"/>
      <c r="P10" s="1163">
        <f t="shared" si="7"/>
        <v>0</v>
      </c>
      <c r="Q10" s="1163"/>
      <c r="R10" s="1163">
        <f t="shared" si="8"/>
        <v>0</v>
      </c>
      <c r="S10" s="1164"/>
      <c r="T10" s="1164">
        <f t="shared" si="9"/>
        <v>0</v>
      </c>
      <c r="U10" s="1164"/>
      <c r="V10" s="1164">
        <f t="shared" si="10"/>
        <v>0</v>
      </c>
      <c r="W10" s="1164"/>
      <c r="X10" s="19">
        <f t="shared" si="11"/>
        <v>0</v>
      </c>
      <c r="Y10" s="20">
        <f t="shared" si="0"/>
        <v>0</v>
      </c>
    </row>
    <row r="11" spans="1:25" ht="37.5" customHeight="1" x14ac:dyDescent="0.25">
      <c r="A11" s="12"/>
      <c r="B11" s="1165"/>
      <c r="C11" s="1164"/>
      <c r="D11" s="1163">
        <f t="shared" si="1"/>
        <v>0</v>
      </c>
      <c r="E11" s="1164"/>
      <c r="F11" s="1164">
        <f t="shared" si="2"/>
        <v>0</v>
      </c>
      <c r="G11" s="1164"/>
      <c r="H11" s="1164">
        <f t="shared" si="3"/>
        <v>0</v>
      </c>
      <c r="I11" s="1164"/>
      <c r="J11" s="1164">
        <f t="shared" si="4"/>
        <v>0</v>
      </c>
      <c r="K11" s="1164"/>
      <c r="L11" s="1163">
        <f t="shared" si="5"/>
        <v>0</v>
      </c>
      <c r="M11" s="1164"/>
      <c r="N11" s="1163">
        <f t="shared" si="6"/>
        <v>0</v>
      </c>
      <c r="O11" s="1164"/>
      <c r="P11" s="1163">
        <f t="shared" si="7"/>
        <v>0</v>
      </c>
      <c r="Q11" s="1163"/>
      <c r="R11" s="1163">
        <f t="shared" si="8"/>
        <v>0</v>
      </c>
      <c r="S11" s="1164"/>
      <c r="T11" s="1164">
        <f>341*S11</f>
        <v>0</v>
      </c>
      <c r="U11" s="1164"/>
      <c r="V11" s="1164">
        <f t="shared" si="10"/>
        <v>0</v>
      </c>
      <c r="W11" s="1164"/>
      <c r="X11" s="19">
        <f t="shared" si="11"/>
        <v>0</v>
      </c>
      <c r="Y11" s="20">
        <f t="shared" si="0"/>
        <v>0</v>
      </c>
    </row>
    <row r="12" spans="1:25" ht="29.25" customHeight="1" x14ac:dyDescent="0.25">
      <c r="A12" s="2235" t="s">
        <v>31</v>
      </c>
      <c r="B12" s="2235"/>
      <c r="C12" s="18">
        <f t="shared" ref="C12:X12" si="12">SUM(C6:C11)</f>
        <v>156882</v>
      </c>
      <c r="D12" s="18">
        <f t="shared" si="12"/>
        <v>152567.74500000002</v>
      </c>
      <c r="E12" s="18">
        <f t="shared" si="12"/>
        <v>0</v>
      </c>
      <c r="F12" s="18">
        <f t="shared" si="12"/>
        <v>0</v>
      </c>
      <c r="G12" s="18">
        <f t="shared" si="12"/>
        <v>0</v>
      </c>
      <c r="H12" s="18">
        <f t="shared" si="12"/>
        <v>0</v>
      </c>
      <c r="I12" s="18">
        <f t="shared" si="12"/>
        <v>1660</v>
      </c>
      <c r="J12" s="18">
        <f t="shared" si="12"/>
        <v>30710</v>
      </c>
      <c r="K12" s="18">
        <f t="shared" si="12"/>
        <v>0</v>
      </c>
      <c r="L12" s="18">
        <f t="shared" si="12"/>
        <v>0</v>
      </c>
      <c r="M12" s="18">
        <f t="shared" si="12"/>
        <v>0</v>
      </c>
      <c r="N12" s="23">
        <f t="shared" si="12"/>
        <v>0</v>
      </c>
      <c r="O12" s="18">
        <f t="shared" si="12"/>
        <v>0</v>
      </c>
      <c r="P12" s="23">
        <f t="shared" si="12"/>
        <v>0</v>
      </c>
      <c r="Q12" s="23">
        <f t="shared" si="12"/>
        <v>0</v>
      </c>
      <c r="R12" s="23">
        <f>SUM(R6:R11)</f>
        <v>0</v>
      </c>
      <c r="S12" s="23">
        <f>SUM(S6:S11)</f>
        <v>5</v>
      </c>
      <c r="T12" s="18">
        <f t="shared" si="12"/>
        <v>1205</v>
      </c>
      <c r="U12" s="18">
        <f t="shared" si="12"/>
        <v>2</v>
      </c>
      <c r="V12" s="18">
        <f t="shared" si="12"/>
        <v>664</v>
      </c>
      <c r="W12" s="18">
        <f t="shared" si="12"/>
        <v>1</v>
      </c>
      <c r="X12" s="18">
        <f t="shared" si="12"/>
        <v>100</v>
      </c>
      <c r="Y12" s="20">
        <f t="shared" si="0"/>
        <v>185246.74500000002</v>
      </c>
    </row>
    <row r="14" spans="1:25" ht="43.5" customHeight="1" x14ac:dyDescent="0.25">
      <c r="A14" s="30" t="s">
        <v>32</v>
      </c>
      <c r="B14" s="2236" t="s">
        <v>27</v>
      </c>
      <c r="C14" s="2236"/>
      <c r="D14" s="30" t="s">
        <v>333</v>
      </c>
      <c r="E14" s="30" t="s">
        <v>65</v>
      </c>
      <c r="F14" s="30" t="s">
        <v>34</v>
      </c>
      <c r="G14" s="30" t="s">
        <v>14</v>
      </c>
      <c r="H14" s="469" t="s">
        <v>173</v>
      </c>
      <c r="I14" s="30" t="s">
        <v>17</v>
      </c>
      <c r="J14" s="1172" t="s">
        <v>174</v>
      </c>
      <c r="K14" s="30" t="s">
        <v>36</v>
      </c>
      <c r="L14" s="1172" t="s">
        <v>403</v>
      </c>
      <c r="M14" s="30" t="s">
        <v>429</v>
      </c>
      <c r="N14" s="30" t="s">
        <v>442</v>
      </c>
      <c r="O14" s="1172" t="s">
        <v>114</v>
      </c>
      <c r="P14" s="30" t="s">
        <v>70</v>
      </c>
      <c r="Q14" s="2300" t="s">
        <v>378</v>
      </c>
      <c r="R14" s="2301"/>
      <c r="S14" s="1172" t="s">
        <v>401</v>
      </c>
      <c r="T14" s="2235" t="s">
        <v>46</v>
      </c>
      <c r="U14" s="1166" t="s">
        <v>176</v>
      </c>
      <c r="V14" s="2260">
        <v>23076</v>
      </c>
      <c r="W14" s="2268"/>
      <c r="X14" s="2261"/>
    </row>
    <row r="15" spans="1:25" ht="22.5" customHeight="1" x14ac:dyDescent="0.25">
      <c r="A15" s="100" t="s">
        <v>38</v>
      </c>
      <c r="B15" s="2260">
        <v>298946</v>
      </c>
      <c r="C15" s="2261"/>
      <c r="D15" s="1169">
        <v>180</v>
      </c>
      <c r="E15" s="1169">
        <v>0</v>
      </c>
      <c r="F15" s="1169">
        <v>17550</v>
      </c>
      <c r="G15" s="1169">
        <v>0</v>
      </c>
      <c r="H15" s="1169">
        <v>288</v>
      </c>
      <c r="I15" s="1169">
        <v>20</v>
      </c>
      <c r="J15" s="1169">
        <v>4</v>
      </c>
      <c r="K15" s="1169">
        <v>81</v>
      </c>
      <c r="L15" s="1169">
        <v>0</v>
      </c>
      <c r="M15" s="1169">
        <v>0</v>
      </c>
      <c r="N15" s="1169">
        <v>280</v>
      </c>
      <c r="O15" s="1169">
        <v>0</v>
      </c>
      <c r="P15" s="1169">
        <v>100</v>
      </c>
      <c r="Q15" s="2260">
        <v>0</v>
      </c>
      <c r="R15" s="2261"/>
      <c r="S15" s="1166">
        <v>6</v>
      </c>
      <c r="T15" s="2235"/>
      <c r="U15" s="1166" t="s">
        <v>64</v>
      </c>
      <c r="V15" s="2262">
        <v>29591</v>
      </c>
      <c r="W15" s="2262"/>
      <c r="X15" s="2262"/>
    </row>
    <row r="16" spans="1:25" ht="24.75" customHeight="1" x14ac:dyDescent="0.25">
      <c r="A16" s="100" t="s">
        <v>39</v>
      </c>
      <c r="B16" s="2260">
        <v>166233</v>
      </c>
      <c r="C16" s="2261"/>
      <c r="D16" s="1169"/>
      <c r="E16" s="1169"/>
      <c r="F16" s="1169"/>
      <c r="G16" s="1169"/>
      <c r="H16" s="1169"/>
      <c r="I16" s="1169"/>
      <c r="J16" s="1169"/>
      <c r="K16" s="1169"/>
      <c r="L16" s="1169"/>
      <c r="M16" s="1169"/>
      <c r="N16" s="1169"/>
      <c r="O16" s="1169"/>
      <c r="P16" s="1169"/>
      <c r="Q16" s="2225"/>
      <c r="R16" s="2225"/>
      <c r="S16" s="1169"/>
      <c r="T16" s="2254" t="s">
        <v>55</v>
      </c>
      <c r="U16" s="2254"/>
      <c r="V16" s="2267">
        <f>Y12</f>
        <v>185246.74500000002</v>
      </c>
      <c r="W16" s="2267"/>
      <c r="X16" s="2262"/>
    </row>
    <row r="17" spans="1:25" ht="28.5" customHeight="1" x14ac:dyDescent="0.25">
      <c r="A17" s="101" t="s">
        <v>44</v>
      </c>
      <c r="B17" s="2260"/>
      <c r="C17" s="2261"/>
      <c r="D17" s="1169"/>
      <c r="E17" s="1169"/>
      <c r="F17" s="1169"/>
      <c r="G17" s="1169"/>
      <c r="H17" s="1169"/>
      <c r="I17" s="1169"/>
      <c r="J17" s="1169"/>
      <c r="K17" s="1169"/>
      <c r="L17" s="1169"/>
      <c r="M17" s="1169"/>
      <c r="N17" s="1169"/>
      <c r="O17" s="1169"/>
      <c r="P17" s="1169"/>
      <c r="Q17" s="2225"/>
      <c r="R17" s="2225"/>
      <c r="S17" s="1165"/>
      <c r="T17" s="2294" t="s">
        <v>450</v>
      </c>
      <c r="U17" s="2295"/>
      <c r="V17" s="2296"/>
      <c r="W17" s="2296"/>
      <c r="X17" s="2296"/>
    </row>
    <row r="18" spans="1:25" ht="27" customHeight="1" x14ac:dyDescent="0.25">
      <c r="A18" s="100" t="s">
        <v>40</v>
      </c>
      <c r="B18" s="2264">
        <f>C12</f>
        <v>156882</v>
      </c>
      <c r="C18" s="2261"/>
      <c r="D18" s="1171">
        <f>E12</f>
        <v>0</v>
      </c>
      <c r="E18" s="1171">
        <f>G12</f>
        <v>0</v>
      </c>
      <c r="F18" s="1171">
        <f>I12</f>
        <v>1660</v>
      </c>
      <c r="G18" s="1171">
        <f>K12</f>
        <v>0</v>
      </c>
      <c r="H18" s="1169">
        <v>5</v>
      </c>
      <c r="I18" s="1171">
        <f>U12</f>
        <v>2</v>
      </c>
      <c r="J18" s="1169"/>
      <c r="K18" s="1171">
        <f>W12</f>
        <v>1</v>
      </c>
      <c r="L18" s="1169"/>
      <c r="M18" s="1171">
        <f>M12</f>
        <v>0</v>
      </c>
      <c r="N18" s="1171">
        <f>O12</f>
        <v>0</v>
      </c>
      <c r="O18" s="1170">
        <f>Q12</f>
        <v>0</v>
      </c>
      <c r="P18" s="1171"/>
      <c r="Q18" s="2262"/>
      <c r="R18" s="2262"/>
      <c r="S18" s="1166"/>
      <c r="T18" s="2254" t="s">
        <v>57</v>
      </c>
      <c r="U18" s="2254"/>
      <c r="V18" s="2262">
        <v>620</v>
      </c>
      <c r="W18" s="2262"/>
      <c r="X18" s="2262"/>
      <c r="Y18" s="2269"/>
    </row>
    <row r="19" spans="1:25" ht="25.5" customHeight="1" x14ac:dyDescent="0.25">
      <c r="A19" s="100" t="s">
        <v>41</v>
      </c>
      <c r="B19" s="2260">
        <f>B15+B16+B17-B18</f>
        <v>308297</v>
      </c>
      <c r="C19" s="2261"/>
      <c r="D19" s="1169">
        <f>D15+D16+D17-D18</f>
        <v>180</v>
      </c>
      <c r="E19" s="1169">
        <f t="shared" ref="E19:N19" si="13">E15+E16+E17-E18</f>
        <v>0</v>
      </c>
      <c r="F19" s="1169">
        <f t="shared" si="13"/>
        <v>15890</v>
      </c>
      <c r="G19" s="1169">
        <f t="shared" si="13"/>
        <v>0</v>
      </c>
      <c r="H19" s="1169">
        <f t="shared" si="13"/>
        <v>283</v>
      </c>
      <c r="I19" s="1169">
        <f t="shared" si="13"/>
        <v>18</v>
      </c>
      <c r="J19" s="1169">
        <f t="shared" si="13"/>
        <v>4</v>
      </c>
      <c r="K19" s="1169">
        <f t="shared" si="13"/>
        <v>80</v>
      </c>
      <c r="L19" s="1169">
        <f t="shared" si="13"/>
        <v>0</v>
      </c>
      <c r="M19" s="1169">
        <f t="shared" si="13"/>
        <v>0</v>
      </c>
      <c r="N19" s="1169">
        <f t="shared" si="13"/>
        <v>280</v>
      </c>
      <c r="O19" s="1169">
        <f>O15+O16+O17-O18</f>
        <v>0</v>
      </c>
      <c r="P19" s="1169">
        <f t="shared" ref="P19:Q19" si="14">P15+P16+P17-P18</f>
        <v>100</v>
      </c>
      <c r="Q19" s="2260">
        <f t="shared" si="14"/>
        <v>0</v>
      </c>
      <c r="R19" s="2261"/>
      <c r="S19" s="1166">
        <f>S15+S16-S17-S18</f>
        <v>6</v>
      </c>
      <c r="T19" s="2256" t="s">
        <v>48</v>
      </c>
      <c r="U19" s="49" t="s">
        <v>58</v>
      </c>
      <c r="V19" s="2262">
        <v>110000</v>
      </c>
      <c r="W19" s="2262"/>
      <c r="X19" s="2262"/>
      <c r="Y19" s="2269"/>
    </row>
    <row r="20" spans="1:25" ht="23.25" customHeight="1" x14ac:dyDescent="0.25">
      <c r="A20" s="289" t="s">
        <v>187</v>
      </c>
      <c r="B20" s="2286">
        <f>B19*0.9625</f>
        <v>296735.86249999999</v>
      </c>
      <c r="C20" s="2287"/>
      <c r="D20" s="290">
        <f>D19*66.41</f>
        <v>11953.8</v>
      </c>
      <c r="E20" s="290">
        <f>27.9368*E19</f>
        <v>0</v>
      </c>
      <c r="F20" s="290">
        <f>18.31*F19</f>
        <v>290945.89999999997</v>
      </c>
      <c r="G20" s="290">
        <f>27.9368*G19</f>
        <v>0</v>
      </c>
      <c r="H20" s="290">
        <f>241*H19</f>
        <v>68203</v>
      </c>
      <c r="I20" s="290">
        <f>323*I19</f>
        <v>5814</v>
      </c>
      <c r="J20" s="290">
        <f>241*J19</f>
        <v>964</v>
      </c>
      <c r="K20" s="290">
        <f>K19*100</f>
        <v>8000</v>
      </c>
      <c r="L20" s="290">
        <f>241*L19</f>
        <v>0</v>
      </c>
      <c r="M20" s="290">
        <f>47.1625*M19</f>
        <v>0</v>
      </c>
      <c r="N20" s="290">
        <f>N19*8.81</f>
        <v>2466.8000000000002</v>
      </c>
      <c r="O20" s="290">
        <f>241*O19</f>
        <v>0</v>
      </c>
      <c r="P20" s="290">
        <f>P19*48.2</f>
        <v>4820</v>
      </c>
      <c r="Q20" s="2286">
        <f>341*Q19</f>
        <v>0</v>
      </c>
      <c r="R20" s="2287"/>
      <c r="S20" s="290">
        <f>341*S19</f>
        <v>2046</v>
      </c>
      <c r="T20" s="2257"/>
      <c r="U20" s="49" t="s">
        <v>59</v>
      </c>
      <c r="V20" s="2262"/>
      <c r="W20" s="2262"/>
      <c r="X20" s="2262"/>
      <c r="Y20" s="2269"/>
    </row>
    <row r="21" spans="1:25" ht="32.25" customHeight="1" x14ac:dyDescent="0.25">
      <c r="A21" s="291" t="s">
        <v>186</v>
      </c>
      <c r="B21" s="2293">
        <f>SUM(B20:S20)</f>
        <v>691949.36250000005</v>
      </c>
      <c r="C21" s="2293"/>
      <c r="O21" s="1173"/>
      <c r="P21" s="1173"/>
      <c r="Q21" s="1173"/>
      <c r="R21" s="1173"/>
      <c r="T21" s="2294" t="s">
        <v>451</v>
      </c>
      <c r="U21" s="2295"/>
      <c r="V21" s="2297"/>
      <c r="W21" s="2298"/>
      <c r="X21" s="2299"/>
      <c r="Y21" s="2269"/>
    </row>
    <row r="22" spans="1:25" ht="35.25" customHeight="1" x14ac:dyDescent="0.25">
      <c r="A22" s="15"/>
      <c r="B22" s="2288" t="s">
        <v>49</v>
      </c>
      <c r="C22" s="2291">
        <v>110000</v>
      </c>
      <c r="D22" s="2291">
        <v>110000</v>
      </c>
      <c r="E22" s="2291">
        <v>160000</v>
      </c>
      <c r="F22" s="2291">
        <f>C22-D22+E22</f>
        <v>160000</v>
      </c>
      <c r="G22" s="1173"/>
      <c r="Q22" s="1173"/>
      <c r="R22" s="1173"/>
      <c r="T22" s="2251" t="s">
        <v>83</v>
      </c>
      <c r="U22" s="50" t="s">
        <v>60</v>
      </c>
      <c r="V22" s="2262">
        <v>168620</v>
      </c>
      <c r="W22" s="2262"/>
      <c r="X22" s="2262"/>
      <c r="Y22" s="2269"/>
    </row>
    <row r="23" spans="1:25" ht="39.75" customHeight="1" x14ac:dyDescent="0.25">
      <c r="A23" s="1173"/>
      <c r="B23" s="2289"/>
      <c r="C23" s="2292"/>
      <c r="D23" s="2292"/>
      <c r="E23" s="2292"/>
      <c r="F23" s="2292"/>
      <c r="G23" s="1173"/>
      <c r="Q23" s="1173"/>
      <c r="R23" s="1173"/>
      <c r="T23" s="2252"/>
      <c r="U23" s="50" t="s">
        <v>61</v>
      </c>
      <c r="V23" s="2262">
        <v>110000</v>
      </c>
      <c r="W23" s="2262"/>
      <c r="X23" s="2262"/>
      <c r="Y23" s="2269"/>
    </row>
    <row r="24" spans="1:25" ht="48" customHeight="1" x14ac:dyDescent="0.25">
      <c r="A24" s="1173"/>
      <c r="B24" s="2290"/>
      <c r="C24" s="290" t="s">
        <v>46</v>
      </c>
      <c r="D24" s="290" t="s">
        <v>50</v>
      </c>
      <c r="E24" s="290" t="s">
        <v>51</v>
      </c>
      <c r="F24" s="290" t="s">
        <v>52</v>
      </c>
      <c r="G24" s="1173"/>
      <c r="Q24" s="1173"/>
      <c r="R24" s="1173"/>
      <c r="T24" s="2235" t="s">
        <v>47</v>
      </c>
      <c r="U24" s="51" t="s">
        <v>62</v>
      </c>
      <c r="V24" s="2263">
        <f>V14+V16+V17-V18-V19-V20-V22+V23-V21</f>
        <v>39082.745000000024</v>
      </c>
      <c r="W24" s="2263"/>
      <c r="X24" s="2263"/>
      <c r="Y24" s="2269"/>
    </row>
    <row r="25" spans="1:25" ht="40.5" customHeight="1" x14ac:dyDescent="0.25">
      <c r="T25" s="2235"/>
      <c r="U25" s="51" t="s">
        <v>63</v>
      </c>
      <c r="V25" s="2262">
        <f>V15+V22-V23</f>
        <v>88211</v>
      </c>
      <c r="W25" s="2262"/>
      <c r="X25" s="2262"/>
    </row>
    <row r="26" spans="1:25" ht="36" customHeight="1" x14ac:dyDescent="0.25">
      <c r="K26" s="314"/>
    </row>
    <row r="28" spans="1:25" x14ac:dyDescent="0.25">
      <c r="J28" s="14" t="s">
        <v>139</v>
      </c>
    </row>
    <row r="32" spans="1:25" x14ac:dyDescent="0.25">
      <c r="I32" s="2280"/>
      <c r="J32" s="2280"/>
      <c r="K32" s="2280"/>
      <c r="L32" s="2280"/>
    </row>
    <row r="33" spans="9:12" x14ac:dyDescent="0.25">
      <c r="I33" s="1173"/>
      <c r="J33" s="1173"/>
      <c r="K33" s="2280"/>
      <c r="L33" s="2280"/>
    </row>
  </sheetData>
  <mergeCells count="62">
    <mergeCell ref="A1:Y1"/>
    <mergeCell ref="A2:Y2"/>
    <mergeCell ref="T3:Y3"/>
    <mergeCell ref="A4:A5"/>
    <mergeCell ref="B4:B5"/>
    <mergeCell ref="C4:D4"/>
    <mergeCell ref="E4:F4"/>
    <mergeCell ref="G4:H4"/>
    <mergeCell ref="I4:J4"/>
    <mergeCell ref="K4:L4"/>
    <mergeCell ref="Y4:Y5"/>
    <mergeCell ref="M4:N4"/>
    <mergeCell ref="O4:P4"/>
    <mergeCell ref="Q4:R4"/>
    <mergeCell ref="S4:T4"/>
    <mergeCell ref="U4:V4"/>
    <mergeCell ref="W4:X4"/>
    <mergeCell ref="B16:C16"/>
    <mergeCell ref="Q16:R16"/>
    <mergeCell ref="T16:U16"/>
    <mergeCell ref="V16:X16"/>
    <mergeCell ref="A12:B12"/>
    <mergeCell ref="B14:C14"/>
    <mergeCell ref="Q14:R14"/>
    <mergeCell ref="T14:T15"/>
    <mergeCell ref="V14:X14"/>
    <mergeCell ref="B15:C15"/>
    <mergeCell ref="Q15:R15"/>
    <mergeCell ref="V15:X15"/>
    <mergeCell ref="B17:C17"/>
    <mergeCell ref="Q17:R17"/>
    <mergeCell ref="T17:U17"/>
    <mergeCell ref="V17:X17"/>
    <mergeCell ref="B18:C18"/>
    <mergeCell ref="Q18:R18"/>
    <mergeCell ref="T18:U18"/>
    <mergeCell ref="V18:X18"/>
    <mergeCell ref="Y18:Y24"/>
    <mergeCell ref="B19:C19"/>
    <mergeCell ref="Q19:R19"/>
    <mergeCell ref="T19:T20"/>
    <mergeCell ref="V19:X19"/>
    <mergeCell ref="B20:C20"/>
    <mergeCell ref="B22:B24"/>
    <mergeCell ref="C22:C23"/>
    <mergeCell ref="D22:D23"/>
    <mergeCell ref="E22:E23"/>
    <mergeCell ref="F22:F23"/>
    <mergeCell ref="Q20:R20"/>
    <mergeCell ref="V20:X20"/>
    <mergeCell ref="B21:C21"/>
    <mergeCell ref="T21:U21"/>
    <mergeCell ref="V21:X21"/>
    <mergeCell ref="I32:J32"/>
    <mergeCell ref="K32:L32"/>
    <mergeCell ref="K33:L33"/>
    <mergeCell ref="T22:T23"/>
    <mergeCell ref="V22:X22"/>
    <mergeCell ref="V23:X23"/>
    <mergeCell ref="T24:T25"/>
    <mergeCell ref="V24:X24"/>
    <mergeCell ref="V25:X25"/>
  </mergeCells>
  <pageMargins left="0.15748031496063" right="0.15748031496063" top="0" bottom="0" header="0" footer="0"/>
  <pageSetup paperSize="9" scale="45" orientation="landscape" r:id="rId1"/>
</worksheet>
</file>

<file path=xl/worksheets/sheet2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0F3169B-1E0D-4423-BD54-10B9D28D998B}">
  <sheetPr>
    <pageSetUpPr fitToPage="1"/>
  </sheetPr>
  <dimension ref="A1:Y33"/>
  <sheetViews>
    <sheetView topLeftCell="E13" zoomScale="70" zoomScaleNormal="70" zoomScaleSheetLayoutView="100" zoomScalePageLayoutView="68" workbookViewId="0">
      <selection activeCell="Y9" sqref="Y9:Y10"/>
    </sheetView>
  </sheetViews>
  <sheetFormatPr defaultColWidth="9.140625" defaultRowHeight="15" x14ac:dyDescent="0.25"/>
  <cols>
    <col min="1" max="1" width="18.28515625" style="14" customWidth="1"/>
    <col min="2" max="2" width="10.7109375" style="14" customWidth="1"/>
    <col min="3" max="3" width="12.28515625" style="14" customWidth="1"/>
    <col min="4" max="4" width="13.140625" style="14" bestFit="1" customWidth="1"/>
    <col min="5" max="5" width="12" style="14" customWidth="1"/>
    <col min="6" max="6" width="12.5703125" style="14" bestFit="1" customWidth="1"/>
    <col min="7" max="7" width="16" style="14" bestFit="1" customWidth="1"/>
    <col min="8" max="8" width="10.140625" style="14" bestFit="1" customWidth="1"/>
    <col min="9" max="9" width="10.5703125" style="14" bestFit="1" customWidth="1"/>
    <col min="10" max="10" width="10.5703125" style="14" customWidth="1"/>
    <col min="11" max="11" width="10.28515625" style="14" bestFit="1" customWidth="1"/>
    <col min="12" max="12" width="10.42578125" style="14" bestFit="1" customWidth="1"/>
    <col min="13" max="14" width="12" style="14" bestFit="1" customWidth="1"/>
    <col min="15" max="15" width="9" style="14" customWidth="1"/>
    <col min="16" max="16" width="12.85546875" style="14" bestFit="1" customWidth="1"/>
    <col min="17" max="18" width="9.42578125" style="14" customWidth="1"/>
    <col min="19" max="19" width="13.7109375" style="14" customWidth="1"/>
    <col min="20" max="20" width="12.140625" style="14" customWidth="1"/>
    <col min="21" max="21" width="21.7109375" style="14" customWidth="1"/>
    <col min="22" max="22" width="9.85546875" style="14" customWidth="1"/>
    <col min="23" max="23" width="10.140625" style="14" bestFit="1" customWidth="1"/>
    <col min="24" max="24" width="10.28515625" style="14" customWidth="1"/>
    <col min="25" max="25" width="28" style="14" customWidth="1"/>
    <col min="26" max="16384" width="9.140625" style="14"/>
  </cols>
  <sheetData>
    <row r="1" spans="1:25" ht="46.15" customHeight="1" x14ac:dyDescent="0.25">
      <c r="A1" s="2240" t="s">
        <v>148</v>
      </c>
      <c r="B1" s="2240"/>
      <c r="C1" s="2240"/>
      <c r="D1" s="2240"/>
      <c r="E1" s="2240"/>
      <c r="F1" s="2240"/>
      <c r="G1" s="2240"/>
      <c r="H1" s="2240"/>
      <c r="I1" s="2240"/>
      <c r="J1" s="2240"/>
      <c r="K1" s="2240"/>
      <c r="L1" s="2240"/>
      <c r="M1" s="2240"/>
      <c r="N1" s="2240"/>
      <c r="O1" s="2240"/>
      <c r="P1" s="2240"/>
      <c r="Q1" s="2240"/>
      <c r="R1" s="2240"/>
      <c r="S1" s="2240"/>
      <c r="T1" s="2240"/>
      <c r="U1" s="2240"/>
      <c r="V1" s="2240"/>
      <c r="W1" s="2240"/>
      <c r="X1" s="2240"/>
      <c r="Y1" s="2240"/>
    </row>
    <row r="2" spans="1:25" ht="21.6" customHeight="1" x14ac:dyDescent="0.25">
      <c r="A2" s="2241" t="s">
        <v>383</v>
      </c>
      <c r="B2" s="2241"/>
      <c r="C2" s="2241"/>
      <c r="D2" s="2241"/>
      <c r="E2" s="2241"/>
      <c r="F2" s="2241"/>
      <c r="G2" s="2241"/>
      <c r="H2" s="2241"/>
      <c r="I2" s="2241"/>
      <c r="J2" s="2241"/>
      <c r="K2" s="2241"/>
      <c r="L2" s="2241"/>
      <c r="M2" s="2241"/>
      <c r="N2" s="2241"/>
      <c r="O2" s="2241"/>
      <c r="P2" s="2241"/>
      <c r="Q2" s="2241"/>
      <c r="R2" s="2241"/>
      <c r="S2" s="2241"/>
      <c r="T2" s="2241"/>
      <c r="U2" s="2241"/>
      <c r="V2" s="2241"/>
      <c r="W2" s="2241"/>
      <c r="X2" s="2241"/>
      <c r="Y2" s="2241"/>
    </row>
    <row r="3" spans="1:25" ht="21" customHeight="1" x14ac:dyDescent="0.25">
      <c r="A3" s="1179"/>
      <c r="B3" s="1179"/>
      <c r="C3" s="1179"/>
      <c r="D3" s="1179"/>
      <c r="E3" s="1179"/>
      <c r="F3" s="1179"/>
      <c r="G3" s="1179"/>
      <c r="H3" s="1179"/>
      <c r="I3" s="1179"/>
      <c r="J3" s="1179"/>
      <c r="K3" s="1179"/>
      <c r="L3" s="1179"/>
      <c r="M3" s="1179"/>
      <c r="N3" s="1179"/>
      <c r="O3" s="1179"/>
      <c r="P3" s="1179"/>
      <c r="Q3" s="1179"/>
      <c r="R3" s="1179"/>
      <c r="S3" s="1179"/>
      <c r="T3" s="2242" t="s">
        <v>459</v>
      </c>
      <c r="U3" s="2242"/>
      <c r="V3" s="2242"/>
      <c r="W3" s="2242"/>
      <c r="X3" s="2242"/>
      <c r="Y3" s="2242"/>
    </row>
    <row r="4" spans="1:25" s="1179" customFormat="1" ht="18" customHeight="1" x14ac:dyDescent="0.25">
      <c r="A4" s="2243" t="s">
        <v>25</v>
      </c>
      <c r="B4" s="2243" t="s">
        <v>26</v>
      </c>
      <c r="C4" s="2244" t="s">
        <v>27</v>
      </c>
      <c r="D4" s="2244"/>
      <c r="E4" s="2244" t="s">
        <v>342</v>
      </c>
      <c r="F4" s="2244"/>
      <c r="G4" s="2244" t="s">
        <v>65</v>
      </c>
      <c r="H4" s="2244"/>
      <c r="I4" s="2244" t="s">
        <v>29</v>
      </c>
      <c r="J4" s="2244"/>
      <c r="K4" s="2245" t="s">
        <v>14</v>
      </c>
      <c r="L4" s="2246"/>
      <c r="M4" s="2245" t="s">
        <v>429</v>
      </c>
      <c r="N4" s="2246"/>
      <c r="O4" s="2245" t="s">
        <v>441</v>
      </c>
      <c r="P4" s="2246"/>
      <c r="Q4" s="2245" t="s">
        <v>114</v>
      </c>
      <c r="R4" s="2246"/>
      <c r="S4" s="2244" t="s">
        <v>35</v>
      </c>
      <c r="T4" s="2244"/>
      <c r="U4" s="2245" t="s">
        <v>17</v>
      </c>
      <c r="V4" s="2246"/>
      <c r="W4" s="2247" t="s">
        <v>36</v>
      </c>
      <c r="X4" s="2248"/>
      <c r="Y4" s="2238" t="s">
        <v>30</v>
      </c>
    </row>
    <row r="5" spans="1:25" s="1179" customFormat="1" ht="25.5" customHeight="1" x14ac:dyDescent="0.25">
      <c r="A5" s="2243"/>
      <c r="B5" s="2243"/>
      <c r="C5" s="1178" t="s">
        <v>42</v>
      </c>
      <c r="D5" s="1178" t="s">
        <v>43</v>
      </c>
      <c r="E5" s="1178" t="s">
        <v>42</v>
      </c>
      <c r="F5" s="1178" t="s">
        <v>43</v>
      </c>
      <c r="G5" s="1178" t="s">
        <v>42</v>
      </c>
      <c r="H5" s="1178" t="s">
        <v>43</v>
      </c>
      <c r="I5" s="1178" t="s">
        <v>42</v>
      </c>
      <c r="J5" s="1178" t="s">
        <v>43</v>
      </c>
      <c r="K5" s="1178" t="s">
        <v>42</v>
      </c>
      <c r="L5" s="1178" t="s">
        <v>43</v>
      </c>
      <c r="M5" s="1178" t="s">
        <v>42</v>
      </c>
      <c r="N5" s="1178" t="s">
        <v>43</v>
      </c>
      <c r="O5" s="1178" t="s">
        <v>42</v>
      </c>
      <c r="P5" s="1178" t="s">
        <v>43</v>
      </c>
      <c r="Q5" s="1178" t="s">
        <v>42</v>
      </c>
      <c r="R5" s="1178" t="s">
        <v>43</v>
      </c>
      <c r="S5" s="33" t="s">
        <v>42</v>
      </c>
      <c r="T5" s="33" t="s">
        <v>43</v>
      </c>
      <c r="U5" s="30" t="s">
        <v>42</v>
      </c>
      <c r="V5" s="30" t="s">
        <v>43</v>
      </c>
      <c r="W5" s="30" t="s">
        <v>42</v>
      </c>
      <c r="X5" s="30" t="s">
        <v>43</v>
      </c>
      <c r="Y5" s="2239"/>
    </row>
    <row r="6" spans="1:25" ht="34.5" customHeight="1" x14ac:dyDescent="0.25">
      <c r="A6" s="12">
        <v>1409935200</v>
      </c>
      <c r="B6" s="1177" t="s">
        <v>71</v>
      </c>
      <c r="C6" s="1175">
        <v>30243</v>
      </c>
      <c r="D6" s="1174">
        <f>0.9725*C6</f>
        <v>29411.317500000001</v>
      </c>
      <c r="E6" s="1175"/>
      <c r="F6" s="1174">
        <f>67.1*E6</f>
        <v>0</v>
      </c>
      <c r="G6" s="1175"/>
      <c r="H6" s="1175">
        <f>28.2*G6</f>
        <v>0</v>
      </c>
      <c r="I6" s="1175">
        <v>20</v>
      </c>
      <c r="J6" s="1175">
        <f>18.5*I6</f>
        <v>370</v>
      </c>
      <c r="K6" s="1175"/>
      <c r="L6" s="1174">
        <f>28.2368*K6</f>
        <v>0</v>
      </c>
      <c r="M6" s="1175"/>
      <c r="N6" s="1174">
        <f>M6*47.6525</f>
        <v>0</v>
      </c>
      <c r="O6" s="1175"/>
      <c r="P6" s="1174">
        <f>O6*8.9</f>
        <v>0</v>
      </c>
      <c r="Q6" s="1174"/>
      <c r="R6" s="1174">
        <f>241*Q6</f>
        <v>0</v>
      </c>
      <c r="S6" s="1175"/>
      <c r="T6" s="1175">
        <f>241*S6</f>
        <v>0</v>
      </c>
      <c r="U6" s="1175"/>
      <c r="V6" s="1175">
        <f>332*U6</f>
        <v>0</v>
      </c>
      <c r="W6" s="1175"/>
      <c r="X6" s="19">
        <f>W6*100</f>
        <v>0</v>
      </c>
      <c r="Y6" s="20">
        <f t="shared" ref="Y6:Y12" si="0">D6+F6+H6+J6+L6+N6+P6+R6+T6+V6+X6</f>
        <v>29781.317500000001</v>
      </c>
    </row>
    <row r="7" spans="1:25" ht="31.5" customHeight="1" x14ac:dyDescent="0.25">
      <c r="A7" s="12">
        <v>1984225578</v>
      </c>
      <c r="B7" s="1177" t="s">
        <v>72</v>
      </c>
      <c r="C7" s="1175">
        <v>74438</v>
      </c>
      <c r="D7" s="1174">
        <f t="shared" ref="D7:D11" si="1">0.9725*C7</f>
        <v>72390.955000000002</v>
      </c>
      <c r="E7" s="1175"/>
      <c r="F7" s="1175">
        <f t="shared" ref="F7:F11" si="2">67.1*E7</f>
        <v>0</v>
      </c>
      <c r="G7" s="1175"/>
      <c r="H7" s="1175">
        <f t="shared" ref="H7:H11" si="3">28.2*G7</f>
        <v>0</v>
      </c>
      <c r="I7" s="1175">
        <v>640</v>
      </c>
      <c r="J7" s="1175">
        <f t="shared" ref="J7:J11" si="4">18.5*I7</f>
        <v>11840</v>
      </c>
      <c r="K7" s="1175"/>
      <c r="L7" s="1174">
        <f t="shared" ref="L7:L11" si="5">28.2368*K7</f>
        <v>0</v>
      </c>
      <c r="M7" s="1175"/>
      <c r="N7" s="1174">
        <f t="shared" ref="N7:N11" si="6">M7*47.6525</f>
        <v>0</v>
      </c>
      <c r="O7" s="1175"/>
      <c r="P7" s="1174">
        <f t="shared" ref="P7:P11" si="7">O7*8.9</f>
        <v>0</v>
      </c>
      <c r="Q7" s="1174"/>
      <c r="R7" s="1174">
        <f t="shared" ref="R7:R11" si="8">241*Q7</f>
        <v>0</v>
      </c>
      <c r="S7" s="1175">
        <v>10</v>
      </c>
      <c r="T7" s="1175">
        <f t="shared" ref="T7:T10" si="9">241*S7</f>
        <v>2410</v>
      </c>
      <c r="U7" s="1175"/>
      <c r="V7" s="1175">
        <f t="shared" ref="V7:V11" si="10">332*U7</f>
        <v>0</v>
      </c>
      <c r="W7" s="1175"/>
      <c r="X7" s="19">
        <f t="shared" ref="X7:X11" si="11">W7*100</f>
        <v>0</v>
      </c>
      <c r="Y7" s="20">
        <f t="shared" si="0"/>
        <v>86640.955000000002</v>
      </c>
    </row>
    <row r="8" spans="1:25" ht="35.25" customHeight="1" x14ac:dyDescent="0.25">
      <c r="A8" s="12">
        <v>1967020280</v>
      </c>
      <c r="B8" s="1177" t="s">
        <v>427</v>
      </c>
      <c r="C8" s="1175">
        <v>43540</v>
      </c>
      <c r="D8" s="1174">
        <f t="shared" si="1"/>
        <v>42342.65</v>
      </c>
      <c r="E8" s="1175"/>
      <c r="F8" s="1175">
        <f t="shared" si="2"/>
        <v>0</v>
      </c>
      <c r="G8" s="1175"/>
      <c r="H8" s="1174">
        <f t="shared" si="3"/>
        <v>0</v>
      </c>
      <c r="I8" s="1175">
        <v>990</v>
      </c>
      <c r="J8" s="1175">
        <f t="shared" si="4"/>
        <v>18315</v>
      </c>
      <c r="K8" s="1175"/>
      <c r="L8" s="1174">
        <f t="shared" si="5"/>
        <v>0</v>
      </c>
      <c r="M8" s="1175"/>
      <c r="N8" s="1174">
        <f t="shared" si="6"/>
        <v>0</v>
      </c>
      <c r="O8" s="1175"/>
      <c r="P8" s="1174">
        <f t="shared" si="7"/>
        <v>0</v>
      </c>
      <c r="Q8" s="1174"/>
      <c r="R8" s="1174">
        <f t="shared" si="8"/>
        <v>0</v>
      </c>
      <c r="S8" s="1175"/>
      <c r="T8" s="1175">
        <f t="shared" si="9"/>
        <v>0</v>
      </c>
      <c r="U8" s="1175"/>
      <c r="V8" s="1175">
        <f t="shared" si="10"/>
        <v>0</v>
      </c>
      <c r="W8" s="1175"/>
      <c r="X8" s="19">
        <f t="shared" si="11"/>
        <v>0</v>
      </c>
      <c r="Y8" s="20">
        <f t="shared" si="0"/>
        <v>60657.65</v>
      </c>
    </row>
    <row r="9" spans="1:25" ht="38.25" customHeight="1" x14ac:dyDescent="0.25">
      <c r="A9" s="12">
        <v>1984225580</v>
      </c>
      <c r="B9" s="1177" t="s">
        <v>75</v>
      </c>
      <c r="C9" s="1175">
        <v>57153</v>
      </c>
      <c r="D9" s="1174">
        <f t="shared" si="1"/>
        <v>55581.292500000003</v>
      </c>
      <c r="E9" s="1175"/>
      <c r="F9" s="1175">
        <f t="shared" si="2"/>
        <v>0</v>
      </c>
      <c r="G9" s="1175"/>
      <c r="H9" s="1175">
        <f t="shared" si="3"/>
        <v>0</v>
      </c>
      <c r="I9" s="1175">
        <v>1130</v>
      </c>
      <c r="J9" s="1175">
        <f t="shared" si="4"/>
        <v>20905</v>
      </c>
      <c r="K9" s="1175"/>
      <c r="L9" s="1174">
        <f t="shared" si="5"/>
        <v>0</v>
      </c>
      <c r="M9" s="1175"/>
      <c r="N9" s="1174">
        <f t="shared" si="6"/>
        <v>0</v>
      </c>
      <c r="O9" s="1175"/>
      <c r="P9" s="1174">
        <f t="shared" si="7"/>
        <v>0</v>
      </c>
      <c r="Q9" s="1174"/>
      <c r="R9" s="1174">
        <f t="shared" si="8"/>
        <v>0</v>
      </c>
      <c r="S9" s="1175"/>
      <c r="T9" s="1175">
        <f t="shared" si="9"/>
        <v>0</v>
      </c>
      <c r="U9" s="1175"/>
      <c r="V9" s="1175">
        <f t="shared" si="10"/>
        <v>0</v>
      </c>
      <c r="W9" s="1175"/>
      <c r="X9" s="19">
        <f t="shared" si="11"/>
        <v>0</v>
      </c>
      <c r="Y9" s="20">
        <f t="shared" si="0"/>
        <v>76486.29250000001</v>
      </c>
    </row>
    <row r="10" spans="1:25" ht="35.25" customHeight="1" x14ac:dyDescent="0.25">
      <c r="A10" s="12">
        <v>1409935199</v>
      </c>
      <c r="C10" s="1175">
        <v>3058</v>
      </c>
      <c r="D10" s="1174">
        <f t="shared" si="1"/>
        <v>2973.9050000000002</v>
      </c>
      <c r="E10" s="1175"/>
      <c r="F10" s="1175">
        <f t="shared" si="2"/>
        <v>0</v>
      </c>
      <c r="G10" s="1175"/>
      <c r="H10" s="1175">
        <f t="shared" si="3"/>
        <v>0</v>
      </c>
      <c r="I10" s="1175"/>
      <c r="J10" s="1175">
        <f t="shared" si="4"/>
        <v>0</v>
      </c>
      <c r="K10" s="1175"/>
      <c r="L10" s="1174">
        <f t="shared" si="5"/>
        <v>0</v>
      </c>
      <c r="M10" s="1175"/>
      <c r="N10" s="1174">
        <f t="shared" si="6"/>
        <v>0</v>
      </c>
      <c r="O10" s="1175"/>
      <c r="P10" s="1174">
        <f t="shared" si="7"/>
        <v>0</v>
      </c>
      <c r="Q10" s="1174"/>
      <c r="R10" s="1174">
        <f t="shared" si="8"/>
        <v>0</v>
      </c>
      <c r="S10" s="1175"/>
      <c r="T10" s="1175">
        <f t="shared" si="9"/>
        <v>0</v>
      </c>
      <c r="U10" s="1175"/>
      <c r="V10" s="1175">
        <f t="shared" si="10"/>
        <v>0</v>
      </c>
      <c r="W10" s="1175"/>
      <c r="X10" s="19">
        <f t="shared" si="11"/>
        <v>0</v>
      </c>
      <c r="Y10" s="20">
        <f t="shared" si="0"/>
        <v>2973.9050000000002</v>
      </c>
    </row>
    <row r="11" spans="1:25" ht="37.5" customHeight="1" x14ac:dyDescent="0.25">
      <c r="A11" s="12"/>
      <c r="B11" s="1176"/>
      <c r="C11" s="1175"/>
      <c r="D11" s="1174">
        <f t="shared" si="1"/>
        <v>0</v>
      </c>
      <c r="E11" s="1175"/>
      <c r="F11" s="1175">
        <f t="shared" si="2"/>
        <v>0</v>
      </c>
      <c r="G11" s="1175"/>
      <c r="H11" s="1175">
        <f t="shared" si="3"/>
        <v>0</v>
      </c>
      <c r="I11" s="1175"/>
      <c r="J11" s="1175">
        <f t="shared" si="4"/>
        <v>0</v>
      </c>
      <c r="K11" s="1175"/>
      <c r="L11" s="1174">
        <f t="shared" si="5"/>
        <v>0</v>
      </c>
      <c r="M11" s="1175"/>
      <c r="N11" s="1174">
        <f t="shared" si="6"/>
        <v>0</v>
      </c>
      <c r="O11" s="1175"/>
      <c r="P11" s="1174">
        <f t="shared" si="7"/>
        <v>0</v>
      </c>
      <c r="Q11" s="1174"/>
      <c r="R11" s="1174">
        <f t="shared" si="8"/>
        <v>0</v>
      </c>
      <c r="S11" s="1175"/>
      <c r="T11" s="1175">
        <f>341*S11</f>
        <v>0</v>
      </c>
      <c r="U11" s="1175"/>
      <c r="V11" s="1175">
        <f t="shared" si="10"/>
        <v>0</v>
      </c>
      <c r="W11" s="1175"/>
      <c r="X11" s="19">
        <f t="shared" si="11"/>
        <v>0</v>
      </c>
      <c r="Y11" s="20">
        <f t="shared" si="0"/>
        <v>0</v>
      </c>
    </row>
    <row r="12" spans="1:25" ht="29.25" customHeight="1" x14ac:dyDescent="0.25">
      <c r="A12" s="2235" t="s">
        <v>31</v>
      </c>
      <c r="B12" s="2235"/>
      <c r="C12" s="18">
        <f t="shared" ref="C12:X12" si="12">SUM(C6:C11)</f>
        <v>208432</v>
      </c>
      <c r="D12" s="18">
        <f t="shared" si="12"/>
        <v>202700.12000000002</v>
      </c>
      <c r="E12" s="18">
        <f t="shared" si="12"/>
        <v>0</v>
      </c>
      <c r="F12" s="18">
        <f t="shared" si="12"/>
        <v>0</v>
      </c>
      <c r="G12" s="18">
        <f t="shared" si="12"/>
        <v>0</v>
      </c>
      <c r="H12" s="18">
        <f t="shared" si="12"/>
        <v>0</v>
      </c>
      <c r="I12" s="18">
        <f t="shared" si="12"/>
        <v>2780</v>
      </c>
      <c r="J12" s="18">
        <f t="shared" si="12"/>
        <v>51430</v>
      </c>
      <c r="K12" s="18">
        <f t="shared" si="12"/>
        <v>0</v>
      </c>
      <c r="L12" s="18">
        <f t="shared" si="12"/>
        <v>0</v>
      </c>
      <c r="M12" s="18">
        <f t="shared" si="12"/>
        <v>0</v>
      </c>
      <c r="N12" s="23">
        <f t="shared" si="12"/>
        <v>0</v>
      </c>
      <c r="O12" s="18">
        <f t="shared" si="12"/>
        <v>0</v>
      </c>
      <c r="P12" s="23">
        <f t="shared" si="12"/>
        <v>0</v>
      </c>
      <c r="Q12" s="23">
        <f t="shared" si="12"/>
        <v>0</v>
      </c>
      <c r="R12" s="23">
        <f>SUM(R6:R11)</f>
        <v>0</v>
      </c>
      <c r="S12" s="23">
        <f>SUM(S6:S11)</f>
        <v>10</v>
      </c>
      <c r="T12" s="18">
        <f t="shared" si="12"/>
        <v>2410</v>
      </c>
      <c r="U12" s="18">
        <f t="shared" si="12"/>
        <v>0</v>
      </c>
      <c r="V12" s="18">
        <f t="shared" si="12"/>
        <v>0</v>
      </c>
      <c r="W12" s="18">
        <f t="shared" si="12"/>
        <v>0</v>
      </c>
      <c r="X12" s="18">
        <f t="shared" si="12"/>
        <v>0</v>
      </c>
      <c r="Y12" s="20">
        <f t="shared" si="0"/>
        <v>256540.12000000002</v>
      </c>
    </row>
    <row r="14" spans="1:25" ht="43.5" customHeight="1" x14ac:dyDescent="0.25">
      <c r="A14" s="30" t="s">
        <v>32</v>
      </c>
      <c r="B14" s="2236" t="s">
        <v>27</v>
      </c>
      <c r="C14" s="2236"/>
      <c r="D14" s="30" t="s">
        <v>333</v>
      </c>
      <c r="E14" s="30" t="s">
        <v>65</v>
      </c>
      <c r="F14" s="30" t="s">
        <v>34</v>
      </c>
      <c r="G14" s="30" t="s">
        <v>14</v>
      </c>
      <c r="H14" s="469" t="s">
        <v>173</v>
      </c>
      <c r="I14" s="30" t="s">
        <v>17</v>
      </c>
      <c r="J14" s="1183" t="s">
        <v>174</v>
      </c>
      <c r="K14" s="30" t="s">
        <v>36</v>
      </c>
      <c r="L14" s="1183" t="s">
        <v>403</v>
      </c>
      <c r="M14" s="30" t="s">
        <v>429</v>
      </c>
      <c r="N14" s="30" t="s">
        <v>442</v>
      </c>
      <c r="O14" s="1183" t="s">
        <v>114</v>
      </c>
      <c r="P14" s="30" t="s">
        <v>70</v>
      </c>
      <c r="Q14" s="2300" t="s">
        <v>378</v>
      </c>
      <c r="R14" s="2301"/>
      <c r="S14" s="1183" t="s">
        <v>401</v>
      </c>
      <c r="T14" s="2235" t="s">
        <v>46</v>
      </c>
      <c r="U14" s="1177" t="s">
        <v>176</v>
      </c>
      <c r="V14" s="2260">
        <v>39083</v>
      </c>
      <c r="W14" s="2268"/>
      <c r="X14" s="2261"/>
    </row>
    <row r="15" spans="1:25" ht="22.5" customHeight="1" x14ac:dyDescent="0.25">
      <c r="A15" s="100" t="s">
        <v>38</v>
      </c>
      <c r="B15" s="2260">
        <v>308297</v>
      </c>
      <c r="C15" s="2261"/>
      <c r="D15" s="1180">
        <v>180</v>
      </c>
      <c r="E15" s="1180">
        <v>0</v>
      </c>
      <c r="F15" s="1180">
        <v>15890</v>
      </c>
      <c r="G15" s="1180">
        <v>0</v>
      </c>
      <c r="H15" s="1180">
        <v>283</v>
      </c>
      <c r="I15" s="1180">
        <v>18</v>
      </c>
      <c r="J15" s="1180">
        <v>4</v>
      </c>
      <c r="K15" s="1180">
        <v>80</v>
      </c>
      <c r="L15" s="1180">
        <v>0</v>
      </c>
      <c r="M15" s="1180">
        <v>0</v>
      </c>
      <c r="N15" s="1180">
        <v>280</v>
      </c>
      <c r="O15" s="1180">
        <v>0</v>
      </c>
      <c r="P15" s="1180">
        <v>100</v>
      </c>
      <c r="Q15" s="2260">
        <v>0</v>
      </c>
      <c r="R15" s="2261"/>
      <c r="S15" s="1177">
        <v>6</v>
      </c>
      <c r="T15" s="2235"/>
      <c r="U15" s="1177" t="s">
        <v>64</v>
      </c>
      <c r="V15" s="2262">
        <v>88211</v>
      </c>
      <c r="W15" s="2262"/>
      <c r="X15" s="2262"/>
    </row>
    <row r="16" spans="1:25" ht="24.75" customHeight="1" x14ac:dyDescent="0.25">
      <c r="A16" s="100" t="s">
        <v>39</v>
      </c>
      <c r="B16" s="2260">
        <v>214838</v>
      </c>
      <c r="C16" s="2261"/>
      <c r="D16" s="1180"/>
      <c r="E16" s="1180">
        <v>1000</v>
      </c>
      <c r="F16" s="1180">
        <v>14500</v>
      </c>
      <c r="G16" s="1180"/>
      <c r="H16" s="1180"/>
      <c r="I16" s="1180"/>
      <c r="J16" s="1180"/>
      <c r="K16" s="1180"/>
      <c r="L16" s="1180">
        <v>45</v>
      </c>
      <c r="M16" s="1180"/>
      <c r="N16" s="1180"/>
      <c r="O16" s="1180"/>
      <c r="P16" s="1180"/>
      <c r="Q16" s="2225"/>
      <c r="R16" s="2225"/>
      <c r="S16" s="1180"/>
      <c r="T16" s="2254" t="s">
        <v>55</v>
      </c>
      <c r="U16" s="2254"/>
      <c r="V16" s="2267">
        <f>Y12</f>
        <v>256540.12000000002</v>
      </c>
      <c r="W16" s="2267"/>
      <c r="X16" s="2262"/>
    </row>
    <row r="17" spans="1:25" ht="28.5" customHeight="1" x14ac:dyDescent="0.25">
      <c r="A17" s="101" t="s">
        <v>44</v>
      </c>
      <c r="B17" s="2260"/>
      <c r="C17" s="2261"/>
      <c r="D17" s="1180"/>
      <c r="E17" s="1180"/>
      <c r="F17" s="1180"/>
      <c r="G17" s="1180"/>
      <c r="H17" s="1180"/>
      <c r="I17" s="1180"/>
      <c r="J17" s="1180"/>
      <c r="K17" s="1180"/>
      <c r="L17" s="1180"/>
      <c r="M17" s="1180"/>
      <c r="N17" s="1180"/>
      <c r="O17" s="1180"/>
      <c r="P17" s="1180"/>
      <c r="Q17" s="2225"/>
      <c r="R17" s="2225"/>
      <c r="S17" s="1176"/>
      <c r="T17" s="2294" t="s">
        <v>450</v>
      </c>
      <c r="U17" s="2295"/>
      <c r="V17" s="2296"/>
      <c r="W17" s="2296"/>
      <c r="X17" s="2296"/>
    </row>
    <row r="18" spans="1:25" ht="27" customHeight="1" x14ac:dyDescent="0.25">
      <c r="A18" s="100" t="s">
        <v>40</v>
      </c>
      <c r="B18" s="2264">
        <f>C12</f>
        <v>208432</v>
      </c>
      <c r="C18" s="2261"/>
      <c r="D18" s="1182">
        <f>E12</f>
        <v>0</v>
      </c>
      <c r="E18" s="1182">
        <f>G12</f>
        <v>0</v>
      </c>
      <c r="F18" s="1182">
        <f>I12</f>
        <v>2780</v>
      </c>
      <c r="G18" s="1182">
        <f>K12</f>
        <v>0</v>
      </c>
      <c r="H18" s="1180">
        <v>55</v>
      </c>
      <c r="I18" s="1182">
        <f>U12</f>
        <v>0</v>
      </c>
      <c r="J18" s="1180"/>
      <c r="K18" s="1182">
        <f>W12</f>
        <v>0</v>
      </c>
      <c r="L18" s="1180"/>
      <c r="M18" s="1182">
        <f>M12</f>
        <v>0</v>
      </c>
      <c r="N18" s="1182">
        <f>O12</f>
        <v>0</v>
      </c>
      <c r="O18" s="1181">
        <f>Q12</f>
        <v>0</v>
      </c>
      <c r="P18" s="1182"/>
      <c r="Q18" s="2262"/>
      <c r="R18" s="2262"/>
      <c r="S18" s="1177"/>
      <c r="T18" s="2254" t="s">
        <v>57</v>
      </c>
      <c r="U18" s="2254"/>
      <c r="V18" s="2262">
        <v>2946</v>
      </c>
      <c r="W18" s="2262"/>
      <c r="X18" s="2262"/>
      <c r="Y18" s="2269"/>
    </row>
    <row r="19" spans="1:25" ht="25.5" customHeight="1" x14ac:dyDescent="0.25">
      <c r="A19" s="100" t="s">
        <v>41</v>
      </c>
      <c r="B19" s="2260">
        <f>B15+B16+B17-B18</f>
        <v>314703</v>
      </c>
      <c r="C19" s="2261"/>
      <c r="D19" s="1180">
        <f>D15+D16+D17-D18</f>
        <v>180</v>
      </c>
      <c r="E19" s="1180">
        <f t="shared" ref="E19:N19" si="13">E15+E16+E17-E18</f>
        <v>1000</v>
      </c>
      <c r="F19" s="1180">
        <f t="shared" si="13"/>
        <v>27610</v>
      </c>
      <c r="G19" s="1180">
        <f t="shared" si="13"/>
        <v>0</v>
      </c>
      <c r="H19" s="1180">
        <f t="shared" si="13"/>
        <v>228</v>
      </c>
      <c r="I19" s="1180">
        <f t="shared" si="13"/>
        <v>18</v>
      </c>
      <c r="J19" s="1180">
        <f t="shared" si="13"/>
        <v>4</v>
      </c>
      <c r="K19" s="1180">
        <f t="shared" si="13"/>
        <v>80</v>
      </c>
      <c r="L19" s="1180">
        <f t="shared" si="13"/>
        <v>45</v>
      </c>
      <c r="M19" s="1180">
        <f t="shared" si="13"/>
        <v>0</v>
      </c>
      <c r="N19" s="1180">
        <f t="shared" si="13"/>
        <v>280</v>
      </c>
      <c r="O19" s="1180">
        <f>O15+O16+O17-O18</f>
        <v>0</v>
      </c>
      <c r="P19" s="1180">
        <f t="shared" ref="P19:Q19" si="14">P15+P16+P17-P18</f>
        <v>100</v>
      </c>
      <c r="Q19" s="2260">
        <f t="shared" si="14"/>
        <v>0</v>
      </c>
      <c r="R19" s="2261"/>
      <c r="S19" s="1177">
        <f>S15+S16-S17-S18</f>
        <v>6</v>
      </c>
      <c r="T19" s="2256" t="s">
        <v>48</v>
      </c>
      <c r="U19" s="49" t="s">
        <v>58</v>
      </c>
      <c r="V19" s="2262">
        <v>160000</v>
      </c>
      <c r="W19" s="2262"/>
      <c r="X19" s="2262"/>
      <c r="Y19" s="2269"/>
    </row>
    <row r="20" spans="1:25" ht="23.25" customHeight="1" x14ac:dyDescent="0.25">
      <c r="A20" s="289" t="s">
        <v>187</v>
      </c>
      <c r="B20" s="2286">
        <f>B19*0.9625</f>
        <v>302901.63750000001</v>
      </c>
      <c r="C20" s="2287"/>
      <c r="D20" s="290">
        <f>D19*66.41</f>
        <v>11953.8</v>
      </c>
      <c r="E20" s="290">
        <f>27.9368*E19</f>
        <v>27936.800000000003</v>
      </c>
      <c r="F20" s="290">
        <f>18.31*F19</f>
        <v>505539.1</v>
      </c>
      <c r="G20" s="290">
        <f>27.9368*G19</f>
        <v>0</v>
      </c>
      <c r="H20" s="290">
        <f>241*H19</f>
        <v>54948</v>
      </c>
      <c r="I20" s="290">
        <f>323*I19</f>
        <v>5814</v>
      </c>
      <c r="J20" s="290">
        <f>241*J19</f>
        <v>964</v>
      </c>
      <c r="K20" s="290">
        <f>K19*100</f>
        <v>8000</v>
      </c>
      <c r="L20" s="290">
        <f>241*L19</f>
        <v>10845</v>
      </c>
      <c r="M20" s="290">
        <f>47.1625*M19</f>
        <v>0</v>
      </c>
      <c r="N20" s="290">
        <f>N19*8.81</f>
        <v>2466.8000000000002</v>
      </c>
      <c r="O20" s="290">
        <f>241*O19</f>
        <v>0</v>
      </c>
      <c r="P20" s="290">
        <f>P19*48.2</f>
        <v>4820</v>
      </c>
      <c r="Q20" s="2286">
        <f>341*Q19</f>
        <v>0</v>
      </c>
      <c r="R20" s="2287"/>
      <c r="S20" s="290">
        <f>341*S19</f>
        <v>2046</v>
      </c>
      <c r="T20" s="2257"/>
      <c r="U20" s="49" t="s">
        <v>59</v>
      </c>
      <c r="V20" s="2262">
        <v>143000</v>
      </c>
      <c r="W20" s="2262"/>
      <c r="X20" s="2262"/>
      <c r="Y20" s="2269"/>
    </row>
    <row r="21" spans="1:25" ht="32.25" customHeight="1" x14ac:dyDescent="0.25">
      <c r="A21" s="291" t="s">
        <v>186</v>
      </c>
      <c r="B21" s="2293">
        <f>SUM(B20:S20)</f>
        <v>938235.13749999995</v>
      </c>
      <c r="C21" s="2293"/>
      <c r="O21" s="1184"/>
      <c r="P21" s="1184"/>
      <c r="Q21" s="1184"/>
      <c r="R21" s="1184"/>
      <c r="T21" s="2294" t="s">
        <v>451</v>
      </c>
      <c r="U21" s="2295"/>
      <c r="V21" s="2297"/>
      <c r="W21" s="2298"/>
      <c r="X21" s="2299"/>
      <c r="Y21" s="2269"/>
    </row>
    <row r="22" spans="1:25" ht="35.25" customHeight="1" x14ac:dyDescent="0.25">
      <c r="A22" s="15"/>
      <c r="B22" s="2288" t="s">
        <v>49</v>
      </c>
      <c r="C22" s="2291">
        <v>160000</v>
      </c>
      <c r="D22" s="2291">
        <v>160000</v>
      </c>
      <c r="E22" s="2291">
        <v>357190</v>
      </c>
      <c r="F22" s="2291">
        <f>C22-D22+E22</f>
        <v>357190</v>
      </c>
      <c r="G22" s="1184"/>
      <c r="Q22" s="1184"/>
      <c r="R22" s="1184"/>
      <c r="T22" s="2251" t="s">
        <v>83</v>
      </c>
      <c r="U22" s="50" t="s">
        <v>60</v>
      </c>
      <c r="V22" s="2262">
        <v>222400</v>
      </c>
      <c r="W22" s="2262"/>
      <c r="X22" s="2262"/>
      <c r="Y22" s="2269"/>
    </row>
    <row r="23" spans="1:25" ht="39.75" customHeight="1" x14ac:dyDescent="0.25">
      <c r="A23" s="1184"/>
      <c r="B23" s="2289"/>
      <c r="C23" s="2292"/>
      <c r="D23" s="2292"/>
      <c r="E23" s="2292"/>
      <c r="F23" s="2292"/>
      <c r="G23" s="1184"/>
      <c r="Q23" s="1184"/>
      <c r="R23" s="1184"/>
      <c r="T23" s="2252"/>
      <c r="U23" s="50" t="s">
        <v>61</v>
      </c>
      <c r="V23" s="2262">
        <v>303000</v>
      </c>
      <c r="W23" s="2262"/>
      <c r="X23" s="2262"/>
      <c r="Y23" s="2269"/>
    </row>
    <row r="24" spans="1:25" ht="48" customHeight="1" x14ac:dyDescent="0.25">
      <c r="A24" s="1184"/>
      <c r="B24" s="2290"/>
      <c r="C24" s="290" t="s">
        <v>46</v>
      </c>
      <c r="D24" s="290" t="s">
        <v>50</v>
      </c>
      <c r="E24" s="290" t="s">
        <v>51</v>
      </c>
      <c r="F24" s="290" t="s">
        <v>52</v>
      </c>
      <c r="G24" s="1184"/>
      <c r="Q24" s="1184"/>
      <c r="R24" s="1184"/>
      <c r="T24" s="2235" t="s">
        <v>47</v>
      </c>
      <c r="U24" s="51" t="s">
        <v>62</v>
      </c>
      <c r="V24" s="2263">
        <f>V14+V16+V17-V18-V19-V20-V22+V23-V21</f>
        <v>70277.119999999995</v>
      </c>
      <c r="W24" s="2263"/>
      <c r="X24" s="2263"/>
      <c r="Y24" s="2269"/>
    </row>
    <row r="25" spans="1:25" ht="40.5" customHeight="1" x14ac:dyDescent="0.25">
      <c r="T25" s="2235"/>
      <c r="U25" s="51" t="s">
        <v>63</v>
      </c>
      <c r="V25" s="2262">
        <f>V15+V22-V23</f>
        <v>7611</v>
      </c>
      <c r="W25" s="2262"/>
      <c r="X25" s="2262"/>
    </row>
    <row r="26" spans="1:25" ht="36" customHeight="1" x14ac:dyDescent="0.25">
      <c r="K26" s="314"/>
    </row>
    <row r="28" spans="1:25" x14ac:dyDescent="0.25">
      <c r="J28" s="14" t="s">
        <v>139</v>
      </c>
    </row>
    <row r="32" spans="1:25" x14ac:dyDescent="0.25">
      <c r="I32" s="2280"/>
      <c r="J32" s="2280"/>
      <c r="K32" s="2280"/>
      <c r="L32" s="2280"/>
    </row>
    <row r="33" spans="9:12" x14ac:dyDescent="0.25">
      <c r="I33" s="1184"/>
      <c r="J33" s="1184"/>
      <c r="K33" s="2280"/>
      <c r="L33" s="2280"/>
    </row>
  </sheetData>
  <mergeCells count="62">
    <mergeCell ref="A1:Y1"/>
    <mergeCell ref="A2:Y2"/>
    <mergeCell ref="T3:Y3"/>
    <mergeCell ref="A4:A5"/>
    <mergeCell ref="B4:B5"/>
    <mergeCell ref="C4:D4"/>
    <mergeCell ref="E4:F4"/>
    <mergeCell ref="G4:H4"/>
    <mergeCell ref="I4:J4"/>
    <mergeCell ref="K4:L4"/>
    <mergeCell ref="Y4:Y5"/>
    <mergeCell ref="M4:N4"/>
    <mergeCell ref="O4:P4"/>
    <mergeCell ref="Q4:R4"/>
    <mergeCell ref="S4:T4"/>
    <mergeCell ref="U4:V4"/>
    <mergeCell ref="W4:X4"/>
    <mergeCell ref="B16:C16"/>
    <mergeCell ref="Q16:R16"/>
    <mergeCell ref="T16:U16"/>
    <mergeCell ref="V16:X16"/>
    <mergeCell ref="A12:B12"/>
    <mergeCell ref="B14:C14"/>
    <mergeCell ref="Q14:R14"/>
    <mergeCell ref="T14:T15"/>
    <mergeCell ref="V14:X14"/>
    <mergeCell ref="B15:C15"/>
    <mergeCell ref="Q15:R15"/>
    <mergeCell ref="V15:X15"/>
    <mergeCell ref="B17:C17"/>
    <mergeCell ref="Q17:R17"/>
    <mergeCell ref="T17:U17"/>
    <mergeCell ref="V17:X17"/>
    <mergeCell ref="B18:C18"/>
    <mergeCell ref="Q18:R18"/>
    <mergeCell ref="T18:U18"/>
    <mergeCell ref="V18:X18"/>
    <mergeCell ref="Y18:Y24"/>
    <mergeCell ref="B19:C19"/>
    <mergeCell ref="Q19:R19"/>
    <mergeCell ref="T19:T20"/>
    <mergeCell ref="V19:X19"/>
    <mergeCell ref="B20:C20"/>
    <mergeCell ref="B22:B24"/>
    <mergeCell ref="C22:C23"/>
    <mergeCell ref="D22:D23"/>
    <mergeCell ref="E22:E23"/>
    <mergeCell ref="F22:F23"/>
    <mergeCell ref="Q20:R20"/>
    <mergeCell ref="V20:X20"/>
    <mergeCell ref="B21:C21"/>
    <mergeCell ref="T21:U21"/>
    <mergeCell ref="V21:X21"/>
    <mergeCell ref="I32:J32"/>
    <mergeCell ref="K32:L32"/>
    <mergeCell ref="K33:L33"/>
    <mergeCell ref="T22:T23"/>
    <mergeCell ref="V22:X22"/>
    <mergeCell ref="V23:X23"/>
    <mergeCell ref="T24:T25"/>
    <mergeCell ref="V24:X24"/>
    <mergeCell ref="V25:X25"/>
  </mergeCells>
  <pageMargins left="0.15748031496063" right="0.15748031496063" top="0" bottom="0" header="0" footer="0"/>
  <pageSetup paperSize="9" scale="45" orientation="landscape" r:id="rId1"/>
</worksheet>
</file>

<file path=xl/worksheets/sheet2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9A3E848-8735-47DB-92E3-D4EA01E68791}">
  <sheetPr>
    <pageSetUpPr fitToPage="1"/>
  </sheetPr>
  <dimension ref="A1:Y33"/>
  <sheetViews>
    <sheetView topLeftCell="E11" zoomScale="70" zoomScaleNormal="70" zoomScaleSheetLayoutView="100" zoomScalePageLayoutView="68" workbookViewId="0">
      <selection activeCell="J23" sqref="J23"/>
    </sheetView>
  </sheetViews>
  <sheetFormatPr defaultColWidth="9.140625" defaultRowHeight="15" x14ac:dyDescent="0.25"/>
  <cols>
    <col min="1" max="1" width="18.28515625" style="14" customWidth="1"/>
    <col min="2" max="2" width="10.7109375" style="14" customWidth="1"/>
    <col min="3" max="3" width="12.28515625" style="14" customWidth="1"/>
    <col min="4" max="4" width="13.140625" style="14" bestFit="1" customWidth="1"/>
    <col min="5" max="5" width="12" style="14" customWidth="1"/>
    <col min="6" max="6" width="12.5703125" style="14" bestFit="1" customWidth="1"/>
    <col min="7" max="7" width="16" style="14" bestFit="1" customWidth="1"/>
    <col min="8" max="8" width="10.140625" style="14" bestFit="1" customWidth="1"/>
    <col min="9" max="9" width="10.5703125" style="14" bestFit="1" customWidth="1"/>
    <col min="10" max="10" width="10.5703125" style="14" customWidth="1"/>
    <col min="11" max="11" width="10.28515625" style="14" bestFit="1" customWidth="1"/>
    <col min="12" max="12" width="10.42578125" style="14" bestFit="1" customWidth="1"/>
    <col min="13" max="14" width="12" style="14" bestFit="1" customWidth="1"/>
    <col min="15" max="15" width="9" style="14" customWidth="1"/>
    <col min="16" max="16" width="12.85546875" style="14" bestFit="1" customWidth="1"/>
    <col min="17" max="18" width="9.42578125" style="14" customWidth="1"/>
    <col min="19" max="19" width="13.7109375" style="14" customWidth="1"/>
    <col min="20" max="20" width="12.140625" style="14" customWidth="1"/>
    <col min="21" max="21" width="21.7109375" style="14" customWidth="1"/>
    <col min="22" max="22" width="9.85546875" style="14" customWidth="1"/>
    <col min="23" max="23" width="10.140625" style="14" bestFit="1" customWidth="1"/>
    <col min="24" max="24" width="10.28515625" style="14" customWidth="1"/>
    <col min="25" max="25" width="28" style="14" customWidth="1"/>
    <col min="26" max="16384" width="9.140625" style="14"/>
  </cols>
  <sheetData>
    <row r="1" spans="1:25" ht="46.15" customHeight="1" x14ac:dyDescent="0.25">
      <c r="A1" s="2240" t="s">
        <v>148</v>
      </c>
      <c r="B1" s="2240"/>
      <c r="C1" s="2240"/>
      <c r="D1" s="2240"/>
      <c r="E1" s="2240"/>
      <c r="F1" s="2240"/>
      <c r="G1" s="2240"/>
      <c r="H1" s="2240"/>
      <c r="I1" s="2240"/>
      <c r="J1" s="2240"/>
      <c r="K1" s="2240"/>
      <c r="L1" s="2240"/>
      <c r="M1" s="2240"/>
      <c r="N1" s="2240"/>
      <c r="O1" s="2240"/>
      <c r="P1" s="2240"/>
      <c r="Q1" s="2240"/>
      <c r="R1" s="2240"/>
      <c r="S1" s="2240"/>
      <c r="T1" s="2240"/>
      <c r="U1" s="2240"/>
      <c r="V1" s="2240"/>
      <c r="W1" s="2240"/>
      <c r="X1" s="2240"/>
      <c r="Y1" s="2240"/>
    </row>
    <row r="2" spans="1:25" ht="21.6" customHeight="1" x14ac:dyDescent="0.25">
      <c r="A2" s="2241" t="s">
        <v>383</v>
      </c>
      <c r="B2" s="2241"/>
      <c r="C2" s="2241"/>
      <c r="D2" s="2241"/>
      <c r="E2" s="2241"/>
      <c r="F2" s="2241"/>
      <c r="G2" s="2241"/>
      <c r="H2" s="2241"/>
      <c r="I2" s="2241"/>
      <c r="J2" s="2241"/>
      <c r="K2" s="2241"/>
      <c r="L2" s="2241"/>
      <c r="M2" s="2241"/>
      <c r="N2" s="2241"/>
      <c r="O2" s="2241"/>
      <c r="P2" s="2241"/>
      <c r="Q2" s="2241"/>
      <c r="R2" s="2241"/>
      <c r="S2" s="2241"/>
      <c r="T2" s="2241"/>
      <c r="U2" s="2241"/>
      <c r="V2" s="2241"/>
      <c r="W2" s="2241"/>
      <c r="X2" s="2241"/>
      <c r="Y2" s="2241"/>
    </row>
    <row r="3" spans="1:25" ht="21" customHeight="1" x14ac:dyDescent="0.25">
      <c r="A3" s="1185"/>
      <c r="B3" s="1185"/>
      <c r="C3" s="1185"/>
      <c r="D3" s="1185"/>
      <c r="E3" s="1185"/>
      <c r="F3" s="1185"/>
      <c r="G3" s="1185"/>
      <c r="H3" s="1185"/>
      <c r="I3" s="1185"/>
      <c r="J3" s="1185"/>
      <c r="K3" s="1185"/>
      <c r="L3" s="1185"/>
      <c r="M3" s="1185"/>
      <c r="N3" s="1185"/>
      <c r="O3" s="1185"/>
      <c r="P3" s="1185"/>
      <c r="Q3" s="1185"/>
      <c r="R3" s="1185"/>
      <c r="S3" s="1185"/>
      <c r="T3" s="2242" t="s">
        <v>460</v>
      </c>
      <c r="U3" s="2242"/>
      <c r="V3" s="2242"/>
      <c r="W3" s="2242"/>
      <c r="X3" s="2242"/>
      <c r="Y3" s="2242"/>
    </row>
    <row r="4" spans="1:25" s="1185" customFormat="1" ht="18" customHeight="1" x14ac:dyDescent="0.25">
      <c r="A4" s="2243" t="s">
        <v>25</v>
      </c>
      <c r="B4" s="2243" t="s">
        <v>26</v>
      </c>
      <c r="C4" s="2244" t="s">
        <v>27</v>
      </c>
      <c r="D4" s="2244"/>
      <c r="E4" s="2244" t="s">
        <v>342</v>
      </c>
      <c r="F4" s="2244"/>
      <c r="G4" s="2244" t="s">
        <v>65</v>
      </c>
      <c r="H4" s="2244"/>
      <c r="I4" s="2244" t="s">
        <v>29</v>
      </c>
      <c r="J4" s="2244"/>
      <c r="K4" s="2245" t="s">
        <v>14</v>
      </c>
      <c r="L4" s="2246"/>
      <c r="M4" s="2245" t="s">
        <v>429</v>
      </c>
      <c r="N4" s="2246"/>
      <c r="O4" s="2245" t="s">
        <v>441</v>
      </c>
      <c r="P4" s="2246"/>
      <c r="Q4" s="2245" t="s">
        <v>114</v>
      </c>
      <c r="R4" s="2246"/>
      <c r="S4" s="2244" t="s">
        <v>35</v>
      </c>
      <c r="T4" s="2244"/>
      <c r="U4" s="2245" t="s">
        <v>17</v>
      </c>
      <c r="V4" s="2246"/>
      <c r="W4" s="2247" t="s">
        <v>36</v>
      </c>
      <c r="X4" s="2248"/>
      <c r="Y4" s="2238" t="s">
        <v>30</v>
      </c>
    </row>
    <row r="5" spans="1:25" s="1185" customFormat="1" ht="25.5" customHeight="1" x14ac:dyDescent="0.25">
      <c r="A5" s="2243"/>
      <c r="B5" s="2243"/>
      <c r="C5" s="1187" t="s">
        <v>42</v>
      </c>
      <c r="D5" s="1187" t="s">
        <v>43</v>
      </c>
      <c r="E5" s="1187" t="s">
        <v>42</v>
      </c>
      <c r="F5" s="1187" t="s">
        <v>43</v>
      </c>
      <c r="G5" s="1187" t="s">
        <v>42</v>
      </c>
      <c r="H5" s="1187" t="s">
        <v>43</v>
      </c>
      <c r="I5" s="1187" t="s">
        <v>42</v>
      </c>
      <c r="J5" s="1187" t="s">
        <v>43</v>
      </c>
      <c r="K5" s="1187" t="s">
        <v>42</v>
      </c>
      <c r="L5" s="1187" t="s">
        <v>43</v>
      </c>
      <c r="M5" s="1187" t="s">
        <v>42</v>
      </c>
      <c r="N5" s="1187" t="s">
        <v>43</v>
      </c>
      <c r="O5" s="1187" t="s">
        <v>42</v>
      </c>
      <c r="P5" s="1187" t="s">
        <v>43</v>
      </c>
      <c r="Q5" s="1187" t="s">
        <v>42</v>
      </c>
      <c r="R5" s="1187" t="s">
        <v>43</v>
      </c>
      <c r="S5" s="33" t="s">
        <v>42</v>
      </c>
      <c r="T5" s="33" t="s">
        <v>43</v>
      </c>
      <c r="U5" s="30" t="s">
        <v>42</v>
      </c>
      <c r="V5" s="30" t="s">
        <v>43</v>
      </c>
      <c r="W5" s="30" t="s">
        <v>42</v>
      </c>
      <c r="X5" s="30" t="s">
        <v>43</v>
      </c>
      <c r="Y5" s="2239"/>
    </row>
    <row r="6" spans="1:25" ht="34.5" customHeight="1" x14ac:dyDescent="0.25">
      <c r="A6" s="12">
        <v>1409935200</v>
      </c>
      <c r="B6" s="1186" t="s">
        <v>71</v>
      </c>
      <c r="C6" s="1189">
        <v>35491</v>
      </c>
      <c r="D6" s="1190">
        <f>0.9725*C6</f>
        <v>34514.997499999998</v>
      </c>
      <c r="E6" s="1189"/>
      <c r="F6" s="1190">
        <f>67.1*E6</f>
        <v>0</v>
      </c>
      <c r="G6" s="1189"/>
      <c r="H6" s="1189">
        <f>28.2*G6</f>
        <v>0</v>
      </c>
      <c r="I6" s="1189">
        <v>1240</v>
      </c>
      <c r="J6" s="1189">
        <f>18.5*I6</f>
        <v>22940</v>
      </c>
      <c r="K6" s="1189"/>
      <c r="L6" s="1190">
        <f>28.2368*K6</f>
        <v>0</v>
      </c>
      <c r="M6" s="1189"/>
      <c r="N6" s="1190">
        <f>M6*47.6525</f>
        <v>0</v>
      </c>
      <c r="O6" s="1189"/>
      <c r="P6" s="1190">
        <f>O6*8.9</f>
        <v>0</v>
      </c>
      <c r="Q6" s="1190"/>
      <c r="R6" s="1190">
        <f>241*Q6</f>
        <v>0</v>
      </c>
      <c r="S6" s="1189"/>
      <c r="T6" s="1189">
        <f>241*S6</f>
        <v>0</v>
      </c>
      <c r="U6" s="1189"/>
      <c r="V6" s="1189">
        <f>332*U6</f>
        <v>0</v>
      </c>
      <c r="W6" s="1189"/>
      <c r="X6" s="19">
        <f>W6*100</f>
        <v>0</v>
      </c>
      <c r="Y6" s="20">
        <f t="shared" ref="Y6:Y12" si="0">D6+F6+H6+J6+L6+N6+P6+R6+T6+V6+X6</f>
        <v>57454.997499999998</v>
      </c>
    </row>
    <row r="7" spans="1:25" ht="31.5" customHeight="1" x14ac:dyDescent="0.25">
      <c r="A7" s="12">
        <v>1984225578</v>
      </c>
      <c r="B7" s="1186" t="s">
        <v>72</v>
      </c>
      <c r="C7" s="1189">
        <v>60640</v>
      </c>
      <c r="D7" s="1190">
        <f t="shared" ref="D7:D11" si="1">0.9725*C7</f>
        <v>58972.4</v>
      </c>
      <c r="E7" s="1189"/>
      <c r="F7" s="1189">
        <f t="shared" ref="F7:F11" si="2">67.1*E7</f>
        <v>0</v>
      </c>
      <c r="G7" s="1189"/>
      <c r="H7" s="1189">
        <f t="shared" ref="H7:H11" si="3">28.2*G7</f>
        <v>0</v>
      </c>
      <c r="I7" s="1189">
        <v>150</v>
      </c>
      <c r="J7" s="1189">
        <f t="shared" ref="J7:J11" si="4">18.5*I7</f>
        <v>2775</v>
      </c>
      <c r="K7" s="1189"/>
      <c r="L7" s="1190">
        <f t="shared" ref="L7:L11" si="5">28.2368*K7</f>
        <v>0</v>
      </c>
      <c r="M7" s="1189"/>
      <c r="N7" s="1190">
        <f t="shared" ref="N7:N11" si="6">M7*47.6525</f>
        <v>0</v>
      </c>
      <c r="O7" s="1189"/>
      <c r="P7" s="1190">
        <f t="shared" ref="P7:P11" si="7">O7*8.9</f>
        <v>0</v>
      </c>
      <c r="Q7" s="1190"/>
      <c r="R7" s="1190">
        <f t="shared" ref="R7:R11" si="8">241*Q7</f>
        <v>0</v>
      </c>
      <c r="S7" s="1189"/>
      <c r="T7" s="1189">
        <f t="shared" ref="T7:T10" si="9">241*S7</f>
        <v>0</v>
      </c>
      <c r="U7" s="1189"/>
      <c r="V7" s="1189">
        <f t="shared" ref="V7:V11" si="10">332*U7</f>
        <v>0</v>
      </c>
      <c r="W7" s="1189"/>
      <c r="X7" s="19">
        <f t="shared" ref="X7:X11" si="11">W7*100</f>
        <v>0</v>
      </c>
      <c r="Y7" s="20">
        <f t="shared" si="0"/>
        <v>61747.4</v>
      </c>
    </row>
    <row r="8" spans="1:25" ht="35.25" customHeight="1" x14ac:dyDescent="0.25">
      <c r="A8" s="12">
        <v>1967020280</v>
      </c>
      <c r="B8" s="1186" t="s">
        <v>427</v>
      </c>
      <c r="C8" s="1189">
        <v>26410</v>
      </c>
      <c r="D8" s="1190">
        <f t="shared" si="1"/>
        <v>25683.725000000002</v>
      </c>
      <c r="E8" s="1189"/>
      <c r="F8" s="1189">
        <f t="shared" si="2"/>
        <v>0</v>
      </c>
      <c r="G8" s="1189"/>
      <c r="H8" s="1190">
        <f t="shared" si="3"/>
        <v>0</v>
      </c>
      <c r="I8" s="1189">
        <v>930</v>
      </c>
      <c r="J8" s="1189">
        <f t="shared" si="4"/>
        <v>17205</v>
      </c>
      <c r="K8" s="1189"/>
      <c r="L8" s="1190">
        <f t="shared" si="5"/>
        <v>0</v>
      </c>
      <c r="M8" s="1189"/>
      <c r="N8" s="1190">
        <f t="shared" si="6"/>
        <v>0</v>
      </c>
      <c r="O8" s="1189"/>
      <c r="P8" s="1190">
        <f t="shared" si="7"/>
        <v>0</v>
      </c>
      <c r="Q8" s="1190"/>
      <c r="R8" s="1190">
        <f t="shared" si="8"/>
        <v>0</v>
      </c>
      <c r="S8" s="1189"/>
      <c r="T8" s="1189">
        <f t="shared" si="9"/>
        <v>0</v>
      </c>
      <c r="U8" s="1189"/>
      <c r="V8" s="1189">
        <f t="shared" si="10"/>
        <v>0</v>
      </c>
      <c r="W8" s="1189"/>
      <c r="X8" s="19">
        <f t="shared" si="11"/>
        <v>0</v>
      </c>
      <c r="Y8" s="20">
        <f t="shared" si="0"/>
        <v>42888.725000000006</v>
      </c>
    </row>
    <row r="9" spans="1:25" ht="38.25" customHeight="1" x14ac:dyDescent="0.25">
      <c r="A9" s="12">
        <v>1984225580</v>
      </c>
      <c r="B9" s="1186" t="s">
        <v>75</v>
      </c>
      <c r="C9" s="1189">
        <v>25504</v>
      </c>
      <c r="D9" s="1190">
        <f t="shared" si="1"/>
        <v>24802.639999999999</v>
      </c>
      <c r="E9" s="1189"/>
      <c r="F9" s="1189">
        <f t="shared" si="2"/>
        <v>0</v>
      </c>
      <c r="G9" s="1189"/>
      <c r="H9" s="1189">
        <f t="shared" si="3"/>
        <v>0</v>
      </c>
      <c r="I9" s="1189">
        <v>560</v>
      </c>
      <c r="J9" s="1189">
        <f t="shared" si="4"/>
        <v>10360</v>
      </c>
      <c r="K9" s="1189"/>
      <c r="L9" s="1190">
        <f t="shared" si="5"/>
        <v>0</v>
      </c>
      <c r="M9" s="1189"/>
      <c r="N9" s="1190">
        <f t="shared" si="6"/>
        <v>0</v>
      </c>
      <c r="O9" s="1189"/>
      <c r="P9" s="1190">
        <f t="shared" si="7"/>
        <v>0</v>
      </c>
      <c r="Q9" s="1190"/>
      <c r="R9" s="1190">
        <f t="shared" si="8"/>
        <v>0</v>
      </c>
      <c r="S9" s="1189">
        <v>8</v>
      </c>
      <c r="T9" s="1189">
        <f t="shared" si="9"/>
        <v>1928</v>
      </c>
      <c r="U9" s="1189"/>
      <c r="V9" s="1189">
        <f t="shared" si="10"/>
        <v>0</v>
      </c>
      <c r="W9" s="1189"/>
      <c r="X9" s="19">
        <f t="shared" si="11"/>
        <v>0</v>
      </c>
      <c r="Y9" s="20">
        <f t="shared" si="0"/>
        <v>37090.639999999999</v>
      </c>
    </row>
    <row r="10" spans="1:25" ht="35.25" customHeight="1" x14ac:dyDescent="0.25">
      <c r="A10" s="12">
        <v>1409935199</v>
      </c>
      <c r="C10" s="1189"/>
      <c r="D10" s="1190">
        <f t="shared" si="1"/>
        <v>0</v>
      </c>
      <c r="E10" s="1189"/>
      <c r="F10" s="1189">
        <f t="shared" si="2"/>
        <v>0</v>
      </c>
      <c r="G10" s="1189"/>
      <c r="H10" s="1189">
        <f t="shared" si="3"/>
        <v>0</v>
      </c>
      <c r="I10" s="1189"/>
      <c r="J10" s="1189">
        <f t="shared" si="4"/>
        <v>0</v>
      </c>
      <c r="K10" s="1189"/>
      <c r="L10" s="1190">
        <f t="shared" si="5"/>
        <v>0</v>
      </c>
      <c r="M10" s="1189"/>
      <c r="N10" s="1190">
        <f t="shared" si="6"/>
        <v>0</v>
      </c>
      <c r="O10" s="1189"/>
      <c r="P10" s="1190">
        <f t="shared" si="7"/>
        <v>0</v>
      </c>
      <c r="Q10" s="1190"/>
      <c r="R10" s="1190">
        <f t="shared" si="8"/>
        <v>0</v>
      </c>
      <c r="S10" s="1189"/>
      <c r="T10" s="1189">
        <f t="shared" si="9"/>
        <v>0</v>
      </c>
      <c r="U10" s="1189"/>
      <c r="V10" s="1189">
        <f t="shared" si="10"/>
        <v>0</v>
      </c>
      <c r="W10" s="1189"/>
      <c r="X10" s="19">
        <f t="shared" si="11"/>
        <v>0</v>
      </c>
      <c r="Y10" s="20">
        <f t="shared" si="0"/>
        <v>0</v>
      </c>
    </row>
    <row r="11" spans="1:25" ht="37.5" customHeight="1" x14ac:dyDescent="0.25">
      <c r="A11" s="12"/>
      <c r="B11" s="1188"/>
      <c r="C11" s="1189"/>
      <c r="D11" s="1190">
        <f t="shared" si="1"/>
        <v>0</v>
      </c>
      <c r="E11" s="1189"/>
      <c r="F11" s="1189">
        <f t="shared" si="2"/>
        <v>0</v>
      </c>
      <c r="G11" s="1189"/>
      <c r="H11" s="1189">
        <f t="shared" si="3"/>
        <v>0</v>
      </c>
      <c r="I11" s="1189"/>
      <c r="J11" s="1189">
        <f t="shared" si="4"/>
        <v>0</v>
      </c>
      <c r="K11" s="1189"/>
      <c r="L11" s="1190">
        <f t="shared" si="5"/>
        <v>0</v>
      </c>
      <c r="M11" s="1189"/>
      <c r="N11" s="1190">
        <f t="shared" si="6"/>
        <v>0</v>
      </c>
      <c r="O11" s="1189"/>
      <c r="P11" s="1190">
        <f t="shared" si="7"/>
        <v>0</v>
      </c>
      <c r="Q11" s="1190"/>
      <c r="R11" s="1190">
        <f t="shared" si="8"/>
        <v>0</v>
      </c>
      <c r="S11" s="1189"/>
      <c r="T11" s="1189">
        <f>341*S11</f>
        <v>0</v>
      </c>
      <c r="U11" s="1189"/>
      <c r="V11" s="1189">
        <f t="shared" si="10"/>
        <v>0</v>
      </c>
      <c r="W11" s="1189"/>
      <c r="X11" s="19">
        <f t="shared" si="11"/>
        <v>0</v>
      </c>
      <c r="Y11" s="20">
        <f t="shared" si="0"/>
        <v>0</v>
      </c>
    </row>
    <row r="12" spans="1:25" ht="29.25" customHeight="1" x14ac:dyDescent="0.25">
      <c r="A12" s="2235" t="s">
        <v>31</v>
      </c>
      <c r="B12" s="2235"/>
      <c r="C12" s="18">
        <f t="shared" ref="C12:X12" si="12">SUM(C6:C11)</f>
        <v>148045</v>
      </c>
      <c r="D12" s="18">
        <f t="shared" si="12"/>
        <v>143973.76250000001</v>
      </c>
      <c r="E12" s="18">
        <f t="shared" si="12"/>
        <v>0</v>
      </c>
      <c r="F12" s="18">
        <f t="shared" si="12"/>
        <v>0</v>
      </c>
      <c r="G12" s="18">
        <f t="shared" si="12"/>
        <v>0</v>
      </c>
      <c r="H12" s="18">
        <f t="shared" si="12"/>
        <v>0</v>
      </c>
      <c r="I12" s="18">
        <f t="shared" si="12"/>
        <v>2880</v>
      </c>
      <c r="J12" s="18">
        <f t="shared" si="12"/>
        <v>53280</v>
      </c>
      <c r="K12" s="18">
        <f t="shared" si="12"/>
        <v>0</v>
      </c>
      <c r="L12" s="18">
        <f t="shared" si="12"/>
        <v>0</v>
      </c>
      <c r="M12" s="18">
        <f t="shared" si="12"/>
        <v>0</v>
      </c>
      <c r="N12" s="23">
        <f t="shared" si="12"/>
        <v>0</v>
      </c>
      <c r="O12" s="18">
        <f t="shared" si="12"/>
        <v>0</v>
      </c>
      <c r="P12" s="23">
        <f t="shared" si="12"/>
        <v>0</v>
      </c>
      <c r="Q12" s="23">
        <f t="shared" si="12"/>
        <v>0</v>
      </c>
      <c r="R12" s="23">
        <f>SUM(R6:R11)</f>
        <v>0</v>
      </c>
      <c r="S12" s="23">
        <f>SUM(S6:S11)</f>
        <v>8</v>
      </c>
      <c r="T12" s="18">
        <f t="shared" si="12"/>
        <v>1928</v>
      </c>
      <c r="U12" s="18">
        <f t="shared" si="12"/>
        <v>0</v>
      </c>
      <c r="V12" s="18">
        <f t="shared" si="12"/>
        <v>0</v>
      </c>
      <c r="W12" s="18">
        <f t="shared" si="12"/>
        <v>0</v>
      </c>
      <c r="X12" s="18">
        <f t="shared" si="12"/>
        <v>0</v>
      </c>
      <c r="Y12" s="20">
        <f t="shared" si="0"/>
        <v>199181.76250000001</v>
      </c>
    </row>
    <row r="14" spans="1:25" ht="43.5" customHeight="1" x14ac:dyDescent="0.25">
      <c r="A14" s="30" t="s">
        <v>32</v>
      </c>
      <c r="B14" s="2236" t="s">
        <v>27</v>
      </c>
      <c r="C14" s="2236"/>
      <c r="D14" s="30" t="s">
        <v>333</v>
      </c>
      <c r="E14" s="30" t="s">
        <v>65</v>
      </c>
      <c r="F14" s="30" t="s">
        <v>34</v>
      </c>
      <c r="G14" s="30" t="s">
        <v>14</v>
      </c>
      <c r="H14" s="469" t="s">
        <v>173</v>
      </c>
      <c r="I14" s="30" t="s">
        <v>17</v>
      </c>
      <c r="J14" s="1194" t="s">
        <v>174</v>
      </c>
      <c r="K14" s="30" t="s">
        <v>36</v>
      </c>
      <c r="L14" s="1194" t="s">
        <v>403</v>
      </c>
      <c r="M14" s="30" t="s">
        <v>429</v>
      </c>
      <c r="N14" s="30" t="s">
        <v>442</v>
      </c>
      <c r="O14" s="1194" t="s">
        <v>114</v>
      </c>
      <c r="P14" s="30" t="s">
        <v>70</v>
      </c>
      <c r="Q14" s="2300" t="s">
        <v>378</v>
      </c>
      <c r="R14" s="2301"/>
      <c r="S14" s="1194" t="s">
        <v>401</v>
      </c>
      <c r="T14" s="2235" t="s">
        <v>46</v>
      </c>
      <c r="U14" s="1186" t="s">
        <v>176</v>
      </c>
      <c r="V14" s="2260">
        <v>70277</v>
      </c>
      <c r="W14" s="2268"/>
      <c r="X14" s="2261"/>
    </row>
    <row r="15" spans="1:25" ht="22.5" customHeight="1" x14ac:dyDescent="0.25">
      <c r="A15" s="100" t="s">
        <v>38</v>
      </c>
      <c r="B15" s="2260">
        <v>314703</v>
      </c>
      <c r="C15" s="2261"/>
      <c r="D15" s="1191">
        <v>180</v>
      </c>
      <c r="E15" s="1191">
        <v>1000</v>
      </c>
      <c r="F15" s="1191">
        <v>27610</v>
      </c>
      <c r="G15" s="1191">
        <v>0</v>
      </c>
      <c r="H15" s="1191">
        <v>228</v>
      </c>
      <c r="I15" s="1191">
        <v>18</v>
      </c>
      <c r="J15" s="1191">
        <v>4</v>
      </c>
      <c r="K15" s="1191">
        <v>80</v>
      </c>
      <c r="L15" s="1191">
        <v>45</v>
      </c>
      <c r="M15" s="1191">
        <v>0</v>
      </c>
      <c r="N15" s="1191">
        <v>280</v>
      </c>
      <c r="O15" s="1191">
        <v>0</v>
      </c>
      <c r="P15" s="1191">
        <v>100</v>
      </c>
      <c r="Q15" s="2260">
        <v>0</v>
      </c>
      <c r="R15" s="2261"/>
      <c r="S15" s="1186">
        <v>6</v>
      </c>
      <c r="T15" s="2235"/>
      <c r="U15" s="1186" t="s">
        <v>64</v>
      </c>
      <c r="V15" s="2262">
        <v>7611</v>
      </c>
      <c r="W15" s="2262"/>
      <c r="X15" s="2262"/>
    </row>
    <row r="16" spans="1:25" ht="24.75" customHeight="1" x14ac:dyDescent="0.25">
      <c r="A16" s="100" t="s">
        <v>39</v>
      </c>
      <c r="B16" s="2260">
        <v>134545</v>
      </c>
      <c r="C16" s="2261"/>
      <c r="D16" s="1191"/>
      <c r="E16" s="1191"/>
      <c r="F16" s="1191"/>
      <c r="G16" s="1191"/>
      <c r="H16" s="1191"/>
      <c r="I16" s="1191"/>
      <c r="J16" s="1191"/>
      <c r="K16" s="1191"/>
      <c r="L16" s="1191"/>
      <c r="M16" s="1191"/>
      <c r="N16" s="1191"/>
      <c r="O16" s="1191"/>
      <c r="P16" s="1191"/>
      <c r="Q16" s="2225"/>
      <c r="R16" s="2225"/>
      <c r="S16" s="1191"/>
      <c r="T16" s="2254" t="s">
        <v>55</v>
      </c>
      <c r="U16" s="2254"/>
      <c r="V16" s="2267">
        <f>Y12</f>
        <v>199181.76250000001</v>
      </c>
      <c r="W16" s="2267"/>
      <c r="X16" s="2262"/>
    </row>
    <row r="17" spans="1:25" ht="28.5" customHeight="1" x14ac:dyDescent="0.25">
      <c r="A17" s="101" t="s">
        <v>44</v>
      </c>
      <c r="B17" s="2260"/>
      <c r="C17" s="2261"/>
      <c r="D17" s="1191"/>
      <c r="E17" s="1191"/>
      <c r="F17" s="1191"/>
      <c r="G17" s="1191"/>
      <c r="H17" s="1191"/>
      <c r="I17" s="1191"/>
      <c r="J17" s="1191"/>
      <c r="K17" s="1191"/>
      <c r="L17" s="1191"/>
      <c r="M17" s="1191"/>
      <c r="N17" s="1191"/>
      <c r="O17" s="1191"/>
      <c r="P17" s="1191"/>
      <c r="Q17" s="2225"/>
      <c r="R17" s="2225"/>
      <c r="S17" s="1188"/>
      <c r="T17" s="2294" t="s">
        <v>461</v>
      </c>
      <c r="U17" s="2295"/>
      <c r="V17" s="2296">
        <v>1646</v>
      </c>
      <c r="W17" s="2296"/>
      <c r="X17" s="2296"/>
    </row>
    <row r="18" spans="1:25" ht="27" customHeight="1" x14ac:dyDescent="0.25">
      <c r="A18" s="100" t="s">
        <v>40</v>
      </c>
      <c r="B18" s="2264">
        <f>C12</f>
        <v>148045</v>
      </c>
      <c r="C18" s="2261"/>
      <c r="D18" s="1192">
        <f>E12</f>
        <v>0</v>
      </c>
      <c r="E18" s="1192">
        <f>G12</f>
        <v>0</v>
      </c>
      <c r="F18" s="1192">
        <f>I12</f>
        <v>2880</v>
      </c>
      <c r="G18" s="1192">
        <f>K12</f>
        <v>0</v>
      </c>
      <c r="H18" s="1191">
        <v>8</v>
      </c>
      <c r="I18" s="1192">
        <f>U12</f>
        <v>0</v>
      </c>
      <c r="J18" s="1191"/>
      <c r="K18" s="1192">
        <f>W12</f>
        <v>0</v>
      </c>
      <c r="L18" s="1191"/>
      <c r="M18" s="1192">
        <f>M12</f>
        <v>0</v>
      </c>
      <c r="N18" s="1192">
        <f>O12</f>
        <v>0</v>
      </c>
      <c r="O18" s="1193">
        <f>Q12</f>
        <v>0</v>
      </c>
      <c r="P18" s="1192"/>
      <c r="Q18" s="2262"/>
      <c r="R18" s="2262"/>
      <c r="S18" s="1186"/>
      <c r="T18" s="2254" t="s">
        <v>57</v>
      </c>
      <c r="U18" s="2254"/>
      <c r="V18" s="2262">
        <v>620</v>
      </c>
      <c r="W18" s="2262"/>
      <c r="X18" s="2262"/>
      <c r="Y18" s="2269"/>
    </row>
    <row r="19" spans="1:25" ht="25.5" customHeight="1" x14ac:dyDescent="0.25">
      <c r="A19" s="100" t="s">
        <v>41</v>
      </c>
      <c r="B19" s="2260">
        <f>B15+B16+B17-B18</f>
        <v>301203</v>
      </c>
      <c r="C19" s="2261"/>
      <c r="D19" s="1191">
        <f>D15+D16+D17-D18</f>
        <v>180</v>
      </c>
      <c r="E19" s="1191">
        <f t="shared" ref="E19:N19" si="13">E15+E16+E17-E18</f>
        <v>1000</v>
      </c>
      <c r="F19" s="1191">
        <f t="shared" si="13"/>
        <v>24730</v>
      </c>
      <c r="G19" s="1191">
        <f t="shared" si="13"/>
        <v>0</v>
      </c>
      <c r="H19" s="1191">
        <f t="shared" si="13"/>
        <v>220</v>
      </c>
      <c r="I19" s="1191">
        <f t="shared" si="13"/>
        <v>18</v>
      </c>
      <c r="J19" s="1191">
        <f t="shared" si="13"/>
        <v>4</v>
      </c>
      <c r="K19" s="1191">
        <f t="shared" si="13"/>
        <v>80</v>
      </c>
      <c r="L19" s="1191">
        <f t="shared" si="13"/>
        <v>45</v>
      </c>
      <c r="M19" s="1191">
        <f t="shared" si="13"/>
        <v>0</v>
      </c>
      <c r="N19" s="1191">
        <f t="shared" si="13"/>
        <v>280</v>
      </c>
      <c r="O19" s="1191">
        <f>O15+O16+O17-O18</f>
        <v>0</v>
      </c>
      <c r="P19" s="1191">
        <f t="shared" ref="P19:Q19" si="14">P15+P16+P17-P18</f>
        <v>100</v>
      </c>
      <c r="Q19" s="2260">
        <f t="shared" si="14"/>
        <v>0</v>
      </c>
      <c r="R19" s="2261"/>
      <c r="S19" s="1186">
        <f>S15+S16-S17-S18</f>
        <v>6</v>
      </c>
      <c r="T19" s="2256" t="s">
        <v>48</v>
      </c>
      <c r="U19" s="49" t="s">
        <v>58</v>
      </c>
      <c r="V19" s="2262"/>
      <c r="W19" s="2262"/>
      <c r="X19" s="2262"/>
      <c r="Y19" s="2269"/>
    </row>
    <row r="20" spans="1:25" ht="23.25" customHeight="1" x14ac:dyDescent="0.25">
      <c r="A20" s="289" t="s">
        <v>187</v>
      </c>
      <c r="B20" s="2286">
        <f>B19*0.9625</f>
        <v>289907.88750000001</v>
      </c>
      <c r="C20" s="2287"/>
      <c r="D20" s="290">
        <f>D19*66.41</f>
        <v>11953.8</v>
      </c>
      <c r="E20" s="290">
        <f>27.9368*E19</f>
        <v>27936.800000000003</v>
      </c>
      <c r="F20" s="290">
        <f>18.31*F19</f>
        <v>452806.3</v>
      </c>
      <c r="G20" s="290">
        <f>27.9368*G19</f>
        <v>0</v>
      </c>
      <c r="H20" s="290">
        <f>241*H19</f>
        <v>53020</v>
      </c>
      <c r="I20" s="290">
        <f>323*I19</f>
        <v>5814</v>
      </c>
      <c r="J20" s="290">
        <f>241*J19</f>
        <v>964</v>
      </c>
      <c r="K20" s="290">
        <f>K19*100</f>
        <v>8000</v>
      </c>
      <c r="L20" s="290">
        <f>241*L19</f>
        <v>10845</v>
      </c>
      <c r="M20" s="290">
        <f>47.1625*M19</f>
        <v>0</v>
      </c>
      <c r="N20" s="290">
        <f>N19*8.81</f>
        <v>2466.8000000000002</v>
      </c>
      <c r="O20" s="290">
        <f>241*O19</f>
        <v>0</v>
      </c>
      <c r="P20" s="290">
        <f>P19*48.2</f>
        <v>4820</v>
      </c>
      <c r="Q20" s="2286">
        <f>341*Q19</f>
        <v>0</v>
      </c>
      <c r="R20" s="2287"/>
      <c r="S20" s="290">
        <f>341*S19</f>
        <v>2046</v>
      </c>
      <c r="T20" s="2257"/>
      <c r="U20" s="49" t="s">
        <v>59</v>
      </c>
      <c r="V20" s="2262">
        <v>86690</v>
      </c>
      <c r="W20" s="2262"/>
      <c r="X20" s="2262"/>
      <c r="Y20" s="2269"/>
    </row>
    <row r="21" spans="1:25" ht="32.25" customHeight="1" x14ac:dyDescent="0.25">
      <c r="A21" s="291" t="s">
        <v>186</v>
      </c>
      <c r="B21" s="2293">
        <f>SUM(B20:S20)</f>
        <v>870580.58750000002</v>
      </c>
      <c r="C21" s="2293"/>
      <c r="O21" s="1195"/>
      <c r="P21" s="1195"/>
      <c r="Q21" s="1195"/>
      <c r="R21" s="1195"/>
      <c r="T21" s="2294" t="s">
        <v>451</v>
      </c>
      <c r="U21" s="2295"/>
      <c r="V21" s="2297"/>
      <c r="W21" s="2298"/>
      <c r="X21" s="2299"/>
      <c r="Y21" s="2269"/>
    </row>
    <row r="22" spans="1:25" ht="35.25" customHeight="1" x14ac:dyDescent="0.25">
      <c r="A22" s="15"/>
      <c r="B22" s="2288" t="s">
        <v>49</v>
      </c>
      <c r="C22" s="2291">
        <v>357190</v>
      </c>
      <c r="D22" s="2291"/>
      <c r="E22" s="2291">
        <v>42810</v>
      </c>
      <c r="F22" s="2291">
        <f>C22-D22+E22</f>
        <v>400000</v>
      </c>
      <c r="G22" s="1195"/>
      <c r="Q22" s="1195"/>
      <c r="R22" s="1195"/>
      <c r="T22" s="2251" t="s">
        <v>83</v>
      </c>
      <c r="U22" s="50" t="s">
        <v>60</v>
      </c>
      <c r="V22" s="2262"/>
      <c r="W22" s="2262"/>
      <c r="X22" s="2262"/>
      <c r="Y22" s="2269"/>
    </row>
    <row r="23" spans="1:25" ht="39.75" customHeight="1" x14ac:dyDescent="0.25">
      <c r="A23" s="1195"/>
      <c r="B23" s="2289"/>
      <c r="C23" s="2292"/>
      <c r="D23" s="2292"/>
      <c r="E23" s="2292"/>
      <c r="F23" s="2292"/>
      <c r="G23" s="1195"/>
      <c r="Q23" s="1195"/>
      <c r="R23" s="1195"/>
      <c r="T23" s="2252"/>
      <c r="U23" s="50" t="s">
        <v>61</v>
      </c>
      <c r="V23" s="2262"/>
      <c r="W23" s="2262"/>
      <c r="X23" s="2262"/>
      <c r="Y23" s="2269"/>
    </row>
    <row r="24" spans="1:25" ht="48" customHeight="1" x14ac:dyDescent="0.25">
      <c r="A24" s="1195"/>
      <c r="B24" s="2290"/>
      <c r="C24" s="290" t="s">
        <v>46</v>
      </c>
      <c r="D24" s="290" t="s">
        <v>50</v>
      </c>
      <c r="E24" s="290" t="s">
        <v>51</v>
      </c>
      <c r="F24" s="290" t="s">
        <v>52</v>
      </c>
      <c r="G24" s="1195"/>
      <c r="Q24" s="1195"/>
      <c r="R24" s="1195"/>
      <c r="T24" s="2235" t="s">
        <v>47</v>
      </c>
      <c r="U24" s="51" t="s">
        <v>62</v>
      </c>
      <c r="V24" s="2263">
        <f>V14+V16+V17-V18-V19-V20-V22+V23-V21</f>
        <v>183794.76250000001</v>
      </c>
      <c r="W24" s="2263"/>
      <c r="X24" s="2263"/>
      <c r="Y24" s="2269"/>
    </row>
    <row r="25" spans="1:25" ht="40.5" customHeight="1" x14ac:dyDescent="0.25">
      <c r="T25" s="2235"/>
      <c r="U25" s="51" t="s">
        <v>63</v>
      </c>
      <c r="V25" s="2262">
        <f>V15+V22-V23</f>
        <v>7611</v>
      </c>
      <c r="W25" s="2262"/>
      <c r="X25" s="2262"/>
    </row>
    <row r="26" spans="1:25" ht="36" customHeight="1" x14ac:dyDescent="0.25">
      <c r="K26" s="314"/>
    </row>
    <row r="28" spans="1:25" x14ac:dyDescent="0.25">
      <c r="J28" s="14" t="s">
        <v>139</v>
      </c>
    </row>
    <row r="32" spans="1:25" x14ac:dyDescent="0.25">
      <c r="I32" s="2280"/>
      <c r="J32" s="2280"/>
      <c r="K32" s="2280"/>
      <c r="L32" s="2280"/>
    </row>
    <row r="33" spans="9:12" x14ac:dyDescent="0.25">
      <c r="I33" s="1195"/>
      <c r="J33" s="1195"/>
      <c r="K33" s="2280"/>
      <c r="L33" s="2280"/>
    </row>
  </sheetData>
  <mergeCells count="62">
    <mergeCell ref="I32:J32"/>
    <mergeCell ref="K32:L32"/>
    <mergeCell ref="K33:L33"/>
    <mergeCell ref="T22:T23"/>
    <mergeCell ref="V22:X22"/>
    <mergeCell ref="V23:X23"/>
    <mergeCell ref="T24:T25"/>
    <mergeCell ref="V24:X24"/>
    <mergeCell ref="V25:X25"/>
    <mergeCell ref="Y18:Y24"/>
    <mergeCell ref="B19:C19"/>
    <mergeCell ref="Q19:R19"/>
    <mergeCell ref="T19:T20"/>
    <mergeCell ref="V19:X19"/>
    <mergeCell ref="B20:C20"/>
    <mergeCell ref="B22:B24"/>
    <mergeCell ref="C22:C23"/>
    <mergeCell ref="D22:D23"/>
    <mergeCell ref="E22:E23"/>
    <mergeCell ref="F22:F23"/>
    <mergeCell ref="Q20:R20"/>
    <mergeCell ref="V20:X20"/>
    <mergeCell ref="B21:C21"/>
    <mergeCell ref="T21:U21"/>
    <mergeCell ref="V21:X21"/>
    <mergeCell ref="B17:C17"/>
    <mergeCell ref="Q17:R17"/>
    <mergeCell ref="T17:U17"/>
    <mergeCell ref="V17:X17"/>
    <mergeCell ref="B18:C18"/>
    <mergeCell ref="Q18:R18"/>
    <mergeCell ref="T18:U18"/>
    <mergeCell ref="V18:X18"/>
    <mergeCell ref="W4:X4"/>
    <mergeCell ref="B16:C16"/>
    <mergeCell ref="Q16:R16"/>
    <mergeCell ref="T16:U16"/>
    <mergeCell ref="V16:X16"/>
    <mergeCell ref="A12:B12"/>
    <mergeCell ref="B14:C14"/>
    <mergeCell ref="Q14:R14"/>
    <mergeCell ref="T14:T15"/>
    <mergeCell ref="V14:X14"/>
    <mergeCell ref="B15:C15"/>
    <mergeCell ref="Q15:R15"/>
    <mergeCell ref="V15:X15"/>
    <mergeCell ref="A1:Y1"/>
    <mergeCell ref="A2:Y2"/>
    <mergeCell ref="T3:Y3"/>
    <mergeCell ref="A4:A5"/>
    <mergeCell ref="B4:B5"/>
    <mergeCell ref="C4:D4"/>
    <mergeCell ref="E4:F4"/>
    <mergeCell ref="G4:H4"/>
    <mergeCell ref="I4:J4"/>
    <mergeCell ref="K4:L4"/>
    <mergeCell ref="Y4:Y5"/>
    <mergeCell ref="M4:N4"/>
    <mergeCell ref="O4:P4"/>
    <mergeCell ref="Q4:R4"/>
    <mergeCell ref="S4:T4"/>
    <mergeCell ref="U4:V4"/>
  </mergeCells>
  <pageMargins left="0.15748031496063" right="0.15748031496063" top="0" bottom="0" header="0" footer="0"/>
  <pageSetup paperSize="9" scale="45" orientation="landscape" r:id="rId1"/>
</worksheet>
</file>

<file path=xl/worksheets/sheet2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014FBA3-408A-417A-A292-B9A16CCF210C}">
  <sheetPr>
    <pageSetUpPr fitToPage="1"/>
  </sheetPr>
  <dimension ref="A1:Y33"/>
  <sheetViews>
    <sheetView topLeftCell="E2" zoomScale="70" zoomScaleNormal="70" zoomScaleSheetLayoutView="100" zoomScalePageLayoutView="68" workbookViewId="0">
      <selection activeCell="N23" sqref="N23"/>
    </sheetView>
  </sheetViews>
  <sheetFormatPr defaultColWidth="9.140625" defaultRowHeight="15" x14ac:dyDescent="0.25"/>
  <cols>
    <col min="1" max="1" width="18.28515625" style="14" customWidth="1"/>
    <col min="2" max="2" width="10.7109375" style="14" customWidth="1"/>
    <col min="3" max="3" width="12.28515625" style="14" customWidth="1"/>
    <col min="4" max="4" width="13.140625" style="14" bestFit="1" customWidth="1"/>
    <col min="5" max="5" width="12" style="14" customWidth="1"/>
    <col min="6" max="6" width="12.5703125" style="14" bestFit="1" customWidth="1"/>
    <col min="7" max="7" width="16" style="14" bestFit="1" customWidth="1"/>
    <col min="8" max="8" width="10.140625" style="14" bestFit="1" customWidth="1"/>
    <col min="9" max="9" width="10.5703125" style="14" bestFit="1" customWidth="1"/>
    <col min="10" max="10" width="10.5703125" style="14" customWidth="1"/>
    <col min="11" max="11" width="10.28515625" style="14" bestFit="1" customWidth="1"/>
    <col min="12" max="12" width="10.42578125" style="14" bestFit="1" customWidth="1"/>
    <col min="13" max="14" width="12" style="14" bestFit="1" customWidth="1"/>
    <col min="15" max="15" width="9" style="14" customWidth="1"/>
    <col min="16" max="16" width="12.85546875" style="14" bestFit="1" customWidth="1"/>
    <col min="17" max="18" width="9.42578125" style="14" customWidth="1"/>
    <col min="19" max="19" width="13.7109375" style="14" customWidth="1"/>
    <col min="20" max="20" width="12.140625" style="14" customWidth="1"/>
    <col min="21" max="21" width="21.7109375" style="14" customWidth="1"/>
    <col min="22" max="22" width="9.85546875" style="14" customWidth="1"/>
    <col min="23" max="23" width="10.140625" style="14" bestFit="1" customWidth="1"/>
    <col min="24" max="24" width="10.28515625" style="14" customWidth="1"/>
    <col min="25" max="25" width="28" style="14" customWidth="1"/>
    <col min="26" max="16384" width="9.140625" style="14"/>
  </cols>
  <sheetData>
    <row r="1" spans="1:25" ht="46.15" customHeight="1" x14ac:dyDescent="0.25">
      <c r="A1" s="2240" t="s">
        <v>148</v>
      </c>
      <c r="B1" s="2240"/>
      <c r="C1" s="2240"/>
      <c r="D1" s="2240"/>
      <c r="E1" s="2240"/>
      <c r="F1" s="2240"/>
      <c r="G1" s="2240"/>
      <c r="H1" s="2240"/>
      <c r="I1" s="2240"/>
      <c r="J1" s="2240"/>
      <c r="K1" s="2240"/>
      <c r="L1" s="2240"/>
      <c r="M1" s="2240"/>
      <c r="N1" s="2240"/>
      <c r="O1" s="2240"/>
      <c r="P1" s="2240"/>
      <c r="Q1" s="2240"/>
      <c r="R1" s="2240"/>
      <c r="S1" s="2240"/>
      <c r="T1" s="2240"/>
      <c r="U1" s="2240"/>
      <c r="V1" s="2240"/>
      <c r="W1" s="2240"/>
      <c r="X1" s="2240"/>
      <c r="Y1" s="2240"/>
    </row>
    <row r="2" spans="1:25" ht="21.6" customHeight="1" x14ac:dyDescent="0.25">
      <c r="A2" s="2241" t="s">
        <v>383</v>
      </c>
      <c r="B2" s="2241"/>
      <c r="C2" s="2241"/>
      <c r="D2" s="2241"/>
      <c r="E2" s="2241"/>
      <c r="F2" s="2241"/>
      <c r="G2" s="2241"/>
      <c r="H2" s="2241"/>
      <c r="I2" s="2241"/>
      <c r="J2" s="2241"/>
      <c r="K2" s="2241"/>
      <c r="L2" s="2241"/>
      <c r="M2" s="2241"/>
      <c r="N2" s="2241"/>
      <c r="O2" s="2241"/>
      <c r="P2" s="2241"/>
      <c r="Q2" s="2241"/>
      <c r="R2" s="2241"/>
      <c r="S2" s="2241"/>
      <c r="T2" s="2241"/>
      <c r="U2" s="2241"/>
      <c r="V2" s="2241"/>
      <c r="W2" s="2241"/>
      <c r="X2" s="2241"/>
      <c r="Y2" s="2241"/>
    </row>
    <row r="3" spans="1:25" ht="21" customHeight="1" x14ac:dyDescent="0.25">
      <c r="A3" s="1196"/>
      <c r="B3" s="1196"/>
      <c r="C3" s="1196"/>
      <c r="D3" s="1196"/>
      <c r="E3" s="1196"/>
      <c r="F3" s="1196"/>
      <c r="G3" s="1196"/>
      <c r="H3" s="1196"/>
      <c r="I3" s="1196"/>
      <c r="J3" s="1196"/>
      <c r="K3" s="1196"/>
      <c r="L3" s="1196"/>
      <c r="M3" s="1196"/>
      <c r="N3" s="1196"/>
      <c r="O3" s="1196"/>
      <c r="P3" s="1196"/>
      <c r="Q3" s="1196"/>
      <c r="R3" s="1196"/>
      <c r="S3" s="1196"/>
      <c r="T3" s="2242" t="s">
        <v>462</v>
      </c>
      <c r="U3" s="2242"/>
      <c r="V3" s="2242"/>
      <c r="W3" s="2242"/>
      <c r="X3" s="2242"/>
      <c r="Y3" s="2242"/>
    </row>
    <row r="4" spans="1:25" s="1196" customFormat="1" ht="18" customHeight="1" x14ac:dyDescent="0.25">
      <c r="A4" s="2243" t="s">
        <v>25</v>
      </c>
      <c r="B4" s="2243" t="s">
        <v>26</v>
      </c>
      <c r="C4" s="2244" t="s">
        <v>27</v>
      </c>
      <c r="D4" s="2244"/>
      <c r="E4" s="2244" t="s">
        <v>342</v>
      </c>
      <c r="F4" s="2244"/>
      <c r="G4" s="2244" t="s">
        <v>65</v>
      </c>
      <c r="H4" s="2244"/>
      <c r="I4" s="2244" t="s">
        <v>29</v>
      </c>
      <c r="J4" s="2244"/>
      <c r="K4" s="2245" t="s">
        <v>14</v>
      </c>
      <c r="L4" s="2246"/>
      <c r="M4" s="2245" t="s">
        <v>429</v>
      </c>
      <c r="N4" s="2246"/>
      <c r="O4" s="2245" t="s">
        <v>441</v>
      </c>
      <c r="P4" s="2246"/>
      <c r="Q4" s="2245" t="s">
        <v>114</v>
      </c>
      <c r="R4" s="2246"/>
      <c r="S4" s="2244" t="s">
        <v>35</v>
      </c>
      <c r="T4" s="2244"/>
      <c r="U4" s="2245" t="s">
        <v>17</v>
      </c>
      <c r="V4" s="2246"/>
      <c r="W4" s="2247" t="s">
        <v>36</v>
      </c>
      <c r="X4" s="2248"/>
      <c r="Y4" s="2238" t="s">
        <v>30</v>
      </c>
    </row>
    <row r="5" spans="1:25" s="1196" customFormat="1" ht="25.5" customHeight="1" x14ac:dyDescent="0.25">
      <c r="A5" s="2243"/>
      <c r="B5" s="2243"/>
      <c r="C5" s="1198" t="s">
        <v>42</v>
      </c>
      <c r="D5" s="1198" t="s">
        <v>43</v>
      </c>
      <c r="E5" s="1198" t="s">
        <v>42</v>
      </c>
      <c r="F5" s="1198" t="s">
        <v>43</v>
      </c>
      <c r="G5" s="1198" t="s">
        <v>42</v>
      </c>
      <c r="H5" s="1198" t="s">
        <v>43</v>
      </c>
      <c r="I5" s="1198" t="s">
        <v>42</v>
      </c>
      <c r="J5" s="1198" t="s">
        <v>43</v>
      </c>
      <c r="K5" s="1198" t="s">
        <v>42</v>
      </c>
      <c r="L5" s="1198" t="s">
        <v>43</v>
      </c>
      <c r="M5" s="1198" t="s">
        <v>42</v>
      </c>
      <c r="N5" s="1198" t="s">
        <v>43</v>
      </c>
      <c r="O5" s="1198" t="s">
        <v>42</v>
      </c>
      <c r="P5" s="1198" t="s">
        <v>43</v>
      </c>
      <c r="Q5" s="1198" t="s">
        <v>42</v>
      </c>
      <c r="R5" s="1198" t="s">
        <v>43</v>
      </c>
      <c r="S5" s="33" t="s">
        <v>42</v>
      </c>
      <c r="T5" s="33" t="s">
        <v>43</v>
      </c>
      <c r="U5" s="30" t="s">
        <v>42</v>
      </c>
      <c r="V5" s="30" t="s">
        <v>43</v>
      </c>
      <c r="W5" s="30" t="s">
        <v>42</v>
      </c>
      <c r="X5" s="30" t="s">
        <v>43</v>
      </c>
      <c r="Y5" s="2239"/>
    </row>
    <row r="6" spans="1:25" ht="34.5" customHeight="1" x14ac:dyDescent="0.25">
      <c r="A6" s="12">
        <v>1409935200</v>
      </c>
      <c r="B6" s="1197" t="s">
        <v>71</v>
      </c>
      <c r="C6" s="1200">
        <v>91763</v>
      </c>
      <c r="D6" s="1201">
        <f>0.9725*C6</f>
        <v>89239.517500000002</v>
      </c>
      <c r="E6" s="1200"/>
      <c r="F6" s="1201">
        <f>67.1*E6</f>
        <v>0</v>
      </c>
      <c r="G6" s="1200"/>
      <c r="H6" s="1200">
        <f>28.2*G6</f>
        <v>0</v>
      </c>
      <c r="I6" s="1200">
        <v>40</v>
      </c>
      <c r="J6" s="1200">
        <f>18.5*I6</f>
        <v>740</v>
      </c>
      <c r="K6" s="1200"/>
      <c r="L6" s="1201">
        <f>28.2368*K6</f>
        <v>0</v>
      </c>
      <c r="M6" s="1200"/>
      <c r="N6" s="1201">
        <f>M6*47.6525</f>
        <v>0</v>
      </c>
      <c r="O6" s="1200"/>
      <c r="P6" s="1201">
        <f>O6*8.9</f>
        <v>0</v>
      </c>
      <c r="Q6" s="1201"/>
      <c r="R6" s="1201">
        <f>241*Q6</f>
        <v>0</v>
      </c>
      <c r="S6" s="1200"/>
      <c r="T6" s="1200">
        <f>241*S6</f>
        <v>0</v>
      </c>
      <c r="U6" s="1200"/>
      <c r="V6" s="1200">
        <f>332*U6</f>
        <v>0</v>
      </c>
      <c r="W6" s="1200"/>
      <c r="X6" s="19">
        <f>W6*100</f>
        <v>0</v>
      </c>
      <c r="Y6" s="20">
        <f t="shared" ref="Y6:Y12" si="0">D6+F6+H6+J6+L6+N6+P6+R6+T6+V6+X6</f>
        <v>89979.517500000002</v>
      </c>
    </row>
    <row r="7" spans="1:25" ht="31.5" customHeight="1" x14ac:dyDescent="0.25">
      <c r="A7" s="12">
        <v>1984225578</v>
      </c>
      <c r="B7" s="1197" t="s">
        <v>72</v>
      </c>
      <c r="C7" s="1200">
        <v>26238</v>
      </c>
      <c r="D7" s="1201">
        <f t="shared" ref="D7:D11" si="1">0.9725*C7</f>
        <v>25516.455000000002</v>
      </c>
      <c r="E7" s="1200"/>
      <c r="F7" s="1200">
        <f t="shared" ref="F7:F11" si="2">67.1*E7</f>
        <v>0</v>
      </c>
      <c r="G7" s="1200"/>
      <c r="H7" s="1200">
        <f t="shared" ref="H7:H11" si="3">28.2*G7</f>
        <v>0</v>
      </c>
      <c r="I7" s="1200">
        <v>120</v>
      </c>
      <c r="J7" s="1200">
        <f t="shared" ref="J7:J11" si="4">18.5*I7</f>
        <v>2220</v>
      </c>
      <c r="K7" s="1200"/>
      <c r="L7" s="1201">
        <f t="shared" ref="L7:L11" si="5">28.2368*K7</f>
        <v>0</v>
      </c>
      <c r="M7" s="1200"/>
      <c r="N7" s="1201">
        <f t="shared" ref="N7:N11" si="6">M7*47.6525</f>
        <v>0</v>
      </c>
      <c r="O7" s="1200"/>
      <c r="P7" s="1201">
        <f t="shared" ref="P7:P11" si="7">O7*8.9</f>
        <v>0</v>
      </c>
      <c r="Q7" s="1201"/>
      <c r="R7" s="1201">
        <f t="shared" ref="R7:R11" si="8">241*Q7</f>
        <v>0</v>
      </c>
      <c r="S7" s="1200"/>
      <c r="T7" s="1200">
        <f t="shared" ref="T7:T10" si="9">241*S7</f>
        <v>0</v>
      </c>
      <c r="U7" s="1200"/>
      <c r="V7" s="1200">
        <f t="shared" ref="V7:V11" si="10">332*U7</f>
        <v>0</v>
      </c>
      <c r="W7" s="1200"/>
      <c r="X7" s="19">
        <f t="shared" ref="X7:X11" si="11">W7*100</f>
        <v>0</v>
      </c>
      <c r="Y7" s="20">
        <f t="shared" si="0"/>
        <v>27736.455000000002</v>
      </c>
    </row>
    <row r="8" spans="1:25" ht="35.25" customHeight="1" x14ac:dyDescent="0.25">
      <c r="A8" s="12">
        <v>1967020280</v>
      </c>
      <c r="B8" s="1197" t="s">
        <v>427</v>
      </c>
      <c r="C8" s="1200">
        <v>89684</v>
      </c>
      <c r="D8" s="1201">
        <f t="shared" si="1"/>
        <v>87217.69</v>
      </c>
      <c r="E8" s="1200"/>
      <c r="F8" s="1200">
        <f t="shared" si="2"/>
        <v>0</v>
      </c>
      <c r="G8" s="1200"/>
      <c r="H8" s="1201">
        <f t="shared" si="3"/>
        <v>0</v>
      </c>
      <c r="I8" s="1200">
        <v>520</v>
      </c>
      <c r="J8" s="1200">
        <f t="shared" si="4"/>
        <v>9620</v>
      </c>
      <c r="K8" s="1200"/>
      <c r="L8" s="1201">
        <f t="shared" si="5"/>
        <v>0</v>
      </c>
      <c r="M8" s="1200"/>
      <c r="N8" s="1201">
        <f t="shared" si="6"/>
        <v>0</v>
      </c>
      <c r="O8" s="1200"/>
      <c r="P8" s="1201">
        <f t="shared" si="7"/>
        <v>0</v>
      </c>
      <c r="Q8" s="1201"/>
      <c r="R8" s="1201">
        <f t="shared" si="8"/>
        <v>0</v>
      </c>
      <c r="S8" s="1200"/>
      <c r="T8" s="1200">
        <f t="shared" si="9"/>
        <v>0</v>
      </c>
      <c r="U8" s="1200"/>
      <c r="V8" s="1200">
        <f t="shared" si="10"/>
        <v>0</v>
      </c>
      <c r="W8" s="1200"/>
      <c r="X8" s="19">
        <f t="shared" si="11"/>
        <v>0</v>
      </c>
      <c r="Y8" s="20">
        <f t="shared" si="0"/>
        <v>96837.69</v>
      </c>
    </row>
    <row r="9" spans="1:25" ht="38.25" customHeight="1" x14ac:dyDescent="0.25">
      <c r="A9" s="12">
        <v>1984225580</v>
      </c>
      <c r="B9" s="1197" t="s">
        <v>75</v>
      </c>
      <c r="C9" s="1200">
        <v>78640</v>
      </c>
      <c r="D9" s="1201">
        <f t="shared" si="1"/>
        <v>76477.400000000009</v>
      </c>
      <c r="E9" s="1200"/>
      <c r="F9" s="1200">
        <f t="shared" si="2"/>
        <v>0</v>
      </c>
      <c r="G9" s="1200"/>
      <c r="H9" s="1200">
        <f t="shared" si="3"/>
        <v>0</v>
      </c>
      <c r="I9" s="1200">
        <v>380</v>
      </c>
      <c r="J9" s="1200">
        <f t="shared" si="4"/>
        <v>7030</v>
      </c>
      <c r="K9" s="1200"/>
      <c r="L9" s="1201">
        <f t="shared" si="5"/>
        <v>0</v>
      </c>
      <c r="M9" s="1200"/>
      <c r="N9" s="1201">
        <f t="shared" si="6"/>
        <v>0</v>
      </c>
      <c r="O9" s="1200"/>
      <c r="P9" s="1201">
        <f t="shared" si="7"/>
        <v>0</v>
      </c>
      <c r="Q9" s="1201"/>
      <c r="R9" s="1201">
        <f t="shared" si="8"/>
        <v>0</v>
      </c>
      <c r="S9" s="1200"/>
      <c r="T9" s="1200">
        <f t="shared" si="9"/>
        <v>0</v>
      </c>
      <c r="U9" s="1200"/>
      <c r="V9" s="1200">
        <f t="shared" si="10"/>
        <v>0</v>
      </c>
      <c r="W9" s="1200"/>
      <c r="X9" s="19">
        <f t="shared" si="11"/>
        <v>0</v>
      </c>
      <c r="Y9" s="20">
        <f t="shared" si="0"/>
        <v>83507.400000000009</v>
      </c>
    </row>
    <row r="10" spans="1:25" ht="35.25" customHeight="1" x14ac:dyDescent="0.25">
      <c r="A10" s="12">
        <v>1409935199</v>
      </c>
      <c r="C10" s="1200"/>
      <c r="D10" s="1201">
        <f t="shared" si="1"/>
        <v>0</v>
      </c>
      <c r="E10" s="1200"/>
      <c r="F10" s="1200">
        <f t="shared" si="2"/>
        <v>0</v>
      </c>
      <c r="G10" s="1200"/>
      <c r="H10" s="1200">
        <f t="shared" si="3"/>
        <v>0</v>
      </c>
      <c r="I10" s="1200"/>
      <c r="J10" s="1200">
        <f t="shared" si="4"/>
        <v>0</v>
      </c>
      <c r="K10" s="1200"/>
      <c r="L10" s="1201">
        <f t="shared" si="5"/>
        <v>0</v>
      </c>
      <c r="M10" s="1200"/>
      <c r="N10" s="1201">
        <f t="shared" si="6"/>
        <v>0</v>
      </c>
      <c r="O10" s="1200"/>
      <c r="P10" s="1201">
        <f t="shared" si="7"/>
        <v>0</v>
      </c>
      <c r="Q10" s="1201"/>
      <c r="R10" s="1201">
        <f t="shared" si="8"/>
        <v>0</v>
      </c>
      <c r="S10" s="1200"/>
      <c r="T10" s="1200">
        <f t="shared" si="9"/>
        <v>0</v>
      </c>
      <c r="U10" s="1200"/>
      <c r="V10" s="1200">
        <f t="shared" si="10"/>
        <v>0</v>
      </c>
      <c r="W10" s="1200"/>
      <c r="X10" s="19">
        <f t="shared" si="11"/>
        <v>0</v>
      </c>
      <c r="Y10" s="20">
        <f t="shared" si="0"/>
        <v>0</v>
      </c>
    </row>
    <row r="11" spans="1:25" ht="37.5" customHeight="1" x14ac:dyDescent="0.25">
      <c r="A11" s="12"/>
      <c r="B11" s="1199"/>
      <c r="C11" s="1200"/>
      <c r="D11" s="1201">
        <f t="shared" si="1"/>
        <v>0</v>
      </c>
      <c r="E11" s="1200"/>
      <c r="F11" s="1200">
        <f t="shared" si="2"/>
        <v>0</v>
      </c>
      <c r="G11" s="1200"/>
      <c r="H11" s="1200">
        <f t="shared" si="3"/>
        <v>0</v>
      </c>
      <c r="I11" s="1200"/>
      <c r="J11" s="1200">
        <f t="shared" si="4"/>
        <v>0</v>
      </c>
      <c r="K11" s="1200"/>
      <c r="L11" s="1201">
        <f t="shared" si="5"/>
        <v>0</v>
      </c>
      <c r="M11" s="1200"/>
      <c r="N11" s="1201">
        <f t="shared" si="6"/>
        <v>0</v>
      </c>
      <c r="O11" s="1200"/>
      <c r="P11" s="1201">
        <f t="shared" si="7"/>
        <v>0</v>
      </c>
      <c r="Q11" s="1201"/>
      <c r="R11" s="1201">
        <f t="shared" si="8"/>
        <v>0</v>
      </c>
      <c r="S11" s="1200"/>
      <c r="T11" s="1200">
        <f>341*S11</f>
        <v>0</v>
      </c>
      <c r="U11" s="1200"/>
      <c r="V11" s="1200">
        <f t="shared" si="10"/>
        <v>0</v>
      </c>
      <c r="W11" s="1200"/>
      <c r="X11" s="19">
        <f t="shared" si="11"/>
        <v>0</v>
      </c>
      <c r="Y11" s="20">
        <f t="shared" si="0"/>
        <v>0</v>
      </c>
    </row>
    <row r="12" spans="1:25" ht="29.25" customHeight="1" x14ac:dyDescent="0.25">
      <c r="A12" s="2235" t="s">
        <v>31</v>
      </c>
      <c r="B12" s="2235"/>
      <c r="C12" s="18">
        <f t="shared" ref="C12:X12" si="12">SUM(C6:C11)</f>
        <v>286325</v>
      </c>
      <c r="D12" s="18">
        <f t="shared" si="12"/>
        <v>278451.0625</v>
      </c>
      <c r="E12" s="18">
        <f t="shared" si="12"/>
        <v>0</v>
      </c>
      <c r="F12" s="18">
        <f t="shared" si="12"/>
        <v>0</v>
      </c>
      <c r="G12" s="18">
        <f t="shared" si="12"/>
        <v>0</v>
      </c>
      <c r="H12" s="18">
        <f t="shared" si="12"/>
        <v>0</v>
      </c>
      <c r="I12" s="18">
        <f t="shared" si="12"/>
        <v>1060</v>
      </c>
      <c r="J12" s="18">
        <f t="shared" si="12"/>
        <v>19610</v>
      </c>
      <c r="K12" s="18">
        <f t="shared" si="12"/>
        <v>0</v>
      </c>
      <c r="L12" s="18">
        <f t="shared" si="12"/>
        <v>0</v>
      </c>
      <c r="M12" s="18">
        <f t="shared" si="12"/>
        <v>0</v>
      </c>
      <c r="N12" s="23">
        <f t="shared" si="12"/>
        <v>0</v>
      </c>
      <c r="O12" s="18">
        <f t="shared" si="12"/>
        <v>0</v>
      </c>
      <c r="P12" s="23">
        <f t="shared" si="12"/>
        <v>0</v>
      </c>
      <c r="Q12" s="23">
        <f t="shared" si="12"/>
        <v>0</v>
      </c>
      <c r="R12" s="23">
        <f>SUM(R6:R11)</f>
        <v>0</v>
      </c>
      <c r="S12" s="23">
        <f>SUM(S6:S11)</f>
        <v>0</v>
      </c>
      <c r="T12" s="18">
        <f t="shared" si="12"/>
        <v>0</v>
      </c>
      <c r="U12" s="18">
        <f t="shared" si="12"/>
        <v>0</v>
      </c>
      <c r="V12" s="18">
        <f t="shared" si="12"/>
        <v>0</v>
      </c>
      <c r="W12" s="18">
        <f t="shared" si="12"/>
        <v>0</v>
      </c>
      <c r="X12" s="18">
        <f t="shared" si="12"/>
        <v>0</v>
      </c>
      <c r="Y12" s="20">
        <f t="shared" si="0"/>
        <v>298061.0625</v>
      </c>
    </row>
    <row r="14" spans="1:25" ht="43.5" customHeight="1" x14ac:dyDescent="0.25">
      <c r="A14" s="30" t="s">
        <v>32</v>
      </c>
      <c r="B14" s="2236" t="s">
        <v>27</v>
      </c>
      <c r="C14" s="2236"/>
      <c r="D14" s="30" t="s">
        <v>333</v>
      </c>
      <c r="E14" s="30" t="s">
        <v>65</v>
      </c>
      <c r="F14" s="30" t="s">
        <v>34</v>
      </c>
      <c r="G14" s="30" t="s">
        <v>14</v>
      </c>
      <c r="H14" s="469" t="s">
        <v>173</v>
      </c>
      <c r="I14" s="30" t="s">
        <v>17</v>
      </c>
      <c r="J14" s="1205" t="s">
        <v>174</v>
      </c>
      <c r="K14" s="30" t="s">
        <v>36</v>
      </c>
      <c r="L14" s="1205" t="s">
        <v>403</v>
      </c>
      <c r="M14" s="30" t="s">
        <v>429</v>
      </c>
      <c r="N14" s="30" t="s">
        <v>442</v>
      </c>
      <c r="O14" s="1205" t="s">
        <v>114</v>
      </c>
      <c r="P14" s="30" t="s">
        <v>70</v>
      </c>
      <c r="Q14" s="2300" t="s">
        <v>378</v>
      </c>
      <c r="R14" s="2301"/>
      <c r="S14" s="1205" t="s">
        <v>401</v>
      </c>
      <c r="T14" s="2235" t="s">
        <v>46</v>
      </c>
      <c r="U14" s="1197" t="s">
        <v>176</v>
      </c>
      <c r="V14" s="2260">
        <v>183795</v>
      </c>
      <c r="W14" s="2268"/>
      <c r="X14" s="2261"/>
    </row>
    <row r="15" spans="1:25" ht="22.5" customHeight="1" x14ac:dyDescent="0.25">
      <c r="A15" s="100" t="s">
        <v>38</v>
      </c>
      <c r="B15" s="2260">
        <v>301203</v>
      </c>
      <c r="C15" s="2261"/>
      <c r="D15" s="1202">
        <v>180</v>
      </c>
      <c r="E15" s="1202">
        <v>1000</v>
      </c>
      <c r="F15" s="1202">
        <v>24730</v>
      </c>
      <c r="G15" s="1202">
        <v>0</v>
      </c>
      <c r="H15" s="1202">
        <v>220</v>
      </c>
      <c r="I15" s="1202">
        <v>18</v>
      </c>
      <c r="J15" s="1202">
        <v>4</v>
      </c>
      <c r="K15" s="1202">
        <v>80</v>
      </c>
      <c r="L15" s="1202">
        <v>45</v>
      </c>
      <c r="M15" s="1202">
        <v>0</v>
      </c>
      <c r="N15" s="1202">
        <v>280</v>
      </c>
      <c r="O15" s="1202">
        <v>0</v>
      </c>
      <c r="P15" s="1202">
        <v>100</v>
      </c>
      <c r="Q15" s="2260">
        <v>0</v>
      </c>
      <c r="R15" s="2261"/>
      <c r="S15" s="1197">
        <v>6</v>
      </c>
      <c r="T15" s="2235"/>
      <c r="U15" s="1197" t="s">
        <v>64</v>
      </c>
      <c r="V15" s="2262">
        <v>7611</v>
      </c>
      <c r="W15" s="2262"/>
      <c r="X15" s="2262"/>
    </row>
    <row r="16" spans="1:25" ht="24.75" customHeight="1" x14ac:dyDescent="0.25">
      <c r="A16" s="100" t="s">
        <v>39</v>
      </c>
      <c r="B16" s="2260">
        <v>363636</v>
      </c>
      <c r="C16" s="2261"/>
      <c r="D16" s="1202"/>
      <c r="E16" s="1202"/>
      <c r="F16" s="1202"/>
      <c r="G16" s="1202"/>
      <c r="H16" s="1202"/>
      <c r="I16" s="1202"/>
      <c r="J16" s="1202"/>
      <c r="K16" s="1202"/>
      <c r="L16" s="1202"/>
      <c r="M16" s="1202"/>
      <c r="N16" s="1202"/>
      <c r="O16" s="1202"/>
      <c r="P16" s="1202"/>
      <c r="Q16" s="2225"/>
      <c r="R16" s="2225"/>
      <c r="S16" s="1202"/>
      <c r="T16" s="2254" t="s">
        <v>55</v>
      </c>
      <c r="U16" s="2254"/>
      <c r="V16" s="2267">
        <f>Y12</f>
        <v>298061.0625</v>
      </c>
      <c r="W16" s="2267"/>
      <c r="X16" s="2262"/>
    </row>
    <row r="17" spans="1:25" ht="28.5" customHeight="1" x14ac:dyDescent="0.25">
      <c r="A17" s="101" t="s">
        <v>44</v>
      </c>
      <c r="B17" s="2260"/>
      <c r="C17" s="2261"/>
      <c r="D17" s="1202"/>
      <c r="E17" s="1202"/>
      <c r="F17" s="1202"/>
      <c r="G17" s="1202"/>
      <c r="H17" s="1202"/>
      <c r="I17" s="1202"/>
      <c r="J17" s="1202"/>
      <c r="K17" s="1202"/>
      <c r="L17" s="1202"/>
      <c r="M17" s="1202"/>
      <c r="N17" s="1202"/>
      <c r="O17" s="1202"/>
      <c r="P17" s="1202"/>
      <c r="Q17" s="2225"/>
      <c r="R17" s="2225"/>
      <c r="S17" s="1199"/>
      <c r="T17" s="2294" t="s">
        <v>463</v>
      </c>
      <c r="U17" s="2295"/>
      <c r="V17" s="2296"/>
      <c r="W17" s="2296"/>
      <c r="X17" s="2296"/>
    </row>
    <row r="18" spans="1:25" ht="27" customHeight="1" x14ac:dyDescent="0.25">
      <c r="A18" s="100" t="s">
        <v>40</v>
      </c>
      <c r="B18" s="2264">
        <f>C12</f>
        <v>286325</v>
      </c>
      <c r="C18" s="2261"/>
      <c r="D18" s="1203">
        <f>E12</f>
        <v>0</v>
      </c>
      <c r="E18" s="1203">
        <f>G12</f>
        <v>0</v>
      </c>
      <c r="F18" s="1203">
        <f>I12</f>
        <v>1060</v>
      </c>
      <c r="G18" s="1203">
        <f>K12</f>
        <v>0</v>
      </c>
      <c r="H18" s="1202"/>
      <c r="I18" s="1203">
        <f>U12</f>
        <v>0</v>
      </c>
      <c r="J18" s="1202"/>
      <c r="K18" s="1203">
        <f>W12</f>
        <v>0</v>
      </c>
      <c r="L18" s="1202"/>
      <c r="M18" s="1203">
        <f>M12</f>
        <v>0</v>
      </c>
      <c r="N18" s="1203">
        <f>O12</f>
        <v>0</v>
      </c>
      <c r="O18" s="1204">
        <f>Q12</f>
        <v>0</v>
      </c>
      <c r="P18" s="1203"/>
      <c r="Q18" s="2262"/>
      <c r="R18" s="2262"/>
      <c r="S18" s="1197"/>
      <c r="T18" s="2254" t="s">
        <v>57</v>
      </c>
      <c r="U18" s="2254"/>
      <c r="V18" s="2262">
        <v>520</v>
      </c>
      <c r="W18" s="2262"/>
      <c r="X18" s="2262"/>
      <c r="Y18" s="2269"/>
    </row>
    <row r="19" spans="1:25" ht="25.5" customHeight="1" x14ac:dyDescent="0.25">
      <c r="A19" s="100" t="s">
        <v>41</v>
      </c>
      <c r="B19" s="2260">
        <f>B15+B16+B17-B18</f>
        <v>378514</v>
      </c>
      <c r="C19" s="2261"/>
      <c r="D19" s="1202">
        <f>D15+D16+D17-D18</f>
        <v>180</v>
      </c>
      <c r="E19" s="1202">
        <f t="shared" ref="E19:N19" si="13">E15+E16+E17-E18</f>
        <v>1000</v>
      </c>
      <c r="F19" s="1202">
        <f t="shared" si="13"/>
        <v>23670</v>
      </c>
      <c r="G19" s="1202">
        <f t="shared" si="13"/>
        <v>0</v>
      </c>
      <c r="H19" s="1202">
        <f t="shared" si="13"/>
        <v>220</v>
      </c>
      <c r="I19" s="1202">
        <f t="shared" si="13"/>
        <v>18</v>
      </c>
      <c r="J19" s="1202">
        <f t="shared" si="13"/>
        <v>4</v>
      </c>
      <c r="K19" s="1202">
        <f t="shared" si="13"/>
        <v>80</v>
      </c>
      <c r="L19" s="1202">
        <f t="shared" si="13"/>
        <v>45</v>
      </c>
      <c r="M19" s="1202">
        <f t="shared" si="13"/>
        <v>0</v>
      </c>
      <c r="N19" s="1202">
        <f t="shared" si="13"/>
        <v>280</v>
      </c>
      <c r="O19" s="1202">
        <f>O15+O16+O17-O18</f>
        <v>0</v>
      </c>
      <c r="P19" s="1202">
        <f t="shared" ref="P19:Q19" si="14">P15+P16+P17-P18</f>
        <v>100</v>
      </c>
      <c r="Q19" s="2260">
        <f t="shared" si="14"/>
        <v>0</v>
      </c>
      <c r="R19" s="2261"/>
      <c r="S19" s="1197">
        <f>S15+S16-S17-S18</f>
        <v>6</v>
      </c>
      <c r="T19" s="2256" t="s">
        <v>48</v>
      </c>
      <c r="U19" s="49" t="s">
        <v>58</v>
      </c>
      <c r="V19" s="2262">
        <v>400000</v>
      </c>
      <c r="W19" s="2262"/>
      <c r="X19" s="2262"/>
      <c r="Y19" s="2269"/>
    </row>
    <row r="20" spans="1:25" ht="23.25" customHeight="1" x14ac:dyDescent="0.25">
      <c r="A20" s="289" t="s">
        <v>187</v>
      </c>
      <c r="B20" s="2286">
        <f>B19*0.9625</f>
        <v>364319.72500000003</v>
      </c>
      <c r="C20" s="2287"/>
      <c r="D20" s="290">
        <f>D19*66.41</f>
        <v>11953.8</v>
      </c>
      <c r="E20" s="290">
        <f>27.9368*E19</f>
        <v>27936.800000000003</v>
      </c>
      <c r="F20" s="290">
        <f>18.31*F19</f>
        <v>433397.69999999995</v>
      </c>
      <c r="G20" s="290">
        <f>27.9368*G19</f>
        <v>0</v>
      </c>
      <c r="H20" s="290">
        <f>241*H19</f>
        <v>53020</v>
      </c>
      <c r="I20" s="290">
        <f>323*I19</f>
        <v>5814</v>
      </c>
      <c r="J20" s="290">
        <f>241*J19</f>
        <v>964</v>
      </c>
      <c r="K20" s="290">
        <f>K19*100</f>
        <v>8000</v>
      </c>
      <c r="L20" s="290">
        <f>241*L19</f>
        <v>10845</v>
      </c>
      <c r="M20" s="290">
        <f>47.1625*M19</f>
        <v>0</v>
      </c>
      <c r="N20" s="290">
        <f>N19*8.81</f>
        <v>2466.8000000000002</v>
      </c>
      <c r="O20" s="290">
        <f>241*O19</f>
        <v>0</v>
      </c>
      <c r="P20" s="290">
        <f>P19*48.2</f>
        <v>4820</v>
      </c>
      <c r="Q20" s="2286">
        <f>341*Q19</f>
        <v>0</v>
      </c>
      <c r="R20" s="2287"/>
      <c r="S20" s="290">
        <f>341*S19</f>
        <v>2046</v>
      </c>
      <c r="T20" s="2257"/>
      <c r="U20" s="49" t="s">
        <v>59</v>
      </c>
      <c r="V20" s="2262">
        <v>50000</v>
      </c>
      <c r="W20" s="2262"/>
      <c r="X20" s="2262"/>
      <c r="Y20" s="2269"/>
    </row>
    <row r="21" spans="1:25" ht="32.25" customHeight="1" x14ac:dyDescent="0.25">
      <c r="A21" s="291" t="s">
        <v>186</v>
      </c>
      <c r="B21" s="2293">
        <f>SUM(B20:S20)</f>
        <v>925583.82499999995</v>
      </c>
      <c r="C21" s="2293"/>
      <c r="O21" s="1206"/>
      <c r="P21" s="1206"/>
      <c r="Q21" s="1206"/>
      <c r="R21" s="1206"/>
      <c r="T21" s="2294" t="s">
        <v>464</v>
      </c>
      <c r="U21" s="2295"/>
      <c r="V21" s="2297"/>
      <c r="W21" s="2298"/>
      <c r="X21" s="2299"/>
      <c r="Y21" s="2269"/>
    </row>
    <row r="22" spans="1:25" ht="35.25" customHeight="1" x14ac:dyDescent="0.25">
      <c r="A22" s="15"/>
      <c r="B22" s="2288" t="s">
        <v>49</v>
      </c>
      <c r="C22" s="2291">
        <v>400000</v>
      </c>
      <c r="D22" s="2291">
        <v>400000</v>
      </c>
      <c r="E22" s="2291">
        <v>300000</v>
      </c>
      <c r="F22" s="2291">
        <f>C22-D22+E22</f>
        <v>300000</v>
      </c>
      <c r="G22" s="1206"/>
      <c r="Q22" s="1206"/>
      <c r="R22" s="1206"/>
      <c r="T22" s="2251" t="s">
        <v>83</v>
      </c>
      <c r="U22" s="50" t="s">
        <v>60</v>
      </c>
      <c r="V22" s="2262">
        <v>460060</v>
      </c>
      <c r="W22" s="2262"/>
      <c r="X22" s="2262"/>
      <c r="Y22" s="2269"/>
    </row>
    <row r="23" spans="1:25" ht="39.75" customHeight="1" x14ac:dyDescent="0.25">
      <c r="A23" s="1206"/>
      <c r="B23" s="2289"/>
      <c r="C23" s="2292"/>
      <c r="D23" s="2292"/>
      <c r="E23" s="2292"/>
      <c r="F23" s="2292"/>
      <c r="G23" s="1206"/>
      <c r="Q23" s="1206"/>
      <c r="R23" s="1206"/>
      <c r="T23" s="2252"/>
      <c r="U23" s="50" t="s">
        <v>61</v>
      </c>
      <c r="V23" s="2262">
        <v>450000</v>
      </c>
      <c r="W23" s="2262"/>
      <c r="X23" s="2262"/>
      <c r="Y23" s="2269"/>
    </row>
    <row r="24" spans="1:25" ht="48" customHeight="1" x14ac:dyDescent="0.25">
      <c r="A24" s="1206"/>
      <c r="B24" s="2290"/>
      <c r="C24" s="290" t="s">
        <v>46</v>
      </c>
      <c r="D24" s="290" t="s">
        <v>50</v>
      </c>
      <c r="E24" s="290" t="s">
        <v>51</v>
      </c>
      <c r="F24" s="290" t="s">
        <v>52</v>
      </c>
      <c r="G24" s="1206"/>
      <c r="Q24" s="1206"/>
      <c r="R24" s="1206"/>
      <c r="T24" s="2235" t="s">
        <v>47</v>
      </c>
      <c r="U24" s="51" t="s">
        <v>62</v>
      </c>
      <c r="V24" s="2263">
        <f>V14+V16+V17-V18-V19-V20-V22+V23-V21</f>
        <v>21276.0625</v>
      </c>
      <c r="W24" s="2263"/>
      <c r="X24" s="2263"/>
      <c r="Y24" s="2269"/>
    </row>
    <row r="25" spans="1:25" ht="40.5" customHeight="1" x14ac:dyDescent="0.25">
      <c r="T25" s="2235"/>
      <c r="U25" s="51" t="s">
        <v>63</v>
      </c>
      <c r="V25" s="2262">
        <f>V15+V22-V23</f>
        <v>17671</v>
      </c>
      <c r="W25" s="2262"/>
      <c r="X25" s="2262"/>
    </row>
    <row r="26" spans="1:25" ht="36" customHeight="1" x14ac:dyDescent="0.25">
      <c r="K26" s="314"/>
    </row>
    <row r="28" spans="1:25" x14ac:dyDescent="0.25">
      <c r="J28" s="14" t="s">
        <v>139</v>
      </c>
    </row>
    <row r="32" spans="1:25" x14ac:dyDescent="0.25">
      <c r="I32" s="2280"/>
      <c r="J32" s="2280"/>
      <c r="K32" s="2280"/>
      <c r="L32" s="2280"/>
    </row>
    <row r="33" spans="9:12" x14ac:dyDescent="0.25">
      <c r="I33" s="1206"/>
      <c r="J33" s="1206"/>
      <c r="K33" s="2280"/>
      <c r="L33" s="2280"/>
    </row>
  </sheetData>
  <mergeCells count="62">
    <mergeCell ref="I32:J32"/>
    <mergeCell ref="K32:L32"/>
    <mergeCell ref="K33:L33"/>
    <mergeCell ref="T22:T23"/>
    <mergeCell ref="V22:X22"/>
    <mergeCell ref="V23:X23"/>
    <mergeCell ref="T24:T25"/>
    <mergeCell ref="V24:X24"/>
    <mergeCell ref="V25:X25"/>
    <mergeCell ref="Y18:Y24"/>
    <mergeCell ref="B19:C19"/>
    <mergeCell ref="Q19:R19"/>
    <mergeCell ref="T19:T20"/>
    <mergeCell ref="V19:X19"/>
    <mergeCell ref="B20:C20"/>
    <mergeCell ref="B22:B24"/>
    <mergeCell ref="C22:C23"/>
    <mergeCell ref="D22:D23"/>
    <mergeCell ref="E22:E23"/>
    <mergeCell ref="F22:F23"/>
    <mergeCell ref="Q20:R20"/>
    <mergeCell ref="V20:X20"/>
    <mergeCell ref="B21:C21"/>
    <mergeCell ref="T21:U21"/>
    <mergeCell ref="V21:X21"/>
    <mergeCell ref="B17:C17"/>
    <mergeCell ref="Q17:R17"/>
    <mergeCell ref="T17:U17"/>
    <mergeCell ref="V17:X17"/>
    <mergeCell ref="B18:C18"/>
    <mergeCell ref="Q18:R18"/>
    <mergeCell ref="T18:U18"/>
    <mergeCell ref="V18:X18"/>
    <mergeCell ref="W4:X4"/>
    <mergeCell ref="B16:C16"/>
    <mergeCell ref="Q16:R16"/>
    <mergeCell ref="T16:U16"/>
    <mergeCell ref="V16:X16"/>
    <mergeCell ref="A12:B12"/>
    <mergeCell ref="B14:C14"/>
    <mergeCell ref="Q14:R14"/>
    <mergeCell ref="T14:T15"/>
    <mergeCell ref="V14:X14"/>
    <mergeCell ref="B15:C15"/>
    <mergeCell ref="Q15:R15"/>
    <mergeCell ref="V15:X15"/>
    <mergeCell ref="A1:Y1"/>
    <mergeCell ref="A2:Y2"/>
    <mergeCell ref="T3:Y3"/>
    <mergeCell ref="A4:A5"/>
    <mergeCell ref="B4:B5"/>
    <mergeCell ref="C4:D4"/>
    <mergeCell ref="E4:F4"/>
    <mergeCell ref="G4:H4"/>
    <mergeCell ref="I4:J4"/>
    <mergeCell ref="K4:L4"/>
    <mergeCell ref="Y4:Y5"/>
    <mergeCell ref="M4:N4"/>
    <mergeCell ref="O4:P4"/>
    <mergeCell ref="Q4:R4"/>
    <mergeCell ref="S4:T4"/>
    <mergeCell ref="U4:V4"/>
  </mergeCells>
  <pageMargins left="0.15748031496063" right="0.15748031496063" top="0" bottom="0" header="0" footer="0"/>
  <pageSetup paperSize="9" scale="45" orientation="landscape" r:id="rId1"/>
</worksheet>
</file>

<file path=xl/worksheets/sheet2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30BCA1B-6D63-4042-A180-DA6E4B2E00C1}">
  <sheetPr>
    <pageSetUpPr fitToPage="1"/>
  </sheetPr>
  <dimension ref="A1:Y33"/>
  <sheetViews>
    <sheetView topLeftCell="E3" zoomScale="70" zoomScaleNormal="70" zoomScaleSheetLayoutView="100" zoomScalePageLayoutView="68" workbookViewId="0">
      <selection activeCell="J24" sqref="J24"/>
    </sheetView>
  </sheetViews>
  <sheetFormatPr defaultColWidth="9.140625" defaultRowHeight="15" x14ac:dyDescent="0.25"/>
  <cols>
    <col min="1" max="1" width="18.28515625" style="14" customWidth="1"/>
    <col min="2" max="2" width="10.7109375" style="14" customWidth="1"/>
    <col min="3" max="3" width="12.28515625" style="14" customWidth="1"/>
    <col min="4" max="4" width="13.140625" style="14" bestFit="1" customWidth="1"/>
    <col min="5" max="5" width="12" style="14" customWidth="1"/>
    <col min="6" max="6" width="12.5703125" style="14" bestFit="1" customWidth="1"/>
    <col min="7" max="7" width="16" style="14" bestFit="1" customWidth="1"/>
    <col min="8" max="8" width="10.140625" style="14" bestFit="1" customWidth="1"/>
    <col min="9" max="9" width="10.5703125" style="14" bestFit="1" customWidth="1"/>
    <col min="10" max="10" width="10.5703125" style="14" customWidth="1"/>
    <col min="11" max="11" width="10.28515625" style="14" bestFit="1" customWidth="1"/>
    <col min="12" max="12" width="10.42578125" style="14" bestFit="1" customWidth="1"/>
    <col min="13" max="14" width="12" style="14" bestFit="1" customWidth="1"/>
    <col min="15" max="15" width="9" style="14" customWidth="1"/>
    <col min="16" max="16" width="12.85546875" style="14" bestFit="1" customWidth="1"/>
    <col min="17" max="18" width="9.42578125" style="14" customWidth="1"/>
    <col min="19" max="19" width="13.7109375" style="14" customWidth="1"/>
    <col min="20" max="20" width="12.140625" style="14" customWidth="1"/>
    <col min="21" max="21" width="21.7109375" style="14" customWidth="1"/>
    <col min="22" max="22" width="9.85546875" style="14" customWidth="1"/>
    <col min="23" max="23" width="10.140625" style="14" bestFit="1" customWidth="1"/>
    <col min="24" max="24" width="10.28515625" style="14" customWidth="1"/>
    <col min="25" max="25" width="28" style="14" customWidth="1"/>
    <col min="26" max="16384" width="9.140625" style="14"/>
  </cols>
  <sheetData>
    <row r="1" spans="1:25" ht="46.15" customHeight="1" x14ac:dyDescent="0.25">
      <c r="A1" s="2240" t="s">
        <v>148</v>
      </c>
      <c r="B1" s="2240"/>
      <c r="C1" s="2240"/>
      <c r="D1" s="2240"/>
      <c r="E1" s="2240"/>
      <c r="F1" s="2240"/>
      <c r="G1" s="2240"/>
      <c r="H1" s="2240"/>
      <c r="I1" s="2240"/>
      <c r="J1" s="2240"/>
      <c r="K1" s="2240"/>
      <c r="L1" s="2240"/>
      <c r="M1" s="2240"/>
      <c r="N1" s="2240"/>
      <c r="O1" s="2240"/>
      <c r="P1" s="2240"/>
      <c r="Q1" s="2240"/>
      <c r="R1" s="2240"/>
      <c r="S1" s="2240"/>
      <c r="T1" s="2240"/>
      <c r="U1" s="2240"/>
      <c r="V1" s="2240"/>
      <c r="W1" s="2240"/>
      <c r="X1" s="2240"/>
      <c r="Y1" s="2240"/>
    </row>
    <row r="2" spans="1:25" ht="21.6" customHeight="1" x14ac:dyDescent="0.25">
      <c r="A2" s="2241" t="s">
        <v>383</v>
      </c>
      <c r="B2" s="2241"/>
      <c r="C2" s="2241"/>
      <c r="D2" s="2241"/>
      <c r="E2" s="2241"/>
      <c r="F2" s="2241"/>
      <c r="G2" s="2241"/>
      <c r="H2" s="2241"/>
      <c r="I2" s="2241"/>
      <c r="J2" s="2241"/>
      <c r="K2" s="2241"/>
      <c r="L2" s="2241"/>
      <c r="M2" s="2241"/>
      <c r="N2" s="2241"/>
      <c r="O2" s="2241"/>
      <c r="P2" s="2241"/>
      <c r="Q2" s="2241"/>
      <c r="R2" s="2241"/>
      <c r="S2" s="2241"/>
      <c r="T2" s="2241"/>
      <c r="U2" s="2241"/>
      <c r="V2" s="2241"/>
      <c r="W2" s="2241"/>
      <c r="X2" s="2241"/>
      <c r="Y2" s="2241"/>
    </row>
    <row r="3" spans="1:25" ht="21" customHeight="1" x14ac:dyDescent="0.25">
      <c r="A3" s="1207"/>
      <c r="B3" s="1207"/>
      <c r="C3" s="1207"/>
      <c r="D3" s="1207"/>
      <c r="E3" s="1207"/>
      <c r="F3" s="1207"/>
      <c r="G3" s="1207"/>
      <c r="H3" s="1207"/>
      <c r="I3" s="1207"/>
      <c r="J3" s="1207"/>
      <c r="K3" s="1207"/>
      <c r="L3" s="1207"/>
      <c r="M3" s="1207"/>
      <c r="N3" s="1207"/>
      <c r="O3" s="1207"/>
      <c r="P3" s="1207"/>
      <c r="Q3" s="1207"/>
      <c r="R3" s="1207"/>
      <c r="S3" s="1207"/>
      <c r="T3" s="2242" t="s">
        <v>465</v>
      </c>
      <c r="U3" s="2242"/>
      <c r="V3" s="2242"/>
      <c r="W3" s="2242"/>
      <c r="X3" s="2242"/>
      <c r="Y3" s="2242"/>
    </row>
    <row r="4" spans="1:25" s="1207" customFormat="1" ht="18" customHeight="1" x14ac:dyDescent="0.25">
      <c r="A4" s="2243" t="s">
        <v>25</v>
      </c>
      <c r="B4" s="2243" t="s">
        <v>26</v>
      </c>
      <c r="C4" s="2244" t="s">
        <v>27</v>
      </c>
      <c r="D4" s="2244"/>
      <c r="E4" s="2244" t="s">
        <v>342</v>
      </c>
      <c r="F4" s="2244"/>
      <c r="G4" s="2244" t="s">
        <v>65</v>
      </c>
      <c r="H4" s="2244"/>
      <c r="I4" s="2244" t="s">
        <v>29</v>
      </c>
      <c r="J4" s="2244"/>
      <c r="K4" s="2245" t="s">
        <v>14</v>
      </c>
      <c r="L4" s="2246"/>
      <c r="M4" s="2245" t="s">
        <v>429</v>
      </c>
      <c r="N4" s="2246"/>
      <c r="O4" s="2245" t="s">
        <v>441</v>
      </c>
      <c r="P4" s="2246"/>
      <c r="Q4" s="2245" t="s">
        <v>114</v>
      </c>
      <c r="R4" s="2246"/>
      <c r="S4" s="2244" t="s">
        <v>35</v>
      </c>
      <c r="T4" s="2244"/>
      <c r="U4" s="2245" t="s">
        <v>17</v>
      </c>
      <c r="V4" s="2246"/>
      <c r="W4" s="2247" t="s">
        <v>36</v>
      </c>
      <c r="X4" s="2248"/>
      <c r="Y4" s="2238" t="s">
        <v>30</v>
      </c>
    </row>
    <row r="5" spans="1:25" s="1207" customFormat="1" ht="25.5" customHeight="1" x14ac:dyDescent="0.25">
      <c r="A5" s="2243"/>
      <c r="B5" s="2243"/>
      <c r="C5" s="1209" t="s">
        <v>42</v>
      </c>
      <c r="D5" s="1209" t="s">
        <v>43</v>
      </c>
      <c r="E5" s="1209" t="s">
        <v>42</v>
      </c>
      <c r="F5" s="1209" t="s">
        <v>43</v>
      </c>
      <c r="G5" s="1209" t="s">
        <v>42</v>
      </c>
      <c r="H5" s="1209" t="s">
        <v>43</v>
      </c>
      <c r="I5" s="1209" t="s">
        <v>42</v>
      </c>
      <c r="J5" s="1209" t="s">
        <v>43</v>
      </c>
      <c r="K5" s="1209" t="s">
        <v>42</v>
      </c>
      <c r="L5" s="1209" t="s">
        <v>43</v>
      </c>
      <c r="M5" s="1209" t="s">
        <v>42</v>
      </c>
      <c r="N5" s="1209" t="s">
        <v>43</v>
      </c>
      <c r="O5" s="1209" t="s">
        <v>42</v>
      </c>
      <c r="P5" s="1209" t="s">
        <v>43</v>
      </c>
      <c r="Q5" s="1209" t="s">
        <v>42</v>
      </c>
      <c r="R5" s="1209" t="s">
        <v>43</v>
      </c>
      <c r="S5" s="33" t="s">
        <v>42</v>
      </c>
      <c r="T5" s="33" t="s">
        <v>43</v>
      </c>
      <c r="U5" s="30" t="s">
        <v>42</v>
      </c>
      <c r="V5" s="30" t="s">
        <v>43</v>
      </c>
      <c r="W5" s="30" t="s">
        <v>42</v>
      </c>
      <c r="X5" s="30" t="s">
        <v>43</v>
      </c>
      <c r="Y5" s="2239"/>
    </row>
    <row r="6" spans="1:25" ht="34.5" customHeight="1" x14ac:dyDescent="0.25">
      <c r="A6" s="12">
        <v>1409935200</v>
      </c>
      <c r="B6" s="1208" t="s">
        <v>71</v>
      </c>
      <c r="C6" s="1211">
        <v>87584</v>
      </c>
      <c r="D6" s="1212">
        <f>0.9725*C6</f>
        <v>85175.44</v>
      </c>
      <c r="E6" s="1211"/>
      <c r="F6" s="1212">
        <f>67.1*E6</f>
        <v>0</v>
      </c>
      <c r="G6" s="1211"/>
      <c r="H6" s="1211">
        <f>28.2*G6</f>
        <v>0</v>
      </c>
      <c r="I6" s="1211">
        <v>330</v>
      </c>
      <c r="J6" s="1211">
        <f>18.5*I6</f>
        <v>6105</v>
      </c>
      <c r="K6" s="1211"/>
      <c r="L6" s="1212">
        <f>28.2368*K6</f>
        <v>0</v>
      </c>
      <c r="M6" s="1211"/>
      <c r="N6" s="1212">
        <f>M6*47.6525</f>
        <v>0</v>
      </c>
      <c r="O6" s="1211"/>
      <c r="P6" s="1212">
        <f>O6*8.9</f>
        <v>0</v>
      </c>
      <c r="Q6" s="1212"/>
      <c r="R6" s="1212">
        <f>241*Q6</f>
        <v>0</v>
      </c>
      <c r="S6" s="1211">
        <v>18</v>
      </c>
      <c r="T6" s="1211">
        <f>241*S6</f>
        <v>4338</v>
      </c>
      <c r="U6" s="1211"/>
      <c r="V6" s="1211">
        <f>332*U6</f>
        <v>0</v>
      </c>
      <c r="W6" s="1211"/>
      <c r="X6" s="19">
        <f>W6*100</f>
        <v>0</v>
      </c>
      <c r="Y6" s="20">
        <f t="shared" ref="Y6:Y12" si="0">D6+F6+H6+J6+L6+N6+P6+R6+T6+V6+X6</f>
        <v>95618.44</v>
      </c>
    </row>
    <row r="7" spans="1:25" ht="31.5" customHeight="1" x14ac:dyDescent="0.25">
      <c r="A7" s="12">
        <v>1984225578</v>
      </c>
      <c r="B7" s="1208" t="s">
        <v>72</v>
      </c>
      <c r="C7" s="1211">
        <v>88874</v>
      </c>
      <c r="D7" s="1212">
        <f t="shared" ref="D7:D11" si="1">0.9725*C7</f>
        <v>86429.964999999997</v>
      </c>
      <c r="E7" s="1211"/>
      <c r="F7" s="1211">
        <f t="shared" ref="F7:F11" si="2">67.1*E7</f>
        <v>0</v>
      </c>
      <c r="G7" s="1211"/>
      <c r="H7" s="1211">
        <f t="shared" ref="H7:H11" si="3">28.2*G7</f>
        <v>0</v>
      </c>
      <c r="I7" s="1211"/>
      <c r="J7" s="1211">
        <f t="shared" ref="J7:J11" si="4">18.5*I7</f>
        <v>0</v>
      </c>
      <c r="K7" s="1211"/>
      <c r="L7" s="1212">
        <f t="shared" ref="L7:L11" si="5">28.2368*K7</f>
        <v>0</v>
      </c>
      <c r="M7" s="1211"/>
      <c r="N7" s="1212">
        <f t="shared" ref="N7:N11" si="6">M7*47.6525</f>
        <v>0</v>
      </c>
      <c r="O7" s="1211"/>
      <c r="P7" s="1212">
        <f t="shared" ref="P7:P11" si="7">O7*8.9</f>
        <v>0</v>
      </c>
      <c r="Q7" s="1212"/>
      <c r="R7" s="1212">
        <f t="shared" ref="R7:R11" si="8">241*Q7</f>
        <v>0</v>
      </c>
      <c r="S7" s="1211">
        <v>30</v>
      </c>
      <c r="T7" s="1211">
        <f t="shared" ref="T7:T10" si="9">241*S7</f>
        <v>7230</v>
      </c>
      <c r="U7" s="1211"/>
      <c r="V7" s="1211">
        <f t="shared" ref="V7:V11" si="10">332*U7</f>
        <v>0</v>
      </c>
      <c r="W7" s="1211"/>
      <c r="X7" s="19">
        <f t="shared" ref="X7:X11" si="11">W7*100</f>
        <v>0</v>
      </c>
      <c r="Y7" s="20">
        <f t="shared" si="0"/>
        <v>93659.964999999997</v>
      </c>
    </row>
    <row r="8" spans="1:25" ht="35.25" customHeight="1" x14ac:dyDescent="0.25">
      <c r="A8" s="12">
        <v>1967020280</v>
      </c>
      <c r="B8" s="1208" t="s">
        <v>427</v>
      </c>
      <c r="C8" s="1211">
        <v>80247</v>
      </c>
      <c r="D8" s="1212">
        <f t="shared" si="1"/>
        <v>78040.207500000004</v>
      </c>
      <c r="E8" s="1211"/>
      <c r="F8" s="1211">
        <f t="shared" si="2"/>
        <v>0</v>
      </c>
      <c r="G8" s="1211"/>
      <c r="H8" s="1212">
        <f t="shared" si="3"/>
        <v>0</v>
      </c>
      <c r="I8" s="1211">
        <v>610</v>
      </c>
      <c r="J8" s="1211">
        <f t="shared" si="4"/>
        <v>11285</v>
      </c>
      <c r="K8" s="1211"/>
      <c r="L8" s="1212">
        <f t="shared" si="5"/>
        <v>0</v>
      </c>
      <c r="M8" s="1211"/>
      <c r="N8" s="1212">
        <f t="shared" si="6"/>
        <v>0</v>
      </c>
      <c r="O8" s="1211"/>
      <c r="P8" s="1212">
        <f t="shared" si="7"/>
        <v>0</v>
      </c>
      <c r="Q8" s="1212"/>
      <c r="R8" s="1212">
        <f t="shared" si="8"/>
        <v>0</v>
      </c>
      <c r="S8" s="1211">
        <v>27</v>
      </c>
      <c r="T8" s="1211">
        <f t="shared" si="9"/>
        <v>6507</v>
      </c>
      <c r="U8" s="1211"/>
      <c r="V8" s="1211">
        <f t="shared" si="10"/>
        <v>0</v>
      </c>
      <c r="W8" s="1211"/>
      <c r="X8" s="19">
        <f t="shared" si="11"/>
        <v>0</v>
      </c>
      <c r="Y8" s="20">
        <f t="shared" si="0"/>
        <v>95832.207500000004</v>
      </c>
    </row>
    <row r="9" spans="1:25" ht="38.25" customHeight="1" x14ac:dyDescent="0.25">
      <c r="A9" s="12">
        <v>1984225580</v>
      </c>
      <c r="B9" s="1208" t="s">
        <v>75</v>
      </c>
      <c r="C9" s="1211">
        <v>59660</v>
      </c>
      <c r="D9" s="1212">
        <f t="shared" si="1"/>
        <v>58019.35</v>
      </c>
      <c r="E9" s="1211"/>
      <c r="F9" s="1211">
        <f t="shared" si="2"/>
        <v>0</v>
      </c>
      <c r="G9" s="1211"/>
      <c r="H9" s="1211">
        <f t="shared" si="3"/>
        <v>0</v>
      </c>
      <c r="I9" s="1211">
        <v>350</v>
      </c>
      <c r="J9" s="1211">
        <f t="shared" si="4"/>
        <v>6475</v>
      </c>
      <c r="K9" s="1211"/>
      <c r="L9" s="1212">
        <f t="shared" si="5"/>
        <v>0</v>
      </c>
      <c r="M9" s="1211"/>
      <c r="N9" s="1212">
        <f t="shared" si="6"/>
        <v>0</v>
      </c>
      <c r="O9" s="1211"/>
      <c r="P9" s="1212">
        <f t="shared" si="7"/>
        <v>0</v>
      </c>
      <c r="Q9" s="1212"/>
      <c r="R9" s="1212">
        <f t="shared" si="8"/>
        <v>0</v>
      </c>
      <c r="S9" s="1211">
        <v>29</v>
      </c>
      <c r="T9" s="1211">
        <f t="shared" si="9"/>
        <v>6989</v>
      </c>
      <c r="U9" s="1211"/>
      <c r="V9" s="1211">
        <f t="shared" si="10"/>
        <v>0</v>
      </c>
      <c r="W9" s="1211"/>
      <c r="X9" s="19">
        <f t="shared" si="11"/>
        <v>0</v>
      </c>
      <c r="Y9" s="20">
        <f t="shared" si="0"/>
        <v>71483.350000000006</v>
      </c>
    </row>
    <row r="10" spans="1:25" ht="35.25" customHeight="1" x14ac:dyDescent="0.25">
      <c r="A10" s="12">
        <v>1409935199</v>
      </c>
      <c r="C10" s="1211"/>
      <c r="D10" s="1212">
        <f t="shared" si="1"/>
        <v>0</v>
      </c>
      <c r="E10" s="1211"/>
      <c r="F10" s="1211">
        <f t="shared" si="2"/>
        <v>0</v>
      </c>
      <c r="G10" s="1211"/>
      <c r="H10" s="1211">
        <f t="shared" si="3"/>
        <v>0</v>
      </c>
      <c r="I10" s="1211"/>
      <c r="J10" s="1211">
        <f t="shared" si="4"/>
        <v>0</v>
      </c>
      <c r="K10" s="1211"/>
      <c r="L10" s="1212">
        <f t="shared" si="5"/>
        <v>0</v>
      </c>
      <c r="M10" s="1211"/>
      <c r="N10" s="1212">
        <f t="shared" si="6"/>
        <v>0</v>
      </c>
      <c r="O10" s="1211"/>
      <c r="P10" s="1212">
        <f t="shared" si="7"/>
        <v>0</v>
      </c>
      <c r="Q10" s="1212"/>
      <c r="R10" s="1212">
        <f t="shared" si="8"/>
        <v>0</v>
      </c>
      <c r="S10" s="1211"/>
      <c r="T10" s="1211">
        <f t="shared" si="9"/>
        <v>0</v>
      </c>
      <c r="U10" s="1211"/>
      <c r="V10" s="1211">
        <f t="shared" si="10"/>
        <v>0</v>
      </c>
      <c r="W10" s="1211"/>
      <c r="X10" s="19">
        <f t="shared" si="11"/>
        <v>0</v>
      </c>
      <c r="Y10" s="20">
        <f t="shared" si="0"/>
        <v>0</v>
      </c>
    </row>
    <row r="11" spans="1:25" ht="37.5" customHeight="1" x14ac:dyDescent="0.25">
      <c r="A11" s="12"/>
      <c r="B11" s="1210"/>
      <c r="C11" s="1211"/>
      <c r="D11" s="1212">
        <f t="shared" si="1"/>
        <v>0</v>
      </c>
      <c r="E11" s="1211"/>
      <c r="F11" s="1211">
        <f t="shared" si="2"/>
        <v>0</v>
      </c>
      <c r="G11" s="1211"/>
      <c r="H11" s="1211">
        <f t="shared" si="3"/>
        <v>0</v>
      </c>
      <c r="I11" s="1211"/>
      <c r="J11" s="1211">
        <f t="shared" si="4"/>
        <v>0</v>
      </c>
      <c r="K11" s="1211"/>
      <c r="L11" s="1212">
        <f t="shared" si="5"/>
        <v>0</v>
      </c>
      <c r="M11" s="1211"/>
      <c r="N11" s="1212">
        <f t="shared" si="6"/>
        <v>0</v>
      </c>
      <c r="O11" s="1211"/>
      <c r="P11" s="1212">
        <f t="shared" si="7"/>
        <v>0</v>
      </c>
      <c r="Q11" s="1212"/>
      <c r="R11" s="1212">
        <f t="shared" si="8"/>
        <v>0</v>
      </c>
      <c r="S11" s="1211"/>
      <c r="T11" s="1211">
        <f>341*S11</f>
        <v>0</v>
      </c>
      <c r="U11" s="1211"/>
      <c r="V11" s="1211">
        <f t="shared" si="10"/>
        <v>0</v>
      </c>
      <c r="W11" s="1211"/>
      <c r="X11" s="19">
        <f t="shared" si="11"/>
        <v>0</v>
      </c>
      <c r="Y11" s="20">
        <f t="shared" si="0"/>
        <v>0</v>
      </c>
    </row>
    <row r="12" spans="1:25" ht="29.25" customHeight="1" x14ac:dyDescent="0.25">
      <c r="A12" s="2235" t="s">
        <v>31</v>
      </c>
      <c r="B12" s="2235"/>
      <c r="C12" s="18">
        <f t="shared" ref="C12:X12" si="12">SUM(C6:C11)</f>
        <v>316365</v>
      </c>
      <c r="D12" s="18">
        <f t="shared" si="12"/>
        <v>307664.96249999997</v>
      </c>
      <c r="E12" s="18">
        <f t="shared" si="12"/>
        <v>0</v>
      </c>
      <c r="F12" s="18">
        <f t="shared" si="12"/>
        <v>0</v>
      </c>
      <c r="G12" s="18">
        <f t="shared" si="12"/>
        <v>0</v>
      </c>
      <c r="H12" s="18">
        <f t="shared" si="12"/>
        <v>0</v>
      </c>
      <c r="I12" s="18">
        <f t="shared" si="12"/>
        <v>1290</v>
      </c>
      <c r="J12" s="18">
        <f t="shared" si="12"/>
        <v>23865</v>
      </c>
      <c r="K12" s="18">
        <f t="shared" si="12"/>
        <v>0</v>
      </c>
      <c r="L12" s="18">
        <f t="shared" si="12"/>
        <v>0</v>
      </c>
      <c r="M12" s="18">
        <f t="shared" si="12"/>
        <v>0</v>
      </c>
      <c r="N12" s="23">
        <f t="shared" si="12"/>
        <v>0</v>
      </c>
      <c r="O12" s="18">
        <f t="shared" si="12"/>
        <v>0</v>
      </c>
      <c r="P12" s="23">
        <f t="shared" si="12"/>
        <v>0</v>
      </c>
      <c r="Q12" s="23">
        <f t="shared" si="12"/>
        <v>0</v>
      </c>
      <c r="R12" s="23">
        <f>SUM(R6:R11)</f>
        <v>0</v>
      </c>
      <c r="S12" s="23">
        <f>SUM(S6:S11)</f>
        <v>104</v>
      </c>
      <c r="T12" s="18">
        <f t="shared" si="12"/>
        <v>25064</v>
      </c>
      <c r="U12" s="18">
        <f t="shared" si="12"/>
        <v>0</v>
      </c>
      <c r="V12" s="18">
        <f t="shared" si="12"/>
        <v>0</v>
      </c>
      <c r="W12" s="18">
        <f t="shared" si="12"/>
        <v>0</v>
      </c>
      <c r="X12" s="18">
        <f t="shared" si="12"/>
        <v>0</v>
      </c>
      <c r="Y12" s="20">
        <f t="shared" si="0"/>
        <v>356593.96249999997</v>
      </c>
    </row>
    <row r="14" spans="1:25" ht="43.5" customHeight="1" x14ac:dyDescent="0.25">
      <c r="A14" s="30" t="s">
        <v>32</v>
      </c>
      <c r="B14" s="2236" t="s">
        <v>27</v>
      </c>
      <c r="C14" s="2236"/>
      <c r="D14" s="30" t="s">
        <v>333</v>
      </c>
      <c r="E14" s="30" t="s">
        <v>65</v>
      </c>
      <c r="F14" s="30" t="s">
        <v>34</v>
      </c>
      <c r="G14" s="30" t="s">
        <v>14</v>
      </c>
      <c r="H14" s="469" t="s">
        <v>173</v>
      </c>
      <c r="I14" s="30" t="s">
        <v>17</v>
      </c>
      <c r="J14" s="1216" t="s">
        <v>174</v>
      </c>
      <c r="K14" s="30" t="s">
        <v>36</v>
      </c>
      <c r="L14" s="1216" t="s">
        <v>403</v>
      </c>
      <c r="M14" s="30" t="s">
        <v>429</v>
      </c>
      <c r="N14" s="30" t="s">
        <v>442</v>
      </c>
      <c r="O14" s="1216" t="s">
        <v>114</v>
      </c>
      <c r="P14" s="30" t="s">
        <v>70</v>
      </c>
      <c r="Q14" s="2300" t="s">
        <v>378</v>
      </c>
      <c r="R14" s="2301"/>
      <c r="S14" s="1216" t="s">
        <v>401</v>
      </c>
      <c r="T14" s="2235" t="s">
        <v>46</v>
      </c>
      <c r="U14" s="1208" t="s">
        <v>176</v>
      </c>
      <c r="V14" s="2260">
        <v>21276</v>
      </c>
      <c r="W14" s="2268"/>
      <c r="X14" s="2261"/>
    </row>
    <row r="15" spans="1:25" ht="22.5" customHeight="1" x14ac:dyDescent="0.25">
      <c r="A15" s="100" t="s">
        <v>38</v>
      </c>
      <c r="B15" s="2260">
        <v>378514</v>
      </c>
      <c r="C15" s="2261"/>
      <c r="D15" s="1213">
        <v>180</v>
      </c>
      <c r="E15" s="1213">
        <v>1000</v>
      </c>
      <c r="F15" s="1213">
        <v>23670</v>
      </c>
      <c r="G15" s="1213">
        <v>0</v>
      </c>
      <c r="H15" s="1213">
        <v>220</v>
      </c>
      <c r="I15" s="1213">
        <v>18</v>
      </c>
      <c r="J15" s="1213">
        <v>4</v>
      </c>
      <c r="K15" s="1213">
        <v>80</v>
      </c>
      <c r="L15" s="1213">
        <v>45</v>
      </c>
      <c r="M15" s="1213">
        <v>0</v>
      </c>
      <c r="N15" s="1213">
        <v>280</v>
      </c>
      <c r="O15" s="1213">
        <v>0</v>
      </c>
      <c r="P15" s="1213">
        <v>100</v>
      </c>
      <c r="Q15" s="2260">
        <v>0</v>
      </c>
      <c r="R15" s="2261"/>
      <c r="S15" s="1208">
        <v>6</v>
      </c>
      <c r="T15" s="2235"/>
      <c r="U15" s="1208" t="s">
        <v>64</v>
      </c>
      <c r="V15" s="2262">
        <v>17671</v>
      </c>
      <c r="W15" s="2262"/>
      <c r="X15" s="2262"/>
    </row>
    <row r="16" spans="1:25" ht="24.75" customHeight="1" x14ac:dyDescent="0.25">
      <c r="A16" s="100" t="s">
        <v>39</v>
      </c>
      <c r="B16" s="2260">
        <v>415584</v>
      </c>
      <c r="C16" s="2261"/>
      <c r="D16" s="1213"/>
      <c r="E16" s="1213"/>
      <c r="F16" s="1213"/>
      <c r="G16" s="1213"/>
      <c r="H16" s="1213"/>
      <c r="I16" s="1213"/>
      <c r="J16" s="1213"/>
      <c r="K16" s="1213"/>
      <c r="L16" s="1213"/>
      <c r="M16" s="1213"/>
      <c r="N16" s="1213"/>
      <c r="O16" s="1213"/>
      <c r="P16" s="1213"/>
      <c r="Q16" s="2225"/>
      <c r="R16" s="2225"/>
      <c r="S16" s="1213"/>
      <c r="T16" s="2254" t="s">
        <v>55</v>
      </c>
      <c r="U16" s="2254"/>
      <c r="V16" s="2267">
        <f>Y12</f>
        <v>356593.96249999997</v>
      </c>
      <c r="W16" s="2267"/>
      <c r="X16" s="2262"/>
    </row>
    <row r="17" spans="1:25" ht="28.5" customHeight="1" x14ac:dyDescent="0.25">
      <c r="A17" s="101" t="s">
        <v>44</v>
      </c>
      <c r="B17" s="2260"/>
      <c r="C17" s="2261"/>
      <c r="D17" s="1213"/>
      <c r="E17" s="1213"/>
      <c r="F17" s="1213"/>
      <c r="G17" s="1213"/>
      <c r="H17" s="1213"/>
      <c r="I17" s="1213"/>
      <c r="J17" s="1213"/>
      <c r="K17" s="1213"/>
      <c r="L17" s="1213"/>
      <c r="M17" s="1213"/>
      <c r="N17" s="1213"/>
      <c r="O17" s="1213"/>
      <c r="P17" s="1213"/>
      <c r="Q17" s="2225"/>
      <c r="R17" s="2225"/>
      <c r="S17" s="1210"/>
      <c r="T17" s="2294" t="s">
        <v>463</v>
      </c>
      <c r="U17" s="2295"/>
      <c r="V17" s="2296"/>
      <c r="W17" s="2296"/>
      <c r="X17" s="2296"/>
    </row>
    <row r="18" spans="1:25" ht="27" customHeight="1" x14ac:dyDescent="0.25">
      <c r="A18" s="100" t="s">
        <v>40</v>
      </c>
      <c r="B18" s="2264">
        <f>C12</f>
        <v>316365</v>
      </c>
      <c r="C18" s="2261"/>
      <c r="D18" s="1214">
        <f>E12</f>
        <v>0</v>
      </c>
      <c r="E18" s="1214">
        <f>G12</f>
        <v>0</v>
      </c>
      <c r="F18" s="1214">
        <f>I12</f>
        <v>1290</v>
      </c>
      <c r="G18" s="1214">
        <f>K12</f>
        <v>0</v>
      </c>
      <c r="H18" s="1213">
        <v>59</v>
      </c>
      <c r="I18" s="1214">
        <f>U12</f>
        <v>0</v>
      </c>
      <c r="J18" s="1213"/>
      <c r="K18" s="1214">
        <f>W12</f>
        <v>0</v>
      </c>
      <c r="L18" s="1213">
        <v>45</v>
      </c>
      <c r="M18" s="1214">
        <f>M12</f>
        <v>0</v>
      </c>
      <c r="N18" s="1214">
        <f>O12</f>
        <v>0</v>
      </c>
      <c r="O18" s="1215">
        <f>Q12</f>
        <v>0</v>
      </c>
      <c r="P18" s="1214"/>
      <c r="Q18" s="2262"/>
      <c r="R18" s="2262"/>
      <c r="S18" s="1208"/>
      <c r="T18" s="2254" t="s">
        <v>57</v>
      </c>
      <c r="U18" s="2254"/>
      <c r="V18" s="2262">
        <v>7310</v>
      </c>
      <c r="W18" s="2262"/>
      <c r="X18" s="2262"/>
      <c r="Y18" s="2269"/>
    </row>
    <row r="19" spans="1:25" ht="25.5" customHeight="1" x14ac:dyDescent="0.25">
      <c r="A19" s="100" t="s">
        <v>41</v>
      </c>
      <c r="B19" s="2260">
        <f>B15+B16+B17-B18</f>
        <v>477733</v>
      </c>
      <c r="C19" s="2261"/>
      <c r="D19" s="1213">
        <f>D15+D16+D17-D18</f>
        <v>180</v>
      </c>
      <c r="E19" s="1213">
        <f t="shared" ref="E19:N19" si="13">E15+E16+E17-E18</f>
        <v>1000</v>
      </c>
      <c r="F19" s="1213">
        <f t="shared" si="13"/>
        <v>22380</v>
      </c>
      <c r="G19" s="1213">
        <f t="shared" si="13"/>
        <v>0</v>
      </c>
      <c r="H19" s="1213">
        <f t="shared" si="13"/>
        <v>161</v>
      </c>
      <c r="I19" s="1213">
        <f t="shared" si="13"/>
        <v>18</v>
      </c>
      <c r="J19" s="1213">
        <f t="shared" si="13"/>
        <v>4</v>
      </c>
      <c r="K19" s="1213">
        <f t="shared" si="13"/>
        <v>80</v>
      </c>
      <c r="L19" s="1213">
        <f t="shared" si="13"/>
        <v>0</v>
      </c>
      <c r="M19" s="1213">
        <f t="shared" si="13"/>
        <v>0</v>
      </c>
      <c r="N19" s="1213">
        <f t="shared" si="13"/>
        <v>280</v>
      </c>
      <c r="O19" s="1213">
        <f>O15+O16+O17-O18</f>
        <v>0</v>
      </c>
      <c r="P19" s="1213">
        <f t="shared" ref="P19:Q19" si="14">P15+P16+P17-P18</f>
        <v>100</v>
      </c>
      <c r="Q19" s="2260">
        <f t="shared" si="14"/>
        <v>0</v>
      </c>
      <c r="R19" s="2261"/>
      <c r="S19" s="1208">
        <f>S15+S16-S17-S18</f>
        <v>6</v>
      </c>
      <c r="T19" s="2256" t="s">
        <v>48</v>
      </c>
      <c r="U19" s="49" t="s">
        <v>58</v>
      </c>
      <c r="V19" s="2262">
        <v>300000</v>
      </c>
      <c r="W19" s="2262"/>
      <c r="X19" s="2262"/>
      <c r="Y19" s="2269"/>
    </row>
    <row r="20" spans="1:25" ht="23.25" customHeight="1" x14ac:dyDescent="0.25">
      <c r="A20" s="289" t="s">
        <v>187</v>
      </c>
      <c r="B20" s="2286">
        <f>B19*0.9625</f>
        <v>459818.01250000001</v>
      </c>
      <c r="C20" s="2287"/>
      <c r="D20" s="290">
        <f>D19*66.41</f>
        <v>11953.8</v>
      </c>
      <c r="E20" s="290">
        <f>27.9368*E19</f>
        <v>27936.800000000003</v>
      </c>
      <c r="F20" s="290">
        <f>18.31*F19</f>
        <v>409777.8</v>
      </c>
      <c r="G20" s="290">
        <f>27.9368*G19</f>
        <v>0</v>
      </c>
      <c r="H20" s="290">
        <f>241*H19</f>
        <v>38801</v>
      </c>
      <c r="I20" s="290">
        <f>323*I19</f>
        <v>5814</v>
      </c>
      <c r="J20" s="290">
        <f>241*J19</f>
        <v>964</v>
      </c>
      <c r="K20" s="290">
        <f>K19*100</f>
        <v>8000</v>
      </c>
      <c r="L20" s="290">
        <f>241*L19</f>
        <v>0</v>
      </c>
      <c r="M20" s="290">
        <f>47.1625*M19</f>
        <v>0</v>
      </c>
      <c r="N20" s="290">
        <f>N19*8.81</f>
        <v>2466.8000000000002</v>
      </c>
      <c r="O20" s="290">
        <f>241*O19</f>
        <v>0</v>
      </c>
      <c r="P20" s="290">
        <f>P19*48.2</f>
        <v>4820</v>
      </c>
      <c r="Q20" s="2286">
        <f>341*Q19</f>
        <v>0</v>
      </c>
      <c r="R20" s="2287"/>
      <c r="S20" s="290">
        <f>341*S19</f>
        <v>2046</v>
      </c>
      <c r="T20" s="2257"/>
      <c r="U20" s="49" t="s">
        <v>59</v>
      </c>
      <c r="V20" s="2262"/>
      <c r="W20" s="2262"/>
      <c r="X20" s="2262"/>
      <c r="Y20" s="2269"/>
    </row>
    <row r="21" spans="1:25" ht="32.25" customHeight="1" x14ac:dyDescent="0.25">
      <c r="A21" s="291" t="s">
        <v>186</v>
      </c>
      <c r="B21" s="2293">
        <f>SUM(B20:S20)</f>
        <v>972398.21250000002</v>
      </c>
      <c r="C21" s="2293"/>
      <c r="O21" s="1217"/>
      <c r="P21" s="1217"/>
      <c r="Q21" s="1217"/>
      <c r="R21" s="1217"/>
      <c r="T21" s="2294" t="s">
        <v>464</v>
      </c>
      <c r="U21" s="2295"/>
      <c r="V21" s="2297"/>
      <c r="W21" s="2298"/>
      <c r="X21" s="2299"/>
      <c r="Y21" s="2269"/>
    </row>
    <row r="22" spans="1:25" ht="35.25" customHeight="1" x14ac:dyDescent="0.25">
      <c r="A22" s="15"/>
      <c r="B22" s="2288" t="s">
        <v>49</v>
      </c>
      <c r="C22" s="2291">
        <v>300000</v>
      </c>
      <c r="D22" s="2291">
        <v>300000</v>
      </c>
      <c r="E22" s="2291">
        <v>400000</v>
      </c>
      <c r="F22" s="2291">
        <f>C22-D22+E22</f>
        <v>400000</v>
      </c>
      <c r="G22" s="1217"/>
      <c r="Q22" s="1217"/>
      <c r="R22" s="1217"/>
      <c r="T22" s="2251" t="s">
        <v>83</v>
      </c>
      <c r="U22" s="50" t="s">
        <v>60</v>
      </c>
      <c r="V22" s="2262">
        <v>329120</v>
      </c>
      <c r="W22" s="2262"/>
      <c r="X22" s="2262"/>
      <c r="Y22" s="2269"/>
    </row>
    <row r="23" spans="1:25" ht="39.75" customHeight="1" x14ac:dyDescent="0.25">
      <c r="A23" s="1217"/>
      <c r="B23" s="2289"/>
      <c r="C23" s="2292"/>
      <c r="D23" s="2292"/>
      <c r="E23" s="2292"/>
      <c r="F23" s="2292"/>
      <c r="G23" s="1217"/>
      <c r="Q23" s="1217"/>
      <c r="R23" s="1217"/>
      <c r="T23" s="2252"/>
      <c r="U23" s="50" t="s">
        <v>61</v>
      </c>
      <c r="V23" s="2262">
        <v>300000</v>
      </c>
      <c r="W23" s="2262"/>
      <c r="X23" s="2262"/>
      <c r="Y23" s="2269"/>
    </row>
    <row r="24" spans="1:25" ht="48" customHeight="1" x14ac:dyDescent="0.25">
      <c r="A24" s="1217"/>
      <c r="B24" s="2290"/>
      <c r="C24" s="290" t="s">
        <v>46</v>
      </c>
      <c r="D24" s="290" t="s">
        <v>50</v>
      </c>
      <c r="E24" s="290" t="s">
        <v>51</v>
      </c>
      <c r="F24" s="290" t="s">
        <v>52</v>
      </c>
      <c r="G24" s="1217"/>
      <c r="Q24" s="1217"/>
      <c r="R24" s="1217"/>
      <c r="T24" s="2235" t="s">
        <v>47</v>
      </c>
      <c r="U24" s="51" t="s">
        <v>62</v>
      </c>
      <c r="V24" s="2263">
        <f>V14+V16+V17-V18-V19-V20-V22+V23-V21</f>
        <v>41439.962499999965</v>
      </c>
      <c r="W24" s="2263"/>
      <c r="X24" s="2263"/>
      <c r="Y24" s="2269"/>
    </row>
    <row r="25" spans="1:25" ht="40.5" customHeight="1" x14ac:dyDescent="0.25">
      <c r="T25" s="2235"/>
      <c r="U25" s="51" t="s">
        <v>63</v>
      </c>
      <c r="V25" s="2262">
        <f>V15+V22-V23</f>
        <v>46791</v>
      </c>
      <c r="W25" s="2262"/>
      <c r="X25" s="2262"/>
    </row>
    <row r="26" spans="1:25" ht="36" customHeight="1" x14ac:dyDescent="0.25">
      <c r="K26" s="314"/>
    </row>
    <row r="28" spans="1:25" x14ac:dyDescent="0.25">
      <c r="J28" s="14" t="s">
        <v>139</v>
      </c>
    </row>
    <row r="32" spans="1:25" x14ac:dyDescent="0.25">
      <c r="I32" s="2280"/>
      <c r="J32" s="2280"/>
      <c r="K32" s="2280"/>
      <c r="L32" s="2280"/>
    </row>
    <row r="33" spans="9:12" x14ac:dyDescent="0.25">
      <c r="I33" s="1217"/>
      <c r="J33" s="1217"/>
      <c r="K33" s="2280"/>
      <c r="L33" s="2280"/>
    </row>
  </sheetData>
  <mergeCells count="62">
    <mergeCell ref="I32:J32"/>
    <mergeCell ref="K32:L32"/>
    <mergeCell ref="K33:L33"/>
    <mergeCell ref="T22:T23"/>
    <mergeCell ref="V22:X22"/>
    <mergeCell ref="V23:X23"/>
    <mergeCell ref="T24:T25"/>
    <mergeCell ref="V24:X24"/>
    <mergeCell ref="V25:X25"/>
    <mergeCell ref="Y18:Y24"/>
    <mergeCell ref="B19:C19"/>
    <mergeCell ref="Q19:R19"/>
    <mergeCell ref="T19:T20"/>
    <mergeCell ref="V19:X19"/>
    <mergeCell ref="B20:C20"/>
    <mergeCell ref="B22:B24"/>
    <mergeCell ref="C22:C23"/>
    <mergeCell ref="D22:D23"/>
    <mergeCell ref="E22:E23"/>
    <mergeCell ref="F22:F23"/>
    <mergeCell ref="Q20:R20"/>
    <mergeCell ref="V20:X20"/>
    <mergeCell ref="B21:C21"/>
    <mergeCell ref="T21:U21"/>
    <mergeCell ref="V21:X21"/>
    <mergeCell ref="B17:C17"/>
    <mergeCell ref="Q17:R17"/>
    <mergeCell ref="T17:U17"/>
    <mergeCell ref="V17:X17"/>
    <mergeCell ref="B18:C18"/>
    <mergeCell ref="Q18:R18"/>
    <mergeCell ref="T18:U18"/>
    <mergeCell ref="V18:X18"/>
    <mergeCell ref="W4:X4"/>
    <mergeCell ref="B16:C16"/>
    <mergeCell ref="Q16:R16"/>
    <mergeCell ref="T16:U16"/>
    <mergeCell ref="V16:X16"/>
    <mergeCell ref="A12:B12"/>
    <mergeCell ref="B14:C14"/>
    <mergeCell ref="Q14:R14"/>
    <mergeCell ref="T14:T15"/>
    <mergeCell ref="V14:X14"/>
    <mergeCell ref="B15:C15"/>
    <mergeCell ref="Q15:R15"/>
    <mergeCell ref="V15:X15"/>
    <mergeCell ref="A1:Y1"/>
    <mergeCell ref="A2:Y2"/>
    <mergeCell ref="T3:Y3"/>
    <mergeCell ref="A4:A5"/>
    <mergeCell ref="B4:B5"/>
    <mergeCell ref="C4:D4"/>
    <mergeCell ref="E4:F4"/>
    <mergeCell ref="G4:H4"/>
    <mergeCell ref="I4:J4"/>
    <mergeCell ref="K4:L4"/>
    <mergeCell ref="Y4:Y5"/>
    <mergeCell ref="M4:N4"/>
    <mergeCell ref="O4:P4"/>
    <mergeCell ref="Q4:R4"/>
    <mergeCell ref="S4:T4"/>
    <mergeCell ref="U4:V4"/>
  </mergeCells>
  <pageMargins left="0.15748031496063" right="0.15748031496063" top="0" bottom="0" header="0" footer="0"/>
  <pageSetup paperSize="9" scale="45" orientation="landscape" r:id="rId1"/>
</worksheet>
</file>

<file path=xl/worksheets/sheet2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6EEFE31-F1A1-43A5-AC96-219A083A9F4C}">
  <sheetPr>
    <pageSetUpPr fitToPage="1"/>
  </sheetPr>
  <dimension ref="A1:Y33"/>
  <sheetViews>
    <sheetView topLeftCell="E1" zoomScale="70" zoomScaleNormal="70" zoomScaleSheetLayoutView="100" zoomScalePageLayoutView="68" workbookViewId="0">
      <selection activeCell="O10" sqref="O10"/>
    </sheetView>
  </sheetViews>
  <sheetFormatPr defaultColWidth="9.140625" defaultRowHeight="15" x14ac:dyDescent="0.25"/>
  <cols>
    <col min="1" max="1" width="18.28515625" style="14" customWidth="1"/>
    <col min="2" max="2" width="10.7109375" style="14" customWidth="1"/>
    <col min="3" max="3" width="12.28515625" style="14" customWidth="1"/>
    <col min="4" max="4" width="13.140625" style="14" bestFit="1" customWidth="1"/>
    <col min="5" max="5" width="12" style="14" customWidth="1"/>
    <col min="6" max="6" width="12.5703125" style="14" bestFit="1" customWidth="1"/>
    <col min="7" max="7" width="16" style="14" bestFit="1" customWidth="1"/>
    <col min="8" max="8" width="10.140625" style="14" bestFit="1" customWidth="1"/>
    <col min="9" max="9" width="10.5703125" style="14" bestFit="1" customWidth="1"/>
    <col min="10" max="10" width="10.5703125" style="14" customWidth="1"/>
    <col min="11" max="11" width="10.28515625" style="14" bestFit="1" customWidth="1"/>
    <col min="12" max="12" width="10.42578125" style="14" bestFit="1" customWidth="1"/>
    <col min="13" max="14" width="12" style="14" bestFit="1" customWidth="1"/>
    <col min="15" max="15" width="9" style="14" customWidth="1"/>
    <col min="16" max="16" width="12.85546875" style="14" bestFit="1" customWidth="1"/>
    <col min="17" max="18" width="9.42578125" style="14" customWidth="1"/>
    <col min="19" max="19" width="13.7109375" style="14" customWidth="1"/>
    <col min="20" max="20" width="12.140625" style="14" customWidth="1"/>
    <col min="21" max="21" width="21.7109375" style="14" customWidth="1"/>
    <col min="22" max="22" width="9.85546875" style="14" customWidth="1"/>
    <col min="23" max="23" width="10.140625" style="14" bestFit="1" customWidth="1"/>
    <col min="24" max="24" width="10.28515625" style="14" customWidth="1"/>
    <col min="25" max="25" width="28" style="14" customWidth="1"/>
    <col min="26" max="16384" width="9.140625" style="14"/>
  </cols>
  <sheetData>
    <row r="1" spans="1:25" ht="46.15" customHeight="1" x14ac:dyDescent="0.25">
      <c r="A1" s="2240" t="s">
        <v>148</v>
      </c>
      <c r="B1" s="2240"/>
      <c r="C1" s="2240"/>
      <c r="D1" s="2240"/>
      <c r="E1" s="2240"/>
      <c r="F1" s="2240"/>
      <c r="G1" s="2240"/>
      <c r="H1" s="2240"/>
      <c r="I1" s="2240"/>
      <c r="J1" s="2240"/>
      <c r="K1" s="2240"/>
      <c r="L1" s="2240"/>
      <c r="M1" s="2240"/>
      <c r="N1" s="2240"/>
      <c r="O1" s="2240"/>
      <c r="P1" s="2240"/>
      <c r="Q1" s="2240"/>
      <c r="R1" s="2240"/>
      <c r="S1" s="2240"/>
      <c r="T1" s="2240"/>
      <c r="U1" s="2240"/>
      <c r="V1" s="2240"/>
      <c r="W1" s="2240"/>
      <c r="X1" s="2240"/>
      <c r="Y1" s="2240"/>
    </row>
    <row r="2" spans="1:25" ht="21.6" customHeight="1" x14ac:dyDescent="0.25">
      <c r="A2" s="2241" t="s">
        <v>383</v>
      </c>
      <c r="B2" s="2241"/>
      <c r="C2" s="2241"/>
      <c r="D2" s="2241"/>
      <c r="E2" s="2241"/>
      <c r="F2" s="2241"/>
      <c r="G2" s="2241"/>
      <c r="H2" s="2241"/>
      <c r="I2" s="2241"/>
      <c r="J2" s="2241"/>
      <c r="K2" s="2241"/>
      <c r="L2" s="2241"/>
      <c r="M2" s="2241"/>
      <c r="N2" s="2241"/>
      <c r="O2" s="2241"/>
      <c r="P2" s="2241"/>
      <c r="Q2" s="2241"/>
      <c r="R2" s="2241"/>
      <c r="S2" s="2241"/>
      <c r="T2" s="2241"/>
      <c r="U2" s="2241"/>
      <c r="V2" s="2241"/>
      <c r="W2" s="2241"/>
      <c r="X2" s="2241"/>
      <c r="Y2" s="2241"/>
    </row>
    <row r="3" spans="1:25" ht="21" customHeight="1" x14ac:dyDescent="0.25">
      <c r="A3" s="1223"/>
      <c r="B3" s="1223"/>
      <c r="C3" s="1223"/>
      <c r="D3" s="1223"/>
      <c r="E3" s="1223"/>
      <c r="F3" s="1223"/>
      <c r="G3" s="1223"/>
      <c r="H3" s="1223"/>
      <c r="I3" s="1223"/>
      <c r="J3" s="1223"/>
      <c r="K3" s="1223"/>
      <c r="L3" s="1223"/>
      <c r="M3" s="1223"/>
      <c r="N3" s="1223"/>
      <c r="O3" s="1223"/>
      <c r="P3" s="1223"/>
      <c r="Q3" s="1223"/>
      <c r="R3" s="1223"/>
      <c r="S3" s="1223"/>
      <c r="T3" s="2242" t="s">
        <v>466</v>
      </c>
      <c r="U3" s="2242"/>
      <c r="V3" s="2242"/>
      <c r="W3" s="2242"/>
      <c r="X3" s="2242"/>
      <c r="Y3" s="2242"/>
    </row>
    <row r="4" spans="1:25" s="1223" customFormat="1" ht="18" customHeight="1" x14ac:dyDescent="0.25">
      <c r="A4" s="2243" t="s">
        <v>25</v>
      </c>
      <c r="B4" s="2243" t="s">
        <v>26</v>
      </c>
      <c r="C4" s="2244" t="s">
        <v>27</v>
      </c>
      <c r="D4" s="2244"/>
      <c r="E4" s="2244" t="s">
        <v>342</v>
      </c>
      <c r="F4" s="2244"/>
      <c r="G4" s="2244" t="s">
        <v>65</v>
      </c>
      <c r="H4" s="2244"/>
      <c r="I4" s="2244" t="s">
        <v>29</v>
      </c>
      <c r="J4" s="2244"/>
      <c r="K4" s="2245" t="s">
        <v>14</v>
      </c>
      <c r="L4" s="2246"/>
      <c r="M4" s="2245" t="s">
        <v>429</v>
      </c>
      <c r="N4" s="2246"/>
      <c r="O4" s="2245" t="s">
        <v>441</v>
      </c>
      <c r="P4" s="2246"/>
      <c r="Q4" s="2245" t="s">
        <v>114</v>
      </c>
      <c r="R4" s="2246"/>
      <c r="S4" s="2244" t="s">
        <v>35</v>
      </c>
      <c r="T4" s="2244"/>
      <c r="U4" s="2245" t="s">
        <v>17</v>
      </c>
      <c r="V4" s="2246"/>
      <c r="W4" s="2247" t="s">
        <v>36</v>
      </c>
      <c r="X4" s="2248"/>
      <c r="Y4" s="2238" t="s">
        <v>30</v>
      </c>
    </row>
    <row r="5" spans="1:25" s="1223" customFormat="1" ht="25.5" customHeight="1" x14ac:dyDescent="0.25">
      <c r="A5" s="2243"/>
      <c r="B5" s="2243"/>
      <c r="C5" s="1222" t="s">
        <v>42</v>
      </c>
      <c r="D5" s="1222" t="s">
        <v>43</v>
      </c>
      <c r="E5" s="1222" t="s">
        <v>42</v>
      </c>
      <c r="F5" s="1222" t="s">
        <v>43</v>
      </c>
      <c r="G5" s="1222" t="s">
        <v>42</v>
      </c>
      <c r="H5" s="1222" t="s">
        <v>43</v>
      </c>
      <c r="I5" s="1222" t="s">
        <v>42</v>
      </c>
      <c r="J5" s="1222" t="s">
        <v>43</v>
      </c>
      <c r="K5" s="1222" t="s">
        <v>42</v>
      </c>
      <c r="L5" s="1222" t="s">
        <v>43</v>
      </c>
      <c r="M5" s="1222" t="s">
        <v>42</v>
      </c>
      <c r="N5" s="1222" t="s">
        <v>43</v>
      </c>
      <c r="O5" s="1222" t="s">
        <v>42</v>
      </c>
      <c r="P5" s="1222" t="s">
        <v>43</v>
      </c>
      <c r="Q5" s="1222" t="s">
        <v>42</v>
      </c>
      <c r="R5" s="1222" t="s">
        <v>43</v>
      </c>
      <c r="S5" s="33" t="s">
        <v>42</v>
      </c>
      <c r="T5" s="33" t="s">
        <v>43</v>
      </c>
      <c r="U5" s="30" t="s">
        <v>42</v>
      </c>
      <c r="V5" s="30" t="s">
        <v>43</v>
      </c>
      <c r="W5" s="30" t="s">
        <v>42</v>
      </c>
      <c r="X5" s="30" t="s">
        <v>43</v>
      </c>
      <c r="Y5" s="2239"/>
    </row>
    <row r="6" spans="1:25" ht="34.5" customHeight="1" x14ac:dyDescent="0.25">
      <c r="A6" s="12">
        <v>1409935200</v>
      </c>
      <c r="B6" s="1221" t="s">
        <v>71</v>
      </c>
      <c r="C6" s="1219">
        <v>20446</v>
      </c>
      <c r="D6" s="1218">
        <f t="shared" ref="D6:D11" si="0">0.9725*C6</f>
        <v>19883.735000000001</v>
      </c>
      <c r="E6" s="1219"/>
      <c r="F6" s="1218">
        <f>67.1*E6</f>
        <v>0</v>
      </c>
      <c r="G6" s="1219"/>
      <c r="H6" s="1219">
        <f>28.2*G6</f>
        <v>0</v>
      </c>
      <c r="I6" s="1219">
        <v>260</v>
      </c>
      <c r="J6" s="1219">
        <f>18.5*I6</f>
        <v>4810</v>
      </c>
      <c r="K6" s="1219"/>
      <c r="L6" s="1218">
        <f>28.2368*K6</f>
        <v>0</v>
      </c>
      <c r="M6" s="1219"/>
      <c r="N6" s="1218">
        <f>M6*47.6525</f>
        <v>0</v>
      </c>
      <c r="O6" s="1219"/>
      <c r="P6" s="1218">
        <f>O6*8.9</f>
        <v>0</v>
      </c>
      <c r="Q6" s="1218"/>
      <c r="R6" s="1218">
        <f>241*Q6</f>
        <v>0</v>
      </c>
      <c r="S6" s="1219"/>
      <c r="T6" s="1219">
        <f>241*S6</f>
        <v>0</v>
      </c>
      <c r="U6" s="1219"/>
      <c r="V6" s="1219">
        <f>332*U6</f>
        <v>0</v>
      </c>
      <c r="W6" s="1219"/>
      <c r="X6" s="19">
        <f>W6*100</f>
        <v>0</v>
      </c>
      <c r="Y6" s="20">
        <f t="shared" ref="Y6:Y12" si="1">D6+F6+H6+J6+L6+N6+P6+R6+T6+V6+X6</f>
        <v>24693.735000000001</v>
      </c>
    </row>
    <row r="7" spans="1:25" ht="31.5" customHeight="1" x14ac:dyDescent="0.25">
      <c r="A7" s="12">
        <v>1984225578</v>
      </c>
      <c r="B7" s="1221" t="s">
        <v>72</v>
      </c>
      <c r="C7" s="1219">
        <v>42481</v>
      </c>
      <c r="D7" s="1218">
        <f t="shared" si="0"/>
        <v>41312.772499999999</v>
      </c>
      <c r="E7" s="1219"/>
      <c r="F7" s="1219">
        <f t="shared" ref="F7:F11" si="2">67.1*E7</f>
        <v>0</v>
      </c>
      <c r="G7" s="1219"/>
      <c r="H7" s="1219">
        <f t="shared" ref="H7:H11" si="3">28.2*G7</f>
        <v>0</v>
      </c>
      <c r="I7" s="1219">
        <v>490</v>
      </c>
      <c r="J7" s="1219">
        <f t="shared" ref="J7:J11" si="4">18.5*I7</f>
        <v>9065</v>
      </c>
      <c r="K7" s="1219"/>
      <c r="L7" s="1218">
        <f t="shared" ref="L7:L11" si="5">28.2368*K7</f>
        <v>0</v>
      </c>
      <c r="M7" s="1219"/>
      <c r="N7" s="1218">
        <f t="shared" ref="N7:N11" si="6">M7*47.6525</f>
        <v>0</v>
      </c>
      <c r="O7" s="1219"/>
      <c r="P7" s="1218">
        <f t="shared" ref="P7:P11" si="7">O7*8.9</f>
        <v>0</v>
      </c>
      <c r="Q7" s="1218"/>
      <c r="R7" s="1218">
        <f t="shared" ref="R7:R11" si="8">241*Q7</f>
        <v>0</v>
      </c>
      <c r="S7" s="1219"/>
      <c r="T7" s="1219">
        <f t="shared" ref="T7:T10" si="9">241*S7</f>
        <v>0</v>
      </c>
      <c r="U7" s="1219"/>
      <c r="V7" s="1219">
        <f t="shared" ref="V7:V11" si="10">332*U7</f>
        <v>0</v>
      </c>
      <c r="W7" s="1219">
        <v>1</v>
      </c>
      <c r="X7" s="19">
        <f t="shared" ref="X7:X11" si="11">W7*100</f>
        <v>100</v>
      </c>
      <c r="Y7" s="20">
        <f t="shared" si="1"/>
        <v>50477.772499999999</v>
      </c>
    </row>
    <row r="8" spans="1:25" ht="35.25" customHeight="1" x14ac:dyDescent="0.25">
      <c r="A8" s="12">
        <v>1967020280</v>
      </c>
      <c r="B8" s="1221" t="s">
        <v>427</v>
      </c>
      <c r="C8" s="1219">
        <v>11192</v>
      </c>
      <c r="D8" s="1218">
        <f t="shared" si="0"/>
        <v>10884.220000000001</v>
      </c>
      <c r="E8" s="1219"/>
      <c r="F8" s="1219">
        <f t="shared" si="2"/>
        <v>0</v>
      </c>
      <c r="G8" s="1219"/>
      <c r="H8" s="1218">
        <f t="shared" si="3"/>
        <v>0</v>
      </c>
      <c r="I8" s="1219">
        <v>250</v>
      </c>
      <c r="J8" s="1219">
        <f t="shared" si="4"/>
        <v>4625</v>
      </c>
      <c r="K8" s="1219"/>
      <c r="L8" s="1218">
        <f t="shared" si="5"/>
        <v>0</v>
      </c>
      <c r="M8" s="1219"/>
      <c r="N8" s="1218">
        <f t="shared" si="6"/>
        <v>0</v>
      </c>
      <c r="O8" s="1219"/>
      <c r="P8" s="1218">
        <f t="shared" si="7"/>
        <v>0</v>
      </c>
      <c r="Q8" s="1218"/>
      <c r="R8" s="1218">
        <f t="shared" si="8"/>
        <v>0</v>
      </c>
      <c r="S8" s="1219"/>
      <c r="T8" s="1219">
        <f t="shared" si="9"/>
        <v>0</v>
      </c>
      <c r="U8" s="1219"/>
      <c r="V8" s="1219">
        <f t="shared" si="10"/>
        <v>0</v>
      </c>
      <c r="W8" s="1219"/>
      <c r="X8" s="19">
        <f t="shared" si="11"/>
        <v>0</v>
      </c>
      <c r="Y8" s="20">
        <f t="shared" si="1"/>
        <v>15509.220000000001</v>
      </c>
    </row>
    <row r="9" spans="1:25" ht="38.25" customHeight="1" x14ac:dyDescent="0.25">
      <c r="A9" s="12">
        <v>1984225580</v>
      </c>
      <c r="B9" s="1221" t="s">
        <v>75</v>
      </c>
      <c r="C9" s="1219">
        <v>13252</v>
      </c>
      <c r="D9" s="1218">
        <f t="shared" si="0"/>
        <v>12887.57</v>
      </c>
      <c r="E9" s="1219"/>
      <c r="F9" s="1219">
        <f t="shared" si="2"/>
        <v>0</v>
      </c>
      <c r="G9" s="1219"/>
      <c r="H9" s="1219">
        <f t="shared" si="3"/>
        <v>0</v>
      </c>
      <c r="I9" s="1219">
        <v>650</v>
      </c>
      <c r="J9" s="1219">
        <f t="shared" si="4"/>
        <v>12025</v>
      </c>
      <c r="K9" s="1219"/>
      <c r="L9" s="1218">
        <f t="shared" si="5"/>
        <v>0</v>
      </c>
      <c r="M9" s="1219"/>
      <c r="N9" s="1218">
        <f t="shared" si="6"/>
        <v>0</v>
      </c>
      <c r="O9" s="1219"/>
      <c r="P9" s="1218">
        <f t="shared" si="7"/>
        <v>0</v>
      </c>
      <c r="Q9" s="1218"/>
      <c r="R9" s="1218">
        <f t="shared" si="8"/>
        <v>0</v>
      </c>
      <c r="S9" s="1219"/>
      <c r="T9" s="1219">
        <f t="shared" si="9"/>
        <v>0</v>
      </c>
      <c r="U9" s="1219"/>
      <c r="V9" s="1219">
        <f t="shared" si="10"/>
        <v>0</v>
      </c>
      <c r="W9" s="1219"/>
      <c r="X9" s="19">
        <f t="shared" si="11"/>
        <v>0</v>
      </c>
      <c r="Y9" s="20">
        <f t="shared" si="1"/>
        <v>24912.57</v>
      </c>
    </row>
    <row r="10" spans="1:25" ht="35.25" customHeight="1" x14ac:dyDescent="0.25">
      <c r="A10" s="12">
        <v>1409935199</v>
      </c>
      <c r="C10" s="1219"/>
      <c r="D10" s="1218">
        <f t="shared" si="0"/>
        <v>0</v>
      </c>
      <c r="E10" s="1219"/>
      <c r="F10" s="1219">
        <f t="shared" si="2"/>
        <v>0</v>
      </c>
      <c r="G10" s="1219"/>
      <c r="H10" s="1219">
        <f t="shared" si="3"/>
        <v>0</v>
      </c>
      <c r="I10" s="1219"/>
      <c r="J10" s="1219">
        <f t="shared" si="4"/>
        <v>0</v>
      </c>
      <c r="K10" s="1219"/>
      <c r="L10" s="1218">
        <f t="shared" si="5"/>
        <v>0</v>
      </c>
      <c r="M10" s="1219"/>
      <c r="N10" s="1218">
        <f t="shared" si="6"/>
        <v>0</v>
      </c>
      <c r="O10" s="1219"/>
      <c r="P10" s="1218">
        <f t="shared" si="7"/>
        <v>0</v>
      </c>
      <c r="Q10" s="1218"/>
      <c r="R10" s="1218">
        <f t="shared" si="8"/>
        <v>0</v>
      </c>
      <c r="S10" s="1219"/>
      <c r="T10" s="1219">
        <f t="shared" si="9"/>
        <v>0</v>
      </c>
      <c r="U10" s="1219"/>
      <c r="V10" s="1219">
        <f t="shared" si="10"/>
        <v>0</v>
      </c>
      <c r="W10" s="1219"/>
      <c r="X10" s="19">
        <f t="shared" si="11"/>
        <v>0</v>
      </c>
      <c r="Y10" s="20">
        <f t="shared" si="1"/>
        <v>0</v>
      </c>
    </row>
    <row r="11" spans="1:25" ht="37.5" customHeight="1" x14ac:dyDescent="0.25">
      <c r="A11" s="12"/>
      <c r="B11" s="1220"/>
      <c r="C11" s="1219"/>
      <c r="D11" s="1218">
        <f t="shared" si="0"/>
        <v>0</v>
      </c>
      <c r="E11" s="1219"/>
      <c r="F11" s="1219">
        <f t="shared" si="2"/>
        <v>0</v>
      </c>
      <c r="G11" s="1219"/>
      <c r="H11" s="1219">
        <f t="shared" si="3"/>
        <v>0</v>
      </c>
      <c r="I11" s="1219"/>
      <c r="J11" s="1219">
        <f t="shared" si="4"/>
        <v>0</v>
      </c>
      <c r="K11" s="1219"/>
      <c r="L11" s="1218">
        <f t="shared" si="5"/>
        <v>0</v>
      </c>
      <c r="M11" s="1219"/>
      <c r="N11" s="1218">
        <f t="shared" si="6"/>
        <v>0</v>
      </c>
      <c r="O11" s="1219"/>
      <c r="P11" s="1218">
        <f t="shared" si="7"/>
        <v>0</v>
      </c>
      <c r="Q11" s="1218"/>
      <c r="R11" s="1218">
        <f t="shared" si="8"/>
        <v>0</v>
      </c>
      <c r="S11" s="1219"/>
      <c r="T11" s="1219">
        <f>341*S11</f>
        <v>0</v>
      </c>
      <c r="U11" s="1219"/>
      <c r="V11" s="1219">
        <f t="shared" si="10"/>
        <v>0</v>
      </c>
      <c r="W11" s="1219"/>
      <c r="X11" s="19">
        <f t="shared" si="11"/>
        <v>0</v>
      </c>
      <c r="Y11" s="20">
        <f t="shared" si="1"/>
        <v>0</v>
      </c>
    </row>
    <row r="12" spans="1:25" ht="29.25" customHeight="1" x14ac:dyDescent="0.25">
      <c r="A12" s="2235" t="s">
        <v>31</v>
      </c>
      <c r="B12" s="2235"/>
      <c r="C12" s="18">
        <f t="shared" ref="C12:X12" si="12">SUM(C6:C11)</f>
        <v>87371</v>
      </c>
      <c r="D12" s="18">
        <f t="shared" si="12"/>
        <v>84968.297500000015</v>
      </c>
      <c r="E12" s="18">
        <f t="shared" si="12"/>
        <v>0</v>
      </c>
      <c r="F12" s="18">
        <f t="shared" si="12"/>
        <v>0</v>
      </c>
      <c r="G12" s="18">
        <f t="shared" si="12"/>
        <v>0</v>
      </c>
      <c r="H12" s="18">
        <f t="shared" si="12"/>
        <v>0</v>
      </c>
      <c r="I12" s="18">
        <f t="shared" si="12"/>
        <v>1650</v>
      </c>
      <c r="J12" s="18">
        <f t="shared" si="12"/>
        <v>30525</v>
      </c>
      <c r="K12" s="18">
        <f t="shared" si="12"/>
        <v>0</v>
      </c>
      <c r="L12" s="18">
        <f t="shared" si="12"/>
        <v>0</v>
      </c>
      <c r="M12" s="18">
        <f t="shared" si="12"/>
        <v>0</v>
      </c>
      <c r="N12" s="23">
        <f t="shared" si="12"/>
        <v>0</v>
      </c>
      <c r="O12" s="18">
        <f t="shared" si="12"/>
        <v>0</v>
      </c>
      <c r="P12" s="23">
        <f t="shared" si="12"/>
        <v>0</v>
      </c>
      <c r="Q12" s="23">
        <f t="shared" si="12"/>
        <v>0</v>
      </c>
      <c r="R12" s="23">
        <f>SUM(R6:R11)</f>
        <v>0</v>
      </c>
      <c r="S12" s="23">
        <f>SUM(S6:S11)</f>
        <v>0</v>
      </c>
      <c r="T12" s="18">
        <f t="shared" si="12"/>
        <v>0</v>
      </c>
      <c r="U12" s="18">
        <f t="shared" si="12"/>
        <v>0</v>
      </c>
      <c r="V12" s="18">
        <f t="shared" si="12"/>
        <v>0</v>
      </c>
      <c r="W12" s="18">
        <f t="shared" si="12"/>
        <v>1</v>
      </c>
      <c r="X12" s="18">
        <f t="shared" si="12"/>
        <v>100</v>
      </c>
      <c r="Y12" s="20">
        <f t="shared" si="1"/>
        <v>115593.29750000002</v>
      </c>
    </row>
    <row r="14" spans="1:25" ht="43.5" customHeight="1" x14ac:dyDescent="0.25">
      <c r="A14" s="30" t="s">
        <v>32</v>
      </c>
      <c r="B14" s="2236" t="s">
        <v>27</v>
      </c>
      <c r="C14" s="2236"/>
      <c r="D14" s="30" t="s">
        <v>333</v>
      </c>
      <c r="E14" s="30" t="s">
        <v>65</v>
      </c>
      <c r="F14" s="30" t="s">
        <v>34</v>
      </c>
      <c r="G14" s="30" t="s">
        <v>14</v>
      </c>
      <c r="H14" s="469" t="s">
        <v>173</v>
      </c>
      <c r="I14" s="30" t="s">
        <v>17</v>
      </c>
      <c r="J14" s="1227" t="s">
        <v>174</v>
      </c>
      <c r="K14" s="30" t="s">
        <v>36</v>
      </c>
      <c r="L14" s="1227" t="s">
        <v>403</v>
      </c>
      <c r="M14" s="30" t="s">
        <v>429</v>
      </c>
      <c r="N14" s="30" t="s">
        <v>442</v>
      </c>
      <c r="O14" s="1227" t="s">
        <v>114</v>
      </c>
      <c r="P14" s="30" t="s">
        <v>70</v>
      </c>
      <c r="Q14" s="2300" t="s">
        <v>378</v>
      </c>
      <c r="R14" s="2301"/>
      <c r="S14" s="1227" t="s">
        <v>401</v>
      </c>
      <c r="T14" s="2235" t="s">
        <v>46</v>
      </c>
      <c r="U14" s="1221" t="s">
        <v>176</v>
      </c>
      <c r="V14" s="2260">
        <v>41440</v>
      </c>
      <c r="W14" s="2268"/>
      <c r="X14" s="2261"/>
    </row>
    <row r="15" spans="1:25" ht="22.5" customHeight="1" x14ac:dyDescent="0.25">
      <c r="A15" s="100" t="s">
        <v>38</v>
      </c>
      <c r="B15" s="2260">
        <v>477733</v>
      </c>
      <c r="C15" s="2261"/>
      <c r="D15" s="1224">
        <v>180</v>
      </c>
      <c r="E15" s="1224">
        <v>1000</v>
      </c>
      <c r="F15" s="1224">
        <v>22380</v>
      </c>
      <c r="G15" s="1224">
        <v>0</v>
      </c>
      <c r="H15" s="1224">
        <v>161</v>
      </c>
      <c r="I15" s="1224">
        <v>18</v>
      </c>
      <c r="J15" s="1224">
        <v>4</v>
      </c>
      <c r="K15" s="1224">
        <v>80</v>
      </c>
      <c r="L15" s="1224">
        <v>0</v>
      </c>
      <c r="M15" s="1224">
        <v>0</v>
      </c>
      <c r="N15" s="1224">
        <v>280</v>
      </c>
      <c r="O15" s="1224">
        <v>0</v>
      </c>
      <c r="P15" s="1224">
        <v>100</v>
      </c>
      <c r="Q15" s="2260">
        <v>0</v>
      </c>
      <c r="R15" s="2261"/>
      <c r="S15" s="1221">
        <v>6</v>
      </c>
      <c r="T15" s="2235"/>
      <c r="U15" s="1221" t="s">
        <v>64</v>
      </c>
      <c r="V15" s="2262">
        <v>46791</v>
      </c>
      <c r="W15" s="2262"/>
      <c r="X15" s="2262"/>
    </row>
    <row r="16" spans="1:25" ht="24.75" customHeight="1" x14ac:dyDescent="0.25">
      <c r="A16" s="100" t="s">
        <v>39</v>
      </c>
      <c r="B16" s="2260"/>
      <c r="C16" s="2261"/>
      <c r="D16" s="1224"/>
      <c r="E16" s="1224"/>
      <c r="F16" s="1224"/>
      <c r="G16" s="1224"/>
      <c r="H16" s="1224"/>
      <c r="I16" s="1224"/>
      <c r="J16" s="1224"/>
      <c r="K16" s="1224"/>
      <c r="L16" s="1224"/>
      <c r="M16" s="1224"/>
      <c r="N16" s="1224"/>
      <c r="O16" s="1224"/>
      <c r="P16" s="1224"/>
      <c r="Q16" s="2225"/>
      <c r="R16" s="2225"/>
      <c r="S16" s="1224"/>
      <c r="T16" s="2254" t="s">
        <v>55</v>
      </c>
      <c r="U16" s="2254"/>
      <c r="V16" s="2267">
        <f>Y12</f>
        <v>115593.29750000002</v>
      </c>
      <c r="W16" s="2267"/>
      <c r="X16" s="2262"/>
    </row>
    <row r="17" spans="1:25" ht="28.5" customHeight="1" x14ac:dyDescent="0.25">
      <c r="A17" s="101" t="s">
        <v>44</v>
      </c>
      <c r="B17" s="2260"/>
      <c r="C17" s="2261"/>
      <c r="D17" s="1224"/>
      <c r="E17" s="1224"/>
      <c r="F17" s="1224"/>
      <c r="G17" s="1224"/>
      <c r="H17" s="1224"/>
      <c r="I17" s="1224"/>
      <c r="J17" s="1224"/>
      <c r="K17" s="1224"/>
      <c r="L17" s="1224"/>
      <c r="M17" s="1224"/>
      <c r="N17" s="1224"/>
      <c r="O17" s="1224"/>
      <c r="P17" s="1224"/>
      <c r="Q17" s="2225"/>
      <c r="R17" s="2225"/>
      <c r="S17" s="1220"/>
      <c r="T17" s="2294" t="s">
        <v>463</v>
      </c>
      <c r="U17" s="2295"/>
      <c r="V17" s="2296"/>
      <c r="W17" s="2296"/>
      <c r="X17" s="2296"/>
    </row>
    <row r="18" spans="1:25" ht="27" customHeight="1" x14ac:dyDescent="0.25">
      <c r="A18" s="100" t="s">
        <v>40</v>
      </c>
      <c r="B18" s="2264">
        <f>C12</f>
        <v>87371</v>
      </c>
      <c r="C18" s="2261"/>
      <c r="D18" s="1226">
        <f>E12</f>
        <v>0</v>
      </c>
      <c r="E18" s="1226">
        <f>G12</f>
        <v>0</v>
      </c>
      <c r="F18" s="1226">
        <f>I12</f>
        <v>1650</v>
      </c>
      <c r="G18" s="1226">
        <f>K12</f>
        <v>0</v>
      </c>
      <c r="H18" s="1224"/>
      <c r="I18" s="1226">
        <f>U12</f>
        <v>0</v>
      </c>
      <c r="J18" s="1224"/>
      <c r="K18" s="1226">
        <f>W12</f>
        <v>1</v>
      </c>
      <c r="L18" s="1224"/>
      <c r="M18" s="1226">
        <f>M12</f>
        <v>0</v>
      </c>
      <c r="N18" s="1226">
        <f>O12</f>
        <v>0</v>
      </c>
      <c r="O18" s="1225">
        <f>Q12</f>
        <v>0</v>
      </c>
      <c r="P18" s="1226"/>
      <c r="Q18" s="2262"/>
      <c r="R18" s="2262"/>
      <c r="S18" s="1221"/>
      <c r="T18" s="2254" t="s">
        <v>57</v>
      </c>
      <c r="U18" s="2254"/>
      <c r="V18" s="2262">
        <v>520</v>
      </c>
      <c r="W18" s="2262"/>
      <c r="X18" s="2262"/>
      <c r="Y18" s="2269"/>
    </row>
    <row r="19" spans="1:25" ht="25.5" customHeight="1" x14ac:dyDescent="0.25">
      <c r="A19" s="100" t="s">
        <v>41</v>
      </c>
      <c r="B19" s="2260">
        <f>B15+B16+B17-B18</f>
        <v>390362</v>
      </c>
      <c r="C19" s="2261"/>
      <c r="D19" s="1224">
        <f>D15+D16+D17-D18</f>
        <v>180</v>
      </c>
      <c r="E19" s="1224">
        <f t="shared" ref="E19:N19" si="13">E15+E16+E17-E18</f>
        <v>1000</v>
      </c>
      <c r="F19" s="1224">
        <f t="shared" si="13"/>
        <v>20730</v>
      </c>
      <c r="G19" s="1224">
        <f t="shared" si="13"/>
        <v>0</v>
      </c>
      <c r="H19" s="1224">
        <f t="shared" si="13"/>
        <v>161</v>
      </c>
      <c r="I19" s="1224">
        <f t="shared" si="13"/>
        <v>18</v>
      </c>
      <c r="J19" s="1224">
        <f t="shared" si="13"/>
        <v>4</v>
      </c>
      <c r="K19" s="1224">
        <f t="shared" si="13"/>
        <v>79</v>
      </c>
      <c r="L19" s="1224">
        <f t="shared" si="13"/>
        <v>0</v>
      </c>
      <c r="M19" s="1224">
        <f t="shared" si="13"/>
        <v>0</v>
      </c>
      <c r="N19" s="1224">
        <f t="shared" si="13"/>
        <v>280</v>
      </c>
      <c r="O19" s="1224">
        <f>O15+O16+O17-O18</f>
        <v>0</v>
      </c>
      <c r="P19" s="1224">
        <f t="shared" ref="P19:Q19" si="14">P15+P16+P17-P18</f>
        <v>100</v>
      </c>
      <c r="Q19" s="2260">
        <f t="shared" si="14"/>
        <v>0</v>
      </c>
      <c r="R19" s="2261"/>
      <c r="S19" s="1221">
        <f>S15+S16-S17-S18</f>
        <v>6</v>
      </c>
      <c r="T19" s="2256" t="s">
        <v>48</v>
      </c>
      <c r="U19" s="49" t="s">
        <v>58</v>
      </c>
      <c r="V19" s="2262">
        <v>157000</v>
      </c>
      <c r="W19" s="2262"/>
      <c r="X19" s="2262"/>
      <c r="Y19" s="2269"/>
    </row>
    <row r="20" spans="1:25" ht="23.25" customHeight="1" x14ac:dyDescent="0.25">
      <c r="A20" s="289" t="s">
        <v>187</v>
      </c>
      <c r="B20" s="2286">
        <f>B19*0.9625</f>
        <v>375723.42499999999</v>
      </c>
      <c r="C20" s="2287"/>
      <c r="D20" s="290">
        <f>D19*66.41</f>
        <v>11953.8</v>
      </c>
      <c r="E20" s="290">
        <f>27.9368*E19</f>
        <v>27936.800000000003</v>
      </c>
      <c r="F20" s="290">
        <f>18.31*F19</f>
        <v>379566.3</v>
      </c>
      <c r="G20" s="290">
        <f>27.9368*G19</f>
        <v>0</v>
      </c>
      <c r="H20" s="290">
        <f>241*H19</f>
        <v>38801</v>
      </c>
      <c r="I20" s="290">
        <f>323*I19</f>
        <v>5814</v>
      </c>
      <c r="J20" s="290">
        <f>241*J19</f>
        <v>964</v>
      </c>
      <c r="K20" s="290">
        <f>K19*100</f>
        <v>7900</v>
      </c>
      <c r="L20" s="290">
        <f>241*L19</f>
        <v>0</v>
      </c>
      <c r="M20" s="290">
        <f>47.1625*M19</f>
        <v>0</v>
      </c>
      <c r="N20" s="290">
        <f>N19*8.81</f>
        <v>2466.8000000000002</v>
      </c>
      <c r="O20" s="290">
        <f>241*O19</f>
        <v>0</v>
      </c>
      <c r="P20" s="290">
        <f>P19*48.2</f>
        <v>4820</v>
      </c>
      <c r="Q20" s="2286">
        <f>341*Q19</f>
        <v>0</v>
      </c>
      <c r="R20" s="2287"/>
      <c r="S20" s="290">
        <f>341*S19</f>
        <v>2046</v>
      </c>
      <c r="T20" s="2257"/>
      <c r="U20" s="49" t="s">
        <v>59</v>
      </c>
      <c r="V20" s="2262"/>
      <c r="W20" s="2262"/>
      <c r="X20" s="2262"/>
      <c r="Y20" s="2269"/>
    </row>
    <row r="21" spans="1:25" ht="32.25" customHeight="1" x14ac:dyDescent="0.25">
      <c r="A21" s="291" t="s">
        <v>186</v>
      </c>
      <c r="B21" s="2293">
        <f>SUM(B20:S20)</f>
        <v>857992.125</v>
      </c>
      <c r="C21" s="2293"/>
      <c r="O21" s="1228"/>
      <c r="P21" s="1228"/>
      <c r="Q21" s="1228"/>
      <c r="R21" s="1228"/>
      <c r="T21" s="2294" t="s">
        <v>464</v>
      </c>
      <c r="U21" s="2295"/>
      <c r="V21" s="2297"/>
      <c r="W21" s="2298"/>
      <c r="X21" s="2299"/>
      <c r="Y21" s="2269"/>
    </row>
    <row r="22" spans="1:25" ht="35.25" customHeight="1" x14ac:dyDescent="0.25">
      <c r="A22" s="15"/>
      <c r="B22" s="2288" t="s">
        <v>49</v>
      </c>
      <c r="C22" s="2291">
        <v>400000</v>
      </c>
      <c r="D22" s="2291">
        <v>157000</v>
      </c>
      <c r="E22" s="2291"/>
      <c r="F22" s="2291">
        <f>C22-D22+E22</f>
        <v>243000</v>
      </c>
      <c r="G22" s="1228"/>
      <c r="Q22" s="1228"/>
      <c r="R22" s="1228"/>
      <c r="T22" s="2251" t="s">
        <v>83</v>
      </c>
      <c r="U22" s="50" t="s">
        <v>60</v>
      </c>
      <c r="V22" s="2262">
        <v>122848</v>
      </c>
      <c r="W22" s="2262"/>
      <c r="X22" s="2262"/>
      <c r="Y22" s="2269"/>
    </row>
    <row r="23" spans="1:25" ht="39.75" customHeight="1" x14ac:dyDescent="0.25">
      <c r="A23" s="1228"/>
      <c r="B23" s="2289"/>
      <c r="C23" s="2292"/>
      <c r="D23" s="2292"/>
      <c r="E23" s="2292"/>
      <c r="F23" s="2292"/>
      <c r="G23" s="1228"/>
      <c r="Q23" s="1228"/>
      <c r="R23" s="1228"/>
      <c r="T23" s="2252"/>
      <c r="U23" s="50" t="s">
        <v>61</v>
      </c>
      <c r="V23" s="2262">
        <v>157000</v>
      </c>
      <c r="W23" s="2262"/>
      <c r="X23" s="2262"/>
      <c r="Y23" s="2269"/>
    </row>
    <row r="24" spans="1:25" ht="48" customHeight="1" x14ac:dyDescent="0.25">
      <c r="A24" s="1228"/>
      <c r="B24" s="2290"/>
      <c r="C24" s="290" t="s">
        <v>46</v>
      </c>
      <c r="D24" s="290" t="s">
        <v>50</v>
      </c>
      <c r="E24" s="290" t="s">
        <v>51</v>
      </c>
      <c r="F24" s="290" t="s">
        <v>52</v>
      </c>
      <c r="G24" s="1228"/>
      <c r="Q24" s="1228"/>
      <c r="R24" s="1228"/>
      <c r="T24" s="2235" t="s">
        <v>47</v>
      </c>
      <c r="U24" s="51" t="s">
        <v>62</v>
      </c>
      <c r="V24" s="2263">
        <f>V14+V16+V17-V18-V19-V20-V22+V23-V21</f>
        <v>33665.297500000015</v>
      </c>
      <c r="W24" s="2263"/>
      <c r="X24" s="2263"/>
      <c r="Y24" s="2269"/>
    </row>
    <row r="25" spans="1:25" ht="40.5" customHeight="1" x14ac:dyDescent="0.25">
      <c r="T25" s="2235"/>
      <c r="U25" s="51" t="s">
        <v>63</v>
      </c>
      <c r="V25" s="2262">
        <f>V15+V22-V23</f>
        <v>12639</v>
      </c>
      <c r="W25" s="2262"/>
      <c r="X25" s="2262"/>
    </row>
    <row r="26" spans="1:25" ht="36" customHeight="1" x14ac:dyDescent="0.25">
      <c r="K26" s="314"/>
    </row>
    <row r="28" spans="1:25" x14ac:dyDescent="0.25">
      <c r="J28" s="14" t="s">
        <v>139</v>
      </c>
    </row>
    <row r="32" spans="1:25" x14ac:dyDescent="0.25">
      <c r="I32" s="2280"/>
      <c r="J32" s="2280"/>
      <c r="K32" s="2280"/>
      <c r="L32" s="2280"/>
    </row>
    <row r="33" spans="9:12" x14ac:dyDescent="0.25">
      <c r="I33" s="1228"/>
      <c r="J33" s="1228"/>
      <c r="K33" s="2280"/>
      <c r="L33" s="2280"/>
    </row>
  </sheetData>
  <mergeCells count="62">
    <mergeCell ref="A1:Y1"/>
    <mergeCell ref="A2:Y2"/>
    <mergeCell ref="T3:Y3"/>
    <mergeCell ref="A4:A5"/>
    <mergeCell ref="B4:B5"/>
    <mergeCell ref="C4:D4"/>
    <mergeCell ref="E4:F4"/>
    <mergeCell ref="G4:H4"/>
    <mergeCell ref="I4:J4"/>
    <mergeCell ref="K4:L4"/>
    <mergeCell ref="Y4:Y5"/>
    <mergeCell ref="M4:N4"/>
    <mergeCell ref="O4:P4"/>
    <mergeCell ref="Q4:R4"/>
    <mergeCell ref="S4:T4"/>
    <mergeCell ref="U4:V4"/>
    <mergeCell ref="W4:X4"/>
    <mergeCell ref="B16:C16"/>
    <mergeCell ref="Q16:R16"/>
    <mergeCell ref="T16:U16"/>
    <mergeCell ref="V16:X16"/>
    <mergeCell ref="A12:B12"/>
    <mergeCell ref="B14:C14"/>
    <mergeCell ref="Q14:R14"/>
    <mergeCell ref="T14:T15"/>
    <mergeCell ref="V14:X14"/>
    <mergeCell ref="B15:C15"/>
    <mergeCell ref="Q15:R15"/>
    <mergeCell ref="V15:X15"/>
    <mergeCell ref="B17:C17"/>
    <mergeCell ref="Q17:R17"/>
    <mergeCell ref="T17:U17"/>
    <mergeCell ref="V17:X17"/>
    <mergeCell ref="B18:C18"/>
    <mergeCell ref="Q18:R18"/>
    <mergeCell ref="T18:U18"/>
    <mergeCell ref="V18:X18"/>
    <mergeCell ref="Y18:Y24"/>
    <mergeCell ref="B19:C19"/>
    <mergeCell ref="Q19:R19"/>
    <mergeCell ref="T19:T20"/>
    <mergeCell ref="V19:X19"/>
    <mergeCell ref="B20:C20"/>
    <mergeCell ref="B22:B24"/>
    <mergeCell ref="C22:C23"/>
    <mergeCell ref="D22:D23"/>
    <mergeCell ref="E22:E23"/>
    <mergeCell ref="F22:F23"/>
    <mergeCell ref="Q20:R20"/>
    <mergeCell ref="V20:X20"/>
    <mergeCell ref="B21:C21"/>
    <mergeCell ref="T21:U21"/>
    <mergeCell ref="V21:X21"/>
    <mergeCell ref="I32:J32"/>
    <mergeCell ref="K32:L32"/>
    <mergeCell ref="K33:L33"/>
    <mergeCell ref="T22:T23"/>
    <mergeCell ref="V22:X22"/>
    <mergeCell ref="V23:X23"/>
    <mergeCell ref="T24:T25"/>
    <mergeCell ref="V24:X24"/>
    <mergeCell ref="V25:X25"/>
  </mergeCells>
  <pageMargins left="0.15748031496063" right="0.15748031496063" top="0" bottom="0" header="0" footer="0"/>
  <pageSetup paperSize="9" scale="45" orientation="landscape" r:id="rId1"/>
</worksheet>
</file>

<file path=xl/worksheets/sheet2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E4FE3FC-4244-4373-AE76-8DB1587E4EC3}">
  <sheetPr>
    <pageSetUpPr fitToPage="1"/>
  </sheetPr>
  <dimension ref="A1:Y33"/>
  <sheetViews>
    <sheetView topLeftCell="E2" zoomScale="70" zoomScaleNormal="70" zoomScaleSheetLayoutView="100" zoomScalePageLayoutView="68" workbookViewId="0">
      <selection activeCell="M24" sqref="M24"/>
    </sheetView>
  </sheetViews>
  <sheetFormatPr defaultColWidth="9.140625" defaultRowHeight="15" x14ac:dyDescent="0.25"/>
  <cols>
    <col min="1" max="1" width="18.28515625" style="14" customWidth="1"/>
    <col min="2" max="2" width="10.7109375" style="14" customWidth="1"/>
    <col min="3" max="3" width="12.28515625" style="14" customWidth="1"/>
    <col min="4" max="4" width="13.140625" style="14" bestFit="1" customWidth="1"/>
    <col min="5" max="5" width="12" style="14" customWidth="1"/>
    <col min="6" max="6" width="12.5703125" style="14" bestFit="1" customWidth="1"/>
    <col min="7" max="7" width="16" style="14" bestFit="1" customWidth="1"/>
    <col min="8" max="8" width="10.140625" style="14" bestFit="1" customWidth="1"/>
    <col min="9" max="9" width="10.5703125" style="14" bestFit="1" customWidth="1"/>
    <col min="10" max="10" width="10.5703125" style="14" customWidth="1"/>
    <col min="11" max="11" width="10.28515625" style="14" bestFit="1" customWidth="1"/>
    <col min="12" max="12" width="10.42578125" style="14" bestFit="1" customWidth="1"/>
    <col min="13" max="14" width="12" style="14" bestFit="1" customWidth="1"/>
    <col min="15" max="15" width="9" style="14" customWidth="1"/>
    <col min="16" max="16" width="12.85546875" style="14" bestFit="1" customWidth="1"/>
    <col min="17" max="18" width="9.42578125" style="14" customWidth="1"/>
    <col min="19" max="19" width="13.7109375" style="14" customWidth="1"/>
    <col min="20" max="20" width="12.140625" style="14" customWidth="1"/>
    <col min="21" max="21" width="21.7109375" style="14" customWidth="1"/>
    <col min="22" max="22" width="9.85546875" style="14" customWidth="1"/>
    <col min="23" max="23" width="10.140625" style="14" bestFit="1" customWidth="1"/>
    <col min="24" max="24" width="10.28515625" style="14" customWidth="1"/>
    <col min="25" max="25" width="28" style="14" customWidth="1"/>
    <col min="26" max="16384" width="9.140625" style="14"/>
  </cols>
  <sheetData>
    <row r="1" spans="1:25" ht="46.15" customHeight="1" x14ac:dyDescent="0.25">
      <c r="A1" s="2240" t="s">
        <v>148</v>
      </c>
      <c r="B1" s="2240"/>
      <c r="C1" s="2240"/>
      <c r="D1" s="2240"/>
      <c r="E1" s="2240"/>
      <c r="F1" s="2240"/>
      <c r="G1" s="2240"/>
      <c r="H1" s="2240"/>
      <c r="I1" s="2240"/>
      <c r="J1" s="2240"/>
      <c r="K1" s="2240"/>
      <c r="L1" s="2240"/>
      <c r="M1" s="2240"/>
      <c r="N1" s="2240"/>
      <c r="O1" s="2240"/>
      <c r="P1" s="2240"/>
      <c r="Q1" s="2240"/>
      <c r="R1" s="2240"/>
      <c r="S1" s="2240"/>
      <c r="T1" s="2240"/>
      <c r="U1" s="2240"/>
      <c r="V1" s="2240"/>
      <c r="W1" s="2240"/>
      <c r="X1" s="2240"/>
      <c r="Y1" s="2240"/>
    </row>
    <row r="2" spans="1:25" ht="21.6" customHeight="1" x14ac:dyDescent="0.25">
      <c r="A2" s="2241" t="s">
        <v>383</v>
      </c>
      <c r="B2" s="2241"/>
      <c r="C2" s="2241"/>
      <c r="D2" s="2241"/>
      <c r="E2" s="2241"/>
      <c r="F2" s="2241"/>
      <c r="G2" s="2241"/>
      <c r="H2" s="2241"/>
      <c r="I2" s="2241"/>
      <c r="J2" s="2241"/>
      <c r="K2" s="2241"/>
      <c r="L2" s="2241"/>
      <c r="M2" s="2241"/>
      <c r="N2" s="2241"/>
      <c r="O2" s="2241"/>
      <c r="P2" s="2241"/>
      <c r="Q2" s="2241"/>
      <c r="R2" s="2241"/>
      <c r="S2" s="2241"/>
      <c r="T2" s="2241"/>
      <c r="U2" s="2241"/>
      <c r="V2" s="2241"/>
      <c r="W2" s="2241"/>
      <c r="X2" s="2241"/>
      <c r="Y2" s="2241"/>
    </row>
    <row r="3" spans="1:25" ht="21" customHeight="1" x14ac:dyDescent="0.25">
      <c r="A3" s="1229"/>
      <c r="B3" s="1229"/>
      <c r="C3" s="1229"/>
      <c r="D3" s="1229"/>
      <c r="E3" s="1229"/>
      <c r="F3" s="1229"/>
      <c r="G3" s="1229"/>
      <c r="H3" s="1229"/>
      <c r="I3" s="1229"/>
      <c r="J3" s="1229"/>
      <c r="K3" s="1229"/>
      <c r="L3" s="1229"/>
      <c r="M3" s="1229"/>
      <c r="N3" s="1229"/>
      <c r="O3" s="1229"/>
      <c r="P3" s="1229"/>
      <c r="Q3" s="1229"/>
      <c r="R3" s="1229"/>
      <c r="S3" s="1229"/>
      <c r="T3" s="2242" t="s">
        <v>467</v>
      </c>
      <c r="U3" s="2242"/>
      <c r="V3" s="2242"/>
      <c r="W3" s="2242"/>
      <c r="X3" s="2242"/>
      <c r="Y3" s="2242"/>
    </row>
    <row r="4" spans="1:25" s="1229" customFormat="1" ht="18" customHeight="1" x14ac:dyDescent="0.25">
      <c r="A4" s="2243" t="s">
        <v>25</v>
      </c>
      <c r="B4" s="2243" t="s">
        <v>26</v>
      </c>
      <c r="C4" s="2244" t="s">
        <v>27</v>
      </c>
      <c r="D4" s="2244"/>
      <c r="E4" s="2244" t="s">
        <v>342</v>
      </c>
      <c r="F4" s="2244"/>
      <c r="G4" s="2244" t="s">
        <v>65</v>
      </c>
      <c r="H4" s="2244"/>
      <c r="I4" s="2244" t="s">
        <v>29</v>
      </c>
      <c r="J4" s="2244"/>
      <c r="K4" s="2245" t="s">
        <v>14</v>
      </c>
      <c r="L4" s="2246"/>
      <c r="M4" s="2245" t="s">
        <v>429</v>
      </c>
      <c r="N4" s="2246"/>
      <c r="O4" s="2245" t="s">
        <v>441</v>
      </c>
      <c r="P4" s="2246"/>
      <c r="Q4" s="2245" t="s">
        <v>114</v>
      </c>
      <c r="R4" s="2246"/>
      <c r="S4" s="2244" t="s">
        <v>35</v>
      </c>
      <c r="T4" s="2244"/>
      <c r="U4" s="2245" t="s">
        <v>17</v>
      </c>
      <c r="V4" s="2246"/>
      <c r="W4" s="2247" t="s">
        <v>36</v>
      </c>
      <c r="X4" s="2248"/>
      <c r="Y4" s="2238" t="s">
        <v>30</v>
      </c>
    </row>
    <row r="5" spans="1:25" s="1229" customFormat="1" ht="25.5" customHeight="1" x14ac:dyDescent="0.25">
      <c r="A5" s="2243"/>
      <c r="B5" s="2243"/>
      <c r="C5" s="1231" t="s">
        <v>42</v>
      </c>
      <c r="D5" s="1231" t="s">
        <v>43</v>
      </c>
      <c r="E5" s="1231" t="s">
        <v>42</v>
      </c>
      <c r="F5" s="1231" t="s">
        <v>43</v>
      </c>
      <c r="G5" s="1231" t="s">
        <v>42</v>
      </c>
      <c r="H5" s="1231" t="s">
        <v>43</v>
      </c>
      <c r="I5" s="1231" t="s">
        <v>42</v>
      </c>
      <c r="J5" s="1231" t="s">
        <v>43</v>
      </c>
      <c r="K5" s="1231" t="s">
        <v>42</v>
      </c>
      <c r="L5" s="1231" t="s">
        <v>43</v>
      </c>
      <c r="M5" s="1231" t="s">
        <v>42</v>
      </c>
      <c r="N5" s="1231" t="s">
        <v>43</v>
      </c>
      <c r="O5" s="1231" t="s">
        <v>42</v>
      </c>
      <c r="P5" s="1231" t="s">
        <v>43</v>
      </c>
      <c r="Q5" s="1231" t="s">
        <v>42</v>
      </c>
      <c r="R5" s="1231" t="s">
        <v>43</v>
      </c>
      <c r="S5" s="33" t="s">
        <v>42</v>
      </c>
      <c r="T5" s="33" t="s">
        <v>43</v>
      </c>
      <c r="U5" s="30" t="s">
        <v>42</v>
      </c>
      <c r="V5" s="30" t="s">
        <v>43</v>
      </c>
      <c r="W5" s="30" t="s">
        <v>42</v>
      </c>
      <c r="X5" s="30" t="s">
        <v>43</v>
      </c>
      <c r="Y5" s="2239"/>
    </row>
    <row r="6" spans="1:25" ht="34.5" customHeight="1" x14ac:dyDescent="0.25">
      <c r="A6" s="12">
        <v>1409935200</v>
      </c>
      <c r="B6" s="1230" t="s">
        <v>71</v>
      </c>
      <c r="C6" s="1233">
        <v>12319</v>
      </c>
      <c r="D6" s="1234">
        <f t="shared" ref="D6:D11" si="0">0.9725*C6</f>
        <v>11980.227500000001</v>
      </c>
      <c r="E6" s="1233"/>
      <c r="F6" s="1234">
        <f>67.1*E6</f>
        <v>0</v>
      </c>
      <c r="G6" s="1233">
        <v>180</v>
      </c>
      <c r="H6" s="1233">
        <f>28.2*G6</f>
        <v>5076</v>
      </c>
      <c r="I6" s="1233">
        <v>540</v>
      </c>
      <c r="J6" s="1233">
        <f>18.5*I6</f>
        <v>9990</v>
      </c>
      <c r="K6" s="1233"/>
      <c r="L6" s="1234">
        <f>28.2368*K6</f>
        <v>0</v>
      </c>
      <c r="M6" s="1233"/>
      <c r="N6" s="1234">
        <f>M6*47.6525</f>
        <v>0</v>
      </c>
      <c r="O6" s="1233"/>
      <c r="P6" s="1234">
        <f>O6*8.9</f>
        <v>0</v>
      </c>
      <c r="Q6" s="1234"/>
      <c r="R6" s="1234">
        <f>241*Q6</f>
        <v>0</v>
      </c>
      <c r="S6" s="1233"/>
      <c r="T6" s="1233">
        <f>241*S6</f>
        <v>0</v>
      </c>
      <c r="U6" s="1233"/>
      <c r="V6" s="1233">
        <f>332*U6</f>
        <v>0</v>
      </c>
      <c r="W6" s="1233"/>
      <c r="X6" s="19">
        <f>W6*100</f>
        <v>0</v>
      </c>
      <c r="Y6" s="20">
        <f t="shared" ref="Y6:Y12" si="1">D6+F6+H6+J6+L6+N6+P6+R6+T6+V6+X6</f>
        <v>27046.227500000001</v>
      </c>
    </row>
    <row r="7" spans="1:25" ht="31.5" customHeight="1" x14ac:dyDescent="0.25">
      <c r="A7" s="12">
        <v>1984225578</v>
      </c>
      <c r="B7" s="1230" t="s">
        <v>72</v>
      </c>
      <c r="C7" s="1233">
        <v>12526</v>
      </c>
      <c r="D7" s="1234">
        <f t="shared" si="0"/>
        <v>12181.535</v>
      </c>
      <c r="E7" s="1233"/>
      <c r="F7" s="1233">
        <f t="shared" ref="F7:F11" si="2">67.1*E7</f>
        <v>0</v>
      </c>
      <c r="G7" s="1233"/>
      <c r="H7" s="1233">
        <f t="shared" ref="H7:H11" si="3">28.2*G7</f>
        <v>0</v>
      </c>
      <c r="I7" s="1233">
        <v>1500</v>
      </c>
      <c r="J7" s="1233">
        <f t="shared" ref="J7:J11" si="4">18.5*I7</f>
        <v>27750</v>
      </c>
      <c r="K7" s="1233"/>
      <c r="L7" s="1234">
        <f t="shared" ref="L7:L11" si="5">28.2368*K7</f>
        <v>0</v>
      </c>
      <c r="M7" s="1233"/>
      <c r="N7" s="1234">
        <f t="shared" ref="N7:N11" si="6">M7*47.6525</f>
        <v>0</v>
      </c>
      <c r="O7" s="1233"/>
      <c r="P7" s="1234">
        <f t="shared" ref="P7:P11" si="7">O7*8.9</f>
        <v>0</v>
      </c>
      <c r="Q7" s="1234"/>
      <c r="R7" s="1234">
        <f t="shared" ref="R7:R11" si="8">241*Q7</f>
        <v>0</v>
      </c>
      <c r="S7" s="1233"/>
      <c r="T7" s="1233">
        <f t="shared" ref="T7:T10" si="9">241*S7</f>
        <v>0</v>
      </c>
      <c r="U7" s="1233"/>
      <c r="V7" s="1233">
        <f t="shared" ref="V7:V11" si="10">332*U7</f>
        <v>0</v>
      </c>
      <c r="W7" s="1233"/>
      <c r="X7" s="19">
        <f t="shared" ref="X7:X11" si="11">W7*100</f>
        <v>0</v>
      </c>
      <c r="Y7" s="20">
        <f t="shared" si="1"/>
        <v>39931.535000000003</v>
      </c>
    </row>
    <row r="8" spans="1:25" ht="35.25" customHeight="1" x14ac:dyDescent="0.25">
      <c r="A8" s="12">
        <v>1967020280</v>
      </c>
      <c r="B8" s="1230" t="s">
        <v>427</v>
      </c>
      <c r="C8" s="1233">
        <v>11702</v>
      </c>
      <c r="D8" s="1234">
        <f t="shared" si="0"/>
        <v>11380.195</v>
      </c>
      <c r="E8" s="1233"/>
      <c r="F8" s="1233">
        <f t="shared" si="2"/>
        <v>0</v>
      </c>
      <c r="G8" s="1233">
        <v>10</v>
      </c>
      <c r="H8" s="1234">
        <f t="shared" si="3"/>
        <v>282</v>
      </c>
      <c r="I8" s="1233">
        <v>360</v>
      </c>
      <c r="J8" s="1233">
        <f t="shared" si="4"/>
        <v>6660</v>
      </c>
      <c r="K8" s="1233"/>
      <c r="L8" s="1234">
        <f t="shared" si="5"/>
        <v>0</v>
      </c>
      <c r="M8" s="1233"/>
      <c r="N8" s="1234">
        <f t="shared" si="6"/>
        <v>0</v>
      </c>
      <c r="O8" s="1233"/>
      <c r="P8" s="1234">
        <f t="shared" si="7"/>
        <v>0</v>
      </c>
      <c r="Q8" s="1234"/>
      <c r="R8" s="1234">
        <f t="shared" si="8"/>
        <v>0</v>
      </c>
      <c r="S8" s="1233"/>
      <c r="T8" s="1233">
        <f t="shared" si="9"/>
        <v>0</v>
      </c>
      <c r="U8" s="1233">
        <v>3</v>
      </c>
      <c r="V8" s="1233">
        <f t="shared" si="10"/>
        <v>996</v>
      </c>
      <c r="W8" s="1233"/>
      <c r="X8" s="19">
        <f t="shared" si="11"/>
        <v>0</v>
      </c>
      <c r="Y8" s="20">
        <f t="shared" si="1"/>
        <v>19318.195</v>
      </c>
    </row>
    <row r="9" spans="1:25" ht="38.25" customHeight="1" x14ac:dyDescent="0.25">
      <c r="A9" s="12">
        <v>1984225580</v>
      </c>
      <c r="B9" s="1230" t="s">
        <v>75</v>
      </c>
      <c r="C9" s="1233">
        <v>14882</v>
      </c>
      <c r="D9" s="1234">
        <f t="shared" si="0"/>
        <v>14472.745000000001</v>
      </c>
      <c r="E9" s="1233"/>
      <c r="F9" s="1233">
        <f t="shared" si="2"/>
        <v>0</v>
      </c>
      <c r="G9" s="1233">
        <v>250</v>
      </c>
      <c r="H9" s="1233">
        <f t="shared" si="3"/>
        <v>7050</v>
      </c>
      <c r="I9" s="1233">
        <v>840</v>
      </c>
      <c r="J9" s="1233">
        <f t="shared" si="4"/>
        <v>15540</v>
      </c>
      <c r="K9" s="1233"/>
      <c r="L9" s="1234">
        <f t="shared" si="5"/>
        <v>0</v>
      </c>
      <c r="M9" s="1233"/>
      <c r="N9" s="1234">
        <f t="shared" si="6"/>
        <v>0</v>
      </c>
      <c r="O9" s="1233"/>
      <c r="P9" s="1234">
        <f t="shared" si="7"/>
        <v>0</v>
      </c>
      <c r="Q9" s="1234"/>
      <c r="R9" s="1234">
        <f t="shared" si="8"/>
        <v>0</v>
      </c>
      <c r="S9" s="1233"/>
      <c r="T9" s="1233">
        <f t="shared" si="9"/>
        <v>0</v>
      </c>
      <c r="U9" s="1233"/>
      <c r="V9" s="1233">
        <f t="shared" si="10"/>
        <v>0</v>
      </c>
      <c r="W9" s="1233"/>
      <c r="X9" s="19">
        <f t="shared" si="11"/>
        <v>0</v>
      </c>
      <c r="Y9" s="20">
        <f t="shared" si="1"/>
        <v>37062.745000000003</v>
      </c>
    </row>
    <row r="10" spans="1:25" ht="35.25" customHeight="1" x14ac:dyDescent="0.25">
      <c r="A10" s="12">
        <v>1409935199</v>
      </c>
      <c r="C10" s="1233"/>
      <c r="D10" s="1234">
        <f t="shared" si="0"/>
        <v>0</v>
      </c>
      <c r="E10" s="1233"/>
      <c r="F10" s="1233">
        <f t="shared" si="2"/>
        <v>0</v>
      </c>
      <c r="G10" s="1233"/>
      <c r="H10" s="1233">
        <f t="shared" si="3"/>
        <v>0</v>
      </c>
      <c r="I10" s="1233"/>
      <c r="J10" s="1233">
        <f t="shared" si="4"/>
        <v>0</v>
      </c>
      <c r="K10" s="1233"/>
      <c r="L10" s="1234">
        <f t="shared" si="5"/>
        <v>0</v>
      </c>
      <c r="M10" s="1233"/>
      <c r="N10" s="1234">
        <f t="shared" si="6"/>
        <v>0</v>
      </c>
      <c r="O10" s="1233"/>
      <c r="P10" s="1234">
        <f t="shared" si="7"/>
        <v>0</v>
      </c>
      <c r="Q10" s="1234"/>
      <c r="R10" s="1234">
        <f t="shared" si="8"/>
        <v>0</v>
      </c>
      <c r="S10" s="1233"/>
      <c r="T10" s="1233">
        <f t="shared" si="9"/>
        <v>0</v>
      </c>
      <c r="U10" s="1233"/>
      <c r="V10" s="1233">
        <f t="shared" si="10"/>
        <v>0</v>
      </c>
      <c r="W10" s="1233"/>
      <c r="X10" s="19">
        <f t="shared" si="11"/>
        <v>0</v>
      </c>
      <c r="Y10" s="20">
        <f t="shared" si="1"/>
        <v>0</v>
      </c>
    </row>
    <row r="11" spans="1:25" ht="37.5" customHeight="1" x14ac:dyDescent="0.25">
      <c r="A11" s="12"/>
      <c r="B11" s="1232"/>
      <c r="C11" s="1233"/>
      <c r="D11" s="1234">
        <f t="shared" si="0"/>
        <v>0</v>
      </c>
      <c r="E11" s="1233"/>
      <c r="F11" s="1233">
        <f t="shared" si="2"/>
        <v>0</v>
      </c>
      <c r="G11" s="1233"/>
      <c r="H11" s="1233">
        <f t="shared" si="3"/>
        <v>0</v>
      </c>
      <c r="I11" s="1233"/>
      <c r="J11" s="1233">
        <f t="shared" si="4"/>
        <v>0</v>
      </c>
      <c r="K11" s="1233"/>
      <c r="L11" s="1234">
        <f t="shared" si="5"/>
        <v>0</v>
      </c>
      <c r="M11" s="1233"/>
      <c r="N11" s="1234">
        <f t="shared" si="6"/>
        <v>0</v>
      </c>
      <c r="O11" s="1233"/>
      <c r="P11" s="1234">
        <f t="shared" si="7"/>
        <v>0</v>
      </c>
      <c r="Q11" s="1234"/>
      <c r="R11" s="1234">
        <f t="shared" si="8"/>
        <v>0</v>
      </c>
      <c r="S11" s="1233"/>
      <c r="T11" s="1233">
        <f>341*S11</f>
        <v>0</v>
      </c>
      <c r="U11" s="1233"/>
      <c r="V11" s="1233">
        <f t="shared" si="10"/>
        <v>0</v>
      </c>
      <c r="W11" s="1233"/>
      <c r="X11" s="19">
        <f t="shared" si="11"/>
        <v>0</v>
      </c>
      <c r="Y11" s="20">
        <f t="shared" si="1"/>
        <v>0</v>
      </c>
    </row>
    <row r="12" spans="1:25" ht="29.25" customHeight="1" x14ac:dyDescent="0.25">
      <c r="A12" s="2235" t="s">
        <v>31</v>
      </c>
      <c r="B12" s="2235"/>
      <c r="C12" s="18">
        <f t="shared" ref="C12:X12" si="12">SUM(C6:C11)</f>
        <v>51429</v>
      </c>
      <c r="D12" s="18">
        <f t="shared" si="12"/>
        <v>50014.702500000007</v>
      </c>
      <c r="E12" s="18">
        <f t="shared" si="12"/>
        <v>0</v>
      </c>
      <c r="F12" s="18">
        <f t="shared" si="12"/>
        <v>0</v>
      </c>
      <c r="G12" s="18">
        <f t="shared" si="12"/>
        <v>440</v>
      </c>
      <c r="H12" s="18">
        <f t="shared" si="12"/>
        <v>12408</v>
      </c>
      <c r="I12" s="18">
        <f t="shared" si="12"/>
        <v>3240</v>
      </c>
      <c r="J12" s="18">
        <f t="shared" si="12"/>
        <v>59940</v>
      </c>
      <c r="K12" s="18">
        <f t="shared" si="12"/>
        <v>0</v>
      </c>
      <c r="L12" s="18">
        <f t="shared" si="12"/>
        <v>0</v>
      </c>
      <c r="M12" s="18">
        <f t="shared" si="12"/>
        <v>0</v>
      </c>
      <c r="N12" s="23">
        <f t="shared" si="12"/>
        <v>0</v>
      </c>
      <c r="O12" s="18">
        <f t="shared" si="12"/>
        <v>0</v>
      </c>
      <c r="P12" s="23">
        <f t="shared" si="12"/>
        <v>0</v>
      </c>
      <c r="Q12" s="23">
        <f t="shared" si="12"/>
        <v>0</v>
      </c>
      <c r="R12" s="23">
        <f>SUM(R6:R11)</f>
        <v>0</v>
      </c>
      <c r="S12" s="23">
        <f>SUM(S6:S11)</f>
        <v>0</v>
      </c>
      <c r="T12" s="18">
        <f t="shared" si="12"/>
        <v>0</v>
      </c>
      <c r="U12" s="18">
        <f t="shared" si="12"/>
        <v>3</v>
      </c>
      <c r="V12" s="18">
        <f t="shared" si="12"/>
        <v>996</v>
      </c>
      <c r="W12" s="18">
        <f t="shared" si="12"/>
        <v>0</v>
      </c>
      <c r="X12" s="18">
        <f t="shared" si="12"/>
        <v>0</v>
      </c>
      <c r="Y12" s="20">
        <f t="shared" si="1"/>
        <v>123358.70250000001</v>
      </c>
    </row>
    <row r="14" spans="1:25" ht="43.5" customHeight="1" x14ac:dyDescent="0.25">
      <c r="A14" s="30" t="s">
        <v>32</v>
      </c>
      <c r="B14" s="2236" t="s">
        <v>27</v>
      </c>
      <c r="C14" s="2236"/>
      <c r="D14" s="30" t="s">
        <v>333</v>
      </c>
      <c r="E14" s="30" t="s">
        <v>65</v>
      </c>
      <c r="F14" s="30" t="s">
        <v>34</v>
      </c>
      <c r="G14" s="30" t="s">
        <v>14</v>
      </c>
      <c r="H14" s="469" t="s">
        <v>173</v>
      </c>
      <c r="I14" s="30" t="s">
        <v>17</v>
      </c>
      <c r="J14" s="1238" t="s">
        <v>174</v>
      </c>
      <c r="K14" s="30" t="s">
        <v>36</v>
      </c>
      <c r="L14" s="1238" t="s">
        <v>403</v>
      </c>
      <c r="M14" s="30" t="s">
        <v>429</v>
      </c>
      <c r="N14" s="30" t="s">
        <v>442</v>
      </c>
      <c r="O14" s="1238" t="s">
        <v>114</v>
      </c>
      <c r="P14" s="30" t="s">
        <v>70</v>
      </c>
      <c r="Q14" s="2300" t="s">
        <v>378</v>
      </c>
      <c r="R14" s="2301"/>
      <c r="S14" s="1238" t="s">
        <v>401</v>
      </c>
      <c r="T14" s="2235" t="s">
        <v>46</v>
      </c>
      <c r="U14" s="1230" t="s">
        <v>176</v>
      </c>
      <c r="V14" s="2260">
        <v>33665</v>
      </c>
      <c r="W14" s="2268"/>
      <c r="X14" s="2261"/>
    </row>
    <row r="15" spans="1:25" ht="22.5" customHeight="1" x14ac:dyDescent="0.25">
      <c r="A15" s="100" t="s">
        <v>38</v>
      </c>
      <c r="B15" s="2260">
        <v>390362</v>
      </c>
      <c r="C15" s="2261"/>
      <c r="D15" s="1235">
        <v>180</v>
      </c>
      <c r="E15" s="1235">
        <v>1000</v>
      </c>
      <c r="F15" s="1235">
        <v>20730</v>
      </c>
      <c r="G15" s="1235">
        <v>0</v>
      </c>
      <c r="H15" s="1235">
        <v>161</v>
      </c>
      <c r="I15" s="1235">
        <v>18</v>
      </c>
      <c r="J15" s="1235">
        <v>4</v>
      </c>
      <c r="K15" s="1235">
        <v>79</v>
      </c>
      <c r="L15" s="1235">
        <v>0</v>
      </c>
      <c r="M15" s="1235">
        <v>0</v>
      </c>
      <c r="N15" s="1235">
        <v>280</v>
      </c>
      <c r="O15" s="1235">
        <v>0</v>
      </c>
      <c r="P15" s="1235">
        <v>100</v>
      </c>
      <c r="Q15" s="2260">
        <v>0</v>
      </c>
      <c r="R15" s="2261"/>
      <c r="S15" s="1230">
        <v>6</v>
      </c>
      <c r="T15" s="2235"/>
      <c r="U15" s="1230" t="s">
        <v>64</v>
      </c>
      <c r="V15" s="2262">
        <v>12639</v>
      </c>
      <c r="W15" s="2262"/>
      <c r="X15" s="2262"/>
    </row>
    <row r="16" spans="1:25" ht="24.75" customHeight="1" x14ac:dyDescent="0.25">
      <c r="A16" s="100" t="s">
        <v>39</v>
      </c>
      <c r="B16" s="2260"/>
      <c r="C16" s="2261"/>
      <c r="D16" s="1235"/>
      <c r="E16" s="1235"/>
      <c r="F16" s="1235"/>
      <c r="G16" s="1235"/>
      <c r="H16" s="1235"/>
      <c r="I16" s="1235"/>
      <c r="J16" s="1235"/>
      <c r="K16" s="1235"/>
      <c r="L16" s="1235"/>
      <c r="M16" s="1235"/>
      <c r="N16" s="1235"/>
      <c r="O16" s="1235"/>
      <c r="P16" s="1235"/>
      <c r="Q16" s="2225"/>
      <c r="R16" s="2225"/>
      <c r="S16" s="1235"/>
      <c r="T16" s="2254" t="s">
        <v>55</v>
      </c>
      <c r="U16" s="2254"/>
      <c r="V16" s="2267">
        <f>Y12</f>
        <v>123358.70250000001</v>
      </c>
      <c r="W16" s="2267"/>
      <c r="X16" s="2262"/>
    </row>
    <row r="17" spans="1:25" ht="28.5" customHeight="1" x14ac:dyDescent="0.25">
      <c r="A17" s="101" t="s">
        <v>44</v>
      </c>
      <c r="B17" s="2260"/>
      <c r="C17" s="2261"/>
      <c r="D17" s="1235"/>
      <c r="E17" s="1235"/>
      <c r="F17" s="1235"/>
      <c r="G17" s="1235"/>
      <c r="H17" s="1235"/>
      <c r="I17" s="1235"/>
      <c r="J17" s="1235"/>
      <c r="K17" s="1235"/>
      <c r="L17" s="1235"/>
      <c r="M17" s="1235"/>
      <c r="N17" s="1235"/>
      <c r="O17" s="1235"/>
      <c r="P17" s="1235"/>
      <c r="Q17" s="2225"/>
      <c r="R17" s="2225"/>
      <c r="S17" s="1232"/>
      <c r="T17" s="2294" t="s">
        <v>463</v>
      </c>
      <c r="U17" s="2295"/>
      <c r="V17" s="2296"/>
      <c r="W17" s="2296"/>
      <c r="X17" s="2296"/>
    </row>
    <row r="18" spans="1:25" ht="27" customHeight="1" x14ac:dyDescent="0.25">
      <c r="A18" s="100" t="s">
        <v>40</v>
      </c>
      <c r="B18" s="2264">
        <f>C12</f>
        <v>51429</v>
      </c>
      <c r="C18" s="2261"/>
      <c r="D18" s="1236">
        <f>E12</f>
        <v>0</v>
      </c>
      <c r="E18" s="1236">
        <f>G12</f>
        <v>440</v>
      </c>
      <c r="F18" s="1236">
        <f>I12</f>
        <v>3240</v>
      </c>
      <c r="G18" s="1236">
        <f>K12</f>
        <v>0</v>
      </c>
      <c r="H18" s="1235"/>
      <c r="I18" s="1236">
        <f>U12</f>
        <v>3</v>
      </c>
      <c r="J18" s="1235"/>
      <c r="K18" s="1236">
        <f>W12</f>
        <v>0</v>
      </c>
      <c r="L18" s="1235"/>
      <c r="M18" s="1236">
        <f>M12</f>
        <v>0</v>
      </c>
      <c r="N18" s="1236">
        <f>O12</f>
        <v>0</v>
      </c>
      <c r="O18" s="1237">
        <f>Q12</f>
        <v>0</v>
      </c>
      <c r="P18" s="1236"/>
      <c r="Q18" s="2262"/>
      <c r="R18" s="2262"/>
      <c r="S18" s="1230"/>
      <c r="T18" s="2254" t="s">
        <v>57</v>
      </c>
      <c r="U18" s="2254"/>
      <c r="V18" s="2262">
        <v>620</v>
      </c>
      <c r="W18" s="2262"/>
      <c r="X18" s="2262"/>
      <c r="Y18" s="2269"/>
    </row>
    <row r="19" spans="1:25" ht="25.5" customHeight="1" x14ac:dyDescent="0.25">
      <c r="A19" s="100" t="s">
        <v>41</v>
      </c>
      <c r="B19" s="2260">
        <f>B15+B16+B17-B18</f>
        <v>338933</v>
      </c>
      <c r="C19" s="2261"/>
      <c r="D19" s="1235">
        <f>D15+D16+D17-D18</f>
        <v>180</v>
      </c>
      <c r="E19" s="1235">
        <f t="shared" ref="E19:N19" si="13">E15+E16+E17-E18</f>
        <v>560</v>
      </c>
      <c r="F19" s="1235">
        <f t="shared" si="13"/>
        <v>17490</v>
      </c>
      <c r="G19" s="1235">
        <f t="shared" si="13"/>
        <v>0</v>
      </c>
      <c r="H19" s="1235">
        <f t="shared" si="13"/>
        <v>161</v>
      </c>
      <c r="I19" s="1235">
        <f t="shared" si="13"/>
        <v>15</v>
      </c>
      <c r="J19" s="1235">
        <f t="shared" si="13"/>
        <v>4</v>
      </c>
      <c r="K19" s="1235">
        <f t="shared" si="13"/>
        <v>79</v>
      </c>
      <c r="L19" s="1235">
        <f t="shared" si="13"/>
        <v>0</v>
      </c>
      <c r="M19" s="1235">
        <f t="shared" si="13"/>
        <v>0</v>
      </c>
      <c r="N19" s="1235">
        <f t="shared" si="13"/>
        <v>280</v>
      </c>
      <c r="O19" s="1235">
        <f>O15+O16+O17-O18</f>
        <v>0</v>
      </c>
      <c r="P19" s="1235">
        <f t="shared" ref="P19:Q19" si="14">P15+P16+P17-P18</f>
        <v>100</v>
      </c>
      <c r="Q19" s="2260">
        <f t="shared" si="14"/>
        <v>0</v>
      </c>
      <c r="R19" s="2261"/>
      <c r="S19" s="1230">
        <f>S15+S16-S17-S18</f>
        <v>6</v>
      </c>
      <c r="T19" s="2256" t="s">
        <v>48</v>
      </c>
      <c r="U19" s="49" t="s">
        <v>58</v>
      </c>
      <c r="V19" s="2262">
        <v>125000</v>
      </c>
      <c r="W19" s="2262"/>
      <c r="X19" s="2262"/>
      <c r="Y19" s="2269"/>
    </row>
    <row r="20" spans="1:25" ht="23.25" customHeight="1" x14ac:dyDescent="0.25">
      <c r="A20" s="289" t="s">
        <v>187</v>
      </c>
      <c r="B20" s="2286">
        <f>B19*0.9625</f>
        <v>326223.01250000001</v>
      </c>
      <c r="C20" s="2287"/>
      <c r="D20" s="290">
        <f>D19*66.41</f>
        <v>11953.8</v>
      </c>
      <c r="E20" s="290">
        <f>27.9368*E19</f>
        <v>15644.608</v>
      </c>
      <c r="F20" s="290">
        <f>18.31*F19</f>
        <v>320241.89999999997</v>
      </c>
      <c r="G20" s="290">
        <f>27.9368*G19</f>
        <v>0</v>
      </c>
      <c r="H20" s="290">
        <f>241*H19</f>
        <v>38801</v>
      </c>
      <c r="I20" s="290">
        <f>323*I19</f>
        <v>4845</v>
      </c>
      <c r="J20" s="290">
        <f>241*J19</f>
        <v>964</v>
      </c>
      <c r="K20" s="290">
        <f>K19*100</f>
        <v>7900</v>
      </c>
      <c r="L20" s="290">
        <f>241*L19</f>
        <v>0</v>
      </c>
      <c r="M20" s="290">
        <f>47.1625*M19</f>
        <v>0</v>
      </c>
      <c r="N20" s="290">
        <f>N19*8.81</f>
        <v>2466.8000000000002</v>
      </c>
      <c r="O20" s="290">
        <f>241*O19</f>
        <v>0</v>
      </c>
      <c r="P20" s="290">
        <f>P19*48.2</f>
        <v>4820</v>
      </c>
      <c r="Q20" s="2286">
        <f>341*Q19</f>
        <v>0</v>
      </c>
      <c r="R20" s="2287"/>
      <c r="S20" s="290">
        <f>341*S19</f>
        <v>2046</v>
      </c>
      <c r="T20" s="2257"/>
      <c r="U20" s="49" t="s">
        <v>59</v>
      </c>
      <c r="V20" s="2262"/>
      <c r="W20" s="2262"/>
      <c r="X20" s="2262"/>
      <c r="Y20" s="2269"/>
    </row>
    <row r="21" spans="1:25" ht="32.25" customHeight="1" x14ac:dyDescent="0.25">
      <c r="A21" s="291" t="s">
        <v>186</v>
      </c>
      <c r="B21" s="2293">
        <f>SUM(B20:S20)</f>
        <v>735906.12049999996</v>
      </c>
      <c r="C21" s="2293"/>
      <c r="O21" s="1239"/>
      <c r="P21" s="1239"/>
      <c r="Q21" s="1239"/>
      <c r="R21" s="1239"/>
      <c r="T21" s="2294" t="s">
        <v>464</v>
      </c>
      <c r="U21" s="2295"/>
      <c r="V21" s="2297"/>
      <c r="W21" s="2298"/>
      <c r="X21" s="2299"/>
      <c r="Y21" s="2269"/>
    </row>
    <row r="22" spans="1:25" ht="35.25" customHeight="1" x14ac:dyDescent="0.25">
      <c r="A22" s="15"/>
      <c r="B22" s="2288" t="s">
        <v>49</v>
      </c>
      <c r="C22" s="2291">
        <v>243000</v>
      </c>
      <c r="D22" s="2291">
        <v>125000</v>
      </c>
      <c r="E22" s="2291"/>
      <c r="F22" s="2291">
        <f>C22-D22+E22</f>
        <v>118000</v>
      </c>
      <c r="G22" s="1239"/>
      <c r="Q22" s="1239"/>
      <c r="R22" s="1239"/>
      <c r="T22" s="2251" t="s">
        <v>83</v>
      </c>
      <c r="U22" s="50" t="s">
        <v>60</v>
      </c>
      <c r="V22" s="2262">
        <v>122610</v>
      </c>
      <c r="W22" s="2262"/>
      <c r="X22" s="2262"/>
      <c r="Y22" s="2269"/>
    </row>
    <row r="23" spans="1:25" ht="39.75" customHeight="1" x14ac:dyDescent="0.25">
      <c r="A23" s="1239"/>
      <c r="B23" s="2289"/>
      <c r="C23" s="2292"/>
      <c r="D23" s="2292"/>
      <c r="E23" s="2292"/>
      <c r="F23" s="2292"/>
      <c r="G23" s="1239"/>
      <c r="Q23" s="1239"/>
      <c r="R23" s="1239"/>
      <c r="T23" s="2252"/>
      <c r="U23" s="50" t="s">
        <v>61</v>
      </c>
      <c r="V23" s="2262">
        <v>125000</v>
      </c>
      <c r="W23" s="2262"/>
      <c r="X23" s="2262"/>
      <c r="Y23" s="2269"/>
    </row>
    <row r="24" spans="1:25" ht="48" customHeight="1" x14ac:dyDescent="0.25">
      <c r="A24" s="1239"/>
      <c r="B24" s="2290"/>
      <c r="C24" s="290" t="s">
        <v>46</v>
      </c>
      <c r="D24" s="290" t="s">
        <v>50</v>
      </c>
      <c r="E24" s="290" t="s">
        <v>51</v>
      </c>
      <c r="F24" s="290" t="s">
        <v>52</v>
      </c>
      <c r="G24" s="1239"/>
      <c r="Q24" s="1239"/>
      <c r="R24" s="1239"/>
      <c r="T24" s="2235" t="s">
        <v>47</v>
      </c>
      <c r="U24" s="51" t="s">
        <v>62</v>
      </c>
      <c r="V24" s="2263">
        <f>V14+V16+V17-V18-V19-V20-V22+V23-V21</f>
        <v>33793.702500000014</v>
      </c>
      <c r="W24" s="2263"/>
      <c r="X24" s="2263"/>
      <c r="Y24" s="2269"/>
    </row>
    <row r="25" spans="1:25" ht="40.5" customHeight="1" x14ac:dyDescent="0.25">
      <c r="T25" s="2235"/>
      <c r="U25" s="51" t="s">
        <v>63</v>
      </c>
      <c r="V25" s="2262">
        <f>V15+V22-V23</f>
        <v>10249</v>
      </c>
      <c r="W25" s="2262"/>
      <c r="X25" s="2262"/>
    </row>
    <row r="26" spans="1:25" ht="36" customHeight="1" x14ac:dyDescent="0.25">
      <c r="K26" s="314"/>
    </row>
    <row r="28" spans="1:25" x14ac:dyDescent="0.25">
      <c r="J28" s="14" t="s">
        <v>139</v>
      </c>
    </row>
    <row r="32" spans="1:25" x14ac:dyDescent="0.25">
      <c r="I32" s="2280"/>
      <c r="J32" s="2280"/>
      <c r="K32" s="2280"/>
      <c r="L32" s="2280"/>
    </row>
    <row r="33" spans="9:12" x14ac:dyDescent="0.25">
      <c r="I33" s="1239"/>
      <c r="J33" s="1239"/>
      <c r="K33" s="2280"/>
      <c r="L33" s="2280"/>
    </row>
  </sheetData>
  <mergeCells count="62">
    <mergeCell ref="I32:J32"/>
    <mergeCell ref="K32:L32"/>
    <mergeCell ref="K33:L33"/>
    <mergeCell ref="T22:T23"/>
    <mergeCell ref="V22:X22"/>
    <mergeCell ref="V23:X23"/>
    <mergeCell ref="T24:T25"/>
    <mergeCell ref="V24:X24"/>
    <mergeCell ref="V25:X25"/>
    <mergeCell ref="Y18:Y24"/>
    <mergeCell ref="B19:C19"/>
    <mergeCell ref="Q19:R19"/>
    <mergeCell ref="T19:T20"/>
    <mergeCell ref="V19:X19"/>
    <mergeCell ref="B20:C20"/>
    <mergeCell ref="B22:B24"/>
    <mergeCell ref="C22:C23"/>
    <mergeCell ref="D22:D23"/>
    <mergeCell ref="E22:E23"/>
    <mergeCell ref="F22:F23"/>
    <mergeCell ref="Q20:R20"/>
    <mergeCell ref="V20:X20"/>
    <mergeCell ref="B21:C21"/>
    <mergeCell ref="T21:U21"/>
    <mergeCell ref="V21:X21"/>
    <mergeCell ref="B17:C17"/>
    <mergeCell ref="Q17:R17"/>
    <mergeCell ref="T17:U17"/>
    <mergeCell ref="V17:X17"/>
    <mergeCell ref="B18:C18"/>
    <mergeCell ref="Q18:R18"/>
    <mergeCell ref="T18:U18"/>
    <mergeCell ref="V18:X18"/>
    <mergeCell ref="W4:X4"/>
    <mergeCell ref="B16:C16"/>
    <mergeCell ref="Q16:R16"/>
    <mergeCell ref="T16:U16"/>
    <mergeCell ref="V16:X16"/>
    <mergeCell ref="A12:B12"/>
    <mergeCell ref="B14:C14"/>
    <mergeCell ref="Q14:R14"/>
    <mergeCell ref="T14:T15"/>
    <mergeCell ref="V14:X14"/>
    <mergeCell ref="B15:C15"/>
    <mergeCell ref="Q15:R15"/>
    <mergeCell ref="V15:X15"/>
    <mergeCell ref="A1:Y1"/>
    <mergeCell ref="A2:Y2"/>
    <mergeCell ref="T3:Y3"/>
    <mergeCell ref="A4:A5"/>
    <mergeCell ref="B4:B5"/>
    <mergeCell ref="C4:D4"/>
    <mergeCell ref="E4:F4"/>
    <mergeCell ref="G4:H4"/>
    <mergeCell ref="I4:J4"/>
    <mergeCell ref="K4:L4"/>
    <mergeCell ref="Y4:Y5"/>
    <mergeCell ref="M4:N4"/>
    <mergeCell ref="O4:P4"/>
    <mergeCell ref="Q4:R4"/>
    <mergeCell ref="S4:T4"/>
    <mergeCell ref="U4:V4"/>
  </mergeCells>
  <pageMargins left="0.15748031496063" right="0.15748031496063" top="0" bottom="0" header="0" footer="0"/>
  <pageSetup paperSize="9" scale="45" orientation="landscape" r:id="rId1"/>
</worksheet>
</file>

<file path=xl/worksheets/sheet2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7D93437-DD94-4970-AD05-E8533AFCEDFC}">
  <sheetPr>
    <pageSetUpPr fitToPage="1"/>
  </sheetPr>
  <dimension ref="A1:Y33"/>
  <sheetViews>
    <sheetView topLeftCell="E2" zoomScale="70" zoomScaleNormal="70" zoomScaleSheetLayoutView="100" zoomScalePageLayoutView="68" workbookViewId="0">
      <selection activeCell="Y14" sqref="Y14"/>
    </sheetView>
  </sheetViews>
  <sheetFormatPr defaultColWidth="9.140625" defaultRowHeight="15" x14ac:dyDescent="0.25"/>
  <cols>
    <col min="1" max="1" width="18.28515625" style="14" customWidth="1"/>
    <col min="2" max="2" width="10.7109375" style="14" customWidth="1"/>
    <col min="3" max="3" width="12.28515625" style="14" customWidth="1"/>
    <col min="4" max="4" width="13.140625" style="14" bestFit="1" customWidth="1"/>
    <col min="5" max="5" width="12" style="14" customWidth="1"/>
    <col min="6" max="6" width="12.5703125" style="14" bestFit="1" customWidth="1"/>
    <col min="7" max="7" width="16" style="14" bestFit="1" customWidth="1"/>
    <col min="8" max="8" width="10.140625" style="14" bestFit="1" customWidth="1"/>
    <col min="9" max="9" width="10.5703125" style="14" bestFit="1" customWidth="1"/>
    <col min="10" max="10" width="10.5703125" style="14" customWidth="1"/>
    <col min="11" max="11" width="10.28515625" style="14" bestFit="1" customWidth="1"/>
    <col min="12" max="12" width="10.42578125" style="14" bestFit="1" customWidth="1"/>
    <col min="13" max="14" width="12" style="14" bestFit="1" customWidth="1"/>
    <col min="15" max="15" width="9" style="14" customWidth="1"/>
    <col min="16" max="16" width="12.85546875" style="14" bestFit="1" customWidth="1"/>
    <col min="17" max="18" width="9.42578125" style="14" customWidth="1"/>
    <col min="19" max="19" width="13.7109375" style="14" customWidth="1"/>
    <col min="20" max="20" width="12.140625" style="14" customWidth="1"/>
    <col min="21" max="21" width="21.7109375" style="14" customWidth="1"/>
    <col min="22" max="22" width="9.85546875" style="14" customWidth="1"/>
    <col min="23" max="23" width="10.140625" style="14" bestFit="1" customWidth="1"/>
    <col min="24" max="24" width="10.28515625" style="14" customWidth="1"/>
    <col min="25" max="25" width="28" style="14" customWidth="1"/>
    <col min="26" max="16384" width="9.140625" style="14"/>
  </cols>
  <sheetData>
    <row r="1" spans="1:25" ht="46.15" customHeight="1" x14ac:dyDescent="0.25">
      <c r="A1" s="2240" t="s">
        <v>148</v>
      </c>
      <c r="B1" s="2240"/>
      <c r="C1" s="2240"/>
      <c r="D1" s="2240"/>
      <c r="E1" s="2240"/>
      <c r="F1" s="2240"/>
      <c r="G1" s="2240"/>
      <c r="H1" s="2240"/>
      <c r="I1" s="2240"/>
      <c r="J1" s="2240"/>
      <c r="K1" s="2240"/>
      <c r="L1" s="2240"/>
      <c r="M1" s="2240"/>
      <c r="N1" s="2240"/>
      <c r="O1" s="2240"/>
      <c r="P1" s="2240"/>
      <c r="Q1" s="2240"/>
      <c r="R1" s="2240"/>
      <c r="S1" s="2240"/>
      <c r="T1" s="2240"/>
      <c r="U1" s="2240"/>
      <c r="V1" s="2240"/>
      <c r="W1" s="2240"/>
      <c r="X1" s="2240"/>
      <c r="Y1" s="2240"/>
    </row>
    <row r="2" spans="1:25" ht="21.6" customHeight="1" x14ac:dyDescent="0.25">
      <c r="A2" s="2241" t="s">
        <v>383</v>
      </c>
      <c r="B2" s="2241"/>
      <c r="C2" s="2241"/>
      <c r="D2" s="2241"/>
      <c r="E2" s="2241"/>
      <c r="F2" s="2241"/>
      <c r="G2" s="2241"/>
      <c r="H2" s="2241"/>
      <c r="I2" s="2241"/>
      <c r="J2" s="2241"/>
      <c r="K2" s="2241"/>
      <c r="L2" s="2241"/>
      <c r="M2" s="2241"/>
      <c r="N2" s="2241"/>
      <c r="O2" s="2241"/>
      <c r="P2" s="2241"/>
      <c r="Q2" s="2241"/>
      <c r="R2" s="2241"/>
      <c r="S2" s="2241"/>
      <c r="T2" s="2241"/>
      <c r="U2" s="2241"/>
      <c r="V2" s="2241"/>
      <c r="W2" s="2241"/>
      <c r="X2" s="2241"/>
      <c r="Y2" s="2241"/>
    </row>
    <row r="3" spans="1:25" ht="21" customHeight="1" x14ac:dyDescent="0.25">
      <c r="A3" s="1245"/>
      <c r="B3" s="1245"/>
      <c r="C3" s="1245"/>
      <c r="D3" s="1245"/>
      <c r="E3" s="1245"/>
      <c r="F3" s="1245"/>
      <c r="G3" s="1245"/>
      <c r="H3" s="1245"/>
      <c r="I3" s="1245"/>
      <c r="J3" s="1245"/>
      <c r="K3" s="1245"/>
      <c r="L3" s="1245"/>
      <c r="M3" s="1245"/>
      <c r="N3" s="1245"/>
      <c r="O3" s="1245"/>
      <c r="P3" s="1245"/>
      <c r="Q3" s="1245"/>
      <c r="R3" s="1245"/>
      <c r="S3" s="1245"/>
      <c r="T3" s="2242" t="s">
        <v>468</v>
      </c>
      <c r="U3" s="2242"/>
      <c r="V3" s="2242"/>
      <c r="W3" s="2242"/>
      <c r="X3" s="2242"/>
      <c r="Y3" s="2242"/>
    </row>
    <row r="4" spans="1:25" s="1245" customFormat="1" ht="18" customHeight="1" x14ac:dyDescent="0.25">
      <c r="A4" s="2243" t="s">
        <v>25</v>
      </c>
      <c r="B4" s="2243" t="s">
        <v>26</v>
      </c>
      <c r="C4" s="2244" t="s">
        <v>27</v>
      </c>
      <c r="D4" s="2244"/>
      <c r="E4" s="2244" t="s">
        <v>342</v>
      </c>
      <c r="F4" s="2244"/>
      <c r="G4" s="2244" t="s">
        <v>65</v>
      </c>
      <c r="H4" s="2244"/>
      <c r="I4" s="2244" t="s">
        <v>29</v>
      </c>
      <c r="J4" s="2244"/>
      <c r="K4" s="2245" t="s">
        <v>14</v>
      </c>
      <c r="L4" s="2246"/>
      <c r="M4" s="2245" t="s">
        <v>429</v>
      </c>
      <c r="N4" s="2246"/>
      <c r="O4" s="2245" t="s">
        <v>441</v>
      </c>
      <c r="P4" s="2246"/>
      <c r="Q4" s="2245" t="s">
        <v>114</v>
      </c>
      <c r="R4" s="2246"/>
      <c r="S4" s="2244" t="s">
        <v>35</v>
      </c>
      <c r="T4" s="2244"/>
      <c r="U4" s="2245" t="s">
        <v>17</v>
      </c>
      <c r="V4" s="2246"/>
      <c r="W4" s="2247" t="s">
        <v>36</v>
      </c>
      <c r="X4" s="2248"/>
      <c r="Y4" s="2238" t="s">
        <v>30</v>
      </c>
    </row>
    <row r="5" spans="1:25" s="1245" customFormat="1" ht="25.5" customHeight="1" x14ac:dyDescent="0.25">
      <c r="A5" s="2243"/>
      <c r="B5" s="2243"/>
      <c r="C5" s="1244" t="s">
        <v>42</v>
      </c>
      <c r="D5" s="1244" t="s">
        <v>43</v>
      </c>
      <c r="E5" s="1244" t="s">
        <v>42</v>
      </c>
      <c r="F5" s="1244" t="s">
        <v>43</v>
      </c>
      <c r="G5" s="1244" t="s">
        <v>42</v>
      </c>
      <c r="H5" s="1244" t="s">
        <v>43</v>
      </c>
      <c r="I5" s="1244" t="s">
        <v>42</v>
      </c>
      <c r="J5" s="1244" t="s">
        <v>43</v>
      </c>
      <c r="K5" s="1244" t="s">
        <v>42</v>
      </c>
      <c r="L5" s="1244" t="s">
        <v>43</v>
      </c>
      <c r="M5" s="1244" t="s">
        <v>42</v>
      </c>
      <c r="N5" s="1244" t="s">
        <v>43</v>
      </c>
      <c r="O5" s="1244" t="s">
        <v>42</v>
      </c>
      <c r="P5" s="1244" t="s">
        <v>43</v>
      </c>
      <c r="Q5" s="1244" t="s">
        <v>42</v>
      </c>
      <c r="R5" s="1244" t="s">
        <v>43</v>
      </c>
      <c r="S5" s="33" t="s">
        <v>42</v>
      </c>
      <c r="T5" s="33" t="s">
        <v>43</v>
      </c>
      <c r="U5" s="30" t="s">
        <v>42</v>
      </c>
      <c r="V5" s="30" t="s">
        <v>43</v>
      </c>
      <c r="W5" s="30" t="s">
        <v>42</v>
      </c>
      <c r="X5" s="30" t="s">
        <v>43</v>
      </c>
      <c r="Y5" s="2239"/>
    </row>
    <row r="6" spans="1:25" ht="34.5" customHeight="1" x14ac:dyDescent="0.25">
      <c r="A6" s="12">
        <v>1409935200</v>
      </c>
      <c r="B6" s="1243" t="s">
        <v>71</v>
      </c>
      <c r="C6" s="1241">
        <v>18190</v>
      </c>
      <c r="D6" s="1240">
        <f t="shared" ref="D6:D11" si="0">0.9725*C6</f>
        <v>17689.775000000001</v>
      </c>
      <c r="E6" s="1241"/>
      <c r="F6" s="1240">
        <f>67.1*E6</f>
        <v>0</v>
      </c>
      <c r="G6" s="1241">
        <v>80</v>
      </c>
      <c r="H6" s="1241">
        <f>28.2*G6</f>
        <v>2256</v>
      </c>
      <c r="I6" s="1241">
        <v>200</v>
      </c>
      <c r="J6" s="1241">
        <f>18.5*I6</f>
        <v>3700</v>
      </c>
      <c r="K6" s="1241"/>
      <c r="L6" s="1240">
        <f>28.2368*K6</f>
        <v>0</v>
      </c>
      <c r="M6" s="1241"/>
      <c r="N6" s="1240">
        <f>M6*47.6525</f>
        <v>0</v>
      </c>
      <c r="O6" s="1241"/>
      <c r="P6" s="1240">
        <f>O6*8.9</f>
        <v>0</v>
      </c>
      <c r="Q6" s="1240"/>
      <c r="R6" s="1240">
        <f>241*Q6</f>
        <v>0</v>
      </c>
      <c r="S6" s="1241"/>
      <c r="T6" s="1241">
        <f>241*S6</f>
        <v>0</v>
      </c>
      <c r="U6" s="1241"/>
      <c r="V6" s="1241">
        <f>332*U6</f>
        <v>0</v>
      </c>
      <c r="W6" s="1241"/>
      <c r="X6" s="19">
        <f>W6*100</f>
        <v>0</v>
      </c>
      <c r="Y6" s="20">
        <f t="shared" ref="Y6:Y12" si="1">D6+F6+H6+J6+L6+N6+P6+R6+T6+V6+X6</f>
        <v>23645.775000000001</v>
      </c>
    </row>
    <row r="7" spans="1:25" ht="31.5" customHeight="1" x14ac:dyDescent="0.25">
      <c r="A7" s="12">
        <v>1984225578</v>
      </c>
      <c r="B7" s="1243" t="s">
        <v>72</v>
      </c>
      <c r="C7" s="1241">
        <v>19109</v>
      </c>
      <c r="D7" s="1240">
        <f t="shared" si="0"/>
        <v>18583.502500000002</v>
      </c>
      <c r="E7" s="1241"/>
      <c r="F7" s="1241">
        <f t="shared" ref="F7:F11" si="2">67.1*E7</f>
        <v>0</v>
      </c>
      <c r="G7" s="1241"/>
      <c r="H7" s="1241">
        <f t="shared" ref="H7:H11" si="3">28.2*G7</f>
        <v>0</v>
      </c>
      <c r="I7" s="1241">
        <v>560</v>
      </c>
      <c r="J7" s="1241">
        <f t="shared" ref="J7:J11" si="4">18.5*I7</f>
        <v>10360</v>
      </c>
      <c r="K7" s="1241"/>
      <c r="L7" s="1240">
        <f t="shared" ref="L7:L11" si="5">28.2368*K7</f>
        <v>0</v>
      </c>
      <c r="M7" s="1241"/>
      <c r="N7" s="1240">
        <f t="shared" ref="N7:N11" si="6">M7*47.6525</f>
        <v>0</v>
      </c>
      <c r="O7" s="1241"/>
      <c r="P7" s="1240">
        <f t="shared" ref="P7:P11" si="7">O7*8.9</f>
        <v>0</v>
      </c>
      <c r="Q7" s="1240"/>
      <c r="R7" s="1240">
        <f t="shared" ref="R7:R11" si="8">241*Q7</f>
        <v>0</v>
      </c>
      <c r="S7" s="1241"/>
      <c r="T7" s="1241">
        <f t="shared" ref="T7:T10" si="9">241*S7</f>
        <v>0</v>
      </c>
      <c r="U7" s="1241"/>
      <c r="V7" s="1241">
        <f t="shared" ref="V7:V11" si="10">332*U7</f>
        <v>0</v>
      </c>
      <c r="W7" s="1241"/>
      <c r="X7" s="19">
        <f t="shared" ref="X7:X11" si="11">W7*100</f>
        <v>0</v>
      </c>
      <c r="Y7" s="20">
        <f t="shared" si="1"/>
        <v>28943.502500000002</v>
      </c>
    </row>
    <row r="8" spans="1:25" ht="35.25" customHeight="1" x14ac:dyDescent="0.25">
      <c r="A8" s="12">
        <v>1967020280</v>
      </c>
      <c r="B8" s="1243" t="s">
        <v>427</v>
      </c>
      <c r="C8" s="1241">
        <v>24253</v>
      </c>
      <c r="D8" s="1240">
        <f t="shared" si="0"/>
        <v>23586.0425</v>
      </c>
      <c r="E8" s="1241"/>
      <c r="F8" s="1241">
        <f t="shared" si="2"/>
        <v>0</v>
      </c>
      <c r="G8" s="1241">
        <v>40</v>
      </c>
      <c r="H8" s="1240">
        <f t="shared" si="3"/>
        <v>1128</v>
      </c>
      <c r="I8" s="1241">
        <v>260</v>
      </c>
      <c r="J8" s="1241">
        <f t="shared" si="4"/>
        <v>4810</v>
      </c>
      <c r="K8" s="1241"/>
      <c r="L8" s="1240">
        <f t="shared" si="5"/>
        <v>0</v>
      </c>
      <c r="M8" s="1241"/>
      <c r="N8" s="1240">
        <f t="shared" si="6"/>
        <v>0</v>
      </c>
      <c r="O8" s="1241"/>
      <c r="P8" s="1240">
        <f t="shared" si="7"/>
        <v>0</v>
      </c>
      <c r="Q8" s="1240"/>
      <c r="R8" s="1240">
        <f t="shared" si="8"/>
        <v>0</v>
      </c>
      <c r="S8" s="1241"/>
      <c r="T8" s="1241">
        <f t="shared" si="9"/>
        <v>0</v>
      </c>
      <c r="U8" s="1241"/>
      <c r="V8" s="1241">
        <f t="shared" si="10"/>
        <v>0</v>
      </c>
      <c r="W8" s="1241"/>
      <c r="X8" s="19">
        <f t="shared" si="11"/>
        <v>0</v>
      </c>
      <c r="Y8" s="20">
        <f t="shared" si="1"/>
        <v>29524.0425</v>
      </c>
    </row>
    <row r="9" spans="1:25" ht="38.25" customHeight="1" x14ac:dyDescent="0.25">
      <c r="A9" s="12">
        <v>1984225580</v>
      </c>
      <c r="B9" s="1243" t="s">
        <v>75</v>
      </c>
      <c r="C9" s="1241">
        <v>13145</v>
      </c>
      <c r="D9" s="1240">
        <f t="shared" si="0"/>
        <v>12783.512500000001</v>
      </c>
      <c r="E9" s="1241"/>
      <c r="F9" s="1241">
        <f t="shared" si="2"/>
        <v>0</v>
      </c>
      <c r="G9" s="1241"/>
      <c r="H9" s="1241">
        <f t="shared" si="3"/>
        <v>0</v>
      </c>
      <c r="I9" s="1241">
        <v>120</v>
      </c>
      <c r="J9" s="1241">
        <f t="shared" si="4"/>
        <v>2220</v>
      </c>
      <c r="K9" s="1241"/>
      <c r="L9" s="1240">
        <f t="shared" si="5"/>
        <v>0</v>
      </c>
      <c r="M9" s="1241"/>
      <c r="N9" s="1240">
        <f t="shared" si="6"/>
        <v>0</v>
      </c>
      <c r="O9" s="1241"/>
      <c r="P9" s="1240">
        <f t="shared" si="7"/>
        <v>0</v>
      </c>
      <c r="Q9" s="1240"/>
      <c r="R9" s="1240">
        <f t="shared" si="8"/>
        <v>0</v>
      </c>
      <c r="S9" s="1241"/>
      <c r="T9" s="1241">
        <f t="shared" si="9"/>
        <v>0</v>
      </c>
      <c r="U9" s="1241"/>
      <c r="V9" s="1241">
        <f t="shared" si="10"/>
        <v>0</v>
      </c>
      <c r="W9" s="1241"/>
      <c r="X9" s="19">
        <f t="shared" si="11"/>
        <v>0</v>
      </c>
      <c r="Y9" s="20">
        <f t="shared" si="1"/>
        <v>15003.512500000001</v>
      </c>
    </row>
    <row r="10" spans="1:25" ht="35.25" customHeight="1" x14ac:dyDescent="0.25">
      <c r="A10" s="12">
        <v>1409935199</v>
      </c>
      <c r="C10" s="1241">
        <v>10280</v>
      </c>
      <c r="D10" s="1240">
        <f t="shared" si="0"/>
        <v>9997.3000000000011</v>
      </c>
      <c r="E10" s="1241"/>
      <c r="F10" s="1241">
        <f t="shared" si="2"/>
        <v>0</v>
      </c>
      <c r="G10" s="1241"/>
      <c r="H10" s="1241">
        <f t="shared" si="3"/>
        <v>0</v>
      </c>
      <c r="I10" s="1241"/>
      <c r="J10" s="1241">
        <f t="shared" si="4"/>
        <v>0</v>
      </c>
      <c r="K10" s="1241"/>
      <c r="L10" s="1240">
        <f t="shared" si="5"/>
        <v>0</v>
      </c>
      <c r="M10" s="1241"/>
      <c r="N10" s="1240">
        <f t="shared" si="6"/>
        <v>0</v>
      </c>
      <c r="O10" s="1241"/>
      <c r="P10" s="1240">
        <f t="shared" si="7"/>
        <v>0</v>
      </c>
      <c r="Q10" s="1240"/>
      <c r="R10" s="1240">
        <f t="shared" si="8"/>
        <v>0</v>
      </c>
      <c r="S10" s="1241"/>
      <c r="T10" s="1241">
        <f t="shared" si="9"/>
        <v>0</v>
      </c>
      <c r="U10" s="1241"/>
      <c r="V10" s="1241">
        <f t="shared" si="10"/>
        <v>0</v>
      </c>
      <c r="W10" s="1241"/>
      <c r="X10" s="19">
        <f t="shared" si="11"/>
        <v>0</v>
      </c>
      <c r="Y10" s="20">
        <f t="shared" si="1"/>
        <v>9997.3000000000011</v>
      </c>
    </row>
    <row r="11" spans="1:25" ht="37.5" customHeight="1" x14ac:dyDescent="0.25">
      <c r="A11" s="12"/>
      <c r="B11" s="1242"/>
      <c r="C11" s="1241"/>
      <c r="D11" s="1240">
        <f t="shared" si="0"/>
        <v>0</v>
      </c>
      <c r="E11" s="1241"/>
      <c r="F11" s="1241">
        <f t="shared" si="2"/>
        <v>0</v>
      </c>
      <c r="G11" s="1241"/>
      <c r="H11" s="1241">
        <f t="shared" si="3"/>
        <v>0</v>
      </c>
      <c r="I11" s="1241"/>
      <c r="J11" s="1241">
        <f t="shared" si="4"/>
        <v>0</v>
      </c>
      <c r="K11" s="1241"/>
      <c r="L11" s="1240">
        <f t="shared" si="5"/>
        <v>0</v>
      </c>
      <c r="M11" s="1241"/>
      <c r="N11" s="1240">
        <f t="shared" si="6"/>
        <v>0</v>
      </c>
      <c r="O11" s="1241"/>
      <c r="P11" s="1240">
        <f t="shared" si="7"/>
        <v>0</v>
      </c>
      <c r="Q11" s="1240"/>
      <c r="R11" s="1240">
        <f t="shared" si="8"/>
        <v>0</v>
      </c>
      <c r="S11" s="1241"/>
      <c r="T11" s="1241">
        <f>341*S11</f>
        <v>0</v>
      </c>
      <c r="U11" s="1241"/>
      <c r="V11" s="1241">
        <f t="shared" si="10"/>
        <v>0</v>
      </c>
      <c r="W11" s="1241"/>
      <c r="X11" s="19">
        <f t="shared" si="11"/>
        <v>0</v>
      </c>
      <c r="Y11" s="20">
        <f t="shared" si="1"/>
        <v>0</v>
      </c>
    </row>
    <row r="12" spans="1:25" ht="29.25" customHeight="1" x14ac:dyDescent="0.25">
      <c r="A12" s="2235" t="s">
        <v>31</v>
      </c>
      <c r="B12" s="2235"/>
      <c r="C12" s="18">
        <f t="shared" ref="C12:X12" si="12">SUM(C6:C11)</f>
        <v>84977</v>
      </c>
      <c r="D12" s="18">
        <f t="shared" si="12"/>
        <v>82640.132500000007</v>
      </c>
      <c r="E12" s="18">
        <f t="shared" si="12"/>
        <v>0</v>
      </c>
      <c r="F12" s="18">
        <f t="shared" si="12"/>
        <v>0</v>
      </c>
      <c r="G12" s="18">
        <f t="shared" si="12"/>
        <v>120</v>
      </c>
      <c r="H12" s="18">
        <f t="shared" si="12"/>
        <v>3384</v>
      </c>
      <c r="I12" s="18">
        <f t="shared" si="12"/>
        <v>1140</v>
      </c>
      <c r="J12" s="18">
        <f t="shared" si="12"/>
        <v>21090</v>
      </c>
      <c r="K12" s="18">
        <f t="shared" si="12"/>
        <v>0</v>
      </c>
      <c r="L12" s="18">
        <f t="shared" si="12"/>
        <v>0</v>
      </c>
      <c r="M12" s="18">
        <f t="shared" si="12"/>
        <v>0</v>
      </c>
      <c r="N12" s="23">
        <f t="shared" si="12"/>
        <v>0</v>
      </c>
      <c r="O12" s="18">
        <f t="shared" si="12"/>
        <v>0</v>
      </c>
      <c r="P12" s="23">
        <f t="shared" si="12"/>
        <v>0</v>
      </c>
      <c r="Q12" s="23">
        <f t="shared" si="12"/>
        <v>0</v>
      </c>
      <c r="R12" s="23">
        <f>SUM(R6:R11)</f>
        <v>0</v>
      </c>
      <c r="S12" s="23">
        <f>SUM(S6:S11)</f>
        <v>0</v>
      </c>
      <c r="T12" s="18">
        <f t="shared" si="12"/>
        <v>0</v>
      </c>
      <c r="U12" s="18">
        <f t="shared" si="12"/>
        <v>0</v>
      </c>
      <c r="V12" s="18">
        <f t="shared" si="12"/>
        <v>0</v>
      </c>
      <c r="W12" s="18">
        <f t="shared" si="12"/>
        <v>0</v>
      </c>
      <c r="X12" s="18">
        <f t="shared" si="12"/>
        <v>0</v>
      </c>
      <c r="Y12" s="20">
        <f t="shared" si="1"/>
        <v>107114.13250000001</v>
      </c>
    </row>
    <row r="14" spans="1:25" ht="43.5" customHeight="1" x14ac:dyDescent="0.25">
      <c r="A14" s="30" t="s">
        <v>32</v>
      </c>
      <c r="B14" s="2236" t="s">
        <v>27</v>
      </c>
      <c r="C14" s="2236"/>
      <c r="D14" s="30" t="s">
        <v>333</v>
      </c>
      <c r="E14" s="30" t="s">
        <v>65</v>
      </c>
      <c r="F14" s="30" t="s">
        <v>34</v>
      </c>
      <c r="G14" s="30" t="s">
        <v>14</v>
      </c>
      <c r="H14" s="469" t="s">
        <v>173</v>
      </c>
      <c r="I14" s="30" t="s">
        <v>17</v>
      </c>
      <c r="J14" s="1249" t="s">
        <v>174</v>
      </c>
      <c r="K14" s="30" t="s">
        <v>36</v>
      </c>
      <c r="L14" s="1249" t="s">
        <v>403</v>
      </c>
      <c r="M14" s="30" t="s">
        <v>429</v>
      </c>
      <c r="N14" s="30" t="s">
        <v>442</v>
      </c>
      <c r="O14" s="1249" t="s">
        <v>114</v>
      </c>
      <c r="P14" s="30" t="s">
        <v>70</v>
      </c>
      <c r="Q14" s="2300" t="s">
        <v>378</v>
      </c>
      <c r="R14" s="2301"/>
      <c r="S14" s="1249" t="s">
        <v>401</v>
      </c>
      <c r="T14" s="2235" t="s">
        <v>46</v>
      </c>
      <c r="U14" s="1243" t="s">
        <v>176</v>
      </c>
      <c r="V14" s="2260">
        <v>33794</v>
      </c>
      <c r="W14" s="2268"/>
      <c r="X14" s="2261"/>
    </row>
    <row r="15" spans="1:25" ht="22.5" customHeight="1" x14ac:dyDescent="0.25">
      <c r="A15" s="100" t="s">
        <v>38</v>
      </c>
      <c r="B15" s="2260">
        <v>338933</v>
      </c>
      <c r="C15" s="2261"/>
      <c r="D15" s="1246">
        <v>180</v>
      </c>
      <c r="E15" s="1246">
        <v>560</v>
      </c>
      <c r="F15" s="1246">
        <v>17490</v>
      </c>
      <c r="G15" s="1246">
        <v>0</v>
      </c>
      <c r="H15" s="1246">
        <v>161</v>
      </c>
      <c r="I15" s="1246">
        <v>15</v>
      </c>
      <c r="J15" s="1246">
        <v>4</v>
      </c>
      <c r="K15" s="1246">
        <v>79</v>
      </c>
      <c r="L15" s="1246">
        <v>0</v>
      </c>
      <c r="M15" s="1246">
        <v>0</v>
      </c>
      <c r="N15" s="1246">
        <v>280</v>
      </c>
      <c r="O15" s="1246">
        <v>0</v>
      </c>
      <c r="P15" s="1246">
        <v>100</v>
      </c>
      <c r="Q15" s="2260">
        <v>0</v>
      </c>
      <c r="R15" s="2261"/>
      <c r="S15" s="1243">
        <v>6</v>
      </c>
      <c r="T15" s="2235"/>
      <c r="U15" s="1243" t="s">
        <v>64</v>
      </c>
      <c r="V15" s="2262">
        <v>10249</v>
      </c>
      <c r="W15" s="2262"/>
      <c r="X15" s="2262"/>
    </row>
    <row r="16" spans="1:25" ht="24.75" customHeight="1" x14ac:dyDescent="0.25">
      <c r="A16" s="100" t="s">
        <v>39</v>
      </c>
      <c r="B16" s="2260">
        <v>233766</v>
      </c>
      <c r="C16" s="2261"/>
      <c r="D16" s="1246"/>
      <c r="E16" s="1246">
        <v>500</v>
      </c>
      <c r="F16" s="1246">
        <v>500</v>
      </c>
      <c r="G16" s="1246"/>
      <c r="H16" s="1246"/>
      <c r="I16" s="1246"/>
      <c r="J16" s="1246"/>
      <c r="K16" s="1246"/>
      <c r="L16" s="1246"/>
      <c r="M16" s="1246"/>
      <c r="N16" s="1246"/>
      <c r="O16" s="1246"/>
      <c r="P16" s="1246"/>
      <c r="Q16" s="2225"/>
      <c r="R16" s="2225"/>
      <c r="S16" s="1246"/>
      <c r="T16" s="2254" t="s">
        <v>55</v>
      </c>
      <c r="U16" s="2254"/>
      <c r="V16" s="2267">
        <f>Y12</f>
        <v>107114.13250000001</v>
      </c>
      <c r="W16" s="2267"/>
      <c r="X16" s="2262"/>
    </row>
    <row r="17" spans="1:25" ht="28.5" customHeight="1" x14ac:dyDescent="0.25">
      <c r="A17" s="101" t="s">
        <v>44</v>
      </c>
      <c r="B17" s="2260"/>
      <c r="C17" s="2261"/>
      <c r="D17" s="1246"/>
      <c r="E17" s="1246"/>
      <c r="F17" s="1246"/>
      <c r="G17" s="1246"/>
      <c r="H17" s="1246"/>
      <c r="I17" s="1246"/>
      <c r="J17" s="1246"/>
      <c r="K17" s="1246"/>
      <c r="L17" s="1246"/>
      <c r="M17" s="1246"/>
      <c r="N17" s="1246"/>
      <c r="O17" s="1246"/>
      <c r="P17" s="1246"/>
      <c r="Q17" s="2225"/>
      <c r="R17" s="2225"/>
      <c r="S17" s="1242"/>
      <c r="T17" s="2294" t="s">
        <v>463</v>
      </c>
      <c r="U17" s="2295"/>
      <c r="V17" s="2296"/>
      <c r="W17" s="2296"/>
      <c r="X17" s="2296"/>
    </row>
    <row r="18" spans="1:25" ht="27" customHeight="1" x14ac:dyDescent="0.25">
      <c r="A18" s="100" t="s">
        <v>40</v>
      </c>
      <c r="B18" s="2264">
        <f>C12</f>
        <v>84977</v>
      </c>
      <c r="C18" s="2261"/>
      <c r="D18" s="1248">
        <f>E12</f>
        <v>0</v>
      </c>
      <c r="E18" s="1248">
        <f>G12</f>
        <v>120</v>
      </c>
      <c r="F18" s="1248">
        <f>I12</f>
        <v>1140</v>
      </c>
      <c r="G18" s="1248">
        <f>K12</f>
        <v>0</v>
      </c>
      <c r="H18" s="1246"/>
      <c r="I18" s="1248">
        <f>U12</f>
        <v>0</v>
      </c>
      <c r="J18" s="1246"/>
      <c r="K18" s="1248">
        <f>W12</f>
        <v>0</v>
      </c>
      <c r="L18" s="1246"/>
      <c r="M18" s="1248">
        <f>M12</f>
        <v>0</v>
      </c>
      <c r="N18" s="1248">
        <f>O12</f>
        <v>0</v>
      </c>
      <c r="O18" s="1247">
        <f>Q12</f>
        <v>0</v>
      </c>
      <c r="P18" s="1248"/>
      <c r="Q18" s="2262"/>
      <c r="R18" s="2262"/>
      <c r="S18" s="1243"/>
      <c r="T18" s="2254" t="s">
        <v>57</v>
      </c>
      <c r="U18" s="2254"/>
      <c r="V18" s="2262">
        <v>520</v>
      </c>
      <c r="W18" s="2262"/>
      <c r="X18" s="2262"/>
      <c r="Y18" s="2269"/>
    </row>
    <row r="19" spans="1:25" ht="25.5" customHeight="1" x14ac:dyDescent="0.25">
      <c r="A19" s="100" t="s">
        <v>41</v>
      </c>
      <c r="B19" s="2260">
        <f>B15+B16+B17-B18</f>
        <v>487722</v>
      </c>
      <c r="C19" s="2261"/>
      <c r="D19" s="1246">
        <f>D15+D16+D17-D18</f>
        <v>180</v>
      </c>
      <c r="E19" s="1246">
        <f t="shared" ref="E19:N19" si="13">E15+E16+E17-E18</f>
        <v>940</v>
      </c>
      <c r="F19" s="1246">
        <f t="shared" si="13"/>
        <v>16850</v>
      </c>
      <c r="G19" s="1246">
        <f t="shared" si="13"/>
        <v>0</v>
      </c>
      <c r="H19" s="1246">
        <f t="shared" si="13"/>
        <v>161</v>
      </c>
      <c r="I19" s="1246">
        <f t="shared" si="13"/>
        <v>15</v>
      </c>
      <c r="J19" s="1246">
        <f t="shared" si="13"/>
        <v>4</v>
      </c>
      <c r="K19" s="1246">
        <f t="shared" si="13"/>
        <v>79</v>
      </c>
      <c r="L19" s="1246">
        <f t="shared" si="13"/>
        <v>0</v>
      </c>
      <c r="M19" s="1246">
        <f t="shared" si="13"/>
        <v>0</v>
      </c>
      <c r="N19" s="1246">
        <f t="shared" si="13"/>
        <v>280</v>
      </c>
      <c r="O19" s="1246">
        <f>O15+O16+O17-O18</f>
        <v>0</v>
      </c>
      <c r="P19" s="1246">
        <f t="shared" ref="P19:Q19" si="14">P15+P16+P17-P18</f>
        <v>100</v>
      </c>
      <c r="Q19" s="2260">
        <f t="shared" si="14"/>
        <v>0</v>
      </c>
      <c r="R19" s="2261"/>
      <c r="S19" s="1243">
        <f>S15+S16-S17-S18</f>
        <v>6</v>
      </c>
      <c r="T19" s="2256" t="s">
        <v>48</v>
      </c>
      <c r="U19" s="49" t="s">
        <v>58</v>
      </c>
      <c r="V19" s="2262">
        <v>118000</v>
      </c>
      <c r="W19" s="2262"/>
      <c r="X19" s="2262"/>
      <c r="Y19" s="2269"/>
    </row>
    <row r="20" spans="1:25" ht="23.25" customHeight="1" x14ac:dyDescent="0.25">
      <c r="A20" s="289" t="s">
        <v>187</v>
      </c>
      <c r="B20" s="2286">
        <f>B19*0.9625</f>
        <v>469432.42499999999</v>
      </c>
      <c r="C20" s="2287"/>
      <c r="D20" s="290">
        <f>D19*66.41</f>
        <v>11953.8</v>
      </c>
      <c r="E20" s="290">
        <f>27.9368*E19</f>
        <v>26260.592000000001</v>
      </c>
      <c r="F20" s="290">
        <f>18.31*F19</f>
        <v>308523.5</v>
      </c>
      <c r="G20" s="290">
        <f>27.9368*G19</f>
        <v>0</v>
      </c>
      <c r="H20" s="290">
        <f>241*H19</f>
        <v>38801</v>
      </c>
      <c r="I20" s="290">
        <f>323*I19</f>
        <v>4845</v>
      </c>
      <c r="J20" s="290">
        <f>241*J19</f>
        <v>964</v>
      </c>
      <c r="K20" s="290">
        <f>K19*100</f>
        <v>7900</v>
      </c>
      <c r="L20" s="290">
        <f>241*L19</f>
        <v>0</v>
      </c>
      <c r="M20" s="290">
        <f>47.1625*M19</f>
        <v>0</v>
      </c>
      <c r="N20" s="290">
        <f>N19*8.81</f>
        <v>2466.8000000000002</v>
      </c>
      <c r="O20" s="290">
        <f>241*O19</f>
        <v>0</v>
      </c>
      <c r="P20" s="290">
        <f>P19*48.2</f>
        <v>4820</v>
      </c>
      <c r="Q20" s="2286">
        <f>341*Q19</f>
        <v>0</v>
      </c>
      <c r="R20" s="2287"/>
      <c r="S20" s="290">
        <f>341*S19</f>
        <v>2046</v>
      </c>
      <c r="T20" s="2257"/>
      <c r="U20" s="49" t="s">
        <v>59</v>
      </c>
      <c r="V20" s="2262"/>
      <c r="W20" s="2262"/>
      <c r="X20" s="2262"/>
      <c r="Y20" s="2269"/>
    </row>
    <row r="21" spans="1:25" ht="32.25" customHeight="1" x14ac:dyDescent="0.25">
      <c r="A21" s="291" t="s">
        <v>186</v>
      </c>
      <c r="B21" s="2293">
        <f>SUM(B20:S20)</f>
        <v>878013.11700000009</v>
      </c>
      <c r="C21" s="2293"/>
      <c r="O21" s="1250"/>
      <c r="P21" s="1250"/>
      <c r="Q21" s="1250"/>
      <c r="R21" s="1250"/>
      <c r="T21" s="2294" t="s">
        <v>464</v>
      </c>
      <c r="U21" s="2295"/>
      <c r="V21" s="2297"/>
      <c r="W21" s="2298"/>
      <c r="X21" s="2299"/>
      <c r="Y21" s="2269"/>
    </row>
    <row r="22" spans="1:25" ht="35.25" customHeight="1" x14ac:dyDescent="0.25">
      <c r="A22" s="15"/>
      <c r="B22" s="2288" t="s">
        <v>49</v>
      </c>
      <c r="C22" s="2291">
        <v>118000</v>
      </c>
      <c r="D22" s="2291">
        <v>118000</v>
      </c>
      <c r="E22" s="2291">
        <v>248110</v>
      </c>
      <c r="F22" s="2291">
        <f>C22-D22+E22</f>
        <v>248110</v>
      </c>
      <c r="G22" s="1250"/>
      <c r="Q22" s="1250"/>
      <c r="R22" s="1250"/>
      <c r="T22" s="2251" t="s">
        <v>83</v>
      </c>
      <c r="U22" s="50" t="s">
        <v>60</v>
      </c>
      <c r="V22" s="2262">
        <v>119550</v>
      </c>
      <c r="W22" s="2262"/>
      <c r="X22" s="2262"/>
      <c r="Y22" s="2269"/>
    </row>
    <row r="23" spans="1:25" ht="39.75" customHeight="1" x14ac:dyDescent="0.25">
      <c r="A23" s="1250"/>
      <c r="B23" s="2289"/>
      <c r="C23" s="2292"/>
      <c r="D23" s="2292"/>
      <c r="E23" s="2292"/>
      <c r="F23" s="2292"/>
      <c r="G23" s="1250"/>
      <c r="Q23" s="1250"/>
      <c r="R23" s="1250"/>
      <c r="T23" s="2252"/>
      <c r="U23" s="50" t="s">
        <v>61</v>
      </c>
      <c r="V23" s="2262">
        <v>118000</v>
      </c>
      <c r="W23" s="2262"/>
      <c r="X23" s="2262"/>
      <c r="Y23" s="2269"/>
    </row>
    <row r="24" spans="1:25" ht="48" customHeight="1" x14ac:dyDescent="0.25">
      <c r="A24" s="1250"/>
      <c r="B24" s="2290"/>
      <c r="C24" s="290" t="s">
        <v>46</v>
      </c>
      <c r="D24" s="290" t="s">
        <v>50</v>
      </c>
      <c r="E24" s="290" t="s">
        <v>51</v>
      </c>
      <c r="F24" s="290" t="s">
        <v>52</v>
      </c>
      <c r="G24" s="1250"/>
      <c r="Q24" s="1250"/>
      <c r="R24" s="1250"/>
      <c r="T24" s="2235" t="s">
        <v>47</v>
      </c>
      <c r="U24" s="51" t="s">
        <v>62</v>
      </c>
      <c r="V24" s="2263">
        <f>V14+V16+V17-V18-V19-V20-V22+V23-V21</f>
        <v>20838.132500000007</v>
      </c>
      <c r="W24" s="2263"/>
      <c r="X24" s="2263"/>
      <c r="Y24" s="2269"/>
    </row>
    <row r="25" spans="1:25" ht="40.5" customHeight="1" x14ac:dyDescent="0.25">
      <c r="T25" s="2235"/>
      <c r="U25" s="51" t="s">
        <v>63</v>
      </c>
      <c r="V25" s="2262">
        <f>V15+V22-V23</f>
        <v>11799</v>
      </c>
      <c r="W25" s="2262"/>
      <c r="X25" s="2262"/>
    </row>
    <row r="26" spans="1:25" ht="36" customHeight="1" x14ac:dyDescent="0.25">
      <c r="K26" s="314"/>
    </row>
    <row r="28" spans="1:25" x14ac:dyDescent="0.25">
      <c r="J28" s="14" t="s">
        <v>139</v>
      </c>
    </row>
    <row r="32" spans="1:25" x14ac:dyDescent="0.25">
      <c r="I32" s="2280"/>
      <c r="J32" s="2280"/>
      <c r="K32" s="2280"/>
      <c r="L32" s="2280"/>
    </row>
    <row r="33" spans="9:12" x14ac:dyDescent="0.25">
      <c r="I33" s="1250"/>
      <c r="J33" s="1250"/>
      <c r="K33" s="2280"/>
      <c r="L33" s="2280"/>
    </row>
  </sheetData>
  <mergeCells count="62">
    <mergeCell ref="A1:Y1"/>
    <mergeCell ref="A2:Y2"/>
    <mergeCell ref="T3:Y3"/>
    <mergeCell ref="A4:A5"/>
    <mergeCell ref="B4:B5"/>
    <mergeCell ref="C4:D4"/>
    <mergeCell ref="E4:F4"/>
    <mergeCell ref="G4:H4"/>
    <mergeCell ref="I4:J4"/>
    <mergeCell ref="K4:L4"/>
    <mergeCell ref="Y4:Y5"/>
    <mergeCell ref="M4:N4"/>
    <mergeCell ref="O4:P4"/>
    <mergeCell ref="Q4:R4"/>
    <mergeCell ref="S4:T4"/>
    <mergeCell ref="U4:V4"/>
    <mergeCell ref="W4:X4"/>
    <mergeCell ref="B16:C16"/>
    <mergeCell ref="Q16:R16"/>
    <mergeCell ref="T16:U16"/>
    <mergeCell ref="V16:X16"/>
    <mergeCell ref="A12:B12"/>
    <mergeCell ref="B14:C14"/>
    <mergeCell ref="Q14:R14"/>
    <mergeCell ref="T14:T15"/>
    <mergeCell ref="V14:X14"/>
    <mergeCell ref="B15:C15"/>
    <mergeCell ref="Q15:R15"/>
    <mergeCell ref="V15:X15"/>
    <mergeCell ref="B17:C17"/>
    <mergeCell ref="Q17:R17"/>
    <mergeCell ref="T17:U17"/>
    <mergeCell ref="V17:X17"/>
    <mergeCell ref="B18:C18"/>
    <mergeCell ref="Q18:R18"/>
    <mergeCell ref="T18:U18"/>
    <mergeCell ref="V18:X18"/>
    <mergeCell ref="Y18:Y24"/>
    <mergeCell ref="B19:C19"/>
    <mergeCell ref="Q19:R19"/>
    <mergeCell ref="T19:T20"/>
    <mergeCell ref="V19:X19"/>
    <mergeCell ref="B20:C20"/>
    <mergeCell ref="B22:B24"/>
    <mergeCell ref="C22:C23"/>
    <mergeCell ref="D22:D23"/>
    <mergeCell ref="E22:E23"/>
    <mergeCell ref="F22:F23"/>
    <mergeCell ref="Q20:R20"/>
    <mergeCell ref="V20:X20"/>
    <mergeCell ref="B21:C21"/>
    <mergeCell ref="T21:U21"/>
    <mergeCell ref="V21:X21"/>
    <mergeCell ref="I32:J32"/>
    <mergeCell ref="K32:L32"/>
    <mergeCell ref="K33:L33"/>
    <mergeCell ref="T22:T23"/>
    <mergeCell ref="V22:X22"/>
    <mergeCell ref="V23:X23"/>
    <mergeCell ref="T24:T25"/>
    <mergeCell ref="V24:X24"/>
    <mergeCell ref="V25:X25"/>
  </mergeCells>
  <pageMargins left="0.15748031496063" right="0.15748031496063" top="0" bottom="0" header="0" footer="0"/>
  <pageSetup paperSize="9" scale="45" orientation="landscape" r:id="rId1"/>
</worksheet>
</file>

<file path=xl/worksheets/sheet2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D4749EE-DBAF-4A6A-8464-8497E9F30A10}">
  <sheetPr>
    <pageSetUpPr fitToPage="1"/>
  </sheetPr>
  <dimension ref="A1:Y33"/>
  <sheetViews>
    <sheetView topLeftCell="E15" zoomScale="70" zoomScaleNormal="70" zoomScaleSheetLayoutView="100" zoomScalePageLayoutView="68" workbookViewId="0">
      <selection activeCell="K30" sqref="K30"/>
    </sheetView>
  </sheetViews>
  <sheetFormatPr defaultColWidth="9.140625" defaultRowHeight="15" x14ac:dyDescent="0.25"/>
  <cols>
    <col min="1" max="1" width="18.28515625" style="14" customWidth="1"/>
    <col min="2" max="2" width="10.7109375" style="14" customWidth="1"/>
    <col min="3" max="3" width="12.28515625" style="14" customWidth="1"/>
    <col min="4" max="4" width="13.140625" style="14" bestFit="1" customWidth="1"/>
    <col min="5" max="5" width="12" style="14" customWidth="1"/>
    <col min="6" max="6" width="12.5703125" style="14" bestFit="1" customWidth="1"/>
    <col min="7" max="7" width="16" style="14" bestFit="1" customWidth="1"/>
    <col min="8" max="8" width="10.140625" style="14" bestFit="1" customWidth="1"/>
    <col min="9" max="9" width="10.5703125" style="14" bestFit="1" customWidth="1"/>
    <col min="10" max="10" width="10.5703125" style="14" customWidth="1"/>
    <col min="11" max="11" width="10.28515625" style="14" bestFit="1" customWidth="1"/>
    <col min="12" max="12" width="10.42578125" style="14" bestFit="1" customWidth="1"/>
    <col min="13" max="14" width="12" style="14" bestFit="1" customWidth="1"/>
    <col min="15" max="15" width="9" style="14" customWidth="1"/>
    <col min="16" max="16" width="12.85546875" style="14" bestFit="1" customWidth="1"/>
    <col min="17" max="18" width="9.42578125" style="14" customWidth="1"/>
    <col min="19" max="19" width="13.7109375" style="14" customWidth="1"/>
    <col min="20" max="20" width="12.140625" style="14" customWidth="1"/>
    <col min="21" max="21" width="21.7109375" style="14" customWidth="1"/>
    <col min="22" max="22" width="9.85546875" style="14" customWidth="1"/>
    <col min="23" max="23" width="10.140625" style="14" bestFit="1" customWidth="1"/>
    <col min="24" max="24" width="10.28515625" style="14" customWidth="1"/>
    <col min="25" max="25" width="28" style="14" customWidth="1"/>
    <col min="26" max="16384" width="9.140625" style="14"/>
  </cols>
  <sheetData>
    <row r="1" spans="1:25" ht="46.15" customHeight="1" x14ac:dyDescent="0.25">
      <c r="A1" s="2240" t="s">
        <v>148</v>
      </c>
      <c r="B1" s="2240"/>
      <c r="C1" s="2240"/>
      <c r="D1" s="2240"/>
      <c r="E1" s="2240"/>
      <c r="F1" s="2240"/>
      <c r="G1" s="2240"/>
      <c r="H1" s="2240"/>
      <c r="I1" s="2240"/>
      <c r="J1" s="2240"/>
      <c r="K1" s="2240"/>
      <c r="L1" s="2240"/>
      <c r="M1" s="2240"/>
      <c r="N1" s="2240"/>
      <c r="O1" s="2240"/>
      <c r="P1" s="2240"/>
      <c r="Q1" s="2240"/>
      <c r="R1" s="2240"/>
      <c r="S1" s="2240"/>
      <c r="T1" s="2240"/>
      <c r="U1" s="2240"/>
      <c r="V1" s="2240"/>
      <c r="W1" s="2240"/>
      <c r="X1" s="2240"/>
      <c r="Y1" s="2240"/>
    </row>
    <row r="2" spans="1:25" ht="21.6" customHeight="1" x14ac:dyDescent="0.25">
      <c r="A2" s="2241" t="s">
        <v>383</v>
      </c>
      <c r="B2" s="2241"/>
      <c r="C2" s="2241"/>
      <c r="D2" s="2241"/>
      <c r="E2" s="2241"/>
      <c r="F2" s="2241"/>
      <c r="G2" s="2241"/>
      <c r="H2" s="2241"/>
      <c r="I2" s="2241"/>
      <c r="J2" s="2241"/>
      <c r="K2" s="2241"/>
      <c r="L2" s="2241"/>
      <c r="M2" s="2241"/>
      <c r="N2" s="2241"/>
      <c r="O2" s="2241"/>
      <c r="P2" s="2241"/>
      <c r="Q2" s="2241"/>
      <c r="R2" s="2241"/>
      <c r="S2" s="2241"/>
      <c r="T2" s="2241"/>
      <c r="U2" s="2241"/>
      <c r="V2" s="2241"/>
      <c r="W2" s="2241"/>
      <c r="X2" s="2241"/>
      <c r="Y2" s="2241"/>
    </row>
    <row r="3" spans="1:25" ht="21" customHeight="1" x14ac:dyDescent="0.25">
      <c r="A3" s="1251"/>
      <c r="B3" s="1251"/>
      <c r="C3" s="1251"/>
      <c r="D3" s="1251"/>
      <c r="E3" s="1251"/>
      <c r="F3" s="1251"/>
      <c r="G3" s="1251"/>
      <c r="H3" s="1251"/>
      <c r="I3" s="1251"/>
      <c r="J3" s="1251"/>
      <c r="K3" s="1251"/>
      <c r="L3" s="1251"/>
      <c r="M3" s="1251"/>
      <c r="N3" s="1251"/>
      <c r="O3" s="1251"/>
      <c r="P3" s="1251"/>
      <c r="Q3" s="1251"/>
      <c r="R3" s="1251"/>
      <c r="S3" s="1251"/>
      <c r="T3" s="2242" t="s">
        <v>469</v>
      </c>
      <c r="U3" s="2242"/>
      <c r="V3" s="2242"/>
      <c r="W3" s="2242"/>
      <c r="X3" s="2242"/>
      <c r="Y3" s="2242"/>
    </row>
    <row r="4" spans="1:25" s="1251" customFormat="1" ht="18" customHeight="1" x14ac:dyDescent="0.25">
      <c r="A4" s="2243" t="s">
        <v>25</v>
      </c>
      <c r="B4" s="2243" t="s">
        <v>26</v>
      </c>
      <c r="C4" s="2244" t="s">
        <v>27</v>
      </c>
      <c r="D4" s="2244"/>
      <c r="E4" s="2244" t="s">
        <v>342</v>
      </c>
      <c r="F4" s="2244"/>
      <c r="G4" s="2244" t="s">
        <v>65</v>
      </c>
      <c r="H4" s="2244"/>
      <c r="I4" s="2244" t="s">
        <v>29</v>
      </c>
      <c r="J4" s="2244"/>
      <c r="K4" s="2245" t="s">
        <v>14</v>
      </c>
      <c r="L4" s="2246"/>
      <c r="M4" s="2245" t="s">
        <v>429</v>
      </c>
      <c r="N4" s="2246"/>
      <c r="O4" s="2245" t="s">
        <v>441</v>
      </c>
      <c r="P4" s="2246"/>
      <c r="Q4" s="2245" t="s">
        <v>114</v>
      </c>
      <c r="R4" s="2246"/>
      <c r="S4" s="2244" t="s">
        <v>35</v>
      </c>
      <c r="T4" s="2244"/>
      <c r="U4" s="2245" t="s">
        <v>17</v>
      </c>
      <c r="V4" s="2246"/>
      <c r="W4" s="2247" t="s">
        <v>36</v>
      </c>
      <c r="X4" s="2248"/>
      <c r="Y4" s="2238" t="s">
        <v>30</v>
      </c>
    </row>
    <row r="5" spans="1:25" s="1251" customFormat="1" ht="25.5" customHeight="1" x14ac:dyDescent="0.25">
      <c r="A5" s="2243"/>
      <c r="B5" s="2243"/>
      <c r="C5" s="1253" t="s">
        <v>42</v>
      </c>
      <c r="D5" s="1253" t="s">
        <v>43</v>
      </c>
      <c r="E5" s="1253" t="s">
        <v>42</v>
      </c>
      <c r="F5" s="1253" t="s">
        <v>43</v>
      </c>
      <c r="G5" s="1253" t="s">
        <v>42</v>
      </c>
      <c r="H5" s="1253" t="s">
        <v>43</v>
      </c>
      <c r="I5" s="1253" t="s">
        <v>42</v>
      </c>
      <c r="J5" s="1253" t="s">
        <v>43</v>
      </c>
      <c r="K5" s="1253" t="s">
        <v>42</v>
      </c>
      <c r="L5" s="1253" t="s">
        <v>43</v>
      </c>
      <c r="M5" s="1253" t="s">
        <v>42</v>
      </c>
      <c r="N5" s="1253" t="s">
        <v>43</v>
      </c>
      <c r="O5" s="1253" t="s">
        <v>42</v>
      </c>
      <c r="P5" s="1253" t="s">
        <v>43</v>
      </c>
      <c r="Q5" s="1253" t="s">
        <v>42</v>
      </c>
      <c r="R5" s="1253" t="s">
        <v>43</v>
      </c>
      <c r="S5" s="33" t="s">
        <v>42</v>
      </c>
      <c r="T5" s="33" t="s">
        <v>43</v>
      </c>
      <c r="U5" s="30" t="s">
        <v>42</v>
      </c>
      <c r="V5" s="30" t="s">
        <v>43</v>
      </c>
      <c r="W5" s="30" t="s">
        <v>42</v>
      </c>
      <c r="X5" s="30" t="s">
        <v>43</v>
      </c>
      <c r="Y5" s="2239"/>
    </row>
    <row r="6" spans="1:25" ht="34.5" customHeight="1" x14ac:dyDescent="0.25">
      <c r="A6" s="12">
        <v>1409935200</v>
      </c>
      <c r="B6" s="1252" t="s">
        <v>71</v>
      </c>
      <c r="C6" s="1255">
        <v>29810</v>
      </c>
      <c r="D6" s="1256">
        <f t="shared" ref="D6:D11" si="0">0.9725*C6</f>
        <v>28990.225000000002</v>
      </c>
      <c r="E6" s="1255"/>
      <c r="F6" s="1256">
        <f>67.1*E6</f>
        <v>0</v>
      </c>
      <c r="G6" s="1255">
        <v>30</v>
      </c>
      <c r="H6" s="1255">
        <f>28.2*G6</f>
        <v>846</v>
      </c>
      <c r="I6" s="1255">
        <v>750</v>
      </c>
      <c r="J6" s="1255">
        <f>18.5*I6</f>
        <v>13875</v>
      </c>
      <c r="K6" s="1255"/>
      <c r="L6" s="1256">
        <f>28.2368*K6</f>
        <v>0</v>
      </c>
      <c r="M6" s="1255"/>
      <c r="N6" s="1256">
        <f>M6*47.6525</f>
        <v>0</v>
      </c>
      <c r="O6" s="1255"/>
      <c r="P6" s="1256">
        <f>O6*8.9</f>
        <v>0</v>
      </c>
      <c r="Q6" s="1256"/>
      <c r="R6" s="1256">
        <f>241*Q6</f>
        <v>0</v>
      </c>
      <c r="S6" s="1255"/>
      <c r="T6" s="1255">
        <f>241*S6</f>
        <v>0</v>
      </c>
      <c r="U6" s="1255"/>
      <c r="V6" s="1255">
        <f>332*U6</f>
        <v>0</v>
      </c>
      <c r="W6" s="1255"/>
      <c r="X6" s="19">
        <f>W6*100</f>
        <v>0</v>
      </c>
      <c r="Y6" s="20">
        <f t="shared" ref="Y6:Y12" si="1">D6+F6+H6+J6+L6+N6+P6+R6+T6+V6+X6</f>
        <v>43711.225000000006</v>
      </c>
    </row>
    <row r="7" spans="1:25" ht="31.5" customHeight="1" x14ac:dyDescent="0.25">
      <c r="A7" s="12">
        <v>1984225578</v>
      </c>
      <c r="B7" s="1252" t="s">
        <v>72</v>
      </c>
      <c r="C7" s="1255">
        <v>21142</v>
      </c>
      <c r="D7" s="1256">
        <f t="shared" si="0"/>
        <v>20560.595000000001</v>
      </c>
      <c r="E7" s="1255"/>
      <c r="F7" s="1255">
        <f t="shared" ref="F7:F11" si="2">67.1*E7</f>
        <v>0</v>
      </c>
      <c r="G7" s="1255"/>
      <c r="H7" s="1255">
        <f t="shared" ref="H7:H11" si="3">28.2*G7</f>
        <v>0</v>
      </c>
      <c r="I7" s="1255">
        <v>1740</v>
      </c>
      <c r="J7" s="1255">
        <f t="shared" ref="J7:J11" si="4">18.5*I7</f>
        <v>32190</v>
      </c>
      <c r="K7" s="1255"/>
      <c r="L7" s="1256">
        <f t="shared" ref="L7:L11" si="5">28.2368*K7</f>
        <v>0</v>
      </c>
      <c r="M7" s="1255"/>
      <c r="N7" s="1256">
        <f t="shared" ref="N7:N11" si="6">M7*47.6525</f>
        <v>0</v>
      </c>
      <c r="O7" s="1255"/>
      <c r="P7" s="1256">
        <f t="shared" ref="P7:P11" si="7">O7*8.9</f>
        <v>0</v>
      </c>
      <c r="Q7" s="1256"/>
      <c r="R7" s="1256">
        <f t="shared" ref="R7:R11" si="8">241*Q7</f>
        <v>0</v>
      </c>
      <c r="S7" s="1255"/>
      <c r="T7" s="1255">
        <f t="shared" ref="T7:T10" si="9">241*S7</f>
        <v>0</v>
      </c>
      <c r="U7" s="1255"/>
      <c r="V7" s="1255">
        <f t="shared" ref="V7:V11" si="10">332*U7</f>
        <v>0</v>
      </c>
      <c r="W7" s="1255"/>
      <c r="X7" s="19">
        <f t="shared" ref="X7:X11" si="11">W7*100</f>
        <v>0</v>
      </c>
      <c r="Y7" s="20">
        <f t="shared" si="1"/>
        <v>52750.595000000001</v>
      </c>
    </row>
    <row r="8" spans="1:25" ht="35.25" customHeight="1" x14ac:dyDescent="0.25">
      <c r="A8" s="12">
        <v>1967020280</v>
      </c>
      <c r="B8" s="1252" t="s">
        <v>427</v>
      </c>
      <c r="C8" s="1255">
        <v>13001</v>
      </c>
      <c r="D8" s="1256">
        <f t="shared" si="0"/>
        <v>12643.4725</v>
      </c>
      <c r="E8" s="1255"/>
      <c r="F8" s="1255">
        <f t="shared" si="2"/>
        <v>0</v>
      </c>
      <c r="G8" s="1255">
        <v>50</v>
      </c>
      <c r="H8" s="1256">
        <f t="shared" si="3"/>
        <v>1410</v>
      </c>
      <c r="I8" s="1255">
        <v>90</v>
      </c>
      <c r="J8" s="1255">
        <f t="shared" si="4"/>
        <v>1665</v>
      </c>
      <c r="K8" s="1255"/>
      <c r="L8" s="1256">
        <f t="shared" si="5"/>
        <v>0</v>
      </c>
      <c r="M8" s="1255"/>
      <c r="N8" s="1256">
        <f t="shared" si="6"/>
        <v>0</v>
      </c>
      <c r="O8" s="1255"/>
      <c r="P8" s="1256">
        <f t="shared" si="7"/>
        <v>0</v>
      </c>
      <c r="Q8" s="1256"/>
      <c r="R8" s="1256">
        <f t="shared" si="8"/>
        <v>0</v>
      </c>
      <c r="S8" s="1255"/>
      <c r="T8" s="1255">
        <f t="shared" si="9"/>
        <v>0</v>
      </c>
      <c r="U8" s="1255"/>
      <c r="V8" s="1255">
        <f t="shared" si="10"/>
        <v>0</v>
      </c>
      <c r="W8" s="1255">
        <v>3</v>
      </c>
      <c r="X8" s="19">
        <f t="shared" si="11"/>
        <v>300</v>
      </c>
      <c r="Y8" s="20">
        <f t="shared" si="1"/>
        <v>16018.4725</v>
      </c>
    </row>
    <row r="9" spans="1:25" ht="38.25" customHeight="1" x14ac:dyDescent="0.25">
      <c r="A9" s="12">
        <v>1984225580</v>
      </c>
      <c r="B9" s="1252" t="s">
        <v>75</v>
      </c>
      <c r="C9" s="1255">
        <v>21775</v>
      </c>
      <c r="D9" s="1256">
        <f t="shared" si="0"/>
        <v>21176.1875</v>
      </c>
      <c r="E9" s="1255">
        <v>10</v>
      </c>
      <c r="F9" s="1255">
        <f t="shared" si="2"/>
        <v>671</v>
      </c>
      <c r="G9" s="1255"/>
      <c r="H9" s="1255">
        <f t="shared" si="3"/>
        <v>0</v>
      </c>
      <c r="I9" s="1255">
        <v>1070</v>
      </c>
      <c r="J9" s="1255">
        <f t="shared" si="4"/>
        <v>19795</v>
      </c>
      <c r="K9" s="1255"/>
      <c r="L9" s="1256">
        <f t="shared" si="5"/>
        <v>0</v>
      </c>
      <c r="M9" s="1255"/>
      <c r="N9" s="1256">
        <f t="shared" si="6"/>
        <v>0</v>
      </c>
      <c r="O9" s="1255"/>
      <c r="P9" s="1256">
        <f t="shared" si="7"/>
        <v>0</v>
      </c>
      <c r="Q9" s="1256"/>
      <c r="R9" s="1256">
        <f t="shared" si="8"/>
        <v>0</v>
      </c>
      <c r="S9" s="1255"/>
      <c r="T9" s="1255">
        <f t="shared" si="9"/>
        <v>0</v>
      </c>
      <c r="U9" s="1255"/>
      <c r="V9" s="1255">
        <f t="shared" si="10"/>
        <v>0</v>
      </c>
      <c r="W9" s="1255"/>
      <c r="X9" s="19">
        <f t="shared" si="11"/>
        <v>0</v>
      </c>
      <c r="Y9" s="20">
        <f t="shared" si="1"/>
        <v>41642.1875</v>
      </c>
    </row>
    <row r="10" spans="1:25" ht="35.25" customHeight="1" x14ac:dyDescent="0.25">
      <c r="A10" s="12">
        <v>1409935199</v>
      </c>
      <c r="C10" s="1255">
        <v>5140</v>
      </c>
      <c r="D10" s="1256">
        <f t="shared" si="0"/>
        <v>4998.6500000000005</v>
      </c>
      <c r="E10" s="1255"/>
      <c r="F10" s="1255">
        <f t="shared" si="2"/>
        <v>0</v>
      </c>
      <c r="G10" s="1255"/>
      <c r="H10" s="1255">
        <f t="shared" si="3"/>
        <v>0</v>
      </c>
      <c r="I10" s="1255"/>
      <c r="J10" s="1255">
        <f t="shared" si="4"/>
        <v>0</v>
      </c>
      <c r="K10" s="1255"/>
      <c r="L10" s="1256">
        <f t="shared" si="5"/>
        <v>0</v>
      </c>
      <c r="M10" s="1255"/>
      <c r="N10" s="1256">
        <f t="shared" si="6"/>
        <v>0</v>
      </c>
      <c r="O10" s="1255"/>
      <c r="P10" s="1256">
        <f t="shared" si="7"/>
        <v>0</v>
      </c>
      <c r="Q10" s="1256"/>
      <c r="R10" s="1256">
        <f t="shared" si="8"/>
        <v>0</v>
      </c>
      <c r="S10" s="1255"/>
      <c r="T10" s="1255">
        <f t="shared" si="9"/>
        <v>0</v>
      </c>
      <c r="U10" s="1255"/>
      <c r="V10" s="1255">
        <f t="shared" si="10"/>
        <v>0</v>
      </c>
      <c r="W10" s="1255"/>
      <c r="X10" s="19">
        <f t="shared" si="11"/>
        <v>0</v>
      </c>
      <c r="Y10" s="20">
        <f t="shared" si="1"/>
        <v>4998.6500000000005</v>
      </c>
    </row>
    <row r="11" spans="1:25" ht="37.5" customHeight="1" x14ac:dyDescent="0.25">
      <c r="A11" s="12"/>
      <c r="B11" s="1254"/>
      <c r="C11" s="1255"/>
      <c r="D11" s="1256">
        <f t="shared" si="0"/>
        <v>0</v>
      </c>
      <c r="E11" s="1255"/>
      <c r="F11" s="1255">
        <f t="shared" si="2"/>
        <v>0</v>
      </c>
      <c r="G11" s="1255"/>
      <c r="H11" s="1255">
        <f t="shared" si="3"/>
        <v>0</v>
      </c>
      <c r="I11" s="1255"/>
      <c r="J11" s="1255">
        <f t="shared" si="4"/>
        <v>0</v>
      </c>
      <c r="K11" s="1255"/>
      <c r="L11" s="1256">
        <f t="shared" si="5"/>
        <v>0</v>
      </c>
      <c r="M11" s="1255"/>
      <c r="N11" s="1256">
        <f t="shared" si="6"/>
        <v>0</v>
      </c>
      <c r="O11" s="1255"/>
      <c r="P11" s="1256">
        <f t="shared" si="7"/>
        <v>0</v>
      </c>
      <c r="Q11" s="1256"/>
      <c r="R11" s="1256">
        <f t="shared" si="8"/>
        <v>0</v>
      </c>
      <c r="S11" s="1255"/>
      <c r="T11" s="1255">
        <f>341*S11</f>
        <v>0</v>
      </c>
      <c r="U11" s="1255"/>
      <c r="V11" s="1255">
        <f t="shared" si="10"/>
        <v>0</v>
      </c>
      <c r="W11" s="1255"/>
      <c r="X11" s="19">
        <f t="shared" si="11"/>
        <v>0</v>
      </c>
      <c r="Y11" s="20">
        <f t="shared" si="1"/>
        <v>0</v>
      </c>
    </row>
    <row r="12" spans="1:25" ht="29.25" customHeight="1" x14ac:dyDescent="0.25">
      <c r="A12" s="2235" t="s">
        <v>31</v>
      </c>
      <c r="B12" s="2235"/>
      <c r="C12" s="18">
        <f t="shared" ref="C12:X12" si="12">SUM(C6:C11)</f>
        <v>90868</v>
      </c>
      <c r="D12" s="18">
        <f t="shared" si="12"/>
        <v>88369.13</v>
      </c>
      <c r="E12" s="18">
        <f t="shared" si="12"/>
        <v>10</v>
      </c>
      <c r="F12" s="18">
        <f t="shared" si="12"/>
        <v>671</v>
      </c>
      <c r="G12" s="18">
        <f t="shared" si="12"/>
        <v>80</v>
      </c>
      <c r="H12" s="18">
        <f t="shared" si="12"/>
        <v>2256</v>
      </c>
      <c r="I12" s="18">
        <f t="shared" si="12"/>
        <v>3650</v>
      </c>
      <c r="J12" s="18">
        <f t="shared" si="12"/>
        <v>67525</v>
      </c>
      <c r="K12" s="18">
        <f t="shared" si="12"/>
        <v>0</v>
      </c>
      <c r="L12" s="18">
        <f t="shared" si="12"/>
        <v>0</v>
      </c>
      <c r="M12" s="18">
        <f t="shared" si="12"/>
        <v>0</v>
      </c>
      <c r="N12" s="23">
        <f t="shared" si="12"/>
        <v>0</v>
      </c>
      <c r="O12" s="18">
        <f t="shared" si="12"/>
        <v>0</v>
      </c>
      <c r="P12" s="23">
        <f t="shared" si="12"/>
        <v>0</v>
      </c>
      <c r="Q12" s="23">
        <f t="shared" si="12"/>
        <v>0</v>
      </c>
      <c r="R12" s="23">
        <f>SUM(R6:R11)</f>
        <v>0</v>
      </c>
      <c r="S12" s="23">
        <f>SUM(S6:S11)</f>
        <v>0</v>
      </c>
      <c r="T12" s="18">
        <f t="shared" si="12"/>
        <v>0</v>
      </c>
      <c r="U12" s="18">
        <f t="shared" si="12"/>
        <v>0</v>
      </c>
      <c r="V12" s="18">
        <f t="shared" si="12"/>
        <v>0</v>
      </c>
      <c r="W12" s="18">
        <f t="shared" si="12"/>
        <v>3</v>
      </c>
      <c r="X12" s="18">
        <f t="shared" si="12"/>
        <v>300</v>
      </c>
      <c r="Y12" s="20">
        <f t="shared" si="1"/>
        <v>159121.13</v>
      </c>
    </row>
    <row r="14" spans="1:25" ht="43.5" customHeight="1" x14ac:dyDescent="0.25">
      <c r="A14" s="30" t="s">
        <v>32</v>
      </c>
      <c r="B14" s="2236" t="s">
        <v>27</v>
      </c>
      <c r="C14" s="2236"/>
      <c r="D14" s="30" t="s">
        <v>333</v>
      </c>
      <c r="E14" s="30" t="s">
        <v>65</v>
      </c>
      <c r="F14" s="30" t="s">
        <v>34</v>
      </c>
      <c r="G14" s="30" t="s">
        <v>14</v>
      </c>
      <c r="H14" s="469" t="s">
        <v>173</v>
      </c>
      <c r="I14" s="30" t="s">
        <v>17</v>
      </c>
      <c r="J14" s="1260" t="s">
        <v>174</v>
      </c>
      <c r="K14" s="30" t="s">
        <v>36</v>
      </c>
      <c r="L14" s="1260" t="s">
        <v>403</v>
      </c>
      <c r="M14" s="30" t="s">
        <v>429</v>
      </c>
      <c r="N14" s="30" t="s">
        <v>442</v>
      </c>
      <c r="O14" s="1260" t="s">
        <v>114</v>
      </c>
      <c r="P14" s="30" t="s">
        <v>70</v>
      </c>
      <c r="Q14" s="2300" t="s">
        <v>378</v>
      </c>
      <c r="R14" s="2301"/>
      <c r="S14" s="1260" t="s">
        <v>401</v>
      </c>
      <c r="T14" s="2235" t="s">
        <v>46</v>
      </c>
      <c r="U14" s="1252" t="s">
        <v>176</v>
      </c>
      <c r="V14" s="2260">
        <v>20838</v>
      </c>
      <c r="W14" s="2268"/>
      <c r="X14" s="2261"/>
    </row>
    <row r="15" spans="1:25" ht="22.5" customHeight="1" x14ac:dyDescent="0.25">
      <c r="A15" s="100" t="s">
        <v>38</v>
      </c>
      <c r="B15" s="2260">
        <v>487722</v>
      </c>
      <c r="C15" s="2261"/>
      <c r="D15" s="1257">
        <v>180</v>
      </c>
      <c r="E15" s="1257">
        <v>940</v>
      </c>
      <c r="F15" s="1257">
        <v>16850</v>
      </c>
      <c r="G15" s="1257">
        <v>0</v>
      </c>
      <c r="H15" s="1257">
        <v>161</v>
      </c>
      <c r="I15" s="1257">
        <v>15</v>
      </c>
      <c r="J15" s="1257">
        <v>4</v>
      </c>
      <c r="K15" s="1257">
        <v>79</v>
      </c>
      <c r="L15" s="1257">
        <v>0</v>
      </c>
      <c r="M15" s="1257">
        <v>0</v>
      </c>
      <c r="N15" s="1257">
        <v>280</v>
      </c>
      <c r="O15" s="1257">
        <v>0</v>
      </c>
      <c r="P15" s="1257">
        <v>100</v>
      </c>
      <c r="Q15" s="2260">
        <v>0</v>
      </c>
      <c r="R15" s="2261"/>
      <c r="S15" s="1252">
        <v>6</v>
      </c>
      <c r="T15" s="2235"/>
      <c r="U15" s="1252" t="s">
        <v>64</v>
      </c>
      <c r="V15" s="2262">
        <v>11799</v>
      </c>
      <c r="W15" s="2262"/>
      <c r="X15" s="2262"/>
    </row>
    <row r="16" spans="1:25" ht="24.75" customHeight="1" x14ac:dyDescent="0.25">
      <c r="A16" s="100" t="s">
        <v>39</v>
      </c>
      <c r="B16" s="2260"/>
      <c r="C16" s="2261"/>
      <c r="D16" s="1257"/>
      <c r="E16" s="1257"/>
      <c r="F16" s="1257"/>
      <c r="G16" s="1257"/>
      <c r="H16" s="1257"/>
      <c r="I16" s="1257"/>
      <c r="J16" s="1257"/>
      <c r="K16" s="1257"/>
      <c r="L16" s="1257"/>
      <c r="M16" s="1257"/>
      <c r="N16" s="1257"/>
      <c r="O16" s="1257"/>
      <c r="P16" s="1257"/>
      <c r="Q16" s="2225"/>
      <c r="R16" s="2225"/>
      <c r="S16" s="1257"/>
      <c r="T16" s="2254" t="s">
        <v>55</v>
      </c>
      <c r="U16" s="2254"/>
      <c r="V16" s="2267">
        <f>Y12</f>
        <v>159121.13</v>
      </c>
      <c r="W16" s="2267"/>
      <c r="X16" s="2262"/>
    </row>
    <row r="17" spans="1:25" ht="28.5" customHeight="1" x14ac:dyDescent="0.25">
      <c r="A17" s="101" t="s">
        <v>44</v>
      </c>
      <c r="B17" s="2260"/>
      <c r="C17" s="2261"/>
      <c r="D17" s="1257"/>
      <c r="E17" s="1257"/>
      <c r="F17" s="1257"/>
      <c r="G17" s="1257"/>
      <c r="H17" s="1257"/>
      <c r="I17" s="1257"/>
      <c r="J17" s="1257"/>
      <c r="K17" s="1257"/>
      <c r="L17" s="1257"/>
      <c r="M17" s="1257"/>
      <c r="N17" s="1257"/>
      <c r="O17" s="1257"/>
      <c r="P17" s="1257"/>
      <c r="Q17" s="2225"/>
      <c r="R17" s="2225"/>
      <c r="S17" s="1254"/>
      <c r="T17" s="2294" t="s">
        <v>463</v>
      </c>
      <c r="U17" s="2295"/>
      <c r="V17" s="2296"/>
      <c r="W17" s="2296"/>
      <c r="X17" s="2296"/>
    </row>
    <row r="18" spans="1:25" ht="27" customHeight="1" x14ac:dyDescent="0.25">
      <c r="A18" s="100" t="s">
        <v>40</v>
      </c>
      <c r="B18" s="2264">
        <f>C12</f>
        <v>90868</v>
      </c>
      <c r="C18" s="2261"/>
      <c r="D18" s="1258">
        <f>E12</f>
        <v>10</v>
      </c>
      <c r="E18" s="1258">
        <f>G12</f>
        <v>80</v>
      </c>
      <c r="F18" s="1258">
        <f>I12</f>
        <v>3650</v>
      </c>
      <c r="G18" s="1258">
        <f>K12</f>
        <v>0</v>
      </c>
      <c r="H18" s="1257"/>
      <c r="I18" s="1258">
        <f>U12</f>
        <v>0</v>
      </c>
      <c r="J18" s="1257"/>
      <c r="K18" s="1258">
        <f>W12</f>
        <v>3</v>
      </c>
      <c r="L18" s="1257"/>
      <c r="M18" s="1258">
        <f>M12</f>
        <v>0</v>
      </c>
      <c r="N18" s="1258">
        <f>O12</f>
        <v>0</v>
      </c>
      <c r="O18" s="1259">
        <f>Q12</f>
        <v>0</v>
      </c>
      <c r="P18" s="1258"/>
      <c r="Q18" s="2262"/>
      <c r="R18" s="2262"/>
      <c r="S18" s="1252"/>
      <c r="T18" s="2254" t="s">
        <v>57</v>
      </c>
      <c r="U18" s="2254"/>
      <c r="V18" s="2262">
        <v>2782</v>
      </c>
      <c r="W18" s="2262"/>
      <c r="X18" s="2262"/>
      <c r="Y18" s="2269"/>
    </row>
    <row r="19" spans="1:25" ht="25.5" customHeight="1" x14ac:dyDescent="0.25">
      <c r="A19" s="100" t="s">
        <v>41</v>
      </c>
      <c r="B19" s="2260">
        <f>B15+B16+B17-B18</f>
        <v>396854</v>
      </c>
      <c r="C19" s="2261"/>
      <c r="D19" s="1257">
        <f>D15+D16+D17-D18</f>
        <v>170</v>
      </c>
      <c r="E19" s="1257">
        <f t="shared" ref="E19:N19" si="13">E15+E16+E17-E18</f>
        <v>860</v>
      </c>
      <c r="F19" s="1257">
        <f t="shared" si="13"/>
        <v>13200</v>
      </c>
      <c r="G19" s="1257">
        <f t="shared" si="13"/>
        <v>0</v>
      </c>
      <c r="H19" s="1257">
        <f t="shared" si="13"/>
        <v>161</v>
      </c>
      <c r="I19" s="1257">
        <f t="shared" si="13"/>
        <v>15</v>
      </c>
      <c r="J19" s="1257">
        <f t="shared" si="13"/>
        <v>4</v>
      </c>
      <c r="K19" s="1257">
        <f t="shared" si="13"/>
        <v>76</v>
      </c>
      <c r="L19" s="1257">
        <f t="shared" si="13"/>
        <v>0</v>
      </c>
      <c r="M19" s="1257">
        <f t="shared" si="13"/>
        <v>0</v>
      </c>
      <c r="N19" s="1257">
        <f t="shared" si="13"/>
        <v>280</v>
      </c>
      <c r="O19" s="1257">
        <f>O15+O16+O17-O18</f>
        <v>0</v>
      </c>
      <c r="P19" s="1257">
        <f t="shared" ref="P19:Q19" si="14">P15+P16+P17-P18</f>
        <v>100</v>
      </c>
      <c r="Q19" s="2260">
        <f t="shared" si="14"/>
        <v>0</v>
      </c>
      <c r="R19" s="2261"/>
      <c r="S19" s="1252">
        <f>S15+S16-S17-S18</f>
        <v>6</v>
      </c>
      <c r="T19" s="2256" t="s">
        <v>48</v>
      </c>
      <c r="U19" s="49" t="s">
        <v>58</v>
      </c>
      <c r="V19" s="2262"/>
      <c r="W19" s="2262"/>
      <c r="X19" s="2262"/>
      <c r="Y19" s="2269"/>
    </row>
    <row r="20" spans="1:25" ht="23.25" customHeight="1" x14ac:dyDescent="0.25">
      <c r="A20" s="289" t="s">
        <v>187</v>
      </c>
      <c r="B20" s="2286">
        <f>B19*0.9625</f>
        <v>381971.97500000003</v>
      </c>
      <c r="C20" s="2287"/>
      <c r="D20" s="290">
        <f>D19*66.41</f>
        <v>11289.699999999999</v>
      </c>
      <c r="E20" s="290">
        <f>27.9368*E19</f>
        <v>24025.648000000001</v>
      </c>
      <c r="F20" s="290">
        <f>18.31*F19</f>
        <v>241691.99999999997</v>
      </c>
      <c r="G20" s="290">
        <f>27.9368*G19</f>
        <v>0</v>
      </c>
      <c r="H20" s="290">
        <f>241*H19</f>
        <v>38801</v>
      </c>
      <c r="I20" s="290">
        <f>323*I19</f>
        <v>4845</v>
      </c>
      <c r="J20" s="290">
        <f>241*J19</f>
        <v>964</v>
      </c>
      <c r="K20" s="290">
        <f>K19*100</f>
        <v>7600</v>
      </c>
      <c r="L20" s="290">
        <f>241*L19</f>
        <v>0</v>
      </c>
      <c r="M20" s="290">
        <f>47.1625*M19</f>
        <v>0</v>
      </c>
      <c r="N20" s="290">
        <f>N19*8.81</f>
        <v>2466.8000000000002</v>
      </c>
      <c r="O20" s="290">
        <f>241*O19</f>
        <v>0</v>
      </c>
      <c r="P20" s="290">
        <f>P19*48.2</f>
        <v>4820</v>
      </c>
      <c r="Q20" s="2286">
        <f>341*Q19</f>
        <v>0</v>
      </c>
      <c r="R20" s="2287"/>
      <c r="S20" s="290">
        <f>341*S19</f>
        <v>2046</v>
      </c>
      <c r="T20" s="2257"/>
      <c r="U20" s="49" t="s">
        <v>59</v>
      </c>
      <c r="V20" s="2262"/>
      <c r="W20" s="2262"/>
      <c r="X20" s="2262"/>
      <c r="Y20" s="2269"/>
    </row>
    <row r="21" spans="1:25" ht="32.25" customHeight="1" x14ac:dyDescent="0.25">
      <c r="A21" s="291" t="s">
        <v>186</v>
      </c>
      <c r="B21" s="2293">
        <f>SUM(B20:S20)</f>
        <v>720522.12300000002</v>
      </c>
      <c r="C21" s="2293"/>
      <c r="O21" s="1261"/>
      <c r="P21" s="1261"/>
      <c r="Q21" s="1261"/>
      <c r="R21" s="1261"/>
      <c r="T21" s="2294" t="s">
        <v>464</v>
      </c>
      <c r="U21" s="2295"/>
      <c r="V21" s="2297"/>
      <c r="W21" s="2298"/>
      <c r="X21" s="2299"/>
      <c r="Y21" s="2269"/>
    </row>
    <row r="22" spans="1:25" ht="35.25" customHeight="1" x14ac:dyDescent="0.25">
      <c r="A22" s="15"/>
      <c r="B22" s="2288" t="s">
        <v>49</v>
      </c>
      <c r="C22" s="2291">
        <v>248110</v>
      </c>
      <c r="D22" s="2291"/>
      <c r="E22" s="2291"/>
      <c r="F22" s="2291">
        <f>C22-D22+E22</f>
        <v>248110</v>
      </c>
      <c r="G22" s="1261"/>
      <c r="Q22" s="1261"/>
      <c r="R22" s="1261"/>
      <c r="T22" s="2251" t="s">
        <v>83</v>
      </c>
      <c r="U22" s="50" t="s">
        <v>60</v>
      </c>
      <c r="V22" s="2262"/>
      <c r="W22" s="2262"/>
      <c r="X22" s="2262"/>
      <c r="Y22" s="2269"/>
    </row>
    <row r="23" spans="1:25" ht="39.75" customHeight="1" x14ac:dyDescent="0.25">
      <c r="A23" s="1261"/>
      <c r="B23" s="2289"/>
      <c r="C23" s="2292"/>
      <c r="D23" s="2292"/>
      <c r="E23" s="2292"/>
      <c r="F23" s="2292"/>
      <c r="G23" s="1261"/>
      <c r="Q23" s="1261"/>
      <c r="R23" s="1261"/>
      <c r="T23" s="2252"/>
      <c r="U23" s="50" t="s">
        <v>61</v>
      </c>
      <c r="V23" s="2262"/>
      <c r="W23" s="2262"/>
      <c r="X23" s="2262"/>
      <c r="Y23" s="2269"/>
    </row>
    <row r="24" spans="1:25" ht="48" customHeight="1" x14ac:dyDescent="0.25">
      <c r="A24" s="1261"/>
      <c r="B24" s="2290"/>
      <c r="C24" s="290" t="s">
        <v>46</v>
      </c>
      <c r="D24" s="290" t="s">
        <v>50</v>
      </c>
      <c r="E24" s="290" t="s">
        <v>51</v>
      </c>
      <c r="F24" s="290" t="s">
        <v>52</v>
      </c>
      <c r="G24" s="1261"/>
      <c r="Q24" s="1261"/>
      <c r="R24" s="1261"/>
      <c r="T24" s="2235" t="s">
        <v>47</v>
      </c>
      <c r="U24" s="51" t="s">
        <v>62</v>
      </c>
      <c r="V24" s="2263">
        <f>V14+V16+V17-V18-V19-V20-V22+V23-V21</f>
        <v>177177.13</v>
      </c>
      <c r="W24" s="2263"/>
      <c r="X24" s="2263"/>
      <c r="Y24" s="2269"/>
    </row>
    <row r="25" spans="1:25" ht="40.5" customHeight="1" x14ac:dyDescent="0.25">
      <c r="T25" s="2235"/>
      <c r="U25" s="51" t="s">
        <v>63</v>
      </c>
      <c r="V25" s="2262">
        <f>V15+V22-V23</f>
        <v>11799</v>
      </c>
      <c r="W25" s="2262"/>
      <c r="X25" s="2262"/>
    </row>
    <row r="26" spans="1:25" ht="36" customHeight="1" x14ac:dyDescent="0.25">
      <c r="K26" s="314"/>
    </row>
    <row r="28" spans="1:25" x14ac:dyDescent="0.25">
      <c r="J28" s="14" t="s">
        <v>139</v>
      </c>
    </row>
    <row r="32" spans="1:25" x14ac:dyDescent="0.25">
      <c r="I32" s="2280"/>
      <c r="J32" s="2280"/>
      <c r="K32" s="2280"/>
      <c r="L32" s="2280"/>
    </row>
    <row r="33" spans="9:12" x14ac:dyDescent="0.25">
      <c r="I33" s="1261"/>
      <c r="J33" s="1261"/>
      <c r="K33" s="2280"/>
      <c r="L33" s="2280"/>
    </row>
  </sheetData>
  <mergeCells count="62">
    <mergeCell ref="I32:J32"/>
    <mergeCell ref="K32:L32"/>
    <mergeCell ref="K33:L33"/>
    <mergeCell ref="T22:T23"/>
    <mergeCell ref="V22:X22"/>
    <mergeCell ref="V23:X23"/>
    <mergeCell ref="T24:T25"/>
    <mergeCell ref="V24:X24"/>
    <mergeCell ref="V25:X25"/>
    <mergeCell ref="Y18:Y24"/>
    <mergeCell ref="B19:C19"/>
    <mergeCell ref="Q19:R19"/>
    <mergeCell ref="T19:T20"/>
    <mergeCell ref="V19:X19"/>
    <mergeCell ref="B20:C20"/>
    <mergeCell ref="B22:B24"/>
    <mergeCell ref="C22:C23"/>
    <mergeCell ref="D22:D23"/>
    <mergeCell ref="E22:E23"/>
    <mergeCell ref="F22:F23"/>
    <mergeCell ref="Q20:R20"/>
    <mergeCell ref="V20:X20"/>
    <mergeCell ref="B21:C21"/>
    <mergeCell ref="T21:U21"/>
    <mergeCell ref="V21:X21"/>
    <mergeCell ref="B17:C17"/>
    <mergeCell ref="Q17:R17"/>
    <mergeCell ref="T17:U17"/>
    <mergeCell ref="V17:X17"/>
    <mergeCell ref="B18:C18"/>
    <mergeCell ref="Q18:R18"/>
    <mergeCell ref="T18:U18"/>
    <mergeCell ref="V18:X18"/>
    <mergeCell ref="W4:X4"/>
    <mergeCell ref="B16:C16"/>
    <mergeCell ref="Q16:R16"/>
    <mergeCell ref="T16:U16"/>
    <mergeCell ref="V16:X16"/>
    <mergeCell ref="A12:B12"/>
    <mergeCell ref="B14:C14"/>
    <mergeCell ref="Q14:R14"/>
    <mergeCell ref="T14:T15"/>
    <mergeCell ref="V14:X14"/>
    <mergeCell ref="B15:C15"/>
    <mergeCell ref="Q15:R15"/>
    <mergeCell ref="V15:X15"/>
    <mergeCell ref="A1:Y1"/>
    <mergeCell ref="A2:Y2"/>
    <mergeCell ref="T3:Y3"/>
    <mergeCell ref="A4:A5"/>
    <mergeCell ref="B4:B5"/>
    <mergeCell ref="C4:D4"/>
    <mergeCell ref="E4:F4"/>
    <mergeCell ref="G4:H4"/>
    <mergeCell ref="I4:J4"/>
    <mergeCell ref="K4:L4"/>
    <mergeCell ref="Y4:Y5"/>
    <mergeCell ref="M4:N4"/>
    <mergeCell ref="O4:P4"/>
    <mergeCell ref="Q4:R4"/>
    <mergeCell ref="S4:T4"/>
    <mergeCell ref="U4:V4"/>
  </mergeCells>
  <pageMargins left="0.15748031496063" right="0.15748031496063" top="0" bottom="0" header="0" footer="0"/>
  <pageSetup paperSize="9" scale="45" orientation="landscape" r:id="rId1"/>
</worksheet>
</file>

<file path=xl/worksheets/sheet2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35A323C-95AF-40F8-B9F7-F1BE04A627CE}">
  <sheetPr>
    <pageSetUpPr fitToPage="1"/>
  </sheetPr>
  <dimension ref="A1:Y33"/>
  <sheetViews>
    <sheetView topLeftCell="E1" zoomScale="70" zoomScaleNormal="70" zoomScaleSheetLayoutView="100" zoomScalePageLayoutView="68" workbookViewId="0">
      <selection activeCell="Y16" sqref="Y16"/>
    </sheetView>
  </sheetViews>
  <sheetFormatPr defaultColWidth="9.140625" defaultRowHeight="15" x14ac:dyDescent="0.25"/>
  <cols>
    <col min="1" max="1" width="18.28515625" style="14" customWidth="1"/>
    <col min="2" max="2" width="10.7109375" style="14" customWidth="1"/>
    <col min="3" max="3" width="12.28515625" style="14" customWidth="1"/>
    <col min="4" max="4" width="13.140625" style="14" bestFit="1" customWidth="1"/>
    <col min="5" max="5" width="12" style="14" customWidth="1"/>
    <col min="6" max="6" width="12.5703125" style="14" bestFit="1" customWidth="1"/>
    <col min="7" max="7" width="16" style="14" bestFit="1" customWidth="1"/>
    <col min="8" max="8" width="10.140625" style="14" bestFit="1" customWidth="1"/>
    <col min="9" max="9" width="10.5703125" style="14" bestFit="1" customWidth="1"/>
    <col min="10" max="10" width="10.5703125" style="14" customWidth="1"/>
    <col min="11" max="11" width="10.28515625" style="14" bestFit="1" customWidth="1"/>
    <col min="12" max="12" width="10.42578125" style="14" bestFit="1" customWidth="1"/>
    <col min="13" max="14" width="12" style="14" bestFit="1" customWidth="1"/>
    <col min="15" max="15" width="9" style="14" customWidth="1"/>
    <col min="16" max="16" width="12.85546875" style="14" bestFit="1" customWidth="1"/>
    <col min="17" max="18" width="9.42578125" style="14" customWidth="1"/>
    <col min="19" max="19" width="13.7109375" style="14" customWidth="1"/>
    <col min="20" max="20" width="12.140625" style="14" customWidth="1"/>
    <col min="21" max="21" width="21.7109375" style="14" customWidth="1"/>
    <col min="22" max="22" width="9.85546875" style="14" customWidth="1"/>
    <col min="23" max="23" width="10.140625" style="14" bestFit="1" customWidth="1"/>
    <col min="24" max="24" width="10.28515625" style="14" customWidth="1"/>
    <col min="25" max="25" width="28" style="14" customWidth="1"/>
    <col min="26" max="16384" width="9.140625" style="14"/>
  </cols>
  <sheetData>
    <row r="1" spans="1:25" ht="46.15" customHeight="1" x14ac:dyDescent="0.25">
      <c r="A1" s="2240" t="s">
        <v>148</v>
      </c>
      <c r="B1" s="2240"/>
      <c r="C1" s="2240"/>
      <c r="D1" s="2240"/>
      <c r="E1" s="2240"/>
      <c r="F1" s="2240"/>
      <c r="G1" s="2240"/>
      <c r="H1" s="2240"/>
      <c r="I1" s="2240"/>
      <c r="J1" s="2240"/>
      <c r="K1" s="2240"/>
      <c r="L1" s="2240"/>
      <c r="M1" s="2240"/>
      <c r="N1" s="2240"/>
      <c r="O1" s="2240"/>
      <c r="P1" s="2240"/>
      <c r="Q1" s="2240"/>
      <c r="R1" s="2240"/>
      <c r="S1" s="2240"/>
      <c r="T1" s="2240"/>
      <c r="U1" s="2240"/>
      <c r="V1" s="2240"/>
      <c r="W1" s="2240"/>
      <c r="X1" s="2240"/>
      <c r="Y1" s="2240"/>
    </row>
    <row r="2" spans="1:25" ht="21.6" customHeight="1" x14ac:dyDescent="0.25">
      <c r="A2" s="2241" t="s">
        <v>383</v>
      </c>
      <c r="B2" s="2241"/>
      <c r="C2" s="2241"/>
      <c r="D2" s="2241"/>
      <c r="E2" s="2241"/>
      <c r="F2" s="2241"/>
      <c r="G2" s="2241"/>
      <c r="H2" s="2241"/>
      <c r="I2" s="2241"/>
      <c r="J2" s="2241"/>
      <c r="K2" s="2241"/>
      <c r="L2" s="2241"/>
      <c r="M2" s="2241"/>
      <c r="N2" s="2241"/>
      <c r="O2" s="2241"/>
      <c r="P2" s="2241"/>
      <c r="Q2" s="2241"/>
      <c r="R2" s="2241"/>
      <c r="S2" s="2241"/>
      <c r="T2" s="2241"/>
      <c r="U2" s="2241"/>
      <c r="V2" s="2241"/>
      <c r="W2" s="2241"/>
      <c r="X2" s="2241"/>
      <c r="Y2" s="2241"/>
    </row>
    <row r="3" spans="1:25" ht="21" customHeight="1" x14ac:dyDescent="0.25">
      <c r="A3" s="1267"/>
      <c r="B3" s="1267"/>
      <c r="C3" s="1267"/>
      <c r="D3" s="1267"/>
      <c r="E3" s="1267"/>
      <c r="F3" s="1267"/>
      <c r="G3" s="1267"/>
      <c r="H3" s="1267"/>
      <c r="I3" s="1267"/>
      <c r="J3" s="1267"/>
      <c r="K3" s="1267"/>
      <c r="L3" s="1267"/>
      <c r="M3" s="1267"/>
      <c r="N3" s="1267"/>
      <c r="O3" s="1267"/>
      <c r="P3" s="1267"/>
      <c r="Q3" s="1267"/>
      <c r="R3" s="1267"/>
      <c r="S3" s="1267"/>
      <c r="T3" s="2242" t="s">
        <v>470</v>
      </c>
      <c r="U3" s="2242"/>
      <c r="V3" s="2242"/>
      <c r="W3" s="2242"/>
      <c r="X3" s="2242"/>
      <c r="Y3" s="2242"/>
    </row>
    <row r="4" spans="1:25" s="1267" customFormat="1" ht="18" customHeight="1" x14ac:dyDescent="0.25">
      <c r="A4" s="2243" t="s">
        <v>25</v>
      </c>
      <c r="B4" s="2243" t="s">
        <v>26</v>
      </c>
      <c r="C4" s="2244" t="s">
        <v>27</v>
      </c>
      <c r="D4" s="2244"/>
      <c r="E4" s="2244" t="s">
        <v>342</v>
      </c>
      <c r="F4" s="2244"/>
      <c r="G4" s="2244" t="s">
        <v>65</v>
      </c>
      <c r="H4" s="2244"/>
      <c r="I4" s="2244" t="s">
        <v>29</v>
      </c>
      <c r="J4" s="2244"/>
      <c r="K4" s="2245" t="s">
        <v>14</v>
      </c>
      <c r="L4" s="2246"/>
      <c r="M4" s="2245" t="s">
        <v>429</v>
      </c>
      <c r="N4" s="2246"/>
      <c r="O4" s="2245" t="s">
        <v>441</v>
      </c>
      <c r="P4" s="2246"/>
      <c r="Q4" s="2245" t="s">
        <v>114</v>
      </c>
      <c r="R4" s="2246"/>
      <c r="S4" s="2244" t="s">
        <v>35</v>
      </c>
      <c r="T4" s="2244"/>
      <c r="U4" s="2245" t="s">
        <v>17</v>
      </c>
      <c r="V4" s="2246"/>
      <c r="W4" s="2247" t="s">
        <v>36</v>
      </c>
      <c r="X4" s="2248"/>
      <c r="Y4" s="2238" t="s">
        <v>30</v>
      </c>
    </row>
    <row r="5" spans="1:25" s="1267" customFormat="1" ht="25.5" customHeight="1" x14ac:dyDescent="0.25">
      <c r="A5" s="2243"/>
      <c r="B5" s="2243"/>
      <c r="C5" s="1266" t="s">
        <v>42</v>
      </c>
      <c r="D5" s="1266" t="s">
        <v>43</v>
      </c>
      <c r="E5" s="1266" t="s">
        <v>42</v>
      </c>
      <c r="F5" s="1266" t="s">
        <v>43</v>
      </c>
      <c r="G5" s="1266" t="s">
        <v>42</v>
      </c>
      <c r="H5" s="1266" t="s">
        <v>43</v>
      </c>
      <c r="I5" s="1266" t="s">
        <v>42</v>
      </c>
      <c r="J5" s="1266" t="s">
        <v>43</v>
      </c>
      <c r="K5" s="1266" t="s">
        <v>42</v>
      </c>
      <c r="L5" s="1266" t="s">
        <v>43</v>
      </c>
      <c r="M5" s="1266" t="s">
        <v>42</v>
      </c>
      <c r="N5" s="1266" t="s">
        <v>43</v>
      </c>
      <c r="O5" s="1266" t="s">
        <v>42</v>
      </c>
      <c r="P5" s="1266" t="s">
        <v>43</v>
      </c>
      <c r="Q5" s="1266" t="s">
        <v>42</v>
      </c>
      <c r="R5" s="1266" t="s">
        <v>43</v>
      </c>
      <c r="S5" s="33" t="s">
        <v>42</v>
      </c>
      <c r="T5" s="33" t="s">
        <v>43</v>
      </c>
      <c r="U5" s="30" t="s">
        <v>42</v>
      </c>
      <c r="V5" s="30" t="s">
        <v>43</v>
      </c>
      <c r="W5" s="30" t="s">
        <v>42</v>
      </c>
      <c r="X5" s="30" t="s">
        <v>43</v>
      </c>
      <c r="Y5" s="2239"/>
    </row>
    <row r="6" spans="1:25" ht="34.5" customHeight="1" x14ac:dyDescent="0.25">
      <c r="A6" s="12">
        <v>1409935200</v>
      </c>
      <c r="B6" s="1265" t="s">
        <v>71</v>
      </c>
      <c r="C6" s="1263">
        <v>30288</v>
      </c>
      <c r="D6" s="1262">
        <f t="shared" ref="D6:D11" si="0">0.9725*C6</f>
        <v>29455.08</v>
      </c>
      <c r="E6" s="1263"/>
      <c r="F6" s="1262">
        <f>67.1*E6</f>
        <v>0</v>
      </c>
      <c r="G6" s="1263">
        <v>50</v>
      </c>
      <c r="H6" s="1263">
        <f>28.2*G6</f>
        <v>1410</v>
      </c>
      <c r="I6" s="1263">
        <v>830</v>
      </c>
      <c r="J6" s="1263">
        <f>18.5*I6</f>
        <v>15355</v>
      </c>
      <c r="K6" s="1263"/>
      <c r="L6" s="1262">
        <f>28.2368*K6</f>
        <v>0</v>
      </c>
      <c r="M6" s="1263"/>
      <c r="N6" s="1262">
        <f>M6*47.6525</f>
        <v>0</v>
      </c>
      <c r="O6" s="1263"/>
      <c r="P6" s="1262">
        <f>O6*8.9</f>
        <v>0</v>
      </c>
      <c r="Q6" s="1262"/>
      <c r="R6" s="1262">
        <f>241*Q6</f>
        <v>0</v>
      </c>
      <c r="S6" s="1263"/>
      <c r="T6" s="1263">
        <f>241*S6</f>
        <v>0</v>
      </c>
      <c r="U6" s="1263"/>
      <c r="V6" s="1263">
        <f>332*U6</f>
        <v>0</v>
      </c>
      <c r="W6" s="1263"/>
      <c r="X6" s="19">
        <f>W6*100</f>
        <v>0</v>
      </c>
      <c r="Y6" s="20">
        <f t="shared" ref="Y6:Y12" si="1">D6+F6+H6+J6+L6+N6+P6+R6+T6+V6+X6</f>
        <v>46220.08</v>
      </c>
    </row>
    <row r="7" spans="1:25" ht="31.5" customHeight="1" x14ac:dyDescent="0.25">
      <c r="A7" s="12">
        <v>1984225578</v>
      </c>
      <c r="B7" s="1265" t="s">
        <v>72</v>
      </c>
      <c r="C7" s="1263">
        <v>19550</v>
      </c>
      <c r="D7" s="1262">
        <f t="shared" si="0"/>
        <v>19012.375</v>
      </c>
      <c r="E7" s="1263"/>
      <c r="F7" s="1263">
        <f t="shared" ref="F7:F11" si="2">67.1*E7</f>
        <v>0</v>
      </c>
      <c r="G7" s="1263"/>
      <c r="H7" s="1263">
        <f t="shared" ref="H7:H11" si="3">28.2*G7</f>
        <v>0</v>
      </c>
      <c r="I7" s="1263">
        <v>320</v>
      </c>
      <c r="J7" s="1263">
        <f t="shared" ref="J7:J11" si="4">18.5*I7</f>
        <v>5920</v>
      </c>
      <c r="K7" s="1263"/>
      <c r="L7" s="1262">
        <f t="shared" ref="L7:L11" si="5">28.2368*K7</f>
        <v>0</v>
      </c>
      <c r="M7" s="1263"/>
      <c r="N7" s="1262">
        <f t="shared" ref="N7:N11" si="6">M7*47.6525</f>
        <v>0</v>
      </c>
      <c r="O7" s="1263"/>
      <c r="P7" s="1262">
        <f t="shared" ref="P7:P11" si="7">O7*8.9</f>
        <v>0</v>
      </c>
      <c r="Q7" s="1262"/>
      <c r="R7" s="1262">
        <f t="shared" ref="R7:R11" si="8">241*Q7</f>
        <v>0</v>
      </c>
      <c r="S7" s="1263"/>
      <c r="T7" s="1263">
        <f t="shared" ref="T7:T10" si="9">241*S7</f>
        <v>0</v>
      </c>
      <c r="U7" s="1263"/>
      <c r="V7" s="1263">
        <f t="shared" ref="V7:V11" si="10">332*U7</f>
        <v>0</v>
      </c>
      <c r="W7" s="1263"/>
      <c r="X7" s="19">
        <f t="shared" ref="X7:X11" si="11">W7*100</f>
        <v>0</v>
      </c>
      <c r="Y7" s="20">
        <f t="shared" si="1"/>
        <v>24932.375</v>
      </c>
    </row>
    <row r="8" spans="1:25" ht="35.25" customHeight="1" x14ac:dyDescent="0.25">
      <c r="A8" s="12">
        <v>1967020280</v>
      </c>
      <c r="B8" s="1265" t="s">
        <v>427</v>
      </c>
      <c r="C8" s="1263">
        <v>32789</v>
      </c>
      <c r="D8" s="1262">
        <f t="shared" si="0"/>
        <v>31887.302500000002</v>
      </c>
      <c r="E8" s="1263"/>
      <c r="F8" s="1263">
        <f t="shared" si="2"/>
        <v>0</v>
      </c>
      <c r="G8" s="1263">
        <v>150</v>
      </c>
      <c r="H8" s="1262">
        <f t="shared" si="3"/>
        <v>4230</v>
      </c>
      <c r="I8" s="1263">
        <v>1030</v>
      </c>
      <c r="J8" s="1263">
        <f t="shared" si="4"/>
        <v>19055</v>
      </c>
      <c r="K8" s="1263"/>
      <c r="L8" s="1262">
        <f t="shared" si="5"/>
        <v>0</v>
      </c>
      <c r="M8" s="1263"/>
      <c r="N8" s="1262">
        <f t="shared" si="6"/>
        <v>0</v>
      </c>
      <c r="O8" s="1263"/>
      <c r="P8" s="1262">
        <f t="shared" si="7"/>
        <v>0</v>
      </c>
      <c r="Q8" s="1262"/>
      <c r="R8" s="1262">
        <f t="shared" si="8"/>
        <v>0</v>
      </c>
      <c r="S8" s="1263"/>
      <c r="T8" s="1263">
        <f t="shared" si="9"/>
        <v>0</v>
      </c>
      <c r="U8" s="1263"/>
      <c r="V8" s="1263">
        <f t="shared" si="10"/>
        <v>0</v>
      </c>
      <c r="W8" s="1263"/>
      <c r="X8" s="19">
        <f t="shared" si="11"/>
        <v>0</v>
      </c>
      <c r="Y8" s="20">
        <f t="shared" si="1"/>
        <v>55172.302500000005</v>
      </c>
    </row>
    <row r="9" spans="1:25" ht="38.25" customHeight="1" x14ac:dyDescent="0.25">
      <c r="A9" s="12">
        <v>1984225580</v>
      </c>
      <c r="B9" s="1265" t="s">
        <v>75</v>
      </c>
      <c r="C9" s="1263">
        <v>49788</v>
      </c>
      <c r="D9" s="1262">
        <f t="shared" si="0"/>
        <v>48418.83</v>
      </c>
      <c r="E9" s="1263">
        <v>10</v>
      </c>
      <c r="F9" s="1263">
        <f t="shared" si="2"/>
        <v>671</v>
      </c>
      <c r="G9" s="1263"/>
      <c r="H9" s="1263">
        <f t="shared" si="3"/>
        <v>0</v>
      </c>
      <c r="I9" s="1263">
        <v>810</v>
      </c>
      <c r="J9" s="1263">
        <f t="shared" si="4"/>
        <v>14985</v>
      </c>
      <c r="K9" s="1263"/>
      <c r="L9" s="1262">
        <f t="shared" si="5"/>
        <v>0</v>
      </c>
      <c r="M9" s="1263"/>
      <c r="N9" s="1262">
        <f t="shared" si="6"/>
        <v>0</v>
      </c>
      <c r="O9" s="1263"/>
      <c r="P9" s="1262">
        <f t="shared" si="7"/>
        <v>0</v>
      </c>
      <c r="Q9" s="1262"/>
      <c r="R9" s="1262">
        <f t="shared" si="8"/>
        <v>0</v>
      </c>
      <c r="S9" s="1263"/>
      <c r="T9" s="1263">
        <f t="shared" si="9"/>
        <v>0</v>
      </c>
      <c r="U9" s="1263"/>
      <c r="V9" s="1263">
        <f t="shared" si="10"/>
        <v>0</v>
      </c>
      <c r="W9" s="1263"/>
      <c r="X9" s="19">
        <f t="shared" si="11"/>
        <v>0</v>
      </c>
      <c r="Y9" s="20">
        <f t="shared" si="1"/>
        <v>64074.83</v>
      </c>
    </row>
    <row r="10" spans="1:25" ht="35.25" customHeight="1" x14ac:dyDescent="0.25">
      <c r="A10" s="12">
        <v>1409935199</v>
      </c>
      <c r="C10" s="1263"/>
      <c r="D10" s="1262">
        <f t="shared" si="0"/>
        <v>0</v>
      </c>
      <c r="E10" s="1263"/>
      <c r="F10" s="1263">
        <f t="shared" si="2"/>
        <v>0</v>
      </c>
      <c r="G10" s="1263"/>
      <c r="H10" s="1263">
        <f t="shared" si="3"/>
        <v>0</v>
      </c>
      <c r="I10" s="1263"/>
      <c r="J10" s="1263">
        <f t="shared" si="4"/>
        <v>0</v>
      </c>
      <c r="K10" s="1263"/>
      <c r="L10" s="1262">
        <f t="shared" si="5"/>
        <v>0</v>
      </c>
      <c r="M10" s="1263"/>
      <c r="N10" s="1262">
        <f t="shared" si="6"/>
        <v>0</v>
      </c>
      <c r="O10" s="1263">
        <v>280</v>
      </c>
      <c r="P10" s="1262">
        <f t="shared" si="7"/>
        <v>2492</v>
      </c>
      <c r="Q10" s="1262"/>
      <c r="R10" s="1262">
        <f t="shared" si="8"/>
        <v>0</v>
      </c>
      <c r="S10" s="1263"/>
      <c r="T10" s="1263">
        <f t="shared" si="9"/>
        <v>0</v>
      </c>
      <c r="U10" s="1263"/>
      <c r="V10" s="1263">
        <f t="shared" si="10"/>
        <v>0</v>
      </c>
      <c r="W10" s="1263"/>
      <c r="X10" s="19">
        <f t="shared" si="11"/>
        <v>0</v>
      </c>
      <c r="Y10" s="20">
        <f t="shared" si="1"/>
        <v>2492</v>
      </c>
    </row>
    <row r="11" spans="1:25" ht="37.5" customHeight="1" x14ac:dyDescent="0.25">
      <c r="A11" s="12"/>
      <c r="B11" s="1264"/>
      <c r="C11" s="1263"/>
      <c r="D11" s="1262">
        <f t="shared" si="0"/>
        <v>0</v>
      </c>
      <c r="E11" s="1263"/>
      <c r="F11" s="1263">
        <f t="shared" si="2"/>
        <v>0</v>
      </c>
      <c r="G11" s="1263"/>
      <c r="H11" s="1263">
        <f t="shared" si="3"/>
        <v>0</v>
      </c>
      <c r="I11" s="1263"/>
      <c r="J11" s="1263">
        <f t="shared" si="4"/>
        <v>0</v>
      </c>
      <c r="K11" s="1263"/>
      <c r="L11" s="1262">
        <f t="shared" si="5"/>
        <v>0</v>
      </c>
      <c r="M11" s="1263"/>
      <c r="N11" s="1262">
        <f t="shared" si="6"/>
        <v>0</v>
      </c>
      <c r="O11" s="1263"/>
      <c r="P11" s="1262">
        <f t="shared" si="7"/>
        <v>0</v>
      </c>
      <c r="Q11" s="1262"/>
      <c r="R11" s="1262">
        <f t="shared" si="8"/>
        <v>0</v>
      </c>
      <c r="S11" s="1263"/>
      <c r="T11" s="1263">
        <f>341*S11</f>
        <v>0</v>
      </c>
      <c r="U11" s="1263"/>
      <c r="V11" s="1263">
        <f t="shared" si="10"/>
        <v>0</v>
      </c>
      <c r="W11" s="1263"/>
      <c r="X11" s="19">
        <f t="shared" si="11"/>
        <v>0</v>
      </c>
      <c r="Y11" s="20">
        <f t="shared" si="1"/>
        <v>0</v>
      </c>
    </row>
    <row r="12" spans="1:25" ht="29.25" customHeight="1" x14ac:dyDescent="0.25">
      <c r="A12" s="2235" t="s">
        <v>31</v>
      </c>
      <c r="B12" s="2235"/>
      <c r="C12" s="18">
        <f t="shared" ref="C12:X12" si="12">SUM(C6:C11)</f>
        <v>132415</v>
      </c>
      <c r="D12" s="18">
        <f t="shared" si="12"/>
        <v>128773.58750000001</v>
      </c>
      <c r="E12" s="18">
        <f t="shared" si="12"/>
        <v>10</v>
      </c>
      <c r="F12" s="18">
        <f t="shared" si="12"/>
        <v>671</v>
      </c>
      <c r="G12" s="18">
        <f t="shared" si="12"/>
        <v>200</v>
      </c>
      <c r="H12" s="18">
        <f t="shared" si="12"/>
        <v>5640</v>
      </c>
      <c r="I12" s="18">
        <f t="shared" si="12"/>
        <v>2990</v>
      </c>
      <c r="J12" s="18">
        <f t="shared" si="12"/>
        <v>55315</v>
      </c>
      <c r="K12" s="18">
        <f t="shared" si="12"/>
        <v>0</v>
      </c>
      <c r="L12" s="18">
        <f t="shared" si="12"/>
        <v>0</v>
      </c>
      <c r="M12" s="18">
        <f t="shared" si="12"/>
        <v>0</v>
      </c>
      <c r="N12" s="23">
        <f t="shared" si="12"/>
        <v>0</v>
      </c>
      <c r="O12" s="18">
        <f t="shared" si="12"/>
        <v>280</v>
      </c>
      <c r="P12" s="23">
        <f t="shared" si="12"/>
        <v>2492</v>
      </c>
      <c r="Q12" s="23">
        <f t="shared" si="12"/>
        <v>0</v>
      </c>
      <c r="R12" s="23">
        <f>SUM(R6:R11)</f>
        <v>0</v>
      </c>
      <c r="S12" s="23">
        <f>SUM(S6:S11)</f>
        <v>0</v>
      </c>
      <c r="T12" s="18">
        <f t="shared" si="12"/>
        <v>0</v>
      </c>
      <c r="U12" s="18">
        <f t="shared" si="12"/>
        <v>0</v>
      </c>
      <c r="V12" s="18">
        <f t="shared" si="12"/>
        <v>0</v>
      </c>
      <c r="W12" s="18">
        <f t="shared" si="12"/>
        <v>0</v>
      </c>
      <c r="X12" s="18">
        <f t="shared" si="12"/>
        <v>0</v>
      </c>
      <c r="Y12" s="20">
        <f t="shared" si="1"/>
        <v>192891.58750000002</v>
      </c>
    </row>
    <row r="14" spans="1:25" ht="43.5" customHeight="1" x14ac:dyDescent="0.25">
      <c r="A14" s="30" t="s">
        <v>32</v>
      </c>
      <c r="B14" s="2236" t="s">
        <v>27</v>
      </c>
      <c r="C14" s="2236"/>
      <c r="D14" s="30" t="s">
        <v>333</v>
      </c>
      <c r="E14" s="30" t="s">
        <v>65</v>
      </c>
      <c r="F14" s="30" t="s">
        <v>34</v>
      </c>
      <c r="G14" s="30" t="s">
        <v>14</v>
      </c>
      <c r="H14" s="469" t="s">
        <v>173</v>
      </c>
      <c r="I14" s="30" t="s">
        <v>17</v>
      </c>
      <c r="J14" s="1271" t="s">
        <v>174</v>
      </c>
      <c r="K14" s="30" t="s">
        <v>36</v>
      </c>
      <c r="L14" s="1271" t="s">
        <v>403</v>
      </c>
      <c r="M14" s="30" t="s">
        <v>429</v>
      </c>
      <c r="N14" s="30" t="s">
        <v>442</v>
      </c>
      <c r="O14" s="1271" t="s">
        <v>114</v>
      </c>
      <c r="P14" s="30" t="s">
        <v>70</v>
      </c>
      <c r="Q14" s="2300" t="s">
        <v>378</v>
      </c>
      <c r="R14" s="2301"/>
      <c r="S14" s="1271" t="s">
        <v>401</v>
      </c>
      <c r="T14" s="2235" t="s">
        <v>46</v>
      </c>
      <c r="U14" s="1265" t="s">
        <v>176</v>
      </c>
      <c r="V14" s="2260">
        <v>177177</v>
      </c>
      <c r="W14" s="2268"/>
      <c r="X14" s="2261"/>
    </row>
    <row r="15" spans="1:25" ht="22.5" customHeight="1" x14ac:dyDescent="0.25">
      <c r="A15" s="100" t="s">
        <v>38</v>
      </c>
      <c r="B15" s="2260">
        <v>396854</v>
      </c>
      <c r="C15" s="2261"/>
      <c r="D15" s="1268">
        <v>170</v>
      </c>
      <c r="E15" s="1268">
        <v>860</v>
      </c>
      <c r="F15" s="1268">
        <v>13200</v>
      </c>
      <c r="G15" s="1268">
        <v>0</v>
      </c>
      <c r="H15" s="1268">
        <v>161</v>
      </c>
      <c r="I15" s="1268">
        <v>15</v>
      </c>
      <c r="J15" s="1268">
        <v>4</v>
      </c>
      <c r="K15" s="1268">
        <v>76</v>
      </c>
      <c r="L15" s="1268">
        <v>0</v>
      </c>
      <c r="M15" s="1268">
        <v>0</v>
      </c>
      <c r="N15" s="1268">
        <v>280</v>
      </c>
      <c r="O15" s="1268">
        <v>0</v>
      </c>
      <c r="P15" s="1268">
        <v>100</v>
      </c>
      <c r="Q15" s="2260">
        <v>0</v>
      </c>
      <c r="R15" s="2261"/>
      <c r="S15" s="1265">
        <v>6</v>
      </c>
      <c r="T15" s="2235"/>
      <c r="U15" s="1265" t="s">
        <v>64</v>
      </c>
      <c r="V15" s="2262">
        <v>11799</v>
      </c>
      <c r="W15" s="2262"/>
      <c r="X15" s="2262"/>
    </row>
    <row r="16" spans="1:25" ht="24.75" customHeight="1" x14ac:dyDescent="0.25">
      <c r="A16" s="100" t="s">
        <v>39</v>
      </c>
      <c r="B16" s="2260">
        <v>72727</v>
      </c>
      <c r="C16" s="2261"/>
      <c r="D16" s="1268"/>
      <c r="E16" s="1268"/>
      <c r="F16" s="1268">
        <v>7500</v>
      </c>
      <c r="G16" s="1268"/>
      <c r="H16" s="1268"/>
      <c r="I16" s="1268"/>
      <c r="J16" s="1268"/>
      <c r="K16" s="1268"/>
      <c r="L16" s="1268"/>
      <c r="M16" s="1268"/>
      <c r="N16" s="1268"/>
      <c r="O16" s="1268"/>
      <c r="P16" s="1268"/>
      <c r="Q16" s="2225"/>
      <c r="R16" s="2225"/>
      <c r="S16" s="1268"/>
      <c r="T16" s="2254" t="s">
        <v>55</v>
      </c>
      <c r="U16" s="2254"/>
      <c r="V16" s="2267">
        <f>Y12</f>
        <v>192891.58750000002</v>
      </c>
      <c r="W16" s="2267"/>
      <c r="X16" s="2262"/>
    </row>
    <row r="17" spans="1:25" ht="28.5" customHeight="1" x14ac:dyDescent="0.25">
      <c r="A17" s="101" t="s">
        <v>44</v>
      </c>
      <c r="B17" s="2260"/>
      <c r="C17" s="2261"/>
      <c r="D17" s="1268"/>
      <c r="E17" s="1268"/>
      <c r="F17" s="1268"/>
      <c r="G17" s="1268"/>
      <c r="H17" s="1268"/>
      <c r="I17" s="1268"/>
      <c r="J17" s="1268"/>
      <c r="K17" s="1268"/>
      <c r="L17" s="1268"/>
      <c r="M17" s="1268"/>
      <c r="N17" s="1268"/>
      <c r="O17" s="1268"/>
      <c r="P17" s="1268"/>
      <c r="Q17" s="2225"/>
      <c r="R17" s="2225"/>
      <c r="S17" s="1264"/>
      <c r="T17" s="2294" t="s">
        <v>463</v>
      </c>
      <c r="U17" s="2295"/>
      <c r="V17" s="2296"/>
      <c r="W17" s="2296"/>
      <c r="X17" s="2296"/>
    </row>
    <row r="18" spans="1:25" ht="27" customHeight="1" x14ac:dyDescent="0.25">
      <c r="A18" s="100" t="s">
        <v>40</v>
      </c>
      <c r="B18" s="2264">
        <f>C12</f>
        <v>132415</v>
      </c>
      <c r="C18" s="2261"/>
      <c r="D18" s="1270">
        <f>E12</f>
        <v>10</v>
      </c>
      <c r="E18" s="1270">
        <f>G12</f>
        <v>200</v>
      </c>
      <c r="F18" s="1270">
        <f>I12</f>
        <v>2990</v>
      </c>
      <c r="G18" s="1270">
        <f>K12</f>
        <v>0</v>
      </c>
      <c r="H18" s="1268"/>
      <c r="I18" s="1270">
        <f>U12</f>
        <v>0</v>
      </c>
      <c r="J18" s="1268"/>
      <c r="K18" s="1270">
        <f>W12</f>
        <v>0</v>
      </c>
      <c r="L18" s="1268"/>
      <c r="M18" s="1270">
        <f>M12</f>
        <v>0</v>
      </c>
      <c r="N18" s="1270">
        <f>O12</f>
        <v>280</v>
      </c>
      <c r="O18" s="1269">
        <f>Q12</f>
        <v>0</v>
      </c>
      <c r="P18" s="1270"/>
      <c r="Q18" s="2262"/>
      <c r="R18" s="2262"/>
      <c r="S18" s="1265"/>
      <c r="T18" s="2254" t="s">
        <v>57</v>
      </c>
      <c r="U18" s="2254"/>
      <c r="V18" s="2262">
        <v>972</v>
      </c>
      <c r="W18" s="2262"/>
      <c r="X18" s="2262"/>
      <c r="Y18" s="2269"/>
    </row>
    <row r="19" spans="1:25" ht="25.5" customHeight="1" x14ac:dyDescent="0.25">
      <c r="A19" s="100" t="s">
        <v>41</v>
      </c>
      <c r="B19" s="2260">
        <f>B15+B16+B17-B18</f>
        <v>337166</v>
      </c>
      <c r="C19" s="2261"/>
      <c r="D19" s="1268">
        <f>D15+D16+D17-D18</f>
        <v>160</v>
      </c>
      <c r="E19" s="1268">
        <f t="shared" ref="E19:N19" si="13">E15+E16+E17-E18</f>
        <v>660</v>
      </c>
      <c r="F19" s="1268">
        <f t="shared" si="13"/>
        <v>17710</v>
      </c>
      <c r="G19" s="1268">
        <f t="shared" si="13"/>
        <v>0</v>
      </c>
      <c r="H19" s="1268">
        <f t="shared" si="13"/>
        <v>161</v>
      </c>
      <c r="I19" s="1268">
        <f t="shared" si="13"/>
        <v>15</v>
      </c>
      <c r="J19" s="1268">
        <f t="shared" si="13"/>
        <v>4</v>
      </c>
      <c r="K19" s="1268">
        <f t="shared" si="13"/>
        <v>76</v>
      </c>
      <c r="L19" s="1268">
        <f t="shared" si="13"/>
        <v>0</v>
      </c>
      <c r="M19" s="1268">
        <f t="shared" si="13"/>
        <v>0</v>
      </c>
      <c r="N19" s="1268">
        <f t="shared" si="13"/>
        <v>0</v>
      </c>
      <c r="O19" s="1268">
        <f>O15+O16+O17-O18</f>
        <v>0</v>
      </c>
      <c r="P19" s="1268">
        <f t="shared" ref="P19:Q19" si="14">P15+P16+P17-P18</f>
        <v>100</v>
      </c>
      <c r="Q19" s="2260">
        <f t="shared" si="14"/>
        <v>0</v>
      </c>
      <c r="R19" s="2261"/>
      <c r="S19" s="1265">
        <f>S15+S16-S17-S18</f>
        <v>6</v>
      </c>
      <c r="T19" s="2256" t="s">
        <v>48</v>
      </c>
      <c r="U19" s="49" t="s">
        <v>58</v>
      </c>
      <c r="V19" s="2262">
        <v>248110</v>
      </c>
      <c r="W19" s="2262"/>
      <c r="X19" s="2262"/>
      <c r="Y19" s="2269"/>
    </row>
    <row r="20" spans="1:25" ht="23.25" customHeight="1" x14ac:dyDescent="0.25">
      <c r="A20" s="289" t="s">
        <v>187</v>
      </c>
      <c r="B20" s="2286">
        <f>B19*0.9625</f>
        <v>324522.27500000002</v>
      </c>
      <c r="C20" s="2287"/>
      <c r="D20" s="290">
        <f>D19*66.41</f>
        <v>10625.599999999999</v>
      </c>
      <c r="E20" s="290">
        <f>27.9368*E19</f>
        <v>18438.288</v>
      </c>
      <c r="F20" s="290">
        <f>18.31*F19</f>
        <v>324270.09999999998</v>
      </c>
      <c r="G20" s="290">
        <f>27.9368*G19</f>
        <v>0</v>
      </c>
      <c r="H20" s="290">
        <f>241*H19</f>
        <v>38801</v>
      </c>
      <c r="I20" s="290">
        <f>323*I19</f>
        <v>4845</v>
      </c>
      <c r="J20" s="290">
        <f>241*J19</f>
        <v>964</v>
      </c>
      <c r="K20" s="290">
        <f>K19*100</f>
        <v>7600</v>
      </c>
      <c r="L20" s="290">
        <f>241*L19</f>
        <v>0</v>
      </c>
      <c r="M20" s="290">
        <f>47.1625*M19</f>
        <v>0</v>
      </c>
      <c r="N20" s="290">
        <f>N19*8.81</f>
        <v>0</v>
      </c>
      <c r="O20" s="290">
        <f>241*O19</f>
        <v>0</v>
      </c>
      <c r="P20" s="290">
        <f>P19*48.2</f>
        <v>4820</v>
      </c>
      <c r="Q20" s="2286">
        <f>341*Q19</f>
        <v>0</v>
      </c>
      <c r="R20" s="2287"/>
      <c r="S20" s="290">
        <f>341*S19</f>
        <v>2046</v>
      </c>
      <c r="T20" s="2257"/>
      <c r="U20" s="49" t="s">
        <v>59</v>
      </c>
      <c r="V20" s="2262"/>
      <c r="W20" s="2262"/>
      <c r="X20" s="2262"/>
      <c r="Y20" s="2269"/>
    </row>
    <row r="21" spans="1:25" ht="32.25" customHeight="1" x14ac:dyDescent="0.25">
      <c r="A21" s="291" t="s">
        <v>186</v>
      </c>
      <c r="B21" s="2293">
        <f>SUM(B20:S20)</f>
        <v>736932.26300000004</v>
      </c>
      <c r="C21" s="2293"/>
      <c r="O21" s="1272"/>
      <c r="P21" s="1272"/>
      <c r="Q21" s="1272"/>
      <c r="R21" s="1272"/>
      <c r="T21" s="2294" t="s">
        <v>464</v>
      </c>
      <c r="U21" s="2295"/>
      <c r="V21" s="2297"/>
      <c r="W21" s="2298"/>
      <c r="X21" s="2299"/>
      <c r="Y21" s="2269"/>
    </row>
    <row r="22" spans="1:25" ht="35.25" customHeight="1" x14ac:dyDescent="0.25">
      <c r="A22" s="15"/>
      <c r="B22" s="2288" t="s">
        <v>49</v>
      </c>
      <c r="C22" s="2291">
        <v>248110</v>
      </c>
      <c r="D22" s="2291">
        <v>248110</v>
      </c>
      <c r="E22" s="2291">
        <v>207325</v>
      </c>
      <c r="F22" s="2291">
        <f>C22-D22+E22</f>
        <v>207325</v>
      </c>
      <c r="G22" s="1272"/>
      <c r="Q22" s="1272"/>
      <c r="R22" s="1272"/>
      <c r="T22" s="2251" t="s">
        <v>83</v>
      </c>
      <c r="U22" s="50" t="s">
        <v>60</v>
      </c>
      <c r="V22" s="2262">
        <v>332780</v>
      </c>
      <c r="W22" s="2262"/>
      <c r="X22" s="2262"/>
      <c r="Y22" s="2269"/>
    </row>
    <row r="23" spans="1:25" ht="39.75" customHeight="1" x14ac:dyDescent="0.25">
      <c r="A23" s="1272"/>
      <c r="B23" s="2289"/>
      <c r="C23" s="2292"/>
      <c r="D23" s="2292"/>
      <c r="E23" s="2292"/>
      <c r="F23" s="2292"/>
      <c r="G23" s="1272"/>
      <c r="Q23" s="1272"/>
      <c r="R23" s="1272"/>
      <c r="T23" s="2252"/>
      <c r="U23" s="50" t="s">
        <v>61</v>
      </c>
      <c r="V23" s="2262">
        <v>248110</v>
      </c>
      <c r="W23" s="2262"/>
      <c r="X23" s="2262"/>
      <c r="Y23" s="2269"/>
    </row>
    <row r="24" spans="1:25" ht="48" customHeight="1" x14ac:dyDescent="0.25">
      <c r="A24" s="1272"/>
      <c r="B24" s="2290"/>
      <c r="C24" s="290" t="s">
        <v>46</v>
      </c>
      <c r="D24" s="290" t="s">
        <v>50</v>
      </c>
      <c r="E24" s="290" t="s">
        <v>51</v>
      </c>
      <c r="F24" s="290" t="s">
        <v>52</v>
      </c>
      <c r="G24" s="1272"/>
      <c r="Q24" s="1272"/>
      <c r="R24" s="1272"/>
      <c r="T24" s="2235" t="s">
        <v>47</v>
      </c>
      <c r="U24" s="51" t="s">
        <v>62</v>
      </c>
      <c r="V24" s="2263">
        <f>V14+V16+V17-V18-V19-V20-V22+V23-V21</f>
        <v>36316.587500000023</v>
      </c>
      <c r="W24" s="2263"/>
      <c r="X24" s="2263"/>
      <c r="Y24" s="2269"/>
    </row>
    <row r="25" spans="1:25" ht="40.5" customHeight="1" x14ac:dyDescent="0.25">
      <c r="T25" s="2235"/>
      <c r="U25" s="51" t="s">
        <v>63</v>
      </c>
      <c r="V25" s="2262">
        <f>V15+V22-V23</f>
        <v>96469</v>
      </c>
      <c r="W25" s="2262"/>
      <c r="X25" s="2262"/>
    </row>
    <row r="26" spans="1:25" ht="36" customHeight="1" x14ac:dyDescent="0.25">
      <c r="K26" s="314"/>
    </row>
    <row r="28" spans="1:25" x14ac:dyDescent="0.25">
      <c r="J28" s="14" t="s">
        <v>139</v>
      </c>
    </row>
    <row r="32" spans="1:25" x14ac:dyDescent="0.25">
      <c r="I32" s="2280"/>
      <c r="J32" s="2280"/>
      <c r="K32" s="2280"/>
      <c r="L32" s="2280"/>
    </row>
    <row r="33" spans="9:12" x14ac:dyDescent="0.25">
      <c r="I33" s="1272"/>
      <c r="J33" s="1272"/>
      <c r="K33" s="2280"/>
      <c r="L33" s="2280"/>
    </row>
  </sheetData>
  <mergeCells count="62">
    <mergeCell ref="A1:Y1"/>
    <mergeCell ref="A2:Y2"/>
    <mergeCell ref="T3:Y3"/>
    <mergeCell ref="A4:A5"/>
    <mergeCell ref="B4:B5"/>
    <mergeCell ref="C4:D4"/>
    <mergeCell ref="E4:F4"/>
    <mergeCell ref="G4:H4"/>
    <mergeCell ref="I4:J4"/>
    <mergeCell ref="K4:L4"/>
    <mergeCell ref="Y4:Y5"/>
    <mergeCell ref="M4:N4"/>
    <mergeCell ref="O4:P4"/>
    <mergeCell ref="Q4:R4"/>
    <mergeCell ref="S4:T4"/>
    <mergeCell ref="U4:V4"/>
    <mergeCell ref="W4:X4"/>
    <mergeCell ref="B16:C16"/>
    <mergeCell ref="Q16:R16"/>
    <mergeCell ref="T16:U16"/>
    <mergeCell ref="V16:X16"/>
    <mergeCell ref="A12:B12"/>
    <mergeCell ref="B14:C14"/>
    <mergeCell ref="Q14:R14"/>
    <mergeCell ref="T14:T15"/>
    <mergeCell ref="V14:X14"/>
    <mergeCell ref="B15:C15"/>
    <mergeCell ref="Q15:R15"/>
    <mergeCell ref="V15:X15"/>
    <mergeCell ref="B17:C17"/>
    <mergeCell ref="Q17:R17"/>
    <mergeCell ref="T17:U17"/>
    <mergeCell ref="V17:X17"/>
    <mergeCell ref="B18:C18"/>
    <mergeCell ref="Q18:R18"/>
    <mergeCell ref="T18:U18"/>
    <mergeCell ref="V18:X18"/>
    <mergeCell ref="Y18:Y24"/>
    <mergeCell ref="B19:C19"/>
    <mergeCell ref="Q19:R19"/>
    <mergeCell ref="T19:T20"/>
    <mergeCell ref="V19:X19"/>
    <mergeCell ref="B20:C20"/>
    <mergeCell ref="B22:B24"/>
    <mergeCell ref="C22:C23"/>
    <mergeCell ref="D22:D23"/>
    <mergeCell ref="E22:E23"/>
    <mergeCell ref="F22:F23"/>
    <mergeCell ref="Q20:R20"/>
    <mergeCell ref="V20:X20"/>
    <mergeCell ref="B21:C21"/>
    <mergeCell ref="T21:U21"/>
    <mergeCell ref="V21:X21"/>
    <mergeCell ref="I32:J32"/>
    <mergeCell ref="K32:L32"/>
    <mergeCell ref="K33:L33"/>
    <mergeCell ref="T22:T23"/>
    <mergeCell ref="V22:X22"/>
    <mergeCell ref="V23:X23"/>
    <mergeCell ref="T24:T25"/>
    <mergeCell ref="V24:X24"/>
    <mergeCell ref="V25:X25"/>
  </mergeCells>
  <pageMargins left="0.15748031496063" right="0.15748031496063" top="0" bottom="0" header="0" footer="0"/>
  <pageSetup paperSize="9" scale="45" orientation="landscape" r:id="rId1"/>
</worksheet>
</file>

<file path=xl/worksheets/sheet2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2B0CAB8-6670-43E3-B990-D04EA34024B0}">
  <sheetPr>
    <pageSetUpPr fitToPage="1"/>
  </sheetPr>
  <dimension ref="A1:Y33"/>
  <sheetViews>
    <sheetView topLeftCell="A7" zoomScale="70" zoomScaleNormal="70" zoomScaleSheetLayoutView="100" zoomScalePageLayoutView="68" workbookViewId="0">
      <selection activeCell="M26" sqref="M26"/>
    </sheetView>
  </sheetViews>
  <sheetFormatPr defaultColWidth="9.140625" defaultRowHeight="15" x14ac:dyDescent="0.25"/>
  <cols>
    <col min="1" max="1" width="18.28515625" style="14" customWidth="1"/>
    <col min="2" max="2" width="10.7109375" style="14" customWidth="1"/>
    <col min="3" max="3" width="12.28515625" style="14" customWidth="1"/>
    <col min="4" max="4" width="13.140625" style="14" bestFit="1" customWidth="1"/>
    <col min="5" max="5" width="12" style="14" customWidth="1"/>
    <col min="6" max="6" width="12.5703125" style="14" bestFit="1" customWidth="1"/>
    <col min="7" max="7" width="16" style="14" bestFit="1" customWidth="1"/>
    <col min="8" max="8" width="10.140625" style="14" bestFit="1" customWidth="1"/>
    <col min="9" max="9" width="10.5703125" style="14" bestFit="1" customWidth="1"/>
    <col min="10" max="10" width="10.5703125" style="14" customWidth="1"/>
    <col min="11" max="11" width="10.28515625" style="14" bestFit="1" customWidth="1"/>
    <col min="12" max="12" width="10.42578125" style="14" bestFit="1" customWidth="1"/>
    <col min="13" max="14" width="12" style="14" bestFit="1" customWidth="1"/>
    <col min="15" max="15" width="9" style="14" customWidth="1"/>
    <col min="16" max="16" width="12.85546875" style="14" bestFit="1" customWidth="1"/>
    <col min="17" max="18" width="9.42578125" style="14" customWidth="1"/>
    <col min="19" max="19" width="13.7109375" style="14" customWidth="1"/>
    <col min="20" max="20" width="12.140625" style="14" customWidth="1"/>
    <col min="21" max="21" width="21.7109375" style="14" customWidth="1"/>
    <col min="22" max="22" width="9.85546875" style="14" customWidth="1"/>
    <col min="23" max="23" width="10.140625" style="14" bestFit="1" customWidth="1"/>
    <col min="24" max="24" width="10.28515625" style="14" customWidth="1"/>
    <col min="25" max="25" width="15.7109375" style="14" customWidth="1"/>
    <col min="26" max="16384" width="9.140625" style="14"/>
  </cols>
  <sheetData>
    <row r="1" spans="1:25" ht="46.15" customHeight="1" x14ac:dyDescent="0.25">
      <c r="A1" s="2240" t="s">
        <v>148</v>
      </c>
      <c r="B1" s="2240"/>
      <c r="C1" s="2240"/>
      <c r="D1" s="2240"/>
      <c r="E1" s="2240"/>
      <c r="F1" s="2240"/>
      <c r="G1" s="2240"/>
      <c r="H1" s="2240"/>
      <c r="I1" s="2240"/>
      <c r="J1" s="2240"/>
      <c r="K1" s="2240"/>
      <c r="L1" s="2240"/>
      <c r="M1" s="2240"/>
      <c r="N1" s="2240"/>
      <c r="O1" s="2240"/>
      <c r="P1" s="2240"/>
      <c r="Q1" s="2240"/>
      <c r="R1" s="2240"/>
      <c r="S1" s="2240"/>
      <c r="T1" s="2240"/>
      <c r="U1" s="2240"/>
      <c r="V1" s="2240"/>
      <c r="W1" s="2240"/>
      <c r="X1" s="2240"/>
      <c r="Y1" s="2240"/>
    </row>
    <row r="2" spans="1:25" ht="21.6" customHeight="1" x14ac:dyDescent="0.25">
      <c r="A2" s="2241" t="s">
        <v>383</v>
      </c>
      <c r="B2" s="2241"/>
      <c r="C2" s="2241"/>
      <c r="D2" s="2241"/>
      <c r="E2" s="2241"/>
      <c r="F2" s="2241"/>
      <c r="G2" s="2241"/>
      <c r="H2" s="2241"/>
      <c r="I2" s="2241"/>
      <c r="J2" s="2241"/>
      <c r="K2" s="2241"/>
      <c r="L2" s="2241"/>
      <c r="M2" s="2241"/>
      <c r="N2" s="2241"/>
      <c r="O2" s="2241"/>
      <c r="P2" s="2241"/>
      <c r="Q2" s="2241"/>
      <c r="R2" s="2241"/>
      <c r="S2" s="2241"/>
      <c r="T2" s="2241"/>
      <c r="U2" s="2241"/>
      <c r="V2" s="2241"/>
      <c r="W2" s="2241"/>
      <c r="X2" s="2241"/>
      <c r="Y2" s="2241"/>
    </row>
    <row r="3" spans="1:25" ht="21" customHeight="1" x14ac:dyDescent="0.25">
      <c r="A3" s="1273"/>
      <c r="B3" s="1273"/>
      <c r="C3" s="1273"/>
      <c r="D3" s="1273"/>
      <c r="E3" s="1273"/>
      <c r="F3" s="1273"/>
      <c r="G3" s="1273"/>
      <c r="H3" s="1273"/>
      <c r="I3" s="1273"/>
      <c r="J3" s="1273"/>
      <c r="K3" s="1273"/>
      <c r="L3" s="1273"/>
      <c r="M3" s="1273"/>
      <c r="N3" s="1273"/>
      <c r="O3" s="1273"/>
      <c r="P3" s="1273"/>
      <c r="Q3" s="1273"/>
      <c r="R3" s="1273"/>
      <c r="S3" s="1273"/>
      <c r="T3" s="2242" t="s">
        <v>471</v>
      </c>
      <c r="U3" s="2242"/>
      <c r="V3" s="2242"/>
      <c r="W3" s="2242"/>
      <c r="X3" s="2242"/>
      <c r="Y3" s="2242"/>
    </row>
    <row r="4" spans="1:25" s="1273" customFormat="1" ht="18" customHeight="1" x14ac:dyDescent="0.25">
      <c r="A4" s="2243" t="s">
        <v>25</v>
      </c>
      <c r="B4" s="2243" t="s">
        <v>26</v>
      </c>
      <c r="C4" s="2244" t="s">
        <v>27</v>
      </c>
      <c r="D4" s="2244"/>
      <c r="E4" s="2244" t="s">
        <v>342</v>
      </c>
      <c r="F4" s="2244"/>
      <c r="G4" s="2244" t="s">
        <v>65</v>
      </c>
      <c r="H4" s="2244"/>
      <c r="I4" s="2244" t="s">
        <v>29</v>
      </c>
      <c r="J4" s="2244"/>
      <c r="K4" s="2245" t="s">
        <v>14</v>
      </c>
      <c r="L4" s="2246"/>
      <c r="M4" s="2245" t="s">
        <v>429</v>
      </c>
      <c r="N4" s="2246"/>
      <c r="O4" s="2245" t="s">
        <v>441</v>
      </c>
      <c r="P4" s="2246"/>
      <c r="Q4" s="2245" t="s">
        <v>114</v>
      </c>
      <c r="R4" s="2246"/>
      <c r="S4" s="2244" t="s">
        <v>35</v>
      </c>
      <c r="T4" s="2244"/>
      <c r="U4" s="2245" t="s">
        <v>17</v>
      </c>
      <c r="V4" s="2246"/>
      <c r="W4" s="2247" t="s">
        <v>36</v>
      </c>
      <c r="X4" s="2248"/>
      <c r="Y4" s="2238" t="s">
        <v>30</v>
      </c>
    </row>
    <row r="5" spans="1:25" s="1273" customFormat="1" ht="25.5" customHeight="1" x14ac:dyDescent="0.25">
      <c r="A5" s="2243"/>
      <c r="B5" s="2243"/>
      <c r="C5" s="1275" t="s">
        <v>42</v>
      </c>
      <c r="D5" s="1275" t="s">
        <v>43</v>
      </c>
      <c r="E5" s="1275" t="s">
        <v>42</v>
      </c>
      <c r="F5" s="1275" t="s">
        <v>43</v>
      </c>
      <c r="G5" s="1275" t="s">
        <v>42</v>
      </c>
      <c r="H5" s="1275" t="s">
        <v>43</v>
      </c>
      <c r="I5" s="1275" t="s">
        <v>42</v>
      </c>
      <c r="J5" s="1275" t="s">
        <v>43</v>
      </c>
      <c r="K5" s="1275" t="s">
        <v>42</v>
      </c>
      <c r="L5" s="1275" t="s">
        <v>43</v>
      </c>
      <c r="M5" s="1275" t="s">
        <v>42</v>
      </c>
      <c r="N5" s="1275" t="s">
        <v>43</v>
      </c>
      <c r="O5" s="1275" t="s">
        <v>42</v>
      </c>
      <c r="P5" s="1275" t="s">
        <v>43</v>
      </c>
      <c r="Q5" s="1275" t="s">
        <v>42</v>
      </c>
      <c r="R5" s="1275" t="s">
        <v>43</v>
      </c>
      <c r="S5" s="33" t="s">
        <v>42</v>
      </c>
      <c r="T5" s="33" t="s">
        <v>43</v>
      </c>
      <c r="U5" s="30" t="s">
        <v>42</v>
      </c>
      <c r="V5" s="30" t="s">
        <v>43</v>
      </c>
      <c r="W5" s="30" t="s">
        <v>42</v>
      </c>
      <c r="X5" s="30" t="s">
        <v>43</v>
      </c>
      <c r="Y5" s="2239"/>
    </row>
    <row r="6" spans="1:25" ht="34.5" customHeight="1" x14ac:dyDescent="0.25">
      <c r="A6" s="12">
        <v>1409935200</v>
      </c>
      <c r="B6" s="1274" t="s">
        <v>71</v>
      </c>
      <c r="C6" s="1277">
        <v>34889</v>
      </c>
      <c r="D6" s="1278">
        <f t="shared" ref="D6:D11" si="0">0.9725*C6</f>
        <v>33929.552499999998</v>
      </c>
      <c r="E6" s="1277"/>
      <c r="F6" s="1278">
        <f>67.1*E6</f>
        <v>0</v>
      </c>
      <c r="G6" s="1277">
        <v>20</v>
      </c>
      <c r="H6" s="1277">
        <f>28.2*G6</f>
        <v>564</v>
      </c>
      <c r="I6" s="1277">
        <v>410</v>
      </c>
      <c r="J6" s="1277">
        <f>18.5*I6</f>
        <v>7585</v>
      </c>
      <c r="K6" s="1277"/>
      <c r="L6" s="1278">
        <f>28.2368*K6</f>
        <v>0</v>
      </c>
      <c r="M6" s="1277"/>
      <c r="N6" s="1278">
        <f>M6*47.6525</f>
        <v>0</v>
      </c>
      <c r="O6" s="1277"/>
      <c r="P6" s="1278">
        <f>O6*8.9</f>
        <v>0</v>
      </c>
      <c r="Q6" s="1278"/>
      <c r="R6" s="1278">
        <f>241*Q6</f>
        <v>0</v>
      </c>
      <c r="S6" s="1277"/>
      <c r="T6" s="1277">
        <f>241*S6</f>
        <v>0</v>
      </c>
      <c r="U6" s="1277"/>
      <c r="V6" s="1277">
        <f>332*U6</f>
        <v>0</v>
      </c>
      <c r="W6" s="1277"/>
      <c r="X6" s="19">
        <f>W6*100</f>
        <v>0</v>
      </c>
      <c r="Y6" s="20">
        <f t="shared" ref="Y6:Y12" si="1">D6+F6+H6+J6+L6+N6+P6+R6+T6+V6+X6</f>
        <v>42078.552499999998</v>
      </c>
    </row>
    <row r="7" spans="1:25" ht="31.5" customHeight="1" x14ac:dyDescent="0.25">
      <c r="A7" s="12">
        <v>1984225578</v>
      </c>
      <c r="B7" s="1274" t="s">
        <v>72</v>
      </c>
      <c r="C7" s="1277">
        <v>22306</v>
      </c>
      <c r="D7" s="1278">
        <f t="shared" si="0"/>
        <v>21692.584999999999</v>
      </c>
      <c r="E7" s="1277"/>
      <c r="F7" s="1277">
        <f t="shared" ref="F7:F11" si="2">67.1*E7</f>
        <v>0</v>
      </c>
      <c r="G7" s="1277"/>
      <c r="H7" s="1277">
        <f t="shared" ref="H7:H11" si="3">28.2*G7</f>
        <v>0</v>
      </c>
      <c r="I7" s="1277">
        <v>440</v>
      </c>
      <c r="J7" s="1277">
        <f t="shared" ref="J7:J11" si="4">18.5*I7</f>
        <v>8140</v>
      </c>
      <c r="K7" s="1277"/>
      <c r="L7" s="1278">
        <f t="shared" ref="L7:L11" si="5">28.2368*K7</f>
        <v>0</v>
      </c>
      <c r="M7" s="1277"/>
      <c r="N7" s="1278">
        <f t="shared" ref="N7:N11" si="6">M7*47.6525</f>
        <v>0</v>
      </c>
      <c r="O7" s="1277"/>
      <c r="P7" s="1278">
        <f t="shared" ref="P7:P11" si="7">O7*8.9</f>
        <v>0</v>
      </c>
      <c r="Q7" s="1278"/>
      <c r="R7" s="1278">
        <f t="shared" ref="R7:R11" si="8">241*Q7</f>
        <v>0</v>
      </c>
      <c r="S7" s="1277"/>
      <c r="T7" s="1277">
        <f t="shared" ref="T7:T10" si="9">241*S7</f>
        <v>0</v>
      </c>
      <c r="U7" s="1277"/>
      <c r="V7" s="1277">
        <f t="shared" ref="V7:V11" si="10">332*U7</f>
        <v>0</v>
      </c>
      <c r="W7" s="1277"/>
      <c r="X7" s="19">
        <f t="shared" ref="X7:X11" si="11">W7*100</f>
        <v>0</v>
      </c>
      <c r="Y7" s="20">
        <f t="shared" si="1"/>
        <v>29832.584999999999</v>
      </c>
    </row>
    <row r="8" spans="1:25" ht="35.25" customHeight="1" x14ac:dyDescent="0.25">
      <c r="A8" s="12">
        <v>1967020280</v>
      </c>
      <c r="B8" s="1274" t="s">
        <v>427</v>
      </c>
      <c r="C8" s="1277">
        <v>27308</v>
      </c>
      <c r="D8" s="1278">
        <f t="shared" si="0"/>
        <v>26557.030000000002</v>
      </c>
      <c r="E8" s="1277"/>
      <c r="F8" s="1277">
        <f t="shared" si="2"/>
        <v>0</v>
      </c>
      <c r="G8" s="1277"/>
      <c r="H8" s="1278">
        <f t="shared" si="3"/>
        <v>0</v>
      </c>
      <c r="I8" s="1277">
        <v>260</v>
      </c>
      <c r="J8" s="1277">
        <f t="shared" si="4"/>
        <v>4810</v>
      </c>
      <c r="K8" s="1277"/>
      <c r="L8" s="1278">
        <f t="shared" si="5"/>
        <v>0</v>
      </c>
      <c r="M8" s="1277"/>
      <c r="N8" s="1278">
        <f t="shared" si="6"/>
        <v>0</v>
      </c>
      <c r="O8" s="1277"/>
      <c r="P8" s="1278">
        <f t="shared" si="7"/>
        <v>0</v>
      </c>
      <c r="Q8" s="1278"/>
      <c r="R8" s="1278">
        <f t="shared" si="8"/>
        <v>0</v>
      </c>
      <c r="S8" s="1277"/>
      <c r="T8" s="1277">
        <f t="shared" si="9"/>
        <v>0</v>
      </c>
      <c r="U8" s="1277"/>
      <c r="V8" s="1277">
        <f t="shared" si="10"/>
        <v>0</v>
      </c>
      <c r="W8" s="1277"/>
      <c r="X8" s="19">
        <f t="shared" si="11"/>
        <v>0</v>
      </c>
      <c r="Y8" s="20">
        <f t="shared" si="1"/>
        <v>31367.030000000002</v>
      </c>
    </row>
    <row r="9" spans="1:25" ht="38.25" customHeight="1" x14ac:dyDescent="0.25">
      <c r="A9" s="12">
        <v>1984225580</v>
      </c>
      <c r="B9" s="1274" t="s">
        <v>75</v>
      </c>
      <c r="C9" s="1277">
        <v>24664</v>
      </c>
      <c r="D9" s="1278">
        <f t="shared" si="0"/>
        <v>23985.74</v>
      </c>
      <c r="E9" s="1277"/>
      <c r="F9" s="1277">
        <f t="shared" si="2"/>
        <v>0</v>
      </c>
      <c r="G9" s="1277"/>
      <c r="H9" s="1277">
        <f t="shared" si="3"/>
        <v>0</v>
      </c>
      <c r="I9" s="1277">
        <v>1630</v>
      </c>
      <c r="J9" s="1277">
        <f t="shared" si="4"/>
        <v>30155</v>
      </c>
      <c r="K9" s="1277"/>
      <c r="L9" s="1278">
        <f t="shared" si="5"/>
        <v>0</v>
      </c>
      <c r="M9" s="1277"/>
      <c r="N9" s="1278">
        <f t="shared" si="6"/>
        <v>0</v>
      </c>
      <c r="O9" s="1277"/>
      <c r="P9" s="1278">
        <f t="shared" si="7"/>
        <v>0</v>
      </c>
      <c r="Q9" s="1278"/>
      <c r="R9" s="1278">
        <f t="shared" si="8"/>
        <v>0</v>
      </c>
      <c r="S9" s="1277"/>
      <c r="T9" s="1277">
        <f t="shared" si="9"/>
        <v>0</v>
      </c>
      <c r="U9" s="1277"/>
      <c r="V9" s="1277">
        <f t="shared" si="10"/>
        <v>0</v>
      </c>
      <c r="W9" s="1277">
        <v>1</v>
      </c>
      <c r="X9" s="19">
        <f t="shared" si="11"/>
        <v>100</v>
      </c>
      <c r="Y9" s="20">
        <f t="shared" si="1"/>
        <v>54240.740000000005</v>
      </c>
    </row>
    <row r="10" spans="1:25" ht="35.25" customHeight="1" x14ac:dyDescent="0.25">
      <c r="A10" s="12">
        <v>1409935199</v>
      </c>
      <c r="C10" s="1277"/>
      <c r="D10" s="1278">
        <f t="shared" si="0"/>
        <v>0</v>
      </c>
      <c r="E10" s="1277"/>
      <c r="F10" s="1277">
        <f t="shared" si="2"/>
        <v>0</v>
      </c>
      <c r="G10" s="1277"/>
      <c r="H10" s="1277">
        <f t="shared" si="3"/>
        <v>0</v>
      </c>
      <c r="I10" s="1277"/>
      <c r="J10" s="1277">
        <f t="shared" si="4"/>
        <v>0</v>
      </c>
      <c r="K10" s="1277"/>
      <c r="L10" s="1278">
        <f t="shared" si="5"/>
        <v>0</v>
      </c>
      <c r="M10" s="1277"/>
      <c r="N10" s="1278">
        <f t="shared" si="6"/>
        <v>0</v>
      </c>
      <c r="O10" s="1277"/>
      <c r="P10" s="1278">
        <f t="shared" si="7"/>
        <v>0</v>
      </c>
      <c r="Q10" s="1278"/>
      <c r="R10" s="1278">
        <f t="shared" si="8"/>
        <v>0</v>
      </c>
      <c r="S10" s="1277"/>
      <c r="T10" s="1277">
        <f t="shared" si="9"/>
        <v>0</v>
      </c>
      <c r="U10" s="1277"/>
      <c r="V10" s="1277">
        <f t="shared" si="10"/>
        <v>0</v>
      </c>
      <c r="W10" s="1277"/>
      <c r="X10" s="19">
        <f t="shared" si="11"/>
        <v>0</v>
      </c>
      <c r="Y10" s="20">
        <f t="shared" si="1"/>
        <v>0</v>
      </c>
    </row>
    <row r="11" spans="1:25" ht="37.5" customHeight="1" x14ac:dyDescent="0.25">
      <c r="A11" s="12"/>
      <c r="B11" s="1276"/>
      <c r="C11" s="1277"/>
      <c r="D11" s="1278">
        <f t="shared" si="0"/>
        <v>0</v>
      </c>
      <c r="E11" s="1277"/>
      <c r="F11" s="1277">
        <f t="shared" si="2"/>
        <v>0</v>
      </c>
      <c r="G11" s="1277"/>
      <c r="H11" s="1277">
        <f t="shared" si="3"/>
        <v>0</v>
      </c>
      <c r="I11" s="1277"/>
      <c r="J11" s="1277">
        <f t="shared" si="4"/>
        <v>0</v>
      </c>
      <c r="K11" s="1277"/>
      <c r="L11" s="1278">
        <f t="shared" si="5"/>
        <v>0</v>
      </c>
      <c r="M11" s="1277"/>
      <c r="N11" s="1278">
        <f t="shared" si="6"/>
        <v>0</v>
      </c>
      <c r="O11" s="1277"/>
      <c r="P11" s="1278">
        <f t="shared" si="7"/>
        <v>0</v>
      </c>
      <c r="Q11" s="1278"/>
      <c r="R11" s="1278">
        <f t="shared" si="8"/>
        <v>0</v>
      </c>
      <c r="S11" s="1277"/>
      <c r="T11" s="1277">
        <f>341*S11</f>
        <v>0</v>
      </c>
      <c r="U11" s="1277"/>
      <c r="V11" s="1277">
        <f t="shared" si="10"/>
        <v>0</v>
      </c>
      <c r="W11" s="1277"/>
      <c r="X11" s="19">
        <f t="shared" si="11"/>
        <v>0</v>
      </c>
      <c r="Y11" s="20">
        <f t="shared" si="1"/>
        <v>0</v>
      </c>
    </row>
    <row r="12" spans="1:25" ht="29.25" customHeight="1" x14ac:dyDescent="0.25">
      <c r="A12" s="2235" t="s">
        <v>31</v>
      </c>
      <c r="B12" s="2235"/>
      <c r="C12" s="18">
        <f t="shared" ref="C12:X12" si="12">SUM(C6:C11)</f>
        <v>109167</v>
      </c>
      <c r="D12" s="18">
        <f t="shared" si="12"/>
        <v>106164.9075</v>
      </c>
      <c r="E12" s="18">
        <f t="shared" si="12"/>
        <v>0</v>
      </c>
      <c r="F12" s="18">
        <f t="shared" si="12"/>
        <v>0</v>
      </c>
      <c r="G12" s="18">
        <f t="shared" si="12"/>
        <v>20</v>
      </c>
      <c r="H12" s="18">
        <f t="shared" si="12"/>
        <v>564</v>
      </c>
      <c r="I12" s="18">
        <f t="shared" si="12"/>
        <v>2740</v>
      </c>
      <c r="J12" s="18">
        <f t="shared" si="12"/>
        <v>50690</v>
      </c>
      <c r="K12" s="18">
        <f t="shared" si="12"/>
        <v>0</v>
      </c>
      <c r="L12" s="18">
        <f t="shared" si="12"/>
        <v>0</v>
      </c>
      <c r="M12" s="18">
        <f t="shared" si="12"/>
        <v>0</v>
      </c>
      <c r="N12" s="23">
        <f t="shared" si="12"/>
        <v>0</v>
      </c>
      <c r="O12" s="18">
        <f t="shared" si="12"/>
        <v>0</v>
      </c>
      <c r="P12" s="23">
        <f t="shared" si="12"/>
        <v>0</v>
      </c>
      <c r="Q12" s="23">
        <f t="shared" si="12"/>
        <v>0</v>
      </c>
      <c r="R12" s="23">
        <f>SUM(R6:R11)</f>
        <v>0</v>
      </c>
      <c r="S12" s="23">
        <f>SUM(S6:S11)</f>
        <v>0</v>
      </c>
      <c r="T12" s="18">
        <f t="shared" si="12"/>
        <v>0</v>
      </c>
      <c r="U12" s="18">
        <f t="shared" si="12"/>
        <v>0</v>
      </c>
      <c r="V12" s="18">
        <f t="shared" si="12"/>
        <v>0</v>
      </c>
      <c r="W12" s="18">
        <f t="shared" si="12"/>
        <v>1</v>
      </c>
      <c r="X12" s="18">
        <f t="shared" si="12"/>
        <v>100</v>
      </c>
      <c r="Y12" s="20">
        <f t="shared" si="1"/>
        <v>157518.9075</v>
      </c>
    </row>
    <row r="14" spans="1:25" ht="43.5" customHeight="1" x14ac:dyDescent="0.25">
      <c r="A14" s="30" t="s">
        <v>32</v>
      </c>
      <c r="B14" s="2236" t="s">
        <v>27</v>
      </c>
      <c r="C14" s="2236"/>
      <c r="D14" s="30" t="s">
        <v>333</v>
      </c>
      <c r="E14" s="30" t="s">
        <v>65</v>
      </c>
      <c r="F14" s="30" t="s">
        <v>34</v>
      </c>
      <c r="G14" s="30" t="s">
        <v>14</v>
      </c>
      <c r="H14" s="469" t="s">
        <v>173</v>
      </c>
      <c r="I14" s="30" t="s">
        <v>17</v>
      </c>
      <c r="J14" s="1282" t="s">
        <v>174</v>
      </c>
      <c r="K14" s="30" t="s">
        <v>36</v>
      </c>
      <c r="L14" s="1282" t="s">
        <v>403</v>
      </c>
      <c r="M14" s="30" t="s">
        <v>429</v>
      </c>
      <c r="N14" s="30" t="s">
        <v>442</v>
      </c>
      <c r="O14" s="1282" t="s">
        <v>114</v>
      </c>
      <c r="P14" s="30" t="s">
        <v>70</v>
      </c>
      <c r="Q14" s="2300" t="s">
        <v>378</v>
      </c>
      <c r="R14" s="2301"/>
      <c r="S14" s="1282" t="s">
        <v>401</v>
      </c>
      <c r="T14" s="2235" t="s">
        <v>46</v>
      </c>
      <c r="U14" s="1274" t="s">
        <v>176</v>
      </c>
      <c r="V14" s="2260">
        <v>36317</v>
      </c>
      <c r="W14" s="2268"/>
      <c r="X14" s="2261"/>
    </row>
    <row r="15" spans="1:25" ht="22.5" customHeight="1" x14ac:dyDescent="0.25">
      <c r="A15" s="100" t="s">
        <v>38</v>
      </c>
      <c r="B15" s="2260">
        <v>337166</v>
      </c>
      <c r="C15" s="2261"/>
      <c r="D15" s="1279">
        <v>160</v>
      </c>
      <c r="E15" s="1279">
        <v>660</v>
      </c>
      <c r="F15" s="1279">
        <v>17710</v>
      </c>
      <c r="G15" s="1279">
        <v>0</v>
      </c>
      <c r="H15" s="1279">
        <v>161</v>
      </c>
      <c r="I15" s="1279">
        <v>15</v>
      </c>
      <c r="J15" s="1279">
        <v>4</v>
      </c>
      <c r="K15" s="1279">
        <v>76</v>
      </c>
      <c r="L15" s="1279">
        <v>0</v>
      </c>
      <c r="M15" s="1279">
        <v>0</v>
      </c>
      <c r="N15" s="1279">
        <v>0</v>
      </c>
      <c r="O15" s="1279">
        <v>0</v>
      </c>
      <c r="P15" s="1279">
        <v>100</v>
      </c>
      <c r="Q15" s="2260">
        <v>0</v>
      </c>
      <c r="R15" s="2261"/>
      <c r="S15" s="1274">
        <v>6</v>
      </c>
      <c r="T15" s="2235"/>
      <c r="U15" s="1274" t="s">
        <v>64</v>
      </c>
      <c r="V15" s="2262">
        <v>96469</v>
      </c>
      <c r="W15" s="2262"/>
      <c r="X15" s="2262"/>
    </row>
    <row r="16" spans="1:25" ht="24.75" customHeight="1" x14ac:dyDescent="0.25">
      <c r="A16" s="100" t="s">
        <v>39</v>
      </c>
      <c r="B16" s="2260">
        <v>114285</v>
      </c>
      <c r="C16" s="2261"/>
      <c r="D16" s="1279"/>
      <c r="E16" s="1279"/>
      <c r="F16" s="1279"/>
      <c r="G16" s="1279"/>
      <c r="H16" s="1279"/>
      <c r="I16" s="1279"/>
      <c r="J16" s="1279"/>
      <c r="K16" s="1279"/>
      <c r="L16" s="1279"/>
      <c r="M16" s="1279"/>
      <c r="N16" s="1279"/>
      <c r="O16" s="1279"/>
      <c r="P16" s="1279"/>
      <c r="Q16" s="2225"/>
      <c r="R16" s="2225"/>
      <c r="S16" s="1279"/>
      <c r="T16" s="2254" t="s">
        <v>55</v>
      </c>
      <c r="U16" s="2254"/>
      <c r="V16" s="2267">
        <f>Y12</f>
        <v>157518.9075</v>
      </c>
      <c r="W16" s="2267"/>
      <c r="X16" s="2262"/>
    </row>
    <row r="17" spans="1:25" ht="28.5" customHeight="1" x14ac:dyDescent="0.25">
      <c r="A17" s="101" t="s">
        <v>44</v>
      </c>
      <c r="B17" s="2260">
        <v>7030</v>
      </c>
      <c r="C17" s="2261"/>
      <c r="D17" s="1279"/>
      <c r="E17" s="1279"/>
      <c r="F17" s="1279"/>
      <c r="G17" s="1279"/>
      <c r="H17" s="1279"/>
      <c r="I17" s="1279"/>
      <c r="J17" s="1279"/>
      <c r="K17" s="1279"/>
      <c r="L17" s="1279"/>
      <c r="M17" s="1279"/>
      <c r="N17" s="1279"/>
      <c r="O17" s="1279"/>
      <c r="P17" s="1279"/>
      <c r="Q17" s="2225"/>
      <c r="R17" s="2225"/>
      <c r="S17" s="1276"/>
      <c r="T17" s="2294" t="s">
        <v>463</v>
      </c>
      <c r="U17" s="2295"/>
      <c r="V17" s="2296"/>
      <c r="W17" s="2296"/>
      <c r="X17" s="2296"/>
    </row>
    <row r="18" spans="1:25" ht="27" customHeight="1" x14ac:dyDescent="0.25">
      <c r="A18" s="100" t="s">
        <v>40</v>
      </c>
      <c r="B18" s="2264">
        <f>C12</f>
        <v>109167</v>
      </c>
      <c r="C18" s="2261"/>
      <c r="D18" s="1280">
        <f>E12</f>
        <v>0</v>
      </c>
      <c r="E18" s="1280">
        <f>G12</f>
        <v>20</v>
      </c>
      <c r="F18" s="1280">
        <f>I12</f>
        <v>2740</v>
      </c>
      <c r="G18" s="1280">
        <f>K12</f>
        <v>0</v>
      </c>
      <c r="H18" s="1279"/>
      <c r="I18" s="1280">
        <f>U12</f>
        <v>0</v>
      </c>
      <c r="J18" s="1279"/>
      <c r="K18" s="1280">
        <f>W12</f>
        <v>1</v>
      </c>
      <c r="L18" s="1279"/>
      <c r="M18" s="1280">
        <f>M12</f>
        <v>0</v>
      </c>
      <c r="N18" s="1280">
        <f>O12</f>
        <v>0</v>
      </c>
      <c r="O18" s="1281">
        <f>Q12</f>
        <v>0</v>
      </c>
      <c r="P18" s="1280"/>
      <c r="Q18" s="2262"/>
      <c r="R18" s="2262"/>
      <c r="S18" s="1274"/>
      <c r="T18" s="2254" t="s">
        <v>57</v>
      </c>
      <c r="U18" s="2254"/>
      <c r="V18" s="2262">
        <v>41620</v>
      </c>
      <c r="W18" s="2262"/>
      <c r="X18" s="2262"/>
      <c r="Y18" s="2269"/>
    </row>
    <row r="19" spans="1:25" ht="25.5" customHeight="1" x14ac:dyDescent="0.25">
      <c r="A19" s="100" t="s">
        <v>41</v>
      </c>
      <c r="B19" s="2260">
        <f>B15+B16+B17-B18</f>
        <v>349314</v>
      </c>
      <c r="C19" s="2261"/>
      <c r="D19" s="1279">
        <f>D15+D16+D17-D18</f>
        <v>160</v>
      </c>
      <c r="E19" s="1279">
        <f t="shared" ref="E19:N19" si="13">E15+E16+E17-E18</f>
        <v>640</v>
      </c>
      <c r="F19" s="1279">
        <f t="shared" si="13"/>
        <v>14970</v>
      </c>
      <c r="G19" s="1279">
        <f t="shared" si="13"/>
        <v>0</v>
      </c>
      <c r="H19" s="1279">
        <f t="shared" si="13"/>
        <v>161</v>
      </c>
      <c r="I19" s="1279">
        <f t="shared" si="13"/>
        <v>15</v>
      </c>
      <c r="J19" s="1279">
        <f t="shared" si="13"/>
        <v>4</v>
      </c>
      <c r="K19" s="1279">
        <f t="shared" si="13"/>
        <v>75</v>
      </c>
      <c r="L19" s="1279">
        <f t="shared" si="13"/>
        <v>0</v>
      </c>
      <c r="M19" s="1279">
        <f t="shared" si="13"/>
        <v>0</v>
      </c>
      <c r="N19" s="1279">
        <f t="shared" si="13"/>
        <v>0</v>
      </c>
      <c r="O19" s="1279">
        <f>O15+O16+O17-O18</f>
        <v>0</v>
      </c>
      <c r="P19" s="1279">
        <f t="shared" ref="P19:Q19" si="14">P15+P16+P17-P18</f>
        <v>100</v>
      </c>
      <c r="Q19" s="2260">
        <f t="shared" si="14"/>
        <v>0</v>
      </c>
      <c r="R19" s="2261"/>
      <c r="S19" s="1274">
        <f>S15+S16-S17-S18</f>
        <v>6</v>
      </c>
      <c r="T19" s="2256" t="s">
        <v>48</v>
      </c>
      <c r="U19" s="49" t="s">
        <v>58</v>
      </c>
      <c r="V19" s="2262">
        <v>207325</v>
      </c>
      <c r="W19" s="2262"/>
      <c r="X19" s="2262"/>
      <c r="Y19" s="2269"/>
    </row>
    <row r="20" spans="1:25" ht="23.25" customHeight="1" x14ac:dyDescent="0.25">
      <c r="A20" s="289" t="s">
        <v>187</v>
      </c>
      <c r="B20" s="2286">
        <f>B19*0.9625</f>
        <v>336214.72500000003</v>
      </c>
      <c r="C20" s="2287"/>
      <c r="D20" s="290">
        <f>D19*66.41</f>
        <v>10625.599999999999</v>
      </c>
      <c r="E20" s="290">
        <f>27.9368*E19</f>
        <v>17879.552</v>
      </c>
      <c r="F20" s="290">
        <f>18.31*F19</f>
        <v>274100.69999999995</v>
      </c>
      <c r="G20" s="290">
        <f>27.9368*G19</f>
        <v>0</v>
      </c>
      <c r="H20" s="290">
        <f>241*H19</f>
        <v>38801</v>
      </c>
      <c r="I20" s="290">
        <f>323*I19</f>
        <v>4845</v>
      </c>
      <c r="J20" s="290">
        <f>241*J19</f>
        <v>964</v>
      </c>
      <c r="K20" s="290">
        <f>K19*100</f>
        <v>7500</v>
      </c>
      <c r="L20" s="290">
        <f>241*L19</f>
        <v>0</v>
      </c>
      <c r="M20" s="290">
        <f>47.1625*M19</f>
        <v>0</v>
      </c>
      <c r="N20" s="290">
        <f>N19*8.81</f>
        <v>0</v>
      </c>
      <c r="O20" s="290">
        <f>241*O19</f>
        <v>0</v>
      </c>
      <c r="P20" s="290">
        <f>P19*48.2</f>
        <v>4820</v>
      </c>
      <c r="Q20" s="2286">
        <f>341*Q19</f>
        <v>0</v>
      </c>
      <c r="R20" s="2287"/>
      <c r="S20" s="290">
        <f>341*S19</f>
        <v>2046</v>
      </c>
      <c r="T20" s="2257"/>
      <c r="U20" s="49" t="s">
        <v>59</v>
      </c>
      <c r="V20" s="2262"/>
      <c r="W20" s="2262"/>
      <c r="X20" s="2262"/>
      <c r="Y20" s="2269"/>
    </row>
    <row r="21" spans="1:25" ht="32.25" customHeight="1" x14ac:dyDescent="0.25">
      <c r="A21" s="291" t="s">
        <v>186</v>
      </c>
      <c r="B21" s="2293">
        <f>SUM(B20:S20)</f>
        <v>697796.57700000005</v>
      </c>
      <c r="C21" s="2293"/>
      <c r="O21" s="1283"/>
      <c r="P21" s="1283"/>
      <c r="Q21" s="1283"/>
      <c r="R21" s="1283"/>
      <c r="T21" s="2294" t="s">
        <v>464</v>
      </c>
      <c r="U21" s="2295"/>
      <c r="V21" s="2297"/>
      <c r="W21" s="2298"/>
      <c r="X21" s="2299"/>
      <c r="Y21" s="2269"/>
    </row>
    <row r="22" spans="1:25" ht="35.25" customHeight="1" x14ac:dyDescent="0.25">
      <c r="A22" s="15"/>
      <c r="B22" s="2288" t="s">
        <v>49</v>
      </c>
      <c r="C22" s="2291">
        <v>207325</v>
      </c>
      <c r="D22" s="2291">
        <v>207325</v>
      </c>
      <c r="E22" s="2291">
        <v>110000</v>
      </c>
      <c r="F22" s="2291">
        <f>C22-D22+E22</f>
        <v>110000</v>
      </c>
      <c r="G22" s="1283"/>
      <c r="Q22" s="1283"/>
      <c r="R22" s="1283"/>
      <c r="T22" s="2251" t="s">
        <v>83</v>
      </c>
      <c r="U22" s="50" t="s">
        <v>60</v>
      </c>
      <c r="V22" s="2262">
        <v>127760</v>
      </c>
      <c r="W22" s="2262"/>
      <c r="X22" s="2262"/>
      <c r="Y22" s="2269"/>
    </row>
    <row r="23" spans="1:25" ht="39.75" customHeight="1" x14ac:dyDescent="0.25">
      <c r="A23" s="1283"/>
      <c r="B23" s="2289"/>
      <c r="C23" s="2292"/>
      <c r="D23" s="2292"/>
      <c r="E23" s="2292"/>
      <c r="F23" s="2292"/>
      <c r="G23" s="1283"/>
      <c r="Q23" s="1283"/>
      <c r="R23" s="1283"/>
      <c r="T23" s="2252"/>
      <c r="U23" s="50" t="s">
        <v>61</v>
      </c>
      <c r="V23" s="2262">
        <v>207325</v>
      </c>
      <c r="W23" s="2262"/>
      <c r="X23" s="2262"/>
      <c r="Y23" s="2269"/>
    </row>
    <row r="24" spans="1:25" ht="48" customHeight="1" x14ac:dyDescent="0.25">
      <c r="A24" s="1283"/>
      <c r="B24" s="2290"/>
      <c r="C24" s="290" t="s">
        <v>46</v>
      </c>
      <c r="D24" s="290" t="s">
        <v>50</v>
      </c>
      <c r="E24" s="290" t="s">
        <v>51</v>
      </c>
      <c r="F24" s="290" t="s">
        <v>52</v>
      </c>
      <c r="G24" s="1283"/>
      <c r="Q24" s="1283"/>
      <c r="R24" s="1283"/>
      <c r="T24" s="2235" t="s">
        <v>47</v>
      </c>
      <c r="U24" s="51" t="s">
        <v>62</v>
      </c>
      <c r="V24" s="2263">
        <f>V14+V16+V17-V18-V19-V20-V22+V23-V21</f>
        <v>24455.907500000001</v>
      </c>
      <c r="W24" s="2263"/>
      <c r="X24" s="2263"/>
      <c r="Y24" s="2269"/>
    </row>
    <row r="25" spans="1:25" ht="40.5" customHeight="1" x14ac:dyDescent="0.25">
      <c r="T25" s="2235"/>
      <c r="U25" s="51" t="s">
        <v>63</v>
      </c>
      <c r="V25" s="2262">
        <f>V15+V22-V23</f>
        <v>16904</v>
      </c>
      <c r="W25" s="2262"/>
      <c r="X25" s="2262"/>
    </row>
    <row r="26" spans="1:25" ht="36" customHeight="1" x14ac:dyDescent="0.25">
      <c r="K26" s="314"/>
    </row>
    <row r="28" spans="1:25" x14ac:dyDescent="0.25">
      <c r="J28" s="14" t="s">
        <v>139</v>
      </c>
    </row>
    <row r="32" spans="1:25" x14ac:dyDescent="0.25">
      <c r="I32" s="2280"/>
      <c r="J32" s="2280"/>
      <c r="K32" s="2280"/>
      <c r="L32" s="2280"/>
    </row>
    <row r="33" spans="9:12" x14ac:dyDescent="0.25">
      <c r="I33" s="1283"/>
      <c r="J33" s="1283"/>
      <c r="K33" s="2280"/>
      <c r="L33" s="2280"/>
    </row>
  </sheetData>
  <mergeCells count="62">
    <mergeCell ref="I32:J32"/>
    <mergeCell ref="K32:L32"/>
    <mergeCell ref="K33:L33"/>
    <mergeCell ref="T22:T23"/>
    <mergeCell ref="V22:X22"/>
    <mergeCell ref="V23:X23"/>
    <mergeCell ref="T24:T25"/>
    <mergeCell ref="V24:X24"/>
    <mergeCell ref="V25:X25"/>
    <mergeCell ref="Y18:Y24"/>
    <mergeCell ref="B19:C19"/>
    <mergeCell ref="Q19:R19"/>
    <mergeCell ref="T19:T20"/>
    <mergeCell ref="V19:X19"/>
    <mergeCell ref="B20:C20"/>
    <mergeCell ref="B22:B24"/>
    <mergeCell ref="C22:C23"/>
    <mergeCell ref="D22:D23"/>
    <mergeCell ref="E22:E23"/>
    <mergeCell ref="F22:F23"/>
    <mergeCell ref="Q20:R20"/>
    <mergeCell ref="V20:X20"/>
    <mergeCell ref="B21:C21"/>
    <mergeCell ref="T21:U21"/>
    <mergeCell ref="V21:X21"/>
    <mergeCell ref="B17:C17"/>
    <mergeCell ref="Q17:R17"/>
    <mergeCell ref="T17:U17"/>
    <mergeCell ref="V17:X17"/>
    <mergeCell ref="B18:C18"/>
    <mergeCell ref="Q18:R18"/>
    <mergeCell ref="T18:U18"/>
    <mergeCell ref="V18:X18"/>
    <mergeCell ref="W4:X4"/>
    <mergeCell ref="B16:C16"/>
    <mergeCell ref="Q16:R16"/>
    <mergeCell ref="T16:U16"/>
    <mergeCell ref="V16:X16"/>
    <mergeCell ref="A12:B12"/>
    <mergeCell ref="B14:C14"/>
    <mergeCell ref="Q14:R14"/>
    <mergeCell ref="T14:T15"/>
    <mergeCell ref="V14:X14"/>
    <mergeCell ref="B15:C15"/>
    <mergeCell ref="Q15:R15"/>
    <mergeCell ref="V15:X15"/>
    <mergeCell ref="A1:Y1"/>
    <mergeCell ref="A2:Y2"/>
    <mergeCell ref="T3:Y3"/>
    <mergeCell ref="A4:A5"/>
    <mergeCell ref="B4:B5"/>
    <mergeCell ref="C4:D4"/>
    <mergeCell ref="E4:F4"/>
    <mergeCell ref="G4:H4"/>
    <mergeCell ref="I4:J4"/>
    <mergeCell ref="K4:L4"/>
    <mergeCell ref="Y4:Y5"/>
    <mergeCell ref="M4:N4"/>
    <mergeCell ref="O4:P4"/>
    <mergeCell ref="Q4:R4"/>
    <mergeCell ref="S4:T4"/>
    <mergeCell ref="U4:V4"/>
  </mergeCells>
  <pageMargins left="0.15748031496063" right="0.15748031496063" top="0" bottom="0" header="0" footer="0"/>
  <pageSetup paperSize="9" scale="47" orientation="landscape" r:id="rId1"/>
</worksheet>
</file>

<file path=xl/worksheets/sheet2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9A35B30-3353-4C2E-890E-D90A34B17473}">
  <sheetPr>
    <pageSetUpPr fitToPage="1"/>
  </sheetPr>
  <dimension ref="A1:Y33"/>
  <sheetViews>
    <sheetView topLeftCell="D9" zoomScale="70" zoomScaleNormal="70" zoomScaleSheetLayoutView="100" zoomScalePageLayoutView="68" workbookViewId="0">
      <selection activeCell="P23" sqref="P23"/>
    </sheetView>
  </sheetViews>
  <sheetFormatPr defaultColWidth="9.140625" defaultRowHeight="15" x14ac:dyDescent="0.25"/>
  <cols>
    <col min="1" max="1" width="18.28515625" style="14" customWidth="1"/>
    <col min="2" max="2" width="10.7109375" style="14" customWidth="1"/>
    <col min="3" max="3" width="12.28515625" style="14" customWidth="1"/>
    <col min="4" max="4" width="13.140625" style="14" bestFit="1" customWidth="1"/>
    <col min="5" max="5" width="12" style="14" customWidth="1"/>
    <col min="6" max="6" width="12.5703125" style="14" bestFit="1" customWidth="1"/>
    <col min="7" max="7" width="16" style="14" bestFit="1" customWidth="1"/>
    <col min="8" max="8" width="10.140625" style="14" bestFit="1" customWidth="1"/>
    <col min="9" max="9" width="10.5703125" style="14" bestFit="1" customWidth="1"/>
    <col min="10" max="10" width="10.5703125" style="14" customWidth="1"/>
    <col min="11" max="11" width="10.28515625" style="14" bestFit="1" customWidth="1"/>
    <col min="12" max="12" width="10.42578125" style="14" bestFit="1" customWidth="1"/>
    <col min="13" max="14" width="12" style="14" bestFit="1" customWidth="1"/>
    <col min="15" max="15" width="9" style="14" customWidth="1"/>
    <col min="16" max="16" width="12.85546875" style="14" bestFit="1" customWidth="1"/>
    <col min="17" max="18" width="9.42578125" style="14" customWidth="1"/>
    <col min="19" max="19" width="13.7109375" style="14" customWidth="1"/>
    <col min="20" max="20" width="12.140625" style="14" customWidth="1"/>
    <col min="21" max="21" width="21.7109375" style="14" customWidth="1"/>
    <col min="22" max="22" width="9.85546875" style="14" customWidth="1"/>
    <col min="23" max="23" width="10.140625" style="14" bestFit="1" customWidth="1"/>
    <col min="24" max="24" width="10.28515625" style="14" customWidth="1"/>
    <col min="25" max="25" width="15.7109375" style="14" customWidth="1"/>
    <col min="26" max="16384" width="9.140625" style="14"/>
  </cols>
  <sheetData>
    <row r="1" spans="1:25" ht="46.15" customHeight="1" x14ac:dyDescent="0.25">
      <c r="A1" s="2240" t="s">
        <v>148</v>
      </c>
      <c r="B1" s="2240"/>
      <c r="C1" s="2240"/>
      <c r="D1" s="2240"/>
      <c r="E1" s="2240"/>
      <c r="F1" s="2240"/>
      <c r="G1" s="2240"/>
      <c r="H1" s="2240"/>
      <c r="I1" s="2240"/>
      <c r="J1" s="2240"/>
      <c r="K1" s="2240"/>
      <c r="L1" s="2240"/>
      <c r="M1" s="2240"/>
      <c r="N1" s="2240"/>
      <c r="O1" s="2240"/>
      <c r="P1" s="2240"/>
      <c r="Q1" s="2240"/>
      <c r="R1" s="2240"/>
      <c r="S1" s="2240"/>
      <c r="T1" s="2240"/>
      <c r="U1" s="2240"/>
      <c r="V1" s="2240"/>
      <c r="W1" s="2240"/>
      <c r="X1" s="2240"/>
      <c r="Y1" s="2240"/>
    </row>
    <row r="2" spans="1:25" ht="21.6" customHeight="1" x14ac:dyDescent="0.25">
      <c r="A2" s="2241" t="s">
        <v>383</v>
      </c>
      <c r="B2" s="2241"/>
      <c r="C2" s="2241"/>
      <c r="D2" s="2241"/>
      <c r="E2" s="2241"/>
      <c r="F2" s="2241"/>
      <c r="G2" s="2241"/>
      <c r="H2" s="2241"/>
      <c r="I2" s="2241"/>
      <c r="J2" s="2241"/>
      <c r="K2" s="2241"/>
      <c r="L2" s="2241"/>
      <c r="M2" s="2241"/>
      <c r="N2" s="2241"/>
      <c r="O2" s="2241"/>
      <c r="P2" s="2241"/>
      <c r="Q2" s="2241"/>
      <c r="R2" s="2241"/>
      <c r="S2" s="2241"/>
      <c r="T2" s="2241"/>
      <c r="U2" s="2241"/>
      <c r="V2" s="2241"/>
      <c r="W2" s="2241"/>
      <c r="X2" s="2241"/>
      <c r="Y2" s="2241"/>
    </row>
    <row r="3" spans="1:25" ht="21" customHeight="1" x14ac:dyDescent="0.25">
      <c r="A3" s="1289"/>
      <c r="B3" s="1289"/>
      <c r="C3" s="1289"/>
      <c r="D3" s="1289"/>
      <c r="E3" s="1289"/>
      <c r="F3" s="1289"/>
      <c r="G3" s="1289"/>
      <c r="H3" s="1289"/>
      <c r="I3" s="1289"/>
      <c r="J3" s="1289"/>
      <c r="K3" s="1289"/>
      <c r="L3" s="1289"/>
      <c r="M3" s="1289"/>
      <c r="N3" s="1289"/>
      <c r="O3" s="1289"/>
      <c r="P3" s="1289"/>
      <c r="Q3" s="1289"/>
      <c r="R3" s="1289"/>
      <c r="S3" s="1289"/>
      <c r="T3" s="2242" t="s">
        <v>472</v>
      </c>
      <c r="U3" s="2242"/>
      <c r="V3" s="2242"/>
      <c r="W3" s="2242"/>
      <c r="X3" s="2242"/>
      <c r="Y3" s="2242"/>
    </row>
    <row r="4" spans="1:25" s="1289" customFormat="1" ht="18" customHeight="1" x14ac:dyDescent="0.25">
      <c r="A4" s="2243" t="s">
        <v>25</v>
      </c>
      <c r="B4" s="2243" t="s">
        <v>26</v>
      </c>
      <c r="C4" s="2244" t="s">
        <v>27</v>
      </c>
      <c r="D4" s="2244"/>
      <c r="E4" s="2244" t="s">
        <v>342</v>
      </c>
      <c r="F4" s="2244"/>
      <c r="G4" s="2244" t="s">
        <v>65</v>
      </c>
      <c r="H4" s="2244"/>
      <c r="I4" s="2244" t="s">
        <v>29</v>
      </c>
      <c r="J4" s="2244"/>
      <c r="K4" s="2245" t="s">
        <v>14</v>
      </c>
      <c r="L4" s="2246"/>
      <c r="M4" s="2245" t="s">
        <v>429</v>
      </c>
      <c r="N4" s="2246"/>
      <c r="O4" s="2245" t="s">
        <v>441</v>
      </c>
      <c r="P4" s="2246"/>
      <c r="Q4" s="2245" t="s">
        <v>114</v>
      </c>
      <c r="R4" s="2246"/>
      <c r="S4" s="2244" t="s">
        <v>35</v>
      </c>
      <c r="T4" s="2244"/>
      <c r="U4" s="2245" t="s">
        <v>17</v>
      </c>
      <c r="V4" s="2246"/>
      <c r="W4" s="2247" t="s">
        <v>36</v>
      </c>
      <c r="X4" s="2248"/>
      <c r="Y4" s="2238" t="s">
        <v>30</v>
      </c>
    </row>
    <row r="5" spans="1:25" s="1289" customFormat="1" ht="25.5" customHeight="1" x14ac:dyDescent="0.25">
      <c r="A5" s="2243"/>
      <c r="B5" s="2243"/>
      <c r="C5" s="1288" t="s">
        <v>42</v>
      </c>
      <c r="D5" s="1288" t="s">
        <v>43</v>
      </c>
      <c r="E5" s="1288" t="s">
        <v>42</v>
      </c>
      <c r="F5" s="1288" t="s">
        <v>43</v>
      </c>
      <c r="G5" s="1288" t="s">
        <v>42</v>
      </c>
      <c r="H5" s="1288" t="s">
        <v>43</v>
      </c>
      <c r="I5" s="1288" t="s">
        <v>42</v>
      </c>
      <c r="J5" s="1288" t="s">
        <v>43</v>
      </c>
      <c r="K5" s="1288" t="s">
        <v>42</v>
      </c>
      <c r="L5" s="1288" t="s">
        <v>43</v>
      </c>
      <c r="M5" s="1288" t="s">
        <v>42</v>
      </c>
      <c r="N5" s="1288" t="s">
        <v>43</v>
      </c>
      <c r="O5" s="1288" t="s">
        <v>42</v>
      </c>
      <c r="P5" s="1288" t="s">
        <v>43</v>
      </c>
      <c r="Q5" s="1288" t="s">
        <v>42</v>
      </c>
      <c r="R5" s="1288" t="s">
        <v>43</v>
      </c>
      <c r="S5" s="33" t="s">
        <v>42</v>
      </c>
      <c r="T5" s="33" t="s">
        <v>43</v>
      </c>
      <c r="U5" s="30" t="s">
        <v>42</v>
      </c>
      <c r="V5" s="30" t="s">
        <v>43</v>
      </c>
      <c r="W5" s="30" t="s">
        <v>42</v>
      </c>
      <c r="X5" s="30" t="s">
        <v>43</v>
      </c>
      <c r="Y5" s="2239"/>
    </row>
    <row r="6" spans="1:25" ht="34.5" customHeight="1" x14ac:dyDescent="0.25">
      <c r="A6" s="12">
        <v>1409935200</v>
      </c>
      <c r="B6" s="1287" t="s">
        <v>71</v>
      </c>
      <c r="C6" s="1285">
        <v>31815</v>
      </c>
      <c r="D6" s="1284">
        <f t="shared" ref="D6:D11" si="0">0.9725*C6</f>
        <v>30940.087500000001</v>
      </c>
      <c r="E6" s="1285"/>
      <c r="F6" s="1284">
        <f>67.1*E6</f>
        <v>0</v>
      </c>
      <c r="G6" s="1285">
        <v>40</v>
      </c>
      <c r="H6" s="1285">
        <f>28.2*G6</f>
        <v>1128</v>
      </c>
      <c r="I6" s="1285">
        <v>150</v>
      </c>
      <c r="J6" s="1285">
        <f>18.5*I6</f>
        <v>2775</v>
      </c>
      <c r="K6" s="1285"/>
      <c r="L6" s="1284">
        <f>28.2368*K6</f>
        <v>0</v>
      </c>
      <c r="M6" s="1285"/>
      <c r="N6" s="1284">
        <f>M6*47.6525</f>
        <v>0</v>
      </c>
      <c r="O6" s="1285"/>
      <c r="P6" s="1284">
        <f>O6*8.9</f>
        <v>0</v>
      </c>
      <c r="Q6" s="1284"/>
      <c r="R6" s="1284">
        <f>241*Q6</f>
        <v>0</v>
      </c>
      <c r="S6" s="1285"/>
      <c r="T6" s="1285">
        <f>241*S6</f>
        <v>0</v>
      </c>
      <c r="U6" s="1285"/>
      <c r="V6" s="1285">
        <f>332*U6</f>
        <v>0</v>
      </c>
      <c r="W6" s="1285"/>
      <c r="X6" s="19">
        <f>W6*100</f>
        <v>0</v>
      </c>
      <c r="Y6" s="20">
        <f t="shared" ref="Y6:Y12" si="1">D6+F6+H6+J6+L6+N6+P6+R6+T6+V6+X6</f>
        <v>34843.087500000001</v>
      </c>
    </row>
    <row r="7" spans="1:25" ht="31.5" customHeight="1" x14ac:dyDescent="0.25">
      <c r="A7" s="12">
        <v>1984225578</v>
      </c>
      <c r="B7" s="1287" t="s">
        <v>72</v>
      </c>
      <c r="C7" s="1285">
        <v>18450</v>
      </c>
      <c r="D7" s="1284">
        <f t="shared" si="0"/>
        <v>17942.625</v>
      </c>
      <c r="E7" s="1285"/>
      <c r="F7" s="1285">
        <f t="shared" ref="F7:F11" si="2">67.1*E7</f>
        <v>0</v>
      </c>
      <c r="G7" s="1285"/>
      <c r="H7" s="1285">
        <f t="shared" ref="H7:H11" si="3">28.2*G7</f>
        <v>0</v>
      </c>
      <c r="I7" s="1285">
        <v>60</v>
      </c>
      <c r="J7" s="1285">
        <f t="shared" ref="J7:J11" si="4">18.5*I7</f>
        <v>1110</v>
      </c>
      <c r="K7" s="1285"/>
      <c r="L7" s="1284">
        <f t="shared" ref="L7:L11" si="5">28.2368*K7</f>
        <v>0</v>
      </c>
      <c r="M7" s="1285"/>
      <c r="N7" s="1284">
        <f t="shared" ref="N7:N11" si="6">M7*47.6525</f>
        <v>0</v>
      </c>
      <c r="O7" s="1285"/>
      <c r="P7" s="1284">
        <f t="shared" ref="P7:P11" si="7">O7*8.9</f>
        <v>0</v>
      </c>
      <c r="Q7" s="1284"/>
      <c r="R7" s="1284">
        <f t="shared" ref="R7:R11" si="8">241*Q7</f>
        <v>0</v>
      </c>
      <c r="S7" s="1285"/>
      <c r="T7" s="1285">
        <f t="shared" ref="T7:T10" si="9">241*S7</f>
        <v>0</v>
      </c>
      <c r="U7" s="1285"/>
      <c r="V7" s="1285">
        <f t="shared" ref="V7:V11" si="10">332*U7</f>
        <v>0</v>
      </c>
      <c r="W7" s="1285">
        <v>3</v>
      </c>
      <c r="X7" s="19">
        <f t="shared" ref="X7:X11" si="11">W7*100</f>
        <v>300</v>
      </c>
      <c r="Y7" s="20">
        <f t="shared" si="1"/>
        <v>19352.625</v>
      </c>
    </row>
    <row r="8" spans="1:25" ht="35.25" customHeight="1" x14ac:dyDescent="0.25">
      <c r="A8" s="12">
        <v>1967020280</v>
      </c>
      <c r="B8" s="1287" t="s">
        <v>427</v>
      </c>
      <c r="C8" s="1285">
        <v>32877</v>
      </c>
      <c r="D8" s="1284">
        <f t="shared" si="0"/>
        <v>31972.8825</v>
      </c>
      <c r="E8" s="1285"/>
      <c r="F8" s="1285">
        <f t="shared" si="2"/>
        <v>0</v>
      </c>
      <c r="G8" s="1285"/>
      <c r="H8" s="1284">
        <f t="shared" si="3"/>
        <v>0</v>
      </c>
      <c r="I8" s="1285">
        <v>240</v>
      </c>
      <c r="J8" s="1285">
        <f t="shared" si="4"/>
        <v>4440</v>
      </c>
      <c r="K8" s="1285"/>
      <c r="L8" s="1284">
        <f t="shared" si="5"/>
        <v>0</v>
      </c>
      <c r="M8" s="1285"/>
      <c r="N8" s="1284">
        <f t="shared" si="6"/>
        <v>0</v>
      </c>
      <c r="O8" s="1285"/>
      <c r="P8" s="1284">
        <f t="shared" si="7"/>
        <v>0</v>
      </c>
      <c r="Q8" s="1284"/>
      <c r="R8" s="1284">
        <f t="shared" si="8"/>
        <v>0</v>
      </c>
      <c r="S8" s="1285"/>
      <c r="T8" s="1285">
        <f t="shared" si="9"/>
        <v>0</v>
      </c>
      <c r="U8" s="1285"/>
      <c r="V8" s="1285">
        <f t="shared" si="10"/>
        <v>0</v>
      </c>
      <c r="W8" s="1285"/>
      <c r="X8" s="19">
        <f t="shared" si="11"/>
        <v>0</v>
      </c>
      <c r="Y8" s="20">
        <f t="shared" si="1"/>
        <v>36412.8825</v>
      </c>
    </row>
    <row r="9" spans="1:25" ht="38.25" customHeight="1" x14ac:dyDescent="0.25">
      <c r="A9" s="12">
        <v>1984225580</v>
      </c>
      <c r="B9" s="1287" t="s">
        <v>75</v>
      </c>
      <c r="C9" s="1285">
        <v>30908</v>
      </c>
      <c r="D9" s="1284">
        <f t="shared" si="0"/>
        <v>30058.030000000002</v>
      </c>
      <c r="E9" s="1285"/>
      <c r="F9" s="1285">
        <f t="shared" si="2"/>
        <v>0</v>
      </c>
      <c r="G9" s="1285"/>
      <c r="H9" s="1285">
        <f t="shared" si="3"/>
        <v>0</v>
      </c>
      <c r="I9" s="1285">
        <v>130</v>
      </c>
      <c r="J9" s="1285">
        <f t="shared" si="4"/>
        <v>2405</v>
      </c>
      <c r="K9" s="1285"/>
      <c r="L9" s="1284">
        <f t="shared" si="5"/>
        <v>0</v>
      </c>
      <c r="M9" s="1285"/>
      <c r="N9" s="1284">
        <f t="shared" si="6"/>
        <v>0</v>
      </c>
      <c r="O9" s="1285"/>
      <c r="P9" s="1284">
        <f t="shared" si="7"/>
        <v>0</v>
      </c>
      <c r="Q9" s="1284"/>
      <c r="R9" s="1284">
        <f t="shared" si="8"/>
        <v>0</v>
      </c>
      <c r="S9" s="1285"/>
      <c r="T9" s="1285">
        <f t="shared" si="9"/>
        <v>0</v>
      </c>
      <c r="U9" s="1285"/>
      <c r="V9" s="1285">
        <f t="shared" si="10"/>
        <v>0</v>
      </c>
      <c r="W9" s="1285"/>
      <c r="X9" s="19">
        <f t="shared" si="11"/>
        <v>0</v>
      </c>
      <c r="Y9" s="20">
        <f t="shared" si="1"/>
        <v>32463.030000000002</v>
      </c>
    </row>
    <row r="10" spans="1:25" ht="35.25" customHeight="1" x14ac:dyDescent="0.25">
      <c r="A10" s="12">
        <v>1409935199</v>
      </c>
      <c r="C10" s="1285">
        <v>5141</v>
      </c>
      <c r="D10" s="1284">
        <f t="shared" si="0"/>
        <v>4999.6225000000004</v>
      </c>
      <c r="E10" s="1285"/>
      <c r="F10" s="1285">
        <f t="shared" si="2"/>
        <v>0</v>
      </c>
      <c r="G10" s="1285"/>
      <c r="H10" s="1285">
        <f t="shared" si="3"/>
        <v>0</v>
      </c>
      <c r="I10" s="1285"/>
      <c r="J10" s="1285">
        <f t="shared" si="4"/>
        <v>0</v>
      </c>
      <c r="K10" s="1285"/>
      <c r="L10" s="1284">
        <f t="shared" si="5"/>
        <v>0</v>
      </c>
      <c r="M10" s="1285"/>
      <c r="N10" s="1284">
        <f t="shared" si="6"/>
        <v>0</v>
      </c>
      <c r="O10" s="1285"/>
      <c r="P10" s="1284">
        <f t="shared" si="7"/>
        <v>0</v>
      </c>
      <c r="Q10" s="1284"/>
      <c r="R10" s="1284">
        <f t="shared" si="8"/>
        <v>0</v>
      </c>
      <c r="S10" s="1285"/>
      <c r="T10" s="1285">
        <f t="shared" si="9"/>
        <v>0</v>
      </c>
      <c r="U10" s="1285"/>
      <c r="V10" s="1285">
        <f t="shared" si="10"/>
        <v>0</v>
      </c>
      <c r="W10" s="1285"/>
      <c r="X10" s="19">
        <f t="shared" si="11"/>
        <v>0</v>
      </c>
      <c r="Y10" s="20">
        <f t="shared" si="1"/>
        <v>4999.6225000000004</v>
      </c>
    </row>
    <row r="11" spans="1:25" ht="37.5" customHeight="1" x14ac:dyDescent="0.25">
      <c r="A11" s="12"/>
      <c r="B11" s="1286"/>
      <c r="C11" s="1285"/>
      <c r="D11" s="1284">
        <f t="shared" si="0"/>
        <v>0</v>
      </c>
      <c r="E11" s="1285"/>
      <c r="F11" s="1285">
        <f t="shared" si="2"/>
        <v>0</v>
      </c>
      <c r="G11" s="1285"/>
      <c r="H11" s="1285">
        <f t="shared" si="3"/>
        <v>0</v>
      </c>
      <c r="I11" s="1285"/>
      <c r="J11" s="1285">
        <f t="shared" si="4"/>
        <v>0</v>
      </c>
      <c r="K11" s="1285"/>
      <c r="L11" s="1284">
        <f t="shared" si="5"/>
        <v>0</v>
      </c>
      <c r="M11" s="1285"/>
      <c r="N11" s="1284">
        <f t="shared" si="6"/>
        <v>0</v>
      </c>
      <c r="O11" s="1285"/>
      <c r="P11" s="1284">
        <f t="shared" si="7"/>
        <v>0</v>
      </c>
      <c r="Q11" s="1284"/>
      <c r="R11" s="1284">
        <f t="shared" si="8"/>
        <v>0</v>
      </c>
      <c r="S11" s="1285"/>
      <c r="T11" s="1285">
        <f>341*S11</f>
        <v>0</v>
      </c>
      <c r="U11" s="1285"/>
      <c r="V11" s="1285">
        <f t="shared" si="10"/>
        <v>0</v>
      </c>
      <c r="W11" s="1285"/>
      <c r="X11" s="19">
        <f t="shared" si="11"/>
        <v>0</v>
      </c>
      <c r="Y11" s="20">
        <f t="shared" si="1"/>
        <v>0</v>
      </c>
    </row>
    <row r="12" spans="1:25" ht="29.25" customHeight="1" x14ac:dyDescent="0.25">
      <c r="A12" s="2235" t="s">
        <v>31</v>
      </c>
      <c r="B12" s="2235"/>
      <c r="C12" s="18">
        <f t="shared" ref="C12:X12" si="12">SUM(C6:C11)</f>
        <v>119191</v>
      </c>
      <c r="D12" s="18">
        <f t="shared" si="12"/>
        <v>115913.2475</v>
      </c>
      <c r="E12" s="18">
        <f t="shared" si="12"/>
        <v>0</v>
      </c>
      <c r="F12" s="18">
        <f t="shared" si="12"/>
        <v>0</v>
      </c>
      <c r="G12" s="18">
        <f t="shared" si="12"/>
        <v>40</v>
      </c>
      <c r="H12" s="18">
        <f t="shared" si="12"/>
        <v>1128</v>
      </c>
      <c r="I12" s="18">
        <f t="shared" si="12"/>
        <v>580</v>
      </c>
      <c r="J12" s="18">
        <f t="shared" si="12"/>
        <v>10730</v>
      </c>
      <c r="K12" s="18">
        <f t="shared" si="12"/>
        <v>0</v>
      </c>
      <c r="L12" s="18">
        <f t="shared" si="12"/>
        <v>0</v>
      </c>
      <c r="M12" s="18">
        <f t="shared" si="12"/>
        <v>0</v>
      </c>
      <c r="N12" s="23">
        <f t="shared" si="12"/>
        <v>0</v>
      </c>
      <c r="O12" s="18">
        <f t="shared" si="12"/>
        <v>0</v>
      </c>
      <c r="P12" s="23">
        <f t="shared" si="12"/>
        <v>0</v>
      </c>
      <c r="Q12" s="23">
        <f t="shared" si="12"/>
        <v>0</v>
      </c>
      <c r="R12" s="23">
        <f>SUM(R6:R11)</f>
        <v>0</v>
      </c>
      <c r="S12" s="23">
        <f>SUM(S6:S11)</f>
        <v>0</v>
      </c>
      <c r="T12" s="18">
        <f t="shared" si="12"/>
        <v>0</v>
      </c>
      <c r="U12" s="18">
        <f t="shared" si="12"/>
        <v>0</v>
      </c>
      <c r="V12" s="18">
        <f t="shared" si="12"/>
        <v>0</v>
      </c>
      <c r="W12" s="18">
        <f t="shared" si="12"/>
        <v>3</v>
      </c>
      <c r="X12" s="18">
        <f t="shared" si="12"/>
        <v>300</v>
      </c>
      <c r="Y12" s="20">
        <f t="shared" si="1"/>
        <v>128071.2475</v>
      </c>
    </row>
    <row r="14" spans="1:25" ht="43.5" customHeight="1" x14ac:dyDescent="0.25">
      <c r="A14" s="30" t="s">
        <v>32</v>
      </c>
      <c r="B14" s="2236" t="s">
        <v>27</v>
      </c>
      <c r="C14" s="2236"/>
      <c r="D14" s="30" t="s">
        <v>333</v>
      </c>
      <c r="E14" s="30" t="s">
        <v>65</v>
      </c>
      <c r="F14" s="30" t="s">
        <v>34</v>
      </c>
      <c r="G14" s="30" t="s">
        <v>14</v>
      </c>
      <c r="H14" s="469" t="s">
        <v>173</v>
      </c>
      <c r="I14" s="30" t="s">
        <v>17</v>
      </c>
      <c r="J14" s="1293" t="s">
        <v>174</v>
      </c>
      <c r="K14" s="30" t="s">
        <v>36</v>
      </c>
      <c r="L14" s="1293" t="s">
        <v>403</v>
      </c>
      <c r="M14" s="30" t="s">
        <v>429</v>
      </c>
      <c r="N14" s="30" t="s">
        <v>442</v>
      </c>
      <c r="O14" s="1293" t="s">
        <v>114</v>
      </c>
      <c r="P14" s="30" t="s">
        <v>70</v>
      </c>
      <c r="Q14" s="2300" t="s">
        <v>378</v>
      </c>
      <c r="R14" s="2301"/>
      <c r="S14" s="1293" t="s">
        <v>401</v>
      </c>
      <c r="T14" s="2235" t="s">
        <v>46</v>
      </c>
      <c r="U14" s="1287" t="s">
        <v>176</v>
      </c>
      <c r="V14" s="2260">
        <v>24456</v>
      </c>
      <c r="W14" s="2268"/>
      <c r="X14" s="2261"/>
    </row>
    <row r="15" spans="1:25" ht="22.5" customHeight="1" x14ac:dyDescent="0.25">
      <c r="A15" s="100" t="s">
        <v>38</v>
      </c>
      <c r="B15" s="2260">
        <v>349314</v>
      </c>
      <c r="C15" s="2261"/>
      <c r="D15" s="1290">
        <v>160</v>
      </c>
      <c r="E15" s="1290">
        <v>640</v>
      </c>
      <c r="F15" s="1290">
        <v>14970</v>
      </c>
      <c r="G15" s="1290">
        <v>0</v>
      </c>
      <c r="H15" s="1290">
        <v>161</v>
      </c>
      <c r="I15" s="1290">
        <v>15</v>
      </c>
      <c r="J15" s="1290">
        <v>4</v>
      </c>
      <c r="K15" s="1290">
        <v>75</v>
      </c>
      <c r="L15" s="1290">
        <v>0</v>
      </c>
      <c r="M15" s="1290">
        <v>0</v>
      </c>
      <c r="N15" s="1290">
        <v>0</v>
      </c>
      <c r="O15" s="1290">
        <v>0</v>
      </c>
      <c r="P15" s="1290">
        <v>100</v>
      </c>
      <c r="Q15" s="2260">
        <v>0</v>
      </c>
      <c r="R15" s="2261"/>
      <c r="S15" s="1287">
        <v>6</v>
      </c>
      <c r="T15" s="2235"/>
      <c r="U15" s="1287" t="s">
        <v>64</v>
      </c>
      <c r="V15" s="2262">
        <v>16904</v>
      </c>
      <c r="W15" s="2262"/>
      <c r="X15" s="2262"/>
    </row>
    <row r="16" spans="1:25" ht="24.75" customHeight="1" x14ac:dyDescent="0.25">
      <c r="A16" s="100" t="s">
        <v>39</v>
      </c>
      <c r="B16" s="2260">
        <v>114285</v>
      </c>
      <c r="C16" s="2261"/>
      <c r="D16" s="1290"/>
      <c r="E16" s="1290"/>
      <c r="F16" s="1290"/>
      <c r="G16" s="1290"/>
      <c r="H16" s="1290"/>
      <c r="I16" s="1290"/>
      <c r="J16" s="1290"/>
      <c r="K16" s="1290"/>
      <c r="L16" s="1290"/>
      <c r="M16" s="1290"/>
      <c r="N16" s="1290"/>
      <c r="O16" s="1290"/>
      <c r="P16" s="1290"/>
      <c r="Q16" s="2225"/>
      <c r="R16" s="2225"/>
      <c r="S16" s="1290"/>
      <c r="T16" s="2254" t="s">
        <v>55</v>
      </c>
      <c r="U16" s="2254"/>
      <c r="V16" s="2267">
        <f>Y12</f>
        <v>128071.2475</v>
      </c>
      <c r="W16" s="2267"/>
      <c r="X16" s="2262"/>
    </row>
    <row r="17" spans="1:25" ht="28.5" customHeight="1" x14ac:dyDescent="0.25">
      <c r="A17" s="101" t="s">
        <v>44</v>
      </c>
      <c r="B17" s="2260"/>
      <c r="C17" s="2261"/>
      <c r="D17" s="1290"/>
      <c r="E17" s="1290"/>
      <c r="F17" s="1290"/>
      <c r="G17" s="1290"/>
      <c r="H17" s="1290"/>
      <c r="I17" s="1290"/>
      <c r="J17" s="1290"/>
      <c r="K17" s="1290"/>
      <c r="L17" s="1290"/>
      <c r="M17" s="1290"/>
      <c r="N17" s="1290"/>
      <c r="O17" s="1290"/>
      <c r="P17" s="1290"/>
      <c r="Q17" s="2225"/>
      <c r="R17" s="2225"/>
      <c r="S17" s="1286"/>
      <c r="T17" s="2294" t="s">
        <v>473</v>
      </c>
      <c r="U17" s="2295"/>
      <c r="V17" s="2296">
        <v>2500</v>
      </c>
      <c r="W17" s="2296"/>
      <c r="X17" s="2296"/>
    </row>
    <row r="18" spans="1:25" ht="27" customHeight="1" x14ac:dyDescent="0.25">
      <c r="A18" s="100" t="s">
        <v>40</v>
      </c>
      <c r="B18" s="2264">
        <f>C12</f>
        <v>119191</v>
      </c>
      <c r="C18" s="2261"/>
      <c r="D18" s="1292">
        <f>E12</f>
        <v>0</v>
      </c>
      <c r="E18" s="1292">
        <f>G12</f>
        <v>40</v>
      </c>
      <c r="F18" s="1292">
        <f>I12</f>
        <v>580</v>
      </c>
      <c r="G18" s="1292">
        <f>K12</f>
        <v>0</v>
      </c>
      <c r="H18" s="1290"/>
      <c r="I18" s="1292">
        <f>U12</f>
        <v>0</v>
      </c>
      <c r="J18" s="1290"/>
      <c r="K18" s="1292">
        <f>W12</f>
        <v>3</v>
      </c>
      <c r="L18" s="1290"/>
      <c r="M18" s="1292">
        <f>M12</f>
        <v>0</v>
      </c>
      <c r="N18" s="1292">
        <f>O12</f>
        <v>0</v>
      </c>
      <c r="O18" s="1291">
        <f>Q12</f>
        <v>0</v>
      </c>
      <c r="P18" s="1292"/>
      <c r="Q18" s="2262"/>
      <c r="R18" s="2262"/>
      <c r="S18" s="1287"/>
      <c r="T18" s="2254" t="s">
        <v>57</v>
      </c>
      <c r="U18" s="2254"/>
      <c r="V18" s="2262">
        <v>3450</v>
      </c>
      <c r="W18" s="2262"/>
      <c r="X18" s="2262"/>
      <c r="Y18" s="2269"/>
    </row>
    <row r="19" spans="1:25" ht="25.5" customHeight="1" x14ac:dyDescent="0.25">
      <c r="A19" s="100" t="s">
        <v>41</v>
      </c>
      <c r="B19" s="2260">
        <f>B15+B16+B17-B18</f>
        <v>344408</v>
      </c>
      <c r="C19" s="2261"/>
      <c r="D19" s="1290">
        <f>D15+D16+D17-D18</f>
        <v>160</v>
      </c>
      <c r="E19" s="1290">
        <f t="shared" ref="E19:N19" si="13">E15+E16+E17-E18</f>
        <v>600</v>
      </c>
      <c r="F19" s="1290">
        <f t="shared" si="13"/>
        <v>14390</v>
      </c>
      <c r="G19" s="1290">
        <f t="shared" si="13"/>
        <v>0</v>
      </c>
      <c r="H19" s="1290">
        <f t="shared" si="13"/>
        <v>161</v>
      </c>
      <c r="I19" s="1290">
        <f t="shared" si="13"/>
        <v>15</v>
      </c>
      <c r="J19" s="1290">
        <f t="shared" si="13"/>
        <v>4</v>
      </c>
      <c r="K19" s="1290">
        <f t="shared" si="13"/>
        <v>72</v>
      </c>
      <c r="L19" s="1290">
        <f t="shared" si="13"/>
        <v>0</v>
      </c>
      <c r="M19" s="1290">
        <f t="shared" si="13"/>
        <v>0</v>
      </c>
      <c r="N19" s="1290">
        <f t="shared" si="13"/>
        <v>0</v>
      </c>
      <c r="O19" s="1290">
        <f>O15+O16+O17-O18</f>
        <v>0</v>
      </c>
      <c r="P19" s="1290">
        <f t="shared" ref="P19:Q19" si="14">P15+P16+P17-P18</f>
        <v>100</v>
      </c>
      <c r="Q19" s="2260">
        <f t="shared" si="14"/>
        <v>0</v>
      </c>
      <c r="R19" s="2261"/>
      <c r="S19" s="1287">
        <f>S15+S16-S17-S18</f>
        <v>6</v>
      </c>
      <c r="T19" s="2256" t="s">
        <v>48</v>
      </c>
      <c r="U19" s="49" t="s">
        <v>58</v>
      </c>
      <c r="V19" s="2262">
        <v>110000</v>
      </c>
      <c r="W19" s="2262"/>
      <c r="X19" s="2262"/>
      <c r="Y19" s="2269"/>
    </row>
    <row r="20" spans="1:25" ht="23.25" customHeight="1" x14ac:dyDescent="0.25">
      <c r="A20" s="289" t="s">
        <v>187</v>
      </c>
      <c r="B20" s="2286">
        <f>B19*0.9625</f>
        <v>331492.7</v>
      </c>
      <c r="C20" s="2287"/>
      <c r="D20" s="290">
        <f>D19*66.41</f>
        <v>10625.599999999999</v>
      </c>
      <c r="E20" s="290">
        <f>27.9368*E19</f>
        <v>16762.080000000002</v>
      </c>
      <c r="F20" s="290">
        <f>18.31*F19</f>
        <v>263480.89999999997</v>
      </c>
      <c r="G20" s="290">
        <f>27.9368*G19</f>
        <v>0</v>
      </c>
      <c r="H20" s="290">
        <f>241*H19</f>
        <v>38801</v>
      </c>
      <c r="I20" s="290">
        <f>323*I19</f>
        <v>4845</v>
      </c>
      <c r="J20" s="290">
        <f>241*J19</f>
        <v>964</v>
      </c>
      <c r="K20" s="290">
        <f>K19*100</f>
        <v>7200</v>
      </c>
      <c r="L20" s="290">
        <f>241*L19</f>
        <v>0</v>
      </c>
      <c r="M20" s="290">
        <f>47.1625*M19</f>
        <v>0</v>
      </c>
      <c r="N20" s="290">
        <f>N19*8.81</f>
        <v>0</v>
      </c>
      <c r="O20" s="290">
        <f>241*O19</f>
        <v>0</v>
      </c>
      <c r="P20" s="290">
        <f>P19*48.2</f>
        <v>4820</v>
      </c>
      <c r="Q20" s="2286">
        <f>341*Q19</f>
        <v>0</v>
      </c>
      <c r="R20" s="2287"/>
      <c r="S20" s="290">
        <f>341*S19</f>
        <v>2046</v>
      </c>
      <c r="T20" s="2257"/>
      <c r="U20" s="49" t="s">
        <v>59</v>
      </c>
      <c r="V20" s="2262"/>
      <c r="W20" s="2262"/>
      <c r="X20" s="2262"/>
      <c r="Y20" s="2269"/>
    </row>
    <row r="21" spans="1:25" ht="32.25" customHeight="1" x14ac:dyDescent="0.25">
      <c r="A21" s="291" t="s">
        <v>186</v>
      </c>
      <c r="B21" s="2293">
        <f>SUM(B20:S20)</f>
        <v>681037.28</v>
      </c>
      <c r="C21" s="2293"/>
      <c r="O21" s="1294"/>
      <c r="P21" s="1294"/>
      <c r="Q21" s="1294"/>
      <c r="R21" s="1294"/>
      <c r="T21" s="2294" t="s">
        <v>474</v>
      </c>
      <c r="U21" s="2295"/>
      <c r="V21" s="2297">
        <v>2500</v>
      </c>
      <c r="W21" s="2298"/>
      <c r="X21" s="2299"/>
      <c r="Y21" s="2269"/>
    </row>
    <row r="22" spans="1:25" ht="35.25" customHeight="1" x14ac:dyDescent="0.25">
      <c r="A22" s="15"/>
      <c r="B22" s="2288" t="s">
        <v>49</v>
      </c>
      <c r="C22" s="2291">
        <v>110000</v>
      </c>
      <c r="D22" s="2291">
        <v>110000</v>
      </c>
      <c r="E22" s="2291">
        <v>110000</v>
      </c>
      <c r="F22" s="2291">
        <f>C22-D22+E22</f>
        <v>110000</v>
      </c>
      <c r="G22" s="1294"/>
      <c r="Q22" s="1294"/>
      <c r="R22" s="1294"/>
      <c r="T22" s="2251" t="s">
        <v>83</v>
      </c>
      <c r="U22" s="50" t="s">
        <v>60</v>
      </c>
      <c r="V22" s="2262">
        <v>112130</v>
      </c>
      <c r="W22" s="2262"/>
      <c r="X22" s="2262"/>
      <c r="Y22" s="2269"/>
    </row>
    <row r="23" spans="1:25" ht="39.75" customHeight="1" x14ac:dyDescent="0.25">
      <c r="A23" s="1294"/>
      <c r="B23" s="2289"/>
      <c r="C23" s="2292"/>
      <c r="D23" s="2292"/>
      <c r="E23" s="2292"/>
      <c r="F23" s="2292"/>
      <c r="G23" s="1294"/>
      <c r="Q23" s="1294"/>
      <c r="R23" s="1294"/>
      <c r="T23" s="2252"/>
      <c r="U23" s="50" t="s">
        <v>61</v>
      </c>
      <c r="V23" s="2262">
        <v>110000</v>
      </c>
      <c r="W23" s="2262"/>
      <c r="X23" s="2262"/>
      <c r="Y23" s="2269"/>
    </row>
    <row r="24" spans="1:25" ht="48" customHeight="1" x14ac:dyDescent="0.25">
      <c r="A24" s="1294"/>
      <c r="B24" s="2290"/>
      <c r="C24" s="290" t="s">
        <v>46</v>
      </c>
      <c r="D24" s="290" t="s">
        <v>50</v>
      </c>
      <c r="E24" s="290" t="s">
        <v>51</v>
      </c>
      <c r="F24" s="290" t="s">
        <v>52</v>
      </c>
      <c r="G24" s="1294"/>
      <c r="Q24" s="1294"/>
      <c r="R24" s="1294"/>
      <c r="T24" s="2235" t="s">
        <v>47</v>
      </c>
      <c r="U24" s="51" t="s">
        <v>62</v>
      </c>
      <c r="V24" s="2263">
        <f>V14+V16+V17-V18-V19-V20-V22+V23-V21</f>
        <v>36947.247499999998</v>
      </c>
      <c r="W24" s="2263"/>
      <c r="X24" s="2263"/>
      <c r="Y24" s="2269"/>
    </row>
    <row r="25" spans="1:25" ht="40.5" customHeight="1" x14ac:dyDescent="0.25">
      <c r="T25" s="2235"/>
      <c r="U25" s="51" t="s">
        <v>63</v>
      </c>
      <c r="V25" s="2262">
        <f>V15+V22-V23</f>
        <v>19034</v>
      </c>
      <c r="W25" s="2262"/>
      <c r="X25" s="2262"/>
    </row>
    <row r="26" spans="1:25" ht="36" customHeight="1" x14ac:dyDescent="0.25">
      <c r="K26" s="314"/>
    </row>
    <row r="28" spans="1:25" x14ac:dyDescent="0.25">
      <c r="J28" s="14" t="s">
        <v>139</v>
      </c>
    </row>
    <row r="32" spans="1:25" x14ac:dyDescent="0.25">
      <c r="I32" s="2280"/>
      <c r="J32" s="2280"/>
      <c r="K32" s="2280"/>
      <c r="L32" s="2280"/>
    </row>
    <row r="33" spans="9:12" x14ac:dyDescent="0.25">
      <c r="I33" s="1294"/>
      <c r="J33" s="1294"/>
      <c r="K33" s="2280"/>
      <c r="L33" s="2280"/>
    </row>
  </sheetData>
  <mergeCells count="62">
    <mergeCell ref="A1:Y1"/>
    <mergeCell ref="A2:Y2"/>
    <mergeCell ref="T3:Y3"/>
    <mergeCell ref="A4:A5"/>
    <mergeCell ref="B4:B5"/>
    <mergeCell ref="C4:D4"/>
    <mergeCell ref="E4:F4"/>
    <mergeCell ref="G4:H4"/>
    <mergeCell ref="I4:J4"/>
    <mergeCell ref="K4:L4"/>
    <mergeCell ref="Y4:Y5"/>
    <mergeCell ref="M4:N4"/>
    <mergeCell ref="O4:P4"/>
    <mergeCell ref="Q4:R4"/>
    <mergeCell ref="S4:T4"/>
    <mergeCell ref="U4:V4"/>
    <mergeCell ref="W4:X4"/>
    <mergeCell ref="B16:C16"/>
    <mergeCell ref="Q16:R16"/>
    <mergeCell ref="T16:U16"/>
    <mergeCell ref="V16:X16"/>
    <mergeCell ref="A12:B12"/>
    <mergeCell ref="B14:C14"/>
    <mergeCell ref="Q14:R14"/>
    <mergeCell ref="T14:T15"/>
    <mergeCell ref="V14:X14"/>
    <mergeCell ref="B15:C15"/>
    <mergeCell ref="Q15:R15"/>
    <mergeCell ref="V15:X15"/>
    <mergeCell ref="B17:C17"/>
    <mergeCell ref="Q17:R17"/>
    <mergeCell ref="T17:U17"/>
    <mergeCell ref="V17:X17"/>
    <mergeCell ref="B18:C18"/>
    <mergeCell ref="Q18:R18"/>
    <mergeCell ref="T18:U18"/>
    <mergeCell ref="V18:X18"/>
    <mergeCell ref="Y18:Y24"/>
    <mergeCell ref="B19:C19"/>
    <mergeCell ref="Q19:R19"/>
    <mergeCell ref="T19:T20"/>
    <mergeCell ref="V19:X19"/>
    <mergeCell ref="B20:C20"/>
    <mergeCell ref="B22:B24"/>
    <mergeCell ref="C22:C23"/>
    <mergeCell ref="D22:D23"/>
    <mergeCell ref="E22:E23"/>
    <mergeCell ref="F22:F23"/>
    <mergeCell ref="Q20:R20"/>
    <mergeCell ref="V20:X20"/>
    <mergeCell ref="B21:C21"/>
    <mergeCell ref="T21:U21"/>
    <mergeCell ref="V21:X21"/>
    <mergeCell ref="I32:J32"/>
    <mergeCell ref="K32:L32"/>
    <mergeCell ref="K33:L33"/>
    <mergeCell ref="T22:T23"/>
    <mergeCell ref="V22:X22"/>
    <mergeCell ref="V23:X23"/>
    <mergeCell ref="T24:T25"/>
    <mergeCell ref="V24:X24"/>
    <mergeCell ref="V25:X25"/>
  </mergeCells>
  <pageMargins left="0.15748031496063" right="0.15748031496063" top="0" bottom="0" header="0" footer="0"/>
  <pageSetup paperSize="9" scale="47" orientation="landscape" r:id="rId1"/>
</worksheet>
</file>

<file path=xl/worksheets/sheet2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4FAE095-67B4-418A-B987-5910DF8512D8}">
  <sheetPr>
    <pageSetUpPr fitToPage="1"/>
  </sheetPr>
  <dimension ref="A1:Y33"/>
  <sheetViews>
    <sheetView zoomScale="70" zoomScaleNormal="70" zoomScaleSheetLayoutView="100" zoomScalePageLayoutView="68" workbookViewId="0">
      <selection activeCell="Y15" sqref="Y15"/>
    </sheetView>
  </sheetViews>
  <sheetFormatPr defaultColWidth="9.140625" defaultRowHeight="15" x14ac:dyDescent="0.25"/>
  <cols>
    <col min="1" max="1" width="18.28515625" style="14" customWidth="1"/>
    <col min="2" max="2" width="10.7109375" style="14" customWidth="1"/>
    <col min="3" max="3" width="12.28515625" style="14" customWidth="1"/>
    <col min="4" max="4" width="13.140625" style="14" bestFit="1" customWidth="1"/>
    <col min="5" max="5" width="12" style="14" customWidth="1"/>
    <col min="6" max="6" width="12.5703125" style="14" bestFit="1" customWidth="1"/>
    <col min="7" max="7" width="16" style="14" bestFit="1" customWidth="1"/>
    <col min="8" max="8" width="10.140625" style="14" bestFit="1" customWidth="1"/>
    <col min="9" max="9" width="10.5703125" style="14" bestFit="1" customWidth="1"/>
    <col min="10" max="10" width="10.5703125" style="14" customWidth="1"/>
    <col min="11" max="11" width="10.28515625" style="14" bestFit="1" customWidth="1"/>
    <col min="12" max="12" width="10.42578125" style="14" bestFit="1" customWidth="1"/>
    <col min="13" max="14" width="12" style="14" bestFit="1" customWidth="1"/>
    <col min="15" max="15" width="9" style="14" customWidth="1"/>
    <col min="16" max="16" width="12.85546875" style="14" bestFit="1" customWidth="1"/>
    <col min="17" max="18" width="9.42578125" style="14" customWidth="1"/>
    <col min="19" max="19" width="13.7109375" style="14" customWidth="1"/>
    <col min="20" max="20" width="12.140625" style="14" customWidth="1"/>
    <col min="21" max="21" width="21.7109375" style="14" customWidth="1"/>
    <col min="22" max="22" width="9.85546875" style="14" customWidth="1"/>
    <col min="23" max="23" width="10.140625" style="14" bestFit="1" customWidth="1"/>
    <col min="24" max="24" width="10.28515625" style="14" customWidth="1"/>
    <col min="25" max="25" width="15.7109375" style="14" customWidth="1"/>
    <col min="26" max="16384" width="9.140625" style="14"/>
  </cols>
  <sheetData>
    <row r="1" spans="1:25" ht="46.15" customHeight="1" x14ac:dyDescent="0.25">
      <c r="A1" s="2240" t="s">
        <v>148</v>
      </c>
      <c r="B1" s="2240"/>
      <c r="C1" s="2240"/>
      <c r="D1" s="2240"/>
      <c r="E1" s="2240"/>
      <c r="F1" s="2240"/>
      <c r="G1" s="2240"/>
      <c r="H1" s="2240"/>
      <c r="I1" s="2240"/>
      <c r="J1" s="2240"/>
      <c r="K1" s="2240"/>
      <c r="L1" s="2240"/>
      <c r="M1" s="2240"/>
      <c r="N1" s="2240"/>
      <c r="O1" s="2240"/>
      <c r="P1" s="2240"/>
      <c r="Q1" s="2240"/>
      <c r="R1" s="2240"/>
      <c r="S1" s="2240"/>
      <c r="T1" s="2240"/>
      <c r="U1" s="2240"/>
      <c r="V1" s="2240"/>
      <c r="W1" s="2240"/>
      <c r="X1" s="2240"/>
      <c r="Y1" s="2240"/>
    </row>
    <row r="2" spans="1:25" ht="21.6" customHeight="1" x14ac:dyDescent="0.25">
      <c r="A2" s="2241" t="s">
        <v>383</v>
      </c>
      <c r="B2" s="2241"/>
      <c r="C2" s="2241"/>
      <c r="D2" s="2241"/>
      <c r="E2" s="2241"/>
      <c r="F2" s="2241"/>
      <c r="G2" s="2241"/>
      <c r="H2" s="2241"/>
      <c r="I2" s="2241"/>
      <c r="J2" s="2241"/>
      <c r="K2" s="2241"/>
      <c r="L2" s="2241"/>
      <c r="M2" s="2241"/>
      <c r="N2" s="2241"/>
      <c r="O2" s="2241"/>
      <c r="P2" s="2241"/>
      <c r="Q2" s="2241"/>
      <c r="R2" s="2241"/>
      <c r="S2" s="2241"/>
      <c r="T2" s="2241"/>
      <c r="U2" s="2241"/>
      <c r="V2" s="2241"/>
      <c r="W2" s="2241"/>
      <c r="X2" s="2241"/>
      <c r="Y2" s="2241"/>
    </row>
    <row r="3" spans="1:25" ht="21" customHeight="1" x14ac:dyDescent="0.25">
      <c r="A3" s="1295"/>
      <c r="B3" s="1295"/>
      <c r="C3" s="1295"/>
      <c r="D3" s="1295"/>
      <c r="E3" s="1295"/>
      <c r="F3" s="1295"/>
      <c r="G3" s="1295"/>
      <c r="H3" s="1295"/>
      <c r="I3" s="1295"/>
      <c r="J3" s="1295"/>
      <c r="K3" s="1295"/>
      <c r="L3" s="1295"/>
      <c r="M3" s="1295"/>
      <c r="N3" s="1295"/>
      <c r="O3" s="1295"/>
      <c r="P3" s="1295"/>
      <c r="Q3" s="1295"/>
      <c r="R3" s="1295"/>
      <c r="S3" s="1295"/>
      <c r="T3" s="2242" t="s">
        <v>475</v>
      </c>
      <c r="U3" s="2242"/>
      <c r="V3" s="2242"/>
      <c r="W3" s="2242"/>
      <c r="X3" s="2242"/>
      <c r="Y3" s="2242"/>
    </row>
    <row r="4" spans="1:25" s="1295" customFormat="1" ht="18" customHeight="1" x14ac:dyDescent="0.25">
      <c r="A4" s="2243" t="s">
        <v>25</v>
      </c>
      <c r="B4" s="2243" t="s">
        <v>26</v>
      </c>
      <c r="C4" s="2244" t="s">
        <v>27</v>
      </c>
      <c r="D4" s="2244"/>
      <c r="E4" s="2244" t="s">
        <v>342</v>
      </c>
      <c r="F4" s="2244"/>
      <c r="G4" s="2244" t="s">
        <v>65</v>
      </c>
      <c r="H4" s="2244"/>
      <c r="I4" s="2244" t="s">
        <v>29</v>
      </c>
      <c r="J4" s="2244"/>
      <c r="K4" s="2245" t="s">
        <v>14</v>
      </c>
      <c r="L4" s="2246"/>
      <c r="M4" s="2245" t="s">
        <v>429</v>
      </c>
      <c r="N4" s="2246"/>
      <c r="O4" s="2245" t="s">
        <v>441</v>
      </c>
      <c r="P4" s="2246"/>
      <c r="Q4" s="2245" t="s">
        <v>114</v>
      </c>
      <c r="R4" s="2246"/>
      <c r="S4" s="2244" t="s">
        <v>35</v>
      </c>
      <c r="T4" s="2244"/>
      <c r="U4" s="2245" t="s">
        <v>17</v>
      </c>
      <c r="V4" s="2246"/>
      <c r="W4" s="2247" t="s">
        <v>36</v>
      </c>
      <c r="X4" s="2248"/>
      <c r="Y4" s="2238" t="s">
        <v>30</v>
      </c>
    </row>
    <row r="5" spans="1:25" s="1295" customFormat="1" ht="25.5" customHeight="1" x14ac:dyDescent="0.25">
      <c r="A5" s="2243"/>
      <c r="B5" s="2243"/>
      <c r="C5" s="1297" t="s">
        <v>42</v>
      </c>
      <c r="D5" s="1297" t="s">
        <v>43</v>
      </c>
      <c r="E5" s="1297" t="s">
        <v>42</v>
      </c>
      <c r="F5" s="1297" t="s">
        <v>43</v>
      </c>
      <c r="G5" s="1297" t="s">
        <v>42</v>
      </c>
      <c r="H5" s="1297" t="s">
        <v>43</v>
      </c>
      <c r="I5" s="1297" t="s">
        <v>42</v>
      </c>
      <c r="J5" s="1297" t="s">
        <v>43</v>
      </c>
      <c r="K5" s="1297" t="s">
        <v>42</v>
      </c>
      <c r="L5" s="1297" t="s">
        <v>43</v>
      </c>
      <c r="M5" s="1297" t="s">
        <v>42</v>
      </c>
      <c r="N5" s="1297" t="s">
        <v>43</v>
      </c>
      <c r="O5" s="1297" t="s">
        <v>42</v>
      </c>
      <c r="P5" s="1297" t="s">
        <v>43</v>
      </c>
      <c r="Q5" s="1297" t="s">
        <v>42</v>
      </c>
      <c r="R5" s="1297" t="s">
        <v>43</v>
      </c>
      <c r="S5" s="33" t="s">
        <v>42</v>
      </c>
      <c r="T5" s="33" t="s">
        <v>43</v>
      </c>
      <c r="U5" s="30" t="s">
        <v>42</v>
      </c>
      <c r="V5" s="30" t="s">
        <v>43</v>
      </c>
      <c r="W5" s="30" t="s">
        <v>42</v>
      </c>
      <c r="X5" s="30" t="s">
        <v>43</v>
      </c>
      <c r="Y5" s="2239"/>
    </row>
    <row r="6" spans="1:25" ht="34.5" customHeight="1" x14ac:dyDescent="0.25">
      <c r="A6" s="12">
        <v>1409935200</v>
      </c>
      <c r="B6" s="1296" t="s">
        <v>71</v>
      </c>
      <c r="C6" s="1299">
        <v>51457</v>
      </c>
      <c r="D6" s="1300">
        <f t="shared" ref="D6:D11" si="0">0.9725*C6</f>
        <v>50041.932500000003</v>
      </c>
      <c r="E6" s="1299"/>
      <c r="F6" s="1300">
        <f>67.1*E6</f>
        <v>0</v>
      </c>
      <c r="G6" s="1299">
        <v>100</v>
      </c>
      <c r="H6" s="1299">
        <f>28.2*G6</f>
        <v>2820</v>
      </c>
      <c r="I6" s="1299">
        <v>730</v>
      </c>
      <c r="J6" s="1299">
        <f>18.5*I6</f>
        <v>13505</v>
      </c>
      <c r="K6" s="1299"/>
      <c r="L6" s="1300">
        <f>28.2368*K6</f>
        <v>0</v>
      </c>
      <c r="M6" s="1299"/>
      <c r="N6" s="1300">
        <f>M6*47.6525</f>
        <v>0</v>
      </c>
      <c r="O6" s="1299"/>
      <c r="P6" s="1300">
        <f>O6*8.9</f>
        <v>0</v>
      </c>
      <c r="Q6" s="1300"/>
      <c r="R6" s="1300">
        <f>241*Q6</f>
        <v>0</v>
      </c>
      <c r="S6" s="1299"/>
      <c r="T6" s="1299">
        <f>241*S6</f>
        <v>0</v>
      </c>
      <c r="U6" s="1299"/>
      <c r="V6" s="1299">
        <f>332*U6</f>
        <v>0</v>
      </c>
      <c r="W6" s="1299"/>
      <c r="X6" s="19">
        <f>W6*100</f>
        <v>0</v>
      </c>
      <c r="Y6" s="20">
        <f t="shared" ref="Y6:Y12" si="1">D6+F6+H6+J6+L6+N6+P6+R6+T6+V6+X6</f>
        <v>66366.932499999995</v>
      </c>
    </row>
    <row r="7" spans="1:25" ht="31.5" customHeight="1" x14ac:dyDescent="0.25">
      <c r="A7" s="12">
        <v>1984225578</v>
      </c>
      <c r="B7" s="1296" t="s">
        <v>72</v>
      </c>
      <c r="C7" s="1299">
        <v>23485</v>
      </c>
      <c r="D7" s="1300">
        <f t="shared" si="0"/>
        <v>22839.162500000002</v>
      </c>
      <c r="E7" s="1299">
        <v>30</v>
      </c>
      <c r="F7" s="1299">
        <f t="shared" ref="F7:F11" si="2">67.1*E7</f>
        <v>2012.9999999999998</v>
      </c>
      <c r="G7" s="1299">
        <v>400</v>
      </c>
      <c r="H7" s="1299">
        <f t="shared" ref="H7:H11" si="3">28.2*G7</f>
        <v>11280</v>
      </c>
      <c r="I7" s="1299">
        <v>1240</v>
      </c>
      <c r="J7" s="1299">
        <f t="shared" ref="J7:J11" si="4">18.5*I7</f>
        <v>22940</v>
      </c>
      <c r="K7" s="1299"/>
      <c r="L7" s="1300">
        <f t="shared" ref="L7:L11" si="5">28.2368*K7</f>
        <v>0</v>
      </c>
      <c r="M7" s="1299"/>
      <c r="N7" s="1300">
        <f t="shared" ref="N7:N11" si="6">M7*47.6525</f>
        <v>0</v>
      </c>
      <c r="O7" s="1299"/>
      <c r="P7" s="1300">
        <f t="shared" ref="P7:P11" si="7">O7*8.9</f>
        <v>0</v>
      </c>
      <c r="Q7" s="1300"/>
      <c r="R7" s="1300">
        <f t="shared" ref="R7:R11" si="8">241*Q7</f>
        <v>0</v>
      </c>
      <c r="S7" s="1299"/>
      <c r="T7" s="1299">
        <f t="shared" ref="T7:T10" si="9">241*S7</f>
        <v>0</v>
      </c>
      <c r="U7" s="1299"/>
      <c r="V7" s="1299">
        <f t="shared" ref="V7:V11" si="10">332*U7</f>
        <v>0</v>
      </c>
      <c r="W7" s="1299"/>
      <c r="X7" s="19">
        <f t="shared" ref="X7:X11" si="11">W7*100</f>
        <v>0</v>
      </c>
      <c r="Y7" s="20">
        <f t="shared" si="1"/>
        <v>59072.162500000006</v>
      </c>
    </row>
    <row r="8" spans="1:25" ht="35.25" customHeight="1" x14ac:dyDescent="0.25">
      <c r="A8" s="12">
        <v>1967020280</v>
      </c>
      <c r="B8" s="1296" t="s">
        <v>427</v>
      </c>
      <c r="C8" s="1299">
        <v>25898</v>
      </c>
      <c r="D8" s="1300">
        <f t="shared" si="0"/>
        <v>25185.805</v>
      </c>
      <c r="E8" s="1299"/>
      <c r="F8" s="1299">
        <f t="shared" si="2"/>
        <v>0</v>
      </c>
      <c r="G8" s="1299"/>
      <c r="H8" s="1300">
        <f t="shared" si="3"/>
        <v>0</v>
      </c>
      <c r="I8" s="1299">
        <v>660</v>
      </c>
      <c r="J8" s="1299">
        <f t="shared" si="4"/>
        <v>12210</v>
      </c>
      <c r="K8" s="1299"/>
      <c r="L8" s="1300">
        <f t="shared" si="5"/>
        <v>0</v>
      </c>
      <c r="M8" s="1299"/>
      <c r="N8" s="1300">
        <f t="shared" si="6"/>
        <v>0</v>
      </c>
      <c r="O8" s="1299"/>
      <c r="P8" s="1300">
        <f t="shared" si="7"/>
        <v>0</v>
      </c>
      <c r="Q8" s="1300"/>
      <c r="R8" s="1300">
        <f t="shared" si="8"/>
        <v>0</v>
      </c>
      <c r="S8" s="1299"/>
      <c r="T8" s="1299">
        <f t="shared" si="9"/>
        <v>0</v>
      </c>
      <c r="U8" s="1299">
        <v>5</v>
      </c>
      <c r="V8" s="1299">
        <f t="shared" si="10"/>
        <v>1660</v>
      </c>
      <c r="W8" s="1299">
        <v>1</v>
      </c>
      <c r="X8" s="19">
        <f t="shared" si="11"/>
        <v>100</v>
      </c>
      <c r="Y8" s="20">
        <f t="shared" si="1"/>
        <v>39155.805</v>
      </c>
    </row>
    <row r="9" spans="1:25" ht="38.25" customHeight="1" x14ac:dyDescent="0.25">
      <c r="A9" s="12">
        <v>1984225580</v>
      </c>
      <c r="B9" s="1296" t="s">
        <v>75</v>
      </c>
      <c r="C9" s="1299">
        <v>22095</v>
      </c>
      <c r="D9" s="1300">
        <f t="shared" si="0"/>
        <v>21487.387500000001</v>
      </c>
      <c r="E9" s="1299"/>
      <c r="F9" s="1299">
        <f t="shared" si="2"/>
        <v>0</v>
      </c>
      <c r="G9" s="1299"/>
      <c r="H9" s="1299">
        <f t="shared" si="3"/>
        <v>0</v>
      </c>
      <c r="I9" s="1299">
        <v>490</v>
      </c>
      <c r="J9" s="1299">
        <f t="shared" si="4"/>
        <v>9065</v>
      </c>
      <c r="K9" s="1299"/>
      <c r="L9" s="1300">
        <f t="shared" si="5"/>
        <v>0</v>
      </c>
      <c r="M9" s="1299"/>
      <c r="N9" s="1300">
        <f t="shared" si="6"/>
        <v>0</v>
      </c>
      <c r="O9" s="1299"/>
      <c r="P9" s="1300">
        <f t="shared" si="7"/>
        <v>0</v>
      </c>
      <c r="Q9" s="1300"/>
      <c r="R9" s="1300">
        <f t="shared" si="8"/>
        <v>0</v>
      </c>
      <c r="S9" s="1299"/>
      <c r="T9" s="1299">
        <f t="shared" si="9"/>
        <v>0</v>
      </c>
      <c r="U9" s="1299"/>
      <c r="V9" s="1299">
        <f t="shared" si="10"/>
        <v>0</v>
      </c>
      <c r="W9" s="1299"/>
      <c r="X9" s="19">
        <f t="shared" si="11"/>
        <v>0</v>
      </c>
      <c r="Y9" s="20">
        <f t="shared" si="1"/>
        <v>30552.387500000001</v>
      </c>
    </row>
    <row r="10" spans="1:25" ht="35.25" customHeight="1" x14ac:dyDescent="0.25">
      <c r="A10" s="12">
        <v>1409935199</v>
      </c>
      <c r="C10" s="1299">
        <v>6137</v>
      </c>
      <c r="D10" s="1300">
        <f t="shared" si="0"/>
        <v>5968.2325000000001</v>
      </c>
      <c r="E10" s="1299"/>
      <c r="F10" s="1299">
        <f t="shared" si="2"/>
        <v>0</v>
      </c>
      <c r="G10" s="1299"/>
      <c r="H10" s="1299">
        <f t="shared" si="3"/>
        <v>0</v>
      </c>
      <c r="I10" s="1299"/>
      <c r="J10" s="1299">
        <f t="shared" si="4"/>
        <v>0</v>
      </c>
      <c r="K10" s="1299"/>
      <c r="L10" s="1300">
        <f t="shared" si="5"/>
        <v>0</v>
      </c>
      <c r="M10" s="1299"/>
      <c r="N10" s="1300">
        <f t="shared" si="6"/>
        <v>0</v>
      </c>
      <c r="O10" s="1299"/>
      <c r="P10" s="1300">
        <f t="shared" si="7"/>
        <v>0</v>
      </c>
      <c r="Q10" s="1300"/>
      <c r="R10" s="1300">
        <f t="shared" si="8"/>
        <v>0</v>
      </c>
      <c r="S10" s="1299"/>
      <c r="T10" s="1299">
        <f t="shared" si="9"/>
        <v>0</v>
      </c>
      <c r="U10" s="1299"/>
      <c r="V10" s="1299">
        <f t="shared" si="10"/>
        <v>0</v>
      </c>
      <c r="W10" s="1299"/>
      <c r="X10" s="19">
        <f t="shared" si="11"/>
        <v>0</v>
      </c>
      <c r="Y10" s="20">
        <f t="shared" si="1"/>
        <v>5968.2325000000001</v>
      </c>
    </row>
    <row r="11" spans="1:25" ht="37.5" customHeight="1" x14ac:dyDescent="0.25">
      <c r="A11" s="12"/>
      <c r="B11" s="1298"/>
      <c r="C11" s="1299"/>
      <c r="D11" s="1300">
        <f t="shared" si="0"/>
        <v>0</v>
      </c>
      <c r="E11" s="1299"/>
      <c r="F11" s="1299">
        <f t="shared" si="2"/>
        <v>0</v>
      </c>
      <c r="G11" s="1299"/>
      <c r="H11" s="1299">
        <f t="shared" si="3"/>
        <v>0</v>
      </c>
      <c r="I11" s="1299"/>
      <c r="J11" s="1299">
        <f t="shared" si="4"/>
        <v>0</v>
      </c>
      <c r="K11" s="1299"/>
      <c r="L11" s="1300">
        <f t="shared" si="5"/>
        <v>0</v>
      </c>
      <c r="M11" s="1299"/>
      <c r="N11" s="1300">
        <f t="shared" si="6"/>
        <v>0</v>
      </c>
      <c r="O11" s="1299"/>
      <c r="P11" s="1300">
        <f t="shared" si="7"/>
        <v>0</v>
      </c>
      <c r="Q11" s="1300"/>
      <c r="R11" s="1300">
        <f t="shared" si="8"/>
        <v>0</v>
      </c>
      <c r="S11" s="1299"/>
      <c r="T11" s="1299">
        <f>341*S11</f>
        <v>0</v>
      </c>
      <c r="U11" s="1299"/>
      <c r="V11" s="1299">
        <f t="shared" si="10"/>
        <v>0</v>
      </c>
      <c r="W11" s="1299"/>
      <c r="X11" s="19">
        <f t="shared" si="11"/>
        <v>0</v>
      </c>
      <c r="Y11" s="20">
        <f t="shared" si="1"/>
        <v>0</v>
      </c>
    </row>
    <row r="12" spans="1:25" ht="29.25" customHeight="1" x14ac:dyDescent="0.25">
      <c r="A12" s="2235" t="s">
        <v>31</v>
      </c>
      <c r="B12" s="2235"/>
      <c r="C12" s="18">
        <f t="shared" ref="C12:X12" si="12">SUM(C6:C11)</f>
        <v>129072</v>
      </c>
      <c r="D12" s="18">
        <f t="shared" si="12"/>
        <v>125522.51999999999</v>
      </c>
      <c r="E12" s="18">
        <f t="shared" si="12"/>
        <v>30</v>
      </c>
      <c r="F12" s="18">
        <f t="shared" si="12"/>
        <v>2012.9999999999998</v>
      </c>
      <c r="G12" s="18">
        <f t="shared" si="12"/>
        <v>500</v>
      </c>
      <c r="H12" s="18">
        <f t="shared" si="12"/>
        <v>14100</v>
      </c>
      <c r="I12" s="18">
        <f t="shared" si="12"/>
        <v>3120</v>
      </c>
      <c r="J12" s="18">
        <f t="shared" si="12"/>
        <v>57720</v>
      </c>
      <c r="K12" s="18">
        <f t="shared" si="12"/>
        <v>0</v>
      </c>
      <c r="L12" s="18">
        <f t="shared" si="12"/>
        <v>0</v>
      </c>
      <c r="M12" s="18">
        <f t="shared" si="12"/>
        <v>0</v>
      </c>
      <c r="N12" s="23">
        <f t="shared" si="12"/>
        <v>0</v>
      </c>
      <c r="O12" s="18">
        <f t="shared" si="12"/>
        <v>0</v>
      </c>
      <c r="P12" s="23">
        <f t="shared" si="12"/>
        <v>0</v>
      </c>
      <c r="Q12" s="23">
        <f t="shared" si="12"/>
        <v>0</v>
      </c>
      <c r="R12" s="23">
        <f>SUM(R6:R11)</f>
        <v>0</v>
      </c>
      <c r="S12" s="23">
        <f>SUM(S6:S11)</f>
        <v>0</v>
      </c>
      <c r="T12" s="18">
        <f t="shared" si="12"/>
        <v>0</v>
      </c>
      <c r="U12" s="18">
        <f t="shared" si="12"/>
        <v>5</v>
      </c>
      <c r="V12" s="18">
        <f t="shared" si="12"/>
        <v>1660</v>
      </c>
      <c r="W12" s="18">
        <f t="shared" si="12"/>
        <v>1</v>
      </c>
      <c r="X12" s="18">
        <f t="shared" si="12"/>
        <v>100</v>
      </c>
      <c r="Y12" s="20">
        <f t="shared" si="1"/>
        <v>201115.51999999999</v>
      </c>
    </row>
    <row r="14" spans="1:25" ht="43.5" customHeight="1" x14ac:dyDescent="0.25">
      <c r="A14" s="30" t="s">
        <v>32</v>
      </c>
      <c r="B14" s="2236" t="s">
        <v>27</v>
      </c>
      <c r="C14" s="2236"/>
      <c r="D14" s="30" t="s">
        <v>333</v>
      </c>
      <c r="E14" s="30" t="s">
        <v>65</v>
      </c>
      <c r="F14" s="30" t="s">
        <v>34</v>
      </c>
      <c r="G14" s="30" t="s">
        <v>14</v>
      </c>
      <c r="H14" s="469" t="s">
        <v>173</v>
      </c>
      <c r="I14" s="30" t="s">
        <v>17</v>
      </c>
      <c r="J14" s="1304" t="s">
        <v>174</v>
      </c>
      <c r="K14" s="30" t="s">
        <v>36</v>
      </c>
      <c r="L14" s="1304" t="s">
        <v>403</v>
      </c>
      <c r="M14" s="30" t="s">
        <v>429</v>
      </c>
      <c r="N14" s="30" t="s">
        <v>442</v>
      </c>
      <c r="O14" s="1304" t="s">
        <v>114</v>
      </c>
      <c r="P14" s="30" t="s">
        <v>70</v>
      </c>
      <c r="Q14" s="2300" t="s">
        <v>378</v>
      </c>
      <c r="R14" s="2301"/>
      <c r="S14" s="1304" t="s">
        <v>401</v>
      </c>
      <c r="T14" s="2235" t="s">
        <v>46</v>
      </c>
      <c r="U14" s="1296" t="s">
        <v>176</v>
      </c>
      <c r="V14" s="2260">
        <v>36947</v>
      </c>
      <c r="W14" s="2268"/>
      <c r="X14" s="2261"/>
    </row>
    <row r="15" spans="1:25" ht="22.5" customHeight="1" x14ac:dyDescent="0.25">
      <c r="A15" s="100" t="s">
        <v>38</v>
      </c>
      <c r="B15" s="2260">
        <v>344408</v>
      </c>
      <c r="C15" s="2261"/>
      <c r="D15" s="1301">
        <v>160</v>
      </c>
      <c r="E15" s="1301">
        <v>600</v>
      </c>
      <c r="F15" s="1301">
        <v>14390</v>
      </c>
      <c r="G15" s="1301">
        <v>0</v>
      </c>
      <c r="H15" s="1301">
        <v>161</v>
      </c>
      <c r="I15" s="1301">
        <v>15</v>
      </c>
      <c r="J15" s="1301">
        <v>4</v>
      </c>
      <c r="K15" s="1301">
        <v>72</v>
      </c>
      <c r="L15" s="1301">
        <v>0</v>
      </c>
      <c r="M15" s="1301">
        <v>0</v>
      </c>
      <c r="N15" s="1301">
        <v>0</v>
      </c>
      <c r="O15" s="1301">
        <v>0</v>
      </c>
      <c r="P15" s="1301">
        <v>100</v>
      </c>
      <c r="Q15" s="2260">
        <v>0</v>
      </c>
      <c r="R15" s="2261"/>
      <c r="S15" s="1296">
        <v>6</v>
      </c>
      <c r="T15" s="2235"/>
      <c r="U15" s="1296" t="s">
        <v>64</v>
      </c>
      <c r="V15" s="2262">
        <v>19034</v>
      </c>
      <c r="W15" s="2262"/>
      <c r="X15" s="2262"/>
    </row>
    <row r="16" spans="1:25" ht="24.75" customHeight="1" x14ac:dyDescent="0.25">
      <c r="A16" s="100" t="s">
        <v>39</v>
      </c>
      <c r="B16" s="2260">
        <v>488312</v>
      </c>
      <c r="C16" s="2261"/>
      <c r="D16" s="1301"/>
      <c r="E16" s="1301">
        <v>2000</v>
      </c>
      <c r="F16" s="1301">
        <v>15000</v>
      </c>
      <c r="G16" s="1301"/>
      <c r="H16" s="1301"/>
      <c r="I16" s="1301">
        <v>100</v>
      </c>
      <c r="J16" s="1301"/>
      <c r="K16" s="1301"/>
      <c r="L16" s="1301"/>
      <c r="M16" s="1301"/>
      <c r="N16" s="1301"/>
      <c r="O16" s="1301"/>
      <c r="P16" s="1301"/>
      <c r="Q16" s="2262">
        <v>10</v>
      </c>
      <c r="R16" s="2262"/>
      <c r="S16" s="1301"/>
      <c r="T16" s="2254" t="s">
        <v>55</v>
      </c>
      <c r="U16" s="2254"/>
      <c r="V16" s="2267">
        <f>Y12</f>
        <v>201115.51999999999</v>
      </c>
      <c r="W16" s="2267"/>
      <c r="X16" s="2262"/>
    </row>
    <row r="17" spans="1:25" ht="28.5" customHeight="1" x14ac:dyDescent="0.25">
      <c r="A17" s="101" t="s">
        <v>44</v>
      </c>
      <c r="B17" s="2260"/>
      <c r="C17" s="2261"/>
      <c r="D17" s="1301"/>
      <c r="E17" s="1301"/>
      <c r="F17" s="1301"/>
      <c r="G17" s="1301"/>
      <c r="H17" s="1301"/>
      <c r="I17" s="1301"/>
      <c r="J17" s="1301"/>
      <c r="K17" s="1301"/>
      <c r="L17" s="1301"/>
      <c r="M17" s="1301"/>
      <c r="N17" s="1301"/>
      <c r="O17" s="1301"/>
      <c r="P17" s="1301"/>
      <c r="Q17" s="2225"/>
      <c r="R17" s="2225"/>
      <c r="S17" s="1298"/>
      <c r="T17" s="2294" t="s">
        <v>473</v>
      </c>
      <c r="U17" s="2295"/>
      <c r="V17" s="2296"/>
      <c r="W17" s="2296"/>
      <c r="X17" s="2296"/>
    </row>
    <row r="18" spans="1:25" ht="27" customHeight="1" x14ac:dyDescent="0.25">
      <c r="A18" s="100" t="s">
        <v>40</v>
      </c>
      <c r="B18" s="2264">
        <f>C12</f>
        <v>129072</v>
      </c>
      <c r="C18" s="2261"/>
      <c r="D18" s="1302">
        <f>E12</f>
        <v>30</v>
      </c>
      <c r="E18" s="1302">
        <f>G12</f>
        <v>500</v>
      </c>
      <c r="F18" s="1302">
        <f>I12</f>
        <v>3120</v>
      </c>
      <c r="G18" s="1302">
        <f>K12</f>
        <v>0</v>
      </c>
      <c r="H18" s="1301"/>
      <c r="I18" s="1302">
        <f>U12</f>
        <v>5</v>
      </c>
      <c r="J18" s="1301"/>
      <c r="K18" s="1302">
        <f>W12</f>
        <v>1</v>
      </c>
      <c r="L18" s="1301"/>
      <c r="M18" s="1302">
        <f>M12</f>
        <v>0</v>
      </c>
      <c r="N18" s="1302">
        <f>O12</f>
        <v>0</v>
      </c>
      <c r="O18" s="1303">
        <f>Q12</f>
        <v>0</v>
      </c>
      <c r="P18" s="1302"/>
      <c r="Q18" s="2262"/>
      <c r="R18" s="2262"/>
      <c r="S18" s="1296"/>
      <c r="T18" s="2254" t="s">
        <v>57</v>
      </c>
      <c r="U18" s="2254"/>
      <c r="V18" s="2262">
        <v>5008</v>
      </c>
      <c r="W18" s="2262"/>
      <c r="X18" s="2262"/>
      <c r="Y18" s="2269"/>
    </row>
    <row r="19" spans="1:25" ht="25.5" customHeight="1" x14ac:dyDescent="0.25">
      <c r="A19" s="100" t="s">
        <v>41</v>
      </c>
      <c r="B19" s="2260">
        <f>B15+B16+B17-B18</f>
        <v>703648</v>
      </c>
      <c r="C19" s="2261"/>
      <c r="D19" s="1301">
        <f>D15+D16+D17-D18</f>
        <v>130</v>
      </c>
      <c r="E19" s="1301">
        <f t="shared" ref="E19:N19" si="13">E15+E16+E17-E18</f>
        <v>2100</v>
      </c>
      <c r="F19" s="1301">
        <f t="shared" si="13"/>
        <v>26270</v>
      </c>
      <c r="G19" s="1301">
        <f t="shared" si="13"/>
        <v>0</v>
      </c>
      <c r="H19" s="1301">
        <f t="shared" si="13"/>
        <v>161</v>
      </c>
      <c r="I19" s="1301">
        <f t="shared" si="13"/>
        <v>110</v>
      </c>
      <c r="J19" s="1301">
        <f t="shared" si="13"/>
        <v>4</v>
      </c>
      <c r="K19" s="1301">
        <f t="shared" si="13"/>
        <v>71</v>
      </c>
      <c r="L19" s="1301">
        <f t="shared" si="13"/>
        <v>0</v>
      </c>
      <c r="M19" s="1301">
        <f t="shared" si="13"/>
        <v>0</v>
      </c>
      <c r="N19" s="1301">
        <f t="shared" si="13"/>
        <v>0</v>
      </c>
      <c r="O19" s="1301">
        <f>O15+O16+O17-O18</f>
        <v>0</v>
      </c>
      <c r="P19" s="1301">
        <f t="shared" ref="P19:Q19" si="14">P15+P16+P17-P18</f>
        <v>100</v>
      </c>
      <c r="Q19" s="2260">
        <f t="shared" si="14"/>
        <v>10</v>
      </c>
      <c r="R19" s="2261"/>
      <c r="S19" s="1296">
        <f>S15+S16-S17-S18</f>
        <v>6</v>
      </c>
      <c r="T19" s="2256" t="s">
        <v>48</v>
      </c>
      <c r="U19" s="49" t="s">
        <v>58</v>
      </c>
      <c r="V19" s="2262">
        <v>110000</v>
      </c>
      <c r="W19" s="2262"/>
      <c r="X19" s="2262"/>
      <c r="Y19" s="2269"/>
    </row>
    <row r="20" spans="1:25" ht="23.25" customHeight="1" x14ac:dyDescent="0.25">
      <c r="A20" s="289" t="s">
        <v>187</v>
      </c>
      <c r="B20" s="2286">
        <f>B19*0.9625</f>
        <v>677261.20000000007</v>
      </c>
      <c r="C20" s="2287"/>
      <c r="D20" s="290">
        <f>D19*66.41</f>
        <v>8633.2999999999993</v>
      </c>
      <c r="E20" s="290">
        <f>27.9368*E19</f>
        <v>58667.280000000006</v>
      </c>
      <c r="F20" s="290">
        <f>18.31*F19</f>
        <v>481003.69999999995</v>
      </c>
      <c r="G20" s="290">
        <f>27.9368*G19</f>
        <v>0</v>
      </c>
      <c r="H20" s="290">
        <f>241*H19</f>
        <v>38801</v>
      </c>
      <c r="I20" s="290">
        <f>323*I19</f>
        <v>35530</v>
      </c>
      <c r="J20" s="290">
        <f>241*J19</f>
        <v>964</v>
      </c>
      <c r="K20" s="290">
        <f>K19*100</f>
        <v>7100</v>
      </c>
      <c r="L20" s="290">
        <f>241*L19</f>
        <v>0</v>
      </c>
      <c r="M20" s="290">
        <f>47.1625*M19</f>
        <v>0</v>
      </c>
      <c r="N20" s="290">
        <f>N19*8.81</f>
        <v>0</v>
      </c>
      <c r="O20" s="290">
        <f>241*O19</f>
        <v>0</v>
      </c>
      <c r="P20" s="290">
        <f>P19*48.2</f>
        <v>4820</v>
      </c>
      <c r="Q20" s="2286">
        <f>470*Q19</f>
        <v>4700</v>
      </c>
      <c r="R20" s="2287"/>
      <c r="S20" s="290">
        <f>341*S19</f>
        <v>2046</v>
      </c>
      <c r="T20" s="2257"/>
      <c r="U20" s="49" t="s">
        <v>59</v>
      </c>
      <c r="V20" s="2262">
        <v>15300</v>
      </c>
      <c r="W20" s="2262"/>
      <c r="X20" s="2262"/>
      <c r="Y20" s="2269"/>
    </row>
    <row r="21" spans="1:25" ht="32.25" customHeight="1" x14ac:dyDescent="0.25">
      <c r="A21" s="291" t="s">
        <v>186</v>
      </c>
      <c r="B21" s="2293">
        <f>SUM(B20:S20)</f>
        <v>1319526.48</v>
      </c>
      <c r="C21" s="2293"/>
      <c r="O21" s="1305"/>
      <c r="P21" s="1305"/>
      <c r="Q21" s="1305"/>
      <c r="R21" s="1305"/>
      <c r="T21" s="2294" t="s">
        <v>474</v>
      </c>
      <c r="U21" s="2295"/>
      <c r="V21" s="2297"/>
      <c r="W21" s="2298"/>
      <c r="X21" s="2299"/>
      <c r="Y21" s="2269"/>
    </row>
    <row r="22" spans="1:25" ht="35.25" customHeight="1" x14ac:dyDescent="0.25">
      <c r="A22" s="15"/>
      <c r="B22" s="2288" t="s">
        <v>49</v>
      </c>
      <c r="C22" s="2291">
        <v>110000</v>
      </c>
      <c r="D22" s="2291">
        <v>110000</v>
      </c>
      <c r="E22" s="2291">
        <v>822175</v>
      </c>
      <c r="F22" s="2291">
        <f>C22-D22+E22</f>
        <v>822175</v>
      </c>
      <c r="G22" s="1305"/>
      <c r="Q22" s="1305"/>
      <c r="R22" s="1305"/>
      <c r="T22" s="2251" t="s">
        <v>83</v>
      </c>
      <c r="U22" s="50" t="s">
        <v>60</v>
      </c>
      <c r="V22" s="2262">
        <v>214920</v>
      </c>
      <c r="W22" s="2262"/>
      <c r="X22" s="2262"/>
      <c r="Y22" s="2269"/>
    </row>
    <row r="23" spans="1:25" ht="39.75" customHeight="1" x14ac:dyDescent="0.25">
      <c r="A23" s="1305"/>
      <c r="B23" s="2289"/>
      <c r="C23" s="2292"/>
      <c r="D23" s="2292"/>
      <c r="E23" s="2292"/>
      <c r="F23" s="2292"/>
      <c r="G23" s="1305"/>
      <c r="Q23" s="1305"/>
      <c r="R23" s="1305"/>
      <c r="T23" s="2252"/>
      <c r="U23" s="50" t="s">
        <v>61</v>
      </c>
      <c r="V23" s="2262">
        <v>125300</v>
      </c>
      <c r="W23" s="2262"/>
      <c r="X23" s="2262"/>
      <c r="Y23" s="2269"/>
    </row>
    <row r="24" spans="1:25" ht="48" customHeight="1" x14ac:dyDescent="0.25">
      <c r="A24" s="1305"/>
      <c r="B24" s="2290"/>
      <c r="C24" s="290" t="s">
        <v>46</v>
      </c>
      <c r="D24" s="290" t="s">
        <v>50</v>
      </c>
      <c r="E24" s="290" t="s">
        <v>51</v>
      </c>
      <c r="F24" s="290" t="s">
        <v>52</v>
      </c>
      <c r="G24" s="1305"/>
      <c r="Q24" s="1305"/>
      <c r="R24" s="1305"/>
      <c r="T24" s="2235" t="s">
        <v>47</v>
      </c>
      <c r="U24" s="51" t="s">
        <v>62</v>
      </c>
      <c r="V24" s="2263">
        <f>V14+V16+V17-V18-V19-V20-V22+V23-V21</f>
        <v>18134.51999999999</v>
      </c>
      <c r="W24" s="2263"/>
      <c r="X24" s="2263"/>
      <c r="Y24" s="2269"/>
    </row>
    <row r="25" spans="1:25" ht="40.5" customHeight="1" x14ac:dyDescent="0.25">
      <c r="T25" s="2235"/>
      <c r="U25" s="51" t="s">
        <v>63</v>
      </c>
      <c r="V25" s="2262">
        <f>V15+V22-V23</f>
        <v>108654</v>
      </c>
      <c r="W25" s="2262"/>
      <c r="X25" s="2262"/>
    </row>
    <row r="26" spans="1:25" ht="36" customHeight="1" x14ac:dyDescent="0.25">
      <c r="K26" s="314"/>
    </row>
    <row r="28" spans="1:25" x14ac:dyDescent="0.25">
      <c r="J28" s="14" t="s">
        <v>139</v>
      </c>
    </row>
    <row r="32" spans="1:25" x14ac:dyDescent="0.25">
      <c r="I32" s="2280"/>
      <c r="J32" s="2280"/>
      <c r="K32" s="2280"/>
      <c r="L32" s="2280"/>
    </row>
    <row r="33" spans="9:12" x14ac:dyDescent="0.25">
      <c r="I33" s="1305"/>
      <c r="J33" s="1305"/>
      <c r="K33" s="2280"/>
      <c r="L33" s="2280"/>
    </row>
  </sheetData>
  <mergeCells count="62">
    <mergeCell ref="I32:J32"/>
    <mergeCell ref="K32:L32"/>
    <mergeCell ref="K33:L33"/>
    <mergeCell ref="T22:T23"/>
    <mergeCell ref="V22:X22"/>
    <mergeCell ref="V23:X23"/>
    <mergeCell ref="T24:T25"/>
    <mergeCell ref="V24:X24"/>
    <mergeCell ref="V25:X25"/>
    <mergeCell ref="Y18:Y24"/>
    <mergeCell ref="B19:C19"/>
    <mergeCell ref="Q19:R19"/>
    <mergeCell ref="T19:T20"/>
    <mergeCell ref="V19:X19"/>
    <mergeCell ref="B20:C20"/>
    <mergeCell ref="B22:B24"/>
    <mergeCell ref="C22:C23"/>
    <mergeCell ref="D22:D23"/>
    <mergeCell ref="E22:E23"/>
    <mergeCell ref="F22:F23"/>
    <mergeCell ref="Q20:R20"/>
    <mergeCell ref="V20:X20"/>
    <mergeCell ref="B21:C21"/>
    <mergeCell ref="T21:U21"/>
    <mergeCell ref="V21:X21"/>
    <mergeCell ref="B17:C17"/>
    <mergeCell ref="Q17:R17"/>
    <mergeCell ref="T17:U17"/>
    <mergeCell ref="V17:X17"/>
    <mergeCell ref="B18:C18"/>
    <mergeCell ref="Q18:R18"/>
    <mergeCell ref="T18:U18"/>
    <mergeCell ref="V18:X18"/>
    <mergeCell ref="W4:X4"/>
    <mergeCell ref="B16:C16"/>
    <mergeCell ref="Q16:R16"/>
    <mergeCell ref="T16:U16"/>
    <mergeCell ref="V16:X16"/>
    <mergeCell ref="A12:B12"/>
    <mergeCell ref="B14:C14"/>
    <mergeCell ref="Q14:R14"/>
    <mergeCell ref="T14:T15"/>
    <mergeCell ref="V14:X14"/>
    <mergeCell ref="B15:C15"/>
    <mergeCell ref="Q15:R15"/>
    <mergeCell ref="V15:X15"/>
    <mergeCell ref="A1:Y1"/>
    <mergeCell ref="A2:Y2"/>
    <mergeCell ref="T3:Y3"/>
    <mergeCell ref="A4:A5"/>
    <mergeCell ref="B4:B5"/>
    <mergeCell ref="C4:D4"/>
    <mergeCell ref="E4:F4"/>
    <mergeCell ref="G4:H4"/>
    <mergeCell ref="I4:J4"/>
    <mergeCell ref="K4:L4"/>
    <mergeCell ref="Y4:Y5"/>
    <mergeCell ref="M4:N4"/>
    <mergeCell ref="O4:P4"/>
    <mergeCell ref="Q4:R4"/>
    <mergeCell ref="S4:T4"/>
    <mergeCell ref="U4:V4"/>
  </mergeCells>
  <pageMargins left="0.15748031496063" right="0.15748031496063" top="0" bottom="0" header="0" footer="0"/>
  <pageSetup paperSize="9" scale="47" orientation="landscape" r:id="rId1"/>
</worksheet>
</file>

<file path=xl/worksheets/sheet2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B7A5825-03C8-4409-A398-2A678E6D6BBE}">
  <sheetPr>
    <pageSetUpPr fitToPage="1"/>
  </sheetPr>
  <dimension ref="A1:Y33"/>
  <sheetViews>
    <sheetView topLeftCell="A3" zoomScale="70" zoomScaleNormal="70" zoomScaleSheetLayoutView="100" zoomScalePageLayoutView="68" workbookViewId="0">
      <selection activeCell="AB16" sqref="AB16"/>
    </sheetView>
  </sheetViews>
  <sheetFormatPr defaultColWidth="9.140625" defaultRowHeight="15" x14ac:dyDescent="0.25"/>
  <cols>
    <col min="1" max="1" width="18.28515625" style="14" customWidth="1"/>
    <col min="2" max="2" width="10.7109375" style="14" customWidth="1"/>
    <col min="3" max="3" width="12.28515625" style="14" customWidth="1"/>
    <col min="4" max="4" width="13.140625" style="14" bestFit="1" customWidth="1"/>
    <col min="5" max="5" width="12" style="14" customWidth="1"/>
    <col min="6" max="6" width="12.5703125" style="14" bestFit="1" customWidth="1"/>
    <col min="7" max="7" width="16" style="14" bestFit="1" customWidth="1"/>
    <col min="8" max="8" width="10.140625" style="14" bestFit="1" customWidth="1"/>
    <col min="9" max="9" width="10.5703125" style="14" bestFit="1" customWidth="1"/>
    <col min="10" max="10" width="10.5703125" style="14" customWidth="1"/>
    <col min="11" max="11" width="10.28515625" style="14" bestFit="1" customWidth="1"/>
    <col min="12" max="12" width="10.42578125" style="14" bestFit="1" customWidth="1"/>
    <col min="13" max="14" width="12" style="14" bestFit="1" customWidth="1"/>
    <col min="15" max="15" width="9" style="14" customWidth="1"/>
    <col min="16" max="16" width="12.85546875" style="14" bestFit="1" customWidth="1"/>
    <col min="17" max="18" width="9.42578125" style="14" customWidth="1"/>
    <col min="19" max="19" width="13.7109375" style="14" customWidth="1"/>
    <col min="20" max="20" width="12.140625" style="14" customWidth="1"/>
    <col min="21" max="21" width="21.7109375" style="14" customWidth="1"/>
    <col min="22" max="22" width="9.85546875" style="14" customWidth="1"/>
    <col min="23" max="23" width="10.140625" style="14" bestFit="1" customWidth="1"/>
    <col min="24" max="24" width="10.28515625" style="14" customWidth="1"/>
    <col min="25" max="25" width="15.7109375" style="14" customWidth="1"/>
    <col min="26" max="16384" width="9.140625" style="14"/>
  </cols>
  <sheetData>
    <row r="1" spans="1:25" ht="46.15" customHeight="1" x14ac:dyDescent="0.25">
      <c r="A1" s="2240" t="s">
        <v>148</v>
      </c>
      <c r="B1" s="2240"/>
      <c r="C1" s="2240"/>
      <c r="D1" s="2240"/>
      <c r="E1" s="2240"/>
      <c r="F1" s="2240"/>
      <c r="G1" s="2240"/>
      <c r="H1" s="2240"/>
      <c r="I1" s="2240"/>
      <c r="J1" s="2240"/>
      <c r="K1" s="2240"/>
      <c r="L1" s="2240"/>
      <c r="M1" s="2240"/>
      <c r="N1" s="2240"/>
      <c r="O1" s="2240"/>
      <c r="P1" s="2240"/>
      <c r="Q1" s="2240"/>
      <c r="R1" s="2240"/>
      <c r="S1" s="2240"/>
      <c r="T1" s="2240"/>
      <c r="U1" s="2240"/>
      <c r="V1" s="2240"/>
      <c r="W1" s="2240"/>
      <c r="X1" s="2240"/>
      <c r="Y1" s="2240"/>
    </row>
    <row r="2" spans="1:25" ht="21.6" customHeight="1" x14ac:dyDescent="0.25">
      <c r="A2" s="2241" t="s">
        <v>383</v>
      </c>
      <c r="B2" s="2241"/>
      <c r="C2" s="2241"/>
      <c r="D2" s="2241"/>
      <c r="E2" s="2241"/>
      <c r="F2" s="2241"/>
      <c r="G2" s="2241"/>
      <c r="H2" s="2241"/>
      <c r="I2" s="2241"/>
      <c r="J2" s="2241"/>
      <c r="K2" s="2241"/>
      <c r="L2" s="2241"/>
      <c r="M2" s="2241"/>
      <c r="N2" s="2241"/>
      <c r="O2" s="2241"/>
      <c r="P2" s="2241"/>
      <c r="Q2" s="2241"/>
      <c r="R2" s="2241"/>
      <c r="S2" s="2241"/>
      <c r="T2" s="2241"/>
      <c r="U2" s="2241"/>
      <c r="V2" s="2241"/>
      <c r="W2" s="2241"/>
      <c r="X2" s="2241"/>
      <c r="Y2" s="2241"/>
    </row>
    <row r="3" spans="1:25" ht="21" customHeight="1" x14ac:dyDescent="0.25">
      <c r="A3" s="1311"/>
      <c r="B3" s="1311"/>
      <c r="C3" s="1311"/>
      <c r="D3" s="1311"/>
      <c r="E3" s="1311"/>
      <c r="F3" s="1311"/>
      <c r="G3" s="1311"/>
      <c r="H3" s="1311"/>
      <c r="I3" s="1311"/>
      <c r="J3" s="1311"/>
      <c r="K3" s="1311"/>
      <c r="L3" s="1311"/>
      <c r="M3" s="1311"/>
      <c r="N3" s="1311"/>
      <c r="O3" s="1311"/>
      <c r="P3" s="1311"/>
      <c r="Q3" s="1311"/>
      <c r="R3" s="1311"/>
      <c r="S3" s="1311"/>
      <c r="T3" s="2242" t="s">
        <v>476</v>
      </c>
      <c r="U3" s="2242"/>
      <c r="V3" s="2242"/>
      <c r="W3" s="2242"/>
      <c r="X3" s="2242"/>
      <c r="Y3" s="2242"/>
    </row>
    <row r="4" spans="1:25" s="1311" customFormat="1" ht="18" customHeight="1" x14ac:dyDescent="0.25">
      <c r="A4" s="2243" t="s">
        <v>25</v>
      </c>
      <c r="B4" s="2243" t="s">
        <v>26</v>
      </c>
      <c r="C4" s="2244" t="s">
        <v>27</v>
      </c>
      <c r="D4" s="2244"/>
      <c r="E4" s="2244" t="s">
        <v>342</v>
      </c>
      <c r="F4" s="2244"/>
      <c r="G4" s="2244" t="s">
        <v>65</v>
      </c>
      <c r="H4" s="2244"/>
      <c r="I4" s="2244" t="s">
        <v>29</v>
      </c>
      <c r="J4" s="2244"/>
      <c r="K4" s="2245" t="s">
        <v>14</v>
      </c>
      <c r="L4" s="2246"/>
      <c r="M4" s="2245" t="s">
        <v>429</v>
      </c>
      <c r="N4" s="2246"/>
      <c r="O4" s="2245" t="s">
        <v>441</v>
      </c>
      <c r="P4" s="2246"/>
      <c r="Q4" s="2245" t="s">
        <v>114</v>
      </c>
      <c r="R4" s="2246"/>
      <c r="S4" s="2244" t="s">
        <v>35</v>
      </c>
      <c r="T4" s="2244"/>
      <c r="U4" s="2245" t="s">
        <v>17</v>
      </c>
      <c r="V4" s="2246"/>
      <c r="W4" s="2247" t="s">
        <v>36</v>
      </c>
      <c r="X4" s="2248"/>
      <c r="Y4" s="2238" t="s">
        <v>30</v>
      </c>
    </row>
    <row r="5" spans="1:25" s="1311" customFormat="1" ht="25.5" customHeight="1" x14ac:dyDescent="0.25">
      <c r="A5" s="2243"/>
      <c r="B5" s="2243"/>
      <c r="C5" s="1310" t="s">
        <v>42</v>
      </c>
      <c r="D5" s="1310" t="s">
        <v>43</v>
      </c>
      <c r="E5" s="1310" t="s">
        <v>42</v>
      </c>
      <c r="F5" s="1310" t="s">
        <v>43</v>
      </c>
      <c r="G5" s="1310" t="s">
        <v>42</v>
      </c>
      <c r="H5" s="1310" t="s">
        <v>43</v>
      </c>
      <c r="I5" s="1310" t="s">
        <v>42</v>
      </c>
      <c r="J5" s="1310" t="s">
        <v>43</v>
      </c>
      <c r="K5" s="1310" t="s">
        <v>42</v>
      </c>
      <c r="L5" s="1310" t="s">
        <v>43</v>
      </c>
      <c r="M5" s="1310" t="s">
        <v>42</v>
      </c>
      <c r="N5" s="1310" t="s">
        <v>43</v>
      </c>
      <c r="O5" s="1310" t="s">
        <v>42</v>
      </c>
      <c r="P5" s="1310" t="s">
        <v>43</v>
      </c>
      <c r="Q5" s="1310" t="s">
        <v>42</v>
      </c>
      <c r="R5" s="1310" t="s">
        <v>43</v>
      </c>
      <c r="S5" s="33" t="s">
        <v>42</v>
      </c>
      <c r="T5" s="33" t="s">
        <v>43</v>
      </c>
      <c r="U5" s="30" t="s">
        <v>42</v>
      </c>
      <c r="V5" s="30" t="s">
        <v>43</v>
      </c>
      <c r="W5" s="30" t="s">
        <v>42</v>
      </c>
      <c r="X5" s="30" t="s">
        <v>43</v>
      </c>
      <c r="Y5" s="2239"/>
    </row>
    <row r="6" spans="1:25" ht="34.5" customHeight="1" x14ac:dyDescent="0.25">
      <c r="A6" s="12">
        <v>1409935200</v>
      </c>
      <c r="B6" s="1309" t="s">
        <v>71</v>
      </c>
      <c r="C6" s="1307">
        <v>43705</v>
      </c>
      <c r="D6" s="1306">
        <f t="shared" ref="D6:D11" si="0">0.9725*C6</f>
        <v>42503.112500000003</v>
      </c>
      <c r="E6" s="1307"/>
      <c r="F6" s="1306">
        <f>67.1*E6</f>
        <v>0</v>
      </c>
      <c r="G6" s="1307"/>
      <c r="H6" s="1307">
        <f>28.2*G6</f>
        <v>0</v>
      </c>
      <c r="I6" s="1307">
        <v>350</v>
      </c>
      <c r="J6" s="1307">
        <f>18.5*I6</f>
        <v>6475</v>
      </c>
      <c r="K6" s="1307"/>
      <c r="L6" s="1306">
        <f>28.2368*K6</f>
        <v>0</v>
      </c>
      <c r="M6" s="1307"/>
      <c r="N6" s="1306">
        <f>M6*47.6525</f>
        <v>0</v>
      </c>
      <c r="O6" s="1307"/>
      <c r="P6" s="1306">
        <f>O6*8.9</f>
        <v>0</v>
      </c>
      <c r="Q6" s="1306"/>
      <c r="R6" s="1306">
        <f>241*Q6</f>
        <v>0</v>
      </c>
      <c r="S6" s="1307"/>
      <c r="T6" s="1307">
        <f>241*S6</f>
        <v>0</v>
      </c>
      <c r="U6" s="1307"/>
      <c r="V6" s="1307">
        <f>332*U6</f>
        <v>0</v>
      </c>
      <c r="W6" s="1307"/>
      <c r="X6" s="19">
        <f>W6*100</f>
        <v>0</v>
      </c>
      <c r="Y6" s="20">
        <f t="shared" ref="Y6:Y12" si="1">D6+F6+H6+J6+L6+N6+P6+R6+T6+V6+X6</f>
        <v>48978.112500000003</v>
      </c>
    </row>
    <row r="7" spans="1:25" ht="31.5" customHeight="1" x14ac:dyDescent="0.25">
      <c r="A7" s="12">
        <v>1984225578</v>
      </c>
      <c r="B7" s="1309" t="s">
        <v>72</v>
      </c>
      <c r="C7" s="1307">
        <v>72251</v>
      </c>
      <c r="D7" s="1306">
        <f t="shared" si="0"/>
        <v>70264.097500000003</v>
      </c>
      <c r="E7" s="1307"/>
      <c r="F7" s="1307">
        <f t="shared" ref="F7:F11" si="2">67.1*E7</f>
        <v>0</v>
      </c>
      <c r="G7" s="1307"/>
      <c r="H7" s="1307">
        <f t="shared" ref="H7:H11" si="3">28.2*G7</f>
        <v>0</v>
      </c>
      <c r="I7" s="1307">
        <v>260</v>
      </c>
      <c r="J7" s="1307">
        <f t="shared" ref="J7:J11" si="4">18.5*I7</f>
        <v>4810</v>
      </c>
      <c r="K7" s="1307"/>
      <c r="L7" s="1306">
        <f t="shared" ref="L7:L11" si="5">28.2368*K7</f>
        <v>0</v>
      </c>
      <c r="M7" s="1307"/>
      <c r="N7" s="1306">
        <f t="shared" ref="N7:N11" si="6">M7*47.6525</f>
        <v>0</v>
      </c>
      <c r="O7" s="1307"/>
      <c r="P7" s="1306">
        <f t="shared" ref="P7:P11" si="7">O7*8.9</f>
        <v>0</v>
      </c>
      <c r="Q7" s="1306"/>
      <c r="R7" s="1306">
        <f t="shared" ref="R7:R11" si="8">241*Q7</f>
        <v>0</v>
      </c>
      <c r="S7" s="1307"/>
      <c r="T7" s="1307">
        <f t="shared" ref="T7:T10" si="9">241*S7</f>
        <v>0</v>
      </c>
      <c r="U7" s="1307"/>
      <c r="V7" s="1307">
        <f t="shared" ref="V7:V11" si="10">332*U7</f>
        <v>0</v>
      </c>
      <c r="W7" s="1307"/>
      <c r="X7" s="19">
        <f t="shared" ref="X7:X11" si="11">W7*100</f>
        <v>0</v>
      </c>
      <c r="Y7" s="20">
        <f t="shared" si="1"/>
        <v>75074.097500000003</v>
      </c>
    </row>
    <row r="8" spans="1:25" ht="35.25" customHeight="1" x14ac:dyDescent="0.25">
      <c r="A8" s="12">
        <v>1967020280</v>
      </c>
      <c r="B8" s="1309" t="s">
        <v>427</v>
      </c>
      <c r="C8" s="1307">
        <v>52056</v>
      </c>
      <c r="D8" s="1306">
        <f t="shared" si="0"/>
        <v>50624.46</v>
      </c>
      <c r="E8" s="1307"/>
      <c r="F8" s="1307">
        <f t="shared" si="2"/>
        <v>0</v>
      </c>
      <c r="G8" s="1307"/>
      <c r="H8" s="1306">
        <f t="shared" si="3"/>
        <v>0</v>
      </c>
      <c r="I8" s="1307">
        <v>750</v>
      </c>
      <c r="J8" s="1307">
        <f t="shared" si="4"/>
        <v>13875</v>
      </c>
      <c r="K8" s="1307"/>
      <c r="L8" s="1306">
        <f t="shared" si="5"/>
        <v>0</v>
      </c>
      <c r="M8" s="1307"/>
      <c r="N8" s="1306">
        <f t="shared" si="6"/>
        <v>0</v>
      </c>
      <c r="O8" s="1307"/>
      <c r="P8" s="1306">
        <f t="shared" si="7"/>
        <v>0</v>
      </c>
      <c r="Q8" s="1306"/>
      <c r="R8" s="1306">
        <f t="shared" si="8"/>
        <v>0</v>
      </c>
      <c r="S8" s="1307"/>
      <c r="T8" s="1307">
        <f t="shared" si="9"/>
        <v>0</v>
      </c>
      <c r="U8" s="1307"/>
      <c r="V8" s="1307">
        <f t="shared" si="10"/>
        <v>0</v>
      </c>
      <c r="W8" s="1307"/>
      <c r="X8" s="19">
        <f t="shared" si="11"/>
        <v>0</v>
      </c>
      <c r="Y8" s="20">
        <f t="shared" si="1"/>
        <v>64499.46</v>
      </c>
    </row>
    <row r="9" spans="1:25" ht="38.25" customHeight="1" x14ac:dyDescent="0.25">
      <c r="A9" s="12">
        <v>1984225580</v>
      </c>
      <c r="B9" s="1309" t="s">
        <v>75</v>
      </c>
      <c r="C9" s="1307">
        <v>69912</v>
      </c>
      <c r="D9" s="1306">
        <f t="shared" si="0"/>
        <v>67989.42</v>
      </c>
      <c r="E9" s="1307"/>
      <c r="F9" s="1307">
        <f t="shared" si="2"/>
        <v>0</v>
      </c>
      <c r="G9" s="1307"/>
      <c r="H9" s="1307">
        <f t="shared" si="3"/>
        <v>0</v>
      </c>
      <c r="I9" s="1307">
        <v>250</v>
      </c>
      <c r="J9" s="1307">
        <f t="shared" si="4"/>
        <v>4625</v>
      </c>
      <c r="K9" s="1307"/>
      <c r="L9" s="1306">
        <f t="shared" si="5"/>
        <v>0</v>
      </c>
      <c r="M9" s="1307"/>
      <c r="N9" s="1306">
        <f t="shared" si="6"/>
        <v>0</v>
      </c>
      <c r="O9" s="1307"/>
      <c r="P9" s="1306">
        <f t="shared" si="7"/>
        <v>0</v>
      </c>
      <c r="Q9" s="1306"/>
      <c r="R9" s="1306">
        <f t="shared" si="8"/>
        <v>0</v>
      </c>
      <c r="S9" s="1307"/>
      <c r="T9" s="1307">
        <f t="shared" si="9"/>
        <v>0</v>
      </c>
      <c r="U9" s="1307"/>
      <c r="V9" s="1307">
        <f t="shared" si="10"/>
        <v>0</v>
      </c>
      <c r="W9" s="1307"/>
      <c r="X9" s="19">
        <f t="shared" si="11"/>
        <v>0</v>
      </c>
      <c r="Y9" s="20">
        <f t="shared" si="1"/>
        <v>72614.42</v>
      </c>
    </row>
    <row r="10" spans="1:25" ht="35.25" customHeight="1" x14ac:dyDescent="0.25">
      <c r="A10" s="12">
        <v>1409935199</v>
      </c>
      <c r="C10" s="1307">
        <v>29853</v>
      </c>
      <c r="D10" s="1306">
        <f t="shared" si="0"/>
        <v>29032.0425</v>
      </c>
      <c r="E10" s="1307"/>
      <c r="F10" s="1307">
        <f t="shared" si="2"/>
        <v>0</v>
      </c>
      <c r="G10" s="1307"/>
      <c r="H10" s="1307">
        <f t="shared" si="3"/>
        <v>0</v>
      </c>
      <c r="I10" s="1307"/>
      <c r="J10" s="1307">
        <f t="shared" si="4"/>
        <v>0</v>
      </c>
      <c r="K10" s="1307"/>
      <c r="L10" s="1306">
        <f t="shared" si="5"/>
        <v>0</v>
      </c>
      <c r="M10" s="1307"/>
      <c r="N10" s="1306">
        <f t="shared" si="6"/>
        <v>0</v>
      </c>
      <c r="O10" s="1307"/>
      <c r="P10" s="1306">
        <f t="shared" si="7"/>
        <v>0</v>
      </c>
      <c r="Q10" s="1306"/>
      <c r="R10" s="1306">
        <f t="shared" si="8"/>
        <v>0</v>
      </c>
      <c r="S10" s="1307"/>
      <c r="T10" s="1307">
        <f t="shared" si="9"/>
        <v>0</v>
      </c>
      <c r="U10" s="1307"/>
      <c r="V10" s="1307">
        <f t="shared" si="10"/>
        <v>0</v>
      </c>
      <c r="W10" s="1307"/>
      <c r="X10" s="19">
        <f t="shared" si="11"/>
        <v>0</v>
      </c>
      <c r="Y10" s="20">
        <f t="shared" si="1"/>
        <v>29032.0425</v>
      </c>
    </row>
    <row r="11" spans="1:25" ht="37.5" customHeight="1" x14ac:dyDescent="0.25">
      <c r="A11" s="12"/>
      <c r="B11" s="1308"/>
      <c r="C11" s="1307"/>
      <c r="D11" s="1306">
        <f t="shared" si="0"/>
        <v>0</v>
      </c>
      <c r="E11" s="1307"/>
      <c r="F11" s="1307">
        <f t="shared" si="2"/>
        <v>0</v>
      </c>
      <c r="G11" s="1307"/>
      <c r="H11" s="1307">
        <f t="shared" si="3"/>
        <v>0</v>
      </c>
      <c r="I11" s="1307"/>
      <c r="J11" s="1307">
        <f t="shared" si="4"/>
        <v>0</v>
      </c>
      <c r="K11" s="1307"/>
      <c r="L11" s="1306">
        <f t="shared" si="5"/>
        <v>0</v>
      </c>
      <c r="M11" s="1307"/>
      <c r="N11" s="1306">
        <f t="shared" si="6"/>
        <v>0</v>
      </c>
      <c r="O11" s="1307"/>
      <c r="P11" s="1306">
        <f t="shared" si="7"/>
        <v>0</v>
      </c>
      <c r="Q11" s="1306"/>
      <c r="R11" s="1306">
        <f t="shared" si="8"/>
        <v>0</v>
      </c>
      <c r="S11" s="1307"/>
      <c r="T11" s="1307">
        <f>341*S11</f>
        <v>0</v>
      </c>
      <c r="U11" s="1307"/>
      <c r="V11" s="1307">
        <f t="shared" si="10"/>
        <v>0</v>
      </c>
      <c r="W11" s="1307"/>
      <c r="X11" s="19">
        <f t="shared" si="11"/>
        <v>0</v>
      </c>
      <c r="Y11" s="20">
        <f t="shared" si="1"/>
        <v>0</v>
      </c>
    </row>
    <row r="12" spans="1:25" ht="29.25" customHeight="1" x14ac:dyDescent="0.25">
      <c r="A12" s="2235" t="s">
        <v>31</v>
      </c>
      <c r="B12" s="2235"/>
      <c r="C12" s="18">
        <f t="shared" ref="C12:X12" si="12">SUM(C6:C11)</f>
        <v>267777</v>
      </c>
      <c r="D12" s="18">
        <f t="shared" si="12"/>
        <v>260413.13250000004</v>
      </c>
      <c r="E12" s="18">
        <f t="shared" si="12"/>
        <v>0</v>
      </c>
      <c r="F12" s="18">
        <f t="shared" si="12"/>
        <v>0</v>
      </c>
      <c r="G12" s="18">
        <f t="shared" si="12"/>
        <v>0</v>
      </c>
      <c r="H12" s="18">
        <f t="shared" si="12"/>
        <v>0</v>
      </c>
      <c r="I12" s="18">
        <f t="shared" si="12"/>
        <v>1610</v>
      </c>
      <c r="J12" s="18">
        <f t="shared" si="12"/>
        <v>29785</v>
      </c>
      <c r="K12" s="18">
        <f t="shared" si="12"/>
        <v>0</v>
      </c>
      <c r="L12" s="18">
        <f t="shared" si="12"/>
        <v>0</v>
      </c>
      <c r="M12" s="18">
        <f t="shared" si="12"/>
        <v>0</v>
      </c>
      <c r="N12" s="23">
        <f t="shared" si="12"/>
        <v>0</v>
      </c>
      <c r="O12" s="18">
        <f t="shared" si="12"/>
        <v>0</v>
      </c>
      <c r="P12" s="23">
        <f t="shared" si="12"/>
        <v>0</v>
      </c>
      <c r="Q12" s="23">
        <f t="shared" si="12"/>
        <v>0</v>
      </c>
      <c r="R12" s="23">
        <f>SUM(R6:R11)</f>
        <v>0</v>
      </c>
      <c r="S12" s="23">
        <f>SUM(S6:S11)</f>
        <v>0</v>
      </c>
      <c r="T12" s="18">
        <f t="shared" si="12"/>
        <v>0</v>
      </c>
      <c r="U12" s="18">
        <f t="shared" si="12"/>
        <v>0</v>
      </c>
      <c r="V12" s="18">
        <f t="shared" si="12"/>
        <v>0</v>
      </c>
      <c r="W12" s="18">
        <f t="shared" si="12"/>
        <v>0</v>
      </c>
      <c r="X12" s="18">
        <f t="shared" si="12"/>
        <v>0</v>
      </c>
      <c r="Y12" s="20">
        <f t="shared" si="1"/>
        <v>290198.13250000007</v>
      </c>
    </row>
    <row r="14" spans="1:25" ht="43.5" customHeight="1" x14ac:dyDescent="0.25">
      <c r="A14" s="30" t="s">
        <v>32</v>
      </c>
      <c r="B14" s="2236" t="s">
        <v>27</v>
      </c>
      <c r="C14" s="2236"/>
      <c r="D14" s="30" t="s">
        <v>333</v>
      </c>
      <c r="E14" s="30" t="s">
        <v>65</v>
      </c>
      <c r="F14" s="30" t="s">
        <v>34</v>
      </c>
      <c r="G14" s="30" t="s">
        <v>14</v>
      </c>
      <c r="H14" s="469" t="s">
        <v>173</v>
      </c>
      <c r="I14" s="30" t="s">
        <v>17</v>
      </c>
      <c r="J14" s="1315" t="s">
        <v>174</v>
      </c>
      <c r="K14" s="30" t="s">
        <v>36</v>
      </c>
      <c r="L14" s="1315" t="s">
        <v>403</v>
      </c>
      <c r="M14" s="30" t="s">
        <v>429</v>
      </c>
      <c r="N14" s="30" t="s">
        <v>442</v>
      </c>
      <c r="O14" s="1315" t="s">
        <v>114</v>
      </c>
      <c r="P14" s="30" t="s">
        <v>70</v>
      </c>
      <c r="Q14" s="2300" t="s">
        <v>378</v>
      </c>
      <c r="R14" s="2301"/>
      <c r="S14" s="1315" t="s">
        <v>401</v>
      </c>
      <c r="T14" s="2235" t="s">
        <v>46</v>
      </c>
      <c r="U14" s="1309" t="s">
        <v>176</v>
      </c>
      <c r="V14" s="2260">
        <v>18135</v>
      </c>
      <c r="W14" s="2268"/>
      <c r="X14" s="2261"/>
    </row>
    <row r="15" spans="1:25" ht="22.5" customHeight="1" x14ac:dyDescent="0.25">
      <c r="A15" s="100" t="s">
        <v>38</v>
      </c>
      <c r="B15" s="2260">
        <v>703648</v>
      </c>
      <c r="C15" s="2261"/>
      <c r="D15" s="1312">
        <v>130</v>
      </c>
      <c r="E15" s="1312">
        <v>2100</v>
      </c>
      <c r="F15" s="1312">
        <v>26270</v>
      </c>
      <c r="G15" s="1312">
        <v>0</v>
      </c>
      <c r="H15" s="1312">
        <v>161</v>
      </c>
      <c r="I15" s="1312">
        <v>110</v>
      </c>
      <c r="J15" s="1312">
        <v>4</v>
      </c>
      <c r="K15" s="1312">
        <v>71</v>
      </c>
      <c r="L15" s="1312">
        <v>0</v>
      </c>
      <c r="M15" s="1312">
        <v>0</v>
      </c>
      <c r="N15" s="1312">
        <v>0</v>
      </c>
      <c r="O15" s="1312">
        <v>0</v>
      </c>
      <c r="P15" s="1312">
        <v>100</v>
      </c>
      <c r="Q15" s="2260">
        <v>10</v>
      </c>
      <c r="R15" s="2261"/>
      <c r="S15" s="1309">
        <v>6</v>
      </c>
      <c r="T15" s="2235"/>
      <c r="U15" s="1309" t="s">
        <v>64</v>
      </c>
      <c r="V15" s="2262">
        <v>108654</v>
      </c>
      <c r="W15" s="2262"/>
      <c r="X15" s="2262"/>
    </row>
    <row r="16" spans="1:25" ht="24.75" customHeight="1" x14ac:dyDescent="0.25">
      <c r="A16" s="100" t="s">
        <v>39</v>
      </c>
      <c r="B16" s="2260"/>
      <c r="C16" s="2261"/>
      <c r="D16" s="1312"/>
      <c r="E16" s="1312"/>
      <c r="F16" s="1312"/>
      <c r="G16" s="1312"/>
      <c r="H16" s="1312"/>
      <c r="I16" s="1312"/>
      <c r="J16" s="1312"/>
      <c r="K16" s="1312"/>
      <c r="L16" s="1312"/>
      <c r="M16" s="1312"/>
      <c r="N16" s="1312"/>
      <c r="O16" s="1312"/>
      <c r="P16" s="1312"/>
      <c r="Q16" s="2262"/>
      <c r="R16" s="2262"/>
      <c r="S16" s="1312"/>
      <c r="T16" s="2254" t="s">
        <v>55</v>
      </c>
      <c r="U16" s="2254"/>
      <c r="V16" s="2267">
        <f>Y12</f>
        <v>290198.13250000007</v>
      </c>
      <c r="W16" s="2267"/>
      <c r="X16" s="2262"/>
    </row>
    <row r="17" spans="1:25" ht="28.5" customHeight="1" x14ac:dyDescent="0.25">
      <c r="A17" s="101" t="s">
        <v>44</v>
      </c>
      <c r="B17" s="2260"/>
      <c r="C17" s="2261"/>
      <c r="D17" s="1312"/>
      <c r="E17" s="1312"/>
      <c r="F17" s="1312"/>
      <c r="G17" s="1312"/>
      <c r="H17" s="1312"/>
      <c r="I17" s="1312"/>
      <c r="J17" s="1312"/>
      <c r="K17" s="1312"/>
      <c r="L17" s="1312"/>
      <c r="M17" s="1312"/>
      <c r="N17" s="1312"/>
      <c r="O17" s="1312"/>
      <c r="P17" s="1312"/>
      <c r="Q17" s="2225"/>
      <c r="R17" s="2225"/>
      <c r="S17" s="1308"/>
      <c r="T17" s="2294" t="s">
        <v>473</v>
      </c>
      <c r="U17" s="2295"/>
      <c r="V17" s="2296"/>
      <c r="W17" s="2296"/>
      <c r="X17" s="2296"/>
    </row>
    <row r="18" spans="1:25" ht="27" customHeight="1" x14ac:dyDescent="0.25">
      <c r="A18" s="100" t="s">
        <v>40</v>
      </c>
      <c r="B18" s="2264">
        <f>C12</f>
        <v>267777</v>
      </c>
      <c r="C18" s="2261"/>
      <c r="D18" s="1314">
        <f>E12</f>
        <v>0</v>
      </c>
      <c r="E18" s="1314">
        <f>G12</f>
        <v>0</v>
      </c>
      <c r="F18" s="1314">
        <f>I12</f>
        <v>1610</v>
      </c>
      <c r="G18" s="1314">
        <f>K12</f>
        <v>0</v>
      </c>
      <c r="H18" s="1312"/>
      <c r="I18" s="1314">
        <f>U12</f>
        <v>0</v>
      </c>
      <c r="J18" s="1312"/>
      <c r="K18" s="1314">
        <f>W12</f>
        <v>0</v>
      </c>
      <c r="L18" s="1312"/>
      <c r="M18" s="1314">
        <f>M12</f>
        <v>0</v>
      </c>
      <c r="N18" s="1314">
        <f>O12</f>
        <v>0</v>
      </c>
      <c r="O18" s="1313">
        <f>Q12</f>
        <v>0</v>
      </c>
      <c r="P18" s="1314"/>
      <c r="Q18" s="2262"/>
      <c r="R18" s="2262"/>
      <c r="S18" s="1309"/>
      <c r="T18" s="2254" t="s">
        <v>57</v>
      </c>
      <c r="U18" s="2254"/>
      <c r="V18" s="2262">
        <v>23500</v>
      </c>
      <c r="W18" s="2262"/>
      <c r="X18" s="2262"/>
      <c r="Y18" s="2269"/>
    </row>
    <row r="19" spans="1:25" ht="25.5" customHeight="1" x14ac:dyDescent="0.25">
      <c r="A19" s="100" t="s">
        <v>41</v>
      </c>
      <c r="B19" s="2260">
        <f>B15+B16+B17-B18</f>
        <v>435871</v>
      </c>
      <c r="C19" s="2261"/>
      <c r="D19" s="1312">
        <f>D15+D16+D17-D18</f>
        <v>130</v>
      </c>
      <c r="E19" s="1312">
        <f t="shared" ref="E19:N19" si="13">E15+E16+E17-E18</f>
        <v>2100</v>
      </c>
      <c r="F19" s="1312">
        <f t="shared" si="13"/>
        <v>24660</v>
      </c>
      <c r="G19" s="1312">
        <f t="shared" si="13"/>
        <v>0</v>
      </c>
      <c r="H19" s="1312">
        <f t="shared" si="13"/>
        <v>161</v>
      </c>
      <c r="I19" s="1312">
        <f t="shared" si="13"/>
        <v>110</v>
      </c>
      <c r="J19" s="1312">
        <f t="shared" si="13"/>
        <v>4</v>
      </c>
      <c r="K19" s="1312">
        <f t="shared" si="13"/>
        <v>71</v>
      </c>
      <c r="L19" s="1312">
        <f t="shared" si="13"/>
        <v>0</v>
      </c>
      <c r="M19" s="1312">
        <f t="shared" si="13"/>
        <v>0</v>
      </c>
      <c r="N19" s="1312">
        <f t="shared" si="13"/>
        <v>0</v>
      </c>
      <c r="O19" s="1312">
        <f>O15+O16+O17-O18</f>
        <v>0</v>
      </c>
      <c r="P19" s="1312">
        <f t="shared" ref="P19:Q19" si="14">P15+P16+P17-P18</f>
        <v>100</v>
      </c>
      <c r="Q19" s="2260">
        <f t="shared" si="14"/>
        <v>10</v>
      </c>
      <c r="R19" s="2261"/>
      <c r="S19" s="1309">
        <f>S15+S16-S17-S18</f>
        <v>6</v>
      </c>
      <c r="T19" s="2256" t="s">
        <v>48</v>
      </c>
      <c r="U19" s="49" t="s">
        <v>58</v>
      </c>
      <c r="V19" s="2262">
        <v>144500</v>
      </c>
      <c r="W19" s="2262"/>
      <c r="X19" s="2262"/>
      <c r="Y19" s="2269"/>
    </row>
    <row r="20" spans="1:25" ht="23.25" customHeight="1" x14ac:dyDescent="0.25">
      <c r="A20" s="289" t="s">
        <v>187</v>
      </c>
      <c r="B20" s="2286">
        <f>B19*0.9625</f>
        <v>419525.83750000002</v>
      </c>
      <c r="C20" s="2287"/>
      <c r="D20" s="290">
        <f>D19*66.41</f>
        <v>8633.2999999999993</v>
      </c>
      <c r="E20" s="290">
        <f>27.9368*E19</f>
        <v>58667.280000000006</v>
      </c>
      <c r="F20" s="290">
        <f>18.31*F19</f>
        <v>451524.6</v>
      </c>
      <c r="G20" s="290">
        <f>27.9368*G19</f>
        <v>0</v>
      </c>
      <c r="H20" s="290">
        <f>241*H19</f>
        <v>38801</v>
      </c>
      <c r="I20" s="290">
        <f>323*I19</f>
        <v>35530</v>
      </c>
      <c r="J20" s="290">
        <f>241*J19</f>
        <v>964</v>
      </c>
      <c r="K20" s="290">
        <f>K19*100</f>
        <v>7100</v>
      </c>
      <c r="L20" s="290">
        <f>241*L19</f>
        <v>0</v>
      </c>
      <c r="M20" s="290">
        <f>47.1625*M19</f>
        <v>0</v>
      </c>
      <c r="N20" s="290">
        <f>N19*8.81</f>
        <v>0</v>
      </c>
      <c r="O20" s="290">
        <f>241*O19</f>
        <v>0</v>
      </c>
      <c r="P20" s="290">
        <f>P19*48.2</f>
        <v>4820</v>
      </c>
      <c r="Q20" s="2286">
        <f>470*Q19</f>
        <v>4700</v>
      </c>
      <c r="R20" s="2287"/>
      <c r="S20" s="290">
        <f>341*S19</f>
        <v>2046</v>
      </c>
      <c r="T20" s="2257"/>
      <c r="U20" s="49" t="s">
        <v>59</v>
      </c>
      <c r="V20" s="2262"/>
      <c r="W20" s="2262"/>
      <c r="X20" s="2262"/>
      <c r="Y20" s="2269"/>
    </row>
    <row r="21" spans="1:25" ht="32.25" customHeight="1" x14ac:dyDescent="0.25">
      <c r="A21" s="291" t="s">
        <v>186</v>
      </c>
      <c r="B21" s="2293">
        <f>SUM(B20:S20)</f>
        <v>1032312.0175000001</v>
      </c>
      <c r="C21" s="2293"/>
      <c r="O21" s="1316"/>
      <c r="P21" s="1316"/>
      <c r="Q21" s="1316"/>
      <c r="R21" s="1316"/>
      <c r="T21" s="2294" t="s">
        <v>474</v>
      </c>
      <c r="U21" s="2295"/>
      <c r="V21" s="2297"/>
      <c r="W21" s="2298"/>
      <c r="X21" s="2299"/>
      <c r="Y21" s="2269"/>
    </row>
    <row r="22" spans="1:25" ht="35.25" customHeight="1" x14ac:dyDescent="0.25">
      <c r="A22" s="15"/>
      <c r="B22" s="2288" t="s">
        <v>49</v>
      </c>
      <c r="C22" s="2291">
        <v>822175</v>
      </c>
      <c r="D22" s="2291">
        <v>144500</v>
      </c>
      <c r="E22" s="2291"/>
      <c r="F22" s="2291">
        <f>C22-D22+E22</f>
        <v>677675</v>
      </c>
      <c r="G22" s="1316"/>
      <c r="Q22" s="1316"/>
      <c r="R22" s="1316"/>
      <c r="T22" s="2251" t="s">
        <v>83</v>
      </c>
      <c r="U22" s="50" t="s">
        <v>60</v>
      </c>
      <c r="V22" s="2262">
        <v>184500</v>
      </c>
      <c r="W22" s="2262"/>
      <c r="X22" s="2262"/>
      <c r="Y22" s="2269"/>
    </row>
    <row r="23" spans="1:25" ht="39.75" customHeight="1" x14ac:dyDescent="0.25">
      <c r="A23" s="1316"/>
      <c r="B23" s="2289"/>
      <c r="C23" s="2292"/>
      <c r="D23" s="2292"/>
      <c r="E23" s="2292"/>
      <c r="F23" s="2292"/>
      <c r="G23" s="1316"/>
      <c r="Q23" s="1316"/>
      <c r="R23" s="1316"/>
      <c r="T23" s="2252"/>
      <c r="U23" s="50" t="s">
        <v>61</v>
      </c>
      <c r="V23" s="2262">
        <v>144500</v>
      </c>
      <c r="W23" s="2262"/>
      <c r="X23" s="2262"/>
      <c r="Y23" s="2269"/>
    </row>
    <row r="24" spans="1:25" ht="48" customHeight="1" x14ac:dyDescent="0.25">
      <c r="A24" s="1316"/>
      <c r="B24" s="2290"/>
      <c r="C24" s="290" t="s">
        <v>46</v>
      </c>
      <c r="D24" s="290" t="s">
        <v>50</v>
      </c>
      <c r="E24" s="290" t="s">
        <v>51</v>
      </c>
      <c r="F24" s="290" t="s">
        <v>52</v>
      </c>
      <c r="G24" s="1316"/>
      <c r="Q24" s="1316"/>
      <c r="R24" s="1316"/>
      <c r="T24" s="2235" t="s">
        <v>47</v>
      </c>
      <c r="U24" s="51" t="s">
        <v>62</v>
      </c>
      <c r="V24" s="2263">
        <f>V14+V16+V17-V18-V19-V20-V22+V23-V21</f>
        <v>100333.13250000007</v>
      </c>
      <c r="W24" s="2263"/>
      <c r="X24" s="2263"/>
      <c r="Y24" s="2269"/>
    </row>
    <row r="25" spans="1:25" ht="40.5" customHeight="1" x14ac:dyDescent="0.25">
      <c r="T25" s="2235"/>
      <c r="U25" s="51" t="s">
        <v>63</v>
      </c>
      <c r="V25" s="2262">
        <f>V15+V22-V23</f>
        <v>148654</v>
      </c>
      <c r="W25" s="2262"/>
      <c r="X25" s="2262"/>
    </row>
    <row r="26" spans="1:25" ht="36" customHeight="1" x14ac:dyDescent="0.25">
      <c r="K26" s="314"/>
    </row>
    <row r="28" spans="1:25" x14ac:dyDescent="0.25">
      <c r="J28" s="14" t="s">
        <v>139</v>
      </c>
    </row>
    <row r="32" spans="1:25" x14ac:dyDescent="0.25">
      <c r="I32" s="2280"/>
      <c r="J32" s="2280"/>
      <c r="K32" s="2280"/>
      <c r="L32" s="2280"/>
    </row>
    <row r="33" spans="9:12" x14ac:dyDescent="0.25">
      <c r="I33" s="1316"/>
      <c r="J33" s="1316"/>
      <c r="K33" s="2280"/>
      <c r="L33" s="2280"/>
    </row>
  </sheetData>
  <mergeCells count="62">
    <mergeCell ref="A1:Y1"/>
    <mergeCell ref="A2:Y2"/>
    <mergeCell ref="T3:Y3"/>
    <mergeCell ref="A4:A5"/>
    <mergeCell ref="B4:B5"/>
    <mergeCell ref="C4:D4"/>
    <mergeCell ref="E4:F4"/>
    <mergeCell ref="G4:H4"/>
    <mergeCell ref="I4:J4"/>
    <mergeCell ref="K4:L4"/>
    <mergeCell ref="Y4:Y5"/>
    <mergeCell ref="M4:N4"/>
    <mergeCell ref="O4:P4"/>
    <mergeCell ref="Q4:R4"/>
    <mergeCell ref="S4:T4"/>
    <mergeCell ref="U4:V4"/>
    <mergeCell ref="W4:X4"/>
    <mergeCell ref="B16:C16"/>
    <mergeCell ref="Q16:R16"/>
    <mergeCell ref="T16:U16"/>
    <mergeCell ref="V16:X16"/>
    <mergeCell ref="A12:B12"/>
    <mergeCell ref="B14:C14"/>
    <mergeCell ref="Q14:R14"/>
    <mergeCell ref="T14:T15"/>
    <mergeCell ref="V14:X14"/>
    <mergeCell ref="B15:C15"/>
    <mergeCell ref="Q15:R15"/>
    <mergeCell ref="V15:X15"/>
    <mergeCell ref="B17:C17"/>
    <mergeCell ref="Q17:R17"/>
    <mergeCell ref="T17:U17"/>
    <mergeCell ref="V17:X17"/>
    <mergeCell ref="B18:C18"/>
    <mergeCell ref="Q18:R18"/>
    <mergeCell ref="T18:U18"/>
    <mergeCell ref="V18:X18"/>
    <mergeCell ref="Y18:Y24"/>
    <mergeCell ref="B19:C19"/>
    <mergeCell ref="Q19:R19"/>
    <mergeCell ref="T19:T20"/>
    <mergeCell ref="V19:X19"/>
    <mergeCell ref="B20:C20"/>
    <mergeCell ref="B22:B24"/>
    <mergeCell ref="C22:C23"/>
    <mergeCell ref="D22:D23"/>
    <mergeCell ref="E22:E23"/>
    <mergeCell ref="F22:F23"/>
    <mergeCell ref="Q20:R20"/>
    <mergeCell ref="V20:X20"/>
    <mergeCell ref="B21:C21"/>
    <mergeCell ref="T21:U21"/>
    <mergeCell ref="V21:X21"/>
    <mergeCell ref="I32:J32"/>
    <mergeCell ref="K32:L32"/>
    <mergeCell ref="K33:L33"/>
    <mergeCell ref="T22:T23"/>
    <mergeCell ref="V22:X22"/>
    <mergeCell ref="V23:X23"/>
    <mergeCell ref="T24:T25"/>
    <mergeCell ref="V24:X24"/>
    <mergeCell ref="V25:X25"/>
  </mergeCells>
  <pageMargins left="0.15748031496063" right="0.15748031496063" top="0" bottom="0" header="0" footer="0"/>
  <pageSetup paperSize="9" scale="47" orientation="landscape" r:id="rId1"/>
</worksheet>
</file>

<file path=xl/worksheets/sheet2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7036540-86FA-4E1B-849F-C13E3548A7ED}">
  <sheetPr>
    <pageSetUpPr fitToPage="1"/>
  </sheetPr>
  <dimension ref="A1:Y33"/>
  <sheetViews>
    <sheetView topLeftCell="D13" zoomScale="70" zoomScaleNormal="70" zoomScaleSheetLayoutView="100" zoomScalePageLayoutView="68" workbookViewId="0">
      <selection activeCell="L25" sqref="L25"/>
    </sheetView>
  </sheetViews>
  <sheetFormatPr defaultColWidth="9.140625" defaultRowHeight="15" x14ac:dyDescent="0.25"/>
  <cols>
    <col min="1" max="1" width="18.28515625" style="14" customWidth="1"/>
    <col min="2" max="2" width="10.7109375" style="14" customWidth="1"/>
    <col min="3" max="3" width="12.28515625" style="14" customWidth="1"/>
    <col min="4" max="4" width="13.140625" style="14" bestFit="1" customWidth="1"/>
    <col min="5" max="5" width="12" style="14" customWidth="1"/>
    <col min="6" max="6" width="12.5703125" style="14" bestFit="1" customWidth="1"/>
    <col min="7" max="7" width="16" style="14" bestFit="1" customWidth="1"/>
    <col min="8" max="8" width="10.140625" style="14" bestFit="1" customWidth="1"/>
    <col min="9" max="9" width="10.5703125" style="14" bestFit="1" customWidth="1"/>
    <col min="10" max="10" width="10.5703125" style="14" customWidth="1"/>
    <col min="11" max="11" width="10.28515625" style="14" bestFit="1" customWidth="1"/>
    <col min="12" max="12" width="10.42578125" style="14" bestFit="1" customWidth="1"/>
    <col min="13" max="14" width="12" style="14" bestFit="1" customWidth="1"/>
    <col min="15" max="15" width="9" style="14" customWidth="1"/>
    <col min="16" max="16" width="12.85546875" style="14" bestFit="1" customWidth="1"/>
    <col min="17" max="18" width="9.42578125" style="14" customWidth="1"/>
    <col min="19" max="19" width="13.7109375" style="14" customWidth="1"/>
    <col min="20" max="20" width="12.140625" style="14" customWidth="1"/>
    <col min="21" max="21" width="21.7109375" style="14" customWidth="1"/>
    <col min="22" max="22" width="9.85546875" style="14" customWidth="1"/>
    <col min="23" max="23" width="10.140625" style="14" bestFit="1" customWidth="1"/>
    <col min="24" max="24" width="10.28515625" style="14" customWidth="1"/>
    <col min="25" max="25" width="15.7109375" style="14" customWidth="1"/>
    <col min="26" max="16384" width="9.140625" style="14"/>
  </cols>
  <sheetData>
    <row r="1" spans="1:25" ht="46.15" customHeight="1" x14ac:dyDescent="0.25">
      <c r="A1" s="2240" t="s">
        <v>148</v>
      </c>
      <c r="B1" s="2240"/>
      <c r="C1" s="2240"/>
      <c r="D1" s="2240"/>
      <c r="E1" s="2240"/>
      <c r="F1" s="2240"/>
      <c r="G1" s="2240"/>
      <c r="H1" s="2240"/>
      <c r="I1" s="2240"/>
      <c r="J1" s="2240"/>
      <c r="K1" s="2240"/>
      <c r="L1" s="2240"/>
      <c r="M1" s="2240"/>
      <c r="N1" s="2240"/>
      <c r="O1" s="2240"/>
      <c r="P1" s="2240"/>
      <c r="Q1" s="2240"/>
      <c r="R1" s="2240"/>
      <c r="S1" s="2240"/>
      <c r="T1" s="2240"/>
      <c r="U1" s="2240"/>
      <c r="V1" s="2240"/>
      <c r="W1" s="2240"/>
      <c r="X1" s="2240"/>
      <c r="Y1" s="2240"/>
    </row>
    <row r="2" spans="1:25" ht="21.6" customHeight="1" x14ac:dyDescent="0.25">
      <c r="A2" s="2241" t="s">
        <v>383</v>
      </c>
      <c r="B2" s="2241"/>
      <c r="C2" s="2241"/>
      <c r="D2" s="2241"/>
      <c r="E2" s="2241"/>
      <c r="F2" s="2241"/>
      <c r="G2" s="2241"/>
      <c r="H2" s="2241"/>
      <c r="I2" s="2241"/>
      <c r="J2" s="2241"/>
      <c r="K2" s="2241"/>
      <c r="L2" s="2241"/>
      <c r="M2" s="2241"/>
      <c r="N2" s="2241"/>
      <c r="O2" s="2241"/>
      <c r="P2" s="2241"/>
      <c r="Q2" s="2241"/>
      <c r="R2" s="2241"/>
      <c r="S2" s="2241"/>
      <c r="T2" s="2241"/>
      <c r="U2" s="2241"/>
      <c r="V2" s="2241"/>
      <c r="W2" s="2241"/>
      <c r="X2" s="2241"/>
      <c r="Y2" s="2241"/>
    </row>
    <row r="3" spans="1:25" ht="21" customHeight="1" x14ac:dyDescent="0.25">
      <c r="A3" s="1317"/>
      <c r="B3" s="1317"/>
      <c r="C3" s="1317"/>
      <c r="D3" s="1317"/>
      <c r="E3" s="1317"/>
      <c r="F3" s="1317"/>
      <c r="G3" s="1317"/>
      <c r="H3" s="1317"/>
      <c r="I3" s="1317"/>
      <c r="J3" s="1317"/>
      <c r="K3" s="1317"/>
      <c r="L3" s="1317"/>
      <c r="M3" s="1317"/>
      <c r="N3" s="1317"/>
      <c r="O3" s="1317"/>
      <c r="P3" s="1317"/>
      <c r="Q3" s="1317"/>
      <c r="R3" s="1317"/>
      <c r="S3" s="1317"/>
      <c r="T3" s="2242" t="s">
        <v>477</v>
      </c>
      <c r="U3" s="2242"/>
      <c r="V3" s="2242"/>
      <c r="W3" s="2242"/>
      <c r="X3" s="2242"/>
      <c r="Y3" s="2242"/>
    </row>
    <row r="4" spans="1:25" s="1317" customFormat="1" ht="18" customHeight="1" x14ac:dyDescent="0.25">
      <c r="A4" s="2243" t="s">
        <v>25</v>
      </c>
      <c r="B4" s="2243" t="s">
        <v>26</v>
      </c>
      <c r="C4" s="2244" t="s">
        <v>27</v>
      </c>
      <c r="D4" s="2244"/>
      <c r="E4" s="2244" t="s">
        <v>342</v>
      </c>
      <c r="F4" s="2244"/>
      <c r="G4" s="2244" t="s">
        <v>65</v>
      </c>
      <c r="H4" s="2244"/>
      <c r="I4" s="2244" t="s">
        <v>29</v>
      </c>
      <c r="J4" s="2244"/>
      <c r="K4" s="2245" t="s">
        <v>14</v>
      </c>
      <c r="L4" s="2246"/>
      <c r="M4" s="2245" t="s">
        <v>429</v>
      </c>
      <c r="N4" s="2246"/>
      <c r="O4" s="2245" t="s">
        <v>441</v>
      </c>
      <c r="P4" s="2246"/>
      <c r="Q4" s="2245" t="s">
        <v>114</v>
      </c>
      <c r="R4" s="2246"/>
      <c r="S4" s="2244" t="s">
        <v>35</v>
      </c>
      <c r="T4" s="2244"/>
      <c r="U4" s="2245" t="s">
        <v>17</v>
      </c>
      <c r="V4" s="2246"/>
      <c r="W4" s="2247" t="s">
        <v>36</v>
      </c>
      <c r="X4" s="2248"/>
      <c r="Y4" s="2238" t="s">
        <v>30</v>
      </c>
    </row>
    <row r="5" spans="1:25" s="1317" customFormat="1" ht="25.5" customHeight="1" x14ac:dyDescent="0.25">
      <c r="A5" s="2243"/>
      <c r="B5" s="2243"/>
      <c r="C5" s="1319" t="s">
        <v>42</v>
      </c>
      <c r="D5" s="1319" t="s">
        <v>43</v>
      </c>
      <c r="E5" s="1319" t="s">
        <v>42</v>
      </c>
      <c r="F5" s="1319" t="s">
        <v>43</v>
      </c>
      <c r="G5" s="1319" t="s">
        <v>42</v>
      </c>
      <c r="H5" s="1319" t="s">
        <v>43</v>
      </c>
      <c r="I5" s="1319" t="s">
        <v>42</v>
      </c>
      <c r="J5" s="1319" t="s">
        <v>43</v>
      </c>
      <c r="K5" s="1319" t="s">
        <v>42</v>
      </c>
      <c r="L5" s="1319" t="s">
        <v>43</v>
      </c>
      <c r="M5" s="1319" t="s">
        <v>42</v>
      </c>
      <c r="N5" s="1319" t="s">
        <v>43</v>
      </c>
      <c r="O5" s="1319" t="s">
        <v>42</v>
      </c>
      <c r="P5" s="1319" t="s">
        <v>43</v>
      </c>
      <c r="Q5" s="1319" t="s">
        <v>42</v>
      </c>
      <c r="R5" s="1319" t="s">
        <v>43</v>
      </c>
      <c r="S5" s="33" t="s">
        <v>42</v>
      </c>
      <c r="T5" s="33" t="s">
        <v>43</v>
      </c>
      <c r="U5" s="30" t="s">
        <v>42</v>
      </c>
      <c r="V5" s="30" t="s">
        <v>43</v>
      </c>
      <c r="W5" s="30" t="s">
        <v>42</v>
      </c>
      <c r="X5" s="30" t="s">
        <v>43</v>
      </c>
      <c r="Y5" s="2239"/>
    </row>
    <row r="6" spans="1:25" ht="34.5" customHeight="1" x14ac:dyDescent="0.25">
      <c r="A6" s="12">
        <v>1409935200</v>
      </c>
      <c r="B6" s="1318" t="s">
        <v>71</v>
      </c>
      <c r="C6" s="1321">
        <v>17832</v>
      </c>
      <c r="D6" s="1322">
        <f t="shared" ref="D6:D11" si="0">0.9725*C6</f>
        <v>17341.62</v>
      </c>
      <c r="E6" s="1321"/>
      <c r="F6" s="1322">
        <f>67.1*E6</f>
        <v>0</v>
      </c>
      <c r="G6" s="1321"/>
      <c r="H6" s="1321">
        <f>28.2*G6</f>
        <v>0</v>
      </c>
      <c r="I6" s="1321"/>
      <c r="J6" s="1321">
        <f>18.5*I6</f>
        <v>0</v>
      </c>
      <c r="K6" s="1321"/>
      <c r="L6" s="1322">
        <f>28.2368*K6</f>
        <v>0</v>
      </c>
      <c r="M6" s="1321"/>
      <c r="N6" s="1322">
        <f>M6*47.6525</f>
        <v>0</v>
      </c>
      <c r="O6" s="1321"/>
      <c r="P6" s="1322">
        <f>O6*8.9</f>
        <v>0</v>
      </c>
      <c r="Q6" s="1322"/>
      <c r="R6" s="1322">
        <f>241*Q6</f>
        <v>0</v>
      </c>
      <c r="S6" s="1321"/>
      <c r="T6" s="1321">
        <f>241*S6</f>
        <v>0</v>
      </c>
      <c r="U6" s="1321"/>
      <c r="V6" s="1321">
        <f>332*U6</f>
        <v>0</v>
      </c>
      <c r="W6" s="1321"/>
      <c r="X6" s="19">
        <f>W6*100</f>
        <v>0</v>
      </c>
      <c r="Y6" s="20">
        <f t="shared" ref="Y6:Y12" si="1">D6+F6+H6+J6+L6+N6+P6+R6+T6+V6+X6</f>
        <v>17341.62</v>
      </c>
    </row>
    <row r="7" spans="1:25" ht="31.5" customHeight="1" x14ac:dyDescent="0.25">
      <c r="A7" s="12">
        <v>1984225578</v>
      </c>
      <c r="B7" s="1318" t="s">
        <v>72</v>
      </c>
      <c r="C7" s="1321">
        <v>60000</v>
      </c>
      <c r="D7" s="1322">
        <f t="shared" si="0"/>
        <v>58350</v>
      </c>
      <c r="E7" s="1321"/>
      <c r="F7" s="1321">
        <f t="shared" ref="F7:F11" si="2">67.1*E7</f>
        <v>0</v>
      </c>
      <c r="G7" s="1321"/>
      <c r="H7" s="1321">
        <f t="shared" ref="H7:H11" si="3">28.2*G7</f>
        <v>0</v>
      </c>
      <c r="I7" s="1321"/>
      <c r="J7" s="1321">
        <f t="shared" ref="J7:J11" si="4">18.5*I7</f>
        <v>0</v>
      </c>
      <c r="K7" s="1321"/>
      <c r="L7" s="1322">
        <f t="shared" ref="L7:L11" si="5">28.2368*K7</f>
        <v>0</v>
      </c>
      <c r="M7" s="1321"/>
      <c r="N7" s="1322">
        <f t="shared" ref="N7:N11" si="6">M7*47.6525</f>
        <v>0</v>
      </c>
      <c r="O7" s="1321"/>
      <c r="P7" s="1322">
        <f t="shared" ref="P7:P11" si="7">O7*8.9</f>
        <v>0</v>
      </c>
      <c r="Q7" s="1322"/>
      <c r="R7" s="1322">
        <f t="shared" ref="R7:R11" si="8">241*Q7</f>
        <v>0</v>
      </c>
      <c r="S7" s="1321"/>
      <c r="T7" s="1321">
        <f t="shared" ref="T7:T10" si="9">241*S7</f>
        <v>0</v>
      </c>
      <c r="U7" s="1321"/>
      <c r="V7" s="1321">
        <f t="shared" ref="V7:V11" si="10">332*U7</f>
        <v>0</v>
      </c>
      <c r="W7" s="1321"/>
      <c r="X7" s="19">
        <f t="shared" ref="X7:X11" si="11">W7*100</f>
        <v>0</v>
      </c>
      <c r="Y7" s="20">
        <f t="shared" si="1"/>
        <v>58350</v>
      </c>
    </row>
    <row r="8" spans="1:25" ht="35.25" customHeight="1" x14ac:dyDescent="0.25">
      <c r="A8" s="12">
        <v>1967020280</v>
      </c>
      <c r="B8" s="1318" t="s">
        <v>427</v>
      </c>
      <c r="C8" s="1321">
        <v>28241</v>
      </c>
      <c r="D8" s="1322">
        <f t="shared" si="0"/>
        <v>27464.372500000001</v>
      </c>
      <c r="E8" s="1321"/>
      <c r="F8" s="1321">
        <f t="shared" si="2"/>
        <v>0</v>
      </c>
      <c r="G8" s="1321"/>
      <c r="H8" s="1322">
        <f t="shared" si="3"/>
        <v>0</v>
      </c>
      <c r="I8" s="1321">
        <v>970</v>
      </c>
      <c r="J8" s="1321">
        <f t="shared" si="4"/>
        <v>17945</v>
      </c>
      <c r="K8" s="1321"/>
      <c r="L8" s="1322">
        <f t="shared" si="5"/>
        <v>0</v>
      </c>
      <c r="M8" s="1321"/>
      <c r="N8" s="1322">
        <f t="shared" si="6"/>
        <v>0</v>
      </c>
      <c r="O8" s="1321"/>
      <c r="P8" s="1322">
        <f t="shared" si="7"/>
        <v>0</v>
      </c>
      <c r="Q8" s="1322"/>
      <c r="R8" s="1322">
        <f t="shared" si="8"/>
        <v>0</v>
      </c>
      <c r="S8" s="1321"/>
      <c r="T8" s="1321">
        <f t="shared" si="9"/>
        <v>0</v>
      </c>
      <c r="U8" s="1321"/>
      <c r="V8" s="1321">
        <f t="shared" si="10"/>
        <v>0</v>
      </c>
      <c r="W8" s="1321"/>
      <c r="X8" s="19">
        <f t="shared" si="11"/>
        <v>0</v>
      </c>
      <c r="Y8" s="20">
        <f t="shared" si="1"/>
        <v>45409.372499999998</v>
      </c>
    </row>
    <row r="9" spans="1:25" ht="38.25" customHeight="1" x14ac:dyDescent="0.25">
      <c r="A9" s="12">
        <v>1984225580</v>
      </c>
      <c r="B9" s="1318" t="s">
        <v>75</v>
      </c>
      <c r="C9" s="1321">
        <v>39987</v>
      </c>
      <c r="D9" s="1322">
        <f t="shared" si="0"/>
        <v>38887.357499999998</v>
      </c>
      <c r="E9" s="1321"/>
      <c r="F9" s="1321">
        <f t="shared" si="2"/>
        <v>0</v>
      </c>
      <c r="G9" s="1321"/>
      <c r="H9" s="1321">
        <f t="shared" si="3"/>
        <v>0</v>
      </c>
      <c r="I9" s="1321"/>
      <c r="J9" s="1321">
        <f t="shared" si="4"/>
        <v>0</v>
      </c>
      <c r="K9" s="1321"/>
      <c r="L9" s="1322">
        <f t="shared" si="5"/>
        <v>0</v>
      </c>
      <c r="M9" s="1321"/>
      <c r="N9" s="1322">
        <f t="shared" si="6"/>
        <v>0</v>
      </c>
      <c r="O9" s="1321"/>
      <c r="P9" s="1322">
        <f t="shared" si="7"/>
        <v>0</v>
      </c>
      <c r="Q9" s="1322"/>
      <c r="R9" s="1322">
        <f t="shared" si="8"/>
        <v>0</v>
      </c>
      <c r="S9" s="1321"/>
      <c r="T9" s="1321">
        <f t="shared" si="9"/>
        <v>0</v>
      </c>
      <c r="U9" s="1321"/>
      <c r="V9" s="1321">
        <f t="shared" si="10"/>
        <v>0</v>
      </c>
      <c r="W9" s="1321"/>
      <c r="X9" s="19">
        <f t="shared" si="11"/>
        <v>0</v>
      </c>
      <c r="Y9" s="20">
        <f t="shared" si="1"/>
        <v>38887.357499999998</v>
      </c>
    </row>
    <row r="10" spans="1:25" ht="35.25" customHeight="1" x14ac:dyDescent="0.25">
      <c r="A10" s="12">
        <v>1409935199</v>
      </c>
      <c r="C10" s="1321">
        <v>10283</v>
      </c>
      <c r="D10" s="1322">
        <f t="shared" si="0"/>
        <v>10000.217500000001</v>
      </c>
      <c r="E10" s="1321"/>
      <c r="F10" s="1321">
        <f t="shared" si="2"/>
        <v>0</v>
      </c>
      <c r="G10" s="1321"/>
      <c r="H10" s="1321">
        <f t="shared" si="3"/>
        <v>0</v>
      </c>
      <c r="I10" s="1321"/>
      <c r="J10" s="1321">
        <f t="shared" si="4"/>
        <v>0</v>
      </c>
      <c r="K10" s="1321"/>
      <c r="L10" s="1322">
        <f t="shared" si="5"/>
        <v>0</v>
      </c>
      <c r="M10" s="1321"/>
      <c r="N10" s="1322">
        <f t="shared" si="6"/>
        <v>0</v>
      </c>
      <c r="O10" s="1321"/>
      <c r="P10" s="1322">
        <f t="shared" si="7"/>
        <v>0</v>
      </c>
      <c r="Q10" s="1322"/>
      <c r="R10" s="1322">
        <f t="shared" si="8"/>
        <v>0</v>
      </c>
      <c r="S10" s="1321"/>
      <c r="T10" s="1321">
        <f t="shared" si="9"/>
        <v>0</v>
      </c>
      <c r="U10" s="1321"/>
      <c r="V10" s="1321">
        <f t="shared" si="10"/>
        <v>0</v>
      </c>
      <c r="W10" s="1321"/>
      <c r="X10" s="19">
        <f t="shared" si="11"/>
        <v>0</v>
      </c>
      <c r="Y10" s="20">
        <f t="shared" si="1"/>
        <v>10000.217500000001</v>
      </c>
    </row>
    <row r="11" spans="1:25" ht="37.5" customHeight="1" x14ac:dyDescent="0.25">
      <c r="A11" s="12"/>
      <c r="B11" s="1320"/>
      <c r="C11" s="1321"/>
      <c r="D11" s="1322">
        <f t="shared" si="0"/>
        <v>0</v>
      </c>
      <c r="E11" s="1321"/>
      <c r="F11" s="1321">
        <f t="shared" si="2"/>
        <v>0</v>
      </c>
      <c r="G11" s="1321"/>
      <c r="H11" s="1321">
        <f t="shared" si="3"/>
        <v>0</v>
      </c>
      <c r="I11" s="1321"/>
      <c r="J11" s="1321">
        <f t="shared" si="4"/>
        <v>0</v>
      </c>
      <c r="K11" s="1321"/>
      <c r="L11" s="1322">
        <f t="shared" si="5"/>
        <v>0</v>
      </c>
      <c r="M11" s="1321"/>
      <c r="N11" s="1322">
        <f t="shared" si="6"/>
        <v>0</v>
      </c>
      <c r="O11" s="1321"/>
      <c r="P11" s="1322">
        <f t="shared" si="7"/>
        <v>0</v>
      </c>
      <c r="Q11" s="1322"/>
      <c r="R11" s="1322">
        <f t="shared" si="8"/>
        <v>0</v>
      </c>
      <c r="S11" s="1321"/>
      <c r="T11" s="1321">
        <f>341*S11</f>
        <v>0</v>
      </c>
      <c r="U11" s="1321"/>
      <c r="V11" s="1321">
        <f t="shared" si="10"/>
        <v>0</v>
      </c>
      <c r="W11" s="1321"/>
      <c r="X11" s="19">
        <f t="shared" si="11"/>
        <v>0</v>
      </c>
      <c r="Y11" s="20">
        <f t="shared" si="1"/>
        <v>0</v>
      </c>
    </row>
    <row r="12" spans="1:25" ht="29.25" customHeight="1" x14ac:dyDescent="0.25">
      <c r="A12" s="2235" t="s">
        <v>31</v>
      </c>
      <c r="B12" s="2235"/>
      <c r="C12" s="18">
        <f t="shared" ref="C12:X12" si="12">SUM(C6:C11)</f>
        <v>156343</v>
      </c>
      <c r="D12" s="18">
        <f t="shared" si="12"/>
        <v>152043.56749999998</v>
      </c>
      <c r="E12" s="18">
        <f t="shared" si="12"/>
        <v>0</v>
      </c>
      <c r="F12" s="18">
        <f t="shared" si="12"/>
        <v>0</v>
      </c>
      <c r="G12" s="18">
        <f t="shared" si="12"/>
        <v>0</v>
      </c>
      <c r="H12" s="18">
        <f t="shared" si="12"/>
        <v>0</v>
      </c>
      <c r="I12" s="18">
        <f t="shared" si="12"/>
        <v>970</v>
      </c>
      <c r="J12" s="18">
        <f t="shared" si="12"/>
        <v>17945</v>
      </c>
      <c r="K12" s="18">
        <f t="shared" si="12"/>
        <v>0</v>
      </c>
      <c r="L12" s="18">
        <f t="shared" si="12"/>
        <v>0</v>
      </c>
      <c r="M12" s="18">
        <f t="shared" si="12"/>
        <v>0</v>
      </c>
      <c r="N12" s="23">
        <f t="shared" si="12"/>
        <v>0</v>
      </c>
      <c r="O12" s="18">
        <f t="shared" si="12"/>
        <v>0</v>
      </c>
      <c r="P12" s="23">
        <f t="shared" si="12"/>
        <v>0</v>
      </c>
      <c r="Q12" s="23">
        <f t="shared" si="12"/>
        <v>0</v>
      </c>
      <c r="R12" s="23">
        <f>SUM(R6:R11)</f>
        <v>0</v>
      </c>
      <c r="S12" s="23">
        <f>SUM(S6:S11)</f>
        <v>0</v>
      </c>
      <c r="T12" s="18">
        <f t="shared" si="12"/>
        <v>0</v>
      </c>
      <c r="U12" s="18">
        <f t="shared" si="12"/>
        <v>0</v>
      </c>
      <c r="V12" s="18">
        <f t="shared" si="12"/>
        <v>0</v>
      </c>
      <c r="W12" s="18">
        <f t="shared" si="12"/>
        <v>0</v>
      </c>
      <c r="X12" s="18">
        <f t="shared" si="12"/>
        <v>0</v>
      </c>
      <c r="Y12" s="20">
        <f t="shared" si="1"/>
        <v>169988.56749999998</v>
      </c>
    </row>
    <row r="14" spans="1:25" ht="43.5" customHeight="1" x14ac:dyDescent="0.25">
      <c r="A14" s="30" t="s">
        <v>32</v>
      </c>
      <c r="B14" s="2236" t="s">
        <v>27</v>
      </c>
      <c r="C14" s="2236"/>
      <c r="D14" s="30" t="s">
        <v>333</v>
      </c>
      <c r="E14" s="30" t="s">
        <v>65</v>
      </c>
      <c r="F14" s="30" t="s">
        <v>34</v>
      </c>
      <c r="G14" s="30" t="s">
        <v>14</v>
      </c>
      <c r="H14" s="469" t="s">
        <v>173</v>
      </c>
      <c r="I14" s="30" t="s">
        <v>17</v>
      </c>
      <c r="J14" s="1326" t="s">
        <v>174</v>
      </c>
      <c r="K14" s="30" t="s">
        <v>36</v>
      </c>
      <c r="L14" s="1326" t="s">
        <v>403</v>
      </c>
      <c r="M14" s="30" t="s">
        <v>429</v>
      </c>
      <c r="N14" s="30" t="s">
        <v>442</v>
      </c>
      <c r="O14" s="1326" t="s">
        <v>114</v>
      </c>
      <c r="P14" s="30" t="s">
        <v>70</v>
      </c>
      <c r="Q14" s="2300" t="s">
        <v>378</v>
      </c>
      <c r="R14" s="2301"/>
      <c r="S14" s="1326" t="s">
        <v>401</v>
      </c>
      <c r="T14" s="2235" t="s">
        <v>46</v>
      </c>
      <c r="U14" s="1318" t="s">
        <v>176</v>
      </c>
      <c r="V14" s="2260">
        <v>100333</v>
      </c>
      <c r="W14" s="2268"/>
      <c r="X14" s="2261"/>
    </row>
    <row r="15" spans="1:25" ht="22.5" customHeight="1" x14ac:dyDescent="0.25">
      <c r="A15" s="100" t="s">
        <v>38</v>
      </c>
      <c r="B15" s="2260">
        <v>435871</v>
      </c>
      <c r="C15" s="2261"/>
      <c r="D15" s="1323">
        <v>130</v>
      </c>
      <c r="E15" s="1323">
        <v>2100</v>
      </c>
      <c r="F15" s="1323">
        <v>24660</v>
      </c>
      <c r="G15" s="1323">
        <v>0</v>
      </c>
      <c r="H15" s="1323">
        <v>161</v>
      </c>
      <c r="I15" s="1323">
        <v>110</v>
      </c>
      <c r="J15" s="1323">
        <v>4</v>
      </c>
      <c r="K15" s="1323">
        <v>71</v>
      </c>
      <c r="L15" s="1323">
        <v>0</v>
      </c>
      <c r="M15" s="1323">
        <v>0</v>
      </c>
      <c r="N15" s="1323">
        <v>0</v>
      </c>
      <c r="O15" s="1323">
        <v>0</v>
      </c>
      <c r="P15" s="1323">
        <v>100</v>
      </c>
      <c r="Q15" s="2260">
        <v>10</v>
      </c>
      <c r="R15" s="2261"/>
      <c r="S15" s="1318">
        <v>6</v>
      </c>
      <c r="T15" s="2235"/>
      <c r="U15" s="1318" t="s">
        <v>64</v>
      </c>
      <c r="V15" s="2262">
        <v>148654</v>
      </c>
      <c r="W15" s="2262"/>
      <c r="X15" s="2262"/>
    </row>
    <row r="16" spans="1:25" ht="24.75" customHeight="1" x14ac:dyDescent="0.25">
      <c r="A16" s="100" t="s">
        <v>39</v>
      </c>
      <c r="B16" s="2260">
        <v>6961</v>
      </c>
      <c r="C16" s="2261"/>
      <c r="D16" s="1323"/>
      <c r="E16" s="1323"/>
      <c r="F16" s="1323"/>
      <c r="G16" s="1323"/>
      <c r="H16" s="1323"/>
      <c r="I16" s="1323"/>
      <c r="J16" s="1323"/>
      <c r="K16" s="1323"/>
      <c r="L16" s="1323"/>
      <c r="M16" s="1323"/>
      <c r="N16" s="1323"/>
      <c r="O16" s="1323"/>
      <c r="P16" s="1323"/>
      <c r="Q16" s="2262"/>
      <c r="R16" s="2262"/>
      <c r="S16" s="1323"/>
      <c r="T16" s="2254" t="s">
        <v>55</v>
      </c>
      <c r="U16" s="2254"/>
      <c r="V16" s="2267">
        <f>Y12</f>
        <v>169988.56749999998</v>
      </c>
      <c r="W16" s="2267"/>
      <c r="X16" s="2262"/>
    </row>
    <row r="17" spans="1:25" ht="28.5" customHeight="1" x14ac:dyDescent="0.25">
      <c r="A17" s="101" t="s">
        <v>44</v>
      </c>
      <c r="B17" s="2260"/>
      <c r="C17" s="2261"/>
      <c r="D17" s="1323"/>
      <c r="E17" s="1323"/>
      <c r="F17" s="1323"/>
      <c r="G17" s="1323"/>
      <c r="H17" s="1323"/>
      <c r="I17" s="1323"/>
      <c r="J17" s="1323"/>
      <c r="K17" s="1323"/>
      <c r="L17" s="1323"/>
      <c r="M17" s="1323"/>
      <c r="N17" s="1323"/>
      <c r="O17" s="1323"/>
      <c r="P17" s="1323"/>
      <c r="Q17" s="2225"/>
      <c r="R17" s="2225"/>
      <c r="S17" s="1320"/>
      <c r="T17" s="2294" t="s">
        <v>473</v>
      </c>
      <c r="U17" s="2295"/>
      <c r="V17" s="2296"/>
      <c r="W17" s="2296"/>
      <c r="X17" s="2296"/>
    </row>
    <row r="18" spans="1:25" ht="27" customHeight="1" x14ac:dyDescent="0.25">
      <c r="A18" s="100" t="s">
        <v>40</v>
      </c>
      <c r="B18" s="2264">
        <f>C12</f>
        <v>156343</v>
      </c>
      <c r="C18" s="2261"/>
      <c r="D18" s="1324">
        <f>E12</f>
        <v>0</v>
      </c>
      <c r="E18" s="1324">
        <f>G12</f>
        <v>0</v>
      </c>
      <c r="F18" s="1324">
        <f>I12</f>
        <v>970</v>
      </c>
      <c r="G18" s="1324">
        <f>K12</f>
        <v>0</v>
      </c>
      <c r="H18" s="1323"/>
      <c r="I18" s="1324">
        <f>U12</f>
        <v>0</v>
      </c>
      <c r="J18" s="1323"/>
      <c r="K18" s="1324">
        <f>W12</f>
        <v>0</v>
      </c>
      <c r="L18" s="1323"/>
      <c r="M18" s="1324">
        <f>M12</f>
        <v>0</v>
      </c>
      <c r="N18" s="1324">
        <f>O12</f>
        <v>0</v>
      </c>
      <c r="O18" s="1325">
        <f>Q12</f>
        <v>0</v>
      </c>
      <c r="P18" s="1324"/>
      <c r="Q18" s="2262"/>
      <c r="R18" s="2262"/>
      <c r="S18" s="1318"/>
      <c r="T18" s="2254" t="s">
        <v>57</v>
      </c>
      <c r="U18" s="2254"/>
      <c r="V18" s="2262">
        <v>1020</v>
      </c>
      <c r="W18" s="2262"/>
      <c r="X18" s="2262"/>
      <c r="Y18" s="2269"/>
    </row>
    <row r="19" spans="1:25" ht="25.5" customHeight="1" x14ac:dyDescent="0.25">
      <c r="A19" s="100" t="s">
        <v>41</v>
      </c>
      <c r="B19" s="2260">
        <f>B15+B16+B17-B18</f>
        <v>286489</v>
      </c>
      <c r="C19" s="2261"/>
      <c r="D19" s="1323">
        <f>D15+D16+D17-D18</f>
        <v>130</v>
      </c>
      <c r="E19" s="1323">
        <f t="shared" ref="E19:N19" si="13">E15+E16+E17-E18</f>
        <v>2100</v>
      </c>
      <c r="F19" s="1323">
        <f t="shared" si="13"/>
        <v>23690</v>
      </c>
      <c r="G19" s="1323">
        <f t="shared" si="13"/>
        <v>0</v>
      </c>
      <c r="H19" s="1323">
        <f t="shared" si="13"/>
        <v>161</v>
      </c>
      <c r="I19" s="1323">
        <f t="shared" si="13"/>
        <v>110</v>
      </c>
      <c r="J19" s="1323">
        <f t="shared" si="13"/>
        <v>4</v>
      </c>
      <c r="K19" s="1323">
        <f t="shared" si="13"/>
        <v>71</v>
      </c>
      <c r="L19" s="1323">
        <f t="shared" si="13"/>
        <v>0</v>
      </c>
      <c r="M19" s="1323">
        <f t="shared" si="13"/>
        <v>0</v>
      </c>
      <c r="N19" s="1323">
        <f t="shared" si="13"/>
        <v>0</v>
      </c>
      <c r="O19" s="1323">
        <f>O15+O16+O17-O18</f>
        <v>0</v>
      </c>
      <c r="P19" s="1323">
        <f t="shared" ref="P19:Q19" si="14">P15+P16+P17-P18</f>
        <v>100</v>
      </c>
      <c r="Q19" s="2260">
        <f t="shared" si="14"/>
        <v>10</v>
      </c>
      <c r="R19" s="2261"/>
      <c r="S19" s="1318">
        <f>S15+S16-S17-S18</f>
        <v>6</v>
      </c>
      <c r="T19" s="2256" t="s">
        <v>48</v>
      </c>
      <c r="U19" s="49" t="s">
        <v>58</v>
      </c>
      <c r="V19" s="2262"/>
      <c r="W19" s="2262"/>
      <c r="X19" s="2262"/>
      <c r="Y19" s="2269"/>
    </row>
    <row r="20" spans="1:25" ht="23.25" customHeight="1" x14ac:dyDescent="0.25">
      <c r="A20" s="289" t="s">
        <v>187</v>
      </c>
      <c r="B20" s="2286">
        <f>B19*0.9625</f>
        <v>275745.66250000003</v>
      </c>
      <c r="C20" s="2287"/>
      <c r="D20" s="290">
        <f>D19*66.41</f>
        <v>8633.2999999999993</v>
      </c>
      <c r="E20" s="290">
        <f>27.9368*E19</f>
        <v>58667.280000000006</v>
      </c>
      <c r="F20" s="290">
        <f>18.31*F19</f>
        <v>433763.89999999997</v>
      </c>
      <c r="G20" s="290">
        <f>27.9368*G19</f>
        <v>0</v>
      </c>
      <c r="H20" s="290">
        <f>241*H19</f>
        <v>38801</v>
      </c>
      <c r="I20" s="290">
        <f>323*I19</f>
        <v>35530</v>
      </c>
      <c r="J20" s="290">
        <f>241*J19</f>
        <v>964</v>
      </c>
      <c r="K20" s="290">
        <f>K19*100</f>
        <v>7100</v>
      </c>
      <c r="L20" s="290">
        <f>241*L19</f>
        <v>0</v>
      </c>
      <c r="M20" s="290">
        <f>47.1625*M19</f>
        <v>0</v>
      </c>
      <c r="N20" s="290">
        <f>N19*8.81</f>
        <v>0</v>
      </c>
      <c r="O20" s="290">
        <f>241*O19</f>
        <v>0</v>
      </c>
      <c r="P20" s="290">
        <f>P19*48.2</f>
        <v>4820</v>
      </c>
      <c r="Q20" s="2286">
        <f>470*Q19</f>
        <v>4700</v>
      </c>
      <c r="R20" s="2287"/>
      <c r="S20" s="290">
        <f>341*S19</f>
        <v>2046</v>
      </c>
      <c r="T20" s="2257"/>
      <c r="U20" s="49" t="s">
        <v>59</v>
      </c>
      <c r="V20" s="2262">
        <v>6700</v>
      </c>
      <c r="W20" s="2262"/>
      <c r="X20" s="2262"/>
      <c r="Y20" s="2269"/>
    </row>
    <row r="21" spans="1:25" ht="32.25" customHeight="1" x14ac:dyDescent="0.25">
      <c r="A21" s="291" t="s">
        <v>186</v>
      </c>
      <c r="B21" s="2293">
        <f>SUM(B20:S20)</f>
        <v>870771.14250000007</v>
      </c>
      <c r="C21" s="2293"/>
      <c r="O21" s="1327"/>
      <c r="P21" s="1327"/>
      <c r="Q21" s="1327"/>
      <c r="R21" s="1327"/>
      <c r="T21" s="2294" t="s">
        <v>474</v>
      </c>
      <c r="U21" s="2295"/>
      <c r="V21" s="2297"/>
      <c r="W21" s="2298"/>
      <c r="X21" s="2299"/>
      <c r="Y21" s="2269"/>
    </row>
    <row r="22" spans="1:25" ht="35.25" customHeight="1" x14ac:dyDescent="0.25">
      <c r="A22" s="15"/>
      <c r="B22" s="2288" t="s">
        <v>49</v>
      </c>
      <c r="C22" s="2291">
        <v>677675</v>
      </c>
      <c r="D22" s="2291"/>
      <c r="E22" s="2291"/>
      <c r="F22" s="2291">
        <f>C22-D22+E22</f>
        <v>677675</v>
      </c>
      <c r="G22" s="1327"/>
      <c r="Q22" s="1327"/>
      <c r="R22" s="1327"/>
      <c r="T22" s="2251" t="s">
        <v>83</v>
      </c>
      <c r="U22" s="50" t="s">
        <v>60</v>
      </c>
      <c r="V22" s="2262">
        <v>22000</v>
      </c>
      <c r="W22" s="2262"/>
      <c r="X22" s="2262"/>
      <c r="Y22" s="2269"/>
    </row>
    <row r="23" spans="1:25" ht="39.75" customHeight="1" x14ac:dyDescent="0.25">
      <c r="A23" s="1327"/>
      <c r="B23" s="2289"/>
      <c r="C23" s="2292"/>
      <c r="D23" s="2292"/>
      <c r="E23" s="2292"/>
      <c r="F23" s="2292"/>
      <c r="G23" s="1327"/>
      <c r="Q23" s="1327"/>
      <c r="R23" s="1327"/>
      <c r="T23" s="2252"/>
      <c r="U23" s="50" t="s">
        <v>61</v>
      </c>
      <c r="V23" s="2262">
        <v>6700</v>
      </c>
      <c r="W23" s="2262"/>
      <c r="X23" s="2262"/>
      <c r="Y23" s="2269"/>
    </row>
    <row r="24" spans="1:25" ht="48" customHeight="1" x14ac:dyDescent="0.25">
      <c r="A24" s="1327"/>
      <c r="B24" s="2290"/>
      <c r="C24" s="290" t="s">
        <v>46</v>
      </c>
      <c r="D24" s="290" t="s">
        <v>50</v>
      </c>
      <c r="E24" s="290" t="s">
        <v>51</v>
      </c>
      <c r="F24" s="290" t="s">
        <v>52</v>
      </c>
      <c r="G24" s="1327"/>
      <c r="Q24" s="1327"/>
      <c r="R24" s="1327"/>
      <c r="T24" s="2235" t="s">
        <v>47</v>
      </c>
      <c r="U24" s="51" t="s">
        <v>62</v>
      </c>
      <c r="V24" s="2263">
        <f>V14+V16+V17-V18-V19-V20-V22+V23-V21</f>
        <v>247301.5675</v>
      </c>
      <c r="W24" s="2263"/>
      <c r="X24" s="2263"/>
      <c r="Y24" s="2269"/>
    </row>
    <row r="25" spans="1:25" ht="40.5" customHeight="1" x14ac:dyDescent="0.25">
      <c r="T25" s="2235"/>
      <c r="U25" s="51" t="s">
        <v>63</v>
      </c>
      <c r="V25" s="2262">
        <f>V15+V22-V23</f>
        <v>163954</v>
      </c>
      <c r="W25" s="2262"/>
      <c r="X25" s="2262"/>
    </row>
    <row r="26" spans="1:25" ht="36" customHeight="1" x14ac:dyDescent="0.25">
      <c r="K26" s="314"/>
    </row>
    <row r="28" spans="1:25" x14ac:dyDescent="0.25">
      <c r="J28" s="14" t="s">
        <v>139</v>
      </c>
    </row>
    <row r="32" spans="1:25" x14ac:dyDescent="0.25">
      <c r="I32" s="2280"/>
      <c r="J32" s="2280"/>
      <c r="K32" s="2280"/>
      <c r="L32" s="2280"/>
    </row>
    <row r="33" spans="9:12" x14ac:dyDescent="0.25">
      <c r="I33" s="1327"/>
      <c r="J33" s="1327"/>
      <c r="K33" s="2280"/>
      <c r="L33" s="2280"/>
    </row>
  </sheetData>
  <mergeCells count="62">
    <mergeCell ref="I32:J32"/>
    <mergeCell ref="K32:L32"/>
    <mergeCell ref="K33:L33"/>
    <mergeCell ref="T22:T23"/>
    <mergeCell ref="V22:X22"/>
    <mergeCell ref="V23:X23"/>
    <mergeCell ref="T24:T25"/>
    <mergeCell ref="V24:X24"/>
    <mergeCell ref="V25:X25"/>
    <mergeCell ref="Y18:Y24"/>
    <mergeCell ref="B19:C19"/>
    <mergeCell ref="Q19:R19"/>
    <mergeCell ref="T19:T20"/>
    <mergeCell ref="V19:X19"/>
    <mergeCell ref="B20:C20"/>
    <mergeCell ref="B22:B24"/>
    <mergeCell ref="C22:C23"/>
    <mergeCell ref="D22:D23"/>
    <mergeCell ref="E22:E23"/>
    <mergeCell ref="F22:F23"/>
    <mergeCell ref="Q20:R20"/>
    <mergeCell ref="V20:X20"/>
    <mergeCell ref="B21:C21"/>
    <mergeCell ref="T21:U21"/>
    <mergeCell ref="V21:X21"/>
    <mergeCell ref="B17:C17"/>
    <mergeCell ref="Q17:R17"/>
    <mergeCell ref="T17:U17"/>
    <mergeCell ref="V17:X17"/>
    <mergeCell ref="B18:C18"/>
    <mergeCell ref="Q18:R18"/>
    <mergeCell ref="T18:U18"/>
    <mergeCell ref="V18:X18"/>
    <mergeCell ref="W4:X4"/>
    <mergeCell ref="B16:C16"/>
    <mergeCell ref="Q16:R16"/>
    <mergeCell ref="T16:U16"/>
    <mergeCell ref="V16:X16"/>
    <mergeCell ref="A12:B12"/>
    <mergeCell ref="B14:C14"/>
    <mergeCell ref="Q14:R14"/>
    <mergeCell ref="T14:T15"/>
    <mergeCell ref="V14:X14"/>
    <mergeCell ref="B15:C15"/>
    <mergeCell ref="Q15:R15"/>
    <mergeCell ref="V15:X15"/>
    <mergeCell ref="A1:Y1"/>
    <mergeCell ref="A2:Y2"/>
    <mergeCell ref="T3:Y3"/>
    <mergeCell ref="A4:A5"/>
    <mergeCell ref="B4:B5"/>
    <mergeCell ref="C4:D4"/>
    <mergeCell ref="E4:F4"/>
    <mergeCell ref="G4:H4"/>
    <mergeCell ref="I4:J4"/>
    <mergeCell ref="K4:L4"/>
    <mergeCell ref="Y4:Y5"/>
    <mergeCell ref="M4:N4"/>
    <mergeCell ref="O4:P4"/>
    <mergeCell ref="Q4:R4"/>
    <mergeCell ref="S4:T4"/>
    <mergeCell ref="U4:V4"/>
  </mergeCells>
  <pageMargins left="0.15748031496063" right="0.15748031496063" top="0" bottom="0" header="0" footer="0"/>
  <pageSetup paperSize="9" scale="47" orientation="landscape" r:id="rId1"/>
</worksheet>
</file>

<file path=xl/worksheets/sheet2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A7D7812-56AE-48C4-98FD-3661A0E3C923}">
  <sheetPr>
    <pageSetUpPr fitToPage="1"/>
  </sheetPr>
  <dimension ref="A1:Y33"/>
  <sheetViews>
    <sheetView topLeftCell="A8" zoomScale="70" zoomScaleNormal="70" zoomScaleSheetLayoutView="100" zoomScalePageLayoutView="68" workbookViewId="0">
      <selection activeCell="Y18" sqref="Y18:Y24"/>
    </sheetView>
  </sheetViews>
  <sheetFormatPr defaultColWidth="9.140625" defaultRowHeight="15" x14ac:dyDescent="0.25"/>
  <cols>
    <col min="1" max="1" width="18.28515625" style="14" customWidth="1"/>
    <col min="2" max="2" width="10.7109375" style="14" customWidth="1"/>
    <col min="3" max="3" width="12.28515625" style="14" customWidth="1"/>
    <col min="4" max="4" width="13.140625" style="14" bestFit="1" customWidth="1"/>
    <col min="5" max="5" width="12" style="14" customWidth="1"/>
    <col min="6" max="6" width="12.5703125" style="14" bestFit="1" customWidth="1"/>
    <col min="7" max="7" width="16" style="14" bestFit="1" customWidth="1"/>
    <col min="8" max="8" width="10.140625" style="14" bestFit="1" customWidth="1"/>
    <col min="9" max="9" width="10.5703125" style="14" bestFit="1" customWidth="1"/>
    <col min="10" max="10" width="10.5703125" style="14" customWidth="1"/>
    <col min="11" max="11" width="10.28515625" style="14" bestFit="1" customWidth="1"/>
    <col min="12" max="12" width="10.42578125" style="14" bestFit="1" customWidth="1"/>
    <col min="13" max="14" width="12" style="14" bestFit="1" customWidth="1"/>
    <col min="15" max="15" width="9" style="14" customWidth="1"/>
    <col min="16" max="16" width="12.85546875" style="14" bestFit="1" customWidth="1"/>
    <col min="17" max="18" width="9.42578125" style="14" customWidth="1"/>
    <col min="19" max="19" width="13.7109375" style="14" customWidth="1"/>
    <col min="20" max="20" width="12.140625" style="14" customWidth="1"/>
    <col min="21" max="21" width="21.7109375" style="14" customWidth="1"/>
    <col min="22" max="22" width="9.85546875" style="14" customWidth="1"/>
    <col min="23" max="23" width="10.140625" style="14" bestFit="1" customWidth="1"/>
    <col min="24" max="24" width="10.28515625" style="14" customWidth="1"/>
    <col min="25" max="25" width="15.7109375" style="14" customWidth="1"/>
    <col min="26" max="16384" width="9.140625" style="14"/>
  </cols>
  <sheetData>
    <row r="1" spans="1:25" ht="46.15" customHeight="1" x14ac:dyDescent="0.25">
      <c r="A1" s="2240" t="s">
        <v>148</v>
      </c>
      <c r="B1" s="2240"/>
      <c r="C1" s="2240"/>
      <c r="D1" s="2240"/>
      <c r="E1" s="2240"/>
      <c r="F1" s="2240"/>
      <c r="G1" s="2240"/>
      <c r="H1" s="2240"/>
      <c r="I1" s="2240"/>
      <c r="J1" s="2240"/>
      <c r="K1" s="2240"/>
      <c r="L1" s="2240"/>
      <c r="M1" s="2240"/>
      <c r="N1" s="2240"/>
      <c r="O1" s="2240"/>
      <c r="P1" s="2240"/>
      <c r="Q1" s="2240"/>
      <c r="R1" s="2240"/>
      <c r="S1" s="2240"/>
      <c r="T1" s="2240"/>
      <c r="U1" s="2240"/>
      <c r="V1" s="2240"/>
      <c r="W1" s="2240"/>
      <c r="X1" s="2240"/>
      <c r="Y1" s="2240"/>
    </row>
    <row r="2" spans="1:25" ht="21.6" customHeight="1" x14ac:dyDescent="0.25">
      <c r="A2" s="2241" t="s">
        <v>383</v>
      </c>
      <c r="B2" s="2241"/>
      <c r="C2" s="2241"/>
      <c r="D2" s="2241"/>
      <c r="E2" s="2241"/>
      <c r="F2" s="2241"/>
      <c r="G2" s="2241"/>
      <c r="H2" s="2241"/>
      <c r="I2" s="2241"/>
      <c r="J2" s="2241"/>
      <c r="K2" s="2241"/>
      <c r="L2" s="2241"/>
      <c r="M2" s="2241"/>
      <c r="N2" s="2241"/>
      <c r="O2" s="2241"/>
      <c r="P2" s="2241"/>
      <c r="Q2" s="2241"/>
      <c r="R2" s="2241"/>
      <c r="S2" s="2241"/>
      <c r="T2" s="2241"/>
      <c r="U2" s="2241"/>
      <c r="V2" s="2241"/>
      <c r="W2" s="2241"/>
      <c r="X2" s="2241"/>
      <c r="Y2" s="2241"/>
    </row>
    <row r="3" spans="1:25" ht="21" customHeight="1" x14ac:dyDescent="0.25">
      <c r="A3" s="1328"/>
      <c r="B3" s="1328"/>
      <c r="C3" s="1328"/>
      <c r="D3" s="1328"/>
      <c r="E3" s="1328"/>
      <c r="F3" s="1328"/>
      <c r="G3" s="1328"/>
      <c r="H3" s="1328"/>
      <c r="I3" s="1328"/>
      <c r="J3" s="1328"/>
      <c r="K3" s="1328"/>
      <c r="L3" s="1328"/>
      <c r="M3" s="1328"/>
      <c r="N3" s="1328"/>
      <c r="O3" s="1328"/>
      <c r="P3" s="1328"/>
      <c r="Q3" s="1328"/>
      <c r="R3" s="1328"/>
      <c r="S3" s="1328"/>
      <c r="T3" s="2242" t="s">
        <v>478</v>
      </c>
      <c r="U3" s="2242"/>
      <c r="V3" s="2242"/>
      <c r="W3" s="2242"/>
      <c r="X3" s="2242"/>
      <c r="Y3" s="2242"/>
    </row>
    <row r="4" spans="1:25" s="1328" customFormat="1" ht="18" customHeight="1" x14ac:dyDescent="0.25">
      <c r="A4" s="2243" t="s">
        <v>25</v>
      </c>
      <c r="B4" s="2243" t="s">
        <v>26</v>
      </c>
      <c r="C4" s="2244" t="s">
        <v>27</v>
      </c>
      <c r="D4" s="2244"/>
      <c r="E4" s="2244" t="s">
        <v>342</v>
      </c>
      <c r="F4" s="2244"/>
      <c r="G4" s="2244" t="s">
        <v>65</v>
      </c>
      <c r="H4" s="2244"/>
      <c r="I4" s="2244" t="s">
        <v>29</v>
      </c>
      <c r="J4" s="2244"/>
      <c r="K4" s="2245" t="s">
        <v>14</v>
      </c>
      <c r="L4" s="2246"/>
      <c r="M4" s="2245" t="s">
        <v>429</v>
      </c>
      <c r="N4" s="2246"/>
      <c r="O4" s="2245" t="s">
        <v>441</v>
      </c>
      <c r="P4" s="2246"/>
      <c r="Q4" s="2245" t="s">
        <v>114</v>
      </c>
      <c r="R4" s="2246"/>
      <c r="S4" s="2244" t="s">
        <v>35</v>
      </c>
      <c r="T4" s="2244"/>
      <c r="U4" s="2245" t="s">
        <v>17</v>
      </c>
      <c r="V4" s="2246"/>
      <c r="W4" s="2247" t="s">
        <v>36</v>
      </c>
      <c r="X4" s="2248"/>
      <c r="Y4" s="2238" t="s">
        <v>30</v>
      </c>
    </row>
    <row r="5" spans="1:25" s="1328" customFormat="1" ht="25.5" customHeight="1" x14ac:dyDescent="0.25">
      <c r="A5" s="2243"/>
      <c r="B5" s="2243"/>
      <c r="C5" s="1330" t="s">
        <v>42</v>
      </c>
      <c r="D5" s="1330" t="s">
        <v>43</v>
      </c>
      <c r="E5" s="1330" t="s">
        <v>42</v>
      </c>
      <c r="F5" s="1330" t="s">
        <v>43</v>
      </c>
      <c r="G5" s="1330" t="s">
        <v>42</v>
      </c>
      <c r="H5" s="1330" t="s">
        <v>43</v>
      </c>
      <c r="I5" s="1330" t="s">
        <v>42</v>
      </c>
      <c r="J5" s="1330" t="s">
        <v>43</v>
      </c>
      <c r="K5" s="1330" t="s">
        <v>42</v>
      </c>
      <c r="L5" s="1330" t="s">
        <v>43</v>
      </c>
      <c r="M5" s="1330" t="s">
        <v>42</v>
      </c>
      <c r="N5" s="1330" t="s">
        <v>43</v>
      </c>
      <c r="O5" s="1330" t="s">
        <v>42</v>
      </c>
      <c r="P5" s="1330" t="s">
        <v>43</v>
      </c>
      <c r="Q5" s="1330" t="s">
        <v>42</v>
      </c>
      <c r="R5" s="1330" t="s">
        <v>43</v>
      </c>
      <c r="S5" s="33" t="s">
        <v>42</v>
      </c>
      <c r="T5" s="33" t="s">
        <v>43</v>
      </c>
      <c r="U5" s="30" t="s">
        <v>42</v>
      </c>
      <c r="V5" s="30" t="s">
        <v>43</v>
      </c>
      <c r="W5" s="30" t="s">
        <v>42</v>
      </c>
      <c r="X5" s="30" t="s">
        <v>43</v>
      </c>
      <c r="Y5" s="2239"/>
    </row>
    <row r="6" spans="1:25" ht="34.5" customHeight="1" x14ac:dyDescent="0.25">
      <c r="A6" s="12">
        <v>1409935200</v>
      </c>
      <c r="B6" s="1329" t="s">
        <v>71</v>
      </c>
      <c r="C6" s="1332">
        <v>27039</v>
      </c>
      <c r="D6" s="1333">
        <f t="shared" ref="D6:D11" si="0">0.9725*C6</f>
        <v>26295.427500000002</v>
      </c>
      <c r="E6" s="1332"/>
      <c r="F6" s="1333">
        <f>67.1*E6</f>
        <v>0</v>
      </c>
      <c r="G6" s="1332"/>
      <c r="H6" s="1332">
        <f>28.2*G6</f>
        <v>0</v>
      </c>
      <c r="I6" s="1332">
        <v>520</v>
      </c>
      <c r="J6" s="1332">
        <f>18.5*I6</f>
        <v>9620</v>
      </c>
      <c r="K6" s="1332"/>
      <c r="L6" s="1333">
        <f>28.2368*K6</f>
        <v>0</v>
      </c>
      <c r="M6" s="1332"/>
      <c r="N6" s="1333">
        <f>M6*47.6525</f>
        <v>0</v>
      </c>
      <c r="O6" s="1332"/>
      <c r="P6" s="1333">
        <f>O6*8.9</f>
        <v>0</v>
      </c>
      <c r="Q6" s="1333"/>
      <c r="R6" s="1333">
        <f>241*Q6</f>
        <v>0</v>
      </c>
      <c r="S6" s="1332"/>
      <c r="T6" s="1332">
        <f>241*S6</f>
        <v>0</v>
      </c>
      <c r="U6" s="1332"/>
      <c r="V6" s="1332">
        <f>332*U6</f>
        <v>0</v>
      </c>
      <c r="W6" s="1332"/>
      <c r="X6" s="19">
        <f>W6*100</f>
        <v>0</v>
      </c>
      <c r="Y6" s="20">
        <f t="shared" ref="Y6:Y12" si="1">D6+F6+H6+J6+L6+N6+P6+R6+T6+V6+X6</f>
        <v>35915.427500000005</v>
      </c>
    </row>
    <row r="7" spans="1:25" ht="31.5" customHeight="1" x14ac:dyDescent="0.25">
      <c r="A7" s="12">
        <v>1984225578</v>
      </c>
      <c r="B7" s="1329" t="s">
        <v>72</v>
      </c>
      <c r="C7" s="1332">
        <v>15686</v>
      </c>
      <c r="D7" s="1333">
        <f t="shared" si="0"/>
        <v>15254.635</v>
      </c>
      <c r="E7" s="1332"/>
      <c r="F7" s="1332">
        <f t="shared" ref="F7:F11" si="2">67.1*E7</f>
        <v>0</v>
      </c>
      <c r="G7" s="1332"/>
      <c r="H7" s="1332">
        <f t="shared" ref="H7:H11" si="3">28.2*G7</f>
        <v>0</v>
      </c>
      <c r="I7" s="1332">
        <v>880</v>
      </c>
      <c r="J7" s="1332">
        <f t="shared" ref="J7:J11" si="4">18.5*I7</f>
        <v>16280</v>
      </c>
      <c r="K7" s="1332"/>
      <c r="L7" s="1333">
        <f t="shared" ref="L7:L11" si="5">28.2368*K7</f>
        <v>0</v>
      </c>
      <c r="M7" s="1332"/>
      <c r="N7" s="1333">
        <f t="shared" ref="N7:N11" si="6">M7*47.6525</f>
        <v>0</v>
      </c>
      <c r="O7" s="1332"/>
      <c r="P7" s="1333">
        <f t="shared" ref="P7:P11" si="7">O7*8.9</f>
        <v>0</v>
      </c>
      <c r="Q7" s="1333"/>
      <c r="R7" s="1333">
        <f t="shared" ref="R7:R11" si="8">241*Q7</f>
        <v>0</v>
      </c>
      <c r="S7" s="1332"/>
      <c r="T7" s="1332">
        <f t="shared" ref="T7:T10" si="9">241*S7</f>
        <v>0</v>
      </c>
      <c r="U7" s="1332"/>
      <c r="V7" s="1332">
        <f t="shared" ref="V7:V11" si="10">332*U7</f>
        <v>0</v>
      </c>
      <c r="W7" s="1332"/>
      <c r="X7" s="19">
        <f t="shared" ref="X7:X11" si="11">W7*100</f>
        <v>0</v>
      </c>
      <c r="Y7" s="20">
        <f t="shared" si="1"/>
        <v>31534.635000000002</v>
      </c>
    </row>
    <row r="8" spans="1:25" ht="35.25" customHeight="1" x14ac:dyDescent="0.25">
      <c r="A8" s="12">
        <v>1967020280</v>
      </c>
      <c r="B8" s="1329" t="s">
        <v>427</v>
      </c>
      <c r="C8" s="1332">
        <v>17425</v>
      </c>
      <c r="D8" s="1333">
        <f t="shared" si="0"/>
        <v>16945.8125</v>
      </c>
      <c r="E8" s="1332"/>
      <c r="F8" s="1332">
        <f t="shared" si="2"/>
        <v>0</v>
      </c>
      <c r="G8" s="1332">
        <v>30</v>
      </c>
      <c r="H8" s="1333">
        <f t="shared" si="3"/>
        <v>846</v>
      </c>
      <c r="I8" s="1332">
        <v>1350</v>
      </c>
      <c r="J8" s="1332">
        <f t="shared" si="4"/>
        <v>24975</v>
      </c>
      <c r="K8" s="1332"/>
      <c r="L8" s="1333">
        <f t="shared" si="5"/>
        <v>0</v>
      </c>
      <c r="M8" s="1332"/>
      <c r="N8" s="1333">
        <f t="shared" si="6"/>
        <v>0</v>
      </c>
      <c r="O8" s="1332"/>
      <c r="P8" s="1333">
        <f t="shared" si="7"/>
        <v>0</v>
      </c>
      <c r="Q8" s="1333"/>
      <c r="R8" s="1333">
        <f t="shared" si="8"/>
        <v>0</v>
      </c>
      <c r="S8" s="1332"/>
      <c r="T8" s="1332">
        <f t="shared" si="9"/>
        <v>0</v>
      </c>
      <c r="U8" s="1332"/>
      <c r="V8" s="1332">
        <f t="shared" si="10"/>
        <v>0</v>
      </c>
      <c r="W8" s="1332"/>
      <c r="X8" s="19">
        <f t="shared" si="11"/>
        <v>0</v>
      </c>
      <c r="Y8" s="20">
        <f t="shared" si="1"/>
        <v>42766.8125</v>
      </c>
    </row>
    <row r="9" spans="1:25" ht="38.25" customHeight="1" x14ac:dyDescent="0.25">
      <c r="A9" s="12">
        <v>1984225580</v>
      </c>
      <c r="B9" s="1329" t="s">
        <v>75</v>
      </c>
      <c r="C9" s="1332">
        <v>27010</v>
      </c>
      <c r="D9" s="1333">
        <f t="shared" si="0"/>
        <v>26267.225000000002</v>
      </c>
      <c r="E9" s="1332"/>
      <c r="F9" s="1332">
        <f t="shared" si="2"/>
        <v>0</v>
      </c>
      <c r="G9" s="1332"/>
      <c r="H9" s="1332">
        <f t="shared" si="3"/>
        <v>0</v>
      </c>
      <c r="I9" s="1332">
        <v>5000</v>
      </c>
      <c r="J9" s="1332">
        <f t="shared" si="4"/>
        <v>92500</v>
      </c>
      <c r="K9" s="1332"/>
      <c r="L9" s="1333">
        <f t="shared" si="5"/>
        <v>0</v>
      </c>
      <c r="M9" s="1332"/>
      <c r="N9" s="1333">
        <f t="shared" si="6"/>
        <v>0</v>
      </c>
      <c r="O9" s="1332"/>
      <c r="P9" s="1333">
        <f t="shared" si="7"/>
        <v>0</v>
      </c>
      <c r="Q9" s="1333"/>
      <c r="R9" s="1333">
        <f t="shared" si="8"/>
        <v>0</v>
      </c>
      <c r="S9" s="1332"/>
      <c r="T9" s="1332">
        <f t="shared" si="9"/>
        <v>0</v>
      </c>
      <c r="U9" s="1332"/>
      <c r="V9" s="1332">
        <f t="shared" si="10"/>
        <v>0</v>
      </c>
      <c r="W9" s="1332"/>
      <c r="X9" s="19">
        <f t="shared" si="11"/>
        <v>0</v>
      </c>
      <c r="Y9" s="20">
        <f t="shared" si="1"/>
        <v>118767.22500000001</v>
      </c>
    </row>
    <row r="10" spans="1:25" ht="35.25" customHeight="1" x14ac:dyDescent="0.25">
      <c r="A10" s="12">
        <v>1409935199</v>
      </c>
      <c r="C10" s="1332"/>
      <c r="D10" s="1333">
        <f t="shared" si="0"/>
        <v>0</v>
      </c>
      <c r="E10" s="1332"/>
      <c r="F10" s="1332">
        <f t="shared" si="2"/>
        <v>0</v>
      </c>
      <c r="G10" s="1332"/>
      <c r="H10" s="1332">
        <f t="shared" si="3"/>
        <v>0</v>
      </c>
      <c r="I10" s="1332">
        <v>5000</v>
      </c>
      <c r="J10" s="1332">
        <f t="shared" si="4"/>
        <v>92500</v>
      </c>
      <c r="K10" s="1332"/>
      <c r="L10" s="1333">
        <f t="shared" si="5"/>
        <v>0</v>
      </c>
      <c r="M10" s="1332"/>
      <c r="N10" s="1333">
        <f t="shared" si="6"/>
        <v>0</v>
      </c>
      <c r="O10" s="1332"/>
      <c r="P10" s="1333">
        <f t="shared" si="7"/>
        <v>0</v>
      </c>
      <c r="Q10" s="1333"/>
      <c r="R10" s="1333">
        <f t="shared" si="8"/>
        <v>0</v>
      </c>
      <c r="S10" s="1332"/>
      <c r="T10" s="1332">
        <f t="shared" si="9"/>
        <v>0</v>
      </c>
      <c r="U10" s="1332"/>
      <c r="V10" s="1332">
        <f t="shared" si="10"/>
        <v>0</v>
      </c>
      <c r="W10" s="1332"/>
      <c r="X10" s="19">
        <f t="shared" si="11"/>
        <v>0</v>
      </c>
      <c r="Y10" s="20">
        <f t="shared" si="1"/>
        <v>92500</v>
      </c>
    </row>
    <row r="11" spans="1:25" ht="37.5" customHeight="1" x14ac:dyDescent="0.25">
      <c r="A11" s="12"/>
      <c r="B11" s="1331"/>
      <c r="C11" s="1332"/>
      <c r="D11" s="1333">
        <f t="shared" si="0"/>
        <v>0</v>
      </c>
      <c r="E11" s="1332"/>
      <c r="F11" s="1332">
        <f t="shared" si="2"/>
        <v>0</v>
      </c>
      <c r="G11" s="1332"/>
      <c r="H11" s="1332">
        <f t="shared" si="3"/>
        <v>0</v>
      </c>
      <c r="I11" s="1332"/>
      <c r="J11" s="1332">
        <f t="shared" si="4"/>
        <v>0</v>
      </c>
      <c r="K11" s="1332"/>
      <c r="L11" s="1333">
        <f t="shared" si="5"/>
        <v>0</v>
      </c>
      <c r="M11" s="1332"/>
      <c r="N11" s="1333">
        <f t="shared" si="6"/>
        <v>0</v>
      </c>
      <c r="O11" s="1332"/>
      <c r="P11" s="1333">
        <f t="shared" si="7"/>
        <v>0</v>
      </c>
      <c r="Q11" s="1333"/>
      <c r="R11" s="1333">
        <f t="shared" si="8"/>
        <v>0</v>
      </c>
      <c r="S11" s="1332"/>
      <c r="T11" s="1332">
        <f>341*S11</f>
        <v>0</v>
      </c>
      <c r="U11" s="1332"/>
      <c r="V11" s="1332">
        <f t="shared" si="10"/>
        <v>0</v>
      </c>
      <c r="W11" s="1332"/>
      <c r="X11" s="19">
        <f t="shared" si="11"/>
        <v>0</v>
      </c>
      <c r="Y11" s="20">
        <f t="shared" si="1"/>
        <v>0</v>
      </c>
    </row>
    <row r="12" spans="1:25" ht="29.25" customHeight="1" x14ac:dyDescent="0.25">
      <c r="A12" s="2235" t="s">
        <v>31</v>
      </c>
      <c r="B12" s="2235"/>
      <c r="C12" s="18">
        <f t="shared" ref="C12:X12" si="12">SUM(C6:C11)</f>
        <v>87160</v>
      </c>
      <c r="D12" s="18">
        <f t="shared" si="12"/>
        <v>84763.1</v>
      </c>
      <c r="E12" s="18">
        <f t="shared" si="12"/>
        <v>0</v>
      </c>
      <c r="F12" s="18">
        <f t="shared" si="12"/>
        <v>0</v>
      </c>
      <c r="G12" s="18">
        <f t="shared" si="12"/>
        <v>30</v>
      </c>
      <c r="H12" s="18">
        <f t="shared" si="12"/>
        <v>846</v>
      </c>
      <c r="I12" s="18">
        <f t="shared" si="12"/>
        <v>12750</v>
      </c>
      <c r="J12" s="18">
        <f t="shared" si="12"/>
        <v>235875</v>
      </c>
      <c r="K12" s="18">
        <f t="shared" si="12"/>
        <v>0</v>
      </c>
      <c r="L12" s="18">
        <f t="shared" si="12"/>
        <v>0</v>
      </c>
      <c r="M12" s="18">
        <f t="shared" si="12"/>
        <v>0</v>
      </c>
      <c r="N12" s="23">
        <f t="shared" si="12"/>
        <v>0</v>
      </c>
      <c r="O12" s="18">
        <f t="shared" si="12"/>
        <v>0</v>
      </c>
      <c r="P12" s="23">
        <f t="shared" si="12"/>
        <v>0</v>
      </c>
      <c r="Q12" s="23">
        <f t="shared" si="12"/>
        <v>0</v>
      </c>
      <c r="R12" s="23">
        <f>SUM(R6:R11)</f>
        <v>0</v>
      </c>
      <c r="S12" s="23">
        <f>SUM(S6:S11)</f>
        <v>0</v>
      </c>
      <c r="T12" s="18">
        <f t="shared" si="12"/>
        <v>0</v>
      </c>
      <c r="U12" s="18">
        <f t="shared" si="12"/>
        <v>0</v>
      </c>
      <c r="V12" s="18">
        <f t="shared" si="12"/>
        <v>0</v>
      </c>
      <c r="W12" s="18">
        <f t="shared" si="12"/>
        <v>0</v>
      </c>
      <c r="X12" s="18">
        <f t="shared" si="12"/>
        <v>0</v>
      </c>
      <c r="Y12" s="20">
        <f t="shared" si="1"/>
        <v>321484.09999999998</v>
      </c>
    </row>
    <row r="14" spans="1:25" ht="43.5" customHeight="1" x14ac:dyDescent="0.25">
      <c r="A14" s="30" t="s">
        <v>32</v>
      </c>
      <c r="B14" s="2236" t="s">
        <v>27</v>
      </c>
      <c r="C14" s="2236"/>
      <c r="D14" s="30" t="s">
        <v>333</v>
      </c>
      <c r="E14" s="30" t="s">
        <v>65</v>
      </c>
      <c r="F14" s="30" t="s">
        <v>34</v>
      </c>
      <c r="G14" s="30" t="s">
        <v>14</v>
      </c>
      <c r="H14" s="469" t="s">
        <v>173</v>
      </c>
      <c r="I14" s="30" t="s">
        <v>17</v>
      </c>
      <c r="J14" s="1337" t="s">
        <v>174</v>
      </c>
      <c r="K14" s="30" t="s">
        <v>36</v>
      </c>
      <c r="L14" s="1337" t="s">
        <v>403</v>
      </c>
      <c r="M14" s="30" t="s">
        <v>429</v>
      </c>
      <c r="N14" s="30" t="s">
        <v>442</v>
      </c>
      <c r="O14" s="1337" t="s">
        <v>114</v>
      </c>
      <c r="P14" s="30" t="s">
        <v>70</v>
      </c>
      <c r="Q14" s="2300" t="s">
        <v>378</v>
      </c>
      <c r="R14" s="2301"/>
      <c r="S14" s="1337" t="s">
        <v>401</v>
      </c>
      <c r="T14" s="2235" t="s">
        <v>46</v>
      </c>
      <c r="U14" s="1329" t="s">
        <v>176</v>
      </c>
      <c r="V14" s="2260">
        <v>247302</v>
      </c>
      <c r="W14" s="2268"/>
      <c r="X14" s="2261"/>
    </row>
    <row r="15" spans="1:25" ht="22.5" customHeight="1" x14ac:dyDescent="0.25">
      <c r="A15" s="100" t="s">
        <v>38</v>
      </c>
      <c r="B15" s="2260">
        <v>286489</v>
      </c>
      <c r="C15" s="2261"/>
      <c r="D15" s="1334">
        <v>130</v>
      </c>
      <c r="E15" s="1334">
        <v>2100</v>
      </c>
      <c r="F15" s="1334">
        <v>23690</v>
      </c>
      <c r="G15" s="1334">
        <v>0</v>
      </c>
      <c r="H15" s="1334">
        <v>161</v>
      </c>
      <c r="I15" s="1334">
        <v>110</v>
      </c>
      <c r="J15" s="1334">
        <v>4</v>
      </c>
      <c r="K15" s="1334">
        <v>71</v>
      </c>
      <c r="L15" s="1334">
        <v>0</v>
      </c>
      <c r="M15" s="1334">
        <v>0</v>
      </c>
      <c r="N15" s="1334">
        <v>0</v>
      </c>
      <c r="O15" s="1334">
        <v>0</v>
      </c>
      <c r="P15" s="1334">
        <v>100</v>
      </c>
      <c r="Q15" s="2260">
        <v>10</v>
      </c>
      <c r="R15" s="2261"/>
      <c r="S15" s="1329">
        <v>6</v>
      </c>
      <c r="T15" s="2235"/>
      <c r="U15" s="1329" t="s">
        <v>64</v>
      </c>
      <c r="V15" s="2262">
        <v>163954</v>
      </c>
      <c r="W15" s="2262"/>
      <c r="X15" s="2262"/>
    </row>
    <row r="16" spans="1:25" ht="24.75" customHeight="1" x14ac:dyDescent="0.25">
      <c r="A16" s="100" t="s">
        <v>39</v>
      </c>
      <c r="B16" s="2260">
        <v>93506</v>
      </c>
      <c r="C16" s="2261"/>
      <c r="D16" s="1334"/>
      <c r="E16" s="1334"/>
      <c r="F16" s="1334"/>
      <c r="G16" s="1334"/>
      <c r="H16" s="1334"/>
      <c r="I16" s="1334"/>
      <c r="J16" s="1334"/>
      <c r="K16" s="1334"/>
      <c r="L16" s="1334"/>
      <c r="M16" s="1334"/>
      <c r="N16" s="1334"/>
      <c r="O16" s="1334"/>
      <c r="P16" s="1334"/>
      <c r="Q16" s="2262"/>
      <c r="R16" s="2262"/>
      <c r="S16" s="1334"/>
      <c r="T16" s="2254" t="s">
        <v>55</v>
      </c>
      <c r="U16" s="2254"/>
      <c r="V16" s="2267">
        <f>Y12</f>
        <v>321484.09999999998</v>
      </c>
      <c r="W16" s="2267"/>
      <c r="X16" s="2262"/>
    </row>
    <row r="17" spans="1:25" ht="28.5" customHeight="1" x14ac:dyDescent="0.25">
      <c r="A17" s="101" t="s">
        <v>44</v>
      </c>
      <c r="B17" s="2260"/>
      <c r="C17" s="2261"/>
      <c r="D17" s="1334"/>
      <c r="E17" s="1334"/>
      <c r="F17" s="1334"/>
      <c r="G17" s="1334"/>
      <c r="H17" s="1334"/>
      <c r="I17" s="1334"/>
      <c r="J17" s="1334"/>
      <c r="K17" s="1334"/>
      <c r="L17" s="1334"/>
      <c r="M17" s="1334"/>
      <c r="N17" s="1334"/>
      <c r="O17" s="1334"/>
      <c r="P17" s="1334"/>
      <c r="Q17" s="2225"/>
      <c r="R17" s="2225"/>
      <c r="S17" s="1331"/>
      <c r="T17" s="2294" t="s">
        <v>473</v>
      </c>
      <c r="U17" s="2295"/>
      <c r="V17" s="2296"/>
      <c r="W17" s="2296"/>
      <c r="X17" s="2296"/>
    </row>
    <row r="18" spans="1:25" ht="27" customHeight="1" x14ac:dyDescent="0.25">
      <c r="A18" s="100" t="s">
        <v>40</v>
      </c>
      <c r="B18" s="2264">
        <f>C12</f>
        <v>87160</v>
      </c>
      <c r="C18" s="2261"/>
      <c r="D18" s="1335">
        <f>E12</f>
        <v>0</v>
      </c>
      <c r="E18" s="1335">
        <f>G12</f>
        <v>30</v>
      </c>
      <c r="F18" s="1335">
        <f>I12</f>
        <v>12750</v>
      </c>
      <c r="G18" s="1335">
        <f>K12</f>
        <v>0</v>
      </c>
      <c r="H18" s="1334"/>
      <c r="I18" s="1335">
        <f>U12</f>
        <v>0</v>
      </c>
      <c r="J18" s="1334"/>
      <c r="K18" s="1335">
        <f>W12</f>
        <v>0</v>
      </c>
      <c r="L18" s="1334"/>
      <c r="M18" s="1335">
        <f>M12</f>
        <v>0</v>
      </c>
      <c r="N18" s="1335">
        <f>O12</f>
        <v>0</v>
      </c>
      <c r="O18" s="1336">
        <f>Q12</f>
        <v>0</v>
      </c>
      <c r="P18" s="1335"/>
      <c r="Q18" s="2262"/>
      <c r="R18" s="2262"/>
      <c r="S18" s="1329"/>
      <c r="T18" s="2254" t="s">
        <v>57</v>
      </c>
      <c r="U18" s="2254"/>
      <c r="V18" s="2262">
        <v>2060</v>
      </c>
      <c r="W18" s="2262"/>
      <c r="X18" s="2262"/>
      <c r="Y18" s="2269"/>
    </row>
    <row r="19" spans="1:25" ht="25.5" customHeight="1" x14ac:dyDescent="0.25">
      <c r="A19" s="100" t="s">
        <v>41</v>
      </c>
      <c r="B19" s="2260">
        <f>B15+B16+B17-B18</f>
        <v>292835</v>
      </c>
      <c r="C19" s="2261"/>
      <c r="D19" s="1334">
        <f>D15+D16+D17-D18</f>
        <v>130</v>
      </c>
      <c r="E19" s="1334">
        <f t="shared" ref="E19:N19" si="13">E15+E16+E17-E18</f>
        <v>2070</v>
      </c>
      <c r="F19" s="1334">
        <f t="shared" si="13"/>
        <v>10940</v>
      </c>
      <c r="G19" s="1334">
        <f t="shared" si="13"/>
        <v>0</v>
      </c>
      <c r="H19" s="1334">
        <f t="shared" si="13"/>
        <v>161</v>
      </c>
      <c r="I19" s="1334">
        <f t="shared" si="13"/>
        <v>110</v>
      </c>
      <c r="J19" s="1334">
        <f t="shared" si="13"/>
        <v>4</v>
      </c>
      <c r="K19" s="1334">
        <f t="shared" si="13"/>
        <v>71</v>
      </c>
      <c r="L19" s="1334">
        <f t="shared" si="13"/>
        <v>0</v>
      </c>
      <c r="M19" s="1334">
        <f t="shared" si="13"/>
        <v>0</v>
      </c>
      <c r="N19" s="1334">
        <f t="shared" si="13"/>
        <v>0</v>
      </c>
      <c r="O19" s="1334">
        <f>O15+O16+O17-O18</f>
        <v>0</v>
      </c>
      <c r="P19" s="1334">
        <f t="shared" ref="P19:Q19" si="14">P15+P16+P17-P18</f>
        <v>100</v>
      </c>
      <c r="Q19" s="2260">
        <f t="shared" si="14"/>
        <v>10</v>
      </c>
      <c r="R19" s="2261"/>
      <c r="S19" s="1329">
        <f>S15+S16-S17-S18</f>
        <v>6</v>
      </c>
      <c r="T19" s="2256" t="s">
        <v>48</v>
      </c>
      <c r="U19" s="49" t="s">
        <v>58</v>
      </c>
      <c r="V19" s="2262">
        <v>677675</v>
      </c>
      <c r="W19" s="2262"/>
      <c r="X19" s="2262"/>
      <c r="Y19" s="2269"/>
    </row>
    <row r="20" spans="1:25" ht="23.25" customHeight="1" x14ac:dyDescent="0.25">
      <c r="A20" s="289" t="s">
        <v>187</v>
      </c>
      <c r="B20" s="2286">
        <f>B19*0.9625</f>
        <v>281853.6875</v>
      </c>
      <c r="C20" s="2287"/>
      <c r="D20" s="290">
        <f>D19*66.41</f>
        <v>8633.2999999999993</v>
      </c>
      <c r="E20" s="290">
        <f>27.9368*E19</f>
        <v>57829.176000000007</v>
      </c>
      <c r="F20" s="290">
        <f>18.31*F19</f>
        <v>200311.4</v>
      </c>
      <c r="G20" s="290">
        <f>27.9368*G19</f>
        <v>0</v>
      </c>
      <c r="H20" s="290">
        <f>241*H19</f>
        <v>38801</v>
      </c>
      <c r="I20" s="290">
        <f>323*I19</f>
        <v>35530</v>
      </c>
      <c r="J20" s="290">
        <f>241*J19</f>
        <v>964</v>
      </c>
      <c r="K20" s="290">
        <f>K19*100</f>
        <v>7100</v>
      </c>
      <c r="L20" s="290">
        <f>241*L19</f>
        <v>0</v>
      </c>
      <c r="M20" s="290">
        <f>47.1625*M19</f>
        <v>0</v>
      </c>
      <c r="N20" s="290">
        <f>N19*8.81</f>
        <v>0</v>
      </c>
      <c r="O20" s="290">
        <f>241*O19</f>
        <v>0</v>
      </c>
      <c r="P20" s="290">
        <f>P19*48.2</f>
        <v>4820</v>
      </c>
      <c r="Q20" s="2286">
        <f>470*Q19</f>
        <v>4700</v>
      </c>
      <c r="R20" s="2287"/>
      <c r="S20" s="290">
        <f>341*S19</f>
        <v>2046</v>
      </c>
      <c r="T20" s="2257"/>
      <c r="U20" s="49" t="s">
        <v>59</v>
      </c>
      <c r="V20" s="2262"/>
      <c r="W20" s="2262"/>
      <c r="X20" s="2262"/>
      <c r="Y20" s="2269"/>
    </row>
    <row r="21" spans="1:25" ht="32.25" customHeight="1" x14ac:dyDescent="0.25">
      <c r="A21" s="291" t="s">
        <v>186</v>
      </c>
      <c r="B21" s="2293">
        <f>SUM(B20:S20)</f>
        <v>642588.56350000005</v>
      </c>
      <c r="C21" s="2293"/>
      <c r="O21" s="1338"/>
      <c r="P21" s="1338"/>
      <c r="Q21" s="1338"/>
      <c r="R21" s="1338"/>
      <c r="T21" s="2294" t="s">
        <v>474</v>
      </c>
      <c r="U21" s="2295"/>
      <c r="V21" s="2297"/>
      <c r="W21" s="2298"/>
      <c r="X21" s="2299"/>
      <c r="Y21" s="2269"/>
    </row>
    <row r="22" spans="1:25" ht="35.25" customHeight="1" x14ac:dyDescent="0.25">
      <c r="A22" s="15"/>
      <c r="B22" s="2288" t="s">
        <v>49</v>
      </c>
      <c r="C22" s="2291">
        <v>677675</v>
      </c>
      <c r="D22" s="2291">
        <v>677675</v>
      </c>
      <c r="E22" s="2291">
        <v>90000</v>
      </c>
      <c r="F22" s="2291">
        <f>C22-D22+E22</f>
        <v>90000</v>
      </c>
      <c r="G22" s="1338"/>
      <c r="Q22" s="1338"/>
      <c r="R22" s="1338"/>
      <c r="T22" s="2251" t="s">
        <v>83</v>
      </c>
      <c r="U22" s="50" t="s">
        <v>60</v>
      </c>
      <c r="V22" s="2262">
        <v>537490</v>
      </c>
      <c r="W22" s="2262"/>
      <c r="X22" s="2262"/>
      <c r="Y22" s="2269"/>
    </row>
    <row r="23" spans="1:25" ht="39.75" customHeight="1" x14ac:dyDescent="0.25">
      <c r="A23" s="1338"/>
      <c r="B23" s="2289"/>
      <c r="C23" s="2292"/>
      <c r="D23" s="2292"/>
      <c r="E23" s="2292"/>
      <c r="F23" s="2292"/>
      <c r="G23" s="1338"/>
      <c r="Q23" s="1338"/>
      <c r="R23" s="1338"/>
      <c r="T23" s="2252"/>
      <c r="U23" s="50" t="s">
        <v>61</v>
      </c>
      <c r="V23" s="2262">
        <v>677675</v>
      </c>
      <c r="W23" s="2262"/>
      <c r="X23" s="2262"/>
      <c r="Y23" s="2269"/>
    </row>
    <row r="24" spans="1:25" ht="48" customHeight="1" x14ac:dyDescent="0.25">
      <c r="A24" s="1338"/>
      <c r="B24" s="2290"/>
      <c r="C24" s="290" t="s">
        <v>46</v>
      </c>
      <c r="D24" s="290" t="s">
        <v>50</v>
      </c>
      <c r="E24" s="290" t="s">
        <v>51</v>
      </c>
      <c r="F24" s="290" t="s">
        <v>52</v>
      </c>
      <c r="G24" s="1338"/>
      <c r="Q24" s="1338"/>
      <c r="R24" s="1338"/>
      <c r="T24" s="2235" t="s">
        <v>47</v>
      </c>
      <c r="U24" s="51" t="s">
        <v>62</v>
      </c>
      <c r="V24" s="2263">
        <f>V14+V16+V17-V18-V19-V20-V22+V23-V21</f>
        <v>29236.099999999977</v>
      </c>
      <c r="W24" s="2263"/>
      <c r="X24" s="2263"/>
      <c r="Y24" s="2269"/>
    </row>
    <row r="25" spans="1:25" ht="40.5" customHeight="1" x14ac:dyDescent="0.25">
      <c r="T25" s="2235"/>
      <c r="U25" s="51" t="s">
        <v>63</v>
      </c>
      <c r="V25" s="2262">
        <f>V15+V22-V23</f>
        <v>23769</v>
      </c>
      <c r="W25" s="2262"/>
      <c r="X25" s="2262"/>
    </row>
    <row r="26" spans="1:25" ht="36" customHeight="1" x14ac:dyDescent="0.25">
      <c r="K26" s="314"/>
    </row>
    <row r="28" spans="1:25" x14ac:dyDescent="0.25">
      <c r="J28" s="14" t="s">
        <v>139</v>
      </c>
    </row>
    <row r="32" spans="1:25" x14ac:dyDescent="0.25">
      <c r="I32" s="2280"/>
      <c r="J32" s="2280"/>
      <c r="K32" s="2280"/>
      <c r="L32" s="2280"/>
    </row>
    <row r="33" spans="9:12" x14ac:dyDescent="0.25">
      <c r="I33" s="1338"/>
      <c r="J33" s="1338"/>
      <c r="K33" s="2280"/>
      <c r="L33" s="2280"/>
    </row>
  </sheetData>
  <mergeCells count="62">
    <mergeCell ref="I32:J32"/>
    <mergeCell ref="K32:L32"/>
    <mergeCell ref="K33:L33"/>
    <mergeCell ref="T22:T23"/>
    <mergeCell ref="V22:X22"/>
    <mergeCell ref="V23:X23"/>
    <mergeCell ref="T24:T25"/>
    <mergeCell ref="V24:X24"/>
    <mergeCell ref="V25:X25"/>
    <mergeCell ref="Y18:Y24"/>
    <mergeCell ref="B19:C19"/>
    <mergeCell ref="Q19:R19"/>
    <mergeCell ref="T19:T20"/>
    <mergeCell ref="V19:X19"/>
    <mergeCell ref="B20:C20"/>
    <mergeCell ref="B22:B24"/>
    <mergeCell ref="C22:C23"/>
    <mergeCell ref="D22:D23"/>
    <mergeCell ref="E22:E23"/>
    <mergeCell ref="F22:F23"/>
    <mergeCell ref="Q20:R20"/>
    <mergeCell ref="V20:X20"/>
    <mergeCell ref="B21:C21"/>
    <mergeCell ref="T21:U21"/>
    <mergeCell ref="V21:X21"/>
    <mergeCell ref="B17:C17"/>
    <mergeCell ref="Q17:R17"/>
    <mergeCell ref="T17:U17"/>
    <mergeCell ref="V17:X17"/>
    <mergeCell ref="B18:C18"/>
    <mergeCell ref="Q18:R18"/>
    <mergeCell ref="T18:U18"/>
    <mergeCell ref="V18:X18"/>
    <mergeCell ref="W4:X4"/>
    <mergeCell ref="B16:C16"/>
    <mergeCell ref="Q16:R16"/>
    <mergeCell ref="T16:U16"/>
    <mergeCell ref="V16:X16"/>
    <mergeCell ref="A12:B12"/>
    <mergeCell ref="B14:C14"/>
    <mergeCell ref="Q14:R14"/>
    <mergeCell ref="T14:T15"/>
    <mergeCell ref="V14:X14"/>
    <mergeCell ref="B15:C15"/>
    <mergeCell ref="Q15:R15"/>
    <mergeCell ref="V15:X15"/>
    <mergeCell ref="A1:Y1"/>
    <mergeCell ref="A2:Y2"/>
    <mergeCell ref="T3:Y3"/>
    <mergeCell ref="A4:A5"/>
    <mergeCell ref="B4:B5"/>
    <mergeCell ref="C4:D4"/>
    <mergeCell ref="E4:F4"/>
    <mergeCell ref="G4:H4"/>
    <mergeCell ref="I4:J4"/>
    <mergeCell ref="K4:L4"/>
    <mergeCell ref="Y4:Y5"/>
    <mergeCell ref="M4:N4"/>
    <mergeCell ref="O4:P4"/>
    <mergeCell ref="Q4:R4"/>
    <mergeCell ref="S4:T4"/>
    <mergeCell ref="U4:V4"/>
  </mergeCells>
  <pageMargins left="0.15748031496063" right="0.15748031496063" top="0" bottom="0" header="0" footer="0"/>
  <pageSetup paperSize="9" scale="47" orientation="landscape" r:id="rId1"/>
</worksheet>
</file>

<file path=xl/worksheets/sheet2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FE192F7-C8CA-4298-9605-AB49FA1A5EFA}">
  <sheetPr>
    <pageSetUpPr fitToPage="1"/>
  </sheetPr>
  <dimension ref="A1:Y33"/>
  <sheetViews>
    <sheetView topLeftCell="D7" zoomScale="70" zoomScaleNormal="70" zoomScaleSheetLayoutView="100" zoomScalePageLayoutView="68" workbookViewId="0">
      <selection activeCell="Y16" sqref="Y16"/>
    </sheetView>
  </sheetViews>
  <sheetFormatPr defaultColWidth="9.140625" defaultRowHeight="15" x14ac:dyDescent="0.25"/>
  <cols>
    <col min="1" max="1" width="18.28515625" style="14" customWidth="1"/>
    <col min="2" max="2" width="10.7109375" style="14" customWidth="1"/>
    <col min="3" max="3" width="12.28515625" style="14" customWidth="1"/>
    <col min="4" max="4" width="13.140625" style="14" bestFit="1" customWidth="1"/>
    <col min="5" max="5" width="12" style="14" customWidth="1"/>
    <col min="6" max="6" width="12.5703125" style="14" bestFit="1" customWidth="1"/>
    <col min="7" max="7" width="16" style="14" bestFit="1" customWidth="1"/>
    <col min="8" max="8" width="10.140625" style="14" bestFit="1" customWidth="1"/>
    <col min="9" max="9" width="10.5703125" style="14" bestFit="1" customWidth="1"/>
    <col min="10" max="10" width="10.5703125" style="14" customWidth="1"/>
    <col min="11" max="11" width="10.28515625" style="14" bestFit="1" customWidth="1"/>
    <col min="12" max="12" width="10.42578125" style="14" bestFit="1" customWidth="1"/>
    <col min="13" max="14" width="12" style="14" bestFit="1" customWidth="1"/>
    <col min="15" max="15" width="9" style="14" customWidth="1"/>
    <col min="16" max="16" width="12.85546875" style="14" bestFit="1" customWidth="1"/>
    <col min="17" max="18" width="9.42578125" style="14" customWidth="1"/>
    <col min="19" max="19" width="13.7109375" style="14" customWidth="1"/>
    <col min="20" max="20" width="12.140625" style="14" customWidth="1"/>
    <col min="21" max="21" width="21.7109375" style="14" customWidth="1"/>
    <col min="22" max="22" width="9.85546875" style="14" customWidth="1"/>
    <col min="23" max="23" width="10.140625" style="14" bestFit="1" customWidth="1"/>
    <col min="24" max="24" width="10.28515625" style="14" customWidth="1"/>
    <col min="25" max="25" width="15.7109375" style="14" customWidth="1"/>
    <col min="26" max="16384" width="9.140625" style="14"/>
  </cols>
  <sheetData>
    <row r="1" spans="1:25" ht="46.15" customHeight="1" x14ac:dyDescent="0.25">
      <c r="A1" s="2240" t="s">
        <v>148</v>
      </c>
      <c r="B1" s="2240"/>
      <c r="C1" s="2240"/>
      <c r="D1" s="2240"/>
      <c r="E1" s="2240"/>
      <c r="F1" s="2240"/>
      <c r="G1" s="2240"/>
      <c r="H1" s="2240"/>
      <c r="I1" s="2240"/>
      <c r="J1" s="2240"/>
      <c r="K1" s="2240"/>
      <c r="L1" s="2240"/>
      <c r="M1" s="2240"/>
      <c r="N1" s="2240"/>
      <c r="O1" s="2240"/>
      <c r="P1" s="2240"/>
      <c r="Q1" s="2240"/>
      <c r="R1" s="2240"/>
      <c r="S1" s="2240"/>
      <c r="T1" s="2240"/>
      <c r="U1" s="2240"/>
      <c r="V1" s="2240"/>
      <c r="W1" s="2240"/>
      <c r="X1" s="2240"/>
      <c r="Y1" s="2240"/>
    </row>
    <row r="2" spans="1:25" ht="21.6" customHeight="1" x14ac:dyDescent="0.25">
      <c r="A2" s="2241" t="s">
        <v>383</v>
      </c>
      <c r="B2" s="2241"/>
      <c r="C2" s="2241"/>
      <c r="D2" s="2241"/>
      <c r="E2" s="2241"/>
      <c r="F2" s="2241"/>
      <c r="G2" s="2241"/>
      <c r="H2" s="2241"/>
      <c r="I2" s="2241"/>
      <c r="J2" s="2241"/>
      <c r="K2" s="2241"/>
      <c r="L2" s="2241"/>
      <c r="M2" s="2241"/>
      <c r="N2" s="2241"/>
      <c r="O2" s="2241"/>
      <c r="P2" s="2241"/>
      <c r="Q2" s="2241"/>
      <c r="R2" s="2241"/>
      <c r="S2" s="2241"/>
      <c r="T2" s="2241"/>
      <c r="U2" s="2241"/>
      <c r="V2" s="2241"/>
      <c r="W2" s="2241"/>
      <c r="X2" s="2241"/>
      <c r="Y2" s="2241"/>
    </row>
    <row r="3" spans="1:25" ht="21" customHeight="1" x14ac:dyDescent="0.25">
      <c r="A3" s="1344"/>
      <c r="B3" s="1344"/>
      <c r="C3" s="1344"/>
      <c r="D3" s="1344"/>
      <c r="E3" s="1344"/>
      <c r="F3" s="1344"/>
      <c r="G3" s="1344"/>
      <c r="H3" s="1344"/>
      <c r="I3" s="1344"/>
      <c r="J3" s="1344"/>
      <c r="K3" s="1344"/>
      <c r="L3" s="1344"/>
      <c r="M3" s="1344"/>
      <c r="N3" s="1344"/>
      <c r="O3" s="1344"/>
      <c r="P3" s="1344"/>
      <c r="Q3" s="1344"/>
      <c r="R3" s="1344"/>
      <c r="S3" s="1344"/>
      <c r="T3" s="2242" t="s">
        <v>480</v>
      </c>
      <c r="U3" s="2242"/>
      <c r="V3" s="2242"/>
      <c r="W3" s="2242"/>
      <c r="X3" s="2242"/>
      <c r="Y3" s="2242"/>
    </row>
    <row r="4" spans="1:25" s="1344" customFormat="1" ht="18" customHeight="1" x14ac:dyDescent="0.25">
      <c r="A4" s="2243" t="s">
        <v>25</v>
      </c>
      <c r="B4" s="2243" t="s">
        <v>26</v>
      </c>
      <c r="C4" s="2244" t="s">
        <v>27</v>
      </c>
      <c r="D4" s="2244"/>
      <c r="E4" s="2244" t="s">
        <v>342</v>
      </c>
      <c r="F4" s="2244"/>
      <c r="G4" s="2244" t="s">
        <v>65</v>
      </c>
      <c r="H4" s="2244"/>
      <c r="I4" s="2244" t="s">
        <v>29</v>
      </c>
      <c r="J4" s="2244"/>
      <c r="K4" s="2245" t="s">
        <v>14</v>
      </c>
      <c r="L4" s="2246"/>
      <c r="M4" s="2245" t="s">
        <v>429</v>
      </c>
      <c r="N4" s="2246"/>
      <c r="O4" s="2245" t="s">
        <v>441</v>
      </c>
      <c r="P4" s="2246"/>
      <c r="Q4" s="2245" t="s">
        <v>114</v>
      </c>
      <c r="R4" s="2246"/>
      <c r="S4" s="2244" t="s">
        <v>35</v>
      </c>
      <c r="T4" s="2244"/>
      <c r="U4" s="2245" t="s">
        <v>17</v>
      </c>
      <c r="V4" s="2246"/>
      <c r="W4" s="2247" t="s">
        <v>36</v>
      </c>
      <c r="X4" s="2248"/>
      <c r="Y4" s="2238" t="s">
        <v>30</v>
      </c>
    </row>
    <row r="5" spans="1:25" s="1344" customFormat="1" ht="25.5" customHeight="1" x14ac:dyDescent="0.25">
      <c r="A5" s="2243"/>
      <c r="B5" s="2243"/>
      <c r="C5" s="1343" t="s">
        <v>42</v>
      </c>
      <c r="D5" s="1343" t="s">
        <v>43</v>
      </c>
      <c r="E5" s="1343" t="s">
        <v>42</v>
      </c>
      <c r="F5" s="1343" t="s">
        <v>43</v>
      </c>
      <c r="G5" s="1343" t="s">
        <v>42</v>
      </c>
      <c r="H5" s="1343" t="s">
        <v>43</v>
      </c>
      <c r="I5" s="1343" t="s">
        <v>42</v>
      </c>
      <c r="J5" s="1343" t="s">
        <v>43</v>
      </c>
      <c r="K5" s="1343" t="s">
        <v>42</v>
      </c>
      <c r="L5" s="1343" t="s">
        <v>43</v>
      </c>
      <c r="M5" s="1343" t="s">
        <v>42</v>
      </c>
      <c r="N5" s="1343" t="s">
        <v>43</v>
      </c>
      <c r="O5" s="1343" t="s">
        <v>42</v>
      </c>
      <c r="P5" s="1343" t="s">
        <v>43</v>
      </c>
      <c r="Q5" s="1343" t="s">
        <v>42</v>
      </c>
      <c r="R5" s="1343" t="s">
        <v>43</v>
      </c>
      <c r="S5" s="33" t="s">
        <v>42</v>
      </c>
      <c r="T5" s="33" t="s">
        <v>43</v>
      </c>
      <c r="U5" s="30" t="s">
        <v>42</v>
      </c>
      <c r="V5" s="30" t="s">
        <v>43</v>
      </c>
      <c r="W5" s="30" t="s">
        <v>42</v>
      </c>
      <c r="X5" s="30" t="s">
        <v>43</v>
      </c>
      <c r="Y5" s="2239"/>
    </row>
    <row r="6" spans="1:25" ht="34.5" customHeight="1" x14ac:dyDescent="0.25">
      <c r="A6" s="12">
        <v>1409935200</v>
      </c>
      <c r="B6" s="1342" t="s">
        <v>71</v>
      </c>
      <c r="C6" s="1340">
        <v>34411</v>
      </c>
      <c r="D6" s="1339">
        <f t="shared" ref="D6:D11" si="0">0.9725*C6</f>
        <v>33464.697500000002</v>
      </c>
      <c r="E6" s="1340"/>
      <c r="F6" s="1339">
        <f>67.1*E6</f>
        <v>0</v>
      </c>
      <c r="G6" s="1340">
        <v>100</v>
      </c>
      <c r="H6" s="1340">
        <f>28.2*G6</f>
        <v>2820</v>
      </c>
      <c r="I6" s="1340">
        <v>1440</v>
      </c>
      <c r="J6" s="1340">
        <f>18.5*I6</f>
        <v>26640</v>
      </c>
      <c r="K6" s="1340"/>
      <c r="L6" s="1339">
        <f>28.2368*K6</f>
        <v>0</v>
      </c>
      <c r="M6" s="1340"/>
      <c r="N6" s="1339">
        <f>M6*47.6525</f>
        <v>0</v>
      </c>
      <c r="O6" s="1340"/>
      <c r="P6" s="1339">
        <f>O6*8.9</f>
        <v>0</v>
      </c>
      <c r="Q6" s="1339"/>
      <c r="R6" s="1339">
        <f>241*Q6</f>
        <v>0</v>
      </c>
      <c r="S6" s="1340"/>
      <c r="T6" s="1340">
        <f>241*S6</f>
        <v>0</v>
      </c>
      <c r="U6" s="1340"/>
      <c r="V6" s="1340">
        <f>332*U6</f>
        <v>0</v>
      </c>
      <c r="W6" s="1340"/>
      <c r="X6" s="19">
        <f>W6*100</f>
        <v>0</v>
      </c>
      <c r="Y6" s="20">
        <f t="shared" ref="Y6:Y12" si="1">D6+F6+H6+J6+L6+N6+P6+R6+T6+V6+X6</f>
        <v>62924.697500000002</v>
      </c>
    </row>
    <row r="7" spans="1:25" ht="31.5" customHeight="1" x14ac:dyDescent="0.25">
      <c r="A7" s="12">
        <v>1984225578</v>
      </c>
      <c r="B7" s="1342" t="s">
        <v>72</v>
      </c>
      <c r="C7" s="1340">
        <v>73084</v>
      </c>
      <c r="D7" s="1339">
        <f t="shared" si="0"/>
        <v>71074.19</v>
      </c>
      <c r="E7" s="1340"/>
      <c r="F7" s="1340">
        <f t="shared" ref="F7:F11" si="2">67.1*E7</f>
        <v>0</v>
      </c>
      <c r="G7" s="1340">
        <v>50</v>
      </c>
      <c r="H7" s="1340">
        <f t="shared" ref="H7:H11" si="3">28.2*G7</f>
        <v>1410</v>
      </c>
      <c r="I7" s="1340">
        <v>620</v>
      </c>
      <c r="J7" s="1340">
        <f t="shared" ref="J7:J11" si="4">18.5*I7</f>
        <v>11470</v>
      </c>
      <c r="K7" s="1340"/>
      <c r="L7" s="1339">
        <f t="shared" ref="L7:L11" si="5">28.2368*K7</f>
        <v>0</v>
      </c>
      <c r="M7" s="1340"/>
      <c r="N7" s="1339">
        <f t="shared" ref="N7:N11" si="6">M7*47.6525</f>
        <v>0</v>
      </c>
      <c r="O7" s="1340"/>
      <c r="P7" s="1339">
        <f t="shared" ref="P7:P11" si="7">O7*8.9</f>
        <v>0</v>
      </c>
      <c r="Q7" s="1339"/>
      <c r="R7" s="1339">
        <f t="shared" ref="R7:R11" si="8">241*Q7</f>
        <v>0</v>
      </c>
      <c r="S7" s="1340"/>
      <c r="T7" s="1340">
        <f t="shared" ref="T7:T10" si="9">241*S7</f>
        <v>0</v>
      </c>
      <c r="U7" s="1340">
        <v>27</v>
      </c>
      <c r="V7" s="1340">
        <f t="shared" ref="V7:V11" si="10">332*U7</f>
        <v>8964</v>
      </c>
      <c r="W7" s="1340"/>
      <c r="X7" s="19">
        <f t="shared" ref="X7:X11" si="11">W7*100</f>
        <v>0</v>
      </c>
      <c r="Y7" s="20">
        <f t="shared" si="1"/>
        <v>92918.19</v>
      </c>
    </row>
    <row r="8" spans="1:25" ht="35.25" customHeight="1" x14ac:dyDescent="0.25">
      <c r="A8" s="12">
        <v>1967020280</v>
      </c>
      <c r="B8" s="1342" t="s">
        <v>427</v>
      </c>
      <c r="C8" s="1340">
        <v>32887</v>
      </c>
      <c r="D8" s="1339">
        <f t="shared" si="0"/>
        <v>31982.607500000002</v>
      </c>
      <c r="E8" s="1340"/>
      <c r="F8" s="1340">
        <f t="shared" si="2"/>
        <v>0</v>
      </c>
      <c r="G8" s="1340">
        <v>40</v>
      </c>
      <c r="H8" s="1339">
        <f t="shared" si="3"/>
        <v>1128</v>
      </c>
      <c r="I8" s="1340">
        <v>1150</v>
      </c>
      <c r="J8" s="1340">
        <f t="shared" si="4"/>
        <v>21275</v>
      </c>
      <c r="K8" s="1340"/>
      <c r="L8" s="1339">
        <f t="shared" si="5"/>
        <v>0</v>
      </c>
      <c r="M8" s="1340"/>
      <c r="N8" s="1339">
        <f t="shared" si="6"/>
        <v>0</v>
      </c>
      <c r="O8" s="1340"/>
      <c r="P8" s="1339">
        <f t="shared" si="7"/>
        <v>0</v>
      </c>
      <c r="Q8" s="1339"/>
      <c r="R8" s="1339">
        <f t="shared" si="8"/>
        <v>0</v>
      </c>
      <c r="S8" s="1340"/>
      <c r="T8" s="1340">
        <f t="shared" si="9"/>
        <v>0</v>
      </c>
      <c r="U8" s="1340"/>
      <c r="V8" s="1340">
        <f t="shared" si="10"/>
        <v>0</v>
      </c>
      <c r="W8" s="1340"/>
      <c r="X8" s="19">
        <f t="shared" si="11"/>
        <v>0</v>
      </c>
      <c r="Y8" s="20">
        <f t="shared" si="1"/>
        <v>54385.607499999998</v>
      </c>
    </row>
    <row r="9" spans="1:25" ht="38.25" customHeight="1" x14ac:dyDescent="0.25">
      <c r="A9" s="12">
        <v>1984225580</v>
      </c>
      <c r="B9" s="1342" t="s">
        <v>75</v>
      </c>
      <c r="C9" s="1340">
        <v>26423</v>
      </c>
      <c r="D9" s="1339">
        <f t="shared" si="0"/>
        <v>25696.3675</v>
      </c>
      <c r="E9" s="1340"/>
      <c r="F9" s="1340">
        <f t="shared" si="2"/>
        <v>0</v>
      </c>
      <c r="G9" s="1340">
        <v>40</v>
      </c>
      <c r="H9" s="1340">
        <f t="shared" si="3"/>
        <v>1128</v>
      </c>
      <c r="I9" s="1340">
        <v>2340</v>
      </c>
      <c r="J9" s="1340">
        <f t="shared" si="4"/>
        <v>43290</v>
      </c>
      <c r="K9" s="1340"/>
      <c r="L9" s="1339">
        <f t="shared" si="5"/>
        <v>0</v>
      </c>
      <c r="M9" s="1340"/>
      <c r="N9" s="1339">
        <f t="shared" si="6"/>
        <v>0</v>
      </c>
      <c r="O9" s="1340"/>
      <c r="P9" s="1339">
        <f t="shared" si="7"/>
        <v>0</v>
      </c>
      <c r="Q9" s="1339"/>
      <c r="R9" s="1339">
        <f t="shared" si="8"/>
        <v>0</v>
      </c>
      <c r="S9" s="1340"/>
      <c r="T9" s="1340">
        <f t="shared" si="9"/>
        <v>0</v>
      </c>
      <c r="U9" s="1340">
        <v>7</v>
      </c>
      <c r="V9" s="1340">
        <f t="shared" si="10"/>
        <v>2324</v>
      </c>
      <c r="W9" s="1340"/>
      <c r="X9" s="19">
        <f t="shared" si="11"/>
        <v>0</v>
      </c>
      <c r="Y9" s="20">
        <f t="shared" si="1"/>
        <v>72438.367499999993</v>
      </c>
    </row>
    <row r="10" spans="1:25" ht="35.25" customHeight="1" x14ac:dyDescent="0.25">
      <c r="A10" s="12">
        <v>1409935199</v>
      </c>
      <c r="C10" s="1340"/>
      <c r="D10" s="1339">
        <f t="shared" si="0"/>
        <v>0</v>
      </c>
      <c r="E10" s="1340"/>
      <c r="F10" s="1340">
        <f t="shared" si="2"/>
        <v>0</v>
      </c>
      <c r="G10" s="1340"/>
      <c r="H10" s="1340">
        <f t="shared" si="3"/>
        <v>0</v>
      </c>
      <c r="I10" s="1340"/>
      <c r="J10" s="1340">
        <f t="shared" si="4"/>
        <v>0</v>
      </c>
      <c r="K10" s="1340"/>
      <c r="L10" s="1339">
        <f t="shared" si="5"/>
        <v>0</v>
      </c>
      <c r="M10" s="1340"/>
      <c r="N10" s="1339">
        <f t="shared" si="6"/>
        <v>0</v>
      </c>
      <c r="O10" s="1340"/>
      <c r="P10" s="1339">
        <f t="shared" si="7"/>
        <v>0</v>
      </c>
      <c r="Q10" s="1339"/>
      <c r="R10" s="1339">
        <f t="shared" si="8"/>
        <v>0</v>
      </c>
      <c r="S10" s="1340"/>
      <c r="T10" s="1340">
        <f t="shared" si="9"/>
        <v>0</v>
      </c>
      <c r="U10" s="1340"/>
      <c r="V10" s="1340">
        <f t="shared" si="10"/>
        <v>0</v>
      </c>
      <c r="W10" s="1340"/>
      <c r="X10" s="19">
        <f t="shared" si="11"/>
        <v>0</v>
      </c>
      <c r="Y10" s="20">
        <f t="shared" si="1"/>
        <v>0</v>
      </c>
    </row>
    <row r="11" spans="1:25" ht="37.5" customHeight="1" x14ac:dyDescent="0.25">
      <c r="A11" s="12"/>
      <c r="B11" s="1341"/>
      <c r="C11" s="1340"/>
      <c r="D11" s="1339">
        <f t="shared" si="0"/>
        <v>0</v>
      </c>
      <c r="E11" s="1340"/>
      <c r="F11" s="1340">
        <f t="shared" si="2"/>
        <v>0</v>
      </c>
      <c r="G11" s="1340"/>
      <c r="H11" s="1340">
        <f t="shared" si="3"/>
        <v>0</v>
      </c>
      <c r="I11" s="1340"/>
      <c r="J11" s="1340">
        <f t="shared" si="4"/>
        <v>0</v>
      </c>
      <c r="K11" s="1340"/>
      <c r="L11" s="1339">
        <f t="shared" si="5"/>
        <v>0</v>
      </c>
      <c r="M11" s="1340"/>
      <c r="N11" s="1339">
        <f t="shared" si="6"/>
        <v>0</v>
      </c>
      <c r="O11" s="1340"/>
      <c r="P11" s="1339">
        <f t="shared" si="7"/>
        <v>0</v>
      </c>
      <c r="Q11" s="1339"/>
      <c r="R11" s="1339">
        <f t="shared" si="8"/>
        <v>0</v>
      </c>
      <c r="S11" s="1340">
        <v>4</v>
      </c>
      <c r="T11" s="1340">
        <f>341*S11</f>
        <v>1364</v>
      </c>
      <c r="U11" s="1340"/>
      <c r="V11" s="1340">
        <f t="shared" si="10"/>
        <v>0</v>
      </c>
      <c r="W11" s="1340"/>
      <c r="X11" s="19">
        <f t="shared" si="11"/>
        <v>0</v>
      </c>
      <c r="Y11" s="20">
        <f t="shared" si="1"/>
        <v>1364</v>
      </c>
    </row>
    <row r="12" spans="1:25" ht="29.25" customHeight="1" x14ac:dyDescent="0.25">
      <c r="A12" s="2235" t="s">
        <v>31</v>
      </c>
      <c r="B12" s="2235"/>
      <c r="C12" s="18">
        <f t="shared" ref="C12:X12" si="12">SUM(C6:C11)</f>
        <v>166805</v>
      </c>
      <c r="D12" s="18">
        <f t="shared" si="12"/>
        <v>162217.86250000002</v>
      </c>
      <c r="E12" s="18">
        <f t="shared" si="12"/>
        <v>0</v>
      </c>
      <c r="F12" s="18">
        <f t="shared" si="12"/>
        <v>0</v>
      </c>
      <c r="G12" s="18">
        <f t="shared" si="12"/>
        <v>230</v>
      </c>
      <c r="H12" s="18">
        <f t="shared" si="12"/>
        <v>6486</v>
      </c>
      <c r="I12" s="18">
        <f t="shared" si="12"/>
        <v>5550</v>
      </c>
      <c r="J12" s="18">
        <f t="shared" si="12"/>
        <v>102675</v>
      </c>
      <c r="K12" s="18">
        <f t="shared" si="12"/>
        <v>0</v>
      </c>
      <c r="L12" s="18">
        <f t="shared" si="12"/>
        <v>0</v>
      </c>
      <c r="M12" s="18">
        <f t="shared" si="12"/>
        <v>0</v>
      </c>
      <c r="N12" s="23">
        <f t="shared" si="12"/>
        <v>0</v>
      </c>
      <c r="O12" s="18">
        <f t="shared" si="12"/>
        <v>0</v>
      </c>
      <c r="P12" s="23">
        <f t="shared" si="12"/>
        <v>0</v>
      </c>
      <c r="Q12" s="23">
        <f t="shared" si="12"/>
        <v>0</v>
      </c>
      <c r="R12" s="23">
        <f>SUM(R6:R11)</f>
        <v>0</v>
      </c>
      <c r="S12" s="23">
        <f>SUM(S6:S11)</f>
        <v>4</v>
      </c>
      <c r="T12" s="18">
        <f t="shared" si="12"/>
        <v>1364</v>
      </c>
      <c r="U12" s="18">
        <f t="shared" si="12"/>
        <v>34</v>
      </c>
      <c r="V12" s="18">
        <f t="shared" si="12"/>
        <v>11288</v>
      </c>
      <c r="W12" s="18">
        <f t="shared" si="12"/>
        <v>0</v>
      </c>
      <c r="X12" s="18">
        <f t="shared" si="12"/>
        <v>0</v>
      </c>
      <c r="Y12" s="20">
        <f t="shared" si="1"/>
        <v>284030.86250000005</v>
      </c>
    </row>
    <row r="14" spans="1:25" ht="43.5" customHeight="1" x14ac:dyDescent="0.25">
      <c r="A14" s="30" t="s">
        <v>32</v>
      </c>
      <c r="B14" s="2236" t="s">
        <v>27</v>
      </c>
      <c r="C14" s="2236"/>
      <c r="D14" s="30" t="s">
        <v>333</v>
      </c>
      <c r="E14" s="30" t="s">
        <v>65</v>
      </c>
      <c r="F14" s="30" t="s">
        <v>34</v>
      </c>
      <c r="G14" s="30" t="s">
        <v>14</v>
      </c>
      <c r="H14" s="469" t="s">
        <v>173</v>
      </c>
      <c r="I14" s="30" t="s">
        <v>17</v>
      </c>
      <c r="J14" s="1348" t="s">
        <v>174</v>
      </c>
      <c r="K14" s="30" t="s">
        <v>36</v>
      </c>
      <c r="L14" s="1348" t="s">
        <v>403</v>
      </c>
      <c r="M14" s="30" t="s">
        <v>429</v>
      </c>
      <c r="N14" s="30" t="s">
        <v>442</v>
      </c>
      <c r="O14" s="1348" t="s">
        <v>114</v>
      </c>
      <c r="P14" s="30" t="s">
        <v>70</v>
      </c>
      <c r="Q14" s="2300" t="s">
        <v>479</v>
      </c>
      <c r="R14" s="2301"/>
      <c r="S14" s="1348" t="s">
        <v>401</v>
      </c>
      <c r="T14" s="2235" t="s">
        <v>46</v>
      </c>
      <c r="U14" s="1342" t="s">
        <v>176</v>
      </c>
      <c r="V14" s="2260">
        <v>29236</v>
      </c>
      <c r="W14" s="2268"/>
      <c r="X14" s="2261"/>
    </row>
    <row r="15" spans="1:25" ht="22.5" customHeight="1" x14ac:dyDescent="0.25">
      <c r="A15" s="100" t="s">
        <v>38</v>
      </c>
      <c r="B15" s="2260">
        <v>292835</v>
      </c>
      <c r="C15" s="2261"/>
      <c r="D15" s="1345">
        <v>130</v>
      </c>
      <c r="E15" s="1345">
        <v>2070</v>
      </c>
      <c r="F15" s="1345">
        <v>10940</v>
      </c>
      <c r="G15" s="1345">
        <v>0</v>
      </c>
      <c r="H15" s="1345">
        <v>161</v>
      </c>
      <c r="I15" s="1345">
        <v>110</v>
      </c>
      <c r="J15" s="1345">
        <v>4</v>
      </c>
      <c r="K15" s="1345">
        <v>71</v>
      </c>
      <c r="L15" s="1345">
        <v>0</v>
      </c>
      <c r="M15" s="1345">
        <v>0</v>
      </c>
      <c r="N15" s="1345">
        <v>0</v>
      </c>
      <c r="O15" s="1345">
        <v>0</v>
      </c>
      <c r="P15" s="1345">
        <v>100</v>
      </c>
      <c r="Q15" s="2260">
        <v>10</v>
      </c>
      <c r="R15" s="2261"/>
      <c r="S15" s="1342">
        <v>6</v>
      </c>
      <c r="T15" s="2235"/>
      <c r="U15" s="1342" t="s">
        <v>64</v>
      </c>
      <c r="V15" s="2262">
        <v>23769</v>
      </c>
      <c r="W15" s="2262"/>
      <c r="X15" s="2262"/>
    </row>
    <row r="16" spans="1:25" ht="24.75" customHeight="1" x14ac:dyDescent="0.25">
      <c r="A16" s="100" t="s">
        <v>39</v>
      </c>
      <c r="B16" s="2260">
        <v>158961</v>
      </c>
      <c r="C16" s="2261"/>
      <c r="D16" s="1345"/>
      <c r="E16" s="1345"/>
      <c r="F16" s="1345">
        <v>10000</v>
      </c>
      <c r="G16" s="1345">
        <v>1000</v>
      </c>
      <c r="H16" s="1345"/>
      <c r="I16" s="1345"/>
      <c r="J16" s="1345"/>
      <c r="K16" s="1345"/>
      <c r="L16" s="1345"/>
      <c r="M16" s="1345"/>
      <c r="N16" s="1345"/>
      <c r="O16" s="1345"/>
      <c r="P16" s="1345"/>
      <c r="Q16" s="2262"/>
      <c r="R16" s="2262"/>
      <c r="S16" s="1345"/>
      <c r="T16" s="2254" t="s">
        <v>55</v>
      </c>
      <c r="U16" s="2254"/>
      <c r="V16" s="2267">
        <f>Y12</f>
        <v>284030.86250000005</v>
      </c>
      <c r="W16" s="2267"/>
      <c r="X16" s="2262"/>
    </row>
    <row r="17" spans="1:25" ht="28.5" customHeight="1" x14ac:dyDescent="0.25">
      <c r="A17" s="101" t="s">
        <v>44</v>
      </c>
      <c r="B17" s="2260"/>
      <c r="C17" s="2261"/>
      <c r="D17" s="1345"/>
      <c r="E17" s="1345"/>
      <c r="F17" s="1345"/>
      <c r="G17" s="1345"/>
      <c r="H17" s="1345"/>
      <c r="I17" s="1345"/>
      <c r="J17" s="1345"/>
      <c r="K17" s="1345"/>
      <c r="L17" s="1345"/>
      <c r="M17" s="1345"/>
      <c r="N17" s="1345"/>
      <c r="O17" s="1345"/>
      <c r="P17" s="1345"/>
      <c r="Q17" s="2225"/>
      <c r="R17" s="2225"/>
      <c r="S17" s="1341"/>
      <c r="T17" s="2294" t="s">
        <v>473</v>
      </c>
      <c r="U17" s="2295"/>
      <c r="V17" s="2296"/>
      <c r="W17" s="2296"/>
      <c r="X17" s="2296"/>
    </row>
    <row r="18" spans="1:25" ht="27" customHeight="1" x14ac:dyDescent="0.25">
      <c r="A18" s="100" t="s">
        <v>40</v>
      </c>
      <c r="B18" s="2264">
        <f>C12</f>
        <v>166805</v>
      </c>
      <c r="C18" s="2261"/>
      <c r="D18" s="1347">
        <f>E12</f>
        <v>0</v>
      </c>
      <c r="E18" s="1347">
        <f>G12</f>
        <v>230</v>
      </c>
      <c r="F18" s="1347">
        <f>I12</f>
        <v>5550</v>
      </c>
      <c r="G18" s="1347">
        <f>K12</f>
        <v>0</v>
      </c>
      <c r="H18" s="1345"/>
      <c r="I18" s="1347">
        <f>U12</f>
        <v>34</v>
      </c>
      <c r="J18" s="1345"/>
      <c r="K18" s="1347">
        <f>W12</f>
        <v>0</v>
      </c>
      <c r="L18" s="1345"/>
      <c r="M18" s="1347">
        <f>M12</f>
        <v>0</v>
      </c>
      <c r="N18" s="1347">
        <f>O12</f>
        <v>0</v>
      </c>
      <c r="O18" s="1346">
        <f>Q12</f>
        <v>0</v>
      </c>
      <c r="P18" s="1347"/>
      <c r="Q18" s="2262"/>
      <c r="R18" s="2262"/>
      <c r="S18" s="1342">
        <v>4</v>
      </c>
      <c r="T18" s="2254" t="s">
        <v>57</v>
      </c>
      <c r="U18" s="2254"/>
      <c r="V18" s="2262">
        <v>920</v>
      </c>
      <c r="W18" s="2262"/>
      <c r="X18" s="2262"/>
      <c r="Y18" s="2269"/>
    </row>
    <row r="19" spans="1:25" ht="25.5" customHeight="1" x14ac:dyDescent="0.25">
      <c r="A19" s="100" t="s">
        <v>41</v>
      </c>
      <c r="B19" s="2260">
        <f>B15+B16+B17-B18</f>
        <v>284991</v>
      </c>
      <c r="C19" s="2261"/>
      <c r="D19" s="1345">
        <f>D15+D16+D17-D18</f>
        <v>130</v>
      </c>
      <c r="E19" s="1345">
        <f t="shared" ref="E19:N19" si="13">E15+E16+E17-E18</f>
        <v>1840</v>
      </c>
      <c r="F19" s="1345">
        <f t="shared" si="13"/>
        <v>15390</v>
      </c>
      <c r="G19" s="1345">
        <f t="shared" si="13"/>
        <v>1000</v>
      </c>
      <c r="H19" s="1345">
        <f t="shared" si="13"/>
        <v>161</v>
      </c>
      <c r="I19" s="1345">
        <f t="shared" si="13"/>
        <v>76</v>
      </c>
      <c r="J19" s="1345">
        <f t="shared" si="13"/>
        <v>4</v>
      </c>
      <c r="K19" s="1345">
        <f t="shared" si="13"/>
        <v>71</v>
      </c>
      <c r="L19" s="1345">
        <f t="shared" si="13"/>
        <v>0</v>
      </c>
      <c r="M19" s="1345">
        <f t="shared" si="13"/>
        <v>0</v>
      </c>
      <c r="N19" s="1345">
        <f t="shared" si="13"/>
        <v>0</v>
      </c>
      <c r="O19" s="1345">
        <f>O15+O16+O17-O18</f>
        <v>0</v>
      </c>
      <c r="P19" s="1345">
        <f t="shared" ref="P19:Q19" si="14">P15+P16+P17-P18</f>
        <v>100</v>
      </c>
      <c r="Q19" s="2260">
        <f t="shared" si="14"/>
        <v>10</v>
      </c>
      <c r="R19" s="2261"/>
      <c r="S19" s="1342">
        <f>S15+S16-S17-S18</f>
        <v>2</v>
      </c>
      <c r="T19" s="2256" t="s">
        <v>48</v>
      </c>
      <c r="U19" s="49" t="s">
        <v>58</v>
      </c>
      <c r="V19" s="2262">
        <v>90000</v>
      </c>
      <c r="W19" s="2262"/>
      <c r="X19" s="2262"/>
      <c r="Y19" s="2269"/>
    </row>
    <row r="20" spans="1:25" ht="23.25" customHeight="1" x14ac:dyDescent="0.25">
      <c r="A20" s="289" t="s">
        <v>187</v>
      </c>
      <c r="B20" s="2286">
        <f>B19*0.9625</f>
        <v>274303.83750000002</v>
      </c>
      <c r="C20" s="2287"/>
      <c r="D20" s="290">
        <f>D19*66.41</f>
        <v>8633.2999999999993</v>
      </c>
      <c r="E20" s="290">
        <f>27.9368*E19</f>
        <v>51403.712</v>
      </c>
      <c r="F20" s="290">
        <f>18.31*F19</f>
        <v>281790.89999999997</v>
      </c>
      <c r="G20" s="290">
        <f>27.9368*G19</f>
        <v>27936.800000000003</v>
      </c>
      <c r="H20" s="290">
        <f>241*H19</f>
        <v>38801</v>
      </c>
      <c r="I20" s="290">
        <f>323*I19</f>
        <v>24548</v>
      </c>
      <c r="J20" s="290">
        <f>241*J19</f>
        <v>964</v>
      </c>
      <c r="K20" s="290">
        <f>K19*100</f>
        <v>7100</v>
      </c>
      <c r="L20" s="290">
        <f>241*L19</f>
        <v>0</v>
      </c>
      <c r="M20" s="290">
        <f>47.1625*M19</f>
        <v>0</v>
      </c>
      <c r="N20" s="290">
        <f>N19*8.81</f>
        <v>0</v>
      </c>
      <c r="O20" s="290">
        <f>241*O19</f>
        <v>0</v>
      </c>
      <c r="P20" s="290">
        <f>P19*48.2</f>
        <v>4820</v>
      </c>
      <c r="Q20" s="2286">
        <f>470*Q19</f>
        <v>4700</v>
      </c>
      <c r="R20" s="2287"/>
      <c r="S20" s="290">
        <f>341*S19</f>
        <v>682</v>
      </c>
      <c r="T20" s="2257"/>
      <c r="U20" s="49" t="s">
        <v>59</v>
      </c>
      <c r="V20" s="2262"/>
      <c r="W20" s="2262"/>
      <c r="X20" s="2262"/>
      <c r="Y20" s="2269"/>
    </row>
    <row r="21" spans="1:25" ht="32.25" customHeight="1" x14ac:dyDescent="0.25">
      <c r="A21" s="291" t="s">
        <v>186</v>
      </c>
      <c r="B21" s="2293">
        <f>SUM(B20:S20)</f>
        <v>725683.54949999996</v>
      </c>
      <c r="C21" s="2293"/>
      <c r="O21" s="1349"/>
      <c r="P21" s="1349"/>
      <c r="Q21" s="1349"/>
      <c r="R21" s="1349"/>
      <c r="T21" s="2294" t="s">
        <v>474</v>
      </c>
      <c r="U21" s="2295"/>
      <c r="V21" s="2297"/>
      <c r="W21" s="2298"/>
      <c r="X21" s="2299"/>
      <c r="Y21" s="2269"/>
    </row>
    <row r="22" spans="1:25" ht="35.25" customHeight="1" x14ac:dyDescent="0.25">
      <c r="A22" s="15"/>
      <c r="B22" s="2288" t="s">
        <v>49</v>
      </c>
      <c r="C22" s="2291">
        <v>90000</v>
      </c>
      <c r="D22" s="2291">
        <v>90000</v>
      </c>
      <c r="E22" s="2291">
        <v>364037</v>
      </c>
      <c r="F22" s="2291">
        <f>C22-D22+E22</f>
        <v>364037</v>
      </c>
      <c r="G22" s="1349"/>
      <c r="Q22" s="1349"/>
      <c r="R22" s="1349"/>
      <c r="T22" s="2251" t="s">
        <v>83</v>
      </c>
      <c r="U22" s="50" t="s">
        <v>60</v>
      </c>
      <c r="V22" s="2262">
        <v>283730</v>
      </c>
      <c r="W22" s="2262"/>
      <c r="X22" s="2262"/>
      <c r="Y22" s="2269"/>
    </row>
    <row r="23" spans="1:25" ht="39.75" customHeight="1" x14ac:dyDescent="0.25">
      <c r="A23" s="1349"/>
      <c r="B23" s="2289"/>
      <c r="C23" s="2292"/>
      <c r="D23" s="2292"/>
      <c r="E23" s="2292"/>
      <c r="F23" s="2292"/>
      <c r="G23" s="1349"/>
      <c r="Q23" s="1349"/>
      <c r="R23" s="1349"/>
      <c r="T23" s="2252"/>
      <c r="U23" s="50" t="s">
        <v>61</v>
      </c>
      <c r="V23" s="2262">
        <v>90000</v>
      </c>
      <c r="W23" s="2262"/>
      <c r="X23" s="2262"/>
      <c r="Y23" s="2269"/>
    </row>
    <row r="24" spans="1:25" ht="48" customHeight="1" x14ac:dyDescent="0.25">
      <c r="A24" s="1349"/>
      <c r="B24" s="2290"/>
      <c r="C24" s="290" t="s">
        <v>46</v>
      </c>
      <c r="D24" s="290" t="s">
        <v>50</v>
      </c>
      <c r="E24" s="290" t="s">
        <v>51</v>
      </c>
      <c r="F24" s="290" t="s">
        <v>52</v>
      </c>
      <c r="G24" s="1349"/>
      <c r="Q24" s="1349"/>
      <c r="R24" s="1349"/>
      <c r="T24" s="2235" t="s">
        <v>47</v>
      </c>
      <c r="U24" s="51" t="s">
        <v>62</v>
      </c>
      <c r="V24" s="2263">
        <f>V14+V16+V17-V18-V19-V20-V22+V23-V21</f>
        <v>28616.862500000047</v>
      </c>
      <c r="W24" s="2263"/>
      <c r="X24" s="2263"/>
      <c r="Y24" s="2269"/>
    </row>
    <row r="25" spans="1:25" ht="40.5" customHeight="1" x14ac:dyDescent="0.25">
      <c r="T25" s="2235"/>
      <c r="U25" s="51" t="s">
        <v>63</v>
      </c>
      <c r="V25" s="2262">
        <f>V15+V22-V23</f>
        <v>217499</v>
      </c>
      <c r="W25" s="2262"/>
      <c r="X25" s="2262"/>
    </row>
    <row r="26" spans="1:25" ht="36" customHeight="1" x14ac:dyDescent="0.25">
      <c r="K26" s="314"/>
    </row>
    <row r="28" spans="1:25" x14ac:dyDescent="0.25">
      <c r="J28" s="14" t="s">
        <v>139</v>
      </c>
    </row>
    <row r="32" spans="1:25" x14ac:dyDescent="0.25">
      <c r="I32" s="2280"/>
      <c r="J32" s="2280"/>
      <c r="K32" s="2280"/>
      <c r="L32" s="2280"/>
    </row>
    <row r="33" spans="9:12" x14ac:dyDescent="0.25">
      <c r="I33" s="1349"/>
      <c r="J33" s="1349"/>
      <c r="K33" s="2280"/>
      <c r="L33" s="2280"/>
    </row>
  </sheetData>
  <mergeCells count="62">
    <mergeCell ref="A1:Y1"/>
    <mergeCell ref="A2:Y2"/>
    <mergeCell ref="T3:Y3"/>
    <mergeCell ref="A4:A5"/>
    <mergeCell ref="B4:B5"/>
    <mergeCell ref="C4:D4"/>
    <mergeCell ref="E4:F4"/>
    <mergeCell ref="G4:H4"/>
    <mergeCell ref="I4:J4"/>
    <mergeCell ref="K4:L4"/>
    <mergeCell ref="Y4:Y5"/>
    <mergeCell ref="M4:N4"/>
    <mergeCell ref="O4:P4"/>
    <mergeCell ref="Q4:R4"/>
    <mergeCell ref="S4:T4"/>
    <mergeCell ref="U4:V4"/>
    <mergeCell ref="W4:X4"/>
    <mergeCell ref="B16:C16"/>
    <mergeCell ref="Q16:R16"/>
    <mergeCell ref="T16:U16"/>
    <mergeCell ref="V16:X16"/>
    <mergeCell ref="A12:B12"/>
    <mergeCell ref="B14:C14"/>
    <mergeCell ref="Q14:R14"/>
    <mergeCell ref="T14:T15"/>
    <mergeCell ref="V14:X14"/>
    <mergeCell ref="B15:C15"/>
    <mergeCell ref="Q15:R15"/>
    <mergeCell ref="V15:X15"/>
    <mergeCell ref="B17:C17"/>
    <mergeCell ref="Q17:R17"/>
    <mergeCell ref="T17:U17"/>
    <mergeCell ref="V17:X17"/>
    <mergeCell ref="B18:C18"/>
    <mergeCell ref="Q18:R18"/>
    <mergeCell ref="T18:U18"/>
    <mergeCell ref="V18:X18"/>
    <mergeCell ref="Y18:Y24"/>
    <mergeCell ref="B19:C19"/>
    <mergeCell ref="Q19:R19"/>
    <mergeCell ref="T19:T20"/>
    <mergeCell ref="V19:X19"/>
    <mergeCell ref="B20:C20"/>
    <mergeCell ref="B22:B24"/>
    <mergeCell ref="C22:C23"/>
    <mergeCell ref="D22:D23"/>
    <mergeCell ref="E22:E23"/>
    <mergeCell ref="F22:F23"/>
    <mergeCell ref="Q20:R20"/>
    <mergeCell ref="V20:X20"/>
    <mergeCell ref="B21:C21"/>
    <mergeCell ref="T21:U21"/>
    <mergeCell ref="V21:X21"/>
    <mergeCell ref="I32:J32"/>
    <mergeCell ref="K32:L32"/>
    <mergeCell ref="K33:L33"/>
    <mergeCell ref="T22:T23"/>
    <mergeCell ref="V22:X22"/>
    <mergeCell ref="V23:X23"/>
    <mergeCell ref="T24:T25"/>
    <mergeCell ref="V24:X24"/>
    <mergeCell ref="V25:X25"/>
  </mergeCells>
  <pageMargins left="0.15748031496063" right="0.15748031496063" top="0" bottom="0" header="0" footer="0"/>
  <pageSetup paperSize="9" scale="47" orientation="landscape" r:id="rId1"/>
</worksheet>
</file>

<file path=xl/worksheets/sheet2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43180E2-FF55-403F-BB3D-9E73C6CB4D26}">
  <sheetPr>
    <pageSetUpPr fitToPage="1"/>
  </sheetPr>
  <dimension ref="A1:Y33"/>
  <sheetViews>
    <sheetView topLeftCell="A4" zoomScale="70" zoomScaleNormal="70" zoomScaleSheetLayoutView="100" zoomScalePageLayoutView="68" workbookViewId="0">
      <selection activeCell="M23" sqref="M23"/>
    </sheetView>
  </sheetViews>
  <sheetFormatPr defaultColWidth="9.140625" defaultRowHeight="15" x14ac:dyDescent="0.25"/>
  <cols>
    <col min="1" max="1" width="18.28515625" style="14" customWidth="1"/>
    <col min="2" max="2" width="10.7109375" style="14" customWidth="1"/>
    <col min="3" max="3" width="12.28515625" style="14" customWidth="1"/>
    <col min="4" max="4" width="13.140625" style="14" bestFit="1" customWidth="1"/>
    <col min="5" max="5" width="12" style="14" customWidth="1"/>
    <col min="6" max="6" width="12.5703125" style="14" bestFit="1" customWidth="1"/>
    <col min="7" max="7" width="16" style="14" bestFit="1" customWidth="1"/>
    <col min="8" max="8" width="10.140625" style="14" bestFit="1" customWidth="1"/>
    <col min="9" max="9" width="10.5703125" style="14" bestFit="1" customWidth="1"/>
    <col min="10" max="10" width="10.5703125" style="14" customWidth="1"/>
    <col min="11" max="11" width="10.28515625" style="14" bestFit="1" customWidth="1"/>
    <col min="12" max="12" width="10.42578125" style="14" bestFit="1" customWidth="1"/>
    <col min="13" max="14" width="12" style="14" bestFit="1" customWidth="1"/>
    <col min="15" max="15" width="9" style="14" customWidth="1"/>
    <col min="16" max="16" width="12.85546875" style="14" bestFit="1" customWidth="1"/>
    <col min="17" max="18" width="9.42578125" style="14" customWidth="1"/>
    <col min="19" max="19" width="13.7109375" style="14" customWidth="1"/>
    <col min="20" max="20" width="12.140625" style="14" customWidth="1"/>
    <col min="21" max="21" width="21.7109375" style="14" customWidth="1"/>
    <col min="22" max="22" width="9.85546875" style="14" customWidth="1"/>
    <col min="23" max="23" width="10.140625" style="14" bestFit="1" customWidth="1"/>
    <col min="24" max="24" width="10.28515625" style="14" customWidth="1"/>
    <col min="25" max="25" width="15.7109375" style="14" customWidth="1"/>
    <col min="26" max="16384" width="9.140625" style="14"/>
  </cols>
  <sheetData>
    <row r="1" spans="1:25" ht="46.15" customHeight="1" x14ac:dyDescent="0.25">
      <c r="A1" s="2240" t="s">
        <v>148</v>
      </c>
      <c r="B1" s="2240"/>
      <c r="C1" s="2240"/>
      <c r="D1" s="2240"/>
      <c r="E1" s="2240"/>
      <c r="F1" s="2240"/>
      <c r="G1" s="2240"/>
      <c r="H1" s="2240"/>
      <c r="I1" s="2240"/>
      <c r="J1" s="2240"/>
      <c r="K1" s="2240"/>
      <c r="L1" s="2240"/>
      <c r="M1" s="2240"/>
      <c r="N1" s="2240"/>
      <c r="O1" s="2240"/>
      <c r="P1" s="2240"/>
      <c r="Q1" s="2240"/>
      <c r="R1" s="2240"/>
      <c r="S1" s="2240"/>
      <c r="T1" s="2240"/>
      <c r="U1" s="2240"/>
      <c r="V1" s="2240"/>
      <c r="W1" s="2240"/>
      <c r="X1" s="2240"/>
      <c r="Y1" s="2240"/>
    </row>
    <row r="2" spans="1:25" ht="21.6" customHeight="1" x14ac:dyDescent="0.25">
      <c r="A2" s="2241" t="s">
        <v>383</v>
      </c>
      <c r="B2" s="2241"/>
      <c r="C2" s="2241"/>
      <c r="D2" s="2241"/>
      <c r="E2" s="2241"/>
      <c r="F2" s="2241"/>
      <c r="G2" s="2241"/>
      <c r="H2" s="2241"/>
      <c r="I2" s="2241"/>
      <c r="J2" s="2241"/>
      <c r="K2" s="2241"/>
      <c r="L2" s="2241"/>
      <c r="M2" s="2241"/>
      <c r="N2" s="2241"/>
      <c r="O2" s="2241"/>
      <c r="P2" s="2241"/>
      <c r="Q2" s="2241"/>
      <c r="R2" s="2241"/>
      <c r="S2" s="2241"/>
      <c r="T2" s="2241"/>
      <c r="U2" s="2241"/>
      <c r="V2" s="2241"/>
      <c r="W2" s="2241"/>
      <c r="X2" s="2241"/>
      <c r="Y2" s="2241"/>
    </row>
    <row r="3" spans="1:25" ht="21" customHeight="1" x14ac:dyDescent="0.25">
      <c r="A3" s="1355"/>
      <c r="B3" s="1355"/>
      <c r="C3" s="1355"/>
      <c r="D3" s="1355"/>
      <c r="E3" s="1355"/>
      <c r="F3" s="1355"/>
      <c r="G3" s="1355"/>
      <c r="H3" s="1355"/>
      <c r="I3" s="1355"/>
      <c r="J3" s="1355"/>
      <c r="K3" s="1355"/>
      <c r="L3" s="1355"/>
      <c r="M3" s="1355"/>
      <c r="N3" s="1355"/>
      <c r="O3" s="1355"/>
      <c r="P3" s="1355"/>
      <c r="Q3" s="1355"/>
      <c r="R3" s="1355"/>
      <c r="S3" s="1355"/>
      <c r="T3" s="2242" t="s">
        <v>481</v>
      </c>
      <c r="U3" s="2242"/>
      <c r="V3" s="2242"/>
      <c r="W3" s="2242"/>
      <c r="X3" s="2242"/>
      <c r="Y3" s="2242"/>
    </row>
    <row r="4" spans="1:25" s="1355" customFormat="1" ht="18" customHeight="1" x14ac:dyDescent="0.25">
      <c r="A4" s="2243" t="s">
        <v>25</v>
      </c>
      <c r="B4" s="2243" t="s">
        <v>26</v>
      </c>
      <c r="C4" s="2244" t="s">
        <v>27</v>
      </c>
      <c r="D4" s="2244"/>
      <c r="E4" s="2244" t="s">
        <v>342</v>
      </c>
      <c r="F4" s="2244"/>
      <c r="G4" s="2244" t="s">
        <v>65</v>
      </c>
      <c r="H4" s="2244"/>
      <c r="I4" s="2244" t="s">
        <v>29</v>
      </c>
      <c r="J4" s="2244"/>
      <c r="K4" s="2245" t="s">
        <v>14</v>
      </c>
      <c r="L4" s="2246"/>
      <c r="M4" s="2245" t="s">
        <v>429</v>
      </c>
      <c r="N4" s="2246"/>
      <c r="O4" s="2245" t="s">
        <v>441</v>
      </c>
      <c r="P4" s="2246"/>
      <c r="Q4" s="2245" t="s">
        <v>114</v>
      </c>
      <c r="R4" s="2246"/>
      <c r="S4" s="2244" t="s">
        <v>35</v>
      </c>
      <c r="T4" s="2244"/>
      <c r="U4" s="2245" t="s">
        <v>17</v>
      </c>
      <c r="V4" s="2246"/>
      <c r="W4" s="2247" t="s">
        <v>36</v>
      </c>
      <c r="X4" s="2248"/>
      <c r="Y4" s="2238" t="s">
        <v>30</v>
      </c>
    </row>
    <row r="5" spans="1:25" s="1355" customFormat="1" ht="25.5" customHeight="1" x14ac:dyDescent="0.25">
      <c r="A5" s="2243"/>
      <c r="B5" s="2243"/>
      <c r="C5" s="1354" t="s">
        <v>42</v>
      </c>
      <c r="D5" s="1354" t="s">
        <v>43</v>
      </c>
      <c r="E5" s="1354" t="s">
        <v>42</v>
      </c>
      <c r="F5" s="1354" t="s">
        <v>43</v>
      </c>
      <c r="G5" s="1354" t="s">
        <v>42</v>
      </c>
      <c r="H5" s="1354" t="s">
        <v>43</v>
      </c>
      <c r="I5" s="1354" t="s">
        <v>42</v>
      </c>
      <c r="J5" s="1354" t="s">
        <v>43</v>
      </c>
      <c r="K5" s="1354" t="s">
        <v>42</v>
      </c>
      <c r="L5" s="1354" t="s">
        <v>43</v>
      </c>
      <c r="M5" s="1354" t="s">
        <v>42</v>
      </c>
      <c r="N5" s="1354" t="s">
        <v>43</v>
      </c>
      <c r="O5" s="1354" t="s">
        <v>42</v>
      </c>
      <c r="P5" s="1354" t="s">
        <v>43</v>
      </c>
      <c r="Q5" s="1354" t="s">
        <v>42</v>
      </c>
      <c r="R5" s="1354" t="s">
        <v>43</v>
      </c>
      <c r="S5" s="33" t="s">
        <v>42</v>
      </c>
      <c r="T5" s="33" t="s">
        <v>43</v>
      </c>
      <c r="U5" s="30" t="s">
        <v>42</v>
      </c>
      <c r="V5" s="30" t="s">
        <v>43</v>
      </c>
      <c r="W5" s="30" t="s">
        <v>42</v>
      </c>
      <c r="X5" s="30" t="s">
        <v>43</v>
      </c>
      <c r="Y5" s="2239"/>
    </row>
    <row r="6" spans="1:25" ht="34.5" customHeight="1" x14ac:dyDescent="0.25">
      <c r="A6" s="12">
        <v>1409935200</v>
      </c>
      <c r="B6" s="1353" t="s">
        <v>71</v>
      </c>
      <c r="C6" s="1351">
        <v>40418</v>
      </c>
      <c r="D6" s="1350">
        <f t="shared" ref="D6:D11" si="0">0.9725*C6</f>
        <v>39306.505000000005</v>
      </c>
      <c r="E6" s="1351"/>
      <c r="F6" s="1350">
        <f>67.1*E6</f>
        <v>0</v>
      </c>
      <c r="G6" s="1351">
        <v>60</v>
      </c>
      <c r="H6" s="1351">
        <f>28.2*G6</f>
        <v>1692</v>
      </c>
      <c r="I6" s="1351">
        <v>1240</v>
      </c>
      <c r="J6" s="1351">
        <f>18.5*I6</f>
        <v>22940</v>
      </c>
      <c r="K6" s="1351"/>
      <c r="L6" s="1350">
        <f>28.2368*K6</f>
        <v>0</v>
      </c>
      <c r="M6" s="1351"/>
      <c r="N6" s="1350">
        <f>M6*47.6525</f>
        <v>0</v>
      </c>
      <c r="O6" s="1351"/>
      <c r="P6" s="1350">
        <f>O6*8.9</f>
        <v>0</v>
      </c>
      <c r="Q6" s="1350"/>
      <c r="R6" s="1350">
        <f>241*Q6</f>
        <v>0</v>
      </c>
      <c r="S6" s="1351"/>
      <c r="T6" s="1351">
        <f>241*S6</f>
        <v>0</v>
      </c>
      <c r="U6" s="1351">
        <v>10</v>
      </c>
      <c r="V6" s="1351">
        <f>332*U6</f>
        <v>3320</v>
      </c>
      <c r="W6" s="1351"/>
      <c r="X6" s="19">
        <f>W6*100</f>
        <v>0</v>
      </c>
      <c r="Y6" s="20">
        <f t="shared" ref="Y6:Y12" si="1">D6+F6+H6+J6+L6+N6+P6+R6+T6+V6+X6</f>
        <v>67258.505000000005</v>
      </c>
    </row>
    <row r="7" spans="1:25" ht="31.5" customHeight="1" x14ac:dyDescent="0.25">
      <c r="A7" s="12">
        <v>1984225578</v>
      </c>
      <c r="B7" s="1353" t="s">
        <v>72</v>
      </c>
      <c r="C7" s="1351">
        <v>15408</v>
      </c>
      <c r="D7" s="1350">
        <f t="shared" si="0"/>
        <v>14984.28</v>
      </c>
      <c r="E7" s="1351"/>
      <c r="F7" s="1351">
        <f t="shared" ref="F7:F11" si="2">67.1*E7</f>
        <v>0</v>
      </c>
      <c r="G7" s="1351"/>
      <c r="H7" s="1351">
        <f t="shared" ref="H7:H11" si="3">28.2*G7</f>
        <v>0</v>
      </c>
      <c r="I7" s="1351"/>
      <c r="J7" s="1351">
        <f t="shared" ref="J7:J11" si="4">18.5*I7</f>
        <v>0</v>
      </c>
      <c r="K7" s="1351"/>
      <c r="L7" s="1350">
        <f t="shared" ref="L7:L11" si="5">28.2368*K7</f>
        <v>0</v>
      </c>
      <c r="M7" s="1351"/>
      <c r="N7" s="1350">
        <f t="shared" ref="N7:N11" si="6">M7*47.6525</f>
        <v>0</v>
      </c>
      <c r="O7" s="1351"/>
      <c r="P7" s="1350">
        <f t="shared" ref="P7:P11" si="7">O7*8.9</f>
        <v>0</v>
      </c>
      <c r="Q7" s="1350"/>
      <c r="R7" s="1350">
        <f t="shared" ref="R7:R11" si="8">241*Q7</f>
        <v>0</v>
      </c>
      <c r="S7" s="1351"/>
      <c r="T7" s="1351">
        <f t="shared" ref="T7:T10" si="9">241*S7</f>
        <v>0</v>
      </c>
      <c r="U7" s="1351">
        <v>6</v>
      </c>
      <c r="V7" s="1351">
        <f t="shared" ref="V7:V11" si="10">332*U7</f>
        <v>1992</v>
      </c>
      <c r="W7" s="1351"/>
      <c r="X7" s="19">
        <f t="shared" ref="X7:X11" si="11">W7*100</f>
        <v>0</v>
      </c>
      <c r="Y7" s="20">
        <f t="shared" si="1"/>
        <v>16976.28</v>
      </c>
    </row>
    <row r="8" spans="1:25" ht="35.25" customHeight="1" x14ac:dyDescent="0.25">
      <c r="A8" s="12">
        <v>1967020280</v>
      </c>
      <c r="B8" s="1353" t="s">
        <v>427</v>
      </c>
      <c r="C8" s="1351">
        <v>27750</v>
      </c>
      <c r="D8" s="1350">
        <f t="shared" si="0"/>
        <v>26986.875</v>
      </c>
      <c r="E8" s="1351"/>
      <c r="F8" s="1351">
        <f t="shared" si="2"/>
        <v>0</v>
      </c>
      <c r="G8" s="1351">
        <v>10</v>
      </c>
      <c r="H8" s="1350">
        <f t="shared" si="3"/>
        <v>282</v>
      </c>
      <c r="I8" s="1351">
        <v>650</v>
      </c>
      <c r="J8" s="1351">
        <f t="shared" si="4"/>
        <v>12025</v>
      </c>
      <c r="K8" s="1351"/>
      <c r="L8" s="1350">
        <f t="shared" si="5"/>
        <v>0</v>
      </c>
      <c r="M8" s="1351"/>
      <c r="N8" s="1350">
        <f t="shared" si="6"/>
        <v>0</v>
      </c>
      <c r="O8" s="1351"/>
      <c r="P8" s="1350">
        <f t="shared" si="7"/>
        <v>0</v>
      </c>
      <c r="Q8" s="1350"/>
      <c r="R8" s="1350">
        <f t="shared" si="8"/>
        <v>0</v>
      </c>
      <c r="S8" s="1351"/>
      <c r="T8" s="1351">
        <f t="shared" si="9"/>
        <v>0</v>
      </c>
      <c r="U8" s="1351">
        <v>2</v>
      </c>
      <c r="V8" s="1351">
        <f t="shared" si="10"/>
        <v>664</v>
      </c>
      <c r="W8" s="1351"/>
      <c r="X8" s="19">
        <f t="shared" si="11"/>
        <v>0</v>
      </c>
      <c r="Y8" s="20">
        <f t="shared" si="1"/>
        <v>39957.875</v>
      </c>
    </row>
    <row r="9" spans="1:25" ht="38.25" customHeight="1" x14ac:dyDescent="0.25">
      <c r="A9" s="12">
        <v>1984225580</v>
      </c>
      <c r="B9" s="1353" t="s">
        <v>75</v>
      </c>
      <c r="C9" s="1351">
        <v>34738</v>
      </c>
      <c r="D9" s="1350">
        <f t="shared" si="0"/>
        <v>33782.705000000002</v>
      </c>
      <c r="E9" s="1351"/>
      <c r="F9" s="1351">
        <f t="shared" si="2"/>
        <v>0</v>
      </c>
      <c r="G9" s="1351">
        <v>100</v>
      </c>
      <c r="H9" s="1351">
        <f t="shared" si="3"/>
        <v>2820</v>
      </c>
      <c r="I9" s="1351">
        <v>360</v>
      </c>
      <c r="J9" s="1351">
        <f t="shared" si="4"/>
        <v>6660</v>
      </c>
      <c r="K9" s="1351"/>
      <c r="L9" s="1350">
        <f t="shared" si="5"/>
        <v>0</v>
      </c>
      <c r="M9" s="1351"/>
      <c r="N9" s="1350">
        <f t="shared" si="6"/>
        <v>0</v>
      </c>
      <c r="O9" s="1351"/>
      <c r="P9" s="1350">
        <f t="shared" si="7"/>
        <v>0</v>
      </c>
      <c r="Q9" s="1350"/>
      <c r="R9" s="1350">
        <f t="shared" si="8"/>
        <v>0</v>
      </c>
      <c r="S9" s="1351"/>
      <c r="T9" s="1351">
        <f t="shared" si="9"/>
        <v>0</v>
      </c>
      <c r="U9" s="1351"/>
      <c r="V9" s="1351">
        <f t="shared" si="10"/>
        <v>0</v>
      </c>
      <c r="W9" s="1351"/>
      <c r="X9" s="19">
        <f t="shared" si="11"/>
        <v>0</v>
      </c>
      <c r="Y9" s="20">
        <f t="shared" si="1"/>
        <v>43262.705000000002</v>
      </c>
    </row>
    <row r="10" spans="1:25" ht="35.25" customHeight="1" x14ac:dyDescent="0.25">
      <c r="A10" s="12">
        <v>1409935199</v>
      </c>
      <c r="C10" s="1351"/>
      <c r="D10" s="1350">
        <f t="shared" si="0"/>
        <v>0</v>
      </c>
      <c r="E10" s="1351"/>
      <c r="F10" s="1351">
        <f t="shared" si="2"/>
        <v>0</v>
      </c>
      <c r="G10" s="1351"/>
      <c r="H10" s="1351">
        <f t="shared" si="3"/>
        <v>0</v>
      </c>
      <c r="I10" s="1351"/>
      <c r="J10" s="1351">
        <f t="shared" si="4"/>
        <v>0</v>
      </c>
      <c r="K10" s="1351"/>
      <c r="L10" s="1350">
        <f t="shared" si="5"/>
        <v>0</v>
      </c>
      <c r="M10" s="1351"/>
      <c r="N10" s="1350">
        <f t="shared" si="6"/>
        <v>0</v>
      </c>
      <c r="O10" s="1351"/>
      <c r="P10" s="1350">
        <f t="shared" si="7"/>
        <v>0</v>
      </c>
      <c r="Q10" s="1350"/>
      <c r="R10" s="1350">
        <f t="shared" si="8"/>
        <v>0</v>
      </c>
      <c r="S10" s="1351"/>
      <c r="T10" s="1351">
        <f t="shared" si="9"/>
        <v>0</v>
      </c>
      <c r="U10" s="1351"/>
      <c r="V10" s="1351">
        <f t="shared" si="10"/>
        <v>0</v>
      </c>
      <c r="W10" s="1351"/>
      <c r="X10" s="19">
        <f t="shared" si="11"/>
        <v>0</v>
      </c>
      <c r="Y10" s="20">
        <f t="shared" si="1"/>
        <v>0</v>
      </c>
    </row>
    <row r="11" spans="1:25" ht="37.5" customHeight="1" x14ac:dyDescent="0.25">
      <c r="A11" s="12"/>
      <c r="B11" s="1352"/>
      <c r="C11" s="1351"/>
      <c r="D11" s="1350">
        <f t="shared" si="0"/>
        <v>0</v>
      </c>
      <c r="E11" s="1351"/>
      <c r="F11" s="1351">
        <f t="shared" si="2"/>
        <v>0</v>
      </c>
      <c r="G11" s="1351"/>
      <c r="H11" s="1351">
        <f t="shared" si="3"/>
        <v>0</v>
      </c>
      <c r="I11" s="1351"/>
      <c r="J11" s="1351">
        <f t="shared" si="4"/>
        <v>0</v>
      </c>
      <c r="K11" s="1351"/>
      <c r="L11" s="1350">
        <f t="shared" si="5"/>
        <v>0</v>
      </c>
      <c r="M11" s="1351"/>
      <c r="N11" s="1350">
        <f t="shared" si="6"/>
        <v>0</v>
      </c>
      <c r="O11" s="1351"/>
      <c r="P11" s="1350">
        <f t="shared" si="7"/>
        <v>0</v>
      </c>
      <c r="Q11" s="1350"/>
      <c r="R11" s="1350">
        <f t="shared" si="8"/>
        <v>0</v>
      </c>
      <c r="S11" s="1351"/>
      <c r="T11" s="1351">
        <f>341*S11</f>
        <v>0</v>
      </c>
      <c r="U11" s="1351"/>
      <c r="V11" s="1351">
        <f t="shared" si="10"/>
        <v>0</v>
      </c>
      <c r="W11" s="1351"/>
      <c r="X11" s="19">
        <f t="shared" si="11"/>
        <v>0</v>
      </c>
      <c r="Y11" s="20">
        <f t="shared" si="1"/>
        <v>0</v>
      </c>
    </row>
    <row r="12" spans="1:25" ht="29.25" customHeight="1" x14ac:dyDescent="0.25">
      <c r="A12" s="2235" t="s">
        <v>31</v>
      </c>
      <c r="B12" s="2235"/>
      <c r="C12" s="18">
        <f t="shared" ref="C12:X12" si="12">SUM(C6:C11)</f>
        <v>118314</v>
      </c>
      <c r="D12" s="18">
        <f t="shared" si="12"/>
        <v>115060.36500000001</v>
      </c>
      <c r="E12" s="18">
        <f t="shared" si="12"/>
        <v>0</v>
      </c>
      <c r="F12" s="18">
        <f t="shared" si="12"/>
        <v>0</v>
      </c>
      <c r="G12" s="18">
        <f t="shared" si="12"/>
        <v>170</v>
      </c>
      <c r="H12" s="18">
        <f t="shared" si="12"/>
        <v>4794</v>
      </c>
      <c r="I12" s="18">
        <f t="shared" si="12"/>
        <v>2250</v>
      </c>
      <c r="J12" s="18">
        <f t="shared" si="12"/>
        <v>41625</v>
      </c>
      <c r="K12" s="18">
        <f t="shared" si="12"/>
        <v>0</v>
      </c>
      <c r="L12" s="18">
        <f t="shared" si="12"/>
        <v>0</v>
      </c>
      <c r="M12" s="18">
        <f t="shared" si="12"/>
        <v>0</v>
      </c>
      <c r="N12" s="23">
        <f t="shared" si="12"/>
        <v>0</v>
      </c>
      <c r="O12" s="18">
        <f t="shared" si="12"/>
        <v>0</v>
      </c>
      <c r="P12" s="23">
        <f t="shared" si="12"/>
        <v>0</v>
      </c>
      <c r="Q12" s="23">
        <f t="shared" si="12"/>
        <v>0</v>
      </c>
      <c r="R12" s="23">
        <f>SUM(R6:R11)</f>
        <v>0</v>
      </c>
      <c r="S12" s="23">
        <f>SUM(S6:S11)</f>
        <v>0</v>
      </c>
      <c r="T12" s="18">
        <f t="shared" si="12"/>
        <v>0</v>
      </c>
      <c r="U12" s="18">
        <f t="shared" si="12"/>
        <v>18</v>
      </c>
      <c r="V12" s="18">
        <f t="shared" si="12"/>
        <v>5976</v>
      </c>
      <c r="W12" s="18">
        <f t="shared" si="12"/>
        <v>0</v>
      </c>
      <c r="X12" s="18">
        <f t="shared" si="12"/>
        <v>0</v>
      </c>
      <c r="Y12" s="20">
        <f t="shared" si="1"/>
        <v>167455.36499999999</v>
      </c>
    </row>
    <row r="14" spans="1:25" ht="43.5" customHeight="1" x14ac:dyDescent="0.25">
      <c r="A14" s="30" t="s">
        <v>32</v>
      </c>
      <c r="B14" s="2236" t="s">
        <v>27</v>
      </c>
      <c r="C14" s="2236"/>
      <c r="D14" s="30" t="s">
        <v>333</v>
      </c>
      <c r="E14" s="30" t="s">
        <v>65</v>
      </c>
      <c r="F14" s="30" t="s">
        <v>34</v>
      </c>
      <c r="G14" s="30" t="s">
        <v>14</v>
      </c>
      <c r="H14" s="469" t="s">
        <v>173</v>
      </c>
      <c r="I14" s="30" t="s">
        <v>17</v>
      </c>
      <c r="J14" s="1359" t="s">
        <v>174</v>
      </c>
      <c r="K14" s="30" t="s">
        <v>36</v>
      </c>
      <c r="L14" s="1359" t="s">
        <v>403</v>
      </c>
      <c r="M14" s="30" t="s">
        <v>429</v>
      </c>
      <c r="N14" s="30" t="s">
        <v>442</v>
      </c>
      <c r="O14" s="1359" t="s">
        <v>114</v>
      </c>
      <c r="P14" s="30" t="s">
        <v>70</v>
      </c>
      <c r="Q14" s="2300" t="s">
        <v>479</v>
      </c>
      <c r="R14" s="2301"/>
      <c r="S14" s="1359" t="s">
        <v>401</v>
      </c>
      <c r="T14" s="2235" t="s">
        <v>46</v>
      </c>
      <c r="U14" s="1353" t="s">
        <v>176</v>
      </c>
      <c r="V14" s="2260">
        <v>28617</v>
      </c>
      <c r="W14" s="2268"/>
      <c r="X14" s="2261"/>
    </row>
    <row r="15" spans="1:25" ht="22.5" customHeight="1" x14ac:dyDescent="0.25">
      <c r="A15" s="100" t="s">
        <v>38</v>
      </c>
      <c r="B15" s="2260">
        <v>284991</v>
      </c>
      <c r="C15" s="2261"/>
      <c r="D15" s="1356">
        <v>130</v>
      </c>
      <c r="E15" s="1356">
        <v>1840</v>
      </c>
      <c r="F15" s="1356">
        <v>15390</v>
      </c>
      <c r="G15" s="1356">
        <v>1000</v>
      </c>
      <c r="H15" s="1356">
        <v>161</v>
      </c>
      <c r="I15" s="1356">
        <v>76</v>
      </c>
      <c r="J15" s="1356">
        <v>4</v>
      </c>
      <c r="K15" s="1356">
        <v>71</v>
      </c>
      <c r="L15" s="1356">
        <v>0</v>
      </c>
      <c r="M15" s="1356">
        <v>0</v>
      </c>
      <c r="N15" s="1356">
        <v>0</v>
      </c>
      <c r="O15" s="1356">
        <v>0</v>
      </c>
      <c r="P15" s="1356">
        <v>100</v>
      </c>
      <c r="Q15" s="2260">
        <v>10</v>
      </c>
      <c r="R15" s="2261"/>
      <c r="S15" s="1353">
        <v>2</v>
      </c>
      <c r="T15" s="2235"/>
      <c r="U15" s="1353" t="s">
        <v>64</v>
      </c>
      <c r="V15" s="2262">
        <v>217499</v>
      </c>
      <c r="W15" s="2262"/>
      <c r="X15" s="2262"/>
    </row>
    <row r="16" spans="1:25" ht="24.75" customHeight="1" x14ac:dyDescent="0.25">
      <c r="A16" s="100" t="s">
        <v>39</v>
      </c>
      <c r="B16" s="2260">
        <v>20779</v>
      </c>
      <c r="C16" s="2261"/>
      <c r="D16" s="1356"/>
      <c r="E16" s="1356"/>
      <c r="F16" s="1356"/>
      <c r="G16" s="1356"/>
      <c r="H16" s="1356"/>
      <c r="I16" s="1356"/>
      <c r="J16" s="1356"/>
      <c r="K16" s="1356"/>
      <c r="L16" s="1356"/>
      <c r="M16" s="1356"/>
      <c r="N16" s="1356"/>
      <c r="O16" s="1356"/>
      <c r="P16" s="1356"/>
      <c r="Q16" s="2262"/>
      <c r="R16" s="2262"/>
      <c r="S16" s="1356"/>
      <c r="T16" s="2254" t="s">
        <v>55</v>
      </c>
      <c r="U16" s="2254"/>
      <c r="V16" s="2267">
        <f>Y12</f>
        <v>167455.36499999999</v>
      </c>
      <c r="W16" s="2267"/>
      <c r="X16" s="2262"/>
    </row>
    <row r="17" spans="1:25" ht="28.5" customHeight="1" x14ac:dyDescent="0.25">
      <c r="A17" s="101" t="s">
        <v>44</v>
      </c>
      <c r="B17" s="2260">
        <v>99355</v>
      </c>
      <c r="C17" s="2261"/>
      <c r="D17" s="1356"/>
      <c r="E17" s="1356"/>
      <c r="F17" s="1356"/>
      <c r="G17" s="1356"/>
      <c r="H17" s="1356"/>
      <c r="I17" s="1356"/>
      <c r="J17" s="1356"/>
      <c r="K17" s="1356"/>
      <c r="L17" s="1356"/>
      <c r="M17" s="1356"/>
      <c r="N17" s="1356"/>
      <c r="O17" s="1356"/>
      <c r="P17" s="1356"/>
      <c r="Q17" s="2225"/>
      <c r="R17" s="2225"/>
      <c r="S17" s="1352"/>
      <c r="T17" s="2294" t="s">
        <v>473</v>
      </c>
      <c r="U17" s="2295"/>
      <c r="V17" s="2296"/>
      <c r="W17" s="2296"/>
      <c r="X17" s="2296"/>
    </row>
    <row r="18" spans="1:25" ht="27" customHeight="1" x14ac:dyDescent="0.25">
      <c r="A18" s="100" t="s">
        <v>40</v>
      </c>
      <c r="B18" s="2264">
        <f>C12</f>
        <v>118314</v>
      </c>
      <c r="C18" s="2261"/>
      <c r="D18" s="1358">
        <f>E12</f>
        <v>0</v>
      </c>
      <c r="E18" s="1358">
        <f>G12</f>
        <v>170</v>
      </c>
      <c r="F18" s="1358">
        <f>I12</f>
        <v>2250</v>
      </c>
      <c r="G18" s="1358">
        <f>K12</f>
        <v>0</v>
      </c>
      <c r="H18" s="1356"/>
      <c r="I18" s="1358">
        <f>U12</f>
        <v>18</v>
      </c>
      <c r="J18" s="1356"/>
      <c r="K18" s="1358">
        <f>W12</f>
        <v>0</v>
      </c>
      <c r="L18" s="1356"/>
      <c r="M18" s="1358">
        <f>M12</f>
        <v>0</v>
      </c>
      <c r="N18" s="1358">
        <f>O12</f>
        <v>0</v>
      </c>
      <c r="O18" s="1357">
        <f>Q12</f>
        <v>0</v>
      </c>
      <c r="P18" s="1358"/>
      <c r="Q18" s="2262"/>
      <c r="R18" s="2262"/>
      <c r="S18" s="1353"/>
      <c r="T18" s="2254" t="s">
        <v>57</v>
      </c>
      <c r="U18" s="2254"/>
      <c r="V18" s="2262">
        <v>1520</v>
      </c>
      <c r="W18" s="2262"/>
      <c r="X18" s="2262"/>
      <c r="Y18" s="2269"/>
    </row>
    <row r="19" spans="1:25" ht="25.5" customHeight="1" x14ac:dyDescent="0.25">
      <c r="A19" s="100" t="s">
        <v>41</v>
      </c>
      <c r="B19" s="2260">
        <f>B15+B16+B17-B18</f>
        <v>286811</v>
      </c>
      <c r="C19" s="2261"/>
      <c r="D19" s="1356">
        <f>D15+D16+D17-D18</f>
        <v>130</v>
      </c>
      <c r="E19" s="1356">
        <f t="shared" ref="E19:N19" si="13">E15+E16+E17-E18</f>
        <v>1670</v>
      </c>
      <c r="F19" s="1356">
        <f t="shared" si="13"/>
        <v>13140</v>
      </c>
      <c r="G19" s="1356">
        <f t="shared" si="13"/>
        <v>1000</v>
      </c>
      <c r="H19" s="1356">
        <f t="shared" si="13"/>
        <v>161</v>
      </c>
      <c r="I19" s="1356">
        <f t="shared" si="13"/>
        <v>58</v>
      </c>
      <c r="J19" s="1356">
        <f t="shared" si="13"/>
        <v>4</v>
      </c>
      <c r="K19" s="1356">
        <f t="shared" si="13"/>
        <v>71</v>
      </c>
      <c r="L19" s="1356">
        <f t="shared" si="13"/>
        <v>0</v>
      </c>
      <c r="M19" s="1356">
        <f t="shared" si="13"/>
        <v>0</v>
      </c>
      <c r="N19" s="1356">
        <f t="shared" si="13"/>
        <v>0</v>
      </c>
      <c r="O19" s="1356">
        <f>O15+O16+O17-O18</f>
        <v>0</v>
      </c>
      <c r="P19" s="1356">
        <f t="shared" ref="P19:Q19" si="14">P15+P16+P17-P18</f>
        <v>100</v>
      </c>
      <c r="Q19" s="2260">
        <f t="shared" si="14"/>
        <v>10</v>
      </c>
      <c r="R19" s="2261"/>
      <c r="S19" s="1353">
        <f>S15+S16-S17-S18</f>
        <v>2</v>
      </c>
      <c r="T19" s="2256" t="s">
        <v>48</v>
      </c>
      <c r="U19" s="49" t="s">
        <v>58</v>
      </c>
      <c r="V19" s="2262">
        <v>364037</v>
      </c>
      <c r="W19" s="2262"/>
      <c r="X19" s="2262"/>
      <c r="Y19" s="2269"/>
    </row>
    <row r="20" spans="1:25" ht="23.25" customHeight="1" x14ac:dyDescent="0.25">
      <c r="A20" s="289" t="s">
        <v>187</v>
      </c>
      <c r="B20" s="2286">
        <f>B19*0.9625</f>
        <v>276055.58750000002</v>
      </c>
      <c r="C20" s="2287"/>
      <c r="D20" s="290">
        <f>D19*66.41</f>
        <v>8633.2999999999993</v>
      </c>
      <c r="E20" s="290">
        <f>27.9368*E19</f>
        <v>46654.456000000006</v>
      </c>
      <c r="F20" s="290">
        <f>18.31*F19</f>
        <v>240593.4</v>
      </c>
      <c r="G20" s="290">
        <f>27.9368*G19</f>
        <v>27936.800000000003</v>
      </c>
      <c r="H20" s="290">
        <f>241*H19</f>
        <v>38801</v>
      </c>
      <c r="I20" s="290">
        <f>323*I19</f>
        <v>18734</v>
      </c>
      <c r="J20" s="290">
        <f>241*J19</f>
        <v>964</v>
      </c>
      <c r="K20" s="290">
        <f>K19*100</f>
        <v>7100</v>
      </c>
      <c r="L20" s="290">
        <f>241*L19</f>
        <v>0</v>
      </c>
      <c r="M20" s="290">
        <f>47.1625*M19</f>
        <v>0</v>
      </c>
      <c r="N20" s="290">
        <f>N19*8.81</f>
        <v>0</v>
      </c>
      <c r="O20" s="290">
        <f>241*O19</f>
        <v>0</v>
      </c>
      <c r="P20" s="290">
        <f>P19*48.2</f>
        <v>4820</v>
      </c>
      <c r="Q20" s="2286">
        <f>470*Q19</f>
        <v>4700</v>
      </c>
      <c r="R20" s="2287"/>
      <c r="S20" s="290">
        <f>341*S19</f>
        <v>682</v>
      </c>
      <c r="T20" s="2257"/>
      <c r="U20" s="49" t="s">
        <v>59</v>
      </c>
      <c r="V20" s="2262"/>
      <c r="W20" s="2262"/>
      <c r="X20" s="2262"/>
      <c r="Y20" s="2269"/>
    </row>
    <row r="21" spans="1:25" ht="32.25" customHeight="1" x14ac:dyDescent="0.25">
      <c r="A21" s="291" t="s">
        <v>186</v>
      </c>
      <c r="B21" s="2293">
        <f>SUM(B20:S20)</f>
        <v>675674.54350000003</v>
      </c>
      <c r="C21" s="2293"/>
      <c r="O21" s="1360"/>
      <c r="P21" s="1360"/>
      <c r="Q21" s="1360"/>
      <c r="R21" s="1360"/>
      <c r="T21" s="2294" t="s">
        <v>474</v>
      </c>
      <c r="U21" s="2295"/>
      <c r="V21" s="2297"/>
      <c r="W21" s="2298"/>
      <c r="X21" s="2299"/>
      <c r="Y21" s="2269"/>
    </row>
    <row r="22" spans="1:25" ht="35.25" customHeight="1" x14ac:dyDescent="0.25">
      <c r="A22" s="15"/>
      <c r="B22" s="2288" t="s">
        <v>49</v>
      </c>
      <c r="C22" s="2291">
        <v>364037</v>
      </c>
      <c r="D22" s="2291">
        <v>364037</v>
      </c>
      <c r="E22" s="2291">
        <v>20000</v>
      </c>
      <c r="F22" s="2291">
        <f>C22-D22+E22</f>
        <v>20000</v>
      </c>
      <c r="G22" s="1360"/>
      <c r="Q22" s="1360"/>
      <c r="R22" s="1360"/>
      <c r="T22" s="2251" t="s">
        <v>83</v>
      </c>
      <c r="U22" s="50" t="s">
        <v>60</v>
      </c>
      <c r="V22" s="2262">
        <v>170750</v>
      </c>
      <c r="W22" s="2262"/>
      <c r="X22" s="2262"/>
      <c r="Y22" s="2269"/>
    </row>
    <row r="23" spans="1:25" ht="39.75" customHeight="1" x14ac:dyDescent="0.25">
      <c r="A23" s="1360"/>
      <c r="B23" s="2289"/>
      <c r="C23" s="2292"/>
      <c r="D23" s="2292"/>
      <c r="E23" s="2292"/>
      <c r="F23" s="2292"/>
      <c r="G23" s="1360"/>
      <c r="Q23" s="1360"/>
      <c r="R23" s="1360"/>
      <c r="T23" s="2252"/>
      <c r="U23" s="50" t="s">
        <v>61</v>
      </c>
      <c r="V23" s="2262">
        <v>364037</v>
      </c>
      <c r="W23" s="2262"/>
      <c r="X23" s="2262"/>
      <c r="Y23" s="2269"/>
    </row>
    <row r="24" spans="1:25" ht="48" customHeight="1" x14ac:dyDescent="0.25">
      <c r="A24" s="1360"/>
      <c r="B24" s="2290"/>
      <c r="C24" s="290" t="s">
        <v>46</v>
      </c>
      <c r="D24" s="290" t="s">
        <v>50</v>
      </c>
      <c r="E24" s="290" t="s">
        <v>51</v>
      </c>
      <c r="F24" s="290" t="s">
        <v>52</v>
      </c>
      <c r="G24" s="1360"/>
      <c r="Q24" s="1360"/>
      <c r="R24" s="1360"/>
      <c r="T24" s="2235" t="s">
        <v>47</v>
      </c>
      <c r="U24" s="51" t="s">
        <v>62</v>
      </c>
      <c r="V24" s="2263">
        <f>V14+V16+V17-V18-V19-V20-V22+V23-V21</f>
        <v>23802.364999999991</v>
      </c>
      <c r="W24" s="2263"/>
      <c r="X24" s="2263"/>
      <c r="Y24" s="2269"/>
    </row>
    <row r="25" spans="1:25" ht="40.5" customHeight="1" x14ac:dyDescent="0.25">
      <c r="T25" s="2235"/>
      <c r="U25" s="51" t="s">
        <v>63</v>
      </c>
      <c r="V25" s="2262">
        <f>V15+V22-V23</f>
        <v>24212</v>
      </c>
      <c r="W25" s="2262"/>
      <c r="X25" s="2262"/>
    </row>
    <row r="26" spans="1:25" ht="36" customHeight="1" x14ac:dyDescent="0.25">
      <c r="K26" s="314"/>
    </row>
    <row r="28" spans="1:25" x14ac:dyDescent="0.25">
      <c r="J28" s="14" t="s">
        <v>139</v>
      </c>
    </row>
    <row r="32" spans="1:25" x14ac:dyDescent="0.25">
      <c r="I32" s="2280"/>
      <c r="J32" s="2280"/>
      <c r="K32" s="2280"/>
      <c r="L32" s="2280"/>
    </row>
    <row r="33" spans="9:12" x14ac:dyDescent="0.25">
      <c r="I33" s="1360"/>
      <c r="J33" s="1360"/>
      <c r="K33" s="2280"/>
      <c r="L33" s="2280"/>
    </row>
  </sheetData>
  <mergeCells count="62">
    <mergeCell ref="A1:Y1"/>
    <mergeCell ref="A2:Y2"/>
    <mergeCell ref="T3:Y3"/>
    <mergeCell ref="A4:A5"/>
    <mergeCell ref="B4:B5"/>
    <mergeCell ref="C4:D4"/>
    <mergeCell ref="E4:F4"/>
    <mergeCell ref="G4:H4"/>
    <mergeCell ref="I4:J4"/>
    <mergeCell ref="K4:L4"/>
    <mergeCell ref="Y4:Y5"/>
    <mergeCell ref="M4:N4"/>
    <mergeCell ref="O4:P4"/>
    <mergeCell ref="Q4:R4"/>
    <mergeCell ref="S4:T4"/>
    <mergeCell ref="U4:V4"/>
    <mergeCell ref="W4:X4"/>
    <mergeCell ref="B16:C16"/>
    <mergeCell ref="Q16:R16"/>
    <mergeCell ref="T16:U16"/>
    <mergeCell ref="V16:X16"/>
    <mergeCell ref="A12:B12"/>
    <mergeCell ref="B14:C14"/>
    <mergeCell ref="Q14:R14"/>
    <mergeCell ref="T14:T15"/>
    <mergeCell ref="V14:X14"/>
    <mergeCell ref="B15:C15"/>
    <mergeCell ref="Q15:R15"/>
    <mergeCell ref="V15:X15"/>
    <mergeCell ref="B17:C17"/>
    <mergeCell ref="Q17:R17"/>
    <mergeCell ref="T17:U17"/>
    <mergeCell ref="V17:X17"/>
    <mergeCell ref="B18:C18"/>
    <mergeCell ref="Q18:R18"/>
    <mergeCell ref="T18:U18"/>
    <mergeCell ref="V18:X18"/>
    <mergeCell ref="Y18:Y24"/>
    <mergeCell ref="B19:C19"/>
    <mergeCell ref="Q19:R19"/>
    <mergeCell ref="T19:T20"/>
    <mergeCell ref="V19:X19"/>
    <mergeCell ref="B20:C20"/>
    <mergeCell ref="B22:B24"/>
    <mergeCell ref="C22:C23"/>
    <mergeCell ref="D22:D23"/>
    <mergeCell ref="E22:E23"/>
    <mergeCell ref="F22:F23"/>
    <mergeCell ref="Q20:R20"/>
    <mergeCell ref="V20:X20"/>
    <mergeCell ref="B21:C21"/>
    <mergeCell ref="T21:U21"/>
    <mergeCell ref="V21:X21"/>
    <mergeCell ref="I32:J32"/>
    <mergeCell ref="K32:L32"/>
    <mergeCell ref="K33:L33"/>
    <mergeCell ref="T22:T23"/>
    <mergeCell ref="V22:X22"/>
    <mergeCell ref="V23:X23"/>
    <mergeCell ref="T24:T25"/>
    <mergeCell ref="V24:X24"/>
    <mergeCell ref="V25:X25"/>
  </mergeCells>
  <pageMargins left="0.15748031496063" right="0.15748031496063" top="0" bottom="0" header="0" footer="0"/>
  <pageSetup paperSize="9" scale="47" orientation="landscape" r:id="rId1"/>
</worksheet>
</file>

<file path=xl/worksheets/sheet2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0BE81EF-1EEE-48DB-87F9-4C5E4AB07EF7}">
  <sheetPr>
    <pageSetUpPr fitToPage="1"/>
  </sheetPr>
  <dimension ref="A1:Y33"/>
  <sheetViews>
    <sheetView zoomScale="70" zoomScaleNormal="70" zoomScaleSheetLayoutView="100" zoomScalePageLayoutView="68" workbookViewId="0">
      <selection activeCell="Y18" sqref="Y18:Y24"/>
    </sheetView>
  </sheetViews>
  <sheetFormatPr defaultColWidth="9.140625" defaultRowHeight="15" x14ac:dyDescent="0.25"/>
  <cols>
    <col min="1" max="1" width="18.28515625" style="14" customWidth="1"/>
    <col min="2" max="2" width="10.7109375" style="14" customWidth="1"/>
    <col min="3" max="3" width="12.28515625" style="14" customWidth="1"/>
    <col min="4" max="4" width="13.140625" style="14" bestFit="1" customWidth="1"/>
    <col min="5" max="5" width="12" style="14" customWidth="1"/>
    <col min="6" max="6" width="12.5703125" style="14" bestFit="1" customWidth="1"/>
    <col min="7" max="7" width="16" style="14" bestFit="1" customWidth="1"/>
    <col min="8" max="8" width="10.140625" style="14" bestFit="1" customWidth="1"/>
    <col min="9" max="9" width="10.5703125" style="14" bestFit="1" customWidth="1"/>
    <col min="10" max="10" width="10.5703125" style="14" customWidth="1"/>
    <col min="11" max="11" width="10.28515625" style="14" bestFit="1" customWidth="1"/>
    <col min="12" max="12" width="10.42578125" style="14" bestFit="1" customWidth="1"/>
    <col min="13" max="14" width="12" style="14" bestFit="1" customWidth="1"/>
    <col min="15" max="15" width="9" style="14" customWidth="1"/>
    <col min="16" max="16" width="12.85546875" style="14" bestFit="1" customWidth="1"/>
    <col min="17" max="18" width="9.42578125" style="14" customWidth="1"/>
    <col min="19" max="19" width="13.7109375" style="14" customWidth="1"/>
    <col min="20" max="20" width="12.140625" style="14" customWidth="1"/>
    <col min="21" max="21" width="21.7109375" style="14" customWidth="1"/>
    <col min="22" max="22" width="9.85546875" style="14" customWidth="1"/>
    <col min="23" max="23" width="10.140625" style="14" bestFit="1" customWidth="1"/>
    <col min="24" max="24" width="10.28515625" style="14" customWidth="1"/>
    <col min="25" max="25" width="15.7109375" style="14" customWidth="1"/>
    <col min="26" max="16384" width="9.140625" style="14"/>
  </cols>
  <sheetData>
    <row r="1" spans="1:25" ht="46.15" customHeight="1" x14ac:dyDescent="0.25">
      <c r="A1" s="2240" t="s">
        <v>148</v>
      </c>
      <c r="B1" s="2240"/>
      <c r="C1" s="2240"/>
      <c r="D1" s="2240"/>
      <c r="E1" s="2240"/>
      <c r="F1" s="2240"/>
      <c r="G1" s="2240"/>
      <c r="H1" s="2240"/>
      <c r="I1" s="2240"/>
      <c r="J1" s="2240"/>
      <c r="K1" s="2240"/>
      <c r="L1" s="2240"/>
      <c r="M1" s="2240"/>
      <c r="N1" s="2240"/>
      <c r="O1" s="2240"/>
      <c r="P1" s="2240"/>
      <c r="Q1" s="2240"/>
      <c r="R1" s="2240"/>
      <c r="S1" s="2240"/>
      <c r="T1" s="2240"/>
      <c r="U1" s="2240"/>
      <c r="V1" s="2240"/>
      <c r="W1" s="2240"/>
      <c r="X1" s="2240"/>
      <c r="Y1" s="2240"/>
    </row>
    <row r="2" spans="1:25" ht="21.6" customHeight="1" x14ac:dyDescent="0.25">
      <c r="A2" s="2241" t="s">
        <v>383</v>
      </c>
      <c r="B2" s="2241"/>
      <c r="C2" s="2241"/>
      <c r="D2" s="2241"/>
      <c r="E2" s="2241"/>
      <c r="F2" s="2241"/>
      <c r="G2" s="2241"/>
      <c r="H2" s="2241"/>
      <c r="I2" s="2241"/>
      <c r="J2" s="2241"/>
      <c r="K2" s="2241"/>
      <c r="L2" s="2241"/>
      <c r="M2" s="2241"/>
      <c r="N2" s="2241"/>
      <c r="O2" s="2241"/>
      <c r="P2" s="2241"/>
      <c r="Q2" s="2241"/>
      <c r="R2" s="2241"/>
      <c r="S2" s="2241"/>
      <c r="T2" s="2241"/>
      <c r="U2" s="2241"/>
      <c r="V2" s="2241"/>
      <c r="W2" s="2241"/>
      <c r="X2" s="2241"/>
      <c r="Y2" s="2241"/>
    </row>
    <row r="3" spans="1:25" ht="21" customHeight="1" x14ac:dyDescent="0.25">
      <c r="A3" s="1361"/>
      <c r="B3" s="1361"/>
      <c r="C3" s="1361"/>
      <c r="D3" s="1361"/>
      <c r="E3" s="1361"/>
      <c r="F3" s="1361"/>
      <c r="G3" s="1361"/>
      <c r="H3" s="1361"/>
      <c r="I3" s="1361"/>
      <c r="J3" s="1361"/>
      <c r="K3" s="1361"/>
      <c r="L3" s="1361"/>
      <c r="M3" s="1361"/>
      <c r="N3" s="1361"/>
      <c r="O3" s="1361"/>
      <c r="P3" s="1361"/>
      <c r="Q3" s="1361"/>
      <c r="R3" s="1361"/>
      <c r="S3" s="1361"/>
      <c r="T3" s="2242" t="s">
        <v>482</v>
      </c>
      <c r="U3" s="2242"/>
      <c r="V3" s="2242"/>
      <c r="W3" s="2242"/>
      <c r="X3" s="2242"/>
      <c r="Y3" s="2242"/>
    </row>
    <row r="4" spans="1:25" s="1361" customFormat="1" ht="18" customHeight="1" x14ac:dyDescent="0.25">
      <c r="A4" s="2243" t="s">
        <v>25</v>
      </c>
      <c r="B4" s="2243" t="s">
        <v>26</v>
      </c>
      <c r="C4" s="2244" t="s">
        <v>27</v>
      </c>
      <c r="D4" s="2244"/>
      <c r="E4" s="2244" t="s">
        <v>342</v>
      </c>
      <c r="F4" s="2244"/>
      <c r="G4" s="2244" t="s">
        <v>65</v>
      </c>
      <c r="H4" s="2244"/>
      <c r="I4" s="2244" t="s">
        <v>29</v>
      </c>
      <c r="J4" s="2244"/>
      <c r="K4" s="2245" t="s">
        <v>14</v>
      </c>
      <c r="L4" s="2246"/>
      <c r="M4" s="2245" t="s">
        <v>429</v>
      </c>
      <c r="N4" s="2246"/>
      <c r="O4" s="2245" t="s">
        <v>441</v>
      </c>
      <c r="P4" s="2246"/>
      <c r="Q4" s="2245" t="s">
        <v>114</v>
      </c>
      <c r="R4" s="2246"/>
      <c r="S4" s="2244" t="s">
        <v>35</v>
      </c>
      <c r="T4" s="2244"/>
      <c r="U4" s="2245" t="s">
        <v>17</v>
      </c>
      <c r="V4" s="2246"/>
      <c r="W4" s="2247" t="s">
        <v>36</v>
      </c>
      <c r="X4" s="2248"/>
      <c r="Y4" s="2238" t="s">
        <v>30</v>
      </c>
    </row>
    <row r="5" spans="1:25" s="1361" customFormat="1" ht="25.5" customHeight="1" x14ac:dyDescent="0.25">
      <c r="A5" s="2243"/>
      <c r="B5" s="2243"/>
      <c r="C5" s="1363" t="s">
        <v>42</v>
      </c>
      <c r="D5" s="1363" t="s">
        <v>43</v>
      </c>
      <c r="E5" s="1363" t="s">
        <v>42</v>
      </c>
      <c r="F5" s="1363" t="s">
        <v>43</v>
      </c>
      <c r="G5" s="1363" t="s">
        <v>42</v>
      </c>
      <c r="H5" s="1363" t="s">
        <v>43</v>
      </c>
      <c r="I5" s="1363" t="s">
        <v>42</v>
      </c>
      <c r="J5" s="1363" t="s">
        <v>43</v>
      </c>
      <c r="K5" s="1363" t="s">
        <v>42</v>
      </c>
      <c r="L5" s="1363" t="s">
        <v>43</v>
      </c>
      <c r="M5" s="1363" t="s">
        <v>42</v>
      </c>
      <c r="N5" s="1363" t="s">
        <v>43</v>
      </c>
      <c r="O5" s="1363" t="s">
        <v>42</v>
      </c>
      <c r="P5" s="1363" t="s">
        <v>43</v>
      </c>
      <c r="Q5" s="1363" t="s">
        <v>42</v>
      </c>
      <c r="R5" s="1363" t="s">
        <v>43</v>
      </c>
      <c r="S5" s="33" t="s">
        <v>42</v>
      </c>
      <c r="T5" s="33" t="s">
        <v>43</v>
      </c>
      <c r="U5" s="30" t="s">
        <v>42</v>
      </c>
      <c r="V5" s="30" t="s">
        <v>43</v>
      </c>
      <c r="W5" s="30" t="s">
        <v>42</v>
      </c>
      <c r="X5" s="30" t="s">
        <v>43</v>
      </c>
      <c r="Y5" s="2239"/>
    </row>
    <row r="6" spans="1:25" ht="34.5" customHeight="1" x14ac:dyDescent="0.25">
      <c r="A6" s="12">
        <v>1409935200</v>
      </c>
      <c r="B6" s="1362" t="s">
        <v>71</v>
      </c>
      <c r="C6" s="1365">
        <v>29431</v>
      </c>
      <c r="D6" s="1366">
        <f t="shared" ref="D6:D11" si="0">0.9725*C6</f>
        <v>28621.647499999999</v>
      </c>
      <c r="E6" s="1365"/>
      <c r="F6" s="1366">
        <f>67.1*E6</f>
        <v>0</v>
      </c>
      <c r="G6" s="1365"/>
      <c r="H6" s="1365">
        <f>28.2*G6</f>
        <v>0</v>
      </c>
      <c r="I6" s="1365">
        <v>190</v>
      </c>
      <c r="J6" s="1365">
        <f>18.5*I6</f>
        <v>3515</v>
      </c>
      <c r="K6" s="1365"/>
      <c r="L6" s="1366">
        <f>28.2368*K6</f>
        <v>0</v>
      </c>
      <c r="M6" s="1365"/>
      <c r="N6" s="1366">
        <f>M6*47.6525</f>
        <v>0</v>
      </c>
      <c r="O6" s="1365"/>
      <c r="P6" s="1366">
        <f>O6*8.9</f>
        <v>0</v>
      </c>
      <c r="Q6" s="1366"/>
      <c r="R6" s="1366">
        <f>241*Q6</f>
        <v>0</v>
      </c>
      <c r="S6" s="1365"/>
      <c r="T6" s="1365">
        <f>241*S6</f>
        <v>0</v>
      </c>
      <c r="U6" s="1365">
        <v>1</v>
      </c>
      <c r="V6" s="1365">
        <f>332*U6</f>
        <v>332</v>
      </c>
      <c r="W6" s="1365"/>
      <c r="X6" s="19">
        <f>W6*100</f>
        <v>0</v>
      </c>
      <c r="Y6" s="20">
        <f t="shared" ref="Y6:Y12" si="1">D6+F6+H6+J6+L6+N6+P6+R6+T6+V6+X6</f>
        <v>32468.647499999999</v>
      </c>
    </row>
    <row r="7" spans="1:25" ht="31.5" customHeight="1" x14ac:dyDescent="0.25">
      <c r="A7" s="12">
        <v>1984225578</v>
      </c>
      <c r="B7" s="1362" t="s">
        <v>72</v>
      </c>
      <c r="C7" s="1365">
        <v>24249</v>
      </c>
      <c r="D7" s="1366">
        <f t="shared" si="0"/>
        <v>23582.1525</v>
      </c>
      <c r="E7" s="1365"/>
      <c r="F7" s="1365">
        <f t="shared" ref="F7:F11" si="2">67.1*E7</f>
        <v>0</v>
      </c>
      <c r="G7" s="1365"/>
      <c r="H7" s="1365">
        <f t="shared" ref="H7:H11" si="3">28.2*G7</f>
        <v>0</v>
      </c>
      <c r="I7" s="1365">
        <v>60</v>
      </c>
      <c r="J7" s="1365">
        <f t="shared" ref="J7:J11" si="4">18.5*I7</f>
        <v>1110</v>
      </c>
      <c r="K7" s="1365"/>
      <c r="L7" s="1366">
        <f t="shared" ref="L7:L11" si="5">28.2368*K7</f>
        <v>0</v>
      </c>
      <c r="M7" s="1365"/>
      <c r="N7" s="1366">
        <f t="shared" ref="N7:N11" si="6">M7*47.6525</f>
        <v>0</v>
      </c>
      <c r="O7" s="1365"/>
      <c r="P7" s="1366">
        <f t="shared" ref="P7:P11" si="7">O7*8.9</f>
        <v>0</v>
      </c>
      <c r="Q7" s="1366"/>
      <c r="R7" s="1366">
        <f t="shared" ref="R7:R11" si="8">241*Q7</f>
        <v>0</v>
      </c>
      <c r="S7" s="1365"/>
      <c r="T7" s="1365">
        <f t="shared" ref="T7:T10" si="9">241*S7</f>
        <v>0</v>
      </c>
      <c r="U7" s="1365"/>
      <c r="V7" s="1365">
        <f t="shared" ref="V7:V11" si="10">332*U7</f>
        <v>0</v>
      </c>
      <c r="W7" s="1365"/>
      <c r="X7" s="19">
        <f t="shared" ref="X7:X11" si="11">W7*100</f>
        <v>0</v>
      </c>
      <c r="Y7" s="20">
        <f t="shared" si="1"/>
        <v>24692.1525</v>
      </c>
    </row>
    <row r="8" spans="1:25" ht="35.25" customHeight="1" x14ac:dyDescent="0.25">
      <c r="A8" s="12">
        <v>1967020280</v>
      </c>
      <c r="B8" s="1362" t="s">
        <v>427</v>
      </c>
      <c r="C8" s="1365">
        <v>37759</v>
      </c>
      <c r="D8" s="1366">
        <f t="shared" si="0"/>
        <v>36720.627500000002</v>
      </c>
      <c r="E8" s="1365"/>
      <c r="F8" s="1365">
        <f t="shared" si="2"/>
        <v>0</v>
      </c>
      <c r="G8" s="1365">
        <v>20</v>
      </c>
      <c r="H8" s="1366">
        <f t="shared" si="3"/>
        <v>564</v>
      </c>
      <c r="I8" s="1365">
        <v>680</v>
      </c>
      <c r="J8" s="1365">
        <f t="shared" si="4"/>
        <v>12580</v>
      </c>
      <c r="K8" s="1365"/>
      <c r="L8" s="1366">
        <f t="shared" si="5"/>
        <v>0</v>
      </c>
      <c r="M8" s="1365"/>
      <c r="N8" s="1366">
        <f t="shared" si="6"/>
        <v>0</v>
      </c>
      <c r="O8" s="1365"/>
      <c r="P8" s="1366">
        <f t="shared" si="7"/>
        <v>0</v>
      </c>
      <c r="Q8" s="1366"/>
      <c r="R8" s="1366">
        <f t="shared" si="8"/>
        <v>0</v>
      </c>
      <c r="S8" s="1365"/>
      <c r="T8" s="1365">
        <f t="shared" si="9"/>
        <v>0</v>
      </c>
      <c r="U8" s="1365"/>
      <c r="V8" s="1365">
        <f t="shared" si="10"/>
        <v>0</v>
      </c>
      <c r="W8" s="1365"/>
      <c r="X8" s="19">
        <f t="shared" si="11"/>
        <v>0</v>
      </c>
      <c r="Y8" s="20">
        <f t="shared" si="1"/>
        <v>49864.627500000002</v>
      </c>
    </row>
    <row r="9" spans="1:25" ht="38.25" customHeight="1" x14ac:dyDescent="0.25">
      <c r="A9" s="12">
        <v>1984225580</v>
      </c>
      <c r="B9" s="1362" t="s">
        <v>75</v>
      </c>
      <c r="C9" s="1365">
        <v>50571</v>
      </c>
      <c r="D9" s="1366">
        <f t="shared" si="0"/>
        <v>49180.297500000001</v>
      </c>
      <c r="E9" s="1365"/>
      <c r="F9" s="1365">
        <f t="shared" si="2"/>
        <v>0</v>
      </c>
      <c r="G9" s="1365"/>
      <c r="H9" s="1365">
        <f t="shared" si="3"/>
        <v>0</v>
      </c>
      <c r="I9" s="1365">
        <v>200</v>
      </c>
      <c r="J9" s="1365">
        <f t="shared" si="4"/>
        <v>3700</v>
      </c>
      <c r="K9" s="1365"/>
      <c r="L9" s="1366">
        <f t="shared" si="5"/>
        <v>0</v>
      </c>
      <c r="M9" s="1365"/>
      <c r="N9" s="1366">
        <f t="shared" si="6"/>
        <v>0</v>
      </c>
      <c r="O9" s="1365"/>
      <c r="P9" s="1366">
        <f t="shared" si="7"/>
        <v>0</v>
      </c>
      <c r="Q9" s="1366"/>
      <c r="R9" s="1366">
        <f t="shared" si="8"/>
        <v>0</v>
      </c>
      <c r="S9" s="1365"/>
      <c r="T9" s="1365">
        <f t="shared" si="9"/>
        <v>0</v>
      </c>
      <c r="U9" s="1365"/>
      <c r="V9" s="1365">
        <f t="shared" si="10"/>
        <v>0</v>
      </c>
      <c r="W9" s="1365"/>
      <c r="X9" s="19">
        <f t="shared" si="11"/>
        <v>0</v>
      </c>
      <c r="Y9" s="20">
        <f t="shared" si="1"/>
        <v>52880.297500000001</v>
      </c>
    </row>
    <row r="10" spans="1:25" ht="35.25" customHeight="1" x14ac:dyDescent="0.25">
      <c r="A10" s="12">
        <v>1409935199</v>
      </c>
      <c r="C10" s="1365"/>
      <c r="D10" s="1366">
        <f t="shared" si="0"/>
        <v>0</v>
      </c>
      <c r="E10" s="1365"/>
      <c r="F10" s="1365">
        <f t="shared" si="2"/>
        <v>0</v>
      </c>
      <c r="G10" s="1365"/>
      <c r="H10" s="1365">
        <f t="shared" si="3"/>
        <v>0</v>
      </c>
      <c r="I10" s="1365">
        <v>2500</v>
      </c>
      <c r="J10" s="1365">
        <f t="shared" si="4"/>
        <v>46250</v>
      </c>
      <c r="K10" s="1365"/>
      <c r="L10" s="1366">
        <f t="shared" si="5"/>
        <v>0</v>
      </c>
      <c r="M10" s="1365"/>
      <c r="N10" s="1366">
        <f t="shared" si="6"/>
        <v>0</v>
      </c>
      <c r="O10" s="1365"/>
      <c r="P10" s="1366">
        <f t="shared" si="7"/>
        <v>0</v>
      </c>
      <c r="Q10" s="1366"/>
      <c r="R10" s="1366">
        <f t="shared" si="8"/>
        <v>0</v>
      </c>
      <c r="S10" s="1365"/>
      <c r="T10" s="1365">
        <f t="shared" si="9"/>
        <v>0</v>
      </c>
      <c r="U10" s="1365"/>
      <c r="V10" s="1365">
        <f t="shared" si="10"/>
        <v>0</v>
      </c>
      <c r="W10" s="1365"/>
      <c r="X10" s="19">
        <f t="shared" si="11"/>
        <v>0</v>
      </c>
      <c r="Y10" s="20">
        <f t="shared" si="1"/>
        <v>46250</v>
      </c>
    </row>
    <row r="11" spans="1:25" ht="37.5" customHeight="1" x14ac:dyDescent="0.25">
      <c r="A11" s="12"/>
      <c r="B11" s="1364"/>
      <c r="C11" s="1365"/>
      <c r="D11" s="1366">
        <f t="shared" si="0"/>
        <v>0</v>
      </c>
      <c r="E11" s="1365"/>
      <c r="F11" s="1365">
        <f t="shared" si="2"/>
        <v>0</v>
      </c>
      <c r="G11" s="1365"/>
      <c r="H11" s="1365">
        <f t="shared" si="3"/>
        <v>0</v>
      </c>
      <c r="I11" s="1365"/>
      <c r="J11" s="1365">
        <f t="shared" si="4"/>
        <v>0</v>
      </c>
      <c r="K11" s="1365"/>
      <c r="L11" s="1366">
        <f t="shared" si="5"/>
        <v>0</v>
      </c>
      <c r="M11" s="1365"/>
      <c r="N11" s="1366">
        <f t="shared" si="6"/>
        <v>0</v>
      </c>
      <c r="O11" s="1365"/>
      <c r="P11" s="1366">
        <f t="shared" si="7"/>
        <v>0</v>
      </c>
      <c r="Q11" s="1366"/>
      <c r="R11" s="1366">
        <f t="shared" si="8"/>
        <v>0</v>
      </c>
      <c r="S11" s="1365"/>
      <c r="T11" s="1365">
        <f>341*S11</f>
        <v>0</v>
      </c>
      <c r="U11" s="1365"/>
      <c r="V11" s="1365">
        <f t="shared" si="10"/>
        <v>0</v>
      </c>
      <c r="W11" s="1365">
        <v>11</v>
      </c>
      <c r="X11" s="19">
        <f t="shared" si="11"/>
        <v>1100</v>
      </c>
      <c r="Y11" s="20">
        <f t="shared" si="1"/>
        <v>1100</v>
      </c>
    </row>
    <row r="12" spans="1:25" ht="29.25" customHeight="1" x14ac:dyDescent="0.25">
      <c r="A12" s="2235" t="s">
        <v>31</v>
      </c>
      <c r="B12" s="2235"/>
      <c r="C12" s="18">
        <f t="shared" ref="C12:X12" si="12">SUM(C6:C11)</f>
        <v>142010</v>
      </c>
      <c r="D12" s="18">
        <f t="shared" si="12"/>
        <v>138104.72500000001</v>
      </c>
      <c r="E12" s="18">
        <f t="shared" si="12"/>
        <v>0</v>
      </c>
      <c r="F12" s="18">
        <f t="shared" si="12"/>
        <v>0</v>
      </c>
      <c r="G12" s="18">
        <f t="shared" si="12"/>
        <v>20</v>
      </c>
      <c r="H12" s="18">
        <f t="shared" si="12"/>
        <v>564</v>
      </c>
      <c r="I12" s="18">
        <f t="shared" si="12"/>
        <v>3630</v>
      </c>
      <c r="J12" s="18">
        <f t="shared" si="12"/>
        <v>67155</v>
      </c>
      <c r="K12" s="18">
        <f t="shared" si="12"/>
        <v>0</v>
      </c>
      <c r="L12" s="18">
        <f t="shared" si="12"/>
        <v>0</v>
      </c>
      <c r="M12" s="18">
        <f t="shared" si="12"/>
        <v>0</v>
      </c>
      <c r="N12" s="23">
        <f t="shared" si="12"/>
        <v>0</v>
      </c>
      <c r="O12" s="18">
        <f t="shared" si="12"/>
        <v>0</v>
      </c>
      <c r="P12" s="23">
        <f t="shared" si="12"/>
        <v>0</v>
      </c>
      <c r="Q12" s="23">
        <f t="shared" si="12"/>
        <v>0</v>
      </c>
      <c r="R12" s="23">
        <f>SUM(R6:R11)</f>
        <v>0</v>
      </c>
      <c r="S12" s="23">
        <f>SUM(S6:S11)</f>
        <v>0</v>
      </c>
      <c r="T12" s="18">
        <f t="shared" si="12"/>
        <v>0</v>
      </c>
      <c r="U12" s="18">
        <f t="shared" si="12"/>
        <v>1</v>
      </c>
      <c r="V12" s="18">
        <f t="shared" si="12"/>
        <v>332</v>
      </c>
      <c r="W12" s="18">
        <f t="shared" si="12"/>
        <v>11</v>
      </c>
      <c r="X12" s="18">
        <f t="shared" si="12"/>
        <v>1100</v>
      </c>
      <c r="Y12" s="20">
        <f t="shared" si="1"/>
        <v>207255.72500000001</v>
      </c>
    </row>
    <row r="14" spans="1:25" ht="43.5" customHeight="1" x14ac:dyDescent="0.25">
      <c r="A14" s="30" t="s">
        <v>32</v>
      </c>
      <c r="B14" s="2236" t="s">
        <v>27</v>
      </c>
      <c r="C14" s="2236"/>
      <c r="D14" s="30" t="s">
        <v>333</v>
      </c>
      <c r="E14" s="30" t="s">
        <v>65</v>
      </c>
      <c r="F14" s="30" t="s">
        <v>34</v>
      </c>
      <c r="G14" s="30" t="s">
        <v>14</v>
      </c>
      <c r="H14" s="469" t="s">
        <v>173</v>
      </c>
      <c r="I14" s="30" t="s">
        <v>17</v>
      </c>
      <c r="J14" s="1370" t="s">
        <v>174</v>
      </c>
      <c r="K14" s="30" t="s">
        <v>36</v>
      </c>
      <c r="L14" s="1370" t="s">
        <v>403</v>
      </c>
      <c r="M14" s="30" t="s">
        <v>429</v>
      </c>
      <c r="N14" s="30" t="s">
        <v>442</v>
      </c>
      <c r="O14" s="1370" t="s">
        <v>114</v>
      </c>
      <c r="P14" s="30" t="s">
        <v>70</v>
      </c>
      <c r="Q14" s="2300" t="s">
        <v>479</v>
      </c>
      <c r="R14" s="2301"/>
      <c r="S14" s="1370" t="s">
        <v>401</v>
      </c>
      <c r="T14" s="2235" t="s">
        <v>46</v>
      </c>
      <c r="U14" s="1362" t="s">
        <v>176</v>
      </c>
      <c r="V14" s="2260">
        <v>23802</v>
      </c>
      <c r="W14" s="2268"/>
      <c r="X14" s="2261"/>
    </row>
    <row r="15" spans="1:25" ht="22.5" customHeight="1" x14ac:dyDescent="0.25">
      <c r="A15" s="100" t="s">
        <v>38</v>
      </c>
      <c r="B15" s="2260">
        <v>286811</v>
      </c>
      <c r="C15" s="2261"/>
      <c r="D15" s="1367">
        <v>130</v>
      </c>
      <c r="E15" s="1367">
        <v>1670</v>
      </c>
      <c r="F15" s="1367">
        <v>13140</v>
      </c>
      <c r="G15" s="1367">
        <v>1000</v>
      </c>
      <c r="H15" s="1367">
        <v>161</v>
      </c>
      <c r="I15" s="1367">
        <v>58</v>
      </c>
      <c r="J15" s="1367">
        <v>4</v>
      </c>
      <c r="K15" s="1367">
        <v>71</v>
      </c>
      <c r="L15" s="1367">
        <v>0</v>
      </c>
      <c r="M15" s="1367">
        <v>0</v>
      </c>
      <c r="N15" s="1367">
        <v>0</v>
      </c>
      <c r="O15" s="1367">
        <v>0</v>
      </c>
      <c r="P15" s="1367">
        <v>100</v>
      </c>
      <c r="Q15" s="2260">
        <v>10</v>
      </c>
      <c r="R15" s="2261"/>
      <c r="S15" s="1362">
        <v>2</v>
      </c>
      <c r="T15" s="2235"/>
      <c r="U15" s="1362" t="s">
        <v>64</v>
      </c>
      <c r="V15" s="2262">
        <v>24212</v>
      </c>
      <c r="W15" s="2262"/>
      <c r="X15" s="2262"/>
    </row>
    <row r="16" spans="1:25" ht="24.75" customHeight="1" x14ac:dyDescent="0.25">
      <c r="A16" s="100" t="s">
        <v>39</v>
      </c>
      <c r="B16" s="2260">
        <v>272583</v>
      </c>
      <c r="C16" s="2261"/>
      <c r="D16" s="1367"/>
      <c r="E16" s="1367"/>
      <c r="F16" s="1367">
        <v>15000</v>
      </c>
      <c r="G16" s="1367"/>
      <c r="H16" s="1367"/>
      <c r="I16" s="1367"/>
      <c r="J16" s="1367"/>
      <c r="K16" s="1367"/>
      <c r="L16" s="1367"/>
      <c r="M16" s="1367"/>
      <c r="N16" s="1367"/>
      <c r="O16" s="1367"/>
      <c r="P16" s="1367"/>
      <c r="Q16" s="2262"/>
      <c r="R16" s="2262"/>
      <c r="S16" s="1367"/>
      <c r="T16" s="2254" t="s">
        <v>55</v>
      </c>
      <c r="U16" s="2254"/>
      <c r="V16" s="2267">
        <f>Y12</f>
        <v>207255.72500000001</v>
      </c>
      <c r="W16" s="2267"/>
      <c r="X16" s="2262"/>
    </row>
    <row r="17" spans="1:25" ht="28.5" customHeight="1" x14ac:dyDescent="0.25">
      <c r="A17" s="101" t="s">
        <v>44</v>
      </c>
      <c r="B17" s="2260"/>
      <c r="C17" s="2261"/>
      <c r="D17" s="1367"/>
      <c r="E17" s="1367"/>
      <c r="F17" s="1367"/>
      <c r="G17" s="1367"/>
      <c r="H17" s="1367"/>
      <c r="I17" s="1367"/>
      <c r="J17" s="1367"/>
      <c r="K17" s="1367"/>
      <c r="L17" s="1367"/>
      <c r="M17" s="1367"/>
      <c r="N17" s="1367"/>
      <c r="O17" s="1367"/>
      <c r="P17" s="1367"/>
      <c r="Q17" s="2225"/>
      <c r="R17" s="2225"/>
      <c r="S17" s="1364"/>
      <c r="T17" s="2294" t="s">
        <v>473</v>
      </c>
      <c r="U17" s="2295"/>
      <c r="V17" s="2296"/>
      <c r="W17" s="2296"/>
      <c r="X17" s="2296"/>
    </row>
    <row r="18" spans="1:25" ht="27" customHeight="1" x14ac:dyDescent="0.25">
      <c r="A18" s="100" t="s">
        <v>40</v>
      </c>
      <c r="B18" s="2264">
        <f>C12</f>
        <v>142010</v>
      </c>
      <c r="C18" s="2261"/>
      <c r="D18" s="1368">
        <f>E12</f>
        <v>0</v>
      </c>
      <c r="E18" s="1368">
        <f>G12</f>
        <v>20</v>
      </c>
      <c r="F18" s="1368">
        <f>I12</f>
        <v>3630</v>
      </c>
      <c r="G18" s="1368">
        <f>K12</f>
        <v>0</v>
      </c>
      <c r="H18" s="1367"/>
      <c r="I18" s="1368">
        <f>U12</f>
        <v>1</v>
      </c>
      <c r="J18" s="1367"/>
      <c r="K18" s="1368">
        <f>W12</f>
        <v>11</v>
      </c>
      <c r="L18" s="1367"/>
      <c r="M18" s="1368">
        <f>M12</f>
        <v>0</v>
      </c>
      <c r="N18" s="1368">
        <f>O12</f>
        <v>0</v>
      </c>
      <c r="O18" s="1369">
        <f>Q12</f>
        <v>0</v>
      </c>
      <c r="P18" s="1368"/>
      <c r="Q18" s="2262"/>
      <c r="R18" s="2262"/>
      <c r="S18" s="1362"/>
      <c r="T18" s="2254" t="s">
        <v>57</v>
      </c>
      <c r="U18" s="2254"/>
      <c r="V18" s="2262">
        <v>47232</v>
      </c>
      <c r="W18" s="2262"/>
      <c r="X18" s="2262"/>
      <c r="Y18" s="2269"/>
    </row>
    <row r="19" spans="1:25" ht="25.5" customHeight="1" x14ac:dyDescent="0.25">
      <c r="A19" s="100" t="s">
        <v>41</v>
      </c>
      <c r="B19" s="2260">
        <f>B15+B16+B17-B18</f>
        <v>417384</v>
      </c>
      <c r="C19" s="2261"/>
      <c r="D19" s="1367">
        <f>D15+D16+D17-D18</f>
        <v>130</v>
      </c>
      <c r="E19" s="1367">
        <f t="shared" ref="E19:N19" si="13">E15+E16+E17-E18</f>
        <v>1650</v>
      </c>
      <c r="F19" s="1367">
        <f t="shared" si="13"/>
        <v>24510</v>
      </c>
      <c r="G19" s="1367">
        <f t="shared" si="13"/>
        <v>1000</v>
      </c>
      <c r="H19" s="1367">
        <f t="shared" si="13"/>
        <v>161</v>
      </c>
      <c r="I19" s="1367">
        <f t="shared" si="13"/>
        <v>57</v>
      </c>
      <c r="J19" s="1367">
        <f t="shared" si="13"/>
        <v>4</v>
      </c>
      <c r="K19" s="1367">
        <f t="shared" si="13"/>
        <v>60</v>
      </c>
      <c r="L19" s="1367">
        <f t="shared" si="13"/>
        <v>0</v>
      </c>
      <c r="M19" s="1367">
        <f t="shared" si="13"/>
        <v>0</v>
      </c>
      <c r="N19" s="1367">
        <f t="shared" si="13"/>
        <v>0</v>
      </c>
      <c r="O19" s="1367">
        <f>O15+O16+O17-O18</f>
        <v>0</v>
      </c>
      <c r="P19" s="1367">
        <f t="shared" ref="P19:Q19" si="14">P15+P16+P17-P18</f>
        <v>100</v>
      </c>
      <c r="Q19" s="2260">
        <f t="shared" si="14"/>
        <v>10</v>
      </c>
      <c r="R19" s="2261"/>
      <c r="S19" s="1362">
        <f>S15+S16-S17-S18</f>
        <v>2</v>
      </c>
      <c r="T19" s="2256" t="s">
        <v>48</v>
      </c>
      <c r="U19" s="49" t="s">
        <v>58</v>
      </c>
      <c r="V19" s="2262">
        <v>20000</v>
      </c>
      <c r="W19" s="2262"/>
      <c r="X19" s="2262"/>
      <c r="Y19" s="2269"/>
    </row>
    <row r="20" spans="1:25" ht="23.25" customHeight="1" x14ac:dyDescent="0.25">
      <c r="A20" s="289" t="s">
        <v>187</v>
      </c>
      <c r="B20" s="2286">
        <f>B19*0.9625</f>
        <v>401732.10000000003</v>
      </c>
      <c r="C20" s="2287"/>
      <c r="D20" s="290">
        <f>D19*66.41</f>
        <v>8633.2999999999993</v>
      </c>
      <c r="E20" s="290">
        <f>27.9368*E19</f>
        <v>46095.72</v>
      </c>
      <c r="F20" s="290">
        <f>18.31*F19</f>
        <v>448778.1</v>
      </c>
      <c r="G20" s="290">
        <f>27.9368*G19</f>
        <v>27936.800000000003</v>
      </c>
      <c r="H20" s="290">
        <f>241*H19</f>
        <v>38801</v>
      </c>
      <c r="I20" s="290">
        <f>323*I19</f>
        <v>18411</v>
      </c>
      <c r="J20" s="290">
        <f>241*J19</f>
        <v>964</v>
      </c>
      <c r="K20" s="290">
        <f>K19*100</f>
        <v>6000</v>
      </c>
      <c r="L20" s="290">
        <f>241*L19</f>
        <v>0</v>
      </c>
      <c r="M20" s="290">
        <f>47.1625*M19</f>
        <v>0</v>
      </c>
      <c r="N20" s="290">
        <f>N19*8.81</f>
        <v>0</v>
      </c>
      <c r="O20" s="290">
        <f>241*O19</f>
        <v>0</v>
      </c>
      <c r="P20" s="290">
        <f>P19*48.2</f>
        <v>4820</v>
      </c>
      <c r="Q20" s="2286">
        <f>470*Q19</f>
        <v>4700</v>
      </c>
      <c r="R20" s="2287"/>
      <c r="S20" s="290">
        <f>341*S19</f>
        <v>682</v>
      </c>
      <c r="T20" s="2257"/>
      <c r="U20" s="49" t="s">
        <v>59</v>
      </c>
      <c r="V20" s="2262">
        <v>137000</v>
      </c>
      <c r="W20" s="2262"/>
      <c r="X20" s="2262"/>
      <c r="Y20" s="2269"/>
    </row>
    <row r="21" spans="1:25" ht="32.25" customHeight="1" x14ac:dyDescent="0.25">
      <c r="A21" s="291" t="s">
        <v>186</v>
      </c>
      <c r="B21" s="2293">
        <f>SUM(B20:S20)</f>
        <v>1007554.02</v>
      </c>
      <c r="C21" s="2293"/>
      <c r="O21" s="1371"/>
      <c r="P21" s="1371"/>
      <c r="Q21" s="1371"/>
      <c r="R21" s="1371"/>
      <c r="T21" s="2294" t="s">
        <v>474</v>
      </c>
      <c r="U21" s="2295"/>
      <c r="V21" s="2297"/>
      <c r="W21" s="2298"/>
      <c r="X21" s="2299"/>
      <c r="Y21" s="2269"/>
    </row>
    <row r="22" spans="1:25" ht="35.25" customHeight="1" x14ac:dyDescent="0.25">
      <c r="A22" s="15"/>
      <c r="B22" s="2288" t="s">
        <v>49</v>
      </c>
      <c r="C22" s="2291">
        <v>20000</v>
      </c>
      <c r="D22" s="2291">
        <v>20000</v>
      </c>
      <c r="E22" s="2291">
        <v>400000</v>
      </c>
      <c r="F22" s="2291">
        <f>C22-D22+E22</f>
        <v>400000</v>
      </c>
      <c r="G22" s="1371"/>
      <c r="Q22" s="1371"/>
      <c r="R22" s="1371"/>
      <c r="T22" s="2251" t="s">
        <v>83</v>
      </c>
      <c r="U22" s="50" t="s">
        <v>60</v>
      </c>
      <c r="V22" s="2262">
        <v>169280</v>
      </c>
      <c r="W22" s="2262"/>
      <c r="X22" s="2262"/>
      <c r="Y22" s="2269"/>
    </row>
    <row r="23" spans="1:25" ht="39.75" customHeight="1" x14ac:dyDescent="0.25">
      <c r="A23" s="1371"/>
      <c r="B23" s="2289"/>
      <c r="C23" s="2292"/>
      <c r="D23" s="2292"/>
      <c r="E23" s="2292"/>
      <c r="F23" s="2292"/>
      <c r="G23" s="1371"/>
      <c r="Q23" s="1371"/>
      <c r="R23" s="1371"/>
      <c r="T23" s="2252"/>
      <c r="U23" s="50" t="s">
        <v>61</v>
      </c>
      <c r="V23" s="2262">
        <v>183400</v>
      </c>
      <c r="W23" s="2262"/>
      <c r="X23" s="2262"/>
      <c r="Y23" s="2269"/>
    </row>
    <row r="24" spans="1:25" ht="48" customHeight="1" x14ac:dyDescent="0.25">
      <c r="A24" s="1371"/>
      <c r="B24" s="2290"/>
      <c r="C24" s="290" t="s">
        <v>46</v>
      </c>
      <c r="D24" s="290" t="s">
        <v>50</v>
      </c>
      <c r="E24" s="290" t="s">
        <v>51</v>
      </c>
      <c r="F24" s="290" t="s">
        <v>52</v>
      </c>
      <c r="G24" s="1371"/>
      <c r="Q24" s="1371"/>
      <c r="R24" s="1371"/>
      <c r="T24" s="2235" t="s">
        <v>47</v>
      </c>
      <c r="U24" s="51" t="s">
        <v>62</v>
      </c>
      <c r="V24" s="2263">
        <f>V14+V16+V17-V18-V19-V20-V22+V23-V21</f>
        <v>40945.725000000006</v>
      </c>
      <c r="W24" s="2263"/>
      <c r="X24" s="2263"/>
      <c r="Y24" s="2269"/>
    </row>
    <row r="25" spans="1:25" ht="40.5" customHeight="1" x14ac:dyDescent="0.25">
      <c r="T25" s="2235"/>
      <c r="U25" s="51" t="s">
        <v>63</v>
      </c>
      <c r="V25" s="2262">
        <f>V15+V22-V23</f>
        <v>10092</v>
      </c>
      <c r="W25" s="2262"/>
      <c r="X25" s="2262"/>
    </row>
    <row r="26" spans="1:25" ht="36" customHeight="1" x14ac:dyDescent="0.25">
      <c r="K26" s="314"/>
    </row>
    <row r="28" spans="1:25" x14ac:dyDescent="0.25">
      <c r="J28" s="14" t="s">
        <v>139</v>
      </c>
    </row>
    <row r="32" spans="1:25" x14ac:dyDescent="0.25">
      <c r="I32" s="2280"/>
      <c r="J32" s="2280"/>
      <c r="K32" s="2280"/>
      <c r="L32" s="2280"/>
    </row>
    <row r="33" spans="9:12" x14ac:dyDescent="0.25">
      <c r="I33" s="1371"/>
      <c r="J33" s="1371"/>
      <c r="K33" s="2280"/>
      <c r="L33" s="2280"/>
    </row>
  </sheetData>
  <mergeCells count="62">
    <mergeCell ref="I32:J32"/>
    <mergeCell ref="K32:L32"/>
    <mergeCell ref="K33:L33"/>
    <mergeCell ref="T22:T23"/>
    <mergeCell ref="V22:X22"/>
    <mergeCell ref="V23:X23"/>
    <mergeCell ref="T24:T25"/>
    <mergeCell ref="V24:X24"/>
    <mergeCell ref="V25:X25"/>
    <mergeCell ref="Y18:Y24"/>
    <mergeCell ref="B19:C19"/>
    <mergeCell ref="Q19:R19"/>
    <mergeCell ref="T19:T20"/>
    <mergeCell ref="V19:X19"/>
    <mergeCell ref="B20:C20"/>
    <mergeCell ref="B22:B24"/>
    <mergeCell ref="C22:C23"/>
    <mergeCell ref="D22:D23"/>
    <mergeCell ref="E22:E23"/>
    <mergeCell ref="F22:F23"/>
    <mergeCell ref="Q20:R20"/>
    <mergeCell ref="V20:X20"/>
    <mergeCell ref="B21:C21"/>
    <mergeCell ref="T21:U21"/>
    <mergeCell ref="V21:X21"/>
    <mergeCell ref="B17:C17"/>
    <mergeCell ref="Q17:R17"/>
    <mergeCell ref="T17:U17"/>
    <mergeCell ref="V17:X17"/>
    <mergeCell ref="B18:C18"/>
    <mergeCell ref="Q18:R18"/>
    <mergeCell ref="T18:U18"/>
    <mergeCell ref="V18:X18"/>
    <mergeCell ref="W4:X4"/>
    <mergeCell ref="B16:C16"/>
    <mergeCell ref="Q16:R16"/>
    <mergeCell ref="T16:U16"/>
    <mergeCell ref="V16:X16"/>
    <mergeCell ref="A12:B12"/>
    <mergeCell ref="B14:C14"/>
    <mergeCell ref="Q14:R14"/>
    <mergeCell ref="T14:T15"/>
    <mergeCell ref="V14:X14"/>
    <mergeCell ref="B15:C15"/>
    <mergeCell ref="Q15:R15"/>
    <mergeCell ref="V15:X15"/>
    <mergeCell ref="A1:Y1"/>
    <mergeCell ref="A2:Y2"/>
    <mergeCell ref="T3:Y3"/>
    <mergeCell ref="A4:A5"/>
    <mergeCell ref="B4:B5"/>
    <mergeCell ref="C4:D4"/>
    <mergeCell ref="E4:F4"/>
    <mergeCell ref="G4:H4"/>
    <mergeCell ref="I4:J4"/>
    <mergeCell ref="K4:L4"/>
    <mergeCell ref="Y4:Y5"/>
    <mergeCell ref="M4:N4"/>
    <mergeCell ref="O4:P4"/>
    <mergeCell ref="Q4:R4"/>
    <mergeCell ref="S4:T4"/>
    <mergeCell ref="U4:V4"/>
  </mergeCells>
  <pageMargins left="0.15748031496063" right="0.15748031496063" top="0" bottom="0" header="0" footer="0"/>
  <pageSetup paperSize="9" scale="47" orientation="landscape" r:id="rId1"/>
</worksheet>
</file>

<file path=xl/worksheets/sheet2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6A14066-A313-4E13-AE18-697F8CDF5CEA}">
  <sheetPr>
    <pageSetUpPr fitToPage="1"/>
  </sheetPr>
  <dimension ref="A1:Y33"/>
  <sheetViews>
    <sheetView topLeftCell="D3" zoomScale="70" zoomScaleNormal="70" zoomScaleSheetLayoutView="100" zoomScalePageLayoutView="68" workbookViewId="0">
      <selection activeCell="M23" sqref="M23"/>
    </sheetView>
  </sheetViews>
  <sheetFormatPr defaultColWidth="9.140625" defaultRowHeight="15" x14ac:dyDescent="0.25"/>
  <cols>
    <col min="1" max="1" width="18.28515625" style="14" customWidth="1"/>
    <col min="2" max="2" width="10.7109375" style="14" customWidth="1"/>
    <col min="3" max="3" width="12.28515625" style="14" customWidth="1"/>
    <col min="4" max="4" width="13.140625" style="14" bestFit="1" customWidth="1"/>
    <col min="5" max="5" width="12" style="14" customWidth="1"/>
    <col min="6" max="6" width="12.5703125" style="14" bestFit="1" customWidth="1"/>
    <col min="7" max="7" width="16" style="14" bestFit="1" customWidth="1"/>
    <col min="8" max="8" width="10.140625" style="14" bestFit="1" customWidth="1"/>
    <col min="9" max="9" width="10.5703125" style="14" bestFit="1" customWidth="1"/>
    <col min="10" max="10" width="10.5703125" style="14" customWidth="1"/>
    <col min="11" max="11" width="10.28515625" style="14" bestFit="1" customWidth="1"/>
    <col min="12" max="12" width="10.42578125" style="14" bestFit="1" customWidth="1"/>
    <col min="13" max="14" width="12" style="14" bestFit="1" customWidth="1"/>
    <col min="15" max="15" width="9" style="14" customWidth="1"/>
    <col min="16" max="16" width="12.85546875" style="14" bestFit="1" customWidth="1"/>
    <col min="17" max="18" width="9.42578125" style="14" customWidth="1"/>
    <col min="19" max="19" width="13.7109375" style="14" customWidth="1"/>
    <col min="20" max="20" width="12.140625" style="14" customWidth="1"/>
    <col min="21" max="21" width="21.7109375" style="14" customWidth="1"/>
    <col min="22" max="22" width="9.85546875" style="14" customWidth="1"/>
    <col min="23" max="23" width="10.140625" style="14" bestFit="1" customWidth="1"/>
    <col min="24" max="24" width="10.28515625" style="14" customWidth="1"/>
    <col min="25" max="25" width="15.7109375" style="14" customWidth="1"/>
    <col min="26" max="16384" width="9.140625" style="14"/>
  </cols>
  <sheetData>
    <row r="1" spans="1:25" ht="46.15" customHeight="1" x14ac:dyDescent="0.25">
      <c r="A1" s="2240" t="s">
        <v>148</v>
      </c>
      <c r="B1" s="2240"/>
      <c r="C1" s="2240"/>
      <c r="D1" s="2240"/>
      <c r="E1" s="2240"/>
      <c r="F1" s="2240"/>
      <c r="G1" s="2240"/>
      <c r="H1" s="2240"/>
      <c r="I1" s="2240"/>
      <c r="J1" s="2240"/>
      <c r="K1" s="2240"/>
      <c r="L1" s="2240"/>
      <c r="M1" s="2240"/>
      <c r="N1" s="2240"/>
      <c r="O1" s="2240"/>
      <c r="P1" s="2240"/>
      <c r="Q1" s="2240"/>
      <c r="R1" s="2240"/>
      <c r="S1" s="2240"/>
      <c r="T1" s="2240"/>
      <c r="U1" s="2240"/>
      <c r="V1" s="2240"/>
      <c r="W1" s="2240"/>
      <c r="X1" s="2240"/>
      <c r="Y1" s="2240"/>
    </row>
    <row r="2" spans="1:25" ht="21.6" customHeight="1" x14ac:dyDescent="0.25">
      <c r="A2" s="2241" t="s">
        <v>383</v>
      </c>
      <c r="B2" s="2241"/>
      <c r="C2" s="2241"/>
      <c r="D2" s="2241"/>
      <c r="E2" s="2241"/>
      <c r="F2" s="2241"/>
      <c r="G2" s="2241"/>
      <c r="H2" s="2241"/>
      <c r="I2" s="2241"/>
      <c r="J2" s="2241"/>
      <c r="K2" s="2241"/>
      <c r="L2" s="2241"/>
      <c r="M2" s="2241"/>
      <c r="N2" s="2241"/>
      <c r="O2" s="2241"/>
      <c r="P2" s="2241"/>
      <c r="Q2" s="2241"/>
      <c r="R2" s="2241"/>
      <c r="S2" s="2241"/>
      <c r="T2" s="2241"/>
      <c r="U2" s="2241"/>
      <c r="V2" s="2241"/>
      <c r="W2" s="2241"/>
      <c r="X2" s="2241"/>
      <c r="Y2" s="2241"/>
    </row>
    <row r="3" spans="1:25" ht="21" customHeight="1" x14ac:dyDescent="0.25">
      <c r="A3" s="1377"/>
      <c r="B3" s="1377"/>
      <c r="C3" s="1377"/>
      <c r="D3" s="1377"/>
      <c r="E3" s="1377"/>
      <c r="F3" s="1377"/>
      <c r="G3" s="1377"/>
      <c r="H3" s="1377"/>
      <c r="I3" s="1377"/>
      <c r="J3" s="1377"/>
      <c r="K3" s="1377"/>
      <c r="L3" s="1377"/>
      <c r="M3" s="1377"/>
      <c r="N3" s="1377"/>
      <c r="O3" s="1377"/>
      <c r="P3" s="1377"/>
      <c r="Q3" s="1377"/>
      <c r="R3" s="1377"/>
      <c r="S3" s="1377"/>
      <c r="T3" s="2242" t="s">
        <v>483</v>
      </c>
      <c r="U3" s="2242"/>
      <c r="V3" s="2242"/>
      <c r="W3" s="2242"/>
      <c r="X3" s="2242"/>
      <c r="Y3" s="2242"/>
    </row>
    <row r="4" spans="1:25" s="1377" customFormat="1" ht="18" customHeight="1" x14ac:dyDescent="0.25">
      <c r="A4" s="2243" t="s">
        <v>25</v>
      </c>
      <c r="B4" s="2243" t="s">
        <v>26</v>
      </c>
      <c r="C4" s="2244" t="s">
        <v>27</v>
      </c>
      <c r="D4" s="2244"/>
      <c r="E4" s="2244" t="s">
        <v>342</v>
      </c>
      <c r="F4" s="2244"/>
      <c r="G4" s="2244" t="s">
        <v>65</v>
      </c>
      <c r="H4" s="2244"/>
      <c r="I4" s="2244" t="s">
        <v>29</v>
      </c>
      <c r="J4" s="2244"/>
      <c r="K4" s="2245" t="s">
        <v>14</v>
      </c>
      <c r="L4" s="2246"/>
      <c r="M4" s="2245" t="s">
        <v>429</v>
      </c>
      <c r="N4" s="2246"/>
      <c r="O4" s="2245" t="s">
        <v>441</v>
      </c>
      <c r="P4" s="2246"/>
      <c r="Q4" s="2245" t="s">
        <v>114</v>
      </c>
      <c r="R4" s="2246"/>
      <c r="S4" s="2244" t="s">
        <v>35</v>
      </c>
      <c r="T4" s="2244"/>
      <c r="U4" s="2245" t="s">
        <v>17</v>
      </c>
      <c r="V4" s="2246"/>
      <c r="W4" s="2247" t="s">
        <v>36</v>
      </c>
      <c r="X4" s="2248"/>
      <c r="Y4" s="2238" t="s">
        <v>30</v>
      </c>
    </row>
    <row r="5" spans="1:25" s="1377" customFormat="1" ht="25.5" customHeight="1" x14ac:dyDescent="0.25">
      <c r="A5" s="2243"/>
      <c r="B5" s="2243"/>
      <c r="C5" s="1376" t="s">
        <v>42</v>
      </c>
      <c r="D5" s="1376" t="s">
        <v>43</v>
      </c>
      <c r="E5" s="1376" t="s">
        <v>42</v>
      </c>
      <c r="F5" s="1376" t="s">
        <v>43</v>
      </c>
      <c r="G5" s="1376" t="s">
        <v>42</v>
      </c>
      <c r="H5" s="1376" t="s">
        <v>43</v>
      </c>
      <c r="I5" s="1376" t="s">
        <v>42</v>
      </c>
      <c r="J5" s="1376" t="s">
        <v>43</v>
      </c>
      <c r="K5" s="1376" t="s">
        <v>42</v>
      </c>
      <c r="L5" s="1376" t="s">
        <v>43</v>
      </c>
      <c r="M5" s="1376" t="s">
        <v>42</v>
      </c>
      <c r="N5" s="1376" t="s">
        <v>43</v>
      </c>
      <c r="O5" s="1376" t="s">
        <v>42</v>
      </c>
      <c r="P5" s="1376" t="s">
        <v>43</v>
      </c>
      <c r="Q5" s="1376" t="s">
        <v>42</v>
      </c>
      <c r="R5" s="1376" t="s">
        <v>43</v>
      </c>
      <c r="S5" s="33" t="s">
        <v>42</v>
      </c>
      <c r="T5" s="33" t="s">
        <v>43</v>
      </c>
      <c r="U5" s="30" t="s">
        <v>42</v>
      </c>
      <c r="V5" s="30" t="s">
        <v>43</v>
      </c>
      <c r="W5" s="30" t="s">
        <v>42</v>
      </c>
      <c r="X5" s="30" t="s">
        <v>43</v>
      </c>
      <c r="Y5" s="2239"/>
    </row>
    <row r="6" spans="1:25" ht="34.5" customHeight="1" x14ac:dyDescent="0.25">
      <c r="A6" s="12">
        <v>1409935200</v>
      </c>
      <c r="B6" s="1375" t="s">
        <v>71</v>
      </c>
      <c r="C6" s="1373">
        <v>24740</v>
      </c>
      <c r="D6" s="1372">
        <f t="shared" ref="D6:D11" si="0">0.9725*C6</f>
        <v>24059.65</v>
      </c>
      <c r="E6" s="1373"/>
      <c r="F6" s="1372">
        <f>67.1*E6</f>
        <v>0</v>
      </c>
      <c r="G6" s="1373"/>
      <c r="H6" s="1373">
        <f>28.2*G6</f>
        <v>0</v>
      </c>
      <c r="I6" s="1373">
        <v>480</v>
      </c>
      <c r="J6" s="1373">
        <f>18.5*I6</f>
        <v>8880</v>
      </c>
      <c r="K6" s="1373"/>
      <c r="L6" s="1372">
        <f>28.2368*K6</f>
        <v>0</v>
      </c>
      <c r="M6" s="1373"/>
      <c r="N6" s="1372">
        <f>M6*47.6525</f>
        <v>0</v>
      </c>
      <c r="O6" s="1373"/>
      <c r="P6" s="1372">
        <f>O6*8.9</f>
        <v>0</v>
      </c>
      <c r="Q6" s="1372"/>
      <c r="R6" s="1372">
        <f>241*Q6</f>
        <v>0</v>
      </c>
      <c r="S6" s="1373"/>
      <c r="T6" s="1373">
        <f>241*S6</f>
        <v>0</v>
      </c>
      <c r="U6" s="1373"/>
      <c r="V6" s="1373">
        <f>332*U6</f>
        <v>0</v>
      </c>
      <c r="W6" s="1373">
        <v>1</v>
      </c>
      <c r="X6" s="19">
        <f>W6*100</f>
        <v>100</v>
      </c>
      <c r="Y6" s="20">
        <f t="shared" ref="Y6:Y12" si="1">D6+F6+H6+J6+L6+N6+P6+R6+T6+V6+X6</f>
        <v>33039.65</v>
      </c>
    </row>
    <row r="7" spans="1:25" ht="31.5" customHeight="1" x14ac:dyDescent="0.25">
      <c r="A7" s="12">
        <v>1984225578</v>
      </c>
      <c r="B7" s="1375" t="s">
        <v>72</v>
      </c>
      <c r="C7" s="1373">
        <v>19262</v>
      </c>
      <c r="D7" s="1372">
        <f t="shared" si="0"/>
        <v>18732.295000000002</v>
      </c>
      <c r="E7" s="1373"/>
      <c r="F7" s="1373">
        <f t="shared" ref="F7:F11" si="2">67.1*E7</f>
        <v>0</v>
      </c>
      <c r="G7" s="1373"/>
      <c r="H7" s="1373">
        <f t="shared" ref="H7:H11" si="3">28.2*G7</f>
        <v>0</v>
      </c>
      <c r="I7" s="1373">
        <v>2120</v>
      </c>
      <c r="J7" s="1373">
        <f t="shared" ref="J7:J11" si="4">18.5*I7</f>
        <v>39220</v>
      </c>
      <c r="K7" s="1373"/>
      <c r="L7" s="1372">
        <f t="shared" ref="L7:L11" si="5">28.2368*K7</f>
        <v>0</v>
      </c>
      <c r="M7" s="1373"/>
      <c r="N7" s="1372">
        <f t="shared" ref="N7:N11" si="6">M7*47.6525</f>
        <v>0</v>
      </c>
      <c r="O7" s="1373"/>
      <c r="P7" s="1372">
        <f t="shared" ref="P7:P11" si="7">O7*8.9</f>
        <v>0</v>
      </c>
      <c r="Q7" s="1372"/>
      <c r="R7" s="1372">
        <f t="shared" ref="R7:R11" si="8">241*Q7</f>
        <v>0</v>
      </c>
      <c r="S7" s="1373"/>
      <c r="T7" s="1373">
        <f t="shared" ref="T7:T10" si="9">241*S7</f>
        <v>0</v>
      </c>
      <c r="U7" s="1373"/>
      <c r="V7" s="1373">
        <f t="shared" ref="V7:V11" si="10">332*U7</f>
        <v>0</v>
      </c>
      <c r="W7" s="1373"/>
      <c r="X7" s="19">
        <f t="shared" ref="X7:X11" si="11">W7*100</f>
        <v>0</v>
      </c>
      <c r="Y7" s="20">
        <f t="shared" si="1"/>
        <v>57952.294999999998</v>
      </c>
    </row>
    <row r="8" spans="1:25" ht="35.25" customHeight="1" x14ac:dyDescent="0.25">
      <c r="A8" s="12">
        <v>1967020280</v>
      </c>
      <c r="B8" s="1375" t="s">
        <v>427</v>
      </c>
      <c r="C8" s="1373">
        <v>20344</v>
      </c>
      <c r="D8" s="1372">
        <f t="shared" si="0"/>
        <v>19784.54</v>
      </c>
      <c r="E8" s="1373"/>
      <c r="F8" s="1373">
        <f t="shared" si="2"/>
        <v>0</v>
      </c>
      <c r="G8" s="1373">
        <v>20</v>
      </c>
      <c r="H8" s="1372">
        <f t="shared" si="3"/>
        <v>564</v>
      </c>
      <c r="I8" s="1373">
        <v>700</v>
      </c>
      <c r="J8" s="1373">
        <f t="shared" si="4"/>
        <v>12950</v>
      </c>
      <c r="K8" s="1373"/>
      <c r="L8" s="1372">
        <f t="shared" si="5"/>
        <v>0</v>
      </c>
      <c r="M8" s="1373"/>
      <c r="N8" s="1372">
        <f t="shared" si="6"/>
        <v>0</v>
      </c>
      <c r="O8" s="1373"/>
      <c r="P8" s="1372">
        <f t="shared" si="7"/>
        <v>0</v>
      </c>
      <c r="Q8" s="1372"/>
      <c r="R8" s="1372">
        <f t="shared" si="8"/>
        <v>0</v>
      </c>
      <c r="S8" s="1373"/>
      <c r="T8" s="1373">
        <f t="shared" si="9"/>
        <v>0</v>
      </c>
      <c r="U8" s="1373"/>
      <c r="V8" s="1373">
        <f t="shared" si="10"/>
        <v>0</v>
      </c>
      <c r="W8" s="1373"/>
      <c r="X8" s="19">
        <f t="shared" si="11"/>
        <v>0</v>
      </c>
      <c r="Y8" s="20">
        <f t="shared" si="1"/>
        <v>33298.54</v>
      </c>
    </row>
    <row r="9" spans="1:25" ht="38.25" customHeight="1" x14ac:dyDescent="0.25">
      <c r="A9" s="12">
        <v>1984225580</v>
      </c>
      <c r="B9" s="1375" t="s">
        <v>75</v>
      </c>
      <c r="C9" s="1373">
        <v>25695</v>
      </c>
      <c r="D9" s="1372">
        <f t="shared" si="0"/>
        <v>24988.387500000001</v>
      </c>
      <c r="E9" s="1373"/>
      <c r="F9" s="1373">
        <f t="shared" si="2"/>
        <v>0</v>
      </c>
      <c r="G9" s="1373"/>
      <c r="H9" s="1373">
        <f t="shared" si="3"/>
        <v>0</v>
      </c>
      <c r="I9" s="1373">
        <v>1560</v>
      </c>
      <c r="J9" s="1373">
        <f t="shared" si="4"/>
        <v>28860</v>
      </c>
      <c r="K9" s="1373"/>
      <c r="L9" s="1372">
        <f t="shared" si="5"/>
        <v>0</v>
      </c>
      <c r="M9" s="1373"/>
      <c r="N9" s="1372">
        <f t="shared" si="6"/>
        <v>0</v>
      </c>
      <c r="O9" s="1373"/>
      <c r="P9" s="1372">
        <f t="shared" si="7"/>
        <v>0</v>
      </c>
      <c r="Q9" s="1372"/>
      <c r="R9" s="1372">
        <f t="shared" si="8"/>
        <v>0</v>
      </c>
      <c r="S9" s="1373"/>
      <c r="T9" s="1373">
        <f t="shared" si="9"/>
        <v>0</v>
      </c>
      <c r="U9" s="1373"/>
      <c r="V9" s="1373">
        <f t="shared" si="10"/>
        <v>0</v>
      </c>
      <c r="W9" s="1373"/>
      <c r="X9" s="19">
        <f t="shared" si="11"/>
        <v>0</v>
      </c>
      <c r="Y9" s="20">
        <f t="shared" si="1"/>
        <v>53848.387499999997</v>
      </c>
    </row>
    <row r="10" spans="1:25" ht="35.25" customHeight="1" x14ac:dyDescent="0.25">
      <c r="A10" s="12">
        <v>1409935199</v>
      </c>
      <c r="C10" s="1373"/>
      <c r="D10" s="1372">
        <f t="shared" si="0"/>
        <v>0</v>
      </c>
      <c r="E10" s="1373"/>
      <c r="F10" s="1373">
        <f t="shared" si="2"/>
        <v>0</v>
      </c>
      <c r="G10" s="1373"/>
      <c r="H10" s="1373">
        <f t="shared" si="3"/>
        <v>0</v>
      </c>
      <c r="I10" s="1373"/>
      <c r="J10" s="1373">
        <f t="shared" si="4"/>
        <v>0</v>
      </c>
      <c r="K10" s="1373"/>
      <c r="L10" s="1372">
        <f t="shared" si="5"/>
        <v>0</v>
      </c>
      <c r="M10" s="1373"/>
      <c r="N10" s="1372">
        <f t="shared" si="6"/>
        <v>0</v>
      </c>
      <c r="O10" s="1373"/>
      <c r="P10" s="1372">
        <f t="shared" si="7"/>
        <v>0</v>
      </c>
      <c r="Q10" s="1372"/>
      <c r="R10" s="1372">
        <f t="shared" si="8"/>
        <v>0</v>
      </c>
      <c r="S10" s="1373"/>
      <c r="T10" s="1373">
        <f t="shared" si="9"/>
        <v>0</v>
      </c>
      <c r="U10" s="1373"/>
      <c r="V10" s="1373">
        <f t="shared" si="10"/>
        <v>0</v>
      </c>
      <c r="W10" s="1373"/>
      <c r="X10" s="19">
        <f t="shared" si="11"/>
        <v>0</v>
      </c>
      <c r="Y10" s="20">
        <f t="shared" si="1"/>
        <v>0</v>
      </c>
    </row>
    <row r="11" spans="1:25" ht="37.5" customHeight="1" x14ac:dyDescent="0.25">
      <c r="A11" s="12"/>
      <c r="B11" s="1374"/>
      <c r="C11" s="1373"/>
      <c r="D11" s="1372">
        <f t="shared" si="0"/>
        <v>0</v>
      </c>
      <c r="E11" s="1373"/>
      <c r="F11" s="1373">
        <f t="shared" si="2"/>
        <v>0</v>
      </c>
      <c r="G11" s="1373"/>
      <c r="H11" s="1373">
        <f t="shared" si="3"/>
        <v>0</v>
      </c>
      <c r="I11" s="1373"/>
      <c r="J11" s="1373">
        <f t="shared" si="4"/>
        <v>0</v>
      </c>
      <c r="K11" s="1373"/>
      <c r="L11" s="1372">
        <f t="shared" si="5"/>
        <v>0</v>
      </c>
      <c r="M11" s="1373"/>
      <c r="N11" s="1372">
        <f t="shared" si="6"/>
        <v>0</v>
      </c>
      <c r="O11" s="1373"/>
      <c r="P11" s="1372">
        <f t="shared" si="7"/>
        <v>0</v>
      </c>
      <c r="Q11" s="1372"/>
      <c r="R11" s="1372">
        <f t="shared" si="8"/>
        <v>0</v>
      </c>
      <c r="S11" s="1373"/>
      <c r="T11" s="1373">
        <f>341*S11</f>
        <v>0</v>
      </c>
      <c r="U11" s="1373"/>
      <c r="V11" s="1373">
        <f t="shared" si="10"/>
        <v>0</v>
      </c>
      <c r="W11" s="1373"/>
      <c r="X11" s="19">
        <f t="shared" si="11"/>
        <v>0</v>
      </c>
      <c r="Y11" s="20">
        <f t="shared" si="1"/>
        <v>0</v>
      </c>
    </row>
    <row r="12" spans="1:25" ht="29.25" customHeight="1" x14ac:dyDescent="0.25">
      <c r="A12" s="2235" t="s">
        <v>31</v>
      </c>
      <c r="B12" s="2235"/>
      <c r="C12" s="18">
        <f t="shared" ref="C12:X12" si="12">SUM(C6:C11)</f>
        <v>90041</v>
      </c>
      <c r="D12" s="18">
        <f t="shared" si="12"/>
        <v>87564.872500000012</v>
      </c>
      <c r="E12" s="18">
        <f t="shared" si="12"/>
        <v>0</v>
      </c>
      <c r="F12" s="18">
        <f t="shared" si="12"/>
        <v>0</v>
      </c>
      <c r="G12" s="18">
        <f t="shared" si="12"/>
        <v>20</v>
      </c>
      <c r="H12" s="18">
        <f t="shared" si="12"/>
        <v>564</v>
      </c>
      <c r="I12" s="18">
        <f t="shared" si="12"/>
        <v>4860</v>
      </c>
      <c r="J12" s="18">
        <f t="shared" si="12"/>
        <v>89910</v>
      </c>
      <c r="K12" s="18">
        <f t="shared" si="12"/>
        <v>0</v>
      </c>
      <c r="L12" s="18">
        <f t="shared" si="12"/>
        <v>0</v>
      </c>
      <c r="M12" s="18">
        <f t="shared" si="12"/>
        <v>0</v>
      </c>
      <c r="N12" s="23">
        <f t="shared" si="12"/>
        <v>0</v>
      </c>
      <c r="O12" s="18">
        <f t="shared" si="12"/>
        <v>0</v>
      </c>
      <c r="P12" s="23">
        <f t="shared" si="12"/>
        <v>0</v>
      </c>
      <c r="Q12" s="23">
        <f t="shared" si="12"/>
        <v>0</v>
      </c>
      <c r="R12" s="23">
        <f>SUM(R6:R11)</f>
        <v>0</v>
      </c>
      <c r="S12" s="23">
        <f>SUM(S6:S11)</f>
        <v>0</v>
      </c>
      <c r="T12" s="18">
        <f t="shared" si="12"/>
        <v>0</v>
      </c>
      <c r="U12" s="18">
        <f t="shared" si="12"/>
        <v>0</v>
      </c>
      <c r="V12" s="18">
        <f t="shared" si="12"/>
        <v>0</v>
      </c>
      <c r="W12" s="18">
        <f t="shared" si="12"/>
        <v>1</v>
      </c>
      <c r="X12" s="18">
        <f t="shared" si="12"/>
        <v>100</v>
      </c>
      <c r="Y12" s="20">
        <f t="shared" si="1"/>
        <v>178138.8725</v>
      </c>
    </row>
    <row r="14" spans="1:25" ht="43.5" customHeight="1" x14ac:dyDescent="0.25">
      <c r="A14" s="30" t="s">
        <v>32</v>
      </c>
      <c r="B14" s="2236" t="s">
        <v>27</v>
      </c>
      <c r="C14" s="2236"/>
      <c r="D14" s="30" t="s">
        <v>333</v>
      </c>
      <c r="E14" s="30" t="s">
        <v>65</v>
      </c>
      <c r="F14" s="30" t="s">
        <v>34</v>
      </c>
      <c r="G14" s="30" t="s">
        <v>14</v>
      </c>
      <c r="H14" s="469" t="s">
        <v>173</v>
      </c>
      <c r="I14" s="30" t="s">
        <v>17</v>
      </c>
      <c r="J14" s="1381" t="s">
        <v>174</v>
      </c>
      <c r="K14" s="30" t="s">
        <v>36</v>
      </c>
      <c r="L14" s="1381" t="s">
        <v>403</v>
      </c>
      <c r="M14" s="30" t="s">
        <v>429</v>
      </c>
      <c r="N14" s="30" t="s">
        <v>442</v>
      </c>
      <c r="O14" s="1381" t="s">
        <v>114</v>
      </c>
      <c r="P14" s="30" t="s">
        <v>70</v>
      </c>
      <c r="Q14" s="2300" t="s">
        <v>479</v>
      </c>
      <c r="R14" s="2301"/>
      <c r="S14" s="1381" t="s">
        <v>401</v>
      </c>
      <c r="T14" s="2235" t="s">
        <v>46</v>
      </c>
      <c r="U14" s="1375" t="s">
        <v>176</v>
      </c>
      <c r="V14" s="2260">
        <v>40946</v>
      </c>
      <c r="W14" s="2268"/>
      <c r="X14" s="2261"/>
    </row>
    <row r="15" spans="1:25" ht="22.5" customHeight="1" x14ac:dyDescent="0.25">
      <c r="A15" s="100" t="s">
        <v>38</v>
      </c>
      <c r="B15" s="2260">
        <v>417384</v>
      </c>
      <c r="C15" s="2261"/>
      <c r="D15" s="1378">
        <v>130</v>
      </c>
      <c r="E15" s="1378">
        <v>1650</v>
      </c>
      <c r="F15" s="1378">
        <v>24510</v>
      </c>
      <c r="G15" s="1378">
        <v>1000</v>
      </c>
      <c r="H15" s="1378">
        <v>161</v>
      </c>
      <c r="I15" s="1378">
        <v>57</v>
      </c>
      <c r="J15" s="1378">
        <v>4</v>
      </c>
      <c r="K15" s="1378">
        <v>60</v>
      </c>
      <c r="L15" s="1378">
        <v>0</v>
      </c>
      <c r="M15" s="1378">
        <v>0</v>
      </c>
      <c r="N15" s="1378">
        <v>0</v>
      </c>
      <c r="O15" s="1378">
        <v>0</v>
      </c>
      <c r="P15" s="1378">
        <v>100</v>
      </c>
      <c r="Q15" s="2260">
        <v>10</v>
      </c>
      <c r="R15" s="2261"/>
      <c r="S15" s="1375">
        <v>2</v>
      </c>
      <c r="T15" s="2235"/>
      <c r="U15" s="1375" t="s">
        <v>64</v>
      </c>
      <c r="V15" s="2262">
        <v>10092</v>
      </c>
      <c r="W15" s="2262"/>
      <c r="X15" s="2262"/>
    </row>
    <row r="16" spans="1:25" ht="24.75" customHeight="1" x14ac:dyDescent="0.25">
      <c r="A16" s="100" t="s">
        <v>39</v>
      </c>
      <c r="B16" s="2260"/>
      <c r="C16" s="2261"/>
      <c r="D16" s="1378"/>
      <c r="E16" s="1378"/>
      <c r="F16" s="1378"/>
      <c r="G16" s="1378"/>
      <c r="H16" s="1378"/>
      <c r="I16" s="1378"/>
      <c r="J16" s="1378"/>
      <c r="K16" s="1378"/>
      <c r="L16" s="1378"/>
      <c r="M16" s="1378"/>
      <c r="N16" s="1378"/>
      <c r="O16" s="1378"/>
      <c r="P16" s="1378"/>
      <c r="Q16" s="2262"/>
      <c r="R16" s="2262"/>
      <c r="S16" s="1378"/>
      <c r="T16" s="2254" t="s">
        <v>55</v>
      </c>
      <c r="U16" s="2254"/>
      <c r="V16" s="2267">
        <f>Y12</f>
        <v>178138.8725</v>
      </c>
      <c r="W16" s="2267"/>
      <c r="X16" s="2262"/>
    </row>
    <row r="17" spans="1:25" ht="28.5" customHeight="1" x14ac:dyDescent="0.25">
      <c r="A17" s="101" t="s">
        <v>44</v>
      </c>
      <c r="B17" s="2260"/>
      <c r="C17" s="2261"/>
      <c r="D17" s="1378"/>
      <c r="E17" s="1378"/>
      <c r="F17" s="1378"/>
      <c r="G17" s="1378"/>
      <c r="H17" s="1378"/>
      <c r="I17" s="1378"/>
      <c r="J17" s="1378"/>
      <c r="K17" s="1378"/>
      <c r="L17" s="1378"/>
      <c r="M17" s="1378"/>
      <c r="N17" s="1378"/>
      <c r="O17" s="1378"/>
      <c r="P17" s="1378"/>
      <c r="Q17" s="2225"/>
      <c r="R17" s="2225"/>
      <c r="S17" s="1374"/>
      <c r="T17" s="2294" t="s">
        <v>473</v>
      </c>
      <c r="U17" s="2295"/>
      <c r="V17" s="2296"/>
      <c r="W17" s="2296"/>
      <c r="X17" s="2296"/>
    </row>
    <row r="18" spans="1:25" ht="27" customHeight="1" x14ac:dyDescent="0.25">
      <c r="A18" s="100" t="s">
        <v>40</v>
      </c>
      <c r="B18" s="2264">
        <f>C12</f>
        <v>90041</v>
      </c>
      <c r="C18" s="2261"/>
      <c r="D18" s="1380">
        <f>E12</f>
        <v>0</v>
      </c>
      <c r="E18" s="1380">
        <f>G12</f>
        <v>20</v>
      </c>
      <c r="F18" s="1380">
        <f>I12</f>
        <v>4860</v>
      </c>
      <c r="G18" s="1380">
        <f>K12</f>
        <v>0</v>
      </c>
      <c r="H18" s="1378"/>
      <c r="I18" s="1380">
        <f>U12</f>
        <v>0</v>
      </c>
      <c r="J18" s="1378"/>
      <c r="K18" s="1380">
        <f>W12</f>
        <v>1</v>
      </c>
      <c r="L18" s="1378"/>
      <c r="M18" s="1380">
        <f>M12</f>
        <v>0</v>
      </c>
      <c r="N18" s="1380">
        <f>O12</f>
        <v>0</v>
      </c>
      <c r="O18" s="1379">
        <f>Q12</f>
        <v>0</v>
      </c>
      <c r="P18" s="1380"/>
      <c r="Q18" s="2262"/>
      <c r="R18" s="2262"/>
      <c r="S18" s="1375"/>
      <c r="T18" s="2254" t="s">
        <v>57</v>
      </c>
      <c r="U18" s="2254"/>
      <c r="V18" s="2262">
        <v>1250</v>
      </c>
      <c r="W18" s="2262"/>
      <c r="X18" s="2262"/>
      <c r="Y18" s="2269"/>
    </row>
    <row r="19" spans="1:25" ht="25.5" customHeight="1" x14ac:dyDescent="0.25">
      <c r="A19" s="100" t="s">
        <v>41</v>
      </c>
      <c r="B19" s="2260">
        <f>B15+B16+B17-B18</f>
        <v>327343</v>
      </c>
      <c r="C19" s="2261"/>
      <c r="D19" s="1378">
        <f>D15+D16+D17-D18</f>
        <v>130</v>
      </c>
      <c r="E19" s="1378">
        <f t="shared" ref="E19:N19" si="13">E15+E16+E17-E18</f>
        <v>1630</v>
      </c>
      <c r="F19" s="1378">
        <f t="shared" si="13"/>
        <v>19650</v>
      </c>
      <c r="G19" s="1378">
        <f t="shared" si="13"/>
        <v>1000</v>
      </c>
      <c r="H19" s="1378">
        <f t="shared" si="13"/>
        <v>161</v>
      </c>
      <c r="I19" s="1378">
        <f t="shared" si="13"/>
        <v>57</v>
      </c>
      <c r="J19" s="1378">
        <f t="shared" si="13"/>
        <v>4</v>
      </c>
      <c r="K19" s="1378">
        <f t="shared" si="13"/>
        <v>59</v>
      </c>
      <c r="L19" s="1378">
        <f t="shared" si="13"/>
        <v>0</v>
      </c>
      <c r="M19" s="1378">
        <f t="shared" si="13"/>
        <v>0</v>
      </c>
      <c r="N19" s="1378">
        <f t="shared" si="13"/>
        <v>0</v>
      </c>
      <c r="O19" s="1378">
        <f>O15+O16+O17-O18</f>
        <v>0</v>
      </c>
      <c r="P19" s="1378">
        <f t="shared" ref="P19:Q19" si="14">P15+P16+P17-P18</f>
        <v>100</v>
      </c>
      <c r="Q19" s="2260">
        <f t="shared" si="14"/>
        <v>10</v>
      </c>
      <c r="R19" s="2261"/>
      <c r="S19" s="1375">
        <f>S15+S16-S17-S18</f>
        <v>2</v>
      </c>
      <c r="T19" s="2256" t="s">
        <v>48</v>
      </c>
      <c r="U19" s="49" t="s">
        <v>58</v>
      </c>
      <c r="V19" s="2262"/>
      <c r="W19" s="2262"/>
      <c r="X19" s="2262"/>
      <c r="Y19" s="2269"/>
    </row>
    <row r="20" spans="1:25" ht="23.25" customHeight="1" x14ac:dyDescent="0.25">
      <c r="A20" s="289" t="s">
        <v>187</v>
      </c>
      <c r="B20" s="2286">
        <f>B19*0.9625</f>
        <v>315067.63750000001</v>
      </c>
      <c r="C20" s="2287"/>
      <c r="D20" s="290">
        <f>D19*66.41</f>
        <v>8633.2999999999993</v>
      </c>
      <c r="E20" s="290">
        <f>27.9368*E19</f>
        <v>45536.984000000004</v>
      </c>
      <c r="F20" s="290">
        <f>18.31*F19</f>
        <v>359791.5</v>
      </c>
      <c r="G20" s="290">
        <f>27.9368*G19</f>
        <v>27936.800000000003</v>
      </c>
      <c r="H20" s="290">
        <f>241*H19</f>
        <v>38801</v>
      </c>
      <c r="I20" s="290">
        <f>323*I19</f>
        <v>18411</v>
      </c>
      <c r="J20" s="290">
        <f>241*J19</f>
        <v>964</v>
      </c>
      <c r="K20" s="290">
        <f>K19*100</f>
        <v>5900</v>
      </c>
      <c r="L20" s="290">
        <f>241*L19</f>
        <v>0</v>
      </c>
      <c r="M20" s="290">
        <f>47.1625*M19</f>
        <v>0</v>
      </c>
      <c r="N20" s="290">
        <f>N19*8.81</f>
        <v>0</v>
      </c>
      <c r="O20" s="290">
        <f>241*O19</f>
        <v>0</v>
      </c>
      <c r="P20" s="290">
        <f>P19*48.2</f>
        <v>4820</v>
      </c>
      <c r="Q20" s="2286">
        <f>470*Q19</f>
        <v>4700</v>
      </c>
      <c r="R20" s="2287"/>
      <c r="S20" s="290">
        <f>341*S19</f>
        <v>682</v>
      </c>
      <c r="T20" s="2257"/>
      <c r="U20" s="49" t="s">
        <v>59</v>
      </c>
      <c r="V20" s="2262"/>
      <c r="W20" s="2262"/>
      <c r="X20" s="2262"/>
      <c r="Y20" s="2269"/>
    </row>
    <row r="21" spans="1:25" ht="32.25" customHeight="1" x14ac:dyDescent="0.25">
      <c r="A21" s="291" t="s">
        <v>186</v>
      </c>
      <c r="B21" s="2293">
        <f>SUM(B20:S20)</f>
        <v>831244.22149999999</v>
      </c>
      <c r="C21" s="2293"/>
      <c r="O21" s="1382"/>
      <c r="P21" s="1382"/>
      <c r="Q21" s="1382"/>
      <c r="R21" s="1382"/>
      <c r="T21" s="2294" t="s">
        <v>474</v>
      </c>
      <c r="U21" s="2295"/>
      <c r="V21" s="2297"/>
      <c r="W21" s="2298"/>
      <c r="X21" s="2299"/>
      <c r="Y21" s="2269"/>
    </row>
    <row r="22" spans="1:25" ht="35.25" customHeight="1" x14ac:dyDescent="0.25">
      <c r="A22" s="15"/>
      <c r="B22" s="2288" t="s">
        <v>49</v>
      </c>
      <c r="C22" s="2291">
        <v>400000</v>
      </c>
      <c r="D22" s="2291"/>
      <c r="E22" s="2291"/>
      <c r="F22" s="2291">
        <f>C22-D22+E22</f>
        <v>400000</v>
      </c>
      <c r="G22" s="1382"/>
      <c r="Q22" s="1382"/>
      <c r="R22" s="1382"/>
      <c r="T22" s="2251" t="s">
        <v>83</v>
      </c>
      <c r="U22" s="50" t="s">
        <v>60</v>
      </c>
      <c r="V22" s="2262"/>
      <c r="W22" s="2262"/>
      <c r="X22" s="2262"/>
      <c r="Y22" s="2269"/>
    </row>
    <row r="23" spans="1:25" ht="39.75" customHeight="1" x14ac:dyDescent="0.25">
      <c r="A23" s="1382"/>
      <c r="B23" s="2289"/>
      <c r="C23" s="2292"/>
      <c r="D23" s="2292"/>
      <c r="E23" s="2292"/>
      <c r="F23" s="2292"/>
      <c r="G23" s="1382"/>
      <c r="Q23" s="1382"/>
      <c r="R23" s="1382"/>
      <c r="T23" s="2252"/>
      <c r="U23" s="50" t="s">
        <v>61</v>
      </c>
      <c r="V23" s="2262"/>
      <c r="W23" s="2262"/>
      <c r="X23" s="2262"/>
      <c r="Y23" s="2269"/>
    </row>
    <row r="24" spans="1:25" ht="48" customHeight="1" x14ac:dyDescent="0.25">
      <c r="A24" s="1382"/>
      <c r="B24" s="2290"/>
      <c r="C24" s="290" t="s">
        <v>46</v>
      </c>
      <c r="D24" s="290" t="s">
        <v>50</v>
      </c>
      <c r="E24" s="290" t="s">
        <v>51</v>
      </c>
      <c r="F24" s="290" t="s">
        <v>52</v>
      </c>
      <c r="G24" s="1382"/>
      <c r="Q24" s="1382"/>
      <c r="R24" s="1382"/>
      <c r="T24" s="2235" t="s">
        <v>47</v>
      </c>
      <c r="U24" s="51" t="s">
        <v>62</v>
      </c>
      <c r="V24" s="2263">
        <f>V14+V16+V17-V18-V19-V20-V22+V23-V21</f>
        <v>217834.8725</v>
      </c>
      <c r="W24" s="2263"/>
      <c r="X24" s="2263"/>
      <c r="Y24" s="2269"/>
    </row>
    <row r="25" spans="1:25" ht="40.5" customHeight="1" x14ac:dyDescent="0.25">
      <c r="T25" s="2235"/>
      <c r="U25" s="51" t="s">
        <v>63</v>
      </c>
      <c r="V25" s="2262">
        <f>V15+V22-V23</f>
        <v>10092</v>
      </c>
      <c r="W25" s="2262"/>
      <c r="X25" s="2262"/>
    </row>
    <row r="26" spans="1:25" ht="36" customHeight="1" x14ac:dyDescent="0.25">
      <c r="K26" s="314"/>
    </row>
    <row r="28" spans="1:25" x14ac:dyDescent="0.25">
      <c r="J28" s="14" t="s">
        <v>139</v>
      </c>
    </row>
    <row r="32" spans="1:25" x14ac:dyDescent="0.25">
      <c r="I32" s="2280"/>
      <c r="J32" s="2280"/>
      <c r="K32" s="2280"/>
      <c r="L32" s="2280"/>
    </row>
    <row r="33" spans="9:12" x14ac:dyDescent="0.25">
      <c r="I33" s="1382"/>
      <c r="J33" s="1382"/>
      <c r="K33" s="2280"/>
      <c r="L33" s="2280"/>
    </row>
  </sheetData>
  <mergeCells count="62">
    <mergeCell ref="A1:Y1"/>
    <mergeCell ref="A2:Y2"/>
    <mergeCell ref="T3:Y3"/>
    <mergeCell ref="A4:A5"/>
    <mergeCell ref="B4:B5"/>
    <mergeCell ref="C4:D4"/>
    <mergeCell ref="E4:F4"/>
    <mergeCell ref="G4:H4"/>
    <mergeCell ref="I4:J4"/>
    <mergeCell ref="K4:L4"/>
    <mergeCell ref="Y4:Y5"/>
    <mergeCell ref="M4:N4"/>
    <mergeCell ref="O4:P4"/>
    <mergeCell ref="Q4:R4"/>
    <mergeCell ref="S4:T4"/>
    <mergeCell ref="U4:V4"/>
    <mergeCell ref="W4:X4"/>
    <mergeCell ref="B16:C16"/>
    <mergeCell ref="Q16:R16"/>
    <mergeCell ref="T16:U16"/>
    <mergeCell ref="V16:X16"/>
    <mergeCell ref="A12:B12"/>
    <mergeCell ref="B14:C14"/>
    <mergeCell ref="Q14:R14"/>
    <mergeCell ref="T14:T15"/>
    <mergeCell ref="V14:X14"/>
    <mergeCell ref="B15:C15"/>
    <mergeCell ref="Q15:R15"/>
    <mergeCell ref="V15:X15"/>
    <mergeCell ref="B17:C17"/>
    <mergeCell ref="Q17:R17"/>
    <mergeCell ref="T17:U17"/>
    <mergeCell ref="V17:X17"/>
    <mergeCell ref="B18:C18"/>
    <mergeCell ref="Q18:R18"/>
    <mergeCell ref="T18:U18"/>
    <mergeCell ref="V18:X18"/>
    <mergeCell ref="Y18:Y24"/>
    <mergeCell ref="B19:C19"/>
    <mergeCell ref="Q19:R19"/>
    <mergeCell ref="T19:T20"/>
    <mergeCell ref="V19:X19"/>
    <mergeCell ref="B20:C20"/>
    <mergeCell ref="B22:B24"/>
    <mergeCell ref="C22:C23"/>
    <mergeCell ref="D22:D23"/>
    <mergeCell ref="E22:E23"/>
    <mergeCell ref="F22:F23"/>
    <mergeCell ref="Q20:R20"/>
    <mergeCell ref="V20:X20"/>
    <mergeCell ref="B21:C21"/>
    <mergeCell ref="T21:U21"/>
    <mergeCell ref="V21:X21"/>
    <mergeCell ref="I32:J32"/>
    <mergeCell ref="K32:L32"/>
    <mergeCell ref="K33:L33"/>
    <mergeCell ref="T22:T23"/>
    <mergeCell ref="V22:X22"/>
    <mergeCell ref="V23:X23"/>
    <mergeCell ref="T24:T25"/>
    <mergeCell ref="V24:X24"/>
    <mergeCell ref="V25:X25"/>
  </mergeCells>
  <pageMargins left="0.15748031496063" right="0.15748031496063" top="0" bottom="0" header="0" footer="0"/>
  <pageSetup paperSize="9" scale="47" orientation="landscape" r:id="rId1"/>
</worksheet>
</file>

<file path=xl/worksheets/sheet2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2EC951B-7265-4EFD-86B8-D1C2C9874039}">
  <sheetPr>
    <pageSetUpPr fitToPage="1"/>
  </sheetPr>
  <dimension ref="A1:Y33"/>
  <sheetViews>
    <sheetView topLeftCell="D3" zoomScale="70" zoomScaleNormal="70" zoomScaleSheetLayoutView="100" zoomScalePageLayoutView="68" workbookViewId="0">
      <selection activeCell="Z19" sqref="Z19"/>
    </sheetView>
  </sheetViews>
  <sheetFormatPr defaultColWidth="9.140625" defaultRowHeight="15" x14ac:dyDescent="0.25"/>
  <cols>
    <col min="1" max="1" width="18.28515625" style="14" customWidth="1"/>
    <col min="2" max="2" width="10.7109375" style="14" customWidth="1"/>
    <col min="3" max="3" width="12.28515625" style="14" customWidth="1"/>
    <col min="4" max="4" width="13.140625" style="14" bestFit="1" customWidth="1"/>
    <col min="5" max="5" width="12" style="14" customWidth="1"/>
    <col min="6" max="6" width="12.5703125" style="14" bestFit="1" customWidth="1"/>
    <col min="7" max="7" width="16" style="14" bestFit="1" customWidth="1"/>
    <col min="8" max="8" width="10.140625" style="14" bestFit="1" customWidth="1"/>
    <col min="9" max="9" width="10.5703125" style="14" bestFit="1" customWidth="1"/>
    <col min="10" max="10" width="10.5703125" style="14" customWidth="1"/>
    <col min="11" max="11" width="10.28515625" style="14" bestFit="1" customWidth="1"/>
    <col min="12" max="12" width="10.42578125" style="14" bestFit="1" customWidth="1"/>
    <col min="13" max="14" width="12" style="14" bestFit="1" customWidth="1"/>
    <col min="15" max="15" width="9" style="14" customWidth="1"/>
    <col min="16" max="16" width="12.85546875" style="14" bestFit="1" customWidth="1"/>
    <col min="17" max="18" width="9.42578125" style="14" customWidth="1"/>
    <col min="19" max="19" width="13.7109375" style="14" customWidth="1"/>
    <col min="20" max="20" width="12.140625" style="14" customWidth="1"/>
    <col min="21" max="21" width="21.7109375" style="14" customWidth="1"/>
    <col min="22" max="22" width="9.85546875" style="14" customWidth="1"/>
    <col min="23" max="23" width="10.140625" style="14" bestFit="1" customWidth="1"/>
    <col min="24" max="24" width="10.28515625" style="14" customWidth="1"/>
    <col min="25" max="25" width="15.7109375" style="14" customWidth="1"/>
    <col min="26" max="16384" width="9.140625" style="14"/>
  </cols>
  <sheetData>
    <row r="1" spans="1:25" ht="46.15" customHeight="1" x14ac:dyDescent="0.25">
      <c r="A1" s="2240" t="s">
        <v>148</v>
      </c>
      <c r="B1" s="2240"/>
      <c r="C1" s="2240"/>
      <c r="D1" s="2240"/>
      <c r="E1" s="2240"/>
      <c r="F1" s="2240"/>
      <c r="G1" s="2240"/>
      <c r="H1" s="2240"/>
      <c r="I1" s="2240"/>
      <c r="J1" s="2240"/>
      <c r="K1" s="2240"/>
      <c r="L1" s="2240"/>
      <c r="M1" s="2240"/>
      <c r="N1" s="2240"/>
      <c r="O1" s="2240"/>
      <c r="P1" s="2240"/>
      <c r="Q1" s="2240"/>
      <c r="R1" s="2240"/>
      <c r="S1" s="2240"/>
      <c r="T1" s="2240"/>
      <c r="U1" s="2240"/>
      <c r="V1" s="2240"/>
      <c r="W1" s="2240"/>
      <c r="X1" s="2240"/>
      <c r="Y1" s="2240"/>
    </row>
    <row r="2" spans="1:25" ht="21.6" customHeight="1" x14ac:dyDescent="0.25">
      <c r="A2" s="2241" t="s">
        <v>383</v>
      </c>
      <c r="B2" s="2241"/>
      <c r="C2" s="2241"/>
      <c r="D2" s="2241"/>
      <c r="E2" s="2241"/>
      <c r="F2" s="2241"/>
      <c r="G2" s="2241"/>
      <c r="H2" s="2241"/>
      <c r="I2" s="2241"/>
      <c r="J2" s="2241"/>
      <c r="K2" s="2241"/>
      <c r="L2" s="2241"/>
      <c r="M2" s="2241"/>
      <c r="N2" s="2241"/>
      <c r="O2" s="2241"/>
      <c r="P2" s="2241"/>
      <c r="Q2" s="2241"/>
      <c r="R2" s="2241"/>
      <c r="S2" s="2241"/>
      <c r="T2" s="2241"/>
      <c r="U2" s="2241"/>
      <c r="V2" s="2241"/>
      <c r="W2" s="2241"/>
      <c r="X2" s="2241"/>
      <c r="Y2" s="2241"/>
    </row>
    <row r="3" spans="1:25" ht="21" customHeight="1" x14ac:dyDescent="0.25">
      <c r="A3" s="1388"/>
      <c r="B3" s="1388"/>
      <c r="C3" s="1388"/>
      <c r="D3" s="1388"/>
      <c r="E3" s="1388"/>
      <c r="F3" s="1388"/>
      <c r="G3" s="1388"/>
      <c r="H3" s="1388"/>
      <c r="I3" s="1388"/>
      <c r="J3" s="1388"/>
      <c r="K3" s="1388"/>
      <c r="L3" s="1388"/>
      <c r="M3" s="1388"/>
      <c r="N3" s="1388"/>
      <c r="O3" s="1388"/>
      <c r="P3" s="1388"/>
      <c r="Q3" s="1388"/>
      <c r="R3" s="1388"/>
      <c r="S3" s="1388"/>
      <c r="T3" s="2242" t="s">
        <v>484</v>
      </c>
      <c r="U3" s="2242"/>
      <c r="V3" s="2242"/>
      <c r="W3" s="2242"/>
      <c r="X3" s="2242"/>
      <c r="Y3" s="2242"/>
    </row>
    <row r="4" spans="1:25" s="1388" customFormat="1" ht="18" customHeight="1" x14ac:dyDescent="0.25">
      <c r="A4" s="2243" t="s">
        <v>25</v>
      </c>
      <c r="B4" s="2243" t="s">
        <v>26</v>
      </c>
      <c r="C4" s="2244" t="s">
        <v>27</v>
      </c>
      <c r="D4" s="2244"/>
      <c r="E4" s="2244" t="s">
        <v>342</v>
      </c>
      <c r="F4" s="2244"/>
      <c r="G4" s="2244" t="s">
        <v>65</v>
      </c>
      <c r="H4" s="2244"/>
      <c r="I4" s="2244" t="s">
        <v>29</v>
      </c>
      <c r="J4" s="2244"/>
      <c r="K4" s="2245" t="s">
        <v>14</v>
      </c>
      <c r="L4" s="2246"/>
      <c r="M4" s="2245" t="s">
        <v>429</v>
      </c>
      <c r="N4" s="2246"/>
      <c r="O4" s="2245" t="s">
        <v>441</v>
      </c>
      <c r="P4" s="2246"/>
      <c r="Q4" s="2245" t="s">
        <v>114</v>
      </c>
      <c r="R4" s="2246"/>
      <c r="S4" s="2244" t="s">
        <v>35</v>
      </c>
      <c r="T4" s="2244"/>
      <c r="U4" s="2245" t="s">
        <v>17</v>
      </c>
      <c r="V4" s="2246"/>
      <c r="W4" s="2247" t="s">
        <v>36</v>
      </c>
      <c r="X4" s="2248"/>
      <c r="Y4" s="2238" t="s">
        <v>30</v>
      </c>
    </row>
    <row r="5" spans="1:25" s="1388" customFormat="1" ht="25.5" customHeight="1" x14ac:dyDescent="0.25">
      <c r="A5" s="2243"/>
      <c r="B5" s="2243"/>
      <c r="C5" s="1387" t="s">
        <v>42</v>
      </c>
      <c r="D5" s="1387" t="s">
        <v>43</v>
      </c>
      <c r="E5" s="1387" t="s">
        <v>42</v>
      </c>
      <c r="F5" s="1387" t="s">
        <v>43</v>
      </c>
      <c r="G5" s="1387" t="s">
        <v>42</v>
      </c>
      <c r="H5" s="1387" t="s">
        <v>43</v>
      </c>
      <c r="I5" s="1387" t="s">
        <v>42</v>
      </c>
      <c r="J5" s="1387" t="s">
        <v>43</v>
      </c>
      <c r="K5" s="1387" t="s">
        <v>42</v>
      </c>
      <c r="L5" s="1387" t="s">
        <v>43</v>
      </c>
      <c r="M5" s="1387" t="s">
        <v>42</v>
      </c>
      <c r="N5" s="1387" t="s">
        <v>43</v>
      </c>
      <c r="O5" s="1387" t="s">
        <v>42</v>
      </c>
      <c r="P5" s="1387" t="s">
        <v>43</v>
      </c>
      <c r="Q5" s="1387" t="s">
        <v>42</v>
      </c>
      <c r="R5" s="1387" t="s">
        <v>43</v>
      </c>
      <c r="S5" s="33" t="s">
        <v>42</v>
      </c>
      <c r="T5" s="33" t="s">
        <v>43</v>
      </c>
      <c r="U5" s="30" t="s">
        <v>42</v>
      </c>
      <c r="V5" s="30" t="s">
        <v>43</v>
      </c>
      <c r="W5" s="30" t="s">
        <v>42</v>
      </c>
      <c r="X5" s="30" t="s">
        <v>43</v>
      </c>
      <c r="Y5" s="2239"/>
    </row>
    <row r="6" spans="1:25" ht="34.5" customHeight="1" x14ac:dyDescent="0.25">
      <c r="A6" s="12">
        <v>1409935200</v>
      </c>
      <c r="B6" s="1386" t="s">
        <v>71</v>
      </c>
      <c r="C6" s="1384">
        <v>31147</v>
      </c>
      <c r="D6" s="1383">
        <f t="shared" ref="D6:D11" si="0">0.9725*C6</f>
        <v>30290.4575</v>
      </c>
      <c r="E6" s="1384"/>
      <c r="F6" s="1383">
        <f>67.1*E6</f>
        <v>0</v>
      </c>
      <c r="G6" s="1384">
        <v>60</v>
      </c>
      <c r="H6" s="1384">
        <f>28.2*G6</f>
        <v>1692</v>
      </c>
      <c r="I6" s="1384">
        <v>430</v>
      </c>
      <c r="J6" s="1384">
        <f>18.5*I6</f>
        <v>7955</v>
      </c>
      <c r="K6" s="1384"/>
      <c r="L6" s="1383">
        <f>28.2368*K6</f>
        <v>0</v>
      </c>
      <c r="M6" s="1384"/>
      <c r="N6" s="1383">
        <f>M6*47.6525</f>
        <v>0</v>
      </c>
      <c r="O6" s="1384"/>
      <c r="P6" s="1383">
        <f>O6*8.9</f>
        <v>0</v>
      </c>
      <c r="Q6" s="1383"/>
      <c r="R6" s="1383">
        <f>241*Q6</f>
        <v>0</v>
      </c>
      <c r="S6" s="1384"/>
      <c r="T6" s="1384">
        <f>241*S6</f>
        <v>0</v>
      </c>
      <c r="U6" s="1384"/>
      <c r="V6" s="1384">
        <f>332*U6</f>
        <v>0</v>
      </c>
      <c r="W6" s="1384"/>
      <c r="X6" s="19">
        <f>W6*100</f>
        <v>0</v>
      </c>
      <c r="Y6" s="20">
        <f t="shared" ref="Y6:Y12" si="1">D6+F6+H6+J6+L6+N6+P6+R6+T6+V6+X6</f>
        <v>39937.457500000004</v>
      </c>
    </row>
    <row r="7" spans="1:25" ht="31.5" customHeight="1" x14ac:dyDescent="0.25">
      <c r="A7" s="12">
        <v>1984225578</v>
      </c>
      <c r="B7" s="1386" t="s">
        <v>72</v>
      </c>
      <c r="C7" s="1384">
        <v>12202</v>
      </c>
      <c r="D7" s="1383">
        <f t="shared" si="0"/>
        <v>11866.445</v>
      </c>
      <c r="E7" s="1384"/>
      <c r="F7" s="1384">
        <f t="shared" ref="F7:F11" si="2">67.1*E7</f>
        <v>0</v>
      </c>
      <c r="G7" s="1384"/>
      <c r="H7" s="1384">
        <f t="shared" ref="H7:H11" si="3">28.2*G7</f>
        <v>0</v>
      </c>
      <c r="I7" s="1384">
        <v>450</v>
      </c>
      <c r="J7" s="1384">
        <f t="shared" ref="J7:J11" si="4">18.5*I7</f>
        <v>8325</v>
      </c>
      <c r="K7" s="1384"/>
      <c r="L7" s="1383">
        <f t="shared" ref="L7:L11" si="5">28.2368*K7</f>
        <v>0</v>
      </c>
      <c r="M7" s="1384"/>
      <c r="N7" s="1383">
        <f t="shared" ref="N7:N11" si="6">M7*47.6525</f>
        <v>0</v>
      </c>
      <c r="O7" s="1384"/>
      <c r="P7" s="1383">
        <f t="shared" ref="P7:P11" si="7">O7*8.9</f>
        <v>0</v>
      </c>
      <c r="Q7" s="1383"/>
      <c r="R7" s="1383">
        <f t="shared" ref="R7:R11" si="8">241*Q7</f>
        <v>0</v>
      </c>
      <c r="S7" s="1384"/>
      <c r="T7" s="1384">
        <f t="shared" ref="T7:T10" si="9">241*S7</f>
        <v>0</v>
      </c>
      <c r="U7" s="1384"/>
      <c r="V7" s="1384">
        <f t="shared" ref="V7:V11" si="10">332*U7</f>
        <v>0</v>
      </c>
      <c r="W7" s="1384"/>
      <c r="X7" s="19">
        <f t="shared" ref="X7:X11" si="11">W7*100</f>
        <v>0</v>
      </c>
      <c r="Y7" s="20">
        <f t="shared" si="1"/>
        <v>20191.445</v>
      </c>
    </row>
    <row r="8" spans="1:25" ht="35.25" customHeight="1" x14ac:dyDescent="0.25">
      <c r="A8" s="12">
        <v>1967020280</v>
      </c>
      <c r="B8" s="1386" t="s">
        <v>427</v>
      </c>
      <c r="C8" s="1384">
        <v>30216</v>
      </c>
      <c r="D8" s="1383">
        <f t="shared" si="0"/>
        <v>29385.06</v>
      </c>
      <c r="E8" s="1384"/>
      <c r="F8" s="1384">
        <f t="shared" si="2"/>
        <v>0</v>
      </c>
      <c r="G8" s="1384">
        <v>30</v>
      </c>
      <c r="H8" s="1383">
        <f t="shared" si="3"/>
        <v>846</v>
      </c>
      <c r="I8" s="1384">
        <v>590</v>
      </c>
      <c r="J8" s="1384">
        <f t="shared" si="4"/>
        <v>10915</v>
      </c>
      <c r="K8" s="1384"/>
      <c r="L8" s="1383">
        <f t="shared" si="5"/>
        <v>0</v>
      </c>
      <c r="M8" s="1384"/>
      <c r="N8" s="1383">
        <f t="shared" si="6"/>
        <v>0</v>
      </c>
      <c r="O8" s="1384"/>
      <c r="P8" s="1383">
        <f t="shared" si="7"/>
        <v>0</v>
      </c>
      <c r="Q8" s="1383"/>
      <c r="R8" s="1383">
        <f t="shared" si="8"/>
        <v>0</v>
      </c>
      <c r="S8" s="1384"/>
      <c r="T8" s="1384">
        <f t="shared" si="9"/>
        <v>0</v>
      </c>
      <c r="U8" s="1384"/>
      <c r="V8" s="1384">
        <f t="shared" si="10"/>
        <v>0</v>
      </c>
      <c r="W8" s="1384"/>
      <c r="X8" s="19">
        <f t="shared" si="11"/>
        <v>0</v>
      </c>
      <c r="Y8" s="20">
        <f t="shared" si="1"/>
        <v>41146.06</v>
      </c>
    </row>
    <row r="9" spans="1:25" ht="38.25" customHeight="1" x14ac:dyDescent="0.25">
      <c r="A9" s="12">
        <v>1984225580</v>
      </c>
      <c r="B9" s="1386" t="s">
        <v>75</v>
      </c>
      <c r="C9" s="1384">
        <v>26224</v>
      </c>
      <c r="D9" s="1383">
        <f t="shared" si="0"/>
        <v>25502.84</v>
      </c>
      <c r="E9" s="1384"/>
      <c r="F9" s="1384">
        <f t="shared" si="2"/>
        <v>0</v>
      </c>
      <c r="G9" s="1384"/>
      <c r="H9" s="1384">
        <f t="shared" si="3"/>
        <v>0</v>
      </c>
      <c r="I9" s="1384">
        <v>480</v>
      </c>
      <c r="J9" s="1384">
        <f t="shared" si="4"/>
        <v>8880</v>
      </c>
      <c r="K9" s="1384"/>
      <c r="L9" s="1383">
        <f t="shared" si="5"/>
        <v>0</v>
      </c>
      <c r="M9" s="1384"/>
      <c r="N9" s="1383">
        <f t="shared" si="6"/>
        <v>0</v>
      </c>
      <c r="O9" s="1384"/>
      <c r="P9" s="1383">
        <f t="shared" si="7"/>
        <v>0</v>
      </c>
      <c r="Q9" s="1383"/>
      <c r="R9" s="1383">
        <f t="shared" si="8"/>
        <v>0</v>
      </c>
      <c r="S9" s="1384"/>
      <c r="T9" s="1384">
        <f t="shared" si="9"/>
        <v>0</v>
      </c>
      <c r="U9" s="1384">
        <v>5</v>
      </c>
      <c r="V9" s="1384">
        <f t="shared" si="10"/>
        <v>1660</v>
      </c>
      <c r="W9" s="1384"/>
      <c r="X9" s="19">
        <f t="shared" si="11"/>
        <v>0</v>
      </c>
      <c r="Y9" s="20">
        <f t="shared" si="1"/>
        <v>36042.839999999997</v>
      </c>
    </row>
    <row r="10" spans="1:25" ht="35.25" customHeight="1" x14ac:dyDescent="0.25">
      <c r="A10" s="12">
        <v>1409935199</v>
      </c>
      <c r="C10" s="1384">
        <v>4113</v>
      </c>
      <c r="D10" s="1383">
        <f t="shared" si="0"/>
        <v>3999.8924999999999</v>
      </c>
      <c r="E10" s="1384"/>
      <c r="F10" s="1384">
        <f t="shared" si="2"/>
        <v>0</v>
      </c>
      <c r="G10" s="1384"/>
      <c r="H10" s="1384">
        <f t="shared" si="3"/>
        <v>0</v>
      </c>
      <c r="I10" s="1384">
        <v>3000</v>
      </c>
      <c r="J10" s="1384">
        <f t="shared" si="4"/>
        <v>55500</v>
      </c>
      <c r="K10" s="1384"/>
      <c r="L10" s="1383">
        <f t="shared" si="5"/>
        <v>0</v>
      </c>
      <c r="M10" s="1384"/>
      <c r="N10" s="1383">
        <f t="shared" si="6"/>
        <v>0</v>
      </c>
      <c r="O10" s="1384"/>
      <c r="P10" s="1383">
        <f t="shared" si="7"/>
        <v>0</v>
      </c>
      <c r="Q10" s="1383"/>
      <c r="R10" s="1383">
        <f t="shared" si="8"/>
        <v>0</v>
      </c>
      <c r="S10" s="1384"/>
      <c r="T10" s="1384">
        <f t="shared" si="9"/>
        <v>0</v>
      </c>
      <c r="U10" s="1384"/>
      <c r="V10" s="1384">
        <f t="shared" si="10"/>
        <v>0</v>
      </c>
      <c r="W10" s="1384"/>
      <c r="X10" s="19">
        <f t="shared" si="11"/>
        <v>0</v>
      </c>
      <c r="Y10" s="20">
        <f t="shared" si="1"/>
        <v>59499.892500000002</v>
      </c>
    </row>
    <row r="11" spans="1:25" ht="37.5" customHeight="1" x14ac:dyDescent="0.25">
      <c r="A11" s="12"/>
      <c r="B11" s="1385"/>
      <c r="C11" s="1384"/>
      <c r="D11" s="1383">
        <f t="shared" si="0"/>
        <v>0</v>
      </c>
      <c r="E11" s="1384"/>
      <c r="F11" s="1384">
        <f t="shared" si="2"/>
        <v>0</v>
      </c>
      <c r="G11" s="1384"/>
      <c r="H11" s="1384">
        <f t="shared" si="3"/>
        <v>0</v>
      </c>
      <c r="I11" s="1384"/>
      <c r="J11" s="1384">
        <f t="shared" si="4"/>
        <v>0</v>
      </c>
      <c r="K11" s="1384"/>
      <c r="L11" s="1383">
        <f t="shared" si="5"/>
        <v>0</v>
      </c>
      <c r="M11" s="1384"/>
      <c r="N11" s="1383">
        <f t="shared" si="6"/>
        <v>0</v>
      </c>
      <c r="O11" s="1384"/>
      <c r="P11" s="1383">
        <f t="shared" si="7"/>
        <v>0</v>
      </c>
      <c r="Q11" s="1383"/>
      <c r="R11" s="1383">
        <f t="shared" si="8"/>
        <v>0</v>
      </c>
      <c r="S11" s="1384"/>
      <c r="T11" s="1384">
        <f>341*S11</f>
        <v>0</v>
      </c>
      <c r="U11" s="1384"/>
      <c r="V11" s="1384">
        <f t="shared" si="10"/>
        <v>0</v>
      </c>
      <c r="W11" s="1384"/>
      <c r="X11" s="19">
        <f t="shared" si="11"/>
        <v>0</v>
      </c>
      <c r="Y11" s="20">
        <f t="shared" si="1"/>
        <v>0</v>
      </c>
    </row>
    <row r="12" spans="1:25" ht="29.25" customHeight="1" x14ac:dyDescent="0.25">
      <c r="A12" s="2235" t="s">
        <v>31</v>
      </c>
      <c r="B12" s="2235"/>
      <c r="C12" s="18">
        <f t="shared" ref="C12:X12" si="12">SUM(C6:C11)</f>
        <v>103902</v>
      </c>
      <c r="D12" s="18">
        <f t="shared" si="12"/>
        <v>101044.69499999999</v>
      </c>
      <c r="E12" s="18">
        <f t="shared" si="12"/>
        <v>0</v>
      </c>
      <c r="F12" s="18">
        <f t="shared" si="12"/>
        <v>0</v>
      </c>
      <c r="G12" s="18">
        <f t="shared" si="12"/>
        <v>90</v>
      </c>
      <c r="H12" s="18">
        <f t="shared" si="12"/>
        <v>2538</v>
      </c>
      <c r="I12" s="18">
        <f t="shared" si="12"/>
        <v>4950</v>
      </c>
      <c r="J12" s="18">
        <f t="shared" si="12"/>
        <v>91575</v>
      </c>
      <c r="K12" s="18">
        <f t="shared" si="12"/>
        <v>0</v>
      </c>
      <c r="L12" s="18">
        <f t="shared" si="12"/>
        <v>0</v>
      </c>
      <c r="M12" s="18">
        <f t="shared" si="12"/>
        <v>0</v>
      </c>
      <c r="N12" s="23">
        <f t="shared" si="12"/>
        <v>0</v>
      </c>
      <c r="O12" s="18">
        <f t="shared" si="12"/>
        <v>0</v>
      </c>
      <c r="P12" s="23">
        <f t="shared" si="12"/>
        <v>0</v>
      </c>
      <c r="Q12" s="23">
        <f t="shared" si="12"/>
        <v>0</v>
      </c>
      <c r="R12" s="23">
        <f>SUM(R6:R11)</f>
        <v>0</v>
      </c>
      <c r="S12" s="23">
        <f>SUM(S6:S11)</f>
        <v>0</v>
      </c>
      <c r="T12" s="18">
        <f t="shared" si="12"/>
        <v>0</v>
      </c>
      <c r="U12" s="18">
        <f t="shared" si="12"/>
        <v>5</v>
      </c>
      <c r="V12" s="18">
        <f t="shared" si="12"/>
        <v>1660</v>
      </c>
      <c r="W12" s="18">
        <f t="shared" si="12"/>
        <v>0</v>
      </c>
      <c r="X12" s="18">
        <f t="shared" si="12"/>
        <v>0</v>
      </c>
      <c r="Y12" s="20">
        <f t="shared" si="1"/>
        <v>196817.69500000001</v>
      </c>
    </row>
    <row r="14" spans="1:25" ht="43.5" customHeight="1" x14ac:dyDescent="0.25">
      <c r="A14" s="30" t="s">
        <v>32</v>
      </c>
      <c r="B14" s="2236" t="s">
        <v>27</v>
      </c>
      <c r="C14" s="2236"/>
      <c r="D14" s="30" t="s">
        <v>333</v>
      </c>
      <c r="E14" s="30" t="s">
        <v>65</v>
      </c>
      <c r="F14" s="30" t="s">
        <v>34</v>
      </c>
      <c r="G14" s="30" t="s">
        <v>14</v>
      </c>
      <c r="H14" s="469" t="s">
        <v>173</v>
      </c>
      <c r="I14" s="30" t="s">
        <v>17</v>
      </c>
      <c r="J14" s="1392" t="s">
        <v>174</v>
      </c>
      <c r="K14" s="30" t="s">
        <v>36</v>
      </c>
      <c r="L14" s="1392" t="s">
        <v>403</v>
      </c>
      <c r="M14" s="30" t="s">
        <v>429</v>
      </c>
      <c r="N14" s="30" t="s">
        <v>442</v>
      </c>
      <c r="O14" s="1392" t="s">
        <v>114</v>
      </c>
      <c r="P14" s="30" t="s">
        <v>70</v>
      </c>
      <c r="Q14" s="2300" t="s">
        <v>479</v>
      </c>
      <c r="R14" s="2301"/>
      <c r="S14" s="1392" t="s">
        <v>401</v>
      </c>
      <c r="T14" s="2235" t="s">
        <v>46</v>
      </c>
      <c r="U14" s="1386" t="s">
        <v>176</v>
      </c>
      <c r="V14" s="2260">
        <v>217835</v>
      </c>
      <c r="W14" s="2268"/>
      <c r="X14" s="2261"/>
    </row>
    <row r="15" spans="1:25" ht="22.5" customHeight="1" x14ac:dyDescent="0.25">
      <c r="A15" s="100" t="s">
        <v>38</v>
      </c>
      <c r="B15" s="2260">
        <v>327343</v>
      </c>
      <c r="C15" s="2261"/>
      <c r="D15" s="1389">
        <v>130</v>
      </c>
      <c r="E15" s="1389">
        <v>1630</v>
      </c>
      <c r="F15" s="1389">
        <v>19650</v>
      </c>
      <c r="G15" s="1389">
        <v>1000</v>
      </c>
      <c r="H15" s="1389">
        <v>161</v>
      </c>
      <c r="I15" s="1389">
        <v>57</v>
      </c>
      <c r="J15" s="1389">
        <v>4</v>
      </c>
      <c r="K15" s="1389">
        <v>59</v>
      </c>
      <c r="L15" s="1389">
        <v>0</v>
      </c>
      <c r="M15" s="1389">
        <v>0</v>
      </c>
      <c r="N15" s="1389">
        <v>0</v>
      </c>
      <c r="O15" s="1389">
        <v>0</v>
      </c>
      <c r="P15" s="1389">
        <v>100</v>
      </c>
      <c r="Q15" s="2260">
        <v>10</v>
      </c>
      <c r="R15" s="2261"/>
      <c r="S15" s="1386">
        <v>2</v>
      </c>
      <c r="T15" s="2235"/>
      <c r="U15" s="1386" t="s">
        <v>64</v>
      </c>
      <c r="V15" s="2262">
        <v>10092</v>
      </c>
      <c r="W15" s="2262"/>
      <c r="X15" s="2262"/>
    </row>
    <row r="16" spans="1:25" ht="24.75" customHeight="1" x14ac:dyDescent="0.25">
      <c r="A16" s="100" t="s">
        <v>39</v>
      </c>
      <c r="B16" s="2260">
        <v>57142</v>
      </c>
      <c r="C16" s="2261"/>
      <c r="D16" s="1389"/>
      <c r="E16" s="1389"/>
      <c r="F16" s="1389"/>
      <c r="G16" s="1389"/>
      <c r="H16" s="1389"/>
      <c r="I16" s="1389"/>
      <c r="J16" s="1389"/>
      <c r="K16" s="1389"/>
      <c r="L16" s="1389"/>
      <c r="M16" s="1389"/>
      <c r="N16" s="1389"/>
      <c r="O16" s="1389"/>
      <c r="P16" s="1389"/>
      <c r="Q16" s="2262"/>
      <c r="R16" s="2262"/>
      <c r="S16" s="1389"/>
      <c r="T16" s="2254" t="s">
        <v>55</v>
      </c>
      <c r="U16" s="2254"/>
      <c r="V16" s="2267">
        <f>Y12</f>
        <v>196817.69500000001</v>
      </c>
      <c r="W16" s="2267"/>
      <c r="X16" s="2262"/>
    </row>
    <row r="17" spans="1:25" ht="28.5" customHeight="1" x14ac:dyDescent="0.25">
      <c r="A17" s="101" t="s">
        <v>44</v>
      </c>
      <c r="B17" s="2260"/>
      <c r="C17" s="2261"/>
      <c r="D17" s="1389"/>
      <c r="E17" s="1389"/>
      <c r="F17" s="1389"/>
      <c r="G17" s="1389"/>
      <c r="H17" s="1389"/>
      <c r="I17" s="1389"/>
      <c r="J17" s="1389"/>
      <c r="K17" s="1389"/>
      <c r="L17" s="1389"/>
      <c r="M17" s="1389"/>
      <c r="N17" s="1389"/>
      <c r="O17" s="1389"/>
      <c r="P17" s="1389"/>
      <c r="Q17" s="2225"/>
      <c r="R17" s="2225"/>
      <c r="S17" s="1385"/>
      <c r="T17" s="2294" t="s">
        <v>473</v>
      </c>
      <c r="U17" s="2295"/>
      <c r="V17" s="2296"/>
      <c r="W17" s="2296"/>
      <c r="X17" s="2296"/>
    </row>
    <row r="18" spans="1:25" ht="27" customHeight="1" x14ac:dyDescent="0.25">
      <c r="A18" s="100" t="s">
        <v>40</v>
      </c>
      <c r="B18" s="2264">
        <f>C12</f>
        <v>103902</v>
      </c>
      <c r="C18" s="2261"/>
      <c r="D18" s="1391">
        <f>E12</f>
        <v>0</v>
      </c>
      <c r="E18" s="1391">
        <f>G12</f>
        <v>90</v>
      </c>
      <c r="F18" s="1391">
        <f>I12</f>
        <v>4950</v>
      </c>
      <c r="G18" s="1391">
        <f>K12</f>
        <v>0</v>
      </c>
      <c r="H18" s="1389"/>
      <c r="I18" s="1391">
        <f>U12</f>
        <v>5</v>
      </c>
      <c r="J18" s="1389"/>
      <c r="K18" s="1391">
        <f>W12</f>
        <v>0</v>
      </c>
      <c r="L18" s="1389"/>
      <c r="M18" s="1391">
        <f>M12</f>
        <v>0</v>
      </c>
      <c r="N18" s="1391">
        <f>O12</f>
        <v>0</v>
      </c>
      <c r="O18" s="1390">
        <f>Q12</f>
        <v>0</v>
      </c>
      <c r="P18" s="1391"/>
      <c r="Q18" s="2262"/>
      <c r="R18" s="2262"/>
      <c r="S18" s="1386"/>
      <c r="T18" s="2254" t="s">
        <v>57</v>
      </c>
      <c r="U18" s="2254"/>
      <c r="V18" s="2262">
        <v>520</v>
      </c>
      <c r="W18" s="2262"/>
      <c r="X18" s="2262"/>
      <c r="Y18" s="2269"/>
    </row>
    <row r="19" spans="1:25" ht="25.5" customHeight="1" x14ac:dyDescent="0.25">
      <c r="A19" s="100" t="s">
        <v>41</v>
      </c>
      <c r="B19" s="2260">
        <f>B15+B16+B17-B18</f>
        <v>280583</v>
      </c>
      <c r="C19" s="2261"/>
      <c r="D19" s="1389">
        <f>D15+D16+D17-D18</f>
        <v>130</v>
      </c>
      <c r="E19" s="1389">
        <f t="shared" ref="E19:N19" si="13">E15+E16+E17-E18</f>
        <v>1540</v>
      </c>
      <c r="F19" s="1389">
        <f t="shared" si="13"/>
        <v>14700</v>
      </c>
      <c r="G19" s="1389">
        <f t="shared" si="13"/>
        <v>1000</v>
      </c>
      <c r="H19" s="1389">
        <f t="shared" si="13"/>
        <v>161</v>
      </c>
      <c r="I19" s="1389">
        <f t="shared" si="13"/>
        <v>52</v>
      </c>
      <c r="J19" s="1389">
        <f t="shared" si="13"/>
        <v>4</v>
      </c>
      <c r="K19" s="1389">
        <f t="shared" si="13"/>
        <v>59</v>
      </c>
      <c r="L19" s="1389">
        <f t="shared" si="13"/>
        <v>0</v>
      </c>
      <c r="M19" s="1389">
        <f t="shared" si="13"/>
        <v>0</v>
      </c>
      <c r="N19" s="1389">
        <f t="shared" si="13"/>
        <v>0</v>
      </c>
      <c r="O19" s="1389">
        <f>O15+O16+O17-O18</f>
        <v>0</v>
      </c>
      <c r="P19" s="1389">
        <f t="shared" ref="P19:Q19" si="14">P15+P16+P17-P18</f>
        <v>100</v>
      </c>
      <c r="Q19" s="2260">
        <f t="shared" si="14"/>
        <v>10</v>
      </c>
      <c r="R19" s="2261"/>
      <c r="S19" s="1386">
        <f>S15+S16-S17-S18</f>
        <v>2</v>
      </c>
      <c r="T19" s="2256" t="s">
        <v>48</v>
      </c>
      <c r="U19" s="49" t="s">
        <v>58</v>
      </c>
      <c r="V19" s="2262">
        <v>400000</v>
      </c>
      <c r="W19" s="2262"/>
      <c r="X19" s="2262"/>
      <c r="Y19" s="2269"/>
    </row>
    <row r="20" spans="1:25" ht="23.25" customHeight="1" x14ac:dyDescent="0.25">
      <c r="A20" s="289" t="s">
        <v>187</v>
      </c>
      <c r="B20" s="2286">
        <f>B19*0.9625</f>
        <v>270061.13750000001</v>
      </c>
      <c r="C20" s="2287"/>
      <c r="D20" s="290">
        <f>D19*66.41</f>
        <v>8633.2999999999993</v>
      </c>
      <c r="E20" s="290">
        <f>27.9368*E19</f>
        <v>43022.672000000006</v>
      </c>
      <c r="F20" s="290">
        <f>18.31*F19</f>
        <v>269157</v>
      </c>
      <c r="G20" s="290">
        <f>27.9368*G19</f>
        <v>27936.800000000003</v>
      </c>
      <c r="H20" s="290">
        <f>241*H19</f>
        <v>38801</v>
      </c>
      <c r="I20" s="290">
        <f>323*I19</f>
        <v>16796</v>
      </c>
      <c r="J20" s="290">
        <f>241*J19</f>
        <v>964</v>
      </c>
      <c r="K20" s="290">
        <f>K19*100</f>
        <v>5900</v>
      </c>
      <c r="L20" s="290">
        <f>241*L19</f>
        <v>0</v>
      </c>
      <c r="M20" s="290">
        <f>47.1625*M19</f>
        <v>0</v>
      </c>
      <c r="N20" s="290">
        <f>N19*8.81</f>
        <v>0</v>
      </c>
      <c r="O20" s="290">
        <f>241*O19</f>
        <v>0</v>
      </c>
      <c r="P20" s="290">
        <f>P19*48.2</f>
        <v>4820</v>
      </c>
      <c r="Q20" s="2286">
        <f>470*Q19</f>
        <v>4700</v>
      </c>
      <c r="R20" s="2287"/>
      <c r="S20" s="290">
        <f>341*S19</f>
        <v>682</v>
      </c>
      <c r="T20" s="2257"/>
      <c r="U20" s="49" t="s">
        <v>59</v>
      </c>
      <c r="V20" s="2262"/>
      <c r="W20" s="2262"/>
      <c r="X20" s="2262"/>
      <c r="Y20" s="2269"/>
    </row>
    <row r="21" spans="1:25" ht="32.25" customHeight="1" x14ac:dyDescent="0.25">
      <c r="A21" s="291" t="s">
        <v>186</v>
      </c>
      <c r="B21" s="2293">
        <f>SUM(B20:S20)</f>
        <v>691473.90950000007</v>
      </c>
      <c r="C21" s="2293"/>
      <c r="O21" s="1393"/>
      <c r="P21" s="1393"/>
      <c r="Q21" s="1393"/>
      <c r="R21" s="1393"/>
      <c r="T21" s="2294" t="s">
        <v>474</v>
      </c>
      <c r="U21" s="2295"/>
      <c r="V21" s="2297"/>
      <c r="W21" s="2298"/>
      <c r="X21" s="2299"/>
      <c r="Y21" s="2269"/>
    </row>
    <row r="22" spans="1:25" ht="35.25" customHeight="1" x14ac:dyDescent="0.25">
      <c r="A22" s="15"/>
      <c r="B22" s="2288" t="s">
        <v>49</v>
      </c>
      <c r="C22" s="2291">
        <v>400000</v>
      </c>
      <c r="D22" s="2291">
        <v>400000</v>
      </c>
      <c r="E22" s="2291">
        <v>55000</v>
      </c>
      <c r="F22" s="2291">
        <f>C22-D22+E22</f>
        <v>55000</v>
      </c>
      <c r="G22" s="1393"/>
      <c r="Q22" s="1393"/>
      <c r="R22" s="1393"/>
      <c r="T22" s="2251" t="s">
        <v>83</v>
      </c>
      <c r="U22" s="50" t="s">
        <v>60</v>
      </c>
      <c r="V22" s="2262">
        <v>400180</v>
      </c>
      <c r="W22" s="2262"/>
      <c r="X22" s="2262"/>
      <c r="Y22" s="2269"/>
    </row>
    <row r="23" spans="1:25" ht="39.75" customHeight="1" x14ac:dyDescent="0.25">
      <c r="A23" s="1393"/>
      <c r="B23" s="2289"/>
      <c r="C23" s="2292"/>
      <c r="D23" s="2292"/>
      <c r="E23" s="2292"/>
      <c r="F23" s="2292"/>
      <c r="G23" s="1393"/>
      <c r="Q23" s="1393"/>
      <c r="R23" s="1393"/>
      <c r="T23" s="2252"/>
      <c r="U23" s="50" t="s">
        <v>61</v>
      </c>
      <c r="V23" s="2262">
        <v>400000</v>
      </c>
      <c r="W23" s="2262"/>
      <c r="X23" s="2262"/>
      <c r="Y23" s="2269"/>
    </row>
    <row r="24" spans="1:25" ht="48" customHeight="1" x14ac:dyDescent="0.25">
      <c r="A24" s="1393"/>
      <c r="B24" s="2290"/>
      <c r="C24" s="290" t="s">
        <v>46</v>
      </c>
      <c r="D24" s="290" t="s">
        <v>50</v>
      </c>
      <c r="E24" s="290" t="s">
        <v>51</v>
      </c>
      <c r="F24" s="290" t="s">
        <v>52</v>
      </c>
      <c r="G24" s="1393"/>
      <c r="Q24" s="1393"/>
      <c r="R24" s="1393"/>
      <c r="T24" s="2235" t="s">
        <v>47</v>
      </c>
      <c r="U24" s="51" t="s">
        <v>62</v>
      </c>
      <c r="V24" s="2263">
        <f>V14+V16+V17-V18-V19-V20-V22+V23-V21</f>
        <v>13952.695000000007</v>
      </c>
      <c r="W24" s="2263"/>
      <c r="X24" s="2263"/>
      <c r="Y24" s="2269"/>
    </row>
    <row r="25" spans="1:25" ht="40.5" customHeight="1" x14ac:dyDescent="0.25">
      <c r="T25" s="2235"/>
      <c r="U25" s="51" t="s">
        <v>63</v>
      </c>
      <c r="V25" s="2262">
        <f>V15+V22-V23</f>
        <v>10272</v>
      </c>
      <c r="W25" s="2262"/>
      <c r="X25" s="2262"/>
    </row>
    <row r="26" spans="1:25" ht="36" customHeight="1" x14ac:dyDescent="0.25">
      <c r="K26" s="314"/>
    </row>
    <row r="28" spans="1:25" x14ac:dyDescent="0.25">
      <c r="J28" s="14" t="s">
        <v>139</v>
      </c>
    </row>
    <row r="32" spans="1:25" x14ac:dyDescent="0.25">
      <c r="I32" s="2280"/>
      <c r="J32" s="2280"/>
      <c r="K32" s="2280"/>
      <c r="L32" s="2280"/>
    </row>
    <row r="33" spans="9:12" x14ac:dyDescent="0.25">
      <c r="I33" s="1393"/>
      <c r="J33" s="1393"/>
      <c r="K33" s="2280"/>
      <c r="L33" s="2280"/>
    </row>
  </sheetData>
  <mergeCells count="62">
    <mergeCell ref="A1:Y1"/>
    <mergeCell ref="A2:Y2"/>
    <mergeCell ref="T3:Y3"/>
    <mergeCell ref="A4:A5"/>
    <mergeCell ref="B4:B5"/>
    <mergeCell ref="C4:D4"/>
    <mergeCell ref="E4:F4"/>
    <mergeCell ref="G4:H4"/>
    <mergeCell ref="I4:J4"/>
    <mergeCell ref="K4:L4"/>
    <mergeCell ref="Y4:Y5"/>
    <mergeCell ref="M4:N4"/>
    <mergeCell ref="O4:P4"/>
    <mergeCell ref="Q4:R4"/>
    <mergeCell ref="S4:T4"/>
    <mergeCell ref="U4:V4"/>
    <mergeCell ref="W4:X4"/>
    <mergeCell ref="B16:C16"/>
    <mergeCell ref="Q16:R16"/>
    <mergeCell ref="T16:U16"/>
    <mergeCell ref="V16:X16"/>
    <mergeCell ref="A12:B12"/>
    <mergeCell ref="B14:C14"/>
    <mergeCell ref="Q14:R14"/>
    <mergeCell ref="T14:T15"/>
    <mergeCell ref="V14:X14"/>
    <mergeCell ref="B15:C15"/>
    <mergeCell ref="Q15:R15"/>
    <mergeCell ref="V15:X15"/>
    <mergeCell ref="B17:C17"/>
    <mergeCell ref="Q17:R17"/>
    <mergeCell ref="T17:U17"/>
    <mergeCell ref="V17:X17"/>
    <mergeCell ref="B18:C18"/>
    <mergeCell ref="Q18:R18"/>
    <mergeCell ref="T18:U18"/>
    <mergeCell ref="V18:X18"/>
    <mergeCell ref="Y18:Y24"/>
    <mergeCell ref="B19:C19"/>
    <mergeCell ref="Q19:R19"/>
    <mergeCell ref="T19:T20"/>
    <mergeCell ref="V19:X19"/>
    <mergeCell ref="B20:C20"/>
    <mergeCell ref="B22:B24"/>
    <mergeCell ref="C22:C23"/>
    <mergeCell ref="D22:D23"/>
    <mergeCell ref="E22:E23"/>
    <mergeCell ref="F22:F23"/>
    <mergeCell ref="Q20:R20"/>
    <mergeCell ref="V20:X20"/>
    <mergeCell ref="B21:C21"/>
    <mergeCell ref="T21:U21"/>
    <mergeCell ref="V21:X21"/>
    <mergeCell ref="I32:J32"/>
    <mergeCell ref="K32:L32"/>
    <mergeCell ref="K33:L33"/>
    <mergeCell ref="T22:T23"/>
    <mergeCell ref="V22:X22"/>
    <mergeCell ref="V23:X23"/>
    <mergeCell ref="T24:T25"/>
    <mergeCell ref="V24:X24"/>
    <mergeCell ref="V25:X25"/>
  </mergeCells>
  <pageMargins left="0.15748031496063" right="0.15748031496063" top="0" bottom="0" header="0" footer="0"/>
  <pageSetup paperSize="9" scale="47" orientation="landscape" r:id="rId1"/>
</worksheet>
</file>

<file path=xl/worksheets/sheet2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7B9BD84-B1F2-4BAB-9126-F6C53817F047}">
  <sheetPr>
    <pageSetUpPr fitToPage="1"/>
  </sheetPr>
  <dimension ref="A1:Y33"/>
  <sheetViews>
    <sheetView topLeftCell="D1" zoomScale="70" zoomScaleNormal="70" zoomScaleSheetLayoutView="100" zoomScalePageLayoutView="68" workbookViewId="0">
      <selection activeCell="O23" sqref="O23"/>
    </sheetView>
  </sheetViews>
  <sheetFormatPr defaultColWidth="9.140625" defaultRowHeight="15" x14ac:dyDescent="0.25"/>
  <cols>
    <col min="1" max="1" width="18.28515625" style="14" customWidth="1"/>
    <col min="2" max="2" width="10.7109375" style="14" customWidth="1"/>
    <col min="3" max="3" width="12.28515625" style="14" customWidth="1"/>
    <col min="4" max="4" width="13.140625" style="14" bestFit="1" customWidth="1"/>
    <col min="5" max="5" width="12" style="14" customWidth="1"/>
    <col min="6" max="6" width="12.5703125" style="14" bestFit="1" customWidth="1"/>
    <col min="7" max="7" width="16" style="14" bestFit="1" customWidth="1"/>
    <col min="8" max="8" width="10.140625" style="14" bestFit="1" customWidth="1"/>
    <col min="9" max="9" width="10.5703125" style="14" bestFit="1" customWidth="1"/>
    <col min="10" max="10" width="10.5703125" style="14" customWidth="1"/>
    <col min="11" max="11" width="10.28515625" style="14" bestFit="1" customWidth="1"/>
    <col min="12" max="12" width="10.42578125" style="14" bestFit="1" customWidth="1"/>
    <col min="13" max="14" width="12" style="14" bestFit="1" customWidth="1"/>
    <col min="15" max="15" width="9" style="14" customWidth="1"/>
    <col min="16" max="16" width="12.85546875" style="14" bestFit="1" customWidth="1"/>
    <col min="17" max="18" width="9.42578125" style="14" customWidth="1"/>
    <col min="19" max="19" width="13.7109375" style="14" customWidth="1"/>
    <col min="20" max="20" width="12.140625" style="14" customWidth="1"/>
    <col min="21" max="21" width="21.7109375" style="14" customWidth="1"/>
    <col min="22" max="22" width="9.85546875" style="14" customWidth="1"/>
    <col min="23" max="23" width="10.140625" style="14" bestFit="1" customWidth="1"/>
    <col min="24" max="24" width="10.28515625" style="14" customWidth="1"/>
    <col min="25" max="25" width="15.7109375" style="14" customWidth="1"/>
    <col min="26" max="16384" width="9.140625" style="14"/>
  </cols>
  <sheetData>
    <row r="1" spans="1:25" ht="46.15" customHeight="1" x14ac:dyDescent="0.25">
      <c r="A1" s="2240" t="s">
        <v>148</v>
      </c>
      <c r="B1" s="2240"/>
      <c r="C1" s="2240"/>
      <c r="D1" s="2240"/>
      <c r="E1" s="2240"/>
      <c r="F1" s="2240"/>
      <c r="G1" s="2240"/>
      <c r="H1" s="2240"/>
      <c r="I1" s="2240"/>
      <c r="J1" s="2240"/>
      <c r="K1" s="2240"/>
      <c r="L1" s="2240"/>
      <c r="M1" s="2240"/>
      <c r="N1" s="2240"/>
      <c r="O1" s="2240"/>
      <c r="P1" s="2240"/>
      <c r="Q1" s="2240"/>
      <c r="R1" s="2240"/>
      <c r="S1" s="2240"/>
      <c r="T1" s="2240"/>
      <c r="U1" s="2240"/>
      <c r="V1" s="2240"/>
      <c r="W1" s="2240"/>
      <c r="X1" s="2240"/>
      <c r="Y1" s="2240"/>
    </row>
    <row r="2" spans="1:25" ht="21.6" customHeight="1" x14ac:dyDescent="0.25">
      <c r="A2" s="2241" t="s">
        <v>383</v>
      </c>
      <c r="B2" s="2241"/>
      <c r="C2" s="2241"/>
      <c r="D2" s="2241"/>
      <c r="E2" s="2241"/>
      <c r="F2" s="2241"/>
      <c r="G2" s="2241"/>
      <c r="H2" s="2241"/>
      <c r="I2" s="2241"/>
      <c r="J2" s="2241"/>
      <c r="K2" s="2241"/>
      <c r="L2" s="2241"/>
      <c r="M2" s="2241"/>
      <c r="N2" s="2241"/>
      <c r="O2" s="2241"/>
      <c r="P2" s="2241"/>
      <c r="Q2" s="2241"/>
      <c r="R2" s="2241"/>
      <c r="S2" s="2241"/>
      <c r="T2" s="2241"/>
      <c r="U2" s="2241"/>
      <c r="V2" s="2241"/>
      <c r="W2" s="2241"/>
      <c r="X2" s="2241"/>
      <c r="Y2" s="2241"/>
    </row>
    <row r="3" spans="1:25" ht="21" customHeight="1" x14ac:dyDescent="0.25">
      <c r="A3" s="1399"/>
      <c r="B3" s="1399"/>
      <c r="C3" s="1399"/>
      <c r="D3" s="1399"/>
      <c r="E3" s="1399"/>
      <c r="F3" s="1399"/>
      <c r="G3" s="1399"/>
      <c r="H3" s="1399"/>
      <c r="I3" s="1399"/>
      <c r="J3" s="1399"/>
      <c r="K3" s="1399"/>
      <c r="L3" s="1399"/>
      <c r="M3" s="1399"/>
      <c r="N3" s="1399"/>
      <c r="O3" s="1399"/>
      <c r="P3" s="1399"/>
      <c r="Q3" s="1399"/>
      <c r="R3" s="1399"/>
      <c r="S3" s="1399"/>
      <c r="T3" s="2242" t="s">
        <v>485</v>
      </c>
      <c r="U3" s="2242"/>
      <c r="V3" s="2242"/>
      <c r="W3" s="2242"/>
      <c r="X3" s="2242"/>
      <c r="Y3" s="2242"/>
    </row>
    <row r="4" spans="1:25" s="1399" customFormat="1" ht="18" customHeight="1" x14ac:dyDescent="0.25">
      <c r="A4" s="2243" t="s">
        <v>25</v>
      </c>
      <c r="B4" s="2243" t="s">
        <v>26</v>
      </c>
      <c r="C4" s="2244" t="s">
        <v>27</v>
      </c>
      <c r="D4" s="2244"/>
      <c r="E4" s="2244" t="s">
        <v>342</v>
      </c>
      <c r="F4" s="2244"/>
      <c r="G4" s="2244" t="s">
        <v>65</v>
      </c>
      <c r="H4" s="2244"/>
      <c r="I4" s="2244" t="s">
        <v>29</v>
      </c>
      <c r="J4" s="2244"/>
      <c r="K4" s="2245" t="s">
        <v>14</v>
      </c>
      <c r="L4" s="2246"/>
      <c r="M4" s="2245" t="s">
        <v>429</v>
      </c>
      <c r="N4" s="2246"/>
      <c r="O4" s="2245" t="s">
        <v>441</v>
      </c>
      <c r="P4" s="2246"/>
      <c r="Q4" s="2245" t="s">
        <v>114</v>
      </c>
      <c r="R4" s="2246"/>
      <c r="S4" s="2244" t="s">
        <v>35</v>
      </c>
      <c r="T4" s="2244"/>
      <c r="U4" s="2245" t="s">
        <v>17</v>
      </c>
      <c r="V4" s="2246"/>
      <c r="W4" s="2247" t="s">
        <v>36</v>
      </c>
      <c r="X4" s="2248"/>
      <c r="Y4" s="2238" t="s">
        <v>30</v>
      </c>
    </row>
    <row r="5" spans="1:25" s="1399" customFormat="1" ht="25.5" customHeight="1" x14ac:dyDescent="0.25">
      <c r="A5" s="2243"/>
      <c r="B5" s="2243"/>
      <c r="C5" s="1398" t="s">
        <v>42</v>
      </c>
      <c r="D5" s="1398" t="s">
        <v>43</v>
      </c>
      <c r="E5" s="1398" t="s">
        <v>42</v>
      </c>
      <c r="F5" s="1398" t="s">
        <v>43</v>
      </c>
      <c r="G5" s="1398" t="s">
        <v>42</v>
      </c>
      <c r="H5" s="1398" t="s">
        <v>43</v>
      </c>
      <c r="I5" s="1398" t="s">
        <v>42</v>
      </c>
      <c r="J5" s="1398" t="s">
        <v>43</v>
      </c>
      <c r="K5" s="1398" t="s">
        <v>42</v>
      </c>
      <c r="L5" s="1398" t="s">
        <v>43</v>
      </c>
      <c r="M5" s="1398" t="s">
        <v>42</v>
      </c>
      <c r="N5" s="1398" t="s">
        <v>43</v>
      </c>
      <c r="O5" s="1398" t="s">
        <v>42</v>
      </c>
      <c r="P5" s="1398" t="s">
        <v>43</v>
      </c>
      <c r="Q5" s="1398" t="s">
        <v>42</v>
      </c>
      <c r="R5" s="1398" t="s">
        <v>43</v>
      </c>
      <c r="S5" s="33" t="s">
        <v>42</v>
      </c>
      <c r="T5" s="33" t="s">
        <v>43</v>
      </c>
      <c r="U5" s="30" t="s">
        <v>42</v>
      </c>
      <c r="V5" s="30" t="s">
        <v>43</v>
      </c>
      <c r="W5" s="30" t="s">
        <v>42</v>
      </c>
      <c r="X5" s="30" t="s">
        <v>43</v>
      </c>
      <c r="Y5" s="2239"/>
    </row>
    <row r="6" spans="1:25" ht="34.5" customHeight="1" x14ac:dyDescent="0.25">
      <c r="A6" s="12">
        <v>1409935200</v>
      </c>
      <c r="B6" s="1397" t="s">
        <v>71</v>
      </c>
      <c r="C6" s="1395">
        <v>30301</v>
      </c>
      <c r="D6" s="1394">
        <f t="shared" ref="D6:D11" si="0">0.9725*C6</f>
        <v>29467.7225</v>
      </c>
      <c r="E6" s="1395"/>
      <c r="F6" s="1394">
        <f>67.1*E6</f>
        <v>0</v>
      </c>
      <c r="G6" s="1395">
        <v>40</v>
      </c>
      <c r="H6" s="1395">
        <f>28.2*G6</f>
        <v>1128</v>
      </c>
      <c r="I6" s="1395"/>
      <c r="J6" s="1395">
        <f>18.5*I6</f>
        <v>0</v>
      </c>
      <c r="K6" s="1395"/>
      <c r="L6" s="1394">
        <f>28.2368*K6</f>
        <v>0</v>
      </c>
      <c r="M6" s="1395"/>
      <c r="N6" s="1394">
        <f>M6*47.6525</f>
        <v>0</v>
      </c>
      <c r="O6" s="1395"/>
      <c r="P6" s="1394">
        <f>O6*8.9</f>
        <v>0</v>
      </c>
      <c r="Q6" s="1394"/>
      <c r="R6" s="1394">
        <f>241*Q6</f>
        <v>0</v>
      </c>
      <c r="S6" s="1395"/>
      <c r="T6" s="1395">
        <f>241*S6</f>
        <v>0</v>
      </c>
      <c r="U6" s="1395">
        <v>1</v>
      </c>
      <c r="V6" s="1395">
        <f>332*U6</f>
        <v>332</v>
      </c>
      <c r="W6" s="1395"/>
      <c r="X6" s="19">
        <f>W6*100</f>
        <v>0</v>
      </c>
      <c r="Y6" s="20">
        <f t="shared" ref="Y6:Y12" si="1">D6+F6+H6+J6+L6+N6+P6+R6+T6+V6+X6</f>
        <v>30927.7225</v>
      </c>
    </row>
    <row r="7" spans="1:25" ht="31.5" customHeight="1" x14ac:dyDescent="0.25">
      <c r="A7" s="12">
        <v>1984225578</v>
      </c>
      <c r="B7" s="1397" t="s">
        <v>72</v>
      </c>
      <c r="C7" s="1395">
        <v>13974</v>
      </c>
      <c r="D7" s="1394">
        <f t="shared" si="0"/>
        <v>13589.715</v>
      </c>
      <c r="E7" s="1395"/>
      <c r="F7" s="1395">
        <f t="shared" ref="F7:F11" si="2">67.1*E7</f>
        <v>0</v>
      </c>
      <c r="G7" s="1395"/>
      <c r="H7" s="1395">
        <f t="shared" ref="H7:H11" si="3">28.2*G7</f>
        <v>0</v>
      </c>
      <c r="I7" s="1395"/>
      <c r="J7" s="1395">
        <f t="shared" ref="J7:J11" si="4">18.5*I7</f>
        <v>0</v>
      </c>
      <c r="K7" s="1395"/>
      <c r="L7" s="1394">
        <f t="shared" ref="L7:L11" si="5">28.2368*K7</f>
        <v>0</v>
      </c>
      <c r="M7" s="1395"/>
      <c r="N7" s="1394">
        <f t="shared" ref="N7:N11" si="6">M7*47.6525</f>
        <v>0</v>
      </c>
      <c r="O7" s="1395"/>
      <c r="P7" s="1394">
        <f t="shared" ref="P7:P11" si="7">O7*8.9</f>
        <v>0</v>
      </c>
      <c r="Q7" s="1394"/>
      <c r="R7" s="1394">
        <f t="shared" ref="R7:R11" si="8">241*Q7</f>
        <v>0</v>
      </c>
      <c r="S7" s="1395"/>
      <c r="T7" s="1395">
        <f t="shared" ref="T7:T10" si="9">241*S7</f>
        <v>0</v>
      </c>
      <c r="U7" s="1395"/>
      <c r="V7" s="1395">
        <f t="shared" ref="V7:V11" si="10">332*U7</f>
        <v>0</v>
      </c>
      <c r="W7" s="1395"/>
      <c r="X7" s="19">
        <f t="shared" ref="X7:X11" si="11">W7*100</f>
        <v>0</v>
      </c>
      <c r="Y7" s="20">
        <f t="shared" si="1"/>
        <v>13589.715</v>
      </c>
    </row>
    <row r="8" spans="1:25" ht="35.25" customHeight="1" x14ac:dyDescent="0.25">
      <c r="A8" s="12">
        <v>1967020280</v>
      </c>
      <c r="B8" s="1397" t="s">
        <v>427</v>
      </c>
      <c r="C8" s="1395">
        <v>14791</v>
      </c>
      <c r="D8" s="1394">
        <f t="shared" si="0"/>
        <v>14384.247500000001</v>
      </c>
      <c r="E8" s="1395"/>
      <c r="F8" s="1395">
        <f t="shared" si="2"/>
        <v>0</v>
      </c>
      <c r="G8" s="1395">
        <v>30</v>
      </c>
      <c r="H8" s="1394">
        <f t="shared" si="3"/>
        <v>846</v>
      </c>
      <c r="I8" s="1395"/>
      <c r="J8" s="1395">
        <f t="shared" si="4"/>
        <v>0</v>
      </c>
      <c r="K8" s="1395">
        <v>220</v>
      </c>
      <c r="L8" s="1394">
        <f t="shared" si="5"/>
        <v>6212.0959999999995</v>
      </c>
      <c r="M8" s="1395"/>
      <c r="N8" s="1394">
        <f t="shared" si="6"/>
        <v>0</v>
      </c>
      <c r="O8" s="1395"/>
      <c r="P8" s="1394">
        <f t="shared" si="7"/>
        <v>0</v>
      </c>
      <c r="Q8" s="1394"/>
      <c r="R8" s="1394">
        <f t="shared" si="8"/>
        <v>0</v>
      </c>
      <c r="S8" s="1395"/>
      <c r="T8" s="1395">
        <f t="shared" si="9"/>
        <v>0</v>
      </c>
      <c r="U8" s="1395"/>
      <c r="V8" s="1395">
        <f t="shared" si="10"/>
        <v>0</v>
      </c>
      <c r="W8" s="1395">
        <v>1</v>
      </c>
      <c r="X8" s="19">
        <f t="shared" si="11"/>
        <v>100</v>
      </c>
      <c r="Y8" s="20">
        <f t="shared" si="1"/>
        <v>21542.343500000003</v>
      </c>
    </row>
    <row r="9" spans="1:25" ht="38.25" customHeight="1" x14ac:dyDescent="0.25">
      <c r="A9" s="12">
        <v>1984225580</v>
      </c>
      <c r="B9" s="1397" t="s">
        <v>75</v>
      </c>
      <c r="C9" s="1395">
        <v>20502</v>
      </c>
      <c r="D9" s="1394">
        <f t="shared" si="0"/>
        <v>19938.195</v>
      </c>
      <c r="E9" s="1395"/>
      <c r="F9" s="1395">
        <f t="shared" si="2"/>
        <v>0</v>
      </c>
      <c r="G9" s="1395">
        <v>10</v>
      </c>
      <c r="H9" s="1395">
        <f t="shared" si="3"/>
        <v>282</v>
      </c>
      <c r="I9" s="1395">
        <v>20</v>
      </c>
      <c r="J9" s="1395">
        <f t="shared" si="4"/>
        <v>370</v>
      </c>
      <c r="K9" s="1395"/>
      <c r="L9" s="1394">
        <f t="shared" si="5"/>
        <v>0</v>
      </c>
      <c r="M9" s="1395"/>
      <c r="N9" s="1394">
        <f t="shared" si="6"/>
        <v>0</v>
      </c>
      <c r="O9" s="1395"/>
      <c r="P9" s="1394">
        <f t="shared" si="7"/>
        <v>0</v>
      </c>
      <c r="Q9" s="1394"/>
      <c r="R9" s="1394">
        <f t="shared" si="8"/>
        <v>0</v>
      </c>
      <c r="S9" s="1395"/>
      <c r="T9" s="1395">
        <f t="shared" si="9"/>
        <v>0</v>
      </c>
      <c r="U9" s="1395">
        <v>3</v>
      </c>
      <c r="V9" s="1395">
        <f t="shared" si="10"/>
        <v>996</v>
      </c>
      <c r="W9" s="1395"/>
      <c r="X9" s="19">
        <f t="shared" si="11"/>
        <v>0</v>
      </c>
      <c r="Y9" s="20">
        <f t="shared" si="1"/>
        <v>21586.195</v>
      </c>
    </row>
    <row r="10" spans="1:25" ht="35.25" customHeight="1" x14ac:dyDescent="0.25">
      <c r="A10" s="12">
        <v>1409935199</v>
      </c>
      <c r="C10" s="1395"/>
      <c r="D10" s="1394">
        <f t="shared" si="0"/>
        <v>0</v>
      </c>
      <c r="E10" s="1395"/>
      <c r="F10" s="1395">
        <f t="shared" si="2"/>
        <v>0</v>
      </c>
      <c r="G10" s="1395"/>
      <c r="H10" s="1395">
        <f t="shared" si="3"/>
        <v>0</v>
      </c>
      <c r="I10" s="1395"/>
      <c r="J10" s="1395">
        <f t="shared" si="4"/>
        <v>0</v>
      </c>
      <c r="K10" s="1395"/>
      <c r="L10" s="1394">
        <f t="shared" si="5"/>
        <v>0</v>
      </c>
      <c r="M10" s="1395"/>
      <c r="N10" s="1394">
        <f t="shared" si="6"/>
        <v>0</v>
      </c>
      <c r="O10" s="1395"/>
      <c r="P10" s="1394">
        <f t="shared" si="7"/>
        <v>0</v>
      </c>
      <c r="Q10" s="1394"/>
      <c r="R10" s="1394">
        <f t="shared" si="8"/>
        <v>0</v>
      </c>
      <c r="S10" s="1395"/>
      <c r="T10" s="1395">
        <f t="shared" si="9"/>
        <v>0</v>
      </c>
      <c r="U10" s="1395"/>
      <c r="V10" s="1395">
        <f t="shared" si="10"/>
        <v>0</v>
      </c>
      <c r="W10" s="1395"/>
      <c r="X10" s="19">
        <f t="shared" si="11"/>
        <v>0</v>
      </c>
      <c r="Y10" s="20">
        <f t="shared" si="1"/>
        <v>0</v>
      </c>
    </row>
    <row r="11" spans="1:25" ht="37.5" customHeight="1" x14ac:dyDescent="0.25">
      <c r="A11" s="12"/>
      <c r="B11" s="1396"/>
      <c r="C11" s="1395"/>
      <c r="D11" s="1394">
        <f t="shared" si="0"/>
        <v>0</v>
      </c>
      <c r="E11" s="1395"/>
      <c r="F11" s="1395">
        <f t="shared" si="2"/>
        <v>0</v>
      </c>
      <c r="G11" s="1395"/>
      <c r="H11" s="1395">
        <f t="shared" si="3"/>
        <v>0</v>
      </c>
      <c r="I11" s="1395"/>
      <c r="J11" s="1395">
        <f t="shared" si="4"/>
        <v>0</v>
      </c>
      <c r="K11" s="1395"/>
      <c r="L11" s="1394">
        <f t="shared" si="5"/>
        <v>0</v>
      </c>
      <c r="M11" s="1395"/>
      <c r="N11" s="1394">
        <f t="shared" si="6"/>
        <v>0</v>
      </c>
      <c r="O11" s="1395"/>
      <c r="P11" s="1394">
        <f t="shared" si="7"/>
        <v>0</v>
      </c>
      <c r="Q11" s="1394"/>
      <c r="R11" s="1394">
        <f t="shared" si="8"/>
        <v>0</v>
      </c>
      <c r="S11" s="1395"/>
      <c r="T11" s="1395">
        <f>341*S11</f>
        <v>0</v>
      </c>
      <c r="U11" s="1395"/>
      <c r="V11" s="1395">
        <f t="shared" si="10"/>
        <v>0</v>
      </c>
      <c r="W11" s="1395"/>
      <c r="X11" s="19">
        <f t="shared" si="11"/>
        <v>0</v>
      </c>
      <c r="Y11" s="20">
        <f t="shared" si="1"/>
        <v>0</v>
      </c>
    </row>
    <row r="12" spans="1:25" ht="29.25" customHeight="1" x14ac:dyDescent="0.25">
      <c r="A12" s="2235" t="s">
        <v>31</v>
      </c>
      <c r="B12" s="2235"/>
      <c r="C12" s="18">
        <f t="shared" ref="C12:X12" si="12">SUM(C6:C11)</f>
        <v>79568</v>
      </c>
      <c r="D12" s="18">
        <f t="shared" si="12"/>
        <v>77379.88</v>
      </c>
      <c r="E12" s="18">
        <f t="shared" si="12"/>
        <v>0</v>
      </c>
      <c r="F12" s="18">
        <f t="shared" si="12"/>
        <v>0</v>
      </c>
      <c r="G12" s="18">
        <f t="shared" si="12"/>
        <v>80</v>
      </c>
      <c r="H12" s="18">
        <f t="shared" si="12"/>
        <v>2256</v>
      </c>
      <c r="I12" s="18">
        <f t="shared" si="12"/>
        <v>20</v>
      </c>
      <c r="J12" s="18">
        <f t="shared" si="12"/>
        <v>370</v>
      </c>
      <c r="K12" s="18">
        <f t="shared" si="12"/>
        <v>220</v>
      </c>
      <c r="L12" s="18">
        <f t="shared" si="12"/>
        <v>6212.0959999999995</v>
      </c>
      <c r="M12" s="18">
        <f t="shared" si="12"/>
        <v>0</v>
      </c>
      <c r="N12" s="23">
        <f t="shared" si="12"/>
        <v>0</v>
      </c>
      <c r="O12" s="18">
        <f t="shared" si="12"/>
        <v>0</v>
      </c>
      <c r="P12" s="23">
        <f t="shared" si="12"/>
        <v>0</v>
      </c>
      <c r="Q12" s="23">
        <f t="shared" si="12"/>
        <v>0</v>
      </c>
      <c r="R12" s="23">
        <f>SUM(R6:R11)</f>
        <v>0</v>
      </c>
      <c r="S12" s="23">
        <f>SUM(S6:S11)</f>
        <v>0</v>
      </c>
      <c r="T12" s="18">
        <f t="shared" si="12"/>
        <v>0</v>
      </c>
      <c r="U12" s="18">
        <f t="shared" si="12"/>
        <v>4</v>
      </c>
      <c r="V12" s="18">
        <f t="shared" si="12"/>
        <v>1328</v>
      </c>
      <c r="W12" s="18">
        <f t="shared" si="12"/>
        <v>1</v>
      </c>
      <c r="X12" s="18">
        <f t="shared" si="12"/>
        <v>100</v>
      </c>
      <c r="Y12" s="20">
        <f t="shared" si="1"/>
        <v>87645.97600000001</v>
      </c>
    </row>
    <row r="14" spans="1:25" ht="43.5" customHeight="1" x14ac:dyDescent="0.25">
      <c r="A14" s="30" t="s">
        <v>32</v>
      </c>
      <c r="B14" s="2236" t="s">
        <v>27</v>
      </c>
      <c r="C14" s="2236"/>
      <c r="D14" s="30" t="s">
        <v>333</v>
      </c>
      <c r="E14" s="30" t="s">
        <v>65</v>
      </c>
      <c r="F14" s="30" t="s">
        <v>34</v>
      </c>
      <c r="G14" s="30" t="s">
        <v>14</v>
      </c>
      <c r="H14" s="469" t="s">
        <v>173</v>
      </c>
      <c r="I14" s="30" t="s">
        <v>17</v>
      </c>
      <c r="J14" s="1403" t="s">
        <v>174</v>
      </c>
      <c r="K14" s="30" t="s">
        <v>36</v>
      </c>
      <c r="L14" s="1403" t="s">
        <v>403</v>
      </c>
      <c r="M14" s="30" t="s">
        <v>429</v>
      </c>
      <c r="N14" s="30" t="s">
        <v>442</v>
      </c>
      <c r="O14" s="1403" t="s">
        <v>114</v>
      </c>
      <c r="P14" s="30" t="s">
        <v>70</v>
      </c>
      <c r="Q14" s="2300" t="s">
        <v>479</v>
      </c>
      <c r="R14" s="2301"/>
      <c r="S14" s="1403" t="s">
        <v>401</v>
      </c>
      <c r="T14" s="2235" t="s">
        <v>46</v>
      </c>
      <c r="U14" s="1397" t="s">
        <v>176</v>
      </c>
      <c r="V14" s="2260">
        <v>13953</v>
      </c>
      <c r="W14" s="2268"/>
      <c r="X14" s="2261"/>
    </row>
    <row r="15" spans="1:25" ht="22.5" customHeight="1" x14ac:dyDescent="0.25">
      <c r="A15" s="100" t="s">
        <v>38</v>
      </c>
      <c r="B15" s="2260">
        <v>280583</v>
      </c>
      <c r="C15" s="2261"/>
      <c r="D15" s="1400">
        <v>130</v>
      </c>
      <c r="E15" s="1400">
        <v>1540</v>
      </c>
      <c r="F15" s="1400">
        <v>14700</v>
      </c>
      <c r="G15" s="1400">
        <v>1000</v>
      </c>
      <c r="H15" s="1400">
        <v>161</v>
      </c>
      <c r="I15" s="1400">
        <v>52</v>
      </c>
      <c r="J15" s="1400">
        <v>4</v>
      </c>
      <c r="K15" s="1400">
        <v>59</v>
      </c>
      <c r="L15" s="1400">
        <v>0</v>
      </c>
      <c r="M15" s="1400">
        <v>0</v>
      </c>
      <c r="N15" s="1400">
        <v>0</v>
      </c>
      <c r="O15" s="1400">
        <v>0</v>
      </c>
      <c r="P15" s="1400">
        <v>100</v>
      </c>
      <c r="Q15" s="2260">
        <v>10</v>
      </c>
      <c r="R15" s="2261"/>
      <c r="S15" s="1397">
        <v>2</v>
      </c>
      <c r="T15" s="2235"/>
      <c r="U15" s="1397" t="s">
        <v>64</v>
      </c>
      <c r="V15" s="2262">
        <v>10272</v>
      </c>
      <c r="W15" s="2262"/>
      <c r="X15" s="2262"/>
    </row>
    <row r="16" spans="1:25" ht="24.75" customHeight="1" x14ac:dyDescent="0.25">
      <c r="A16" s="100" t="s">
        <v>39</v>
      </c>
      <c r="B16" s="2260">
        <v>80000</v>
      </c>
      <c r="C16" s="2261"/>
      <c r="D16" s="1400"/>
      <c r="E16" s="1400"/>
      <c r="F16" s="1400"/>
      <c r="G16" s="1400"/>
      <c r="H16" s="1400"/>
      <c r="I16" s="1400"/>
      <c r="J16" s="1400"/>
      <c r="K16" s="1400">
        <v>25</v>
      </c>
      <c r="L16" s="1400"/>
      <c r="M16" s="1400"/>
      <c r="N16" s="1400"/>
      <c r="O16" s="1400"/>
      <c r="P16" s="1400"/>
      <c r="Q16" s="2262"/>
      <c r="R16" s="2262"/>
      <c r="S16" s="1400"/>
      <c r="T16" s="2254" t="s">
        <v>55</v>
      </c>
      <c r="U16" s="2254"/>
      <c r="V16" s="2267">
        <f>Y12</f>
        <v>87645.97600000001</v>
      </c>
      <c r="W16" s="2267"/>
      <c r="X16" s="2262"/>
    </row>
    <row r="17" spans="1:25" ht="28.5" customHeight="1" x14ac:dyDescent="0.25">
      <c r="A17" s="101" t="s">
        <v>44</v>
      </c>
      <c r="B17" s="2260"/>
      <c r="C17" s="2261"/>
      <c r="D17" s="1400"/>
      <c r="E17" s="1400"/>
      <c r="F17" s="1400"/>
      <c r="G17" s="1400"/>
      <c r="H17" s="1400"/>
      <c r="I17" s="1400"/>
      <c r="J17" s="1400"/>
      <c r="K17" s="1400"/>
      <c r="L17" s="1400"/>
      <c r="M17" s="1400"/>
      <c r="N17" s="1400"/>
      <c r="O17" s="1400"/>
      <c r="P17" s="1400"/>
      <c r="Q17" s="2225"/>
      <c r="R17" s="2225"/>
      <c r="S17" s="1396"/>
      <c r="T17" s="2294" t="s">
        <v>473</v>
      </c>
      <c r="U17" s="2295"/>
      <c r="V17" s="2296"/>
      <c r="W17" s="2296"/>
      <c r="X17" s="2296"/>
    </row>
    <row r="18" spans="1:25" ht="27" customHeight="1" x14ac:dyDescent="0.25">
      <c r="A18" s="100" t="s">
        <v>40</v>
      </c>
      <c r="B18" s="2264">
        <f>C12</f>
        <v>79568</v>
      </c>
      <c r="C18" s="2261"/>
      <c r="D18" s="1402">
        <f>E12</f>
        <v>0</v>
      </c>
      <c r="E18" s="1402">
        <f>G12</f>
        <v>80</v>
      </c>
      <c r="F18" s="1402">
        <f>I12</f>
        <v>20</v>
      </c>
      <c r="G18" s="1402">
        <f>K12</f>
        <v>220</v>
      </c>
      <c r="H18" s="1400"/>
      <c r="I18" s="1402">
        <f>U12</f>
        <v>4</v>
      </c>
      <c r="J18" s="1400"/>
      <c r="K18" s="1402">
        <f>W12</f>
        <v>1</v>
      </c>
      <c r="L18" s="1400"/>
      <c r="M18" s="1402">
        <f>M12</f>
        <v>0</v>
      </c>
      <c r="N18" s="1402">
        <f>O12</f>
        <v>0</v>
      </c>
      <c r="O18" s="1401">
        <f>Q12</f>
        <v>0</v>
      </c>
      <c r="P18" s="1402"/>
      <c r="Q18" s="2262"/>
      <c r="R18" s="2262"/>
      <c r="S18" s="1397"/>
      <c r="T18" s="2254" t="s">
        <v>57</v>
      </c>
      <c r="U18" s="2254"/>
      <c r="V18" s="2262">
        <v>770</v>
      </c>
      <c r="W18" s="2262"/>
      <c r="X18" s="2262"/>
      <c r="Y18" s="2269"/>
    </row>
    <row r="19" spans="1:25" ht="25.5" customHeight="1" x14ac:dyDescent="0.25">
      <c r="A19" s="100" t="s">
        <v>41</v>
      </c>
      <c r="B19" s="2260">
        <f>B15+B16+B17-B18</f>
        <v>281015</v>
      </c>
      <c r="C19" s="2261"/>
      <c r="D19" s="1400">
        <f>D15+D16+D17-D18</f>
        <v>130</v>
      </c>
      <c r="E19" s="1400">
        <f t="shared" ref="E19:N19" si="13">E15+E16+E17-E18</f>
        <v>1460</v>
      </c>
      <c r="F19" s="1400">
        <f t="shared" si="13"/>
        <v>14680</v>
      </c>
      <c r="G19" s="1400">
        <f t="shared" si="13"/>
        <v>780</v>
      </c>
      <c r="H19" s="1400">
        <f t="shared" si="13"/>
        <v>161</v>
      </c>
      <c r="I19" s="1400">
        <f t="shared" si="13"/>
        <v>48</v>
      </c>
      <c r="J19" s="1400">
        <f t="shared" si="13"/>
        <v>4</v>
      </c>
      <c r="K19" s="1400">
        <f t="shared" si="13"/>
        <v>83</v>
      </c>
      <c r="L19" s="1400">
        <f t="shared" si="13"/>
        <v>0</v>
      </c>
      <c r="M19" s="1400">
        <f t="shared" si="13"/>
        <v>0</v>
      </c>
      <c r="N19" s="1400">
        <f t="shared" si="13"/>
        <v>0</v>
      </c>
      <c r="O19" s="1400">
        <f>O15+O16+O17-O18</f>
        <v>0</v>
      </c>
      <c r="P19" s="1400">
        <f t="shared" ref="P19:Q19" si="14">P15+P16+P17-P18</f>
        <v>100</v>
      </c>
      <c r="Q19" s="2260">
        <f t="shared" si="14"/>
        <v>10</v>
      </c>
      <c r="R19" s="2261"/>
      <c r="S19" s="1397">
        <f>S15+S16-S17-S18</f>
        <v>2</v>
      </c>
      <c r="T19" s="2256" t="s">
        <v>48</v>
      </c>
      <c r="U19" s="49" t="s">
        <v>58</v>
      </c>
      <c r="V19" s="2262">
        <v>55000</v>
      </c>
      <c r="W19" s="2262"/>
      <c r="X19" s="2262"/>
      <c r="Y19" s="2269"/>
    </row>
    <row r="20" spans="1:25" ht="23.25" customHeight="1" x14ac:dyDescent="0.25">
      <c r="A20" s="289" t="s">
        <v>187</v>
      </c>
      <c r="B20" s="2286">
        <f>B19*0.9625</f>
        <v>270476.9375</v>
      </c>
      <c r="C20" s="2287"/>
      <c r="D20" s="290">
        <f>D19*66.41</f>
        <v>8633.2999999999993</v>
      </c>
      <c r="E20" s="290">
        <f>27.9368*E19</f>
        <v>40787.728000000003</v>
      </c>
      <c r="F20" s="290">
        <f>18.31*F19</f>
        <v>268790.8</v>
      </c>
      <c r="G20" s="290">
        <f>27.9368*G19</f>
        <v>21790.704000000002</v>
      </c>
      <c r="H20" s="290">
        <f>241*H19</f>
        <v>38801</v>
      </c>
      <c r="I20" s="290">
        <f>323*I19</f>
        <v>15504</v>
      </c>
      <c r="J20" s="290">
        <f>241*J19</f>
        <v>964</v>
      </c>
      <c r="K20" s="290">
        <f>K19*100</f>
        <v>8300</v>
      </c>
      <c r="L20" s="290">
        <f>241*L19</f>
        <v>0</v>
      </c>
      <c r="M20" s="290">
        <f>47.1625*M19</f>
        <v>0</v>
      </c>
      <c r="N20" s="290">
        <f>N19*8.81</f>
        <v>0</v>
      </c>
      <c r="O20" s="290">
        <f>241*O19</f>
        <v>0</v>
      </c>
      <c r="P20" s="290">
        <f>P19*48.2</f>
        <v>4820</v>
      </c>
      <c r="Q20" s="2286">
        <f>470*Q19</f>
        <v>4700</v>
      </c>
      <c r="R20" s="2287"/>
      <c r="S20" s="290">
        <f>341*S19</f>
        <v>682</v>
      </c>
      <c r="T20" s="2257"/>
      <c r="U20" s="49" t="s">
        <v>59</v>
      </c>
      <c r="V20" s="2262"/>
      <c r="W20" s="2262"/>
      <c r="X20" s="2262"/>
      <c r="Y20" s="2269"/>
    </row>
    <row r="21" spans="1:25" ht="32.25" customHeight="1" x14ac:dyDescent="0.25">
      <c r="A21" s="291" t="s">
        <v>186</v>
      </c>
      <c r="B21" s="2293">
        <f>SUM(B20:S20)</f>
        <v>684250.46950000001</v>
      </c>
      <c r="C21" s="2293"/>
      <c r="O21" s="1404"/>
      <c r="P21" s="1404"/>
      <c r="Q21" s="1404"/>
      <c r="R21" s="1404"/>
      <c r="T21" s="2294" t="s">
        <v>474</v>
      </c>
      <c r="U21" s="2295"/>
      <c r="V21" s="2297"/>
      <c r="W21" s="2298"/>
      <c r="X21" s="2299"/>
      <c r="Y21" s="2269"/>
    </row>
    <row r="22" spans="1:25" ht="35.25" customHeight="1" x14ac:dyDescent="0.25">
      <c r="A22" s="15"/>
      <c r="B22" s="2288" t="s">
        <v>49</v>
      </c>
      <c r="C22" s="2291">
        <v>55000</v>
      </c>
      <c r="D22" s="2291">
        <v>55000</v>
      </c>
      <c r="E22" s="2291">
        <v>79500</v>
      </c>
      <c r="F22" s="2291">
        <f>C22-D22+E22</f>
        <v>79500</v>
      </c>
      <c r="G22" s="1404"/>
      <c r="Q22" s="1404"/>
      <c r="R22" s="1404"/>
      <c r="T22" s="2251" t="s">
        <v>83</v>
      </c>
      <c r="U22" s="50" t="s">
        <v>60</v>
      </c>
      <c r="V22" s="2262">
        <v>61940</v>
      </c>
      <c r="W22" s="2262"/>
      <c r="X22" s="2262"/>
      <c r="Y22" s="2269"/>
    </row>
    <row r="23" spans="1:25" ht="39.75" customHeight="1" x14ac:dyDescent="0.25">
      <c r="A23" s="1404"/>
      <c r="B23" s="2289"/>
      <c r="C23" s="2292"/>
      <c r="D23" s="2292"/>
      <c r="E23" s="2292"/>
      <c r="F23" s="2292"/>
      <c r="G23" s="1404"/>
      <c r="Q23" s="1404"/>
      <c r="R23" s="1404"/>
      <c r="T23" s="2252"/>
      <c r="U23" s="50" t="s">
        <v>61</v>
      </c>
      <c r="V23" s="2262">
        <v>55000</v>
      </c>
      <c r="W23" s="2262"/>
      <c r="X23" s="2262"/>
      <c r="Y23" s="2269"/>
    </row>
    <row r="24" spans="1:25" ht="48" customHeight="1" x14ac:dyDescent="0.25">
      <c r="A24" s="1404"/>
      <c r="B24" s="2290"/>
      <c r="C24" s="290" t="s">
        <v>46</v>
      </c>
      <c r="D24" s="290" t="s">
        <v>50</v>
      </c>
      <c r="E24" s="290" t="s">
        <v>51</v>
      </c>
      <c r="F24" s="290" t="s">
        <v>52</v>
      </c>
      <c r="G24" s="1404"/>
      <c r="Q24" s="1404"/>
      <c r="R24" s="1404"/>
      <c r="T24" s="2235" t="s">
        <v>47</v>
      </c>
      <c r="U24" s="51" t="s">
        <v>62</v>
      </c>
      <c r="V24" s="2263">
        <f>V14+V16+V17-V18-V19-V20-V22+V23-V21</f>
        <v>38888.97600000001</v>
      </c>
      <c r="W24" s="2263"/>
      <c r="X24" s="2263"/>
      <c r="Y24" s="2269"/>
    </row>
    <row r="25" spans="1:25" ht="40.5" customHeight="1" x14ac:dyDescent="0.25">
      <c r="T25" s="2235"/>
      <c r="U25" s="51" t="s">
        <v>63</v>
      </c>
      <c r="V25" s="2262">
        <f>V15+V22-V23</f>
        <v>17212</v>
      </c>
      <c r="W25" s="2262"/>
      <c r="X25" s="2262"/>
    </row>
    <row r="26" spans="1:25" ht="36" customHeight="1" x14ac:dyDescent="0.25">
      <c r="K26" s="314"/>
    </row>
    <row r="28" spans="1:25" x14ac:dyDescent="0.25">
      <c r="J28" s="14" t="s">
        <v>139</v>
      </c>
    </row>
    <row r="32" spans="1:25" x14ac:dyDescent="0.25">
      <c r="I32" s="2280"/>
      <c r="J32" s="2280"/>
      <c r="K32" s="2280"/>
      <c r="L32" s="2280"/>
    </row>
    <row r="33" spans="9:12" x14ac:dyDescent="0.25">
      <c r="I33" s="1404"/>
      <c r="J33" s="1404"/>
      <c r="K33" s="2280"/>
      <c r="L33" s="2280"/>
    </row>
  </sheetData>
  <mergeCells count="62">
    <mergeCell ref="A1:Y1"/>
    <mergeCell ref="A2:Y2"/>
    <mergeCell ref="T3:Y3"/>
    <mergeCell ref="A4:A5"/>
    <mergeCell ref="B4:B5"/>
    <mergeCell ref="C4:D4"/>
    <mergeCell ref="E4:F4"/>
    <mergeCell ref="G4:H4"/>
    <mergeCell ref="I4:J4"/>
    <mergeCell ref="K4:L4"/>
    <mergeCell ref="Y4:Y5"/>
    <mergeCell ref="M4:N4"/>
    <mergeCell ref="O4:P4"/>
    <mergeCell ref="Q4:R4"/>
    <mergeCell ref="S4:T4"/>
    <mergeCell ref="U4:V4"/>
    <mergeCell ref="W4:X4"/>
    <mergeCell ref="B16:C16"/>
    <mergeCell ref="Q16:R16"/>
    <mergeCell ref="T16:U16"/>
    <mergeCell ref="V16:X16"/>
    <mergeCell ref="A12:B12"/>
    <mergeCell ref="B14:C14"/>
    <mergeCell ref="Q14:R14"/>
    <mergeCell ref="T14:T15"/>
    <mergeCell ref="V14:X14"/>
    <mergeCell ref="B15:C15"/>
    <mergeCell ref="Q15:R15"/>
    <mergeCell ref="V15:X15"/>
    <mergeCell ref="B17:C17"/>
    <mergeCell ref="Q17:R17"/>
    <mergeCell ref="T17:U17"/>
    <mergeCell ref="V17:X17"/>
    <mergeCell ref="B18:C18"/>
    <mergeCell ref="Q18:R18"/>
    <mergeCell ref="T18:U18"/>
    <mergeCell ref="V18:X18"/>
    <mergeCell ref="Y18:Y24"/>
    <mergeCell ref="B19:C19"/>
    <mergeCell ref="Q19:R19"/>
    <mergeCell ref="T19:T20"/>
    <mergeCell ref="V19:X19"/>
    <mergeCell ref="B20:C20"/>
    <mergeCell ref="B22:B24"/>
    <mergeCell ref="C22:C23"/>
    <mergeCell ref="D22:D23"/>
    <mergeCell ref="E22:E23"/>
    <mergeCell ref="F22:F23"/>
    <mergeCell ref="Q20:R20"/>
    <mergeCell ref="V20:X20"/>
    <mergeCell ref="B21:C21"/>
    <mergeCell ref="T21:U21"/>
    <mergeCell ref="V21:X21"/>
    <mergeCell ref="I32:J32"/>
    <mergeCell ref="K32:L32"/>
    <mergeCell ref="K33:L33"/>
    <mergeCell ref="T22:T23"/>
    <mergeCell ref="V22:X22"/>
    <mergeCell ref="V23:X23"/>
    <mergeCell ref="T24:T25"/>
    <mergeCell ref="V24:X24"/>
    <mergeCell ref="V25:X25"/>
  </mergeCells>
  <pageMargins left="0.15748031496063" right="0.15748031496063" top="0" bottom="0" header="0" footer="0"/>
  <pageSetup paperSize="9" scale="47" orientation="landscape" r:id="rId1"/>
</worksheet>
</file>

<file path=xl/worksheets/sheet2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C8C15B3-AAF7-44F2-93CF-4E020DCF20FD}">
  <sheetPr>
    <pageSetUpPr fitToPage="1"/>
  </sheetPr>
  <dimension ref="A1:Y33"/>
  <sheetViews>
    <sheetView topLeftCell="D1" zoomScale="70" zoomScaleNormal="70" zoomScaleSheetLayoutView="100" zoomScalePageLayoutView="68" workbookViewId="0">
      <selection activeCell="I24" sqref="I24"/>
    </sheetView>
  </sheetViews>
  <sheetFormatPr defaultColWidth="9.140625" defaultRowHeight="15" x14ac:dyDescent="0.25"/>
  <cols>
    <col min="1" max="1" width="18.28515625" style="14" customWidth="1"/>
    <col min="2" max="2" width="10.7109375" style="14" customWidth="1"/>
    <col min="3" max="3" width="12.28515625" style="14" customWidth="1"/>
    <col min="4" max="4" width="13.140625" style="14" bestFit="1" customWidth="1"/>
    <col min="5" max="5" width="12" style="14" customWidth="1"/>
    <col min="6" max="6" width="12.5703125" style="14" bestFit="1" customWidth="1"/>
    <col min="7" max="7" width="16" style="14" bestFit="1" customWidth="1"/>
    <col min="8" max="8" width="10.140625" style="14" bestFit="1" customWidth="1"/>
    <col min="9" max="9" width="10.5703125" style="14" bestFit="1" customWidth="1"/>
    <col min="10" max="10" width="10.5703125" style="14" customWidth="1"/>
    <col min="11" max="11" width="10.28515625" style="14" bestFit="1" customWidth="1"/>
    <col min="12" max="12" width="10.42578125" style="14" bestFit="1" customWidth="1"/>
    <col min="13" max="14" width="12" style="14" bestFit="1" customWidth="1"/>
    <col min="15" max="15" width="9" style="14" customWidth="1"/>
    <col min="16" max="16" width="12.85546875" style="14" bestFit="1" customWidth="1"/>
    <col min="17" max="18" width="9.42578125" style="14" customWidth="1"/>
    <col min="19" max="19" width="13.7109375" style="14" customWidth="1"/>
    <col min="20" max="20" width="12.140625" style="14" customWidth="1"/>
    <col min="21" max="21" width="21.7109375" style="14" customWidth="1"/>
    <col min="22" max="22" width="9.85546875" style="14" customWidth="1"/>
    <col min="23" max="23" width="10.140625" style="14" bestFit="1" customWidth="1"/>
    <col min="24" max="24" width="10.28515625" style="14" customWidth="1"/>
    <col min="25" max="25" width="15.7109375" style="14" customWidth="1"/>
    <col min="26" max="16384" width="9.140625" style="14"/>
  </cols>
  <sheetData>
    <row r="1" spans="1:25" ht="46.15" customHeight="1" x14ac:dyDescent="0.25">
      <c r="A1" s="2240" t="s">
        <v>148</v>
      </c>
      <c r="B1" s="2240"/>
      <c r="C1" s="2240"/>
      <c r="D1" s="2240"/>
      <c r="E1" s="2240"/>
      <c r="F1" s="2240"/>
      <c r="G1" s="2240"/>
      <c r="H1" s="2240"/>
      <c r="I1" s="2240"/>
      <c r="J1" s="2240"/>
      <c r="K1" s="2240"/>
      <c r="L1" s="2240"/>
      <c r="M1" s="2240"/>
      <c r="N1" s="2240"/>
      <c r="O1" s="2240"/>
      <c r="P1" s="2240"/>
      <c r="Q1" s="2240"/>
      <c r="R1" s="2240"/>
      <c r="S1" s="2240"/>
      <c r="T1" s="2240"/>
      <c r="U1" s="2240"/>
      <c r="V1" s="2240"/>
      <c r="W1" s="2240"/>
      <c r="X1" s="2240"/>
      <c r="Y1" s="2240"/>
    </row>
    <row r="2" spans="1:25" ht="21.6" customHeight="1" x14ac:dyDescent="0.25">
      <c r="A2" s="2241" t="s">
        <v>383</v>
      </c>
      <c r="B2" s="2241"/>
      <c r="C2" s="2241"/>
      <c r="D2" s="2241"/>
      <c r="E2" s="2241"/>
      <c r="F2" s="2241"/>
      <c r="G2" s="2241"/>
      <c r="H2" s="2241"/>
      <c r="I2" s="2241"/>
      <c r="J2" s="2241"/>
      <c r="K2" s="2241"/>
      <c r="L2" s="2241"/>
      <c r="M2" s="2241"/>
      <c r="N2" s="2241"/>
      <c r="O2" s="2241"/>
      <c r="P2" s="2241"/>
      <c r="Q2" s="2241"/>
      <c r="R2" s="2241"/>
      <c r="S2" s="2241"/>
      <c r="T2" s="2241"/>
      <c r="U2" s="2241"/>
      <c r="V2" s="2241"/>
      <c r="W2" s="2241"/>
      <c r="X2" s="2241"/>
      <c r="Y2" s="2241"/>
    </row>
    <row r="3" spans="1:25" ht="21" customHeight="1" x14ac:dyDescent="0.25">
      <c r="A3" s="1405"/>
      <c r="B3" s="1405"/>
      <c r="C3" s="1405"/>
      <c r="D3" s="1405"/>
      <c r="E3" s="1405"/>
      <c r="F3" s="1405"/>
      <c r="G3" s="1405"/>
      <c r="H3" s="1405"/>
      <c r="I3" s="1405"/>
      <c r="J3" s="1405"/>
      <c r="K3" s="1405"/>
      <c r="L3" s="1405"/>
      <c r="M3" s="1405"/>
      <c r="N3" s="1405"/>
      <c r="O3" s="1405"/>
      <c r="P3" s="1405"/>
      <c r="Q3" s="1405"/>
      <c r="R3" s="1405"/>
      <c r="S3" s="1405"/>
      <c r="T3" s="2242" t="s">
        <v>486</v>
      </c>
      <c r="U3" s="2242"/>
      <c r="V3" s="2242"/>
      <c r="W3" s="2242"/>
      <c r="X3" s="2242"/>
      <c r="Y3" s="2242"/>
    </row>
    <row r="4" spans="1:25" s="1405" customFormat="1" ht="18" customHeight="1" x14ac:dyDescent="0.25">
      <c r="A4" s="2243" t="s">
        <v>25</v>
      </c>
      <c r="B4" s="2243" t="s">
        <v>26</v>
      </c>
      <c r="C4" s="2244" t="s">
        <v>27</v>
      </c>
      <c r="D4" s="2244"/>
      <c r="E4" s="2244" t="s">
        <v>342</v>
      </c>
      <c r="F4" s="2244"/>
      <c r="G4" s="2244" t="s">
        <v>65</v>
      </c>
      <c r="H4" s="2244"/>
      <c r="I4" s="2244" t="s">
        <v>29</v>
      </c>
      <c r="J4" s="2244"/>
      <c r="K4" s="2245" t="s">
        <v>14</v>
      </c>
      <c r="L4" s="2246"/>
      <c r="M4" s="2245" t="s">
        <v>429</v>
      </c>
      <c r="N4" s="2246"/>
      <c r="O4" s="2245" t="s">
        <v>441</v>
      </c>
      <c r="P4" s="2246"/>
      <c r="Q4" s="2245" t="s">
        <v>114</v>
      </c>
      <c r="R4" s="2246"/>
      <c r="S4" s="2244" t="s">
        <v>35</v>
      </c>
      <c r="T4" s="2244"/>
      <c r="U4" s="2245" t="s">
        <v>17</v>
      </c>
      <c r="V4" s="2246"/>
      <c r="W4" s="2247" t="s">
        <v>36</v>
      </c>
      <c r="X4" s="2248"/>
      <c r="Y4" s="2238" t="s">
        <v>30</v>
      </c>
    </row>
    <row r="5" spans="1:25" s="1405" customFormat="1" ht="25.5" customHeight="1" x14ac:dyDescent="0.25">
      <c r="A5" s="2243"/>
      <c r="B5" s="2243"/>
      <c r="C5" s="1407" t="s">
        <v>42</v>
      </c>
      <c r="D5" s="1407" t="s">
        <v>43</v>
      </c>
      <c r="E5" s="1407" t="s">
        <v>42</v>
      </c>
      <c r="F5" s="1407" t="s">
        <v>43</v>
      </c>
      <c r="G5" s="1407" t="s">
        <v>42</v>
      </c>
      <c r="H5" s="1407" t="s">
        <v>43</v>
      </c>
      <c r="I5" s="1407" t="s">
        <v>42</v>
      </c>
      <c r="J5" s="1407" t="s">
        <v>43</v>
      </c>
      <c r="K5" s="1407" t="s">
        <v>42</v>
      </c>
      <c r="L5" s="1407" t="s">
        <v>43</v>
      </c>
      <c r="M5" s="1407" t="s">
        <v>42</v>
      </c>
      <c r="N5" s="1407" t="s">
        <v>43</v>
      </c>
      <c r="O5" s="1407" t="s">
        <v>42</v>
      </c>
      <c r="P5" s="1407" t="s">
        <v>43</v>
      </c>
      <c r="Q5" s="1407" t="s">
        <v>42</v>
      </c>
      <c r="R5" s="1407" t="s">
        <v>43</v>
      </c>
      <c r="S5" s="33" t="s">
        <v>42</v>
      </c>
      <c r="T5" s="33" t="s">
        <v>43</v>
      </c>
      <c r="U5" s="30" t="s">
        <v>42</v>
      </c>
      <c r="V5" s="30" t="s">
        <v>43</v>
      </c>
      <c r="W5" s="30" t="s">
        <v>42</v>
      </c>
      <c r="X5" s="30" t="s">
        <v>43</v>
      </c>
      <c r="Y5" s="2239"/>
    </row>
    <row r="6" spans="1:25" ht="34.5" customHeight="1" x14ac:dyDescent="0.25">
      <c r="A6" s="12">
        <v>1409935200</v>
      </c>
      <c r="B6" s="1406" t="s">
        <v>71</v>
      </c>
      <c r="C6" s="1409">
        <v>29008</v>
      </c>
      <c r="D6" s="1410">
        <f t="shared" ref="D6:D11" si="0">0.9725*C6</f>
        <v>28210.280000000002</v>
      </c>
      <c r="E6" s="1409"/>
      <c r="F6" s="1410">
        <f>67.1*E6</f>
        <v>0</v>
      </c>
      <c r="G6" s="1409"/>
      <c r="H6" s="1409">
        <f>28.2*G6</f>
        <v>0</v>
      </c>
      <c r="I6" s="1409">
        <v>660</v>
      </c>
      <c r="J6" s="1409">
        <f>18.5*I6</f>
        <v>12210</v>
      </c>
      <c r="K6" s="1409"/>
      <c r="L6" s="1410">
        <f>28.2368*K6</f>
        <v>0</v>
      </c>
      <c r="M6" s="1409"/>
      <c r="N6" s="1410">
        <f>M6*47.6525</f>
        <v>0</v>
      </c>
      <c r="O6" s="1409"/>
      <c r="P6" s="1410">
        <f>O6*8.9</f>
        <v>0</v>
      </c>
      <c r="Q6" s="1410"/>
      <c r="R6" s="1410">
        <f>241*Q6</f>
        <v>0</v>
      </c>
      <c r="S6" s="1409"/>
      <c r="T6" s="1409">
        <f>241*S6</f>
        <v>0</v>
      </c>
      <c r="U6" s="1409">
        <v>3</v>
      </c>
      <c r="V6" s="1409">
        <f>332*U6</f>
        <v>996</v>
      </c>
      <c r="W6" s="1409">
        <v>1</v>
      </c>
      <c r="X6" s="19">
        <f>W6*100</f>
        <v>100</v>
      </c>
      <c r="Y6" s="20">
        <f t="shared" ref="Y6:Y12" si="1">D6+F6+H6+J6+L6+N6+P6+R6+T6+V6+X6</f>
        <v>41516.28</v>
      </c>
    </row>
    <row r="7" spans="1:25" ht="31.5" customHeight="1" x14ac:dyDescent="0.25">
      <c r="A7" s="12">
        <v>1984225578</v>
      </c>
      <c r="B7" s="1406" t="s">
        <v>72</v>
      </c>
      <c r="C7" s="1409">
        <v>12285</v>
      </c>
      <c r="D7" s="1410">
        <f t="shared" si="0"/>
        <v>11947.1625</v>
      </c>
      <c r="E7" s="1409"/>
      <c r="F7" s="1409">
        <f t="shared" ref="F7:F11" si="2">67.1*E7</f>
        <v>0</v>
      </c>
      <c r="G7" s="1409">
        <v>100</v>
      </c>
      <c r="H7" s="1409">
        <f t="shared" ref="H7:H11" si="3">28.2*G7</f>
        <v>2820</v>
      </c>
      <c r="I7" s="1409">
        <v>1810</v>
      </c>
      <c r="J7" s="1409">
        <f t="shared" ref="J7:J11" si="4">18.5*I7</f>
        <v>33485</v>
      </c>
      <c r="K7" s="1409"/>
      <c r="L7" s="1410">
        <f t="shared" ref="L7:L11" si="5">28.2368*K7</f>
        <v>0</v>
      </c>
      <c r="M7" s="1409"/>
      <c r="N7" s="1410">
        <f t="shared" ref="N7:N11" si="6">M7*47.6525</f>
        <v>0</v>
      </c>
      <c r="O7" s="1409"/>
      <c r="P7" s="1410">
        <f t="shared" ref="P7:P11" si="7">O7*8.9</f>
        <v>0</v>
      </c>
      <c r="Q7" s="1410"/>
      <c r="R7" s="1410">
        <f t="shared" ref="R7:R11" si="8">241*Q7</f>
        <v>0</v>
      </c>
      <c r="S7" s="1409"/>
      <c r="T7" s="1409">
        <f t="shared" ref="T7:T10" si="9">241*S7</f>
        <v>0</v>
      </c>
      <c r="U7" s="1409"/>
      <c r="V7" s="1409">
        <f t="shared" ref="V7:V11" si="10">332*U7</f>
        <v>0</v>
      </c>
      <c r="W7" s="1409"/>
      <c r="X7" s="19">
        <f t="shared" ref="X7:X11" si="11">W7*100</f>
        <v>0</v>
      </c>
      <c r="Y7" s="20">
        <f t="shared" si="1"/>
        <v>48252.162499999999</v>
      </c>
    </row>
    <row r="8" spans="1:25" ht="35.25" customHeight="1" x14ac:dyDescent="0.25">
      <c r="A8" s="12">
        <v>1967020280</v>
      </c>
      <c r="B8" s="1406" t="s">
        <v>427</v>
      </c>
      <c r="C8" s="1409">
        <v>36510</v>
      </c>
      <c r="D8" s="1410">
        <f t="shared" si="0"/>
        <v>35505.974999999999</v>
      </c>
      <c r="E8" s="1409"/>
      <c r="F8" s="1409">
        <f t="shared" si="2"/>
        <v>0</v>
      </c>
      <c r="G8" s="1409">
        <v>20</v>
      </c>
      <c r="H8" s="1410">
        <f t="shared" si="3"/>
        <v>564</v>
      </c>
      <c r="I8" s="1409">
        <v>540</v>
      </c>
      <c r="J8" s="1409">
        <f t="shared" si="4"/>
        <v>9990</v>
      </c>
      <c r="K8" s="1409">
        <v>100</v>
      </c>
      <c r="L8" s="1410">
        <f t="shared" si="5"/>
        <v>2823.68</v>
      </c>
      <c r="M8" s="1409"/>
      <c r="N8" s="1410">
        <f t="shared" si="6"/>
        <v>0</v>
      </c>
      <c r="O8" s="1409"/>
      <c r="P8" s="1410">
        <f t="shared" si="7"/>
        <v>0</v>
      </c>
      <c r="Q8" s="1410"/>
      <c r="R8" s="1410">
        <f t="shared" si="8"/>
        <v>0</v>
      </c>
      <c r="S8" s="1409"/>
      <c r="T8" s="1409">
        <f t="shared" si="9"/>
        <v>0</v>
      </c>
      <c r="U8" s="1409"/>
      <c r="V8" s="1409">
        <f t="shared" si="10"/>
        <v>0</v>
      </c>
      <c r="W8" s="1409"/>
      <c r="X8" s="19">
        <f t="shared" si="11"/>
        <v>0</v>
      </c>
      <c r="Y8" s="20">
        <f t="shared" si="1"/>
        <v>48883.654999999999</v>
      </c>
    </row>
    <row r="9" spans="1:25" ht="38.25" customHeight="1" x14ac:dyDescent="0.25">
      <c r="A9" s="12">
        <v>1984225580</v>
      </c>
      <c r="B9" s="1406" t="s">
        <v>75</v>
      </c>
      <c r="C9" s="1409">
        <v>37651</v>
      </c>
      <c r="D9" s="1410">
        <f t="shared" si="0"/>
        <v>36615.597500000003</v>
      </c>
      <c r="E9" s="1409"/>
      <c r="F9" s="1409">
        <f t="shared" si="2"/>
        <v>0</v>
      </c>
      <c r="G9" s="1409">
        <v>40</v>
      </c>
      <c r="H9" s="1409">
        <f t="shared" si="3"/>
        <v>1128</v>
      </c>
      <c r="I9" s="1409">
        <v>170</v>
      </c>
      <c r="J9" s="1409">
        <f t="shared" si="4"/>
        <v>3145</v>
      </c>
      <c r="K9" s="1409"/>
      <c r="L9" s="1410">
        <f t="shared" si="5"/>
        <v>0</v>
      </c>
      <c r="M9" s="1409"/>
      <c r="N9" s="1410">
        <f t="shared" si="6"/>
        <v>0</v>
      </c>
      <c r="O9" s="1409"/>
      <c r="P9" s="1410">
        <f t="shared" si="7"/>
        <v>0</v>
      </c>
      <c r="Q9" s="1410"/>
      <c r="R9" s="1410">
        <f t="shared" si="8"/>
        <v>0</v>
      </c>
      <c r="S9" s="1409"/>
      <c r="T9" s="1409">
        <f t="shared" si="9"/>
        <v>0</v>
      </c>
      <c r="U9" s="1409"/>
      <c r="V9" s="1409">
        <f t="shared" si="10"/>
        <v>0</v>
      </c>
      <c r="W9" s="1409"/>
      <c r="X9" s="19">
        <f t="shared" si="11"/>
        <v>0</v>
      </c>
      <c r="Y9" s="20">
        <f t="shared" si="1"/>
        <v>40888.597500000003</v>
      </c>
    </row>
    <row r="10" spans="1:25" ht="35.25" customHeight="1" x14ac:dyDescent="0.25">
      <c r="A10" s="12">
        <v>1409935199</v>
      </c>
      <c r="C10" s="1409"/>
      <c r="D10" s="1410">
        <f t="shared" si="0"/>
        <v>0</v>
      </c>
      <c r="E10" s="1409"/>
      <c r="F10" s="1409">
        <f t="shared" si="2"/>
        <v>0</v>
      </c>
      <c r="G10" s="1409"/>
      <c r="H10" s="1409">
        <f t="shared" si="3"/>
        <v>0</v>
      </c>
      <c r="I10" s="1409"/>
      <c r="J10" s="1409">
        <f t="shared" si="4"/>
        <v>0</v>
      </c>
      <c r="K10" s="1409"/>
      <c r="L10" s="1410">
        <f t="shared" si="5"/>
        <v>0</v>
      </c>
      <c r="M10" s="1409"/>
      <c r="N10" s="1410">
        <f t="shared" si="6"/>
        <v>0</v>
      </c>
      <c r="O10" s="1409"/>
      <c r="P10" s="1410">
        <f t="shared" si="7"/>
        <v>0</v>
      </c>
      <c r="Q10" s="1410"/>
      <c r="R10" s="1410">
        <f t="shared" si="8"/>
        <v>0</v>
      </c>
      <c r="S10" s="1409"/>
      <c r="T10" s="1409">
        <f t="shared" si="9"/>
        <v>0</v>
      </c>
      <c r="U10" s="1409"/>
      <c r="V10" s="1409">
        <f t="shared" si="10"/>
        <v>0</v>
      </c>
      <c r="W10" s="1409"/>
      <c r="X10" s="19">
        <f t="shared" si="11"/>
        <v>0</v>
      </c>
      <c r="Y10" s="20">
        <f t="shared" si="1"/>
        <v>0</v>
      </c>
    </row>
    <row r="11" spans="1:25" ht="37.5" customHeight="1" x14ac:dyDescent="0.25">
      <c r="A11" s="12"/>
      <c r="B11" s="1408"/>
      <c r="C11" s="1409"/>
      <c r="D11" s="1410">
        <f t="shared" si="0"/>
        <v>0</v>
      </c>
      <c r="E11" s="1409"/>
      <c r="F11" s="1409">
        <f t="shared" si="2"/>
        <v>0</v>
      </c>
      <c r="G11" s="1409"/>
      <c r="H11" s="1409">
        <f t="shared" si="3"/>
        <v>0</v>
      </c>
      <c r="I11" s="1409"/>
      <c r="J11" s="1409">
        <f t="shared" si="4"/>
        <v>0</v>
      </c>
      <c r="K11" s="1409"/>
      <c r="L11" s="1410">
        <f t="shared" si="5"/>
        <v>0</v>
      </c>
      <c r="M11" s="1409"/>
      <c r="N11" s="1410">
        <f t="shared" si="6"/>
        <v>0</v>
      </c>
      <c r="O11" s="1409"/>
      <c r="P11" s="1410">
        <f t="shared" si="7"/>
        <v>0</v>
      </c>
      <c r="Q11" s="1410"/>
      <c r="R11" s="1410">
        <f t="shared" si="8"/>
        <v>0</v>
      </c>
      <c r="S11" s="1409"/>
      <c r="T11" s="1409">
        <f>341*S11</f>
        <v>0</v>
      </c>
      <c r="U11" s="1409"/>
      <c r="V11" s="1409">
        <f t="shared" si="10"/>
        <v>0</v>
      </c>
      <c r="W11" s="1409"/>
      <c r="X11" s="19">
        <f t="shared" si="11"/>
        <v>0</v>
      </c>
      <c r="Y11" s="20">
        <f t="shared" si="1"/>
        <v>0</v>
      </c>
    </row>
    <row r="12" spans="1:25" ht="29.25" customHeight="1" x14ac:dyDescent="0.25">
      <c r="A12" s="2235" t="s">
        <v>31</v>
      </c>
      <c r="B12" s="2235"/>
      <c r="C12" s="18">
        <f t="shared" ref="C12:X12" si="12">SUM(C6:C11)</f>
        <v>115454</v>
      </c>
      <c r="D12" s="18">
        <f t="shared" si="12"/>
        <v>112279.01500000001</v>
      </c>
      <c r="E12" s="18">
        <f t="shared" si="12"/>
        <v>0</v>
      </c>
      <c r="F12" s="18">
        <f t="shared" si="12"/>
        <v>0</v>
      </c>
      <c r="G12" s="18">
        <f t="shared" si="12"/>
        <v>160</v>
      </c>
      <c r="H12" s="18">
        <f t="shared" si="12"/>
        <v>4512</v>
      </c>
      <c r="I12" s="18">
        <f t="shared" si="12"/>
        <v>3180</v>
      </c>
      <c r="J12" s="18">
        <f t="shared" si="12"/>
        <v>58830</v>
      </c>
      <c r="K12" s="18">
        <f t="shared" si="12"/>
        <v>100</v>
      </c>
      <c r="L12" s="18">
        <f t="shared" si="12"/>
        <v>2823.68</v>
      </c>
      <c r="M12" s="18">
        <f t="shared" si="12"/>
        <v>0</v>
      </c>
      <c r="N12" s="23">
        <f t="shared" si="12"/>
        <v>0</v>
      </c>
      <c r="O12" s="18">
        <f t="shared" si="12"/>
        <v>0</v>
      </c>
      <c r="P12" s="23">
        <f t="shared" si="12"/>
        <v>0</v>
      </c>
      <c r="Q12" s="23">
        <f t="shared" si="12"/>
        <v>0</v>
      </c>
      <c r="R12" s="23">
        <f>SUM(R6:R11)</f>
        <v>0</v>
      </c>
      <c r="S12" s="23">
        <f>SUM(S6:S11)</f>
        <v>0</v>
      </c>
      <c r="T12" s="18">
        <f t="shared" si="12"/>
        <v>0</v>
      </c>
      <c r="U12" s="18">
        <f t="shared" si="12"/>
        <v>3</v>
      </c>
      <c r="V12" s="18">
        <f t="shared" si="12"/>
        <v>996</v>
      </c>
      <c r="W12" s="18">
        <f t="shared" si="12"/>
        <v>1</v>
      </c>
      <c r="X12" s="18">
        <f t="shared" si="12"/>
        <v>100</v>
      </c>
      <c r="Y12" s="20">
        <f t="shared" si="1"/>
        <v>179540.69500000001</v>
      </c>
    </row>
    <row r="14" spans="1:25" ht="43.5" customHeight="1" x14ac:dyDescent="0.25">
      <c r="A14" s="30" t="s">
        <v>32</v>
      </c>
      <c r="B14" s="2236" t="s">
        <v>27</v>
      </c>
      <c r="C14" s="2236"/>
      <c r="D14" s="30" t="s">
        <v>333</v>
      </c>
      <c r="E14" s="30" t="s">
        <v>65</v>
      </c>
      <c r="F14" s="30" t="s">
        <v>34</v>
      </c>
      <c r="G14" s="30" t="s">
        <v>14</v>
      </c>
      <c r="H14" s="469" t="s">
        <v>173</v>
      </c>
      <c r="I14" s="30" t="s">
        <v>17</v>
      </c>
      <c r="J14" s="1414" t="s">
        <v>174</v>
      </c>
      <c r="K14" s="30" t="s">
        <v>36</v>
      </c>
      <c r="L14" s="1414" t="s">
        <v>403</v>
      </c>
      <c r="M14" s="30" t="s">
        <v>429</v>
      </c>
      <c r="N14" s="30" t="s">
        <v>442</v>
      </c>
      <c r="O14" s="1414" t="s">
        <v>114</v>
      </c>
      <c r="P14" s="30" t="s">
        <v>70</v>
      </c>
      <c r="Q14" s="2300" t="s">
        <v>479</v>
      </c>
      <c r="R14" s="2301"/>
      <c r="S14" s="1414" t="s">
        <v>401</v>
      </c>
      <c r="T14" s="2235" t="s">
        <v>46</v>
      </c>
      <c r="U14" s="1406" t="s">
        <v>176</v>
      </c>
      <c r="V14" s="2260">
        <v>38889</v>
      </c>
      <c r="W14" s="2268"/>
      <c r="X14" s="2261"/>
    </row>
    <row r="15" spans="1:25" ht="22.5" customHeight="1" x14ac:dyDescent="0.25">
      <c r="A15" s="100" t="s">
        <v>38</v>
      </c>
      <c r="B15" s="2260">
        <v>281015</v>
      </c>
      <c r="C15" s="2261"/>
      <c r="D15" s="1411">
        <v>130</v>
      </c>
      <c r="E15" s="1411">
        <v>1460</v>
      </c>
      <c r="F15" s="1411">
        <v>14680</v>
      </c>
      <c r="G15" s="1411">
        <v>780</v>
      </c>
      <c r="H15" s="1411">
        <v>161</v>
      </c>
      <c r="I15" s="1411">
        <v>48</v>
      </c>
      <c r="J15" s="1411">
        <v>4</v>
      </c>
      <c r="K15" s="1411">
        <v>83</v>
      </c>
      <c r="L15" s="1411">
        <v>0</v>
      </c>
      <c r="M15" s="1411">
        <v>0</v>
      </c>
      <c r="N15" s="1411">
        <v>0</v>
      </c>
      <c r="O15" s="1411">
        <v>0</v>
      </c>
      <c r="P15" s="1411">
        <v>100</v>
      </c>
      <c r="Q15" s="2260">
        <v>10</v>
      </c>
      <c r="R15" s="2261"/>
      <c r="S15" s="1406">
        <v>2</v>
      </c>
      <c r="T15" s="2235"/>
      <c r="U15" s="1406" t="s">
        <v>64</v>
      </c>
      <c r="V15" s="2262">
        <v>17212</v>
      </c>
      <c r="W15" s="2262"/>
      <c r="X15" s="2262"/>
    </row>
    <row r="16" spans="1:25" ht="24.75" customHeight="1" x14ac:dyDescent="0.25">
      <c r="A16" s="100" t="s">
        <v>39</v>
      </c>
      <c r="B16" s="2260">
        <v>116363</v>
      </c>
      <c r="C16" s="2261"/>
      <c r="D16" s="1411"/>
      <c r="E16" s="1411"/>
      <c r="F16" s="1411"/>
      <c r="G16" s="1411"/>
      <c r="H16" s="1411"/>
      <c r="I16" s="1411"/>
      <c r="J16" s="1411"/>
      <c r="K16" s="1411"/>
      <c r="L16" s="1411"/>
      <c r="M16" s="1411"/>
      <c r="N16" s="1411"/>
      <c r="O16" s="1411"/>
      <c r="P16" s="1411"/>
      <c r="Q16" s="2262"/>
      <c r="R16" s="2262"/>
      <c r="S16" s="1411"/>
      <c r="T16" s="2254" t="s">
        <v>55</v>
      </c>
      <c r="U16" s="2254"/>
      <c r="V16" s="2267">
        <f>Y12</f>
        <v>179540.69500000001</v>
      </c>
      <c r="W16" s="2267"/>
      <c r="X16" s="2262"/>
    </row>
    <row r="17" spans="1:25" ht="28.5" customHeight="1" x14ac:dyDescent="0.25">
      <c r="A17" s="101" t="s">
        <v>44</v>
      </c>
      <c r="B17" s="2260"/>
      <c r="C17" s="2261"/>
      <c r="D17" s="1411"/>
      <c r="E17" s="1411"/>
      <c r="F17" s="1411"/>
      <c r="G17" s="1411"/>
      <c r="H17" s="1411"/>
      <c r="I17" s="1411"/>
      <c r="J17" s="1411"/>
      <c r="K17" s="1411"/>
      <c r="L17" s="1411"/>
      <c r="M17" s="1411"/>
      <c r="N17" s="1411"/>
      <c r="O17" s="1411"/>
      <c r="P17" s="1411"/>
      <c r="Q17" s="2225"/>
      <c r="R17" s="2225"/>
      <c r="S17" s="1408"/>
      <c r="T17" s="2294" t="s">
        <v>473</v>
      </c>
      <c r="U17" s="2295"/>
      <c r="V17" s="2296"/>
      <c r="W17" s="2296"/>
      <c r="X17" s="2296"/>
    </row>
    <row r="18" spans="1:25" ht="27" customHeight="1" x14ac:dyDescent="0.25">
      <c r="A18" s="100" t="s">
        <v>40</v>
      </c>
      <c r="B18" s="2264">
        <f>C12</f>
        <v>115454</v>
      </c>
      <c r="C18" s="2261"/>
      <c r="D18" s="1412">
        <f>E12</f>
        <v>0</v>
      </c>
      <c r="E18" s="1412">
        <f>G12</f>
        <v>160</v>
      </c>
      <c r="F18" s="1412">
        <f>I12</f>
        <v>3180</v>
      </c>
      <c r="G18" s="1412">
        <f>K12</f>
        <v>100</v>
      </c>
      <c r="H18" s="1411"/>
      <c r="I18" s="1412">
        <f>U12</f>
        <v>3</v>
      </c>
      <c r="J18" s="1411"/>
      <c r="K18" s="1412">
        <f>W12</f>
        <v>1</v>
      </c>
      <c r="L18" s="1411"/>
      <c r="M18" s="1412">
        <f>M12</f>
        <v>0</v>
      </c>
      <c r="N18" s="1412">
        <f>O12</f>
        <v>0</v>
      </c>
      <c r="O18" s="1413">
        <f>Q12</f>
        <v>0</v>
      </c>
      <c r="P18" s="1412"/>
      <c r="Q18" s="2262"/>
      <c r="R18" s="2262"/>
      <c r="S18" s="1406"/>
      <c r="T18" s="2254" t="s">
        <v>57</v>
      </c>
      <c r="U18" s="2254"/>
      <c r="V18" s="2262">
        <v>520</v>
      </c>
      <c r="W18" s="2262"/>
      <c r="X18" s="2262"/>
      <c r="Y18" s="2269"/>
    </row>
    <row r="19" spans="1:25" ht="25.5" customHeight="1" x14ac:dyDescent="0.25">
      <c r="A19" s="100" t="s">
        <v>41</v>
      </c>
      <c r="B19" s="2260">
        <f>B15+B16+B17-B18</f>
        <v>281924</v>
      </c>
      <c r="C19" s="2261"/>
      <c r="D19" s="1411">
        <f>D15+D16+D17-D18</f>
        <v>130</v>
      </c>
      <c r="E19" s="1411">
        <f t="shared" ref="E19:N19" si="13">E15+E16+E17-E18</f>
        <v>1300</v>
      </c>
      <c r="F19" s="1411">
        <f t="shared" si="13"/>
        <v>11500</v>
      </c>
      <c r="G19" s="1411">
        <f t="shared" si="13"/>
        <v>680</v>
      </c>
      <c r="H19" s="1411">
        <f t="shared" si="13"/>
        <v>161</v>
      </c>
      <c r="I19" s="1411">
        <f t="shared" si="13"/>
        <v>45</v>
      </c>
      <c r="J19" s="1411">
        <f t="shared" si="13"/>
        <v>4</v>
      </c>
      <c r="K19" s="1411">
        <f t="shared" si="13"/>
        <v>82</v>
      </c>
      <c r="L19" s="1411">
        <f t="shared" si="13"/>
        <v>0</v>
      </c>
      <c r="M19" s="1411">
        <f t="shared" si="13"/>
        <v>0</v>
      </c>
      <c r="N19" s="1411">
        <f t="shared" si="13"/>
        <v>0</v>
      </c>
      <c r="O19" s="1411">
        <f>O15+O16+O17-O18</f>
        <v>0</v>
      </c>
      <c r="P19" s="1411">
        <f t="shared" ref="P19:Q19" si="14">P15+P16+P17-P18</f>
        <v>100</v>
      </c>
      <c r="Q19" s="2260">
        <f t="shared" si="14"/>
        <v>10</v>
      </c>
      <c r="R19" s="2261"/>
      <c r="S19" s="1406">
        <f>S15+S16-S17-S18</f>
        <v>2</v>
      </c>
      <c r="T19" s="2256" t="s">
        <v>48</v>
      </c>
      <c r="U19" s="49" t="s">
        <v>58</v>
      </c>
      <c r="V19" s="2262">
        <v>79500</v>
      </c>
      <c r="W19" s="2262"/>
      <c r="X19" s="2262"/>
      <c r="Y19" s="2269"/>
    </row>
    <row r="20" spans="1:25" ht="23.25" customHeight="1" x14ac:dyDescent="0.25">
      <c r="A20" s="289" t="s">
        <v>187</v>
      </c>
      <c r="B20" s="2286">
        <f>B19*0.9625</f>
        <v>271351.85000000003</v>
      </c>
      <c r="C20" s="2287"/>
      <c r="D20" s="290">
        <f>D19*66.41</f>
        <v>8633.2999999999993</v>
      </c>
      <c r="E20" s="290">
        <f>27.9368*E19</f>
        <v>36317.840000000004</v>
      </c>
      <c r="F20" s="290">
        <f>18.31*F19</f>
        <v>210564.99999999997</v>
      </c>
      <c r="G20" s="290">
        <f>27.9368*G19</f>
        <v>18997.024000000001</v>
      </c>
      <c r="H20" s="290">
        <f>241*H19</f>
        <v>38801</v>
      </c>
      <c r="I20" s="290">
        <f>323*I19</f>
        <v>14535</v>
      </c>
      <c r="J20" s="290">
        <f>241*J19</f>
        <v>964</v>
      </c>
      <c r="K20" s="290">
        <f>K19*100</f>
        <v>8200</v>
      </c>
      <c r="L20" s="290">
        <f>241*L19</f>
        <v>0</v>
      </c>
      <c r="M20" s="290">
        <f>47.1625*M19</f>
        <v>0</v>
      </c>
      <c r="N20" s="290">
        <f>N19*8.81</f>
        <v>0</v>
      </c>
      <c r="O20" s="290">
        <f>241*O19</f>
        <v>0</v>
      </c>
      <c r="P20" s="290">
        <f>P19*48.2</f>
        <v>4820</v>
      </c>
      <c r="Q20" s="2286">
        <f>470*Q19</f>
        <v>4700</v>
      </c>
      <c r="R20" s="2287"/>
      <c r="S20" s="290">
        <f>341*S19</f>
        <v>682</v>
      </c>
      <c r="T20" s="2257"/>
      <c r="U20" s="49" t="s">
        <v>59</v>
      </c>
      <c r="V20" s="2262"/>
      <c r="W20" s="2262"/>
      <c r="X20" s="2262"/>
      <c r="Y20" s="2269"/>
    </row>
    <row r="21" spans="1:25" ht="32.25" customHeight="1" x14ac:dyDescent="0.25">
      <c r="A21" s="291" t="s">
        <v>186</v>
      </c>
      <c r="B21" s="2293">
        <f>SUM(B20:S20)</f>
        <v>618567.01399999997</v>
      </c>
      <c r="C21" s="2293"/>
      <c r="O21" s="1415"/>
      <c r="P21" s="1415"/>
      <c r="Q21" s="1415"/>
      <c r="R21" s="1415"/>
      <c r="T21" s="2294" t="s">
        <v>487</v>
      </c>
      <c r="U21" s="2295"/>
      <c r="V21" s="2297">
        <v>100000</v>
      </c>
      <c r="W21" s="2298"/>
      <c r="X21" s="2299"/>
      <c r="Y21" s="2269"/>
    </row>
    <row r="22" spans="1:25" ht="35.25" customHeight="1" x14ac:dyDescent="0.25">
      <c r="A22" s="15"/>
      <c r="B22" s="2288" t="s">
        <v>49</v>
      </c>
      <c r="C22" s="2291">
        <v>79500</v>
      </c>
      <c r="D22" s="2291">
        <v>79500</v>
      </c>
      <c r="E22" s="2291">
        <v>112000</v>
      </c>
      <c r="F22" s="2291">
        <f>C22-D22+E22</f>
        <v>112000</v>
      </c>
      <c r="G22" s="1415"/>
      <c r="Q22" s="1415"/>
      <c r="R22" s="1415"/>
      <c r="T22" s="2251" t="s">
        <v>83</v>
      </c>
      <c r="U22" s="50" t="s">
        <v>60</v>
      </c>
      <c r="V22" s="2262">
        <v>177900</v>
      </c>
      <c r="W22" s="2262"/>
      <c r="X22" s="2262"/>
      <c r="Y22" s="2269"/>
    </row>
    <row r="23" spans="1:25" ht="39.75" customHeight="1" x14ac:dyDescent="0.25">
      <c r="A23" s="1415"/>
      <c r="B23" s="2289"/>
      <c r="C23" s="2292"/>
      <c r="D23" s="2292"/>
      <c r="E23" s="2292"/>
      <c r="F23" s="2292"/>
      <c r="G23" s="1415"/>
      <c r="Q23" s="1415"/>
      <c r="R23" s="1415"/>
      <c r="T23" s="2252"/>
      <c r="U23" s="50" t="s">
        <v>61</v>
      </c>
      <c r="V23" s="2262">
        <v>179500</v>
      </c>
      <c r="W23" s="2262"/>
      <c r="X23" s="2262"/>
      <c r="Y23" s="2269"/>
    </row>
    <row r="24" spans="1:25" ht="48" customHeight="1" x14ac:dyDescent="0.25">
      <c r="A24" s="1415"/>
      <c r="B24" s="2290"/>
      <c r="C24" s="290" t="s">
        <v>46</v>
      </c>
      <c r="D24" s="290" t="s">
        <v>50</v>
      </c>
      <c r="E24" s="290" t="s">
        <v>51</v>
      </c>
      <c r="F24" s="290" t="s">
        <v>52</v>
      </c>
      <c r="G24" s="1415"/>
      <c r="Q24" s="1415"/>
      <c r="R24" s="1415"/>
      <c r="T24" s="2235" t="s">
        <v>47</v>
      </c>
      <c r="U24" s="51" t="s">
        <v>62</v>
      </c>
      <c r="V24" s="2263">
        <f>V14+V16+V17-V18-V19-V20-V22+V23-V21</f>
        <v>40009.695000000007</v>
      </c>
      <c r="W24" s="2263"/>
      <c r="X24" s="2263"/>
      <c r="Y24" s="2269"/>
    </row>
    <row r="25" spans="1:25" ht="40.5" customHeight="1" x14ac:dyDescent="0.25">
      <c r="T25" s="2235"/>
      <c r="U25" s="51" t="s">
        <v>63</v>
      </c>
      <c r="V25" s="2262">
        <f>V15+V22-V23</f>
        <v>15612</v>
      </c>
      <c r="W25" s="2262"/>
      <c r="X25" s="2262"/>
    </row>
    <row r="26" spans="1:25" ht="36" customHeight="1" x14ac:dyDescent="0.25">
      <c r="K26" s="314"/>
    </row>
    <row r="28" spans="1:25" x14ac:dyDescent="0.25">
      <c r="J28" s="14" t="s">
        <v>139</v>
      </c>
    </row>
    <row r="32" spans="1:25" x14ac:dyDescent="0.25">
      <c r="I32" s="2280"/>
      <c r="J32" s="2280"/>
      <c r="K32" s="2280"/>
      <c r="L32" s="2280"/>
    </row>
    <row r="33" spans="9:12" x14ac:dyDescent="0.25">
      <c r="I33" s="1415"/>
      <c r="J33" s="1415"/>
      <c r="K33" s="2280"/>
      <c r="L33" s="2280"/>
    </row>
  </sheetData>
  <mergeCells count="62">
    <mergeCell ref="I32:J32"/>
    <mergeCell ref="K32:L32"/>
    <mergeCell ref="K33:L33"/>
    <mergeCell ref="T22:T23"/>
    <mergeCell ref="V22:X22"/>
    <mergeCell ref="V23:X23"/>
    <mergeCell ref="T24:T25"/>
    <mergeCell ref="V24:X24"/>
    <mergeCell ref="V25:X25"/>
    <mergeCell ref="Y18:Y24"/>
    <mergeCell ref="B19:C19"/>
    <mergeCell ref="Q19:R19"/>
    <mergeCell ref="T19:T20"/>
    <mergeCell ref="V19:X19"/>
    <mergeCell ref="B20:C20"/>
    <mergeCell ref="B22:B24"/>
    <mergeCell ref="C22:C23"/>
    <mergeCell ref="D22:D23"/>
    <mergeCell ref="E22:E23"/>
    <mergeCell ref="F22:F23"/>
    <mergeCell ref="Q20:R20"/>
    <mergeCell ref="V20:X20"/>
    <mergeCell ref="B21:C21"/>
    <mergeCell ref="T21:U21"/>
    <mergeCell ref="V21:X21"/>
    <mergeCell ref="B17:C17"/>
    <mergeCell ref="Q17:R17"/>
    <mergeCell ref="T17:U17"/>
    <mergeCell ref="V17:X17"/>
    <mergeCell ref="B18:C18"/>
    <mergeCell ref="Q18:R18"/>
    <mergeCell ref="T18:U18"/>
    <mergeCell ref="V18:X18"/>
    <mergeCell ref="W4:X4"/>
    <mergeCell ref="B16:C16"/>
    <mergeCell ref="Q16:R16"/>
    <mergeCell ref="T16:U16"/>
    <mergeCell ref="V16:X16"/>
    <mergeCell ref="A12:B12"/>
    <mergeCell ref="B14:C14"/>
    <mergeCell ref="Q14:R14"/>
    <mergeCell ref="T14:T15"/>
    <mergeCell ref="V14:X14"/>
    <mergeCell ref="B15:C15"/>
    <mergeCell ref="Q15:R15"/>
    <mergeCell ref="V15:X15"/>
    <mergeCell ref="A1:Y1"/>
    <mergeCell ref="A2:Y2"/>
    <mergeCell ref="T3:Y3"/>
    <mergeCell ref="A4:A5"/>
    <mergeCell ref="B4:B5"/>
    <mergeCell ref="C4:D4"/>
    <mergeCell ref="E4:F4"/>
    <mergeCell ref="G4:H4"/>
    <mergeCell ref="I4:J4"/>
    <mergeCell ref="K4:L4"/>
    <mergeCell ref="Y4:Y5"/>
    <mergeCell ref="M4:N4"/>
    <mergeCell ref="O4:P4"/>
    <mergeCell ref="Q4:R4"/>
    <mergeCell ref="S4:T4"/>
    <mergeCell ref="U4:V4"/>
  </mergeCells>
  <pageMargins left="0.15748031496063" right="0.15748031496063" top="0" bottom="0" header="0" footer="0"/>
  <pageSetup paperSize="9" scale="47" orientation="landscape" r:id="rId1"/>
</worksheet>
</file>

<file path=xl/worksheets/sheet2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72BA6D0-CC29-4980-896A-9CD8FD031874}">
  <sheetPr>
    <pageSetUpPr fitToPage="1"/>
  </sheetPr>
  <dimension ref="A1:Y33"/>
  <sheetViews>
    <sheetView topLeftCell="D4" zoomScale="70" zoomScaleNormal="70" zoomScaleSheetLayoutView="100" zoomScalePageLayoutView="68" workbookViewId="0">
      <selection activeCell="I24" sqref="I24"/>
    </sheetView>
  </sheetViews>
  <sheetFormatPr defaultColWidth="9.140625" defaultRowHeight="15" x14ac:dyDescent="0.25"/>
  <cols>
    <col min="1" max="1" width="18.28515625" style="14" customWidth="1"/>
    <col min="2" max="2" width="10.7109375" style="14" customWidth="1"/>
    <col min="3" max="3" width="12.28515625" style="14" customWidth="1"/>
    <col min="4" max="4" width="13.140625" style="14" bestFit="1" customWidth="1"/>
    <col min="5" max="5" width="12" style="14" customWidth="1"/>
    <col min="6" max="6" width="12.5703125" style="14" bestFit="1" customWidth="1"/>
    <col min="7" max="7" width="16" style="14" bestFit="1" customWidth="1"/>
    <col min="8" max="8" width="10.140625" style="14" bestFit="1" customWidth="1"/>
    <col min="9" max="9" width="10.5703125" style="14" bestFit="1" customWidth="1"/>
    <col min="10" max="10" width="10.5703125" style="14" customWidth="1"/>
    <col min="11" max="11" width="10.28515625" style="14" bestFit="1" customWidth="1"/>
    <col min="12" max="12" width="10.42578125" style="14" bestFit="1" customWidth="1"/>
    <col min="13" max="14" width="12" style="14" bestFit="1" customWidth="1"/>
    <col min="15" max="15" width="9" style="14" customWidth="1"/>
    <col min="16" max="16" width="12.85546875" style="14" bestFit="1" customWidth="1"/>
    <col min="17" max="18" width="9.42578125" style="14" customWidth="1"/>
    <col min="19" max="19" width="13.7109375" style="14" customWidth="1"/>
    <col min="20" max="20" width="12.140625" style="14" customWidth="1"/>
    <col min="21" max="21" width="21.7109375" style="14" customWidth="1"/>
    <col min="22" max="22" width="9.85546875" style="14" customWidth="1"/>
    <col min="23" max="23" width="10.140625" style="14" bestFit="1" customWidth="1"/>
    <col min="24" max="24" width="10.28515625" style="14" customWidth="1"/>
    <col min="25" max="25" width="15.7109375" style="14" customWidth="1"/>
    <col min="26" max="16384" width="9.140625" style="14"/>
  </cols>
  <sheetData>
    <row r="1" spans="1:25" ht="46.15" customHeight="1" x14ac:dyDescent="0.25">
      <c r="A1" s="2240" t="s">
        <v>148</v>
      </c>
      <c r="B1" s="2240"/>
      <c r="C1" s="2240"/>
      <c r="D1" s="2240"/>
      <c r="E1" s="2240"/>
      <c r="F1" s="2240"/>
      <c r="G1" s="2240"/>
      <c r="H1" s="2240"/>
      <c r="I1" s="2240"/>
      <c r="J1" s="2240"/>
      <c r="K1" s="2240"/>
      <c r="L1" s="2240"/>
      <c r="M1" s="2240"/>
      <c r="N1" s="2240"/>
      <c r="O1" s="2240"/>
      <c r="P1" s="2240"/>
      <c r="Q1" s="2240"/>
      <c r="R1" s="2240"/>
      <c r="S1" s="2240"/>
      <c r="T1" s="2240"/>
      <c r="U1" s="2240"/>
      <c r="V1" s="2240"/>
      <c r="W1" s="2240"/>
      <c r="X1" s="2240"/>
      <c r="Y1" s="2240"/>
    </row>
    <row r="2" spans="1:25" ht="21.6" customHeight="1" x14ac:dyDescent="0.25">
      <c r="A2" s="2241" t="s">
        <v>383</v>
      </c>
      <c r="B2" s="2241"/>
      <c r="C2" s="2241"/>
      <c r="D2" s="2241"/>
      <c r="E2" s="2241"/>
      <c r="F2" s="2241"/>
      <c r="G2" s="2241"/>
      <c r="H2" s="2241"/>
      <c r="I2" s="2241"/>
      <c r="J2" s="2241"/>
      <c r="K2" s="2241"/>
      <c r="L2" s="2241"/>
      <c r="M2" s="2241"/>
      <c r="N2" s="2241"/>
      <c r="O2" s="2241"/>
      <c r="P2" s="2241"/>
      <c r="Q2" s="2241"/>
      <c r="R2" s="2241"/>
      <c r="S2" s="2241"/>
      <c r="T2" s="2241"/>
      <c r="U2" s="2241"/>
      <c r="V2" s="2241"/>
      <c r="W2" s="2241"/>
      <c r="X2" s="2241"/>
      <c r="Y2" s="2241"/>
    </row>
    <row r="3" spans="1:25" ht="21" customHeight="1" x14ac:dyDescent="0.25">
      <c r="A3" s="1421"/>
      <c r="B3" s="1421"/>
      <c r="C3" s="1421"/>
      <c r="D3" s="1421"/>
      <c r="E3" s="1421"/>
      <c r="F3" s="1421"/>
      <c r="G3" s="1421"/>
      <c r="H3" s="1421"/>
      <c r="I3" s="1421"/>
      <c r="J3" s="1421"/>
      <c r="K3" s="1421"/>
      <c r="L3" s="1421"/>
      <c r="M3" s="1421"/>
      <c r="N3" s="1421"/>
      <c r="O3" s="1421"/>
      <c r="P3" s="1421"/>
      <c r="Q3" s="1421"/>
      <c r="R3" s="1421"/>
      <c r="S3" s="1421"/>
      <c r="T3" s="2242" t="s">
        <v>488</v>
      </c>
      <c r="U3" s="2242"/>
      <c r="V3" s="2242"/>
      <c r="W3" s="2242"/>
      <c r="X3" s="2242"/>
      <c r="Y3" s="2242"/>
    </row>
    <row r="4" spans="1:25" s="1421" customFormat="1" ht="18" customHeight="1" x14ac:dyDescent="0.25">
      <c r="A4" s="2243" t="s">
        <v>25</v>
      </c>
      <c r="B4" s="2243" t="s">
        <v>26</v>
      </c>
      <c r="C4" s="2244" t="s">
        <v>27</v>
      </c>
      <c r="D4" s="2244"/>
      <c r="E4" s="2244" t="s">
        <v>342</v>
      </c>
      <c r="F4" s="2244"/>
      <c r="G4" s="2244" t="s">
        <v>65</v>
      </c>
      <c r="H4" s="2244"/>
      <c r="I4" s="2244" t="s">
        <v>29</v>
      </c>
      <c r="J4" s="2244"/>
      <c r="K4" s="2245" t="s">
        <v>14</v>
      </c>
      <c r="L4" s="2246"/>
      <c r="M4" s="2245" t="s">
        <v>429</v>
      </c>
      <c r="N4" s="2246"/>
      <c r="O4" s="2245" t="s">
        <v>441</v>
      </c>
      <c r="P4" s="2246"/>
      <c r="Q4" s="2245" t="s">
        <v>114</v>
      </c>
      <c r="R4" s="2246"/>
      <c r="S4" s="2244" t="s">
        <v>35</v>
      </c>
      <c r="T4" s="2244"/>
      <c r="U4" s="2245" t="s">
        <v>17</v>
      </c>
      <c r="V4" s="2246"/>
      <c r="W4" s="2247" t="s">
        <v>36</v>
      </c>
      <c r="X4" s="2248"/>
      <c r="Y4" s="2238" t="s">
        <v>30</v>
      </c>
    </row>
    <row r="5" spans="1:25" s="1421" customFormat="1" ht="25.5" customHeight="1" x14ac:dyDescent="0.25">
      <c r="A5" s="2243"/>
      <c r="B5" s="2243"/>
      <c r="C5" s="1420" t="s">
        <v>42</v>
      </c>
      <c r="D5" s="1420" t="s">
        <v>43</v>
      </c>
      <c r="E5" s="1420" t="s">
        <v>42</v>
      </c>
      <c r="F5" s="1420" t="s">
        <v>43</v>
      </c>
      <c r="G5" s="1420" t="s">
        <v>42</v>
      </c>
      <c r="H5" s="1420" t="s">
        <v>43</v>
      </c>
      <c r="I5" s="1420" t="s">
        <v>42</v>
      </c>
      <c r="J5" s="1420" t="s">
        <v>43</v>
      </c>
      <c r="K5" s="1420" t="s">
        <v>42</v>
      </c>
      <c r="L5" s="1420" t="s">
        <v>43</v>
      </c>
      <c r="M5" s="1420" t="s">
        <v>42</v>
      </c>
      <c r="N5" s="1420" t="s">
        <v>43</v>
      </c>
      <c r="O5" s="1420" t="s">
        <v>42</v>
      </c>
      <c r="P5" s="1420" t="s">
        <v>43</v>
      </c>
      <c r="Q5" s="1420" t="s">
        <v>42</v>
      </c>
      <c r="R5" s="1420" t="s">
        <v>43</v>
      </c>
      <c r="S5" s="33" t="s">
        <v>42</v>
      </c>
      <c r="T5" s="33" t="s">
        <v>43</v>
      </c>
      <c r="U5" s="30" t="s">
        <v>42</v>
      </c>
      <c r="V5" s="30" t="s">
        <v>43</v>
      </c>
      <c r="W5" s="30" t="s">
        <v>42</v>
      </c>
      <c r="X5" s="30" t="s">
        <v>43</v>
      </c>
      <c r="Y5" s="2239"/>
    </row>
    <row r="6" spans="1:25" ht="34.5" customHeight="1" x14ac:dyDescent="0.25">
      <c r="A6" s="12">
        <v>1409935200</v>
      </c>
      <c r="B6" s="1419" t="s">
        <v>71</v>
      </c>
      <c r="C6" s="1417">
        <v>39729</v>
      </c>
      <c r="D6" s="1416">
        <f t="shared" ref="D6:D11" si="0">0.9725*C6</f>
        <v>38636.452499999999</v>
      </c>
      <c r="E6" s="1417"/>
      <c r="F6" s="1416">
        <f>67.1*E6</f>
        <v>0</v>
      </c>
      <c r="G6" s="1417">
        <v>30</v>
      </c>
      <c r="H6" s="1417">
        <f>28.2*G6</f>
        <v>846</v>
      </c>
      <c r="I6" s="1417">
        <v>660</v>
      </c>
      <c r="J6" s="1417">
        <f>18.5*I6</f>
        <v>12210</v>
      </c>
      <c r="K6" s="1417"/>
      <c r="L6" s="1416">
        <f>28.2368*K6</f>
        <v>0</v>
      </c>
      <c r="M6" s="1417"/>
      <c r="N6" s="1416">
        <f>M6*47.6525</f>
        <v>0</v>
      </c>
      <c r="O6" s="1417"/>
      <c r="P6" s="1416">
        <f>O6*8.9</f>
        <v>0</v>
      </c>
      <c r="Q6" s="1416"/>
      <c r="R6" s="1416">
        <f>241*Q6</f>
        <v>0</v>
      </c>
      <c r="S6" s="1417"/>
      <c r="T6" s="1417">
        <f>241*S6</f>
        <v>0</v>
      </c>
      <c r="U6" s="1417"/>
      <c r="V6" s="1417">
        <f>332*U6</f>
        <v>0</v>
      </c>
      <c r="W6" s="1417"/>
      <c r="X6" s="19">
        <f>W6*100</f>
        <v>0</v>
      </c>
      <c r="Y6" s="20">
        <f t="shared" ref="Y6:Y12" si="1">D6+F6+H6+J6+L6+N6+P6+R6+T6+V6+X6</f>
        <v>51692.452499999999</v>
      </c>
    </row>
    <row r="7" spans="1:25" ht="31.5" customHeight="1" x14ac:dyDescent="0.25">
      <c r="A7" s="12">
        <v>1984225578</v>
      </c>
      <c r="B7" s="1419" t="s">
        <v>72</v>
      </c>
      <c r="C7" s="1417">
        <v>12123</v>
      </c>
      <c r="D7" s="1416">
        <f t="shared" si="0"/>
        <v>11789.6175</v>
      </c>
      <c r="E7" s="1417"/>
      <c r="F7" s="1417">
        <f t="shared" ref="F7:F11" si="2">67.1*E7</f>
        <v>0</v>
      </c>
      <c r="G7" s="1417"/>
      <c r="H7" s="1417">
        <f t="shared" ref="H7:H11" si="3">28.2*G7</f>
        <v>0</v>
      </c>
      <c r="I7" s="1417">
        <v>190</v>
      </c>
      <c r="J7" s="1417">
        <f t="shared" ref="J7:J11" si="4">18.5*I7</f>
        <v>3515</v>
      </c>
      <c r="K7" s="1417"/>
      <c r="L7" s="1416">
        <f t="shared" ref="L7:L11" si="5">28.2368*K7</f>
        <v>0</v>
      </c>
      <c r="M7" s="1417"/>
      <c r="N7" s="1416">
        <f t="shared" ref="N7:N11" si="6">M7*47.6525</f>
        <v>0</v>
      </c>
      <c r="O7" s="1417"/>
      <c r="P7" s="1416">
        <f t="shared" ref="P7:P11" si="7">O7*8.9</f>
        <v>0</v>
      </c>
      <c r="Q7" s="1416"/>
      <c r="R7" s="1416">
        <f t="shared" ref="R7:R11" si="8">241*Q7</f>
        <v>0</v>
      </c>
      <c r="S7" s="1417"/>
      <c r="T7" s="1417">
        <f t="shared" ref="T7:T10" si="9">241*S7</f>
        <v>0</v>
      </c>
      <c r="U7" s="1417">
        <v>10</v>
      </c>
      <c r="V7" s="1417">
        <f t="shared" ref="V7:V11" si="10">332*U7</f>
        <v>3320</v>
      </c>
      <c r="W7" s="1417"/>
      <c r="X7" s="19">
        <f t="shared" ref="X7:X11" si="11">W7*100</f>
        <v>0</v>
      </c>
      <c r="Y7" s="20">
        <f t="shared" si="1"/>
        <v>18624.6175</v>
      </c>
    </row>
    <row r="8" spans="1:25" ht="35.25" customHeight="1" x14ac:dyDescent="0.25">
      <c r="A8" s="12">
        <v>1967020280</v>
      </c>
      <c r="B8" s="1419" t="s">
        <v>427</v>
      </c>
      <c r="C8" s="1417">
        <v>27747</v>
      </c>
      <c r="D8" s="1416">
        <f t="shared" si="0"/>
        <v>26983.9575</v>
      </c>
      <c r="E8" s="1417"/>
      <c r="F8" s="1417">
        <f t="shared" si="2"/>
        <v>0</v>
      </c>
      <c r="G8" s="1417"/>
      <c r="H8" s="1416">
        <f t="shared" si="3"/>
        <v>0</v>
      </c>
      <c r="I8" s="1417">
        <v>760</v>
      </c>
      <c r="J8" s="1417">
        <f t="shared" si="4"/>
        <v>14060</v>
      </c>
      <c r="K8" s="1417"/>
      <c r="L8" s="1416">
        <f t="shared" si="5"/>
        <v>0</v>
      </c>
      <c r="M8" s="1417"/>
      <c r="N8" s="1416">
        <f t="shared" si="6"/>
        <v>0</v>
      </c>
      <c r="O8" s="1417"/>
      <c r="P8" s="1416">
        <f t="shared" si="7"/>
        <v>0</v>
      </c>
      <c r="Q8" s="1416"/>
      <c r="R8" s="1416">
        <f t="shared" si="8"/>
        <v>0</v>
      </c>
      <c r="S8" s="1417"/>
      <c r="T8" s="1417">
        <f t="shared" si="9"/>
        <v>0</v>
      </c>
      <c r="U8" s="1417"/>
      <c r="V8" s="1417">
        <f t="shared" si="10"/>
        <v>0</v>
      </c>
      <c r="W8" s="1417"/>
      <c r="X8" s="19">
        <f t="shared" si="11"/>
        <v>0</v>
      </c>
      <c r="Y8" s="20">
        <f t="shared" si="1"/>
        <v>41043.957500000004</v>
      </c>
    </row>
    <row r="9" spans="1:25" ht="38.25" customHeight="1" x14ac:dyDescent="0.25">
      <c r="A9" s="12">
        <v>1984225580</v>
      </c>
      <c r="B9" s="1419" t="s">
        <v>75</v>
      </c>
      <c r="C9" s="1417">
        <v>29087</v>
      </c>
      <c r="D9" s="1416">
        <f t="shared" si="0"/>
        <v>28287.107500000002</v>
      </c>
      <c r="E9" s="1417"/>
      <c r="F9" s="1417">
        <f t="shared" si="2"/>
        <v>0</v>
      </c>
      <c r="G9" s="1417"/>
      <c r="H9" s="1417">
        <f t="shared" si="3"/>
        <v>0</v>
      </c>
      <c r="I9" s="1417">
        <v>470</v>
      </c>
      <c r="J9" s="1417">
        <f t="shared" si="4"/>
        <v>8695</v>
      </c>
      <c r="K9" s="1417"/>
      <c r="L9" s="1416">
        <f t="shared" si="5"/>
        <v>0</v>
      </c>
      <c r="M9" s="1417"/>
      <c r="N9" s="1416">
        <f t="shared" si="6"/>
        <v>0</v>
      </c>
      <c r="O9" s="1417"/>
      <c r="P9" s="1416">
        <f t="shared" si="7"/>
        <v>0</v>
      </c>
      <c r="Q9" s="1416"/>
      <c r="R9" s="1416">
        <f t="shared" si="8"/>
        <v>0</v>
      </c>
      <c r="S9" s="1417"/>
      <c r="T9" s="1417">
        <f t="shared" si="9"/>
        <v>0</v>
      </c>
      <c r="U9" s="1417">
        <v>5</v>
      </c>
      <c r="V9" s="1417">
        <f t="shared" si="10"/>
        <v>1660</v>
      </c>
      <c r="W9" s="1417"/>
      <c r="X9" s="19">
        <f t="shared" si="11"/>
        <v>0</v>
      </c>
      <c r="Y9" s="20">
        <f t="shared" si="1"/>
        <v>38642.107499999998</v>
      </c>
    </row>
    <row r="10" spans="1:25" ht="35.25" customHeight="1" x14ac:dyDescent="0.25">
      <c r="A10" s="12">
        <v>1409935199</v>
      </c>
      <c r="C10" s="1417"/>
      <c r="D10" s="1416">
        <f t="shared" si="0"/>
        <v>0</v>
      </c>
      <c r="E10" s="1417"/>
      <c r="F10" s="1417">
        <f t="shared" si="2"/>
        <v>0</v>
      </c>
      <c r="G10" s="1417"/>
      <c r="H10" s="1417">
        <f t="shared" si="3"/>
        <v>0</v>
      </c>
      <c r="I10" s="1417"/>
      <c r="J10" s="1417">
        <f t="shared" si="4"/>
        <v>0</v>
      </c>
      <c r="K10" s="1417"/>
      <c r="L10" s="1416">
        <f t="shared" si="5"/>
        <v>0</v>
      </c>
      <c r="M10" s="1417"/>
      <c r="N10" s="1416">
        <f t="shared" si="6"/>
        <v>0</v>
      </c>
      <c r="O10" s="1417"/>
      <c r="P10" s="1416">
        <f t="shared" si="7"/>
        <v>0</v>
      </c>
      <c r="Q10" s="1416"/>
      <c r="R10" s="1416">
        <f t="shared" si="8"/>
        <v>0</v>
      </c>
      <c r="S10" s="1417"/>
      <c r="T10" s="1417">
        <f t="shared" si="9"/>
        <v>0</v>
      </c>
      <c r="U10" s="1417"/>
      <c r="V10" s="1417">
        <f t="shared" si="10"/>
        <v>0</v>
      </c>
      <c r="W10" s="1417"/>
      <c r="X10" s="19">
        <f t="shared" si="11"/>
        <v>0</v>
      </c>
      <c r="Y10" s="20">
        <f t="shared" si="1"/>
        <v>0</v>
      </c>
    </row>
    <row r="11" spans="1:25" ht="37.5" customHeight="1" x14ac:dyDescent="0.25">
      <c r="A11" s="12"/>
      <c r="B11" s="1418"/>
      <c r="C11" s="1417"/>
      <c r="D11" s="1416">
        <f t="shared" si="0"/>
        <v>0</v>
      </c>
      <c r="E11" s="1417"/>
      <c r="F11" s="1417">
        <f t="shared" si="2"/>
        <v>0</v>
      </c>
      <c r="G11" s="1417"/>
      <c r="H11" s="1417">
        <f t="shared" si="3"/>
        <v>0</v>
      </c>
      <c r="I11" s="1417"/>
      <c r="J11" s="1417">
        <f t="shared" si="4"/>
        <v>0</v>
      </c>
      <c r="K11" s="1417"/>
      <c r="L11" s="1416">
        <f t="shared" si="5"/>
        <v>0</v>
      </c>
      <c r="M11" s="1417"/>
      <c r="N11" s="1416">
        <f t="shared" si="6"/>
        <v>0</v>
      </c>
      <c r="O11" s="1417"/>
      <c r="P11" s="1416">
        <f t="shared" si="7"/>
        <v>0</v>
      </c>
      <c r="Q11" s="1416"/>
      <c r="R11" s="1416">
        <f t="shared" si="8"/>
        <v>0</v>
      </c>
      <c r="S11" s="1417"/>
      <c r="T11" s="1417">
        <f>341*S11</f>
        <v>0</v>
      </c>
      <c r="U11" s="1417"/>
      <c r="V11" s="1417">
        <f t="shared" si="10"/>
        <v>0</v>
      </c>
      <c r="W11" s="1417"/>
      <c r="X11" s="19">
        <f t="shared" si="11"/>
        <v>0</v>
      </c>
      <c r="Y11" s="20">
        <f t="shared" si="1"/>
        <v>0</v>
      </c>
    </row>
    <row r="12" spans="1:25" ht="29.25" customHeight="1" x14ac:dyDescent="0.25">
      <c r="A12" s="2235" t="s">
        <v>31</v>
      </c>
      <c r="B12" s="2235"/>
      <c r="C12" s="18">
        <f t="shared" ref="C12:X12" si="12">SUM(C6:C11)</f>
        <v>108686</v>
      </c>
      <c r="D12" s="18">
        <f t="shared" si="12"/>
        <v>105697.13499999999</v>
      </c>
      <c r="E12" s="18">
        <f t="shared" si="12"/>
        <v>0</v>
      </c>
      <c r="F12" s="18">
        <f t="shared" si="12"/>
        <v>0</v>
      </c>
      <c r="G12" s="18">
        <f t="shared" si="12"/>
        <v>30</v>
      </c>
      <c r="H12" s="18">
        <f t="shared" si="12"/>
        <v>846</v>
      </c>
      <c r="I12" s="18">
        <f t="shared" si="12"/>
        <v>2080</v>
      </c>
      <c r="J12" s="18">
        <f t="shared" si="12"/>
        <v>38480</v>
      </c>
      <c r="K12" s="18">
        <f t="shared" si="12"/>
        <v>0</v>
      </c>
      <c r="L12" s="18">
        <f t="shared" si="12"/>
        <v>0</v>
      </c>
      <c r="M12" s="18">
        <f t="shared" si="12"/>
        <v>0</v>
      </c>
      <c r="N12" s="23">
        <f t="shared" si="12"/>
        <v>0</v>
      </c>
      <c r="O12" s="18">
        <f t="shared" si="12"/>
        <v>0</v>
      </c>
      <c r="P12" s="23">
        <f t="shared" si="12"/>
        <v>0</v>
      </c>
      <c r="Q12" s="23">
        <f t="shared" si="12"/>
        <v>0</v>
      </c>
      <c r="R12" s="23">
        <f>SUM(R6:R11)</f>
        <v>0</v>
      </c>
      <c r="S12" s="23">
        <f>SUM(S6:S11)</f>
        <v>0</v>
      </c>
      <c r="T12" s="18">
        <f t="shared" si="12"/>
        <v>0</v>
      </c>
      <c r="U12" s="18">
        <f t="shared" si="12"/>
        <v>15</v>
      </c>
      <c r="V12" s="18">
        <f t="shared" si="12"/>
        <v>4980</v>
      </c>
      <c r="W12" s="18">
        <f t="shared" si="12"/>
        <v>0</v>
      </c>
      <c r="X12" s="18">
        <f t="shared" si="12"/>
        <v>0</v>
      </c>
      <c r="Y12" s="20">
        <f t="shared" si="1"/>
        <v>150003.13500000001</v>
      </c>
    </row>
    <row r="14" spans="1:25" ht="43.5" customHeight="1" x14ac:dyDescent="0.25">
      <c r="A14" s="30" t="s">
        <v>32</v>
      </c>
      <c r="B14" s="2236" t="s">
        <v>27</v>
      </c>
      <c r="C14" s="2236"/>
      <c r="D14" s="30" t="s">
        <v>333</v>
      </c>
      <c r="E14" s="30" t="s">
        <v>65</v>
      </c>
      <c r="F14" s="30" t="s">
        <v>34</v>
      </c>
      <c r="G14" s="30" t="s">
        <v>14</v>
      </c>
      <c r="H14" s="469" t="s">
        <v>173</v>
      </c>
      <c r="I14" s="30" t="s">
        <v>17</v>
      </c>
      <c r="J14" s="1425" t="s">
        <v>174</v>
      </c>
      <c r="K14" s="30" t="s">
        <v>36</v>
      </c>
      <c r="L14" s="1425" t="s">
        <v>403</v>
      </c>
      <c r="M14" s="30" t="s">
        <v>429</v>
      </c>
      <c r="N14" s="30" t="s">
        <v>442</v>
      </c>
      <c r="O14" s="1425" t="s">
        <v>114</v>
      </c>
      <c r="P14" s="30" t="s">
        <v>70</v>
      </c>
      <c r="Q14" s="2300" t="s">
        <v>479</v>
      </c>
      <c r="R14" s="2301"/>
      <c r="S14" s="1425" t="s">
        <v>401</v>
      </c>
      <c r="T14" s="2235" t="s">
        <v>46</v>
      </c>
      <c r="U14" s="1419" t="s">
        <v>176</v>
      </c>
      <c r="V14" s="2260">
        <v>40010</v>
      </c>
      <c r="W14" s="2268"/>
      <c r="X14" s="2261"/>
    </row>
    <row r="15" spans="1:25" ht="22.5" customHeight="1" x14ac:dyDescent="0.25">
      <c r="A15" s="100" t="s">
        <v>38</v>
      </c>
      <c r="B15" s="2260">
        <v>281924</v>
      </c>
      <c r="C15" s="2261"/>
      <c r="D15" s="1422">
        <v>130</v>
      </c>
      <c r="E15" s="1422">
        <v>1300</v>
      </c>
      <c r="F15" s="1422">
        <v>11500</v>
      </c>
      <c r="G15" s="1422">
        <v>680</v>
      </c>
      <c r="H15" s="1422">
        <v>161</v>
      </c>
      <c r="I15" s="1422">
        <v>45</v>
      </c>
      <c r="J15" s="1422">
        <v>4</v>
      </c>
      <c r="K15" s="1422">
        <v>82</v>
      </c>
      <c r="L15" s="1422">
        <v>0</v>
      </c>
      <c r="M15" s="1422">
        <v>0</v>
      </c>
      <c r="N15" s="1422">
        <v>0</v>
      </c>
      <c r="O15" s="1422">
        <v>0</v>
      </c>
      <c r="P15" s="1422">
        <v>100</v>
      </c>
      <c r="Q15" s="2260">
        <v>10</v>
      </c>
      <c r="R15" s="2261"/>
      <c r="S15" s="1419">
        <v>2</v>
      </c>
      <c r="T15" s="2235"/>
      <c r="U15" s="1419" t="s">
        <v>64</v>
      </c>
      <c r="V15" s="2262">
        <v>15612</v>
      </c>
      <c r="W15" s="2262"/>
      <c r="X15" s="2262"/>
    </row>
    <row r="16" spans="1:25" ht="24.75" customHeight="1" x14ac:dyDescent="0.25">
      <c r="A16" s="100" t="s">
        <v>39</v>
      </c>
      <c r="B16" s="2260">
        <v>109090</v>
      </c>
      <c r="C16" s="2261"/>
      <c r="D16" s="1422"/>
      <c r="E16" s="1422"/>
      <c r="F16" s="1422"/>
      <c r="G16" s="1422"/>
      <c r="H16" s="1422"/>
      <c r="I16" s="1422"/>
      <c r="J16" s="1422"/>
      <c r="K16" s="1422"/>
      <c r="L16" s="1422"/>
      <c r="M16" s="1422"/>
      <c r="N16" s="1422"/>
      <c r="O16" s="1422"/>
      <c r="P16" s="1422"/>
      <c r="Q16" s="2262"/>
      <c r="R16" s="2262"/>
      <c r="S16" s="1422"/>
      <c r="T16" s="2254" t="s">
        <v>55</v>
      </c>
      <c r="U16" s="2254"/>
      <c r="V16" s="2267">
        <f>Y12</f>
        <v>150003.13500000001</v>
      </c>
      <c r="W16" s="2267"/>
      <c r="X16" s="2262"/>
    </row>
    <row r="17" spans="1:25" ht="28.5" customHeight="1" x14ac:dyDescent="0.25">
      <c r="A17" s="101" t="s">
        <v>44</v>
      </c>
      <c r="B17" s="2260"/>
      <c r="C17" s="2261"/>
      <c r="D17" s="1422"/>
      <c r="E17" s="1422"/>
      <c r="F17" s="1422"/>
      <c r="G17" s="1422"/>
      <c r="H17" s="1422"/>
      <c r="I17" s="1422"/>
      <c r="J17" s="1422"/>
      <c r="K17" s="1422"/>
      <c r="L17" s="1422"/>
      <c r="M17" s="1422"/>
      <c r="N17" s="1422"/>
      <c r="O17" s="1422"/>
      <c r="P17" s="1422"/>
      <c r="Q17" s="2225"/>
      <c r="R17" s="2225"/>
      <c r="S17" s="1418"/>
      <c r="T17" s="2294" t="s">
        <v>473</v>
      </c>
      <c r="U17" s="2295"/>
      <c r="V17" s="2296"/>
      <c r="W17" s="2296"/>
      <c r="X17" s="2296"/>
    </row>
    <row r="18" spans="1:25" ht="27" customHeight="1" x14ac:dyDescent="0.25">
      <c r="A18" s="100" t="s">
        <v>40</v>
      </c>
      <c r="B18" s="2264">
        <f>C12</f>
        <v>108686</v>
      </c>
      <c r="C18" s="2261"/>
      <c r="D18" s="1424">
        <f>E12</f>
        <v>0</v>
      </c>
      <c r="E18" s="1424">
        <f>G12</f>
        <v>30</v>
      </c>
      <c r="F18" s="1424">
        <f>I12</f>
        <v>2080</v>
      </c>
      <c r="G18" s="1424">
        <f>K12</f>
        <v>0</v>
      </c>
      <c r="H18" s="1422"/>
      <c r="I18" s="1424">
        <f>U12</f>
        <v>15</v>
      </c>
      <c r="J18" s="1422"/>
      <c r="K18" s="1424">
        <f>W12</f>
        <v>0</v>
      </c>
      <c r="L18" s="1422"/>
      <c r="M18" s="1424">
        <f>M12</f>
        <v>0</v>
      </c>
      <c r="N18" s="1424">
        <f>O12</f>
        <v>0</v>
      </c>
      <c r="O18" s="1423">
        <f>Q12</f>
        <v>0</v>
      </c>
      <c r="P18" s="1424"/>
      <c r="Q18" s="2262"/>
      <c r="R18" s="2262"/>
      <c r="S18" s="1419"/>
      <c r="T18" s="2254" t="s">
        <v>57</v>
      </c>
      <c r="U18" s="2254"/>
      <c r="V18" s="2262">
        <v>1800</v>
      </c>
      <c r="W18" s="2262"/>
      <c r="X18" s="2262"/>
      <c r="Y18" s="2269"/>
    </row>
    <row r="19" spans="1:25" ht="25.5" customHeight="1" x14ac:dyDescent="0.25">
      <c r="A19" s="100" t="s">
        <v>41</v>
      </c>
      <c r="B19" s="2260">
        <f>B15+B16+B17-B18</f>
        <v>282328</v>
      </c>
      <c r="C19" s="2261"/>
      <c r="D19" s="1422">
        <f>D15+D16+D17-D18</f>
        <v>130</v>
      </c>
      <c r="E19" s="1422">
        <f t="shared" ref="E19:N19" si="13">E15+E16+E17-E18</f>
        <v>1270</v>
      </c>
      <c r="F19" s="1422">
        <f t="shared" si="13"/>
        <v>9420</v>
      </c>
      <c r="G19" s="1422">
        <f t="shared" si="13"/>
        <v>680</v>
      </c>
      <c r="H19" s="1422">
        <f t="shared" si="13"/>
        <v>161</v>
      </c>
      <c r="I19" s="1422">
        <f t="shared" si="13"/>
        <v>30</v>
      </c>
      <c r="J19" s="1422">
        <f t="shared" si="13"/>
        <v>4</v>
      </c>
      <c r="K19" s="1422">
        <f t="shared" si="13"/>
        <v>82</v>
      </c>
      <c r="L19" s="1422">
        <f t="shared" si="13"/>
        <v>0</v>
      </c>
      <c r="M19" s="1422">
        <f t="shared" si="13"/>
        <v>0</v>
      </c>
      <c r="N19" s="1422">
        <f t="shared" si="13"/>
        <v>0</v>
      </c>
      <c r="O19" s="1422">
        <f>O15+O16+O17-O18</f>
        <v>0</v>
      </c>
      <c r="P19" s="1422">
        <f t="shared" ref="P19:Q19" si="14">P15+P16+P17-P18</f>
        <v>100</v>
      </c>
      <c r="Q19" s="2260">
        <f t="shared" si="14"/>
        <v>10</v>
      </c>
      <c r="R19" s="2261"/>
      <c r="S19" s="1419">
        <f>S15+S16-S17-S18</f>
        <v>2</v>
      </c>
      <c r="T19" s="2256" t="s">
        <v>48</v>
      </c>
      <c r="U19" s="49" t="s">
        <v>58</v>
      </c>
      <c r="V19" s="2262">
        <v>112000</v>
      </c>
      <c r="W19" s="2262"/>
      <c r="X19" s="2262"/>
      <c r="Y19" s="2269"/>
    </row>
    <row r="20" spans="1:25" ht="23.25" customHeight="1" x14ac:dyDescent="0.25">
      <c r="A20" s="289" t="s">
        <v>187</v>
      </c>
      <c r="B20" s="2286">
        <f>B19*0.9625</f>
        <v>271740.7</v>
      </c>
      <c r="C20" s="2287"/>
      <c r="D20" s="290">
        <f>D19*66.41</f>
        <v>8633.2999999999993</v>
      </c>
      <c r="E20" s="290">
        <f>27.9368*E19</f>
        <v>35479.736000000004</v>
      </c>
      <c r="F20" s="290">
        <f>18.31*F19</f>
        <v>172480.19999999998</v>
      </c>
      <c r="G20" s="290">
        <f>27.9368*G19</f>
        <v>18997.024000000001</v>
      </c>
      <c r="H20" s="290">
        <f>241*H19</f>
        <v>38801</v>
      </c>
      <c r="I20" s="290">
        <f>323*I19</f>
        <v>9690</v>
      </c>
      <c r="J20" s="290">
        <f>241*J19</f>
        <v>964</v>
      </c>
      <c r="K20" s="290">
        <f>K19*100</f>
        <v>8200</v>
      </c>
      <c r="L20" s="290">
        <f>241*L19</f>
        <v>0</v>
      </c>
      <c r="M20" s="290">
        <f>47.1625*M19</f>
        <v>0</v>
      </c>
      <c r="N20" s="290">
        <f>N19*8.81</f>
        <v>0</v>
      </c>
      <c r="O20" s="290">
        <f>241*O19</f>
        <v>0</v>
      </c>
      <c r="P20" s="290">
        <f>P19*48.2</f>
        <v>4820</v>
      </c>
      <c r="Q20" s="2286">
        <f>470*Q19</f>
        <v>4700</v>
      </c>
      <c r="R20" s="2287"/>
      <c r="S20" s="290">
        <f>341*S19</f>
        <v>682</v>
      </c>
      <c r="T20" s="2257"/>
      <c r="U20" s="49" t="s">
        <v>59</v>
      </c>
      <c r="V20" s="2262"/>
      <c r="W20" s="2262"/>
      <c r="X20" s="2262"/>
      <c r="Y20" s="2269"/>
    </row>
    <row r="21" spans="1:25" ht="32.25" customHeight="1" x14ac:dyDescent="0.25">
      <c r="A21" s="291" t="s">
        <v>186</v>
      </c>
      <c r="B21" s="2293">
        <f>SUM(B20:S20)</f>
        <v>575187.96</v>
      </c>
      <c r="C21" s="2293"/>
      <c r="O21" s="1426"/>
      <c r="P21" s="1426"/>
      <c r="Q21" s="1426"/>
      <c r="R21" s="1426"/>
      <c r="T21" s="2294" t="s">
        <v>487</v>
      </c>
      <c r="U21" s="2295"/>
      <c r="V21" s="2297"/>
      <c r="W21" s="2298"/>
      <c r="X21" s="2299"/>
      <c r="Y21" s="2269"/>
    </row>
    <row r="22" spans="1:25" ht="35.25" customHeight="1" x14ac:dyDescent="0.25">
      <c r="A22" s="15"/>
      <c r="B22" s="2288" t="s">
        <v>49</v>
      </c>
      <c r="C22" s="2291">
        <v>112000</v>
      </c>
      <c r="D22" s="2291">
        <v>112000</v>
      </c>
      <c r="E22" s="2291">
        <v>105000</v>
      </c>
      <c r="F22" s="2291">
        <f>C22-D22+E22</f>
        <v>105000</v>
      </c>
      <c r="G22" s="1426"/>
      <c r="Q22" s="1426"/>
      <c r="R22" s="1426"/>
      <c r="T22" s="2251" t="s">
        <v>83</v>
      </c>
      <c r="U22" s="50" t="s">
        <v>60</v>
      </c>
      <c r="V22" s="2262">
        <v>148380</v>
      </c>
      <c r="W22" s="2262"/>
      <c r="X22" s="2262"/>
      <c r="Y22" s="2269"/>
    </row>
    <row r="23" spans="1:25" ht="39.75" customHeight="1" x14ac:dyDescent="0.25">
      <c r="A23" s="1426"/>
      <c r="B23" s="2289"/>
      <c r="C23" s="2292"/>
      <c r="D23" s="2292"/>
      <c r="E23" s="2292"/>
      <c r="F23" s="2292"/>
      <c r="G23" s="1426"/>
      <c r="Q23" s="1426"/>
      <c r="R23" s="1426"/>
      <c r="T23" s="2252"/>
      <c r="U23" s="50" t="s">
        <v>61</v>
      </c>
      <c r="V23" s="2262">
        <v>112000</v>
      </c>
      <c r="W23" s="2262"/>
      <c r="X23" s="2262"/>
      <c r="Y23" s="2269"/>
    </row>
    <row r="24" spans="1:25" ht="48" customHeight="1" x14ac:dyDescent="0.25">
      <c r="A24" s="1426"/>
      <c r="B24" s="2290"/>
      <c r="C24" s="290" t="s">
        <v>46</v>
      </c>
      <c r="D24" s="290" t="s">
        <v>50</v>
      </c>
      <c r="E24" s="290" t="s">
        <v>51</v>
      </c>
      <c r="F24" s="290" t="s">
        <v>52</v>
      </c>
      <c r="G24" s="1426"/>
      <c r="Q24" s="1426"/>
      <c r="R24" s="1426"/>
      <c r="T24" s="2235" t="s">
        <v>47</v>
      </c>
      <c r="U24" s="51" t="s">
        <v>62</v>
      </c>
      <c r="V24" s="2263">
        <f>V14+V16+V17-V18-V19-V20-V22+V23-V21</f>
        <v>39833.135000000009</v>
      </c>
      <c r="W24" s="2263"/>
      <c r="X24" s="2263"/>
      <c r="Y24" s="2269"/>
    </row>
    <row r="25" spans="1:25" ht="40.5" customHeight="1" x14ac:dyDescent="0.25">
      <c r="T25" s="2235"/>
      <c r="U25" s="51" t="s">
        <v>63</v>
      </c>
      <c r="V25" s="2262">
        <f>V15+V22-V23</f>
        <v>51992</v>
      </c>
      <c r="W25" s="2262"/>
      <c r="X25" s="2262"/>
    </row>
    <row r="26" spans="1:25" ht="36" customHeight="1" x14ac:dyDescent="0.25">
      <c r="K26" s="314"/>
    </row>
    <row r="28" spans="1:25" x14ac:dyDescent="0.25">
      <c r="J28" s="14" t="s">
        <v>139</v>
      </c>
    </row>
    <row r="32" spans="1:25" x14ac:dyDescent="0.25">
      <c r="I32" s="2280"/>
      <c r="J32" s="2280"/>
      <c r="K32" s="2280"/>
      <c r="L32" s="2280"/>
    </row>
    <row r="33" spans="9:12" x14ac:dyDescent="0.25">
      <c r="I33" s="1426"/>
      <c r="J33" s="1426"/>
      <c r="K33" s="2280"/>
      <c r="L33" s="2280"/>
    </row>
  </sheetData>
  <mergeCells count="62">
    <mergeCell ref="A1:Y1"/>
    <mergeCell ref="A2:Y2"/>
    <mergeCell ref="T3:Y3"/>
    <mergeCell ref="A4:A5"/>
    <mergeCell ref="B4:B5"/>
    <mergeCell ref="C4:D4"/>
    <mergeCell ref="E4:F4"/>
    <mergeCell ref="G4:H4"/>
    <mergeCell ref="I4:J4"/>
    <mergeCell ref="K4:L4"/>
    <mergeCell ref="Y4:Y5"/>
    <mergeCell ref="M4:N4"/>
    <mergeCell ref="O4:P4"/>
    <mergeCell ref="Q4:R4"/>
    <mergeCell ref="S4:T4"/>
    <mergeCell ref="U4:V4"/>
    <mergeCell ref="W4:X4"/>
    <mergeCell ref="B16:C16"/>
    <mergeCell ref="Q16:R16"/>
    <mergeCell ref="T16:U16"/>
    <mergeCell ref="V16:X16"/>
    <mergeCell ref="A12:B12"/>
    <mergeCell ref="B14:C14"/>
    <mergeCell ref="Q14:R14"/>
    <mergeCell ref="T14:T15"/>
    <mergeCell ref="V14:X14"/>
    <mergeCell ref="B15:C15"/>
    <mergeCell ref="Q15:R15"/>
    <mergeCell ref="V15:X15"/>
    <mergeCell ref="B17:C17"/>
    <mergeCell ref="Q17:R17"/>
    <mergeCell ref="T17:U17"/>
    <mergeCell ref="V17:X17"/>
    <mergeCell ref="B18:C18"/>
    <mergeCell ref="Q18:R18"/>
    <mergeCell ref="T18:U18"/>
    <mergeCell ref="V18:X18"/>
    <mergeCell ref="Y18:Y24"/>
    <mergeCell ref="B19:C19"/>
    <mergeCell ref="Q19:R19"/>
    <mergeCell ref="T19:T20"/>
    <mergeCell ref="V19:X19"/>
    <mergeCell ref="B20:C20"/>
    <mergeCell ref="B22:B24"/>
    <mergeCell ref="C22:C23"/>
    <mergeCell ref="D22:D23"/>
    <mergeCell ref="E22:E23"/>
    <mergeCell ref="F22:F23"/>
    <mergeCell ref="Q20:R20"/>
    <mergeCell ref="V20:X20"/>
    <mergeCell ref="B21:C21"/>
    <mergeCell ref="T21:U21"/>
    <mergeCell ref="V21:X21"/>
    <mergeCell ref="I32:J32"/>
    <mergeCell ref="K32:L32"/>
    <mergeCell ref="K33:L33"/>
    <mergeCell ref="T22:T23"/>
    <mergeCell ref="V22:X22"/>
    <mergeCell ref="V23:X23"/>
    <mergeCell ref="T24:T25"/>
    <mergeCell ref="V24:X24"/>
    <mergeCell ref="V25:X25"/>
  </mergeCells>
  <pageMargins left="0.15748031496063" right="0.15748031496063" top="0" bottom="0" header="0" footer="0"/>
  <pageSetup paperSize="9" scale="47" orientation="landscape" r:id="rId1"/>
</worksheet>
</file>

<file path=xl/worksheets/sheet24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24D444E-002B-473E-8EAC-0011FABF46F6}">
  <sheetPr>
    <pageSetUpPr fitToPage="1"/>
  </sheetPr>
  <dimension ref="A1:Y33"/>
  <sheetViews>
    <sheetView topLeftCell="D1" zoomScale="70" zoomScaleNormal="70" zoomScaleSheetLayoutView="100" zoomScalePageLayoutView="68" workbookViewId="0">
      <selection activeCell="AC16" sqref="AC16"/>
    </sheetView>
  </sheetViews>
  <sheetFormatPr defaultColWidth="9.140625" defaultRowHeight="15" x14ac:dyDescent="0.25"/>
  <cols>
    <col min="1" max="1" width="18.28515625" style="14" customWidth="1"/>
    <col min="2" max="2" width="10.7109375" style="14" customWidth="1"/>
    <col min="3" max="3" width="12.28515625" style="14" customWidth="1"/>
    <col min="4" max="4" width="13.140625" style="14" bestFit="1" customWidth="1"/>
    <col min="5" max="5" width="12" style="14" customWidth="1"/>
    <col min="6" max="6" width="12.5703125" style="14" bestFit="1" customWidth="1"/>
    <col min="7" max="7" width="16" style="14" bestFit="1" customWidth="1"/>
    <col min="8" max="8" width="10.140625" style="14" bestFit="1" customWidth="1"/>
    <col min="9" max="9" width="10.5703125" style="14" bestFit="1" customWidth="1"/>
    <col min="10" max="10" width="10.5703125" style="14" customWidth="1"/>
    <col min="11" max="11" width="10.28515625" style="14" bestFit="1" customWidth="1"/>
    <col min="12" max="12" width="10.42578125" style="14" bestFit="1" customWidth="1"/>
    <col min="13" max="14" width="12" style="14" bestFit="1" customWidth="1"/>
    <col min="15" max="15" width="9" style="14" customWidth="1"/>
    <col min="16" max="16" width="12.85546875" style="14" bestFit="1" customWidth="1"/>
    <col min="17" max="18" width="9.42578125" style="14" customWidth="1"/>
    <col min="19" max="19" width="13.7109375" style="14" customWidth="1"/>
    <col min="20" max="20" width="12.140625" style="14" customWidth="1"/>
    <col min="21" max="21" width="21.7109375" style="14" customWidth="1"/>
    <col min="22" max="22" width="9.85546875" style="14" customWidth="1"/>
    <col min="23" max="23" width="10.140625" style="14" bestFit="1" customWidth="1"/>
    <col min="24" max="24" width="10.28515625" style="14" customWidth="1"/>
    <col min="25" max="25" width="15.7109375" style="14" customWidth="1"/>
    <col min="26" max="16384" width="9.140625" style="14"/>
  </cols>
  <sheetData>
    <row r="1" spans="1:25" ht="46.15" customHeight="1" x14ac:dyDescent="0.25">
      <c r="A1" s="2240" t="s">
        <v>148</v>
      </c>
      <c r="B1" s="2240"/>
      <c r="C1" s="2240"/>
      <c r="D1" s="2240"/>
      <c r="E1" s="2240"/>
      <c r="F1" s="2240"/>
      <c r="G1" s="2240"/>
      <c r="H1" s="2240"/>
      <c r="I1" s="2240"/>
      <c r="J1" s="2240"/>
      <c r="K1" s="2240"/>
      <c r="L1" s="2240"/>
      <c r="M1" s="2240"/>
      <c r="N1" s="2240"/>
      <c r="O1" s="2240"/>
      <c r="P1" s="2240"/>
      <c r="Q1" s="2240"/>
      <c r="R1" s="2240"/>
      <c r="S1" s="2240"/>
      <c r="T1" s="2240"/>
      <c r="U1" s="2240"/>
      <c r="V1" s="2240"/>
      <c r="W1" s="2240"/>
      <c r="X1" s="2240"/>
      <c r="Y1" s="2240"/>
    </row>
    <row r="2" spans="1:25" ht="21.6" customHeight="1" x14ac:dyDescent="0.25">
      <c r="A2" s="2241" t="s">
        <v>383</v>
      </c>
      <c r="B2" s="2241"/>
      <c r="C2" s="2241"/>
      <c r="D2" s="2241"/>
      <c r="E2" s="2241"/>
      <c r="F2" s="2241"/>
      <c r="G2" s="2241"/>
      <c r="H2" s="2241"/>
      <c r="I2" s="2241"/>
      <c r="J2" s="2241"/>
      <c r="K2" s="2241"/>
      <c r="L2" s="2241"/>
      <c r="M2" s="2241"/>
      <c r="N2" s="2241"/>
      <c r="O2" s="2241"/>
      <c r="P2" s="2241"/>
      <c r="Q2" s="2241"/>
      <c r="R2" s="2241"/>
      <c r="S2" s="2241"/>
      <c r="T2" s="2241"/>
      <c r="U2" s="2241"/>
      <c r="V2" s="2241"/>
      <c r="W2" s="2241"/>
      <c r="X2" s="2241"/>
      <c r="Y2" s="2241"/>
    </row>
    <row r="3" spans="1:25" ht="21" customHeight="1" x14ac:dyDescent="0.25">
      <c r="A3" s="1427"/>
      <c r="B3" s="1427"/>
      <c r="C3" s="1427"/>
      <c r="D3" s="1427"/>
      <c r="E3" s="1427"/>
      <c r="F3" s="1427"/>
      <c r="G3" s="1427"/>
      <c r="H3" s="1427"/>
      <c r="I3" s="1427"/>
      <c r="J3" s="1427"/>
      <c r="K3" s="1427"/>
      <c r="L3" s="1427"/>
      <c r="M3" s="1427"/>
      <c r="N3" s="1427"/>
      <c r="O3" s="1427"/>
      <c r="P3" s="1427"/>
      <c r="Q3" s="1427"/>
      <c r="R3" s="1427"/>
      <c r="S3" s="1427"/>
      <c r="T3" s="2242" t="s">
        <v>489</v>
      </c>
      <c r="U3" s="2242"/>
      <c r="V3" s="2242"/>
      <c r="W3" s="2242"/>
      <c r="X3" s="2242"/>
      <c r="Y3" s="2242"/>
    </row>
    <row r="4" spans="1:25" s="1427" customFormat="1" ht="18" customHeight="1" x14ac:dyDescent="0.25">
      <c r="A4" s="2243" t="s">
        <v>25</v>
      </c>
      <c r="B4" s="2243" t="s">
        <v>26</v>
      </c>
      <c r="C4" s="2244" t="s">
        <v>27</v>
      </c>
      <c r="D4" s="2244"/>
      <c r="E4" s="2244" t="s">
        <v>342</v>
      </c>
      <c r="F4" s="2244"/>
      <c r="G4" s="2244" t="s">
        <v>65</v>
      </c>
      <c r="H4" s="2244"/>
      <c r="I4" s="2244" t="s">
        <v>29</v>
      </c>
      <c r="J4" s="2244"/>
      <c r="K4" s="2245" t="s">
        <v>14</v>
      </c>
      <c r="L4" s="2246"/>
      <c r="M4" s="2245" t="s">
        <v>429</v>
      </c>
      <c r="N4" s="2246"/>
      <c r="O4" s="2245" t="s">
        <v>441</v>
      </c>
      <c r="P4" s="2246"/>
      <c r="Q4" s="2245" t="s">
        <v>114</v>
      </c>
      <c r="R4" s="2246"/>
      <c r="S4" s="2244" t="s">
        <v>35</v>
      </c>
      <c r="T4" s="2244"/>
      <c r="U4" s="2245" t="s">
        <v>17</v>
      </c>
      <c r="V4" s="2246"/>
      <c r="W4" s="2247" t="s">
        <v>36</v>
      </c>
      <c r="X4" s="2248"/>
      <c r="Y4" s="2238" t="s">
        <v>30</v>
      </c>
    </row>
    <row r="5" spans="1:25" s="1427" customFormat="1" ht="25.5" customHeight="1" x14ac:dyDescent="0.25">
      <c r="A5" s="2243"/>
      <c r="B5" s="2243"/>
      <c r="C5" s="1429" t="s">
        <v>42</v>
      </c>
      <c r="D5" s="1429" t="s">
        <v>43</v>
      </c>
      <c r="E5" s="1429" t="s">
        <v>42</v>
      </c>
      <c r="F5" s="1429" t="s">
        <v>43</v>
      </c>
      <c r="G5" s="1429" t="s">
        <v>42</v>
      </c>
      <c r="H5" s="1429" t="s">
        <v>43</v>
      </c>
      <c r="I5" s="1429" t="s">
        <v>42</v>
      </c>
      <c r="J5" s="1429" t="s">
        <v>43</v>
      </c>
      <c r="K5" s="1429" t="s">
        <v>42</v>
      </c>
      <c r="L5" s="1429" t="s">
        <v>43</v>
      </c>
      <c r="M5" s="1429" t="s">
        <v>42</v>
      </c>
      <c r="N5" s="1429" t="s">
        <v>43</v>
      </c>
      <c r="O5" s="1429" t="s">
        <v>42</v>
      </c>
      <c r="P5" s="1429" t="s">
        <v>43</v>
      </c>
      <c r="Q5" s="1429" t="s">
        <v>42</v>
      </c>
      <c r="R5" s="1429" t="s">
        <v>43</v>
      </c>
      <c r="S5" s="33" t="s">
        <v>42</v>
      </c>
      <c r="T5" s="33" t="s">
        <v>43</v>
      </c>
      <c r="U5" s="30" t="s">
        <v>42</v>
      </c>
      <c r="V5" s="30" t="s">
        <v>43</v>
      </c>
      <c r="W5" s="30" t="s">
        <v>42</v>
      </c>
      <c r="X5" s="30" t="s">
        <v>43</v>
      </c>
      <c r="Y5" s="2239"/>
    </row>
    <row r="6" spans="1:25" ht="34.5" customHeight="1" x14ac:dyDescent="0.25">
      <c r="A6" s="12">
        <v>1409935200</v>
      </c>
      <c r="B6" s="1428" t="s">
        <v>71</v>
      </c>
      <c r="C6" s="1431">
        <v>30936</v>
      </c>
      <c r="D6" s="1432">
        <f t="shared" ref="D6:D11" si="0">0.9725*C6</f>
        <v>30085.260000000002</v>
      </c>
      <c r="E6" s="1431"/>
      <c r="F6" s="1432">
        <f>67.1*E6</f>
        <v>0</v>
      </c>
      <c r="G6" s="1431"/>
      <c r="H6" s="1431">
        <f>28.2*G6</f>
        <v>0</v>
      </c>
      <c r="I6" s="1431">
        <v>590</v>
      </c>
      <c r="J6" s="1431">
        <f>18.5*I6</f>
        <v>10915</v>
      </c>
      <c r="K6" s="1431"/>
      <c r="L6" s="1432">
        <f>28.2368*K6</f>
        <v>0</v>
      </c>
      <c r="M6" s="1431"/>
      <c r="N6" s="1432">
        <f>M6*47.6525</f>
        <v>0</v>
      </c>
      <c r="O6" s="1431"/>
      <c r="P6" s="1432">
        <f>O6*8.9</f>
        <v>0</v>
      </c>
      <c r="Q6" s="1432"/>
      <c r="R6" s="1432">
        <f>241*Q6</f>
        <v>0</v>
      </c>
      <c r="S6" s="1431"/>
      <c r="T6" s="1431">
        <f>241*S6</f>
        <v>0</v>
      </c>
      <c r="U6" s="1431"/>
      <c r="V6" s="1431">
        <f>332*U6</f>
        <v>0</v>
      </c>
      <c r="W6" s="1431"/>
      <c r="X6" s="19">
        <f>W6*100</f>
        <v>0</v>
      </c>
      <c r="Y6" s="20">
        <f t="shared" ref="Y6:Y12" si="1">D6+F6+H6+J6+L6+N6+P6+R6+T6+V6+X6</f>
        <v>41000.26</v>
      </c>
    </row>
    <row r="7" spans="1:25" ht="31.5" customHeight="1" x14ac:dyDescent="0.25">
      <c r="A7" s="12">
        <v>1984225578</v>
      </c>
      <c r="B7" s="1428" t="s">
        <v>72</v>
      </c>
      <c r="C7" s="1431">
        <v>17867</v>
      </c>
      <c r="D7" s="1432">
        <f t="shared" si="0"/>
        <v>17375.657500000001</v>
      </c>
      <c r="E7" s="1431"/>
      <c r="F7" s="1431">
        <f t="shared" ref="F7:F11" si="2">67.1*E7</f>
        <v>0</v>
      </c>
      <c r="G7" s="1431"/>
      <c r="H7" s="1431">
        <f t="shared" ref="H7:H11" si="3">28.2*G7</f>
        <v>0</v>
      </c>
      <c r="I7" s="1431">
        <v>500</v>
      </c>
      <c r="J7" s="1431">
        <f t="shared" ref="J7:J11" si="4">18.5*I7</f>
        <v>9250</v>
      </c>
      <c r="K7" s="1431"/>
      <c r="L7" s="1432">
        <f t="shared" ref="L7:L11" si="5">28.2368*K7</f>
        <v>0</v>
      </c>
      <c r="M7" s="1431"/>
      <c r="N7" s="1432">
        <f t="shared" ref="N7:N11" si="6">M7*47.6525</f>
        <v>0</v>
      </c>
      <c r="O7" s="1431"/>
      <c r="P7" s="1432">
        <f t="shared" ref="P7:P11" si="7">O7*8.9</f>
        <v>0</v>
      </c>
      <c r="Q7" s="1432"/>
      <c r="R7" s="1432">
        <f t="shared" ref="R7:R11" si="8">241*Q7</f>
        <v>0</v>
      </c>
      <c r="S7" s="1431"/>
      <c r="T7" s="1431">
        <f t="shared" ref="T7:T10" si="9">241*S7</f>
        <v>0</v>
      </c>
      <c r="U7" s="1431"/>
      <c r="V7" s="1431">
        <f t="shared" ref="V7:V11" si="10">332*U7</f>
        <v>0</v>
      </c>
      <c r="W7" s="1431"/>
      <c r="X7" s="19">
        <f t="shared" ref="X7:X11" si="11">W7*100</f>
        <v>0</v>
      </c>
      <c r="Y7" s="20">
        <f t="shared" si="1"/>
        <v>26625.657500000001</v>
      </c>
    </row>
    <row r="8" spans="1:25" ht="35.25" customHeight="1" x14ac:dyDescent="0.25">
      <c r="A8" s="12">
        <v>1967020280</v>
      </c>
      <c r="B8" s="1428" t="s">
        <v>427</v>
      </c>
      <c r="C8" s="1431">
        <v>40533</v>
      </c>
      <c r="D8" s="1432">
        <f t="shared" si="0"/>
        <v>39418.342499999999</v>
      </c>
      <c r="E8" s="1431"/>
      <c r="F8" s="1431">
        <f t="shared" si="2"/>
        <v>0</v>
      </c>
      <c r="G8" s="1431">
        <v>20</v>
      </c>
      <c r="H8" s="1432">
        <f t="shared" si="3"/>
        <v>564</v>
      </c>
      <c r="I8" s="1431">
        <v>500</v>
      </c>
      <c r="J8" s="1431">
        <f t="shared" si="4"/>
        <v>9250</v>
      </c>
      <c r="K8" s="1431"/>
      <c r="L8" s="1432">
        <f t="shared" si="5"/>
        <v>0</v>
      </c>
      <c r="M8" s="1431"/>
      <c r="N8" s="1432">
        <f t="shared" si="6"/>
        <v>0</v>
      </c>
      <c r="O8" s="1431"/>
      <c r="P8" s="1432">
        <f t="shared" si="7"/>
        <v>0</v>
      </c>
      <c r="Q8" s="1432"/>
      <c r="R8" s="1432">
        <f t="shared" si="8"/>
        <v>0</v>
      </c>
      <c r="S8" s="1431"/>
      <c r="T8" s="1431">
        <f t="shared" si="9"/>
        <v>0</v>
      </c>
      <c r="U8" s="1431"/>
      <c r="V8" s="1431">
        <f t="shared" si="10"/>
        <v>0</v>
      </c>
      <c r="W8" s="1431"/>
      <c r="X8" s="19">
        <f t="shared" si="11"/>
        <v>0</v>
      </c>
      <c r="Y8" s="20">
        <f t="shared" si="1"/>
        <v>49232.342499999999</v>
      </c>
    </row>
    <row r="9" spans="1:25" ht="38.25" customHeight="1" x14ac:dyDescent="0.25">
      <c r="A9" s="12">
        <v>1984225580</v>
      </c>
      <c r="B9" s="1428" t="s">
        <v>75</v>
      </c>
      <c r="C9" s="1431">
        <v>46929</v>
      </c>
      <c r="D9" s="1432">
        <f t="shared" si="0"/>
        <v>45638.452499999999</v>
      </c>
      <c r="E9" s="1431"/>
      <c r="F9" s="1431">
        <f t="shared" si="2"/>
        <v>0</v>
      </c>
      <c r="G9" s="1431">
        <v>30</v>
      </c>
      <c r="H9" s="1431">
        <f t="shared" si="3"/>
        <v>846</v>
      </c>
      <c r="I9" s="1431"/>
      <c r="J9" s="1431">
        <f t="shared" si="4"/>
        <v>0</v>
      </c>
      <c r="K9" s="1431"/>
      <c r="L9" s="1432">
        <f t="shared" si="5"/>
        <v>0</v>
      </c>
      <c r="M9" s="1431"/>
      <c r="N9" s="1432">
        <f t="shared" si="6"/>
        <v>0</v>
      </c>
      <c r="O9" s="1431"/>
      <c r="P9" s="1432">
        <f t="shared" si="7"/>
        <v>0</v>
      </c>
      <c r="Q9" s="1432"/>
      <c r="R9" s="1432">
        <f t="shared" si="8"/>
        <v>0</v>
      </c>
      <c r="S9" s="1431"/>
      <c r="T9" s="1431">
        <f t="shared" si="9"/>
        <v>0</v>
      </c>
      <c r="U9" s="1431"/>
      <c r="V9" s="1431">
        <f t="shared" si="10"/>
        <v>0</v>
      </c>
      <c r="W9" s="1431"/>
      <c r="X9" s="19">
        <f t="shared" si="11"/>
        <v>0</v>
      </c>
      <c r="Y9" s="20">
        <f t="shared" si="1"/>
        <v>46484.452499999999</v>
      </c>
    </row>
    <row r="10" spans="1:25" ht="35.25" customHeight="1" x14ac:dyDescent="0.25">
      <c r="A10" s="12">
        <v>1409935199</v>
      </c>
      <c r="C10" s="1431"/>
      <c r="D10" s="1432">
        <f t="shared" si="0"/>
        <v>0</v>
      </c>
      <c r="E10" s="1431"/>
      <c r="F10" s="1431">
        <f t="shared" si="2"/>
        <v>0</v>
      </c>
      <c r="G10" s="1431"/>
      <c r="H10" s="1431">
        <f t="shared" si="3"/>
        <v>0</v>
      </c>
      <c r="I10" s="1431"/>
      <c r="J10" s="1431">
        <f t="shared" si="4"/>
        <v>0</v>
      </c>
      <c r="K10" s="1431"/>
      <c r="L10" s="1432">
        <f t="shared" si="5"/>
        <v>0</v>
      </c>
      <c r="M10" s="1431"/>
      <c r="N10" s="1432">
        <f t="shared" si="6"/>
        <v>0</v>
      </c>
      <c r="O10" s="1431"/>
      <c r="P10" s="1432">
        <f t="shared" si="7"/>
        <v>0</v>
      </c>
      <c r="Q10" s="1432"/>
      <c r="R10" s="1432">
        <f t="shared" si="8"/>
        <v>0</v>
      </c>
      <c r="S10" s="1431"/>
      <c r="T10" s="1431">
        <f t="shared" si="9"/>
        <v>0</v>
      </c>
      <c r="U10" s="1431"/>
      <c r="V10" s="1431">
        <f t="shared" si="10"/>
        <v>0</v>
      </c>
      <c r="W10" s="1431"/>
      <c r="X10" s="19">
        <f t="shared" si="11"/>
        <v>0</v>
      </c>
      <c r="Y10" s="20">
        <f t="shared" si="1"/>
        <v>0</v>
      </c>
    </row>
    <row r="11" spans="1:25" ht="37.5" customHeight="1" x14ac:dyDescent="0.25">
      <c r="A11" s="12"/>
      <c r="B11" s="1430"/>
      <c r="C11" s="1431"/>
      <c r="D11" s="1432">
        <f t="shared" si="0"/>
        <v>0</v>
      </c>
      <c r="E11" s="1431"/>
      <c r="F11" s="1431">
        <f t="shared" si="2"/>
        <v>0</v>
      </c>
      <c r="G11" s="1431"/>
      <c r="H11" s="1431">
        <f t="shared" si="3"/>
        <v>0</v>
      </c>
      <c r="I11" s="1431"/>
      <c r="J11" s="1431">
        <f t="shared" si="4"/>
        <v>0</v>
      </c>
      <c r="K11" s="1431"/>
      <c r="L11" s="1432">
        <f t="shared" si="5"/>
        <v>0</v>
      </c>
      <c r="M11" s="1431"/>
      <c r="N11" s="1432">
        <f t="shared" si="6"/>
        <v>0</v>
      </c>
      <c r="O11" s="1431"/>
      <c r="P11" s="1432">
        <f t="shared" si="7"/>
        <v>0</v>
      </c>
      <c r="Q11" s="1432"/>
      <c r="R11" s="1432">
        <f t="shared" si="8"/>
        <v>0</v>
      </c>
      <c r="S11" s="1431"/>
      <c r="T11" s="1431">
        <f>341*S11</f>
        <v>0</v>
      </c>
      <c r="U11" s="1431"/>
      <c r="V11" s="1431">
        <f t="shared" si="10"/>
        <v>0</v>
      </c>
      <c r="W11" s="1431"/>
      <c r="X11" s="19">
        <f t="shared" si="11"/>
        <v>0</v>
      </c>
      <c r="Y11" s="20">
        <f t="shared" si="1"/>
        <v>0</v>
      </c>
    </row>
    <row r="12" spans="1:25" ht="29.25" customHeight="1" x14ac:dyDescent="0.25">
      <c r="A12" s="2235" t="s">
        <v>31</v>
      </c>
      <c r="B12" s="2235"/>
      <c r="C12" s="18">
        <f t="shared" ref="C12:X12" si="12">SUM(C6:C11)</f>
        <v>136265</v>
      </c>
      <c r="D12" s="18">
        <f t="shared" si="12"/>
        <v>132517.71250000002</v>
      </c>
      <c r="E12" s="18">
        <f t="shared" si="12"/>
        <v>0</v>
      </c>
      <c r="F12" s="18">
        <f t="shared" si="12"/>
        <v>0</v>
      </c>
      <c r="G12" s="18">
        <f t="shared" si="12"/>
        <v>50</v>
      </c>
      <c r="H12" s="18">
        <f t="shared" si="12"/>
        <v>1410</v>
      </c>
      <c r="I12" s="18">
        <f t="shared" si="12"/>
        <v>1590</v>
      </c>
      <c r="J12" s="18">
        <f t="shared" si="12"/>
        <v>29415</v>
      </c>
      <c r="K12" s="18">
        <f t="shared" si="12"/>
        <v>0</v>
      </c>
      <c r="L12" s="18">
        <f t="shared" si="12"/>
        <v>0</v>
      </c>
      <c r="M12" s="18">
        <f t="shared" si="12"/>
        <v>0</v>
      </c>
      <c r="N12" s="23">
        <f t="shared" si="12"/>
        <v>0</v>
      </c>
      <c r="O12" s="18">
        <f t="shared" si="12"/>
        <v>0</v>
      </c>
      <c r="P12" s="23">
        <f t="shared" si="12"/>
        <v>0</v>
      </c>
      <c r="Q12" s="23">
        <f t="shared" si="12"/>
        <v>0</v>
      </c>
      <c r="R12" s="23">
        <f>SUM(R6:R11)</f>
        <v>0</v>
      </c>
      <c r="S12" s="23">
        <f>SUM(S6:S11)</f>
        <v>0</v>
      </c>
      <c r="T12" s="18">
        <f t="shared" si="12"/>
        <v>0</v>
      </c>
      <c r="U12" s="18">
        <f t="shared" si="12"/>
        <v>0</v>
      </c>
      <c r="V12" s="18">
        <f t="shared" si="12"/>
        <v>0</v>
      </c>
      <c r="W12" s="18">
        <f t="shared" si="12"/>
        <v>0</v>
      </c>
      <c r="X12" s="18">
        <f t="shared" si="12"/>
        <v>0</v>
      </c>
      <c r="Y12" s="20">
        <f t="shared" si="1"/>
        <v>163342.71250000002</v>
      </c>
    </row>
    <row r="14" spans="1:25" ht="43.5" customHeight="1" x14ac:dyDescent="0.25">
      <c r="A14" s="30" t="s">
        <v>32</v>
      </c>
      <c r="B14" s="2236" t="s">
        <v>27</v>
      </c>
      <c r="C14" s="2236"/>
      <c r="D14" s="30" t="s">
        <v>333</v>
      </c>
      <c r="E14" s="30" t="s">
        <v>65</v>
      </c>
      <c r="F14" s="30" t="s">
        <v>34</v>
      </c>
      <c r="G14" s="30" t="s">
        <v>14</v>
      </c>
      <c r="H14" s="469" t="s">
        <v>173</v>
      </c>
      <c r="I14" s="30" t="s">
        <v>17</v>
      </c>
      <c r="J14" s="1436" t="s">
        <v>174</v>
      </c>
      <c r="K14" s="30" t="s">
        <v>36</v>
      </c>
      <c r="L14" s="1436" t="s">
        <v>403</v>
      </c>
      <c r="M14" s="30" t="s">
        <v>429</v>
      </c>
      <c r="N14" s="30" t="s">
        <v>442</v>
      </c>
      <c r="O14" s="1436" t="s">
        <v>114</v>
      </c>
      <c r="P14" s="30" t="s">
        <v>70</v>
      </c>
      <c r="Q14" s="2300" t="s">
        <v>479</v>
      </c>
      <c r="R14" s="2301"/>
      <c r="S14" s="1436" t="s">
        <v>401</v>
      </c>
      <c r="T14" s="2235" t="s">
        <v>46</v>
      </c>
      <c r="U14" s="1428" t="s">
        <v>176</v>
      </c>
      <c r="V14" s="2260">
        <v>39833</v>
      </c>
      <c r="W14" s="2268"/>
      <c r="X14" s="2261"/>
    </row>
    <row r="15" spans="1:25" ht="22.5" customHeight="1" x14ac:dyDescent="0.25">
      <c r="A15" s="100" t="s">
        <v>38</v>
      </c>
      <c r="B15" s="2260">
        <v>282328</v>
      </c>
      <c r="C15" s="2261"/>
      <c r="D15" s="1433">
        <v>130</v>
      </c>
      <c r="E15" s="1433">
        <v>1270</v>
      </c>
      <c r="F15" s="1433">
        <v>9420</v>
      </c>
      <c r="G15" s="1433">
        <v>680</v>
      </c>
      <c r="H15" s="1433">
        <v>161</v>
      </c>
      <c r="I15" s="1433">
        <v>30</v>
      </c>
      <c r="J15" s="1433">
        <v>4</v>
      </c>
      <c r="K15" s="1433">
        <v>82</v>
      </c>
      <c r="L15" s="1433">
        <v>0</v>
      </c>
      <c r="M15" s="1433">
        <v>0</v>
      </c>
      <c r="N15" s="1433">
        <v>0</v>
      </c>
      <c r="O15" s="1433">
        <v>0</v>
      </c>
      <c r="P15" s="1433">
        <v>100</v>
      </c>
      <c r="Q15" s="2260">
        <v>10</v>
      </c>
      <c r="R15" s="2261"/>
      <c r="S15" s="1428">
        <v>2</v>
      </c>
      <c r="T15" s="2235"/>
      <c r="U15" s="1428" t="s">
        <v>64</v>
      </c>
      <c r="V15" s="2262">
        <v>51992</v>
      </c>
      <c r="W15" s="2262"/>
      <c r="X15" s="2262"/>
    </row>
    <row r="16" spans="1:25" ht="24.75" customHeight="1" x14ac:dyDescent="0.25">
      <c r="A16" s="100" t="s">
        <v>39</v>
      </c>
      <c r="B16" s="2260">
        <v>236945</v>
      </c>
      <c r="C16" s="2261"/>
      <c r="D16" s="1433"/>
      <c r="E16" s="1433"/>
      <c r="F16" s="1433">
        <v>9000</v>
      </c>
      <c r="G16" s="1433"/>
      <c r="H16" s="1433"/>
      <c r="I16" s="1433"/>
      <c r="J16" s="1433"/>
      <c r="K16" s="1433"/>
      <c r="L16" s="1433"/>
      <c r="M16" s="1433"/>
      <c r="N16" s="1433">
        <v>15000</v>
      </c>
      <c r="O16" s="1433"/>
      <c r="P16" s="1433"/>
      <c r="Q16" s="2262"/>
      <c r="R16" s="2262"/>
      <c r="S16" s="1433"/>
      <c r="T16" s="2254" t="s">
        <v>55</v>
      </c>
      <c r="U16" s="2254"/>
      <c r="V16" s="2267">
        <f>Y12</f>
        <v>163342.71250000002</v>
      </c>
      <c r="W16" s="2267"/>
      <c r="X16" s="2262"/>
    </row>
    <row r="17" spans="1:25" ht="28.5" customHeight="1" x14ac:dyDescent="0.25">
      <c r="A17" s="101" t="s">
        <v>44</v>
      </c>
      <c r="B17" s="2260"/>
      <c r="C17" s="2261"/>
      <c r="D17" s="1433"/>
      <c r="E17" s="1433"/>
      <c r="F17" s="1433"/>
      <c r="G17" s="1433"/>
      <c r="H17" s="1433"/>
      <c r="I17" s="1433"/>
      <c r="J17" s="1433"/>
      <c r="K17" s="1433"/>
      <c r="L17" s="1433"/>
      <c r="M17" s="1433"/>
      <c r="N17" s="1433"/>
      <c r="O17" s="1433"/>
      <c r="P17" s="1433"/>
      <c r="Q17" s="2225"/>
      <c r="R17" s="2225"/>
      <c r="S17" s="1430"/>
      <c r="T17" s="2294" t="s">
        <v>473</v>
      </c>
      <c r="U17" s="2295"/>
      <c r="V17" s="2296"/>
      <c r="W17" s="2296"/>
      <c r="X17" s="2296"/>
    </row>
    <row r="18" spans="1:25" ht="27" customHeight="1" x14ac:dyDescent="0.25">
      <c r="A18" s="100" t="s">
        <v>40</v>
      </c>
      <c r="B18" s="2264">
        <f>C12</f>
        <v>136265</v>
      </c>
      <c r="C18" s="2261"/>
      <c r="D18" s="1434">
        <f>E12</f>
        <v>0</v>
      </c>
      <c r="E18" s="1434">
        <f>G12</f>
        <v>50</v>
      </c>
      <c r="F18" s="1434">
        <f>I12</f>
        <v>1590</v>
      </c>
      <c r="G18" s="1434">
        <f>K12</f>
        <v>0</v>
      </c>
      <c r="H18" s="1433"/>
      <c r="I18" s="1434">
        <f>U12</f>
        <v>0</v>
      </c>
      <c r="J18" s="1433"/>
      <c r="K18" s="1434">
        <f>W12</f>
        <v>0</v>
      </c>
      <c r="L18" s="1433"/>
      <c r="M18" s="1434">
        <f>M12</f>
        <v>0</v>
      </c>
      <c r="N18" s="1434">
        <f>O12</f>
        <v>0</v>
      </c>
      <c r="O18" s="1435">
        <f>Q12</f>
        <v>0</v>
      </c>
      <c r="P18" s="1434"/>
      <c r="Q18" s="2262"/>
      <c r="R18" s="2262"/>
      <c r="S18" s="1428"/>
      <c r="T18" s="2254" t="s">
        <v>57</v>
      </c>
      <c r="U18" s="2254"/>
      <c r="V18" s="2262">
        <v>720</v>
      </c>
      <c r="W18" s="2262"/>
      <c r="X18" s="2262"/>
      <c r="Y18" s="2269"/>
    </row>
    <row r="19" spans="1:25" ht="25.5" customHeight="1" x14ac:dyDescent="0.25">
      <c r="A19" s="100" t="s">
        <v>41</v>
      </c>
      <c r="B19" s="2260">
        <f>B15+B16+B17-B18</f>
        <v>383008</v>
      </c>
      <c r="C19" s="2261"/>
      <c r="D19" s="1433">
        <f>D15+D16+D17-D18</f>
        <v>130</v>
      </c>
      <c r="E19" s="1433">
        <f t="shared" ref="E19:N19" si="13">E15+E16+E17-E18</f>
        <v>1220</v>
      </c>
      <c r="F19" s="1433">
        <f t="shared" si="13"/>
        <v>16830</v>
      </c>
      <c r="G19" s="1433">
        <f t="shared" si="13"/>
        <v>680</v>
      </c>
      <c r="H19" s="1433">
        <f t="shared" si="13"/>
        <v>161</v>
      </c>
      <c r="I19" s="1433">
        <f t="shared" si="13"/>
        <v>30</v>
      </c>
      <c r="J19" s="1433">
        <f t="shared" si="13"/>
        <v>4</v>
      </c>
      <c r="K19" s="1433">
        <f t="shared" si="13"/>
        <v>82</v>
      </c>
      <c r="L19" s="1433">
        <f t="shared" si="13"/>
        <v>0</v>
      </c>
      <c r="M19" s="1433">
        <f t="shared" si="13"/>
        <v>0</v>
      </c>
      <c r="N19" s="1433">
        <f t="shared" si="13"/>
        <v>15000</v>
      </c>
      <c r="O19" s="1433">
        <f>O15+O16+O17-O18</f>
        <v>0</v>
      </c>
      <c r="P19" s="1433">
        <f t="shared" ref="P19:Q19" si="14">P15+P16+P17-P18</f>
        <v>100</v>
      </c>
      <c r="Q19" s="2260">
        <f t="shared" si="14"/>
        <v>10</v>
      </c>
      <c r="R19" s="2261"/>
      <c r="S19" s="1428">
        <f>S15+S16-S17-S18</f>
        <v>2</v>
      </c>
      <c r="T19" s="2256" t="s">
        <v>48</v>
      </c>
      <c r="U19" s="49" t="s">
        <v>58</v>
      </c>
      <c r="V19" s="2262">
        <v>105000</v>
      </c>
      <c r="W19" s="2262"/>
      <c r="X19" s="2262"/>
      <c r="Y19" s="2269"/>
    </row>
    <row r="20" spans="1:25" ht="23.25" customHeight="1" x14ac:dyDescent="0.25">
      <c r="A20" s="289" t="s">
        <v>187</v>
      </c>
      <c r="B20" s="2286">
        <f>B19*0.9625</f>
        <v>368645.2</v>
      </c>
      <c r="C20" s="2287"/>
      <c r="D20" s="290">
        <f>D19*66.41</f>
        <v>8633.2999999999993</v>
      </c>
      <c r="E20" s="290">
        <f>27.9368*E19</f>
        <v>34082.896000000001</v>
      </c>
      <c r="F20" s="290">
        <f>18.31*F19</f>
        <v>308157.3</v>
      </c>
      <c r="G20" s="290">
        <f>27.9368*G19</f>
        <v>18997.024000000001</v>
      </c>
      <c r="H20" s="290">
        <f>241*H19</f>
        <v>38801</v>
      </c>
      <c r="I20" s="290">
        <f>323*I19</f>
        <v>9690</v>
      </c>
      <c r="J20" s="290">
        <f>241*J19</f>
        <v>964</v>
      </c>
      <c r="K20" s="290">
        <f>K19*100</f>
        <v>8200</v>
      </c>
      <c r="L20" s="290">
        <f>241*L19</f>
        <v>0</v>
      </c>
      <c r="M20" s="290">
        <f>47.1625*M19</f>
        <v>0</v>
      </c>
      <c r="N20" s="290">
        <f>N19*8.81</f>
        <v>132150</v>
      </c>
      <c r="O20" s="290">
        <f>241*O19</f>
        <v>0</v>
      </c>
      <c r="P20" s="290">
        <f>P19*48.2</f>
        <v>4820</v>
      </c>
      <c r="Q20" s="2286">
        <f>470*Q19</f>
        <v>4700</v>
      </c>
      <c r="R20" s="2287"/>
      <c r="S20" s="290">
        <f>341*S19</f>
        <v>682</v>
      </c>
      <c r="T20" s="2257"/>
      <c r="U20" s="49" t="s">
        <v>59</v>
      </c>
      <c r="V20" s="2262">
        <v>125000</v>
      </c>
      <c r="W20" s="2262"/>
      <c r="X20" s="2262"/>
      <c r="Y20" s="2269"/>
    </row>
    <row r="21" spans="1:25" ht="32.25" customHeight="1" x14ac:dyDescent="0.25">
      <c r="A21" s="291" t="s">
        <v>186</v>
      </c>
      <c r="B21" s="2293">
        <f>SUM(B20:S20)</f>
        <v>938522.72</v>
      </c>
      <c r="C21" s="2293"/>
      <c r="O21" s="1437"/>
      <c r="P21" s="1437"/>
      <c r="Q21" s="1437"/>
      <c r="R21" s="1437"/>
      <c r="T21" s="2294" t="s">
        <v>487</v>
      </c>
      <c r="U21" s="2295"/>
      <c r="V21" s="2297"/>
      <c r="W21" s="2298"/>
      <c r="X21" s="2299"/>
      <c r="Y21" s="2269"/>
    </row>
    <row r="22" spans="1:25" ht="35.25" customHeight="1" x14ac:dyDescent="0.25">
      <c r="A22" s="15"/>
      <c r="B22" s="2288" t="s">
        <v>49</v>
      </c>
      <c r="C22" s="2291">
        <v>105000</v>
      </c>
      <c r="D22" s="2291">
        <v>105000</v>
      </c>
      <c r="E22" s="2291">
        <v>400000</v>
      </c>
      <c r="F22" s="2291">
        <f>C22-D22+E22</f>
        <v>400000</v>
      </c>
      <c r="G22" s="1437"/>
      <c r="Q22" s="1437"/>
      <c r="R22" s="1437"/>
      <c r="T22" s="2251" t="s">
        <v>83</v>
      </c>
      <c r="U22" s="50" t="s">
        <v>60</v>
      </c>
      <c r="V22" s="2262">
        <v>188560</v>
      </c>
      <c r="W22" s="2262"/>
      <c r="X22" s="2262"/>
      <c r="Y22" s="2269"/>
    </row>
    <row r="23" spans="1:25" ht="39.75" customHeight="1" x14ac:dyDescent="0.25">
      <c r="A23" s="1437"/>
      <c r="B23" s="2289"/>
      <c r="C23" s="2292"/>
      <c r="D23" s="2292"/>
      <c r="E23" s="2292"/>
      <c r="F23" s="2292"/>
      <c r="G23" s="1437"/>
      <c r="Q23" s="1437"/>
      <c r="R23" s="1437"/>
      <c r="T23" s="2252"/>
      <c r="U23" s="50" t="s">
        <v>61</v>
      </c>
      <c r="V23" s="2262">
        <v>230000</v>
      </c>
      <c r="W23" s="2262"/>
      <c r="X23" s="2262"/>
      <c r="Y23" s="2269"/>
    </row>
    <row r="24" spans="1:25" ht="48" customHeight="1" x14ac:dyDescent="0.25">
      <c r="A24" s="1437"/>
      <c r="B24" s="2290"/>
      <c r="C24" s="290" t="s">
        <v>46</v>
      </c>
      <c r="D24" s="290" t="s">
        <v>50</v>
      </c>
      <c r="E24" s="290" t="s">
        <v>51</v>
      </c>
      <c r="F24" s="290" t="s">
        <v>52</v>
      </c>
      <c r="G24" s="1437"/>
      <c r="Q24" s="1437"/>
      <c r="R24" s="1437"/>
      <c r="T24" s="2235" t="s">
        <v>47</v>
      </c>
      <c r="U24" s="51" t="s">
        <v>62</v>
      </c>
      <c r="V24" s="2263">
        <f>V14+V16+V17-V18-V19-V20-V22+V23-V21</f>
        <v>13895.712500000023</v>
      </c>
      <c r="W24" s="2263"/>
      <c r="X24" s="2263"/>
      <c r="Y24" s="2269"/>
    </row>
    <row r="25" spans="1:25" ht="40.5" customHeight="1" x14ac:dyDescent="0.25">
      <c r="T25" s="2235"/>
      <c r="U25" s="51" t="s">
        <v>63</v>
      </c>
      <c r="V25" s="2262">
        <f>V15+V22-V23</f>
        <v>10552</v>
      </c>
      <c r="W25" s="2262"/>
      <c r="X25" s="2262"/>
    </row>
    <row r="26" spans="1:25" ht="36" customHeight="1" x14ac:dyDescent="0.25">
      <c r="K26" s="314"/>
    </row>
    <row r="28" spans="1:25" x14ac:dyDescent="0.25">
      <c r="J28" s="14" t="s">
        <v>139</v>
      </c>
    </row>
    <row r="32" spans="1:25" x14ac:dyDescent="0.25">
      <c r="I32" s="2280"/>
      <c r="J32" s="2280"/>
      <c r="K32" s="2280"/>
      <c r="L32" s="2280"/>
    </row>
    <row r="33" spans="9:12" x14ac:dyDescent="0.25">
      <c r="I33" s="1437"/>
      <c r="J33" s="1437"/>
      <c r="K33" s="2280"/>
      <c r="L33" s="2280"/>
    </row>
  </sheetData>
  <mergeCells count="62">
    <mergeCell ref="I32:J32"/>
    <mergeCell ref="K32:L32"/>
    <mergeCell ref="K33:L33"/>
    <mergeCell ref="T22:T23"/>
    <mergeCell ref="V22:X22"/>
    <mergeCell ref="V23:X23"/>
    <mergeCell ref="T24:T25"/>
    <mergeCell ref="V24:X24"/>
    <mergeCell ref="V25:X25"/>
    <mergeCell ref="Y18:Y24"/>
    <mergeCell ref="B19:C19"/>
    <mergeCell ref="Q19:R19"/>
    <mergeCell ref="T19:T20"/>
    <mergeCell ref="V19:X19"/>
    <mergeCell ref="B20:C20"/>
    <mergeCell ref="B22:B24"/>
    <mergeCell ref="C22:C23"/>
    <mergeCell ref="D22:D23"/>
    <mergeCell ref="E22:E23"/>
    <mergeCell ref="F22:F23"/>
    <mergeCell ref="Q20:R20"/>
    <mergeCell ref="V20:X20"/>
    <mergeCell ref="B21:C21"/>
    <mergeCell ref="T21:U21"/>
    <mergeCell ref="V21:X21"/>
    <mergeCell ref="B17:C17"/>
    <mergeCell ref="Q17:R17"/>
    <mergeCell ref="T17:U17"/>
    <mergeCell ref="V17:X17"/>
    <mergeCell ref="B18:C18"/>
    <mergeCell ref="Q18:R18"/>
    <mergeCell ref="T18:U18"/>
    <mergeCell ref="V18:X18"/>
    <mergeCell ref="W4:X4"/>
    <mergeCell ref="B16:C16"/>
    <mergeCell ref="Q16:R16"/>
    <mergeCell ref="T16:U16"/>
    <mergeCell ref="V16:X16"/>
    <mergeCell ref="A12:B12"/>
    <mergeCell ref="B14:C14"/>
    <mergeCell ref="Q14:R14"/>
    <mergeCell ref="T14:T15"/>
    <mergeCell ref="V14:X14"/>
    <mergeCell ref="B15:C15"/>
    <mergeCell ref="Q15:R15"/>
    <mergeCell ref="V15:X15"/>
    <mergeCell ref="A1:Y1"/>
    <mergeCell ref="A2:Y2"/>
    <mergeCell ref="T3:Y3"/>
    <mergeCell ref="A4:A5"/>
    <mergeCell ref="B4:B5"/>
    <mergeCell ref="C4:D4"/>
    <mergeCell ref="E4:F4"/>
    <mergeCell ref="G4:H4"/>
    <mergeCell ref="I4:J4"/>
    <mergeCell ref="K4:L4"/>
    <mergeCell ref="Y4:Y5"/>
    <mergeCell ref="M4:N4"/>
    <mergeCell ref="O4:P4"/>
    <mergeCell ref="Q4:R4"/>
    <mergeCell ref="S4:T4"/>
    <mergeCell ref="U4:V4"/>
  </mergeCells>
  <pageMargins left="0.15748031496063" right="0.15748031496063" top="0" bottom="0" header="0" footer="0"/>
  <pageSetup paperSize="9" scale="47" orientation="landscape" r:id="rId1"/>
</worksheet>
</file>

<file path=xl/worksheets/sheet24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92B1774-7F9B-41C9-B7F0-7F0EA7494260}">
  <sheetPr>
    <pageSetUpPr fitToPage="1"/>
  </sheetPr>
  <dimension ref="A1:Y33"/>
  <sheetViews>
    <sheetView topLeftCell="D9" zoomScale="70" zoomScaleNormal="70" zoomScaleSheetLayoutView="100" zoomScalePageLayoutView="68" workbookViewId="0">
      <selection activeCell="L24" sqref="L24"/>
    </sheetView>
  </sheetViews>
  <sheetFormatPr defaultColWidth="9.140625" defaultRowHeight="15" x14ac:dyDescent="0.25"/>
  <cols>
    <col min="1" max="1" width="18.28515625" style="14" customWidth="1"/>
    <col min="2" max="2" width="10.7109375" style="14" customWidth="1"/>
    <col min="3" max="3" width="12.28515625" style="14" customWidth="1"/>
    <col min="4" max="4" width="13.140625" style="14" bestFit="1" customWidth="1"/>
    <col min="5" max="5" width="12" style="14" customWidth="1"/>
    <col min="6" max="6" width="12.5703125" style="14" bestFit="1" customWidth="1"/>
    <col min="7" max="7" width="16" style="14" bestFit="1" customWidth="1"/>
    <col min="8" max="8" width="10.140625" style="14" bestFit="1" customWidth="1"/>
    <col min="9" max="9" width="10.5703125" style="14" bestFit="1" customWidth="1"/>
    <col min="10" max="10" width="10.5703125" style="14" customWidth="1"/>
    <col min="11" max="11" width="10.28515625" style="14" bestFit="1" customWidth="1"/>
    <col min="12" max="12" width="10.42578125" style="14" bestFit="1" customWidth="1"/>
    <col min="13" max="14" width="12" style="14" bestFit="1" customWidth="1"/>
    <col min="15" max="15" width="9" style="14" customWidth="1"/>
    <col min="16" max="16" width="12.85546875" style="14" bestFit="1" customWidth="1"/>
    <col min="17" max="18" width="9.42578125" style="14" customWidth="1"/>
    <col min="19" max="19" width="13.7109375" style="14" customWidth="1"/>
    <col min="20" max="20" width="12.140625" style="14" customWidth="1"/>
    <col min="21" max="21" width="21.7109375" style="14" customWidth="1"/>
    <col min="22" max="22" width="9.85546875" style="14" customWidth="1"/>
    <col min="23" max="23" width="10.140625" style="14" bestFit="1" customWidth="1"/>
    <col min="24" max="24" width="10.28515625" style="14" customWidth="1"/>
    <col min="25" max="25" width="15.7109375" style="14" customWidth="1"/>
    <col min="26" max="16384" width="9.140625" style="14"/>
  </cols>
  <sheetData>
    <row r="1" spans="1:25" ht="46.15" customHeight="1" x14ac:dyDescent="0.25">
      <c r="A1" s="2240" t="s">
        <v>148</v>
      </c>
      <c r="B1" s="2240"/>
      <c r="C1" s="2240"/>
      <c r="D1" s="2240"/>
      <c r="E1" s="2240"/>
      <c r="F1" s="2240"/>
      <c r="G1" s="2240"/>
      <c r="H1" s="2240"/>
      <c r="I1" s="2240"/>
      <c r="J1" s="2240"/>
      <c r="K1" s="2240"/>
      <c r="L1" s="2240"/>
      <c r="M1" s="2240"/>
      <c r="N1" s="2240"/>
      <c r="O1" s="2240"/>
      <c r="P1" s="2240"/>
      <c r="Q1" s="2240"/>
      <c r="R1" s="2240"/>
      <c r="S1" s="2240"/>
      <c r="T1" s="2240"/>
      <c r="U1" s="2240"/>
      <c r="V1" s="2240"/>
      <c r="W1" s="2240"/>
      <c r="X1" s="2240"/>
      <c r="Y1" s="2240"/>
    </row>
    <row r="2" spans="1:25" ht="21.6" customHeight="1" x14ac:dyDescent="0.25">
      <c r="A2" s="2241" t="s">
        <v>383</v>
      </c>
      <c r="B2" s="2241"/>
      <c r="C2" s="2241"/>
      <c r="D2" s="2241"/>
      <c r="E2" s="2241"/>
      <c r="F2" s="2241"/>
      <c r="G2" s="2241"/>
      <c r="H2" s="2241"/>
      <c r="I2" s="2241"/>
      <c r="J2" s="2241"/>
      <c r="K2" s="2241"/>
      <c r="L2" s="2241"/>
      <c r="M2" s="2241"/>
      <c r="N2" s="2241"/>
      <c r="O2" s="2241"/>
      <c r="P2" s="2241"/>
      <c r="Q2" s="2241"/>
      <c r="R2" s="2241"/>
      <c r="S2" s="2241"/>
      <c r="T2" s="2241"/>
      <c r="U2" s="2241"/>
      <c r="V2" s="2241"/>
      <c r="W2" s="2241"/>
      <c r="X2" s="2241"/>
      <c r="Y2" s="2241"/>
    </row>
    <row r="3" spans="1:25" ht="21" customHeight="1" x14ac:dyDescent="0.25">
      <c r="A3" s="1443"/>
      <c r="B3" s="1443"/>
      <c r="C3" s="1443"/>
      <c r="D3" s="1443"/>
      <c r="E3" s="1443"/>
      <c r="F3" s="1443"/>
      <c r="G3" s="1443"/>
      <c r="H3" s="1443"/>
      <c r="I3" s="1443"/>
      <c r="J3" s="1443"/>
      <c r="K3" s="1443"/>
      <c r="L3" s="1443"/>
      <c r="M3" s="1443"/>
      <c r="N3" s="1443"/>
      <c r="O3" s="1443"/>
      <c r="P3" s="1443"/>
      <c r="Q3" s="1443"/>
      <c r="R3" s="1443"/>
      <c r="S3" s="1443"/>
      <c r="T3" s="2242" t="s">
        <v>490</v>
      </c>
      <c r="U3" s="2242"/>
      <c r="V3" s="2242"/>
      <c r="W3" s="2242"/>
      <c r="X3" s="2242"/>
      <c r="Y3" s="2242"/>
    </row>
    <row r="4" spans="1:25" s="1443" customFormat="1" ht="18" customHeight="1" x14ac:dyDescent="0.25">
      <c r="A4" s="2243" t="s">
        <v>25</v>
      </c>
      <c r="B4" s="2243" t="s">
        <v>26</v>
      </c>
      <c r="C4" s="2244" t="s">
        <v>27</v>
      </c>
      <c r="D4" s="2244"/>
      <c r="E4" s="2244" t="s">
        <v>342</v>
      </c>
      <c r="F4" s="2244"/>
      <c r="G4" s="2244" t="s">
        <v>65</v>
      </c>
      <c r="H4" s="2244"/>
      <c r="I4" s="2244" t="s">
        <v>29</v>
      </c>
      <c r="J4" s="2244"/>
      <c r="K4" s="2245" t="s">
        <v>14</v>
      </c>
      <c r="L4" s="2246"/>
      <c r="M4" s="2245" t="s">
        <v>429</v>
      </c>
      <c r="N4" s="2246"/>
      <c r="O4" s="2245" t="s">
        <v>441</v>
      </c>
      <c r="P4" s="2246"/>
      <c r="Q4" s="2245" t="s">
        <v>114</v>
      </c>
      <c r="R4" s="2246"/>
      <c r="S4" s="2244" t="s">
        <v>35</v>
      </c>
      <c r="T4" s="2244"/>
      <c r="U4" s="2245" t="s">
        <v>17</v>
      </c>
      <c r="V4" s="2246"/>
      <c r="W4" s="2247" t="s">
        <v>36</v>
      </c>
      <c r="X4" s="2248"/>
      <c r="Y4" s="2238" t="s">
        <v>30</v>
      </c>
    </row>
    <row r="5" spans="1:25" s="1443" customFormat="1" ht="25.5" customHeight="1" x14ac:dyDescent="0.25">
      <c r="A5" s="2243"/>
      <c r="B5" s="2243"/>
      <c r="C5" s="1442" t="s">
        <v>42</v>
      </c>
      <c r="D5" s="1442" t="s">
        <v>43</v>
      </c>
      <c r="E5" s="1442" t="s">
        <v>42</v>
      </c>
      <c r="F5" s="1442" t="s">
        <v>43</v>
      </c>
      <c r="G5" s="1442" t="s">
        <v>42</v>
      </c>
      <c r="H5" s="1442" t="s">
        <v>43</v>
      </c>
      <c r="I5" s="1442" t="s">
        <v>42</v>
      </c>
      <c r="J5" s="1442" t="s">
        <v>43</v>
      </c>
      <c r="K5" s="1442" t="s">
        <v>42</v>
      </c>
      <c r="L5" s="1442" t="s">
        <v>43</v>
      </c>
      <c r="M5" s="1442" t="s">
        <v>42</v>
      </c>
      <c r="N5" s="1442" t="s">
        <v>43</v>
      </c>
      <c r="O5" s="1442" t="s">
        <v>42</v>
      </c>
      <c r="P5" s="1442" t="s">
        <v>43</v>
      </c>
      <c r="Q5" s="1442" t="s">
        <v>42</v>
      </c>
      <c r="R5" s="1442" t="s">
        <v>43</v>
      </c>
      <c r="S5" s="33" t="s">
        <v>42</v>
      </c>
      <c r="T5" s="33" t="s">
        <v>43</v>
      </c>
      <c r="U5" s="30" t="s">
        <v>42</v>
      </c>
      <c r="V5" s="30" t="s">
        <v>43</v>
      </c>
      <c r="W5" s="30" t="s">
        <v>42</v>
      </c>
      <c r="X5" s="30" t="s">
        <v>43</v>
      </c>
      <c r="Y5" s="2239"/>
    </row>
    <row r="6" spans="1:25" ht="34.5" customHeight="1" x14ac:dyDescent="0.25">
      <c r="A6" s="12">
        <v>1409935200</v>
      </c>
      <c r="B6" s="1441" t="s">
        <v>71</v>
      </c>
      <c r="C6" s="1439">
        <v>34130</v>
      </c>
      <c r="D6" s="1438">
        <f t="shared" ref="D6:D11" si="0">0.9725*C6</f>
        <v>33191.425000000003</v>
      </c>
      <c r="E6" s="1439"/>
      <c r="F6" s="1438">
        <f>67.1*E6</f>
        <v>0</v>
      </c>
      <c r="G6" s="1439"/>
      <c r="H6" s="1439">
        <f>28.2*G6</f>
        <v>0</v>
      </c>
      <c r="I6" s="1439">
        <v>420</v>
      </c>
      <c r="J6" s="1439">
        <f>18.5*I6</f>
        <v>7770</v>
      </c>
      <c r="K6" s="1439"/>
      <c r="L6" s="1438">
        <f>28.2368*K6</f>
        <v>0</v>
      </c>
      <c r="M6" s="1439"/>
      <c r="N6" s="1438">
        <f>M6*47.6525</f>
        <v>0</v>
      </c>
      <c r="O6" s="1439"/>
      <c r="P6" s="1438">
        <f>O6*8.9</f>
        <v>0</v>
      </c>
      <c r="Q6" s="1438"/>
      <c r="R6" s="1438">
        <f>241*Q6</f>
        <v>0</v>
      </c>
      <c r="S6" s="1439"/>
      <c r="T6" s="1439">
        <f>241*S6</f>
        <v>0</v>
      </c>
      <c r="U6" s="1439">
        <v>1</v>
      </c>
      <c r="V6" s="1439">
        <f>332*U6</f>
        <v>332</v>
      </c>
      <c r="W6" s="1439"/>
      <c r="X6" s="19">
        <f>W6*100</f>
        <v>0</v>
      </c>
      <c r="Y6" s="20">
        <f t="shared" ref="Y6:Y12" si="1">D6+F6+H6+J6+L6+N6+P6+R6+T6+V6+X6</f>
        <v>41293.425000000003</v>
      </c>
    </row>
    <row r="7" spans="1:25" ht="31.5" customHeight="1" x14ac:dyDescent="0.25">
      <c r="A7" s="12">
        <v>1984225578</v>
      </c>
      <c r="B7" s="1441" t="s">
        <v>72</v>
      </c>
      <c r="C7" s="1439">
        <v>13976</v>
      </c>
      <c r="D7" s="1438">
        <f t="shared" si="0"/>
        <v>13591.66</v>
      </c>
      <c r="E7" s="1439"/>
      <c r="F7" s="1439">
        <f t="shared" ref="F7:F11" si="2">67.1*E7</f>
        <v>0</v>
      </c>
      <c r="G7" s="1439"/>
      <c r="H7" s="1439">
        <f t="shared" ref="H7:H11" si="3">28.2*G7</f>
        <v>0</v>
      </c>
      <c r="I7" s="1439"/>
      <c r="J7" s="1439">
        <f t="shared" ref="J7:J11" si="4">18.5*I7</f>
        <v>0</v>
      </c>
      <c r="K7" s="1439"/>
      <c r="L7" s="1438">
        <f t="shared" ref="L7:L11" si="5">28.2368*K7</f>
        <v>0</v>
      </c>
      <c r="M7" s="1439"/>
      <c r="N7" s="1438">
        <f t="shared" ref="N7:N11" si="6">M7*47.6525</f>
        <v>0</v>
      </c>
      <c r="O7" s="1439"/>
      <c r="P7" s="1438">
        <f t="shared" ref="P7:P11" si="7">O7*8.9</f>
        <v>0</v>
      </c>
      <c r="Q7" s="1438"/>
      <c r="R7" s="1438">
        <f t="shared" ref="R7:R11" si="8">241*Q7</f>
        <v>0</v>
      </c>
      <c r="S7" s="1439"/>
      <c r="T7" s="1439">
        <f t="shared" ref="T7:T10" si="9">241*S7</f>
        <v>0</v>
      </c>
      <c r="U7" s="1439"/>
      <c r="V7" s="1439">
        <f t="shared" ref="V7:V11" si="10">332*U7</f>
        <v>0</v>
      </c>
      <c r="W7" s="1439"/>
      <c r="X7" s="19">
        <f t="shared" ref="X7:X11" si="11">W7*100</f>
        <v>0</v>
      </c>
      <c r="Y7" s="20">
        <f t="shared" si="1"/>
        <v>13591.66</v>
      </c>
    </row>
    <row r="8" spans="1:25" ht="35.25" customHeight="1" x14ac:dyDescent="0.25">
      <c r="A8" s="12">
        <v>1967020280</v>
      </c>
      <c r="B8" s="1441" t="s">
        <v>427</v>
      </c>
      <c r="C8" s="1439">
        <v>28263</v>
      </c>
      <c r="D8" s="1438">
        <f t="shared" si="0"/>
        <v>27485.767500000002</v>
      </c>
      <c r="E8" s="1439"/>
      <c r="F8" s="1439">
        <f t="shared" si="2"/>
        <v>0</v>
      </c>
      <c r="G8" s="1439">
        <v>50</v>
      </c>
      <c r="H8" s="1438">
        <f t="shared" si="3"/>
        <v>1410</v>
      </c>
      <c r="I8" s="1439">
        <v>760</v>
      </c>
      <c r="J8" s="1439">
        <f t="shared" si="4"/>
        <v>14060</v>
      </c>
      <c r="K8" s="1439"/>
      <c r="L8" s="1438">
        <f t="shared" si="5"/>
        <v>0</v>
      </c>
      <c r="M8" s="1439"/>
      <c r="N8" s="1438">
        <f t="shared" si="6"/>
        <v>0</v>
      </c>
      <c r="O8" s="1439"/>
      <c r="P8" s="1438">
        <f t="shared" si="7"/>
        <v>0</v>
      </c>
      <c r="Q8" s="1438"/>
      <c r="R8" s="1438">
        <f t="shared" si="8"/>
        <v>0</v>
      </c>
      <c r="S8" s="1439"/>
      <c r="T8" s="1439">
        <f t="shared" si="9"/>
        <v>0</v>
      </c>
      <c r="U8" s="1439">
        <v>13</v>
      </c>
      <c r="V8" s="1439">
        <f t="shared" si="10"/>
        <v>4316</v>
      </c>
      <c r="W8" s="1439"/>
      <c r="X8" s="19">
        <f t="shared" si="11"/>
        <v>0</v>
      </c>
      <c r="Y8" s="20">
        <f t="shared" si="1"/>
        <v>47271.767500000002</v>
      </c>
    </row>
    <row r="9" spans="1:25" ht="38.25" customHeight="1" x14ac:dyDescent="0.25">
      <c r="A9" s="12">
        <v>1984225580</v>
      </c>
      <c r="B9" s="1441" t="s">
        <v>75</v>
      </c>
      <c r="C9" s="1439">
        <v>24583</v>
      </c>
      <c r="D9" s="1438">
        <f t="shared" si="0"/>
        <v>23906.967500000002</v>
      </c>
      <c r="E9" s="1439"/>
      <c r="F9" s="1439">
        <f t="shared" si="2"/>
        <v>0</v>
      </c>
      <c r="G9" s="1439">
        <v>30</v>
      </c>
      <c r="H9" s="1439">
        <f t="shared" si="3"/>
        <v>846</v>
      </c>
      <c r="I9" s="1439">
        <v>2000</v>
      </c>
      <c r="J9" s="1439">
        <f t="shared" si="4"/>
        <v>37000</v>
      </c>
      <c r="K9" s="1439"/>
      <c r="L9" s="1438">
        <f t="shared" si="5"/>
        <v>0</v>
      </c>
      <c r="M9" s="1439"/>
      <c r="N9" s="1438">
        <f t="shared" si="6"/>
        <v>0</v>
      </c>
      <c r="O9" s="1439"/>
      <c r="P9" s="1438">
        <f t="shared" si="7"/>
        <v>0</v>
      </c>
      <c r="Q9" s="1438"/>
      <c r="R9" s="1438">
        <f t="shared" si="8"/>
        <v>0</v>
      </c>
      <c r="S9" s="1439"/>
      <c r="T9" s="1439">
        <f t="shared" si="9"/>
        <v>0</v>
      </c>
      <c r="U9" s="1439">
        <v>5</v>
      </c>
      <c r="V9" s="1439">
        <f t="shared" si="10"/>
        <v>1660</v>
      </c>
      <c r="W9" s="1439"/>
      <c r="X9" s="19">
        <f t="shared" si="11"/>
        <v>0</v>
      </c>
      <c r="Y9" s="20">
        <f t="shared" si="1"/>
        <v>63412.967499999999</v>
      </c>
    </row>
    <row r="10" spans="1:25" ht="35.25" customHeight="1" x14ac:dyDescent="0.25">
      <c r="A10" s="12">
        <v>1409935199</v>
      </c>
      <c r="C10" s="1439"/>
      <c r="D10" s="1438">
        <f t="shared" si="0"/>
        <v>0</v>
      </c>
      <c r="E10" s="1439"/>
      <c r="F10" s="1439">
        <f t="shared" si="2"/>
        <v>0</v>
      </c>
      <c r="G10" s="1439"/>
      <c r="H10" s="1439">
        <f t="shared" si="3"/>
        <v>0</v>
      </c>
      <c r="I10" s="1439"/>
      <c r="J10" s="1439">
        <f t="shared" si="4"/>
        <v>0</v>
      </c>
      <c r="K10" s="1439"/>
      <c r="L10" s="1438">
        <f t="shared" si="5"/>
        <v>0</v>
      </c>
      <c r="M10" s="1439"/>
      <c r="N10" s="1438">
        <f t="shared" si="6"/>
        <v>0</v>
      </c>
      <c r="O10" s="1439"/>
      <c r="P10" s="1438">
        <f t="shared" si="7"/>
        <v>0</v>
      </c>
      <c r="Q10" s="1438"/>
      <c r="R10" s="1438">
        <f t="shared" si="8"/>
        <v>0</v>
      </c>
      <c r="S10" s="1439"/>
      <c r="T10" s="1439">
        <f t="shared" si="9"/>
        <v>0</v>
      </c>
      <c r="U10" s="1439"/>
      <c r="V10" s="1439">
        <f t="shared" si="10"/>
        <v>0</v>
      </c>
      <c r="W10" s="1439"/>
      <c r="X10" s="19">
        <f t="shared" si="11"/>
        <v>0</v>
      </c>
      <c r="Y10" s="20">
        <f t="shared" si="1"/>
        <v>0</v>
      </c>
    </row>
    <row r="11" spans="1:25" ht="37.5" customHeight="1" x14ac:dyDescent="0.25">
      <c r="A11" s="12"/>
      <c r="B11" s="1440"/>
      <c r="C11" s="1439"/>
      <c r="D11" s="1438">
        <f t="shared" si="0"/>
        <v>0</v>
      </c>
      <c r="E11" s="1439"/>
      <c r="F11" s="1439">
        <f t="shared" si="2"/>
        <v>0</v>
      </c>
      <c r="G11" s="1439"/>
      <c r="H11" s="1439">
        <f t="shared" si="3"/>
        <v>0</v>
      </c>
      <c r="I11" s="1439"/>
      <c r="J11" s="1439">
        <f t="shared" si="4"/>
        <v>0</v>
      </c>
      <c r="K11" s="1439"/>
      <c r="L11" s="1438">
        <f t="shared" si="5"/>
        <v>0</v>
      </c>
      <c r="M11" s="1439"/>
      <c r="N11" s="1438">
        <f t="shared" si="6"/>
        <v>0</v>
      </c>
      <c r="O11" s="1439"/>
      <c r="P11" s="1438">
        <f t="shared" si="7"/>
        <v>0</v>
      </c>
      <c r="Q11" s="1438"/>
      <c r="R11" s="1438">
        <f t="shared" si="8"/>
        <v>0</v>
      </c>
      <c r="S11" s="1439"/>
      <c r="T11" s="1439">
        <f>341*S11</f>
        <v>0</v>
      </c>
      <c r="U11" s="1439"/>
      <c r="V11" s="1439">
        <f t="shared" si="10"/>
        <v>0</v>
      </c>
      <c r="W11" s="1439"/>
      <c r="X11" s="19">
        <f t="shared" si="11"/>
        <v>0</v>
      </c>
      <c r="Y11" s="20">
        <f t="shared" si="1"/>
        <v>0</v>
      </c>
    </row>
    <row r="12" spans="1:25" ht="29.25" customHeight="1" x14ac:dyDescent="0.25">
      <c r="A12" s="2235" t="s">
        <v>31</v>
      </c>
      <c r="B12" s="2235"/>
      <c r="C12" s="18">
        <f t="shared" ref="C12:X12" si="12">SUM(C6:C11)</f>
        <v>100952</v>
      </c>
      <c r="D12" s="18">
        <f t="shared" si="12"/>
        <v>98175.82</v>
      </c>
      <c r="E12" s="18">
        <f t="shared" si="12"/>
        <v>0</v>
      </c>
      <c r="F12" s="18">
        <f t="shared" si="12"/>
        <v>0</v>
      </c>
      <c r="G12" s="18">
        <f t="shared" si="12"/>
        <v>80</v>
      </c>
      <c r="H12" s="18">
        <f t="shared" si="12"/>
        <v>2256</v>
      </c>
      <c r="I12" s="18">
        <f t="shared" si="12"/>
        <v>3180</v>
      </c>
      <c r="J12" s="18">
        <f t="shared" si="12"/>
        <v>58830</v>
      </c>
      <c r="K12" s="18">
        <f t="shared" si="12"/>
        <v>0</v>
      </c>
      <c r="L12" s="18">
        <f t="shared" si="12"/>
        <v>0</v>
      </c>
      <c r="M12" s="18">
        <f t="shared" si="12"/>
        <v>0</v>
      </c>
      <c r="N12" s="23">
        <f t="shared" si="12"/>
        <v>0</v>
      </c>
      <c r="O12" s="18">
        <f t="shared" si="12"/>
        <v>0</v>
      </c>
      <c r="P12" s="23">
        <f t="shared" si="12"/>
        <v>0</v>
      </c>
      <c r="Q12" s="23">
        <f t="shared" si="12"/>
        <v>0</v>
      </c>
      <c r="R12" s="23">
        <f>SUM(R6:R11)</f>
        <v>0</v>
      </c>
      <c r="S12" s="23">
        <f>SUM(S6:S11)</f>
        <v>0</v>
      </c>
      <c r="T12" s="18">
        <f t="shared" si="12"/>
        <v>0</v>
      </c>
      <c r="U12" s="18">
        <f t="shared" si="12"/>
        <v>19</v>
      </c>
      <c r="V12" s="18">
        <f t="shared" si="12"/>
        <v>6308</v>
      </c>
      <c r="W12" s="18">
        <f t="shared" si="12"/>
        <v>0</v>
      </c>
      <c r="X12" s="18">
        <f t="shared" si="12"/>
        <v>0</v>
      </c>
      <c r="Y12" s="20">
        <f t="shared" si="1"/>
        <v>165569.82</v>
      </c>
    </row>
    <row r="14" spans="1:25" ht="43.5" customHeight="1" x14ac:dyDescent="0.25">
      <c r="A14" s="30" t="s">
        <v>32</v>
      </c>
      <c r="B14" s="2236" t="s">
        <v>27</v>
      </c>
      <c r="C14" s="2236"/>
      <c r="D14" s="30" t="s">
        <v>333</v>
      </c>
      <c r="E14" s="30" t="s">
        <v>65</v>
      </c>
      <c r="F14" s="30" t="s">
        <v>34</v>
      </c>
      <c r="G14" s="30" t="s">
        <v>14</v>
      </c>
      <c r="H14" s="469" t="s">
        <v>173</v>
      </c>
      <c r="I14" s="30" t="s">
        <v>17</v>
      </c>
      <c r="J14" s="1447" t="s">
        <v>174</v>
      </c>
      <c r="K14" s="30" t="s">
        <v>36</v>
      </c>
      <c r="L14" s="1447" t="s">
        <v>403</v>
      </c>
      <c r="M14" s="30" t="s">
        <v>429</v>
      </c>
      <c r="N14" s="30" t="s">
        <v>442</v>
      </c>
      <c r="O14" s="1447" t="s">
        <v>114</v>
      </c>
      <c r="P14" s="30" t="s">
        <v>70</v>
      </c>
      <c r="Q14" s="2300" t="s">
        <v>479</v>
      </c>
      <c r="R14" s="2301"/>
      <c r="S14" s="1447" t="s">
        <v>401</v>
      </c>
      <c r="T14" s="2235" t="s">
        <v>46</v>
      </c>
      <c r="U14" s="1441" t="s">
        <v>176</v>
      </c>
      <c r="V14" s="2260">
        <v>13896</v>
      </c>
      <c r="W14" s="2268"/>
      <c r="X14" s="2261"/>
    </row>
    <row r="15" spans="1:25" ht="22.5" customHeight="1" x14ac:dyDescent="0.25">
      <c r="A15" s="100" t="s">
        <v>38</v>
      </c>
      <c r="B15" s="2260">
        <v>383008</v>
      </c>
      <c r="C15" s="2261"/>
      <c r="D15" s="1444">
        <v>130</v>
      </c>
      <c r="E15" s="1444">
        <v>1220</v>
      </c>
      <c r="F15" s="1444">
        <v>16830</v>
      </c>
      <c r="G15" s="1444">
        <v>680</v>
      </c>
      <c r="H15" s="1444">
        <v>161</v>
      </c>
      <c r="I15" s="1444">
        <v>30</v>
      </c>
      <c r="J15" s="1444">
        <v>4</v>
      </c>
      <c r="K15" s="1444">
        <v>82</v>
      </c>
      <c r="L15" s="1444">
        <v>0</v>
      </c>
      <c r="M15" s="1444">
        <v>0</v>
      </c>
      <c r="N15" s="1444">
        <v>15000</v>
      </c>
      <c r="O15" s="1444">
        <v>0</v>
      </c>
      <c r="P15" s="1444">
        <v>100</v>
      </c>
      <c r="Q15" s="2260">
        <v>10</v>
      </c>
      <c r="R15" s="2261"/>
      <c r="S15" s="1441">
        <v>2</v>
      </c>
      <c r="T15" s="2235"/>
      <c r="U15" s="1441" t="s">
        <v>64</v>
      </c>
      <c r="V15" s="2262">
        <v>10552</v>
      </c>
      <c r="W15" s="2262"/>
      <c r="X15" s="2262"/>
    </row>
    <row r="16" spans="1:25" ht="24.75" customHeight="1" x14ac:dyDescent="0.25">
      <c r="A16" s="100" t="s">
        <v>39</v>
      </c>
      <c r="B16" s="2260"/>
      <c r="C16" s="2261"/>
      <c r="D16" s="1444"/>
      <c r="E16" s="1444"/>
      <c r="F16" s="1444"/>
      <c r="G16" s="1444"/>
      <c r="H16" s="1444"/>
      <c r="I16" s="1444"/>
      <c r="J16" s="1444"/>
      <c r="K16" s="1444"/>
      <c r="L16" s="1444"/>
      <c r="M16" s="1444"/>
      <c r="N16" s="1444"/>
      <c r="O16" s="1444"/>
      <c r="P16" s="1444"/>
      <c r="Q16" s="2262"/>
      <c r="R16" s="2262"/>
      <c r="S16" s="1444"/>
      <c r="T16" s="2254" t="s">
        <v>55</v>
      </c>
      <c r="U16" s="2254"/>
      <c r="V16" s="2267">
        <f>Y12</f>
        <v>165569.82</v>
      </c>
      <c r="W16" s="2267"/>
      <c r="X16" s="2262"/>
    </row>
    <row r="17" spans="1:25" ht="28.5" customHeight="1" x14ac:dyDescent="0.25">
      <c r="A17" s="101" t="s">
        <v>44</v>
      </c>
      <c r="B17" s="2260"/>
      <c r="C17" s="2261"/>
      <c r="D17" s="1444"/>
      <c r="E17" s="1444"/>
      <c r="F17" s="1444"/>
      <c r="G17" s="1444"/>
      <c r="H17" s="1444"/>
      <c r="I17" s="1444"/>
      <c r="J17" s="1444"/>
      <c r="K17" s="1444"/>
      <c r="L17" s="1444"/>
      <c r="M17" s="1444"/>
      <c r="N17" s="1444"/>
      <c r="O17" s="1444"/>
      <c r="P17" s="1444"/>
      <c r="Q17" s="2225"/>
      <c r="R17" s="2225"/>
      <c r="S17" s="1440"/>
      <c r="T17" s="2294" t="s">
        <v>473</v>
      </c>
      <c r="U17" s="2295"/>
      <c r="V17" s="2296"/>
      <c r="W17" s="2296"/>
      <c r="X17" s="2296"/>
    </row>
    <row r="18" spans="1:25" ht="27" customHeight="1" x14ac:dyDescent="0.25">
      <c r="A18" s="100" t="s">
        <v>40</v>
      </c>
      <c r="B18" s="2264">
        <f>C12</f>
        <v>100952</v>
      </c>
      <c r="C18" s="2261"/>
      <c r="D18" s="1446">
        <f>E12</f>
        <v>0</v>
      </c>
      <c r="E18" s="1446">
        <f>G12</f>
        <v>80</v>
      </c>
      <c r="F18" s="1446">
        <f>I12</f>
        <v>3180</v>
      </c>
      <c r="G18" s="1446">
        <f>K12</f>
        <v>0</v>
      </c>
      <c r="H18" s="1444"/>
      <c r="I18" s="1446">
        <f>U12</f>
        <v>19</v>
      </c>
      <c r="J18" s="1444"/>
      <c r="K18" s="1446">
        <f>W12</f>
        <v>0</v>
      </c>
      <c r="L18" s="1444"/>
      <c r="M18" s="1446">
        <f>M12</f>
        <v>0</v>
      </c>
      <c r="N18" s="1446">
        <f>O12</f>
        <v>0</v>
      </c>
      <c r="O18" s="1445">
        <f>Q12</f>
        <v>0</v>
      </c>
      <c r="P18" s="1446"/>
      <c r="Q18" s="2262"/>
      <c r="R18" s="2262"/>
      <c r="S18" s="1441"/>
      <c r="T18" s="2254" t="s">
        <v>57</v>
      </c>
      <c r="U18" s="2254"/>
      <c r="V18" s="2262">
        <v>770</v>
      </c>
      <c r="W18" s="2262"/>
      <c r="X18" s="2262"/>
      <c r="Y18" s="2269"/>
    </row>
    <row r="19" spans="1:25" ht="25.5" customHeight="1" x14ac:dyDescent="0.25">
      <c r="A19" s="100" t="s">
        <v>41</v>
      </c>
      <c r="B19" s="2260">
        <f>B15+B16+B17-B18</f>
        <v>282056</v>
      </c>
      <c r="C19" s="2261"/>
      <c r="D19" s="1444">
        <f>D15+D16+D17-D18</f>
        <v>130</v>
      </c>
      <c r="E19" s="1444">
        <f t="shared" ref="E19:N19" si="13">E15+E16+E17-E18</f>
        <v>1140</v>
      </c>
      <c r="F19" s="1444">
        <f t="shared" si="13"/>
        <v>13650</v>
      </c>
      <c r="G19" s="1444">
        <f t="shared" si="13"/>
        <v>680</v>
      </c>
      <c r="H19" s="1444">
        <f t="shared" si="13"/>
        <v>161</v>
      </c>
      <c r="I19" s="1444">
        <f t="shared" si="13"/>
        <v>11</v>
      </c>
      <c r="J19" s="1444">
        <f t="shared" si="13"/>
        <v>4</v>
      </c>
      <c r="K19" s="1444">
        <f t="shared" si="13"/>
        <v>82</v>
      </c>
      <c r="L19" s="1444">
        <f t="shared" si="13"/>
        <v>0</v>
      </c>
      <c r="M19" s="1444">
        <f t="shared" si="13"/>
        <v>0</v>
      </c>
      <c r="N19" s="1444">
        <f t="shared" si="13"/>
        <v>15000</v>
      </c>
      <c r="O19" s="1444">
        <f>O15+O16+O17-O18</f>
        <v>0</v>
      </c>
      <c r="P19" s="1444">
        <f t="shared" ref="P19:Q19" si="14">P15+P16+P17-P18</f>
        <v>100</v>
      </c>
      <c r="Q19" s="2260">
        <f t="shared" si="14"/>
        <v>10</v>
      </c>
      <c r="R19" s="2261"/>
      <c r="S19" s="1441">
        <f>S15+S16-S17-S18</f>
        <v>2</v>
      </c>
      <c r="T19" s="2256" t="s">
        <v>48</v>
      </c>
      <c r="U19" s="49" t="s">
        <v>58</v>
      </c>
      <c r="V19" s="2262"/>
      <c r="W19" s="2262"/>
      <c r="X19" s="2262"/>
      <c r="Y19" s="2269"/>
    </row>
    <row r="20" spans="1:25" ht="23.25" customHeight="1" x14ac:dyDescent="0.25">
      <c r="A20" s="289" t="s">
        <v>187</v>
      </c>
      <c r="B20" s="2286">
        <f>B19*0.9625</f>
        <v>271478.90000000002</v>
      </c>
      <c r="C20" s="2287"/>
      <c r="D20" s="290">
        <f>D19*66.41</f>
        <v>8633.2999999999993</v>
      </c>
      <c r="E20" s="290">
        <f>27.9368*E19</f>
        <v>31847.952000000001</v>
      </c>
      <c r="F20" s="290">
        <f>18.31*F19</f>
        <v>249931.49999999997</v>
      </c>
      <c r="G20" s="290">
        <f>27.9368*G19</f>
        <v>18997.024000000001</v>
      </c>
      <c r="H20" s="290">
        <f>241*H19</f>
        <v>38801</v>
      </c>
      <c r="I20" s="290">
        <f>323*I19</f>
        <v>3553</v>
      </c>
      <c r="J20" s="290">
        <f>241*J19</f>
        <v>964</v>
      </c>
      <c r="K20" s="290">
        <f>K19*100</f>
        <v>8200</v>
      </c>
      <c r="L20" s="290">
        <f>241*L19</f>
        <v>0</v>
      </c>
      <c r="M20" s="290">
        <f>47.1625*M19</f>
        <v>0</v>
      </c>
      <c r="N20" s="290">
        <f>N19*8.81</f>
        <v>132150</v>
      </c>
      <c r="O20" s="290">
        <f>241*O19</f>
        <v>0</v>
      </c>
      <c r="P20" s="290">
        <f>P19*48.2</f>
        <v>4820</v>
      </c>
      <c r="Q20" s="2286">
        <f>470*Q19</f>
        <v>4700</v>
      </c>
      <c r="R20" s="2287"/>
      <c r="S20" s="290">
        <f>341*S19</f>
        <v>682</v>
      </c>
      <c r="T20" s="2257"/>
      <c r="U20" s="49" t="s">
        <v>59</v>
      </c>
      <c r="V20" s="2262"/>
      <c r="W20" s="2262"/>
      <c r="X20" s="2262"/>
      <c r="Y20" s="2269"/>
    </row>
    <row r="21" spans="1:25" ht="32.25" customHeight="1" x14ac:dyDescent="0.25">
      <c r="A21" s="291" t="s">
        <v>186</v>
      </c>
      <c r="B21" s="2293">
        <f>SUM(B20:S20)</f>
        <v>774758.67599999998</v>
      </c>
      <c r="C21" s="2293"/>
      <c r="O21" s="1448"/>
      <c r="P21" s="1448"/>
      <c r="Q21" s="1448"/>
      <c r="R21" s="1448"/>
      <c r="T21" s="2294" t="s">
        <v>487</v>
      </c>
      <c r="U21" s="2295"/>
      <c r="V21" s="2297"/>
      <c r="W21" s="2298"/>
      <c r="X21" s="2299"/>
      <c r="Y21" s="2269"/>
    </row>
    <row r="22" spans="1:25" ht="35.25" customHeight="1" x14ac:dyDescent="0.25">
      <c r="A22" s="15"/>
      <c r="B22" s="2288" t="s">
        <v>49</v>
      </c>
      <c r="C22" s="2291">
        <v>400000</v>
      </c>
      <c r="D22" s="2291"/>
      <c r="E22" s="2291"/>
      <c r="F22" s="2291">
        <f>C22-D22+E22</f>
        <v>400000</v>
      </c>
      <c r="G22" s="1448"/>
      <c r="Q22" s="1448"/>
      <c r="R22" s="1448"/>
      <c r="T22" s="2251" t="s">
        <v>83</v>
      </c>
      <c r="U22" s="50" t="s">
        <v>60</v>
      </c>
      <c r="V22" s="2262"/>
      <c r="W22" s="2262"/>
      <c r="X22" s="2262"/>
      <c r="Y22" s="2269"/>
    </row>
    <row r="23" spans="1:25" ht="39.75" customHeight="1" x14ac:dyDescent="0.25">
      <c r="A23" s="1448"/>
      <c r="B23" s="2289"/>
      <c r="C23" s="2292"/>
      <c r="D23" s="2292"/>
      <c r="E23" s="2292"/>
      <c r="F23" s="2292"/>
      <c r="G23" s="1448"/>
      <c r="Q23" s="1448"/>
      <c r="R23" s="1448"/>
      <c r="T23" s="2252"/>
      <c r="U23" s="50" t="s">
        <v>61</v>
      </c>
      <c r="V23" s="2262"/>
      <c r="W23" s="2262"/>
      <c r="X23" s="2262"/>
      <c r="Y23" s="2269"/>
    </row>
    <row r="24" spans="1:25" ht="48" customHeight="1" x14ac:dyDescent="0.25">
      <c r="A24" s="1448"/>
      <c r="B24" s="2290"/>
      <c r="C24" s="290" t="s">
        <v>46</v>
      </c>
      <c r="D24" s="290" t="s">
        <v>50</v>
      </c>
      <c r="E24" s="290" t="s">
        <v>51</v>
      </c>
      <c r="F24" s="290" t="s">
        <v>52</v>
      </c>
      <c r="G24" s="1448"/>
      <c r="Q24" s="1448"/>
      <c r="R24" s="1448"/>
      <c r="T24" s="2235" t="s">
        <v>47</v>
      </c>
      <c r="U24" s="51" t="s">
        <v>62</v>
      </c>
      <c r="V24" s="2263">
        <f>V14+V16+V17-V18-V19-V20-V22+V23-V21</f>
        <v>178695.82</v>
      </c>
      <c r="W24" s="2263"/>
      <c r="X24" s="2263"/>
      <c r="Y24" s="2269"/>
    </row>
    <row r="25" spans="1:25" ht="40.5" customHeight="1" x14ac:dyDescent="0.25">
      <c r="T25" s="2235"/>
      <c r="U25" s="51" t="s">
        <v>63</v>
      </c>
      <c r="V25" s="2262">
        <f>V15+V22-V23</f>
        <v>10552</v>
      </c>
      <c r="W25" s="2262"/>
      <c r="X25" s="2262"/>
    </row>
    <row r="26" spans="1:25" ht="36" customHeight="1" x14ac:dyDescent="0.25">
      <c r="K26" s="314"/>
    </row>
    <row r="28" spans="1:25" x14ac:dyDescent="0.25">
      <c r="J28" s="14" t="s">
        <v>139</v>
      </c>
    </row>
    <row r="32" spans="1:25" x14ac:dyDescent="0.25">
      <c r="I32" s="2280"/>
      <c r="J32" s="2280"/>
      <c r="K32" s="2280"/>
      <c r="L32" s="2280"/>
    </row>
    <row r="33" spans="9:12" x14ac:dyDescent="0.25">
      <c r="I33" s="1448"/>
      <c r="J33" s="1448"/>
      <c r="K33" s="2280"/>
      <c r="L33" s="2280"/>
    </row>
  </sheetData>
  <mergeCells count="62">
    <mergeCell ref="A1:Y1"/>
    <mergeCell ref="A2:Y2"/>
    <mergeCell ref="T3:Y3"/>
    <mergeCell ref="A4:A5"/>
    <mergeCell ref="B4:B5"/>
    <mergeCell ref="C4:D4"/>
    <mergeCell ref="E4:F4"/>
    <mergeCell ref="G4:H4"/>
    <mergeCell ref="I4:J4"/>
    <mergeCell ref="K4:L4"/>
    <mergeCell ref="Y4:Y5"/>
    <mergeCell ref="M4:N4"/>
    <mergeCell ref="O4:P4"/>
    <mergeCell ref="Q4:R4"/>
    <mergeCell ref="S4:T4"/>
    <mergeCell ref="U4:V4"/>
    <mergeCell ref="W4:X4"/>
    <mergeCell ref="B16:C16"/>
    <mergeCell ref="Q16:R16"/>
    <mergeCell ref="T16:U16"/>
    <mergeCell ref="V16:X16"/>
    <mergeCell ref="A12:B12"/>
    <mergeCell ref="B14:C14"/>
    <mergeCell ref="Q14:R14"/>
    <mergeCell ref="T14:T15"/>
    <mergeCell ref="V14:X14"/>
    <mergeCell ref="B15:C15"/>
    <mergeCell ref="Q15:R15"/>
    <mergeCell ref="V15:X15"/>
    <mergeCell ref="B17:C17"/>
    <mergeCell ref="Q17:R17"/>
    <mergeCell ref="T17:U17"/>
    <mergeCell ref="V17:X17"/>
    <mergeCell ref="B18:C18"/>
    <mergeCell ref="Q18:R18"/>
    <mergeCell ref="T18:U18"/>
    <mergeCell ref="V18:X18"/>
    <mergeCell ref="Y18:Y24"/>
    <mergeCell ref="B19:C19"/>
    <mergeCell ref="Q19:R19"/>
    <mergeCell ref="T19:T20"/>
    <mergeCell ref="V19:X19"/>
    <mergeCell ref="B20:C20"/>
    <mergeCell ref="B22:B24"/>
    <mergeCell ref="C22:C23"/>
    <mergeCell ref="D22:D23"/>
    <mergeCell ref="E22:E23"/>
    <mergeCell ref="F22:F23"/>
    <mergeCell ref="Q20:R20"/>
    <mergeCell ref="V20:X20"/>
    <mergeCell ref="B21:C21"/>
    <mergeCell ref="T21:U21"/>
    <mergeCell ref="V21:X21"/>
    <mergeCell ref="I32:J32"/>
    <mergeCell ref="K32:L32"/>
    <mergeCell ref="K33:L33"/>
    <mergeCell ref="T22:T23"/>
    <mergeCell ref="V22:X22"/>
    <mergeCell ref="V23:X23"/>
    <mergeCell ref="T24:T25"/>
    <mergeCell ref="V24:X24"/>
    <mergeCell ref="V25:X25"/>
  </mergeCells>
  <pageMargins left="0.15748031496063" right="0.15748031496063" top="0" bottom="0" header="0" footer="0"/>
  <pageSetup paperSize="9" scale="47" orientation="landscape" r:id="rId1"/>
</worksheet>
</file>

<file path=xl/worksheets/sheet24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73B505E-A42B-4325-9DF8-924569D4673F}">
  <sheetPr>
    <pageSetUpPr fitToPage="1"/>
  </sheetPr>
  <dimension ref="A1:Y33"/>
  <sheetViews>
    <sheetView topLeftCell="E4" zoomScale="72" zoomScaleNormal="72" zoomScaleSheetLayoutView="100" zoomScalePageLayoutView="68" workbookViewId="0">
      <selection activeCell="J24" sqref="J24"/>
    </sheetView>
  </sheetViews>
  <sheetFormatPr defaultColWidth="9.140625" defaultRowHeight="15" x14ac:dyDescent="0.25"/>
  <cols>
    <col min="1" max="1" width="18.28515625" style="14" customWidth="1"/>
    <col min="2" max="2" width="10.7109375" style="14" customWidth="1"/>
    <col min="3" max="3" width="12.28515625" style="14" customWidth="1"/>
    <col min="4" max="4" width="13.140625" style="14" bestFit="1" customWidth="1"/>
    <col min="5" max="5" width="12" style="14" customWidth="1"/>
    <col min="6" max="6" width="12.5703125" style="14" bestFit="1" customWidth="1"/>
    <col min="7" max="7" width="16" style="14" bestFit="1" customWidth="1"/>
    <col min="8" max="8" width="10.140625" style="14" bestFit="1" customWidth="1"/>
    <col min="9" max="9" width="10.5703125" style="14" bestFit="1" customWidth="1"/>
    <col min="10" max="10" width="10.5703125" style="14" customWidth="1"/>
    <col min="11" max="11" width="10.28515625" style="14" bestFit="1" customWidth="1"/>
    <col min="12" max="12" width="10.42578125" style="14" bestFit="1" customWidth="1"/>
    <col min="13" max="14" width="12" style="14" bestFit="1" customWidth="1"/>
    <col min="15" max="15" width="9" style="14" customWidth="1"/>
    <col min="16" max="16" width="12.85546875" style="14" bestFit="1" customWidth="1"/>
    <col min="17" max="18" width="9.42578125" style="14" customWidth="1"/>
    <col min="19" max="19" width="13.7109375" style="14" customWidth="1"/>
    <col min="20" max="20" width="12.140625" style="14" customWidth="1"/>
    <col min="21" max="21" width="21.7109375" style="14" customWidth="1"/>
    <col min="22" max="22" width="9.85546875" style="14" customWidth="1"/>
    <col min="23" max="23" width="10.140625" style="14" bestFit="1" customWidth="1"/>
    <col min="24" max="24" width="10.28515625" style="14" customWidth="1"/>
    <col min="25" max="25" width="15.7109375" style="14" customWidth="1"/>
    <col min="26" max="16384" width="9.140625" style="14"/>
  </cols>
  <sheetData>
    <row r="1" spans="1:25" ht="46.15" customHeight="1" x14ac:dyDescent="0.25">
      <c r="A1" s="2240" t="s">
        <v>148</v>
      </c>
      <c r="B1" s="2240"/>
      <c r="C1" s="2240"/>
      <c r="D1" s="2240"/>
      <c r="E1" s="2240"/>
      <c r="F1" s="2240"/>
      <c r="G1" s="2240"/>
      <c r="H1" s="2240"/>
      <c r="I1" s="2240"/>
      <c r="J1" s="2240"/>
      <c r="K1" s="2240"/>
      <c r="L1" s="2240"/>
      <c r="M1" s="2240"/>
      <c r="N1" s="2240"/>
      <c r="O1" s="2240"/>
      <c r="P1" s="2240"/>
      <c r="Q1" s="2240"/>
      <c r="R1" s="2240"/>
      <c r="S1" s="2240"/>
      <c r="T1" s="2240"/>
      <c r="U1" s="2240"/>
      <c r="V1" s="2240"/>
      <c r="W1" s="2240"/>
      <c r="X1" s="2240"/>
      <c r="Y1" s="2240"/>
    </row>
    <row r="2" spans="1:25" ht="21.6" customHeight="1" x14ac:dyDescent="0.25">
      <c r="A2" s="2241" t="s">
        <v>383</v>
      </c>
      <c r="B2" s="2241"/>
      <c r="C2" s="2241"/>
      <c r="D2" s="2241"/>
      <c r="E2" s="2241"/>
      <c r="F2" s="2241"/>
      <c r="G2" s="2241"/>
      <c r="H2" s="2241"/>
      <c r="I2" s="2241"/>
      <c r="J2" s="2241"/>
      <c r="K2" s="2241"/>
      <c r="L2" s="2241"/>
      <c r="M2" s="2241"/>
      <c r="N2" s="2241"/>
      <c r="O2" s="2241"/>
      <c r="P2" s="2241"/>
      <c r="Q2" s="2241"/>
      <c r="R2" s="2241"/>
      <c r="S2" s="2241"/>
      <c r="T2" s="2241"/>
      <c r="U2" s="2241"/>
      <c r="V2" s="2241"/>
      <c r="W2" s="2241"/>
      <c r="X2" s="2241"/>
      <c r="Y2" s="2241"/>
    </row>
    <row r="3" spans="1:25" ht="21" customHeight="1" x14ac:dyDescent="0.25">
      <c r="A3" s="1443"/>
      <c r="B3" s="1443"/>
      <c r="C3" s="1443"/>
      <c r="D3" s="1443"/>
      <c r="E3" s="1443"/>
      <c r="F3" s="1443"/>
      <c r="G3" s="1443"/>
      <c r="H3" s="1443"/>
      <c r="I3" s="1443"/>
      <c r="J3" s="1443"/>
      <c r="K3" s="1443"/>
      <c r="L3" s="1443"/>
      <c r="M3" s="1443"/>
      <c r="N3" s="1443"/>
      <c r="O3" s="1443"/>
      <c r="P3" s="1443"/>
      <c r="Q3" s="1443"/>
      <c r="R3" s="1443"/>
      <c r="S3" s="1443"/>
      <c r="T3" s="2242" t="s">
        <v>491</v>
      </c>
      <c r="U3" s="2242"/>
      <c r="V3" s="2242"/>
      <c r="W3" s="2242"/>
      <c r="X3" s="2242"/>
      <c r="Y3" s="2242"/>
    </row>
    <row r="4" spans="1:25" s="1443" customFormat="1" ht="18" customHeight="1" x14ac:dyDescent="0.25">
      <c r="A4" s="2243" t="s">
        <v>25</v>
      </c>
      <c r="B4" s="2243" t="s">
        <v>26</v>
      </c>
      <c r="C4" s="2244" t="s">
        <v>27</v>
      </c>
      <c r="D4" s="2244"/>
      <c r="E4" s="2244" t="s">
        <v>342</v>
      </c>
      <c r="F4" s="2244"/>
      <c r="G4" s="2244" t="s">
        <v>65</v>
      </c>
      <c r="H4" s="2244"/>
      <c r="I4" s="2244" t="s">
        <v>29</v>
      </c>
      <c r="J4" s="2244"/>
      <c r="K4" s="2245" t="s">
        <v>14</v>
      </c>
      <c r="L4" s="2246"/>
      <c r="M4" s="2245" t="s">
        <v>429</v>
      </c>
      <c r="N4" s="2246"/>
      <c r="O4" s="2245" t="s">
        <v>441</v>
      </c>
      <c r="P4" s="2246"/>
      <c r="Q4" s="2245" t="s">
        <v>114</v>
      </c>
      <c r="R4" s="2246"/>
      <c r="S4" s="2244" t="s">
        <v>35</v>
      </c>
      <c r="T4" s="2244"/>
      <c r="U4" s="2245" t="s">
        <v>17</v>
      </c>
      <c r="V4" s="2246"/>
      <c r="W4" s="2247" t="s">
        <v>36</v>
      </c>
      <c r="X4" s="2248"/>
      <c r="Y4" s="2238" t="s">
        <v>30</v>
      </c>
    </row>
    <row r="5" spans="1:25" s="1443" customFormat="1" ht="25.5" customHeight="1" x14ac:dyDescent="0.25">
      <c r="A5" s="2243"/>
      <c r="B5" s="2243"/>
      <c r="C5" s="1442" t="s">
        <v>42</v>
      </c>
      <c r="D5" s="1442" t="s">
        <v>43</v>
      </c>
      <c r="E5" s="1442" t="s">
        <v>42</v>
      </c>
      <c r="F5" s="1442" t="s">
        <v>43</v>
      </c>
      <c r="G5" s="1442" t="s">
        <v>42</v>
      </c>
      <c r="H5" s="1442" t="s">
        <v>43</v>
      </c>
      <c r="I5" s="1442" t="s">
        <v>42</v>
      </c>
      <c r="J5" s="1442" t="s">
        <v>43</v>
      </c>
      <c r="K5" s="1442" t="s">
        <v>42</v>
      </c>
      <c r="L5" s="1442" t="s">
        <v>43</v>
      </c>
      <c r="M5" s="1442" t="s">
        <v>42</v>
      </c>
      <c r="N5" s="1442" t="s">
        <v>43</v>
      </c>
      <c r="O5" s="1442" t="s">
        <v>42</v>
      </c>
      <c r="P5" s="1442" t="s">
        <v>43</v>
      </c>
      <c r="Q5" s="1442" t="s">
        <v>42</v>
      </c>
      <c r="R5" s="1442" t="s">
        <v>43</v>
      </c>
      <c r="S5" s="33" t="s">
        <v>42</v>
      </c>
      <c r="T5" s="33" t="s">
        <v>43</v>
      </c>
      <c r="U5" s="30" t="s">
        <v>42</v>
      </c>
      <c r="V5" s="30" t="s">
        <v>43</v>
      </c>
      <c r="W5" s="30" t="s">
        <v>42</v>
      </c>
      <c r="X5" s="30" t="s">
        <v>43</v>
      </c>
      <c r="Y5" s="2239"/>
    </row>
    <row r="6" spans="1:25" ht="34.5" customHeight="1" x14ac:dyDescent="0.25">
      <c r="A6" s="12">
        <v>1409935200</v>
      </c>
      <c r="B6" s="1441" t="s">
        <v>71</v>
      </c>
      <c r="C6" s="1439">
        <v>28700</v>
      </c>
      <c r="D6" s="1438">
        <f t="shared" ref="D6:D11" si="0">0.9725*C6</f>
        <v>27910.75</v>
      </c>
      <c r="E6" s="1439"/>
      <c r="F6" s="1438">
        <f>67.1*E6</f>
        <v>0</v>
      </c>
      <c r="G6" s="1439"/>
      <c r="H6" s="1439">
        <f>28.2*G6</f>
        <v>0</v>
      </c>
      <c r="I6" s="1439">
        <v>80</v>
      </c>
      <c r="J6" s="1439">
        <f>18.5*I6</f>
        <v>1480</v>
      </c>
      <c r="K6" s="1439"/>
      <c r="L6" s="1438">
        <f>28.2368*K6</f>
        <v>0</v>
      </c>
      <c r="M6" s="1439"/>
      <c r="N6" s="1438">
        <f>M6*47.6525</f>
        <v>0</v>
      </c>
      <c r="O6" s="1439">
        <v>4250</v>
      </c>
      <c r="P6" s="1438">
        <f>O6*8.9</f>
        <v>37825</v>
      </c>
      <c r="Q6" s="1438"/>
      <c r="R6" s="1438">
        <f>241*Q6</f>
        <v>0</v>
      </c>
      <c r="S6" s="1439"/>
      <c r="T6" s="1439">
        <f>241*S6</f>
        <v>0</v>
      </c>
      <c r="U6" s="1439"/>
      <c r="V6" s="1439">
        <f>332*U6</f>
        <v>0</v>
      </c>
      <c r="W6" s="1439"/>
      <c r="X6" s="19">
        <f>W6*100</f>
        <v>0</v>
      </c>
      <c r="Y6" s="20">
        <f t="shared" ref="Y6:Y12" si="1">D6+F6+H6+J6+L6+N6+P6+R6+T6+V6+X6</f>
        <v>67215.75</v>
      </c>
    </row>
    <row r="7" spans="1:25" ht="31.5" customHeight="1" x14ac:dyDescent="0.25">
      <c r="A7" s="12">
        <v>1984225578</v>
      </c>
      <c r="B7" s="1441" t="s">
        <v>72</v>
      </c>
      <c r="C7" s="1439">
        <v>16911</v>
      </c>
      <c r="D7" s="1438">
        <f t="shared" si="0"/>
        <v>16445.947500000002</v>
      </c>
      <c r="E7" s="1439"/>
      <c r="F7" s="1439">
        <f t="shared" ref="F7:F11" si="2">67.1*E7</f>
        <v>0</v>
      </c>
      <c r="G7" s="1439">
        <v>60</v>
      </c>
      <c r="H7" s="1439">
        <f t="shared" ref="H7:H11" si="3">28.2*G7</f>
        <v>1692</v>
      </c>
      <c r="I7" s="1439">
        <v>1330</v>
      </c>
      <c r="J7" s="1439">
        <f t="shared" ref="J7:J11" si="4">18.5*I7</f>
        <v>24605</v>
      </c>
      <c r="K7" s="1439"/>
      <c r="L7" s="1438">
        <f t="shared" ref="L7:L11" si="5">28.2368*K7</f>
        <v>0</v>
      </c>
      <c r="M7" s="1439"/>
      <c r="N7" s="1438">
        <f t="shared" ref="N7:N11" si="6">M7*47.6525</f>
        <v>0</v>
      </c>
      <c r="O7" s="1439">
        <v>5000</v>
      </c>
      <c r="P7" s="1438">
        <f t="shared" ref="P7:P11" si="7">O7*8.9</f>
        <v>44500</v>
      </c>
      <c r="Q7" s="1438"/>
      <c r="R7" s="1438">
        <f t="shared" ref="R7:R11" si="8">241*Q7</f>
        <v>0</v>
      </c>
      <c r="S7" s="1439"/>
      <c r="T7" s="1439">
        <f t="shared" ref="T7:T10" si="9">241*S7</f>
        <v>0</v>
      </c>
      <c r="U7" s="1439"/>
      <c r="V7" s="1439">
        <f t="shared" ref="V7:V11" si="10">332*U7</f>
        <v>0</v>
      </c>
      <c r="W7" s="1439"/>
      <c r="X7" s="19">
        <f t="shared" ref="X7:X11" si="11">W7*100</f>
        <v>0</v>
      </c>
      <c r="Y7" s="20">
        <f t="shared" si="1"/>
        <v>87242.947500000009</v>
      </c>
    </row>
    <row r="8" spans="1:25" ht="35.25" customHeight="1" x14ac:dyDescent="0.25">
      <c r="A8" s="12">
        <v>1967020280</v>
      </c>
      <c r="B8" s="1441" t="s">
        <v>427</v>
      </c>
      <c r="C8" s="1439">
        <v>27961</v>
      </c>
      <c r="D8" s="1438">
        <f t="shared" si="0"/>
        <v>27192.072500000002</v>
      </c>
      <c r="E8" s="1439"/>
      <c r="F8" s="1439">
        <f t="shared" si="2"/>
        <v>0</v>
      </c>
      <c r="G8" s="1439">
        <v>120</v>
      </c>
      <c r="H8" s="1438">
        <f t="shared" si="3"/>
        <v>3384</v>
      </c>
      <c r="I8" s="1439">
        <v>830</v>
      </c>
      <c r="J8" s="1439">
        <f t="shared" si="4"/>
        <v>15355</v>
      </c>
      <c r="K8" s="1439">
        <v>100</v>
      </c>
      <c r="L8" s="1438">
        <f t="shared" si="5"/>
        <v>2823.68</v>
      </c>
      <c r="M8" s="1439"/>
      <c r="N8" s="1438">
        <f t="shared" si="6"/>
        <v>0</v>
      </c>
      <c r="O8" s="1439">
        <v>2500</v>
      </c>
      <c r="P8" s="1438">
        <f t="shared" si="7"/>
        <v>22250</v>
      </c>
      <c r="Q8" s="1438"/>
      <c r="R8" s="1438">
        <f t="shared" si="8"/>
        <v>0</v>
      </c>
      <c r="S8" s="1439"/>
      <c r="T8" s="1439">
        <f t="shared" si="9"/>
        <v>0</v>
      </c>
      <c r="U8" s="1439"/>
      <c r="V8" s="1439">
        <f t="shared" si="10"/>
        <v>0</v>
      </c>
      <c r="W8" s="1439"/>
      <c r="X8" s="19">
        <f t="shared" si="11"/>
        <v>0</v>
      </c>
      <c r="Y8" s="20">
        <f t="shared" si="1"/>
        <v>71004.752500000002</v>
      </c>
    </row>
    <row r="9" spans="1:25" ht="38.25" customHeight="1" x14ac:dyDescent="0.25">
      <c r="A9" s="12">
        <v>1984225580</v>
      </c>
      <c r="B9" s="1441" t="s">
        <v>75</v>
      </c>
      <c r="C9" s="1439">
        <v>39474</v>
      </c>
      <c r="D9" s="1438">
        <f t="shared" si="0"/>
        <v>38388.465000000004</v>
      </c>
      <c r="E9" s="1439"/>
      <c r="F9" s="1439">
        <f t="shared" si="2"/>
        <v>0</v>
      </c>
      <c r="G9" s="1439">
        <v>10</v>
      </c>
      <c r="H9" s="1439">
        <f t="shared" si="3"/>
        <v>282</v>
      </c>
      <c r="I9" s="1439">
        <v>1200</v>
      </c>
      <c r="J9" s="1439">
        <f t="shared" si="4"/>
        <v>22200</v>
      </c>
      <c r="K9" s="1439"/>
      <c r="L9" s="1438">
        <f t="shared" si="5"/>
        <v>0</v>
      </c>
      <c r="M9" s="1439"/>
      <c r="N9" s="1438">
        <f t="shared" si="6"/>
        <v>0</v>
      </c>
      <c r="O9" s="1439"/>
      <c r="P9" s="1438">
        <f t="shared" si="7"/>
        <v>0</v>
      </c>
      <c r="Q9" s="1438"/>
      <c r="R9" s="1438">
        <f t="shared" si="8"/>
        <v>0</v>
      </c>
      <c r="S9" s="1439"/>
      <c r="T9" s="1439">
        <f t="shared" si="9"/>
        <v>0</v>
      </c>
      <c r="U9" s="1439"/>
      <c r="V9" s="1439">
        <f t="shared" si="10"/>
        <v>0</v>
      </c>
      <c r="W9" s="1439"/>
      <c r="X9" s="19">
        <f t="shared" si="11"/>
        <v>0</v>
      </c>
      <c r="Y9" s="20">
        <f t="shared" si="1"/>
        <v>60870.465000000004</v>
      </c>
    </row>
    <row r="10" spans="1:25" ht="35.25" customHeight="1" x14ac:dyDescent="0.25">
      <c r="A10" s="12">
        <v>1409935199</v>
      </c>
      <c r="C10" s="1439"/>
      <c r="D10" s="1438">
        <f t="shared" si="0"/>
        <v>0</v>
      </c>
      <c r="E10" s="1439"/>
      <c r="F10" s="1439">
        <f t="shared" si="2"/>
        <v>0</v>
      </c>
      <c r="G10" s="1439"/>
      <c r="H10" s="1439">
        <f t="shared" si="3"/>
        <v>0</v>
      </c>
      <c r="I10" s="1439"/>
      <c r="J10" s="1439">
        <f t="shared" si="4"/>
        <v>0</v>
      </c>
      <c r="K10" s="1439"/>
      <c r="L10" s="1438">
        <f t="shared" si="5"/>
        <v>0</v>
      </c>
      <c r="M10" s="1439"/>
      <c r="N10" s="1438">
        <f t="shared" si="6"/>
        <v>0</v>
      </c>
      <c r="O10" s="1439"/>
      <c r="P10" s="1438">
        <f t="shared" si="7"/>
        <v>0</v>
      </c>
      <c r="Q10" s="1438"/>
      <c r="R10" s="1438">
        <f t="shared" si="8"/>
        <v>0</v>
      </c>
      <c r="S10" s="1439"/>
      <c r="T10" s="1439">
        <f t="shared" si="9"/>
        <v>0</v>
      </c>
      <c r="U10" s="1439"/>
      <c r="V10" s="1439">
        <f t="shared" si="10"/>
        <v>0</v>
      </c>
      <c r="W10" s="1439"/>
      <c r="X10" s="19">
        <f t="shared" si="11"/>
        <v>0</v>
      </c>
      <c r="Y10" s="20">
        <f t="shared" si="1"/>
        <v>0</v>
      </c>
    </row>
    <row r="11" spans="1:25" ht="37.5" customHeight="1" x14ac:dyDescent="0.25">
      <c r="A11" s="12"/>
      <c r="B11" s="1440"/>
      <c r="C11" s="1439"/>
      <c r="D11" s="1438">
        <f t="shared" si="0"/>
        <v>0</v>
      </c>
      <c r="E11" s="1439"/>
      <c r="F11" s="1439">
        <f t="shared" si="2"/>
        <v>0</v>
      </c>
      <c r="G11" s="1439"/>
      <c r="H11" s="1439">
        <f t="shared" si="3"/>
        <v>0</v>
      </c>
      <c r="I11" s="1439"/>
      <c r="J11" s="1439">
        <f t="shared" si="4"/>
        <v>0</v>
      </c>
      <c r="K11" s="1439"/>
      <c r="L11" s="1438">
        <f t="shared" si="5"/>
        <v>0</v>
      </c>
      <c r="M11" s="1439"/>
      <c r="N11" s="1438">
        <f t="shared" si="6"/>
        <v>0</v>
      </c>
      <c r="O11" s="1439"/>
      <c r="P11" s="1438">
        <f t="shared" si="7"/>
        <v>0</v>
      </c>
      <c r="Q11" s="1438"/>
      <c r="R11" s="1438">
        <f t="shared" si="8"/>
        <v>0</v>
      </c>
      <c r="S11" s="1439"/>
      <c r="T11" s="1439">
        <f>341*S11</f>
        <v>0</v>
      </c>
      <c r="U11" s="1439"/>
      <c r="V11" s="1439">
        <f t="shared" si="10"/>
        <v>0</v>
      </c>
      <c r="W11" s="1439"/>
      <c r="X11" s="19">
        <f t="shared" si="11"/>
        <v>0</v>
      </c>
      <c r="Y11" s="20">
        <f t="shared" si="1"/>
        <v>0</v>
      </c>
    </row>
    <row r="12" spans="1:25" ht="29.25" customHeight="1" x14ac:dyDescent="0.25">
      <c r="A12" s="2235" t="s">
        <v>31</v>
      </c>
      <c r="B12" s="2235"/>
      <c r="C12" s="18">
        <f t="shared" ref="C12:X12" si="12">SUM(C6:C11)</f>
        <v>113046</v>
      </c>
      <c r="D12" s="18">
        <f t="shared" si="12"/>
        <v>109937.23500000002</v>
      </c>
      <c r="E12" s="18">
        <f t="shared" si="12"/>
        <v>0</v>
      </c>
      <c r="F12" s="18">
        <f t="shared" si="12"/>
        <v>0</v>
      </c>
      <c r="G12" s="18">
        <f t="shared" si="12"/>
        <v>190</v>
      </c>
      <c r="H12" s="18">
        <f t="shared" si="12"/>
        <v>5358</v>
      </c>
      <c r="I12" s="18">
        <f t="shared" si="12"/>
        <v>3440</v>
      </c>
      <c r="J12" s="18">
        <f t="shared" si="12"/>
        <v>63640</v>
      </c>
      <c r="K12" s="18">
        <f t="shared" si="12"/>
        <v>100</v>
      </c>
      <c r="L12" s="18">
        <f t="shared" si="12"/>
        <v>2823.68</v>
      </c>
      <c r="M12" s="18">
        <f t="shared" si="12"/>
        <v>0</v>
      </c>
      <c r="N12" s="23">
        <f t="shared" si="12"/>
        <v>0</v>
      </c>
      <c r="O12" s="18">
        <f t="shared" si="12"/>
        <v>11750</v>
      </c>
      <c r="P12" s="23">
        <f t="shared" si="12"/>
        <v>104575</v>
      </c>
      <c r="Q12" s="23">
        <f t="shared" si="12"/>
        <v>0</v>
      </c>
      <c r="R12" s="23">
        <f>SUM(R6:R11)</f>
        <v>0</v>
      </c>
      <c r="S12" s="23">
        <f>SUM(S6:S11)</f>
        <v>0</v>
      </c>
      <c r="T12" s="18">
        <f t="shared" si="12"/>
        <v>0</v>
      </c>
      <c r="U12" s="18">
        <f t="shared" si="12"/>
        <v>0</v>
      </c>
      <c r="V12" s="18">
        <f t="shared" si="12"/>
        <v>0</v>
      </c>
      <c r="W12" s="18">
        <f t="shared" si="12"/>
        <v>0</v>
      </c>
      <c r="X12" s="18">
        <f t="shared" si="12"/>
        <v>0</v>
      </c>
      <c r="Y12" s="20">
        <f t="shared" si="1"/>
        <v>286333.91500000004</v>
      </c>
    </row>
    <row r="14" spans="1:25" ht="43.5" customHeight="1" x14ac:dyDescent="0.25">
      <c r="A14" s="30" t="s">
        <v>32</v>
      </c>
      <c r="B14" s="2236" t="s">
        <v>27</v>
      </c>
      <c r="C14" s="2236"/>
      <c r="D14" s="30" t="s">
        <v>333</v>
      </c>
      <c r="E14" s="30" t="s">
        <v>65</v>
      </c>
      <c r="F14" s="30" t="s">
        <v>34</v>
      </c>
      <c r="G14" s="30" t="s">
        <v>14</v>
      </c>
      <c r="H14" s="469" t="s">
        <v>173</v>
      </c>
      <c r="I14" s="30" t="s">
        <v>17</v>
      </c>
      <c r="J14" s="1447" t="s">
        <v>174</v>
      </c>
      <c r="K14" s="30" t="s">
        <v>36</v>
      </c>
      <c r="L14" s="1447" t="s">
        <v>403</v>
      </c>
      <c r="M14" s="30" t="s">
        <v>429</v>
      </c>
      <c r="N14" s="30" t="s">
        <v>442</v>
      </c>
      <c r="O14" s="1447" t="s">
        <v>114</v>
      </c>
      <c r="P14" s="30" t="s">
        <v>70</v>
      </c>
      <c r="Q14" s="2300" t="s">
        <v>479</v>
      </c>
      <c r="R14" s="2301"/>
      <c r="S14" s="1447" t="s">
        <v>401</v>
      </c>
      <c r="T14" s="2235" t="s">
        <v>46</v>
      </c>
      <c r="U14" s="1441" t="s">
        <v>176</v>
      </c>
      <c r="V14" s="2260">
        <v>178696</v>
      </c>
      <c r="W14" s="2268"/>
      <c r="X14" s="2261"/>
    </row>
    <row r="15" spans="1:25" ht="22.5" customHeight="1" x14ac:dyDescent="0.25">
      <c r="A15" s="100" t="s">
        <v>38</v>
      </c>
      <c r="B15" s="2260">
        <v>282056</v>
      </c>
      <c r="C15" s="2261"/>
      <c r="D15" s="1444">
        <v>130</v>
      </c>
      <c r="E15" s="1444">
        <v>1140</v>
      </c>
      <c r="F15" s="1444">
        <v>13650</v>
      </c>
      <c r="G15" s="1444">
        <v>680</v>
      </c>
      <c r="H15" s="1444">
        <v>161</v>
      </c>
      <c r="I15" s="1444">
        <v>11</v>
      </c>
      <c r="J15" s="1444">
        <v>4</v>
      </c>
      <c r="K15" s="1444">
        <v>82</v>
      </c>
      <c r="L15" s="1444">
        <v>0</v>
      </c>
      <c r="M15" s="1444">
        <v>0</v>
      </c>
      <c r="N15" s="1444">
        <v>15000</v>
      </c>
      <c r="O15" s="1444">
        <v>0</v>
      </c>
      <c r="P15" s="1444">
        <v>100</v>
      </c>
      <c r="Q15" s="2260">
        <v>10</v>
      </c>
      <c r="R15" s="2261"/>
      <c r="S15" s="1441">
        <v>2</v>
      </c>
      <c r="T15" s="2235"/>
      <c r="U15" s="1441" t="s">
        <v>64</v>
      </c>
      <c r="V15" s="2262">
        <v>10552</v>
      </c>
      <c r="W15" s="2262"/>
      <c r="X15" s="2262"/>
    </row>
    <row r="16" spans="1:25" ht="24.75" customHeight="1" x14ac:dyDescent="0.25">
      <c r="A16" s="100" t="s">
        <v>39</v>
      </c>
      <c r="B16" s="2260">
        <v>209911</v>
      </c>
      <c r="C16" s="2261"/>
      <c r="D16" s="1444"/>
      <c r="E16" s="1444"/>
      <c r="F16" s="1444">
        <v>6000</v>
      </c>
      <c r="G16" s="1444"/>
      <c r="H16" s="1444"/>
      <c r="I16" s="1444"/>
      <c r="J16" s="1444"/>
      <c r="K16" s="1444"/>
      <c r="L16" s="1444"/>
      <c r="M16" s="1444"/>
      <c r="N16" s="1444">
        <v>10000</v>
      </c>
      <c r="O16" s="1444"/>
      <c r="P16" s="1444"/>
      <c r="Q16" s="2262"/>
      <c r="R16" s="2262"/>
      <c r="S16" s="1444"/>
      <c r="T16" s="2254" t="s">
        <v>55</v>
      </c>
      <c r="U16" s="2254"/>
      <c r="V16" s="2267">
        <f>Y12</f>
        <v>286333.91500000004</v>
      </c>
      <c r="W16" s="2267"/>
      <c r="X16" s="2262"/>
    </row>
    <row r="17" spans="1:25" ht="28.5" customHeight="1" x14ac:dyDescent="0.25">
      <c r="A17" s="101" t="s">
        <v>44</v>
      </c>
      <c r="B17" s="2260"/>
      <c r="C17" s="2261"/>
      <c r="D17" s="1444"/>
      <c r="E17" s="1444"/>
      <c r="F17" s="1444"/>
      <c r="G17" s="1444"/>
      <c r="H17" s="1444"/>
      <c r="I17" s="1444"/>
      <c r="J17" s="1444"/>
      <c r="K17" s="1444"/>
      <c r="L17" s="1444"/>
      <c r="M17" s="1444"/>
      <c r="N17" s="1444"/>
      <c r="O17" s="1444"/>
      <c r="P17" s="1444"/>
      <c r="Q17" s="2225"/>
      <c r="R17" s="2225"/>
      <c r="S17" s="1440"/>
      <c r="T17" s="2294" t="s">
        <v>473</v>
      </c>
      <c r="U17" s="2295"/>
      <c r="V17" s="2296"/>
      <c r="W17" s="2296"/>
      <c r="X17" s="2296"/>
    </row>
    <row r="18" spans="1:25" ht="27" customHeight="1" x14ac:dyDescent="0.25">
      <c r="A18" s="100" t="s">
        <v>40</v>
      </c>
      <c r="B18" s="2264">
        <f>C12</f>
        <v>113046</v>
      </c>
      <c r="C18" s="2261"/>
      <c r="D18" s="1446">
        <f>E12</f>
        <v>0</v>
      </c>
      <c r="E18" s="1446">
        <f>G12</f>
        <v>190</v>
      </c>
      <c r="F18" s="1446">
        <f>I12</f>
        <v>3440</v>
      </c>
      <c r="G18" s="1446">
        <f>K12</f>
        <v>100</v>
      </c>
      <c r="H18" s="1444"/>
      <c r="I18" s="1446">
        <f>U12</f>
        <v>0</v>
      </c>
      <c r="J18" s="1444"/>
      <c r="K18" s="1446">
        <f>W12</f>
        <v>0</v>
      </c>
      <c r="L18" s="1444"/>
      <c r="M18" s="1446">
        <f>M12</f>
        <v>0</v>
      </c>
      <c r="N18" s="1446">
        <f>O12</f>
        <v>11750</v>
      </c>
      <c r="O18" s="1445">
        <f>Q12</f>
        <v>0</v>
      </c>
      <c r="P18" s="1446"/>
      <c r="Q18" s="2262"/>
      <c r="R18" s="2262"/>
      <c r="S18" s="1441"/>
      <c r="T18" s="2254" t="s">
        <v>57</v>
      </c>
      <c r="U18" s="2254"/>
      <c r="V18" s="2262">
        <v>15070</v>
      </c>
      <c r="W18" s="2262"/>
      <c r="X18" s="2262"/>
      <c r="Y18" s="2269"/>
    </row>
    <row r="19" spans="1:25" ht="25.5" customHeight="1" x14ac:dyDescent="0.25">
      <c r="A19" s="100" t="s">
        <v>41</v>
      </c>
      <c r="B19" s="2260">
        <f>B15+B16+B17-B18</f>
        <v>378921</v>
      </c>
      <c r="C19" s="2261"/>
      <c r="D19" s="1444">
        <f>D15+D16+D17-D18</f>
        <v>130</v>
      </c>
      <c r="E19" s="1444">
        <f t="shared" ref="E19:N19" si="13">E15+E16+E17-E18</f>
        <v>950</v>
      </c>
      <c r="F19" s="1444">
        <f t="shared" si="13"/>
        <v>16210</v>
      </c>
      <c r="G19" s="1444">
        <f t="shared" si="13"/>
        <v>580</v>
      </c>
      <c r="H19" s="1444">
        <f t="shared" si="13"/>
        <v>161</v>
      </c>
      <c r="I19" s="1444">
        <f t="shared" si="13"/>
        <v>11</v>
      </c>
      <c r="J19" s="1444">
        <f t="shared" si="13"/>
        <v>4</v>
      </c>
      <c r="K19" s="1444">
        <f t="shared" si="13"/>
        <v>82</v>
      </c>
      <c r="L19" s="1444">
        <f t="shared" si="13"/>
        <v>0</v>
      </c>
      <c r="M19" s="1444">
        <f t="shared" si="13"/>
        <v>0</v>
      </c>
      <c r="N19" s="1444">
        <f t="shared" si="13"/>
        <v>13250</v>
      </c>
      <c r="O19" s="1444">
        <f>O15+O16+O17-O18</f>
        <v>0</v>
      </c>
      <c r="P19" s="1444">
        <f t="shared" ref="P19:Q19" si="14">P15+P16+P17-P18</f>
        <v>100</v>
      </c>
      <c r="Q19" s="2260">
        <f t="shared" si="14"/>
        <v>10</v>
      </c>
      <c r="R19" s="2261"/>
      <c r="S19" s="1441">
        <f>S15+S16-S17-S18</f>
        <v>2</v>
      </c>
      <c r="T19" s="2256" t="s">
        <v>48</v>
      </c>
      <c r="U19" s="49" t="s">
        <v>58</v>
      </c>
      <c r="V19" s="2262">
        <v>400000</v>
      </c>
      <c r="W19" s="2262"/>
      <c r="X19" s="2262"/>
      <c r="Y19" s="2269"/>
    </row>
    <row r="20" spans="1:25" ht="23.25" customHeight="1" x14ac:dyDescent="0.25">
      <c r="A20" s="289" t="s">
        <v>187</v>
      </c>
      <c r="B20" s="2286">
        <f>B19*0.9625</f>
        <v>364711.46250000002</v>
      </c>
      <c r="C20" s="2287"/>
      <c r="D20" s="290">
        <f>D19*66.41</f>
        <v>8633.2999999999993</v>
      </c>
      <c r="E20" s="290">
        <f>27.9368*E19</f>
        <v>26539.960000000003</v>
      </c>
      <c r="F20" s="290">
        <f>18.31*F19</f>
        <v>296805.09999999998</v>
      </c>
      <c r="G20" s="290">
        <f>27.9368*G19</f>
        <v>16203.344000000001</v>
      </c>
      <c r="H20" s="290">
        <f>241*H19</f>
        <v>38801</v>
      </c>
      <c r="I20" s="290">
        <f>323*I19</f>
        <v>3553</v>
      </c>
      <c r="J20" s="290">
        <f>241*J19</f>
        <v>964</v>
      </c>
      <c r="K20" s="290">
        <f>K19*100</f>
        <v>8200</v>
      </c>
      <c r="L20" s="290">
        <f>241*L19</f>
        <v>0</v>
      </c>
      <c r="M20" s="290">
        <f>47.1625*M19</f>
        <v>0</v>
      </c>
      <c r="N20" s="290">
        <f>N19*8.81</f>
        <v>116732.5</v>
      </c>
      <c r="O20" s="290">
        <f>241*O19</f>
        <v>0</v>
      </c>
      <c r="P20" s="290">
        <f>P19*48.2</f>
        <v>4820</v>
      </c>
      <c r="Q20" s="2286">
        <f>470*Q19</f>
        <v>4700</v>
      </c>
      <c r="R20" s="2287"/>
      <c r="S20" s="290">
        <f>341*S19</f>
        <v>682</v>
      </c>
      <c r="T20" s="2257"/>
      <c r="U20" s="49" t="s">
        <v>59</v>
      </c>
      <c r="V20" s="2262"/>
      <c r="W20" s="2262"/>
      <c r="X20" s="2262"/>
      <c r="Y20" s="2269"/>
    </row>
    <row r="21" spans="1:25" ht="32.25" customHeight="1" x14ac:dyDescent="0.25">
      <c r="A21" s="291" t="s">
        <v>186</v>
      </c>
      <c r="B21" s="2293">
        <f>SUM(B20:S20)</f>
        <v>891345.66650000005</v>
      </c>
      <c r="C21" s="2293"/>
      <c r="O21" s="1448"/>
      <c r="P21" s="1448"/>
      <c r="Q21" s="1448"/>
      <c r="R21" s="1448"/>
      <c r="T21" s="2294" t="s">
        <v>487</v>
      </c>
      <c r="U21" s="2295"/>
      <c r="V21" s="2297"/>
      <c r="W21" s="2298"/>
      <c r="X21" s="2299"/>
      <c r="Y21" s="2269"/>
    </row>
    <row r="22" spans="1:25" ht="35.25" customHeight="1" x14ac:dyDescent="0.25">
      <c r="A22" s="15"/>
      <c r="B22" s="2288" t="s">
        <v>49</v>
      </c>
      <c r="C22" s="2291">
        <v>400000</v>
      </c>
      <c r="D22" s="2291">
        <v>400000</v>
      </c>
      <c r="E22" s="2291">
        <v>400000</v>
      </c>
      <c r="F22" s="2291">
        <f>C22-D22+E22</f>
        <v>400000</v>
      </c>
      <c r="G22" s="1448"/>
      <c r="Q22" s="1448"/>
      <c r="R22" s="1448"/>
      <c r="T22" s="2251" t="s">
        <v>83</v>
      </c>
      <c r="U22" s="50" t="s">
        <v>60</v>
      </c>
      <c r="V22" s="2262">
        <v>416470</v>
      </c>
      <c r="W22" s="2262"/>
      <c r="X22" s="2262"/>
      <c r="Y22" s="2269"/>
    </row>
    <row r="23" spans="1:25" ht="39.75" customHeight="1" x14ac:dyDescent="0.25">
      <c r="A23" s="1448"/>
      <c r="B23" s="2289"/>
      <c r="C23" s="2292"/>
      <c r="D23" s="2292"/>
      <c r="E23" s="2292"/>
      <c r="F23" s="2292"/>
      <c r="G23" s="1448"/>
      <c r="Q23" s="1448"/>
      <c r="R23" s="1448"/>
      <c r="T23" s="2252"/>
      <c r="U23" s="50" t="s">
        <v>61</v>
      </c>
      <c r="V23" s="2262">
        <v>400000</v>
      </c>
      <c r="W23" s="2262"/>
      <c r="X23" s="2262"/>
      <c r="Y23" s="2269"/>
    </row>
    <row r="24" spans="1:25" ht="48" customHeight="1" x14ac:dyDescent="0.25">
      <c r="A24" s="1448"/>
      <c r="B24" s="2290"/>
      <c r="C24" s="290" t="s">
        <v>46</v>
      </c>
      <c r="D24" s="290" t="s">
        <v>50</v>
      </c>
      <c r="E24" s="290" t="s">
        <v>51</v>
      </c>
      <c r="F24" s="290" t="s">
        <v>52</v>
      </c>
      <c r="G24" s="1448"/>
      <c r="Q24" s="1448"/>
      <c r="R24" s="1448"/>
      <c r="T24" s="2235" t="s">
        <v>47</v>
      </c>
      <c r="U24" s="51" t="s">
        <v>62</v>
      </c>
      <c r="V24" s="2263">
        <f>V14+V16+V17-V18-V19-V20-V22+V23-V21</f>
        <v>33489.915000000037</v>
      </c>
      <c r="W24" s="2263"/>
      <c r="X24" s="2263"/>
      <c r="Y24" s="2269"/>
    </row>
    <row r="25" spans="1:25" ht="40.5" customHeight="1" x14ac:dyDescent="0.25">
      <c r="T25" s="2235"/>
      <c r="U25" s="51" t="s">
        <v>63</v>
      </c>
      <c r="V25" s="2262">
        <f>V15+V22-V23</f>
        <v>27022</v>
      </c>
      <c r="W25" s="2262"/>
      <c r="X25" s="2262"/>
    </row>
    <row r="26" spans="1:25" ht="36" customHeight="1" x14ac:dyDescent="0.25">
      <c r="K26" s="314"/>
    </row>
    <row r="28" spans="1:25" x14ac:dyDescent="0.25">
      <c r="J28" s="14" t="s">
        <v>139</v>
      </c>
    </row>
    <row r="32" spans="1:25" x14ac:dyDescent="0.25">
      <c r="I32" s="2280"/>
      <c r="J32" s="2280"/>
      <c r="K32" s="2280"/>
      <c r="L32" s="2280"/>
    </row>
    <row r="33" spans="9:12" x14ac:dyDescent="0.25">
      <c r="I33" s="1448"/>
      <c r="J33" s="1448"/>
      <c r="K33" s="2280"/>
      <c r="L33" s="2280"/>
    </row>
  </sheetData>
  <mergeCells count="62">
    <mergeCell ref="A1:Y1"/>
    <mergeCell ref="A2:Y2"/>
    <mergeCell ref="T3:Y3"/>
    <mergeCell ref="A4:A5"/>
    <mergeCell ref="B4:B5"/>
    <mergeCell ref="C4:D4"/>
    <mergeCell ref="E4:F4"/>
    <mergeCell ref="G4:H4"/>
    <mergeCell ref="I4:J4"/>
    <mergeCell ref="K4:L4"/>
    <mergeCell ref="Y4:Y5"/>
    <mergeCell ref="M4:N4"/>
    <mergeCell ref="O4:P4"/>
    <mergeCell ref="Q4:R4"/>
    <mergeCell ref="S4:T4"/>
    <mergeCell ref="U4:V4"/>
    <mergeCell ref="W4:X4"/>
    <mergeCell ref="B16:C16"/>
    <mergeCell ref="Q16:R16"/>
    <mergeCell ref="T16:U16"/>
    <mergeCell ref="V16:X16"/>
    <mergeCell ref="A12:B12"/>
    <mergeCell ref="B14:C14"/>
    <mergeCell ref="Q14:R14"/>
    <mergeCell ref="T14:T15"/>
    <mergeCell ref="V14:X14"/>
    <mergeCell ref="B15:C15"/>
    <mergeCell ref="Q15:R15"/>
    <mergeCell ref="V15:X15"/>
    <mergeCell ref="B17:C17"/>
    <mergeCell ref="Q17:R17"/>
    <mergeCell ref="T17:U17"/>
    <mergeCell ref="V17:X17"/>
    <mergeCell ref="B18:C18"/>
    <mergeCell ref="Q18:R18"/>
    <mergeCell ref="T18:U18"/>
    <mergeCell ref="V18:X18"/>
    <mergeCell ref="Y18:Y24"/>
    <mergeCell ref="B19:C19"/>
    <mergeCell ref="Q19:R19"/>
    <mergeCell ref="T19:T20"/>
    <mergeCell ref="V19:X19"/>
    <mergeCell ref="B20:C20"/>
    <mergeCell ref="B22:B24"/>
    <mergeCell ref="C22:C23"/>
    <mergeCell ref="D22:D23"/>
    <mergeCell ref="E22:E23"/>
    <mergeCell ref="F22:F23"/>
    <mergeCell ref="Q20:R20"/>
    <mergeCell ref="V20:X20"/>
    <mergeCell ref="B21:C21"/>
    <mergeCell ref="T21:U21"/>
    <mergeCell ref="V21:X21"/>
    <mergeCell ref="I32:J32"/>
    <mergeCell ref="K32:L32"/>
    <mergeCell ref="K33:L33"/>
    <mergeCell ref="T22:T23"/>
    <mergeCell ref="V22:X22"/>
    <mergeCell ref="V23:X23"/>
    <mergeCell ref="T24:T25"/>
    <mergeCell ref="V24:X24"/>
    <mergeCell ref="V25:X25"/>
  </mergeCells>
  <pageMargins left="0.15748031496063" right="0.15748031496063" top="0" bottom="0" header="0" footer="0"/>
  <pageSetup paperSize="9" scale="47" orientation="landscape" r:id="rId1"/>
</worksheet>
</file>

<file path=xl/worksheets/sheet24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C898F4F-EBB4-4453-915D-F18A311DCD56}">
  <sheetPr>
    <pageSetUpPr fitToPage="1"/>
  </sheetPr>
  <dimension ref="A1:Y33"/>
  <sheetViews>
    <sheetView topLeftCell="E4" zoomScale="72" zoomScaleNormal="72" zoomScaleSheetLayoutView="100" zoomScalePageLayoutView="68" workbookViewId="0">
      <selection activeCell="O23" sqref="O23"/>
    </sheetView>
  </sheetViews>
  <sheetFormatPr defaultColWidth="9.140625" defaultRowHeight="15" x14ac:dyDescent="0.25"/>
  <cols>
    <col min="1" max="1" width="18.28515625" style="14" customWidth="1"/>
    <col min="2" max="2" width="10.7109375" style="14" customWidth="1"/>
    <col min="3" max="3" width="12.28515625" style="14" customWidth="1"/>
    <col min="4" max="4" width="13.140625" style="14" bestFit="1" customWidth="1"/>
    <col min="5" max="5" width="12" style="14" customWidth="1"/>
    <col min="6" max="6" width="12.5703125" style="14" bestFit="1" customWidth="1"/>
    <col min="7" max="7" width="16" style="14" bestFit="1" customWidth="1"/>
    <col min="8" max="8" width="10.140625" style="14" bestFit="1" customWidth="1"/>
    <col min="9" max="9" width="10.5703125" style="14" bestFit="1" customWidth="1"/>
    <col min="10" max="10" width="10.5703125" style="14" customWidth="1"/>
    <col min="11" max="11" width="10.28515625" style="14" bestFit="1" customWidth="1"/>
    <col min="12" max="12" width="10.42578125" style="14" bestFit="1" customWidth="1"/>
    <col min="13" max="14" width="12" style="14" bestFit="1" customWidth="1"/>
    <col min="15" max="15" width="11" style="14" customWidth="1"/>
    <col min="16" max="16" width="12.85546875" style="14" bestFit="1" customWidth="1"/>
    <col min="17" max="18" width="9.42578125" style="14" customWidth="1"/>
    <col min="19" max="19" width="13.7109375" style="14" customWidth="1"/>
    <col min="20" max="20" width="12.140625" style="14" customWidth="1"/>
    <col min="21" max="21" width="21.7109375" style="14" customWidth="1"/>
    <col min="22" max="22" width="9.85546875" style="14" customWidth="1"/>
    <col min="23" max="23" width="10.140625" style="14" bestFit="1" customWidth="1"/>
    <col min="24" max="24" width="10.28515625" style="14" customWidth="1"/>
    <col min="25" max="25" width="15.7109375" style="14" customWidth="1"/>
    <col min="26" max="16384" width="9.140625" style="14"/>
  </cols>
  <sheetData>
    <row r="1" spans="1:25" ht="46.15" customHeight="1" x14ac:dyDescent="0.25">
      <c r="A1" s="2240" t="s">
        <v>148</v>
      </c>
      <c r="B1" s="2240"/>
      <c r="C1" s="2240"/>
      <c r="D1" s="2240"/>
      <c r="E1" s="2240"/>
      <c r="F1" s="2240"/>
      <c r="G1" s="2240"/>
      <c r="H1" s="2240"/>
      <c r="I1" s="2240"/>
      <c r="J1" s="2240"/>
      <c r="K1" s="2240"/>
      <c r="L1" s="2240"/>
      <c r="M1" s="2240"/>
      <c r="N1" s="2240"/>
      <c r="O1" s="2240"/>
      <c r="P1" s="2240"/>
      <c r="Q1" s="2240"/>
      <c r="R1" s="2240"/>
      <c r="S1" s="2240"/>
      <c r="T1" s="2240"/>
      <c r="U1" s="2240"/>
      <c r="V1" s="2240"/>
      <c r="W1" s="2240"/>
      <c r="X1" s="2240"/>
      <c r="Y1" s="2240"/>
    </row>
    <row r="2" spans="1:25" ht="21.6" customHeight="1" x14ac:dyDescent="0.25">
      <c r="A2" s="2241" t="s">
        <v>383</v>
      </c>
      <c r="B2" s="2241"/>
      <c r="C2" s="2241"/>
      <c r="D2" s="2241"/>
      <c r="E2" s="2241"/>
      <c r="F2" s="2241"/>
      <c r="G2" s="2241"/>
      <c r="H2" s="2241"/>
      <c r="I2" s="2241"/>
      <c r="J2" s="2241"/>
      <c r="K2" s="2241"/>
      <c r="L2" s="2241"/>
      <c r="M2" s="2241"/>
      <c r="N2" s="2241"/>
      <c r="O2" s="2241"/>
      <c r="P2" s="2241"/>
      <c r="Q2" s="2241"/>
      <c r="R2" s="2241"/>
      <c r="S2" s="2241"/>
      <c r="T2" s="2241"/>
      <c r="U2" s="2241"/>
      <c r="V2" s="2241"/>
      <c r="W2" s="2241"/>
      <c r="X2" s="2241"/>
      <c r="Y2" s="2241"/>
    </row>
    <row r="3" spans="1:25" ht="21" customHeight="1" x14ac:dyDescent="0.25">
      <c r="A3" s="1443"/>
      <c r="B3" s="1443"/>
      <c r="C3" s="1443"/>
      <c r="D3" s="1443"/>
      <c r="E3" s="1443"/>
      <c r="F3" s="1443"/>
      <c r="G3" s="1443"/>
      <c r="H3" s="1443"/>
      <c r="I3" s="1443"/>
      <c r="J3" s="1443"/>
      <c r="K3" s="1443"/>
      <c r="L3" s="1443"/>
      <c r="M3" s="1443"/>
      <c r="N3" s="1443"/>
      <c r="O3" s="1443"/>
      <c r="P3" s="1443"/>
      <c r="Q3" s="1443"/>
      <c r="R3" s="1443"/>
      <c r="S3" s="1443"/>
      <c r="T3" s="2242" t="s">
        <v>492</v>
      </c>
      <c r="U3" s="2242"/>
      <c r="V3" s="2242"/>
      <c r="W3" s="2242"/>
      <c r="X3" s="2242"/>
      <c r="Y3" s="2242"/>
    </row>
    <row r="4" spans="1:25" s="1443" customFormat="1" ht="18" customHeight="1" x14ac:dyDescent="0.25">
      <c r="A4" s="2243" t="s">
        <v>25</v>
      </c>
      <c r="B4" s="2243" t="s">
        <v>26</v>
      </c>
      <c r="C4" s="2244" t="s">
        <v>27</v>
      </c>
      <c r="D4" s="2244"/>
      <c r="E4" s="2244" t="s">
        <v>342</v>
      </c>
      <c r="F4" s="2244"/>
      <c r="G4" s="2244" t="s">
        <v>65</v>
      </c>
      <c r="H4" s="2244"/>
      <c r="I4" s="2244" t="s">
        <v>29</v>
      </c>
      <c r="J4" s="2244"/>
      <c r="K4" s="2245" t="s">
        <v>14</v>
      </c>
      <c r="L4" s="2246"/>
      <c r="M4" s="2245" t="s">
        <v>429</v>
      </c>
      <c r="N4" s="2246"/>
      <c r="O4" s="2245" t="s">
        <v>441</v>
      </c>
      <c r="P4" s="2246"/>
      <c r="Q4" s="2245" t="s">
        <v>114</v>
      </c>
      <c r="R4" s="2246"/>
      <c r="S4" s="2244" t="s">
        <v>35</v>
      </c>
      <c r="T4" s="2244"/>
      <c r="U4" s="2245" t="s">
        <v>17</v>
      </c>
      <c r="V4" s="2246"/>
      <c r="W4" s="2247" t="s">
        <v>36</v>
      </c>
      <c r="X4" s="2248"/>
      <c r="Y4" s="2238" t="s">
        <v>30</v>
      </c>
    </row>
    <row r="5" spans="1:25" s="1443" customFormat="1" ht="25.5" customHeight="1" x14ac:dyDescent="0.25">
      <c r="A5" s="2243"/>
      <c r="B5" s="2243"/>
      <c r="C5" s="1442" t="s">
        <v>42</v>
      </c>
      <c r="D5" s="1442" t="s">
        <v>43</v>
      </c>
      <c r="E5" s="1442" t="s">
        <v>42</v>
      </c>
      <c r="F5" s="1442" t="s">
        <v>43</v>
      </c>
      <c r="G5" s="1442" t="s">
        <v>42</v>
      </c>
      <c r="H5" s="1442" t="s">
        <v>43</v>
      </c>
      <c r="I5" s="1442" t="s">
        <v>42</v>
      </c>
      <c r="J5" s="1442" t="s">
        <v>43</v>
      </c>
      <c r="K5" s="1442" t="s">
        <v>42</v>
      </c>
      <c r="L5" s="1442" t="s">
        <v>43</v>
      </c>
      <c r="M5" s="1442" t="s">
        <v>42</v>
      </c>
      <c r="N5" s="1442" t="s">
        <v>43</v>
      </c>
      <c r="O5" s="1442" t="s">
        <v>42</v>
      </c>
      <c r="P5" s="1442" t="s">
        <v>43</v>
      </c>
      <c r="Q5" s="1442" t="s">
        <v>42</v>
      </c>
      <c r="R5" s="1442" t="s">
        <v>43</v>
      </c>
      <c r="S5" s="33" t="s">
        <v>42</v>
      </c>
      <c r="T5" s="33" t="s">
        <v>43</v>
      </c>
      <c r="U5" s="30" t="s">
        <v>42</v>
      </c>
      <c r="V5" s="30" t="s">
        <v>43</v>
      </c>
      <c r="W5" s="30" t="s">
        <v>42</v>
      </c>
      <c r="X5" s="30" t="s">
        <v>43</v>
      </c>
      <c r="Y5" s="2239"/>
    </row>
    <row r="6" spans="1:25" ht="34.5" customHeight="1" x14ac:dyDescent="0.25">
      <c r="A6" s="12">
        <v>1409935200</v>
      </c>
      <c r="B6" s="1441" t="s">
        <v>71</v>
      </c>
      <c r="C6" s="1439">
        <v>30949</v>
      </c>
      <c r="D6" s="1438">
        <f t="shared" ref="D6:D11" si="0">0.9725*C6</f>
        <v>30097.9025</v>
      </c>
      <c r="E6" s="1439"/>
      <c r="F6" s="1438">
        <f>67.1*E6</f>
        <v>0</v>
      </c>
      <c r="G6" s="1439"/>
      <c r="H6" s="1439">
        <f>28.2*G6</f>
        <v>0</v>
      </c>
      <c r="I6" s="1439">
        <v>80</v>
      </c>
      <c r="J6" s="1439">
        <f>18.5*I6</f>
        <v>1480</v>
      </c>
      <c r="K6" s="1439"/>
      <c r="L6" s="1438">
        <f>28.2368*K6</f>
        <v>0</v>
      </c>
      <c r="M6" s="1439"/>
      <c r="N6" s="1438">
        <f>M6*47.6525</f>
        <v>0</v>
      </c>
      <c r="O6" s="1439">
        <v>750</v>
      </c>
      <c r="P6" s="1438">
        <f>O6*8.9</f>
        <v>6675</v>
      </c>
      <c r="Q6" s="1438"/>
      <c r="R6" s="1438">
        <f>241*Q6</f>
        <v>0</v>
      </c>
      <c r="S6" s="1439"/>
      <c r="T6" s="1439">
        <f>241*S6</f>
        <v>0</v>
      </c>
      <c r="U6" s="1439"/>
      <c r="V6" s="1439">
        <f>332*U6</f>
        <v>0</v>
      </c>
      <c r="W6" s="1439"/>
      <c r="X6" s="19">
        <f>W6*100</f>
        <v>0</v>
      </c>
      <c r="Y6" s="20">
        <f t="shared" ref="Y6:Y12" si="1">D6+F6+H6+J6+L6+N6+P6+R6+T6+V6+X6</f>
        <v>38252.902499999997</v>
      </c>
    </row>
    <row r="7" spans="1:25" ht="31.5" customHeight="1" x14ac:dyDescent="0.25">
      <c r="A7" s="12">
        <v>1984225578</v>
      </c>
      <c r="B7" s="1441" t="s">
        <v>72</v>
      </c>
      <c r="C7" s="1439">
        <v>14077</v>
      </c>
      <c r="D7" s="1438">
        <f t="shared" si="0"/>
        <v>13689.8825</v>
      </c>
      <c r="E7" s="1439"/>
      <c r="F7" s="1439">
        <f t="shared" ref="F7:F11" si="2">67.1*E7</f>
        <v>0</v>
      </c>
      <c r="G7" s="1439"/>
      <c r="H7" s="1439">
        <f t="shared" ref="H7:H11" si="3">28.2*G7</f>
        <v>0</v>
      </c>
      <c r="I7" s="1439"/>
      <c r="J7" s="1439">
        <f t="shared" ref="J7:J11" si="4">18.5*I7</f>
        <v>0</v>
      </c>
      <c r="K7" s="1439"/>
      <c r="L7" s="1438">
        <f t="shared" ref="L7:L11" si="5">28.2368*K7</f>
        <v>0</v>
      </c>
      <c r="M7" s="1439"/>
      <c r="N7" s="1438">
        <f t="shared" ref="N7:N11" si="6">M7*47.6525</f>
        <v>0</v>
      </c>
      <c r="O7" s="1439"/>
      <c r="P7" s="1438">
        <f t="shared" ref="P7:P11" si="7">O7*8.9</f>
        <v>0</v>
      </c>
      <c r="Q7" s="1438"/>
      <c r="R7" s="1438">
        <f t="shared" ref="R7:R11" si="8">241*Q7</f>
        <v>0</v>
      </c>
      <c r="S7" s="1439"/>
      <c r="T7" s="1439">
        <f t="shared" ref="T7:T10" si="9">241*S7</f>
        <v>0</v>
      </c>
      <c r="U7" s="1439"/>
      <c r="V7" s="1439">
        <f t="shared" ref="V7:V11" si="10">332*U7</f>
        <v>0</v>
      </c>
      <c r="W7" s="1439"/>
      <c r="X7" s="19">
        <f t="shared" ref="X7:X11" si="11">W7*100</f>
        <v>0</v>
      </c>
      <c r="Y7" s="20">
        <f t="shared" si="1"/>
        <v>13689.8825</v>
      </c>
    </row>
    <row r="8" spans="1:25" ht="35.25" customHeight="1" x14ac:dyDescent="0.25">
      <c r="A8" s="12">
        <v>1967020280</v>
      </c>
      <c r="B8" s="1441" t="s">
        <v>427</v>
      </c>
      <c r="C8" s="1439">
        <v>18495</v>
      </c>
      <c r="D8" s="1438">
        <f t="shared" si="0"/>
        <v>17986.387500000001</v>
      </c>
      <c r="E8" s="1439"/>
      <c r="F8" s="1439">
        <f t="shared" si="2"/>
        <v>0</v>
      </c>
      <c r="G8" s="1439"/>
      <c r="H8" s="1438">
        <f t="shared" si="3"/>
        <v>0</v>
      </c>
      <c r="I8" s="1439">
        <v>120</v>
      </c>
      <c r="J8" s="1439">
        <f t="shared" si="4"/>
        <v>2220</v>
      </c>
      <c r="K8" s="1439"/>
      <c r="L8" s="1438">
        <f t="shared" si="5"/>
        <v>0</v>
      </c>
      <c r="M8" s="1439"/>
      <c r="N8" s="1438">
        <f t="shared" si="6"/>
        <v>0</v>
      </c>
      <c r="O8" s="1439">
        <v>2460</v>
      </c>
      <c r="P8" s="1438">
        <f t="shared" si="7"/>
        <v>21894</v>
      </c>
      <c r="Q8" s="1438"/>
      <c r="R8" s="1438">
        <f t="shared" si="8"/>
        <v>0</v>
      </c>
      <c r="S8" s="1439"/>
      <c r="T8" s="1439">
        <f t="shared" si="9"/>
        <v>0</v>
      </c>
      <c r="U8" s="1439"/>
      <c r="V8" s="1439">
        <f t="shared" si="10"/>
        <v>0</v>
      </c>
      <c r="W8" s="1439"/>
      <c r="X8" s="19">
        <f t="shared" si="11"/>
        <v>0</v>
      </c>
      <c r="Y8" s="20">
        <f t="shared" si="1"/>
        <v>42100.387499999997</v>
      </c>
    </row>
    <row r="9" spans="1:25" ht="38.25" customHeight="1" x14ac:dyDescent="0.25">
      <c r="A9" s="12">
        <v>1984225580</v>
      </c>
      <c r="B9" s="1441" t="s">
        <v>75</v>
      </c>
      <c r="C9" s="1439">
        <v>23177</v>
      </c>
      <c r="D9" s="1438">
        <f t="shared" si="0"/>
        <v>22539.6325</v>
      </c>
      <c r="E9" s="1439"/>
      <c r="F9" s="1439">
        <f t="shared" si="2"/>
        <v>0</v>
      </c>
      <c r="G9" s="1439">
        <v>240</v>
      </c>
      <c r="H9" s="1439">
        <f t="shared" si="3"/>
        <v>6768</v>
      </c>
      <c r="I9" s="1439">
        <v>800</v>
      </c>
      <c r="J9" s="1439">
        <f t="shared" si="4"/>
        <v>14800</v>
      </c>
      <c r="K9" s="1439"/>
      <c r="L9" s="1438">
        <f t="shared" si="5"/>
        <v>0</v>
      </c>
      <c r="M9" s="1439"/>
      <c r="N9" s="1438">
        <f t="shared" si="6"/>
        <v>0</v>
      </c>
      <c r="O9" s="1439"/>
      <c r="P9" s="1438">
        <f t="shared" si="7"/>
        <v>0</v>
      </c>
      <c r="Q9" s="1438"/>
      <c r="R9" s="1438">
        <f t="shared" si="8"/>
        <v>0</v>
      </c>
      <c r="S9" s="1439"/>
      <c r="T9" s="1439">
        <f t="shared" si="9"/>
        <v>0</v>
      </c>
      <c r="U9" s="1439"/>
      <c r="V9" s="1439">
        <f t="shared" si="10"/>
        <v>0</v>
      </c>
      <c r="W9" s="1439"/>
      <c r="X9" s="19">
        <f t="shared" si="11"/>
        <v>0</v>
      </c>
      <c r="Y9" s="20">
        <f t="shared" si="1"/>
        <v>44107.6325</v>
      </c>
    </row>
    <row r="10" spans="1:25" ht="35.25" customHeight="1" x14ac:dyDescent="0.25">
      <c r="A10" s="12">
        <v>1409935199</v>
      </c>
      <c r="C10" s="1439"/>
      <c r="D10" s="1438">
        <f t="shared" si="0"/>
        <v>0</v>
      </c>
      <c r="E10" s="1439"/>
      <c r="F10" s="1439">
        <f t="shared" si="2"/>
        <v>0</v>
      </c>
      <c r="G10" s="1439"/>
      <c r="H10" s="1439">
        <f t="shared" si="3"/>
        <v>0</v>
      </c>
      <c r="I10" s="1439"/>
      <c r="J10" s="1439">
        <f t="shared" si="4"/>
        <v>0</v>
      </c>
      <c r="K10" s="1439"/>
      <c r="L10" s="1438">
        <f t="shared" si="5"/>
        <v>0</v>
      </c>
      <c r="M10" s="1439"/>
      <c r="N10" s="1438">
        <f t="shared" si="6"/>
        <v>0</v>
      </c>
      <c r="O10" s="1439"/>
      <c r="P10" s="1438">
        <f t="shared" si="7"/>
        <v>0</v>
      </c>
      <c r="Q10" s="1438"/>
      <c r="R10" s="1438">
        <f t="shared" si="8"/>
        <v>0</v>
      </c>
      <c r="S10" s="1439"/>
      <c r="T10" s="1439">
        <f t="shared" si="9"/>
        <v>0</v>
      </c>
      <c r="U10" s="1439"/>
      <c r="V10" s="1439">
        <f t="shared" si="10"/>
        <v>0</v>
      </c>
      <c r="W10" s="1439"/>
      <c r="X10" s="19">
        <f t="shared" si="11"/>
        <v>0</v>
      </c>
      <c r="Y10" s="20">
        <f t="shared" si="1"/>
        <v>0</v>
      </c>
    </row>
    <row r="11" spans="1:25" ht="37.5" customHeight="1" x14ac:dyDescent="0.25">
      <c r="A11" s="12"/>
      <c r="B11" s="1440"/>
      <c r="C11" s="1439"/>
      <c r="D11" s="1438">
        <f t="shared" si="0"/>
        <v>0</v>
      </c>
      <c r="E11" s="1439"/>
      <c r="F11" s="1439">
        <f t="shared" si="2"/>
        <v>0</v>
      </c>
      <c r="G11" s="1439"/>
      <c r="H11" s="1439">
        <f t="shared" si="3"/>
        <v>0</v>
      </c>
      <c r="I11" s="1439"/>
      <c r="J11" s="1439">
        <f t="shared" si="4"/>
        <v>0</v>
      </c>
      <c r="K11" s="1439"/>
      <c r="L11" s="1438">
        <f t="shared" si="5"/>
        <v>0</v>
      </c>
      <c r="M11" s="1439"/>
      <c r="N11" s="1438">
        <f t="shared" si="6"/>
        <v>0</v>
      </c>
      <c r="O11" s="1439"/>
      <c r="P11" s="1438">
        <f t="shared" si="7"/>
        <v>0</v>
      </c>
      <c r="Q11" s="1438"/>
      <c r="R11" s="1438">
        <f t="shared" si="8"/>
        <v>0</v>
      </c>
      <c r="S11" s="1439"/>
      <c r="T11" s="1439">
        <f>341*S11</f>
        <v>0</v>
      </c>
      <c r="U11" s="1439"/>
      <c r="V11" s="1439">
        <f t="shared" si="10"/>
        <v>0</v>
      </c>
      <c r="W11" s="1439"/>
      <c r="X11" s="19">
        <f t="shared" si="11"/>
        <v>0</v>
      </c>
      <c r="Y11" s="20">
        <f t="shared" si="1"/>
        <v>0</v>
      </c>
    </row>
    <row r="12" spans="1:25" ht="29.25" customHeight="1" x14ac:dyDescent="0.25">
      <c r="A12" s="2235" t="s">
        <v>31</v>
      </c>
      <c r="B12" s="2235"/>
      <c r="C12" s="18">
        <f t="shared" ref="C12:X12" si="12">SUM(C6:C11)</f>
        <v>86698</v>
      </c>
      <c r="D12" s="18">
        <f t="shared" si="12"/>
        <v>84313.804999999993</v>
      </c>
      <c r="E12" s="18">
        <f t="shared" si="12"/>
        <v>0</v>
      </c>
      <c r="F12" s="18">
        <f t="shared" si="12"/>
        <v>0</v>
      </c>
      <c r="G12" s="18">
        <f t="shared" si="12"/>
        <v>240</v>
      </c>
      <c r="H12" s="18">
        <f t="shared" si="12"/>
        <v>6768</v>
      </c>
      <c r="I12" s="18">
        <f t="shared" si="12"/>
        <v>1000</v>
      </c>
      <c r="J12" s="18">
        <f t="shared" si="12"/>
        <v>18500</v>
      </c>
      <c r="K12" s="18">
        <f t="shared" si="12"/>
        <v>0</v>
      </c>
      <c r="L12" s="18">
        <f t="shared" si="12"/>
        <v>0</v>
      </c>
      <c r="M12" s="18">
        <f t="shared" si="12"/>
        <v>0</v>
      </c>
      <c r="N12" s="23">
        <f t="shared" si="12"/>
        <v>0</v>
      </c>
      <c r="O12" s="18">
        <f t="shared" si="12"/>
        <v>3210</v>
      </c>
      <c r="P12" s="23">
        <f t="shared" si="12"/>
        <v>28569</v>
      </c>
      <c r="Q12" s="23">
        <f t="shared" si="12"/>
        <v>0</v>
      </c>
      <c r="R12" s="23">
        <f>SUM(R6:R11)</f>
        <v>0</v>
      </c>
      <c r="S12" s="23">
        <f>SUM(S6:S11)</f>
        <v>0</v>
      </c>
      <c r="T12" s="18">
        <f t="shared" si="12"/>
        <v>0</v>
      </c>
      <c r="U12" s="18">
        <f t="shared" si="12"/>
        <v>0</v>
      </c>
      <c r="V12" s="18">
        <f t="shared" si="12"/>
        <v>0</v>
      </c>
      <c r="W12" s="18">
        <f t="shared" si="12"/>
        <v>0</v>
      </c>
      <c r="X12" s="18">
        <f t="shared" si="12"/>
        <v>0</v>
      </c>
      <c r="Y12" s="20">
        <f t="shared" si="1"/>
        <v>138150.80499999999</v>
      </c>
    </row>
    <row r="14" spans="1:25" ht="43.5" customHeight="1" x14ac:dyDescent="0.25">
      <c r="A14" s="30" t="s">
        <v>32</v>
      </c>
      <c r="B14" s="2236" t="s">
        <v>27</v>
      </c>
      <c r="C14" s="2236"/>
      <c r="D14" s="30" t="s">
        <v>333</v>
      </c>
      <c r="E14" s="30" t="s">
        <v>65</v>
      </c>
      <c r="F14" s="30" t="s">
        <v>34</v>
      </c>
      <c r="G14" s="30" t="s">
        <v>14</v>
      </c>
      <c r="H14" s="469" t="s">
        <v>173</v>
      </c>
      <c r="I14" s="30" t="s">
        <v>17</v>
      </c>
      <c r="J14" s="1447" t="s">
        <v>174</v>
      </c>
      <c r="K14" s="30" t="s">
        <v>36</v>
      </c>
      <c r="L14" s="1447" t="s">
        <v>403</v>
      </c>
      <c r="M14" s="30" t="s">
        <v>429</v>
      </c>
      <c r="N14" s="30" t="s">
        <v>442</v>
      </c>
      <c r="O14" s="1447" t="s">
        <v>114</v>
      </c>
      <c r="P14" s="30" t="s">
        <v>70</v>
      </c>
      <c r="Q14" s="2300" t="s">
        <v>479</v>
      </c>
      <c r="R14" s="2301"/>
      <c r="S14" s="1447" t="s">
        <v>401</v>
      </c>
      <c r="T14" s="2235" t="s">
        <v>46</v>
      </c>
      <c r="U14" s="1441" t="s">
        <v>176</v>
      </c>
      <c r="V14" s="2260">
        <v>33490</v>
      </c>
      <c r="W14" s="2268"/>
      <c r="X14" s="2261"/>
    </row>
    <row r="15" spans="1:25" ht="22.5" customHeight="1" x14ac:dyDescent="0.25">
      <c r="A15" s="100" t="s">
        <v>38</v>
      </c>
      <c r="B15" s="2260">
        <v>378921</v>
      </c>
      <c r="C15" s="2261"/>
      <c r="D15" s="1444">
        <v>130</v>
      </c>
      <c r="E15" s="1444">
        <v>950</v>
      </c>
      <c r="F15" s="1444">
        <v>16210</v>
      </c>
      <c r="G15" s="1444">
        <v>580</v>
      </c>
      <c r="H15" s="1444">
        <v>161</v>
      </c>
      <c r="I15" s="1444">
        <v>11</v>
      </c>
      <c r="J15" s="1444">
        <v>4</v>
      </c>
      <c r="K15" s="1444">
        <v>82</v>
      </c>
      <c r="L15" s="1444">
        <v>0</v>
      </c>
      <c r="M15" s="1444">
        <v>0</v>
      </c>
      <c r="N15" s="1444">
        <v>13250</v>
      </c>
      <c r="O15" s="1444">
        <v>0</v>
      </c>
      <c r="P15" s="1444">
        <v>100</v>
      </c>
      <c r="Q15" s="2260">
        <v>10</v>
      </c>
      <c r="R15" s="2261"/>
      <c r="S15" s="1441">
        <v>2</v>
      </c>
      <c r="T15" s="2235"/>
      <c r="U15" s="1441" t="s">
        <v>64</v>
      </c>
      <c r="V15" s="2262">
        <v>27022</v>
      </c>
      <c r="W15" s="2262"/>
      <c r="X15" s="2262"/>
    </row>
    <row r="16" spans="1:25" ht="24.75" customHeight="1" x14ac:dyDescent="0.25">
      <c r="A16" s="100" t="s">
        <v>39</v>
      </c>
      <c r="B16" s="2260"/>
      <c r="C16" s="2261"/>
      <c r="D16" s="1444"/>
      <c r="E16" s="1444"/>
      <c r="F16" s="1444"/>
      <c r="G16" s="1444"/>
      <c r="H16" s="1444"/>
      <c r="I16" s="1444"/>
      <c r="J16" s="1444"/>
      <c r="K16" s="1444"/>
      <c r="L16" s="1444"/>
      <c r="M16" s="1444"/>
      <c r="N16" s="1444"/>
      <c r="O16" s="1444"/>
      <c r="P16" s="1444"/>
      <c r="Q16" s="2262"/>
      <c r="R16" s="2262"/>
      <c r="S16" s="1444"/>
      <c r="T16" s="2254" t="s">
        <v>55</v>
      </c>
      <c r="U16" s="2254"/>
      <c r="V16" s="2267">
        <f>Y12</f>
        <v>138150.80499999999</v>
      </c>
      <c r="W16" s="2267"/>
      <c r="X16" s="2262"/>
    </row>
    <row r="17" spans="1:25" ht="28.5" customHeight="1" x14ac:dyDescent="0.25">
      <c r="A17" s="101" t="s">
        <v>44</v>
      </c>
      <c r="B17" s="2260"/>
      <c r="C17" s="2261"/>
      <c r="D17" s="1444"/>
      <c r="E17" s="1444"/>
      <c r="F17" s="1444"/>
      <c r="G17" s="1444"/>
      <c r="H17" s="1444"/>
      <c r="I17" s="1444"/>
      <c r="J17" s="1444"/>
      <c r="K17" s="1444"/>
      <c r="L17" s="1444"/>
      <c r="M17" s="1444"/>
      <c r="N17" s="1444"/>
      <c r="O17" s="1444"/>
      <c r="P17" s="1444"/>
      <c r="Q17" s="2225"/>
      <c r="R17" s="2225"/>
      <c r="S17" s="1440"/>
      <c r="T17" s="2294" t="s">
        <v>473</v>
      </c>
      <c r="U17" s="2295"/>
      <c r="V17" s="2296"/>
      <c r="W17" s="2296"/>
      <c r="X17" s="2296"/>
    </row>
    <row r="18" spans="1:25" ht="27" customHeight="1" x14ac:dyDescent="0.25">
      <c r="A18" s="100" t="s">
        <v>40</v>
      </c>
      <c r="B18" s="2264">
        <f>C12</f>
        <v>86698</v>
      </c>
      <c r="C18" s="2261"/>
      <c r="D18" s="1446">
        <f>E12</f>
        <v>0</v>
      </c>
      <c r="E18" s="1446">
        <f>G12</f>
        <v>240</v>
      </c>
      <c r="F18" s="1446">
        <f>I12</f>
        <v>1000</v>
      </c>
      <c r="G18" s="1446">
        <f>K12</f>
        <v>0</v>
      </c>
      <c r="H18" s="1444"/>
      <c r="I18" s="1446">
        <f>U12</f>
        <v>0</v>
      </c>
      <c r="J18" s="1444"/>
      <c r="K18" s="1446">
        <f>W12</f>
        <v>0</v>
      </c>
      <c r="L18" s="1444"/>
      <c r="M18" s="1446">
        <f>M12</f>
        <v>0</v>
      </c>
      <c r="N18" s="1446">
        <f>O12</f>
        <v>3210</v>
      </c>
      <c r="O18" s="1445">
        <f>Q12</f>
        <v>0</v>
      </c>
      <c r="P18" s="1446"/>
      <c r="Q18" s="2262"/>
      <c r="R18" s="2262"/>
      <c r="S18" s="1441"/>
      <c r="T18" s="2254" t="s">
        <v>57</v>
      </c>
      <c r="U18" s="2254"/>
      <c r="V18" s="2262">
        <v>1170</v>
      </c>
      <c r="W18" s="2262"/>
      <c r="X18" s="2262"/>
      <c r="Y18" s="2269"/>
    </row>
    <row r="19" spans="1:25" ht="25.5" customHeight="1" x14ac:dyDescent="0.25">
      <c r="A19" s="100" t="s">
        <v>41</v>
      </c>
      <c r="B19" s="2260">
        <f>B15+B16+B17-B18</f>
        <v>292223</v>
      </c>
      <c r="C19" s="2261"/>
      <c r="D19" s="1444">
        <f>D15+D16+D17-D18</f>
        <v>130</v>
      </c>
      <c r="E19" s="1444">
        <f t="shared" ref="E19:N19" si="13">E15+E16+E17-E18</f>
        <v>710</v>
      </c>
      <c r="F19" s="1444">
        <f t="shared" si="13"/>
        <v>15210</v>
      </c>
      <c r="G19" s="1444">
        <f t="shared" si="13"/>
        <v>580</v>
      </c>
      <c r="H19" s="1444">
        <f t="shared" si="13"/>
        <v>161</v>
      </c>
      <c r="I19" s="1444">
        <f t="shared" si="13"/>
        <v>11</v>
      </c>
      <c r="J19" s="1444">
        <f t="shared" si="13"/>
        <v>4</v>
      </c>
      <c r="K19" s="1444">
        <f t="shared" si="13"/>
        <v>82</v>
      </c>
      <c r="L19" s="1444">
        <f t="shared" si="13"/>
        <v>0</v>
      </c>
      <c r="M19" s="1444">
        <f t="shared" si="13"/>
        <v>0</v>
      </c>
      <c r="N19" s="1444">
        <f t="shared" si="13"/>
        <v>10040</v>
      </c>
      <c r="O19" s="1444">
        <f>O15+O16+O17-O18</f>
        <v>0</v>
      </c>
      <c r="P19" s="1444">
        <f t="shared" ref="P19:Q19" si="14">P15+P16+P17-P18</f>
        <v>100</v>
      </c>
      <c r="Q19" s="2260">
        <f t="shared" si="14"/>
        <v>10</v>
      </c>
      <c r="R19" s="2261"/>
      <c r="S19" s="1441">
        <f>S15+S16-S17-S18</f>
        <v>2</v>
      </c>
      <c r="T19" s="2256" t="s">
        <v>48</v>
      </c>
      <c r="U19" s="49" t="s">
        <v>58</v>
      </c>
      <c r="V19" s="2262">
        <v>155000</v>
      </c>
      <c r="W19" s="2262"/>
      <c r="X19" s="2262"/>
      <c r="Y19" s="2269"/>
    </row>
    <row r="20" spans="1:25" ht="23.25" customHeight="1" x14ac:dyDescent="0.25">
      <c r="A20" s="289" t="s">
        <v>187</v>
      </c>
      <c r="B20" s="2286">
        <f>B19*0.9625</f>
        <v>281264.63750000001</v>
      </c>
      <c r="C20" s="2287"/>
      <c r="D20" s="290">
        <f>D19*66.41</f>
        <v>8633.2999999999993</v>
      </c>
      <c r="E20" s="290">
        <f>27.9368*E19</f>
        <v>19835.128000000001</v>
      </c>
      <c r="F20" s="290">
        <f>18.31*F19</f>
        <v>278495.09999999998</v>
      </c>
      <c r="G20" s="290">
        <f>27.9368*G19</f>
        <v>16203.344000000001</v>
      </c>
      <c r="H20" s="290">
        <f>241*H19</f>
        <v>38801</v>
      </c>
      <c r="I20" s="290">
        <f>323*I19</f>
        <v>3553</v>
      </c>
      <c r="J20" s="290">
        <f>241*J19</f>
        <v>964</v>
      </c>
      <c r="K20" s="290">
        <f>K19*100</f>
        <v>8200</v>
      </c>
      <c r="L20" s="290">
        <f>241*L19</f>
        <v>0</v>
      </c>
      <c r="M20" s="290">
        <f>47.1625*M19</f>
        <v>0</v>
      </c>
      <c r="N20" s="290">
        <f>N19*8.81</f>
        <v>88452.400000000009</v>
      </c>
      <c r="O20" s="290">
        <f>241*O19</f>
        <v>0</v>
      </c>
      <c r="P20" s="290">
        <f>P19*48.2</f>
        <v>4820</v>
      </c>
      <c r="Q20" s="2286">
        <f>470*Q19</f>
        <v>4700</v>
      </c>
      <c r="R20" s="2287"/>
      <c r="S20" s="290">
        <f>341*S19</f>
        <v>682</v>
      </c>
      <c r="T20" s="2257"/>
      <c r="U20" s="49" t="s">
        <v>59</v>
      </c>
      <c r="V20" s="2262"/>
      <c r="W20" s="2262"/>
      <c r="X20" s="2262"/>
      <c r="Y20" s="2269"/>
    </row>
    <row r="21" spans="1:25" ht="32.25" customHeight="1" x14ac:dyDescent="0.25">
      <c r="A21" s="291" t="s">
        <v>186</v>
      </c>
      <c r="B21" s="2293">
        <f>SUM(B20:S20)</f>
        <v>754603.90950000007</v>
      </c>
      <c r="C21" s="2293"/>
      <c r="O21" s="1448"/>
      <c r="P21" s="1448"/>
      <c r="Q21" s="1448"/>
      <c r="R21" s="1448"/>
      <c r="T21" s="2294" t="s">
        <v>487</v>
      </c>
      <c r="U21" s="2295"/>
      <c r="V21" s="2297"/>
      <c r="W21" s="2298"/>
      <c r="X21" s="2299"/>
      <c r="Y21" s="2269"/>
    </row>
    <row r="22" spans="1:25" ht="35.25" customHeight="1" x14ac:dyDescent="0.25">
      <c r="A22" s="15"/>
      <c r="B22" s="2288" t="s">
        <v>49</v>
      </c>
      <c r="C22" s="2291">
        <v>400000</v>
      </c>
      <c r="D22" s="2291">
        <v>155000</v>
      </c>
      <c r="E22" s="2291"/>
      <c r="F22" s="2291">
        <f>C22-D22+E22</f>
        <v>245000</v>
      </c>
      <c r="G22" s="1448"/>
      <c r="Q22" s="1448"/>
      <c r="R22" s="1448"/>
      <c r="T22" s="2251" t="s">
        <v>83</v>
      </c>
      <c r="U22" s="50" t="s">
        <v>60</v>
      </c>
      <c r="V22" s="2262">
        <v>138030</v>
      </c>
      <c r="W22" s="2262"/>
      <c r="X22" s="2262"/>
      <c r="Y22" s="2269"/>
    </row>
    <row r="23" spans="1:25" ht="39.75" customHeight="1" x14ac:dyDescent="0.25">
      <c r="A23" s="1448"/>
      <c r="B23" s="2289"/>
      <c r="C23" s="2292"/>
      <c r="D23" s="2292"/>
      <c r="E23" s="2292"/>
      <c r="F23" s="2292"/>
      <c r="G23" s="1448"/>
      <c r="Q23" s="1448"/>
      <c r="R23" s="1448"/>
      <c r="T23" s="2252"/>
      <c r="U23" s="50" t="s">
        <v>61</v>
      </c>
      <c r="V23" s="2262">
        <v>155000</v>
      </c>
      <c r="W23" s="2262"/>
      <c r="X23" s="2262"/>
      <c r="Y23" s="2269"/>
    </row>
    <row r="24" spans="1:25" ht="48" customHeight="1" x14ac:dyDescent="0.25">
      <c r="A24" s="1448"/>
      <c r="B24" s="2290"/>
      <c r="C24" s="290" t="s">
        <v>46</v>
      </c>
      <c r="D24" s="290" t="s">
        <v>50</v>
      </c>
      <c r="E24" s="290" t="s">
        <v>51</v>
      </c>
      <c r="F24" s="290" t="s">
        <v>52</v>
      </c>
      <c r="G24" s="1448"/>
      <c r="Q24" s="1448"/>
      <c r="R24" s="1448"/>
      <c r="T24" s="2235" t="s">
        <v>47</v>
      </c>
      <c r="U24" s="51" t="s">
        <v>62</v>
      </c>
      <c r="V24" s="2263">
        <f>V14+V16+V17-V18-V19-V20-V22+V23-V21</f>
        <v>32440.804999999993</v>
      </c>
      <c r="W24" s="2263"/>
      <c r="X24" s="2263"/>
      <c r="Y24" s="2269"/>
    </row>
    <row r="25" spans="1:25" ht="40.5" customHeight="1" x14ac:dyDescent="0.25">
      <c r="T25" s="2235"/>
      <c r="U25" s="51" t="s">
        <v>63</v>
      </c>
      <c r="V25" s="2262">
        <f>V15+V22-V23</f>
        <v>10052</v>
      </c>
      <c r="W25" s="2262"/>
      <c r="X25" s="2262"/>
    </row>
    <row r="26" spans="1:25" ht="36" customHeight="1" x14ac:dyDescent="0.25">
      <c r="K26" s="314"/>
    </row>
    <row r="28" spans="1:25" x14ac:dyDescent="0.25">
      <c r="J28" s="14" t="s">
        <v>139</v>
      </c>
    </row>
    <row r="32" spans="1:25" x14ac:dyDescent="0.25">
      <c r="I32" s="2280"/>
      <c r="J32" s="2280"/>
      <c r="K32" s="2280"/>
      <c r="L32" s="2280"/>
    </row>
    <row r="33" spans="9:12" x14ac:dyDescent="0.25">
      <c r="I33" s="1448"/>
      <c r="J33" s="1448"/>
      <c r="K33" s="2280"/>
      <c r="L33" s="2280"/>
    </row>
  </sheetData>
  <mergeCells count="62">
    <mergeCell ref="A1:Y1"/>
    <mergeCell ref="A2:Y2"/>
    <mergeCell ref="T3:Y3"/>
    <mergeCell ref="A4:A5"/>
    <mergeCell ref="B4:B5"/>
    <mergeCell ref="C4:D4"/>
    <mergeCell ref="E4:F4"/>
    <mergeCell ref="G4:H4"/>
    <mergeCell ref="I4:J4"/>
    <mergeCell ref="K4:L4"/>
    <mergeCell ref="Y4:Y5"/>
    <mergeCell ref="M4:N4"/>
    <mergeCell ref="O4:P4"/>
    <mergeCell ref="Q4:R4"/>
    <mergeCell ref="S4:T4"/>
    <mergeCell ref="U4:V4"/>
    <mergeCell ref="W4:X4"/>
    <mergeCell ref="B16:C16"/>
    <mergeCell ref="Q16:R16"/>
    <mergeCell ref="T16:U16"/>
    <mergeCell ref="V16:X16"/>
    <mergeCell ref="A12:B12"/>
    <mergeCell ref="B14:C14"/>
    <mergeCell ref="Q14:R14"/>
    <mergeCell ref="T14:T15"/>
    <mergeCell ref="V14:X14"/>
    <mergeCell ref="B15:C15"/>
    <mergeCell ref="Q15:R15"/>
    <mergeCell ref="V15:X15"/>
    <mergeCell ref="B17:C17"/>
    <mergeCell ref="Q17:R17"/>
    <mergeCell ref="T17:U17"/>
    <mergeCell ref="V17:X17"/>
    <mergeCell ref="B18:C18"/>
    <mergeCell ref="Q18:R18"/>
    <mergeCell ref="T18:U18"/>
    <mergeCell ref="V18:X18"/>
    <mergeCell ref="Y18:Y24"/>
    <mergeCell ref="B19:C19"/>
    <mergeCell ref="Q19:R19"/>
    <mergeCell ref="T19:T20"/>
    <mergeCell ref="V19:X19"/>
    <mergeCell ref="B20:C20"/>
    <mergeCell ref="B22:B24"/>
    <mergeCell ref="C22:C23"/>
    <mergeCell ref="D22:D23"/>
    <mergeCell ref="E22:E23"/>
    <mergeCell ref="F22:F23"/>
    <mergeCell ref="Q20:R20"/>
    <mergeCell ref="V20:X20"/>
    <mergeCell ref="B21:C21"/>
    <mergeCell ref="T21:U21"/>
    <mergeCell ref="V21:X21"/>
    <mergeCell ref="I32:J32"/>
    <mergeCell ref="K32:L32"/>
    <mergeCell ref="K33:L33"/>
    <mergeCell ref="T22:T23"/>
    <mergeCell ref="V22:X22"/>
    <mergeCell ref="V23:X23"/>
    <mergeCell ref="T24:T25"/>
    <mergeCell ref="V24:X24"/>
    <mergeCell ref="V25:X25"/>
  </mergeCells>
  <pageMargins left="0.15748031496063" right="0.15748031496063" top="0" bottom="0" header="0" footer="0"/>
  <pageSetup paperSize="9" scale="46" orientation="landscape" r:id="rId1"/>
</worksheet>
</file>

<file path=xl/worksheets/sheet24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0F544E1-300E-4C10-B494-9FF333556B5A}">
  <sheetPr>
    <pageSetUpPr fitToPage="1"/>
  </sheetPr>
  <dimension ref="A1:Y33"/>
  <sheetViews>
    <sheetView zoomScale="72" zoomScaleNormal="72" zoomScaleSheetLayoutView="100" zoomScalePageLayoutView="68" workbookViewId="0">
      <selection activeCell="Y14" sqref="Y14"/>
    </sheetView>
  </sheetViews>
  <sheetFormatPr defaultColWidth="9.140625" defaultRowHeight="15" x14ac:dyDescent="0.25"/>
  <cols>
    <col min="1" max="1" width="18.28515625" style="14" customWidth="1"/>
    <col min="2" max="2" width="10.7109375" style="14" customWidth="1"/>
    <col min="3" max="3" width="12.28515625" style="14" customWidth="1"/>
    <col min="4" max="4" width="13.140625" style="14" bestFit="1" customWidth="1"/>
    <col min="5" max="5" width="12" style="14" customWidth="1"/>
    <col min="6" max="6" width="14" style="14" bestFit="1" customWidth="1"/>
    <col min="7" max="7" width="16" style="14" bestFit="1" customWidth="1"/>
    <col min="8" max="8" width="10.140625" style="14" bestFit="1" customWidth="1"/>
    <col min="9" max="9" width="10.5703125" style="14" bestFit="1" customWidth="1"/>
    <col min="10" max="10" width="10.5703125" style="14" customWidth="1"/>
    <col min="11" max="11" width="10.28515625" style="14" bestFit="1" customWidth="1"/>
    <col min="12" max="12" width="10.42578125" style="14" bestFit="1" customWidth="1"/>
    <col min="13" max="14" width="12" style="14" bestFit="1" customWidth="1"/>
    <col min="15" max="15" width="11" style="14" customWidth="1"/>
    <col min="16" max="16" width="12.85546875" style="14" bestFit="1" customWidth="1"/>
    <col min="17" max="18" width="9.42578125" style="14" customWidth="1"/>
    <col min="19" max="19" width="13.7109375" style="14" customWidth="1"/>
    <col min="20" max="20" width="12.140625" style="14" customWidth="1"/>
    <col min="21" max="21" width="21.7109375" style="14" customWidth="1"/>
    <col min="22" max="22" width="9.85546875" style="14" customWidth="1"/>
    <col min="23" max="23" width="10.140625" style="14" bestFit="1" customWidth="1"/>
    <col min="24" max="24" width="10.28515625" style="14" customWidth="1"/>
    <col min="25" max="25" width="15.7109375" style="14" customWidth="1"/>
    <col min="26" max="16384" width="9.140625" style="14"/>
  </cols>
  <sheetData>
    <row r="1" spans="1:25" ht="46.15" customHeight="1" x14ac:dyDescent="0.25">
      <c r="A1" s="2240" t="s">
        <v>148</v>
      </c>
      <c r="B1" s="2240"/>
      <c r="C1" s="2240"/>
      <c r="D1" s="2240"/>
      <c r="E1" s="2240"/>
      <c r="F1" s="2240"/>
      <c r="G1" s="2240"/>
      <c r="H1" s="2240"/>
      <c r="I1" s="2240"/>
      <c r="J1" s="2240"/>
      <c r="K1" s="2240"/>
      <c r="L1" s="2240"/>
      <c r="M1" s="2240"/>
      <c r="N1" s="2240"/>
      <c r="O1" s="2240"/>
      <c r="P1" s="2240"/>
      <c r="Q1" s="2240"/>
      <c r="R1" s="2240"/>
      <c r="S1" s="2240"/>
      <c r="T1" s="2240"/>
      <c r="U1" s="2240"/>
      <c r="V1" s="2240"/>
      <c r="W1" s="2240"/>
      <c r="X1" s="2240"/>
      <c r="Y1" s="2240"/>
    </row>
    <row r="2" spans="1:25" ht="21.6" customHeight="1" x14ac:dyDescent="0.25">
      <c r="A2" s="2241" t="s">
        <v>383</v>
      </c>
      <c r="B2" s="2241"/>
      <c r="C2" s="2241"/>
      <c r="D2" s="2241"/>
      <c r="E2" s="2241"/>
      <c r="F2" s="2241"/>
      <c r="G2" s="2241"/>
      <c r="H2" s="2241"/>
      <c r="I2" s="2241"/>
      <c r="J2" s="2241"/>
      <c r="K2" s="2241"/>
      <c r="L2" s="2241"/>
      <c r="M2" s="2241"/>
      <c r="N2" s="2241"/>
      <c r="O2" s="2241"/>
      <c r="P2" s="2241"/>
      <c r="Q2" s="2241"/>
      <c r="R2" s="2241"/>
      <c r="S2" s="2241"/>
      <c r="T2" s="2241"/>
      <c r="U2" s="2241"/>
      <c r="V2" s="2241"/>
      <c r="W2" s="2241"/>
      <c r="X2" s="2241"/>
      <c r="Y2" s="2241"/>
    </row>
    <row r="3" spans="1:25" ht="21" customHeight="1" x14ac:dyDescent="0.25">
      <c r="A3" s="1449"/>
      <c r="B3" s="1449"/>
      <c r="C3" s="1449"/>
      <c r="D3" s="1449"/>
      <c r="E3" s="1449"/>
      <c r="F3" s="1449"/>
      <c r="G3" s="1449"/>
      <c r="H3" s="1449"/>
      <c r="I3" s="1449"/>
      <c r="J3" s="1449"/>
      <c r="K3" s="1449"/>
      <c r="L3" s="1449"/>
      <c r="M3" s="1449"/>
      <c r="N3" s="1449"/>
      <c r="O3" s="1449"/>
      <c r="P3" s="1449"/>
      <c r="Q3" s="1449"/>
      <c r="R3" s="1449"/>
      <c r="S3" s="1449"/>
      <c r="T3" s="2242" t="s">
        <v>493</v>
      </c>
      <c r="U3" s="2242"/>
      <c r="V3" s="2242"/>
      <c r="W3" s="2242"/>
      <c r="X3" s="2242"/>
      <c r="Y3" s="2242"/>
    </row>
    <row r="4" spans="1:25" s="1449" customFormat="1" ht="18" customHeight="1" x14ac:dyDescent="0.25">
      <c r="A4" s="2243" t="s">
        <v>25</v>
      </c>
      <c r="B4" s="2243" t="s">
        <v>26</v>
      </c>
      <c r="C4" s="2244" t="s">
        <v>27</v>
      </c>
      <c r="D4" s="2244"/>
      <c r="E4" s="2244" t="s">
        <v>342</v>
      </c>
      <c r="F4" s="2244"/>
      <c r="G4" s="2244" t="s">
        <v>65</v>
      </c>
      <c r="H4" s="2244"/>
      <c r="I4" s="2244" t="s">
        <v>29</v>
      </c>
      <c r="J4" s="2244"/>
      <c r="K4" s="2245" t="s">
        <v>14</v>
      </c>
      <c r="L4" s="2246"/>
      <c r="M4" s="2245" t="s">
        <v>429</v>
      </c>
      <c r="N4" s="2246"/>
      <c r="O4" s="2245" t="s">
        <v>441</v>
      </c>
      <c r="P4" s="2246"/>
      <c r="Q4" s="2245" t="s">
        <v>114</v>
      </c>
      <c r="R4" s="2246"/>
      <c r="S4" s="2244" t="s">
        <v>35</v>
      </c>
      <c r="T4" s="2244"/>
      <c r="U4" s="2245" t="s">
        <v>17</v>
      </c>
      <c r="V4" s="2246"/>
      <c r="W4" s="2247" t="s">
        <v>36</v>
      </c>
      <c r="X4" s="2248"/>
      <c r="Y4" s="2238" t="s">
        <v>30</v>
      </c>
    </row>
    <row r="5" spans="1:25" s="1449" customFormat="1" ht="25.5" customHeight="1" x14ac:dyDescent="0.25">
      <c r="A5" s="2243"/>
      <c r="B5" s="2243"/>
      <c r="C5" s="1451" t="s">
        <v>42</v>
      </c>
      <c r="D5" s="1451" t="s">
        <v>43</v>
      </c>
      <c r="E5" s="1451" t="s">
        <v>42</v>
      </c>
      <c r="F5" s="1451" t="s">
        <v>43</v>
      </c>
      <c r="G5" s="1451" t="s">
        <v>42</v>
      </c>
      <c r="H5" s="1451" t="s">
        <v>43</v>
      </c>
      <c r="I5" s="1451" t="s">
        <v>42</v>
      </c>
      <c r="J5" s="1451" t="s">
        <v>43</v>
      </c>
      <c r="K5" s="1451" t="s">
        <v>42</v>
      </c>
      <c r="L5" s="1451" t="s">
        <v>43</v>
      </c>
      <c r="M5" s="1451" t="s">
        <v>42</v>
      </c>
      <c r="N5" s="1451" t="s">
        <v>43</v>
      </c>
      <c r="O5" s="1451" t="s">
        <v>42</v>
      </c>
      <c r="P5" s="1451" t="s">
        <v>43</v>
      </c>
      <c r="Q5" s="1451" t="s">
        <v>42</v>
      </c>
      <c r="R5" s="1451" t="s">
        <v>43</v>
      </c>
      <c r="S5" s="33" t="s">
        <v>42</v>
      </c>
      <c r="T5" s="33" t="s">
        <v>43</v>
      </c>
      <c r="U5" s="30" t="s">
        <v>42</v>
      </c>
      <c r="V5" s="30" t="s">
        <v>43</v>
      </c>
      <c r="W5" s="30" t="s">
        <v>42</v>
      </c>
      <c r="X5" s="30" t="s">
        <v>43</v>
      </c>
      <c r="Y5" s="2239"/>
    </row>
    <row r="6" spans="1:25" ht="34.5" customHeight="1" x14ac:dyDescent="0.25">
      <c r="A6" s="12">
        <v>1409935200</v>
      </c>
      <c r="B6" s="1450" t="s">
        <v>71</v>
      </c>
      <c r="C6" s="1453">
        <v>28157</v>
      </c>
      <c r="D6" s="1454">
        <f t="shared" ref="D6:D11" si="0">0.9725*C6</f>
        <v>27382.682500000003</v>
      </c>
      <c r="E6" s="1453"/>
      <c r="F6" s="1454">
        <f>67.1*E6</f>
        <v>0</v>
      </c>
      <c r="G6" s="1453"/>
      <c r="H6" s="1453">
        <f>28.2*G6</f>
        <v>0</v>
      </c>
      <c r="I6" s="1453">
        <v>20</v>
      </c>
      <c r="J6" s="1453">
        <f>18.5*I6</f>
        <v>370</v>
      </c>
      <c r="K6" s="1453"/>
      <c r="L6" s="1454">
        <f>28.2368*K6</f>
        <v>0</v>
      </c>
      <c r="M6" s="1453"/>
      <c r="N6" s="1454">
        <f>M6*47.6525</f>
        <v>0</v>
      </c>
      <c r="O6" s="1453">
        <v>370</v>
      </c>
      <c r="P6" s="1454">
        <f>O6*8.9</f>
        <v>3293</v>
      </c>
      <c r="Q6" s="1454"/>
      <c r="R6" s="1454">
        <f>241*Q6</f>
        <v>0</v>
      </c>
      <c r="S6" s="1453"/>
      <c r="T6" s="1453">
        <f>241*S6</f>
        <v>0</v>
      </c>
      <c r="U6" s="1453"/>
      <c r="V6" s="1453">
        <f>332*U6</f>
        <v>0</v>
      </c>
      <c r="W6" s="1453"/>
      <c r="X6" s="19">
        <f>W6*100</f>
        <v>0</v>
      </c>
      <c r="Y6" s="20">
        <f t="shared" ref="Y6:Y12" si="1">D6+F6+H6+J6+L6+N6+P6+R6+T6+V6+X6</f>
        <v>31045.682500000003</v>
      </c>
    </row>
    <row r="7" spans="1:25" ht="31.5" customHeight="1" x14ac:dyDescent="0.25">
      <c r="A7" s="12">
        <v>1984225578</v>
      </c>
      <c r="B7" s="1450" t="s">
        <v>72</v>
      </c>
      <c r="C7" s="1453">
        <v>16145</v>
      </c>
      <c r="D7" s="1454">
        <f t="shared" si="0"/>
        <v>15701.012500000001</v>
      </c>
      <c r="E7" s="1453"/>
      <c r="F7" s="1453">
        <f t="shared" ref="F7:F11" si="2">67.1*E7</f>
        <v>0</v>
      </c>
      <c r="G7" s="1453"/>
      <c r="H7" s="1453">
        <f t="shared" ref="H7:H11" si="3">28.2*G7</f>
        <v>0</v>
      </c>
      <c r="I7" s="1453">
        <v>640</v>
      </c>
      <c r="J7" s="1453">
        <f t="shared" ref="J7:J11" si="4">18.5*I7</f>
        <v>11840</v>
      </c>
      <c r="K7" s="1453"/>
      <c r="L7" s="1454">
        <f t="shared" ref="L7:L11" si="5">28.2368*K7</f>
        <v>0</v>
      </c>
      <c r="M7" s="1453"/>
      <c r="N7" s="1454">
        <f t="shared" ref="N7:N11" si="6">M7*47.6525</f>
        <v>0</v>
      </c>
      <c r="O7" s="1453"/>
      <c r="P7" s="1454">
        <f t="shared" ref="P7:P11" si="7">O7*8.9</f>
        <v>0</v>
      </c>
      <c r="Q7" s="1454"/>
      <c r="R7" s="1454">
        <f t="shared" ref="R7:R11" si="8">241*Q7</f>
        <v>0</v>
      </c>
      <c r="S7" s="1453"/>
      <c r="T7" s="1453">
        <f t="shared" ref="T7:T10" si="9">241*S7</f>
        <v>0</v>
      </c>
      <c r="U7" s="1453"/>
      <c r="V7" s="1453">
        <f t="shared" ref="V7:V11" si="10">332*U7</f>
        <v>0</v>
      </c>
      <c r="W7" s="1453"/>
      <c r="X7" s="19">
        <f t="shared" ref="X7:X11" si="11">W7*100</f>
        <v>0</v>
      </c>
      <c r="Y7" s="20">
        <f t="shared" si="1"/>
        <v>27541.012500000001</v>
      </c>
    </row>
    <row r="8" spans="1:25" ht="35.25" customHeight="1" x14ac:dyDescent="0.25">
      <c r="A8" s="12">
        <v>1967020280</v>
      </c>
      <c r="B8" s="1450" t="s">
        <v>427</v>
      </c>
      <c r="C8" s="1453">
        <v>30169</v>
      </c>
      <c r="D8" s="1454">
        <f t="shared" si="0"/>
        <v>29339.352500000001</v>
      </c>
      <c r="E8" s="1453"/>
      <c r="F8" s="1453">
        <f t="shared" si="2"/>
        <v>0</v>
      </c>
      <c r="G8" s="1453">
        <v>50</v>
      </c>
      <c r="H8" s="1454">
        <f t="shared" si="3"/>
        <v>1410</v>
      </c>
      <c r="I8" s="1453">
        <v>500</v>
      </c>
      <c r="J8" s="1453">
        <f t="shared" si="4"/>
        <v>9250</v>
      </c>
      <c r="K8" s="1453"/>
      <c r="L8" s="1454">
        <f t="shared" si="5"/>
        <v>0</v>
      </c>
      <c r="M8" s="1453"/>
      <c r="N8" s="1454">
        <f t="shared" si="6"/>
        <v>0</v>
      </c>
      <c r="O8" s="1453">
        <v>2040</v>
      </c>
      <c r="P8" s="1454">
        <f t="shared" si="7"/>
        <v>18156</v>
      </c>
      <c r="Q8" s="1454"/>
      <c r="R8" s="1454">
        <f t="shared" si="8"/>
        <v>0</v>
      </c>
      <c r="S8" s="1453"/>
      <c r="T8" s="1453">
        <f t="shared" si="9"/>
        <v>0</v>
      </c>
      <c r="U8" s="1453"/>
      <c r="V8" s="1453">
        <f t="shared" si="10"/>
        <v>0</v>
      </c>
      <c r="W8" s="1453"/>
      <c r="X8" s="19">
        <f t="shared" si="11"/>
        <v>0</v>
      </c>
      <c r="Y8" s="20">
        <f t="shared" si="1"/>
        <v>58155.352500000001</v>
      </c>
    </row>
    <row r="9" spans="1:25" ht="38.25" customHeight="1" x14ac:dyDescent="0.25">
      <c r="A9" s="12">
        <v>1984225580</v>
      </c>
      <c r="B9" s="1450" t="s">
        <v>75</v>
      </c>
      <c r="C9" s="1453">
        <v>32317</v>
      </c>
      <c r="D9" s="1454">
        <f t="shared" si="0"/>
        <v>31428.282500000001</v>
      </c>
      <c r="E9" s="1453"/>
      <c r="F9" s="1453">
        <f t="shared" si="2"/>
        <v>0</v>
      </c>
      <c r="G9" s="1453"/>
      <c r="H9" s="1453">
        <f t="shared" si="3"/>
        <v>0</v>
      </c>
      <c r="I9" s="1453">
        <v>240</v>
      </c>
      <c r="J9" s="1453">
        <f t="shared" si="4"/>
        <v>4440</v>
      </c>
      <c r="K9" s="1453"/>
      <c r="L9" s="1454">
        <f t="shared" si="5"/>
        <v>0</v>
      </c>
      <c r="M9" s="1453"/>
      <c r="N9" s="1454">
        <f t="shared" si="6"/>
        <v>0</v>
      </c>
      <c r="O9" s="1453"/>
      <c r="P9" s="1454">
        <f t="shared" si="7"/>
        <v>0</v>
      </c>
      <c r="Q9" s="1454"/>
      <c r="R9" s="1454">
        <f t="shared" si="8"/>
        <v>0</v>
      </c>
      <c r="S9" s="1453"/>
      <c r="T9" s="1453">
        <f t="shared" si="9"/>
        <v>0</v>
      </c>
      <c r="U9" s="1453"/>
      <c r="V9" s="1453">
        <f t="shared" si="10"/>
        <v>0</v>
      </c>
      <c r="W9" s="1453"/>
      <c r="X9" s="19">
        <f t="shared" si="11"/>
        <v>0</v>
      </c>
      <c r="Y9" s="20">
        <f t="shared" si="1"/>
        <v>35868.282500000001</v>
      </c>
    </row>
    <row r="10" spans="1:25" ht="35.25" customHeight="1" x14ac:dyDescent="0.25">
      <c r="A10" s="12">
        <v>1409935199</v>
      </c>
      <c r="C10" s="1453"/>
      <c r="D10" s="1454">
        <f t="shared" si="0"/>
        <v>0</v>
      </c>
      <c r="E10" s="1453"/>
      <c r="F10" s="1453">
        <f t="shared" si="2"/>
        <v>0</v>
      </c>
      <c r="G10" s="1453"/>
      <c r="H10" s="1453">
        <f t="shared" si="3"/>
        <v>0</v>
      </c>
      <c r="I10" s="1453">
        <v>3500</v>
      </c>
      <c r="J10" s="1453">
        <f t="shared" si="4"/>
        <v>64750</v>
      </c>
      <c r="K10" s="1453"/>
      <c r="L10" s="1454">
        <f t="shared" si="5"/>
        <v>0</v>
      </c>
      <c r="M10" s="1453"/>
      <c r="N10" s="1454">
        <f t="shared" si="6"/>
        <v>0</v>
      </c>
      <c r="O10" s="1453"/>
      <c r="P10" s="1454">
        <f t="shared" si="7"/>
        <v>0</v>
      </c>
      <c r="Q10" s="1454"/>
      <c r="R10" s="1454">
        <f t="shared" si="8"/>
        <v>0</v>
      </c>
      <c r="S10" s="1453"/>
      <c r="T10" s="1453">
        <f t="shared" si="9"/>
        <v>0</v>
      </c>
      <c r="U10" s="1453"/>
      <c r="V10" s="1453">
        <f t="shared" si="10"/>
        <v>0</v>
      </c>
      <c r="W10" s="1453"/>
      <c r="X10" s="19">
        <f t="shared" si="11"/>
        <v>0</v>
      </c>
      <c r="Y10" s="20">
        <f t="shared" si="1"/>
        <v>64750</v>
      </c>
    </row>
    <row r="11" spans="1:25" ht="37.5" customHeight="1" x14ac:dyDescent="0.25">
      <c r="A11" s="12"/>
      <c r="B11" s="1452"/>
      <c r="C11" s="1453"/>
      <c r="D11" s="1454">
        <f t="shared" si="0"/>
        <v>0</v>
      </c>
      <c r="E11" s="1453"/>
      <c r="F11" s="1453">
        <f t="shared" si="2"/>
        <v>0</v>
      </c>
      <c r="G11" s="1453"/>
      <c r="H11" s="1453">
        <f t="shared" si="3"/>
        <v>0</v>
      </c>
      <c r="I11" s="1453"/>
      <c r="J11" s="1453">
        <f t="shared" si="4"/>
        <v>0</v>
      </c>
      <c r="K11" s="1453"/>
      <c r="L11" s="1454">
        <f t="shared" si="5"/>
        <v>0</v>
      </c>
      <c r="M11" s="1453"/>
      <c r="N11" s="1454">
        <f t="shared" si="6"/>
        <v>0</v>
      </c>
      <c r="O11" s="1453"/>
      <c r="P11" s="1454">
        <f t="shared" si="7"/>
        <v>0</v>
      </c>
      <c r="Q11" s="1454"/>
      <c r="R11" s="1454">
        <f t="shared" si="8"/>
        <v>0</v>
      </c>
      <c r="S11" s="1453"/>
      <c r="T11" s="1453">
        <f>341*S11</f>
        <v>0</v>
      </c>
      <c r="U11" s="1453"/>
      <c r="V11" s="1453">
        <f t="shared" si="10"/>
        <v>0</v>
      </c>
      <c r="W11" s="1453"/>
      <c r="X11" s="19">
        <f t="shared" si="11"/>
        <v>0</v>
      </c>
      <c r="Y11" s="20">
        <f t="shared" si="1"/>
        <v>0</v>
      </c>
    </row>
    <row r="12" spans="1:25" ht="29.25" customHeight="1" x14ac:dyDescent="0.25">
      <c r="A12" s="2235" t="s">
        <v>31</v>
      </c>
      <c r="B12" s="2235"/>
      <c r="C12" s="18">
        <f t="shared" ref="C12:X12" si="12">SUM(C6:C11)</f>
        <v>106788</v>
      </c>
      <c r="D12" s="18">
        <f t="shared" si="12"/>
        <v>103851.33000000002</v>
      </c>
      <c r="E12" s="18">
        <f t="shared" si="12"/>
        <v>0</v>
      </c>
      <c r="F12" s="18">
        <f t="shared" si="12"/>
        <v>0</v>
      </c>
      <c r="G12" s="18">
        <f t="shared" si="12"/>
        <v>50</v>
      </c>
      <c r="H12" s="18">
        <f t="shared" si="12"/>
        <v>1410</v>
      </c>
      <c r="I12" s="18">
        <f t="shared" si="12"/>
        <v>4900</v>
      </c>
      <c r="J12" s="18">
        <f t="shared" si="12"/>
        <v>90650</v>
      </c>
      <c r="K12" s="18">
        <f t="shared" si="12"/>
        <v>0</v>
      </c>
      <c r="L12" s="18">
        <f t="shared" si="12"/>
        <v>0</v>
      </c>
      <c r="M12" s="18">
        <f t="shared" si="12"/>
        <v>0</v>
      </c>
      <c r="N12" s="23">
        <f t="shared" si="12"/>
        <v>0</v>
      </c>
      <c r="O12" s="18">
        <f t="shared" si="12"/>
        <v>2410</v>
      </c>
      <c r="P12" s="23">
        <f t="shared" si="12"/>
        <v>21449</v>
      </c>
      <c r="Q12" s="23">
        <f t="shared" si="12"/>
        <v>0</v>
      </c>
      <c r="R12" s="23">
        <f>SUM(R6:R11)</f>
        <v>0</v>
      </c>
      <c r="S12" s="23">
        <f>SUM(S6:S11)</f>
        <v>0</v>
      </c>
      <c r="T12" s="18">
        <f t="shared" si="12"/>
        <v>0</v>
      </c>
      <c r="U12" s="18">
        <f t="shared" si="12"/>
        <v>0</v>
      </c>
      <c r="V12" s="18">
        <f t="shared" si="12"/>
        <v>0</v>
      </c>
      <c r="W12" s="18">
        <f t="shared" si="12"/>
        <v>0</v>
      </c>
      <c r="X12" s="18">
        <f t="shared" si="12"/>
        <v>0</v>
      </c>
      <c r="Y12" s="20">
        <f t="shared" si="1"/>
        <v>217360.33000000002</v>
      </c>
    </row>
    <row r="14" spans="1:25" ht="43.5" customHeight="1" x14ac:dyDescent="0.25">
      <c r="A14" s="30" t="s">
        <v>32</v>
      </c>
      <c r="B14" s="2236" t="s">
        <v>27</v>
      </c>
      <c r="C14" s="2236"/>
      <c r="D14" s="30" t="s">
        <v>333</v>
      </c>
      <c r="E14" s="30" t="s">
        <v>65</v>
      </c>
      <c r="F14" s="30" t="s">
        <v>34</v>
      </c>
      <c r="G14" s="30" t="s">
        <v>14</v>
      </c>
      <c r="H14" s="469" t="s">
        <v>173</v>
      </c>
      <c r="I14" s="30" t="s">
        <v>17</v>
      </c>
      <c r="J14" s="1458" t="s">
        <v>174</v>
      </c>
      <c r="K14" s="30" t="s">
        <v>36</v>
      </c>
      <c r="L14" s="1458" t="s">
        <v>403</v>
      </c>
      <c r="M14" s="30" t="s">
        <v>429</v>
      </c>
      <c r="N14" s="30" t="s">
        <v>442</v>
      </c>
      <c r="O14" s="1458" t="s">
        <v>114</v>
      </c>
      <c r="P14" s="30" t="s">
        <v>70</v>
      </c>
      <c r="Q14" s="2300" t="s">
        <v>479</v>
      </c>
      <c r="R14" s="2301"/>
      <c r="S14" s="1458" t="s">
        <v>401</v>
      </c>
      <c r="T14" s="2235" t="s">
        <v>46</v>
      </c>
      <c r="U14" s="1450" t="s">
        <v>176</v>
      </c>
      <c r="V14" s="2260">
        <v>32441</v>
      </c>
      <c r="W14" s="2268"/>
      <c r="X14" s="2261"/>
    </row>
    <row r="15" spans="1:25" ht="22.5" customHeight="1" x14ac:dyDescent="0.25">
      <c r="A15" s="100" t="s">
        <v>38</v>
      </c>
      <c r="B15" s="2260">
        <v>292223</v>
      </c>
      <c r="C15" s="2261"/>
      <c r="D15" s="1455">
        <v>130</v>
      </c>
      <c r="E15" s="1455">
        <v>710</v>
      </c>
      <c r="F15" s="1455">
        <v>15210</v>
      </c>
      <c r="G15" s="1455">
        <v>580</v>
      </c>
      <c r="H15" s="1455">
        <v>161</v>
      </c>
      <c r="I15" s="1455">
        <v>11</v>
      </c>
      <c r="J15" s="1455">
        <v>4</v>
      </c>
      <c r="K15" s="1455">
        <v>82</v>
      </c>
      <c r="L15" s="1455">
        <v>0</v>
      </c>
      <c r="M15" s="1455">
        <v>0</v>
      </c>
      <c r="N15" s="1455">
        <v>10040</v>
      </c>
      <c r="O15" s="1455">
        <v>0</v>
      </c>
      <c r="P15" s="1455">
        <v>100</v>
      </c>
      <c r="Q15" s="2260">
        <v>10</v>
      </c>
      <c r="R15" s="2261"/>
      <c r="S15" s="1450">
        <v>2</v>
      </c>
      <c r="T15" s="2235"/>
      <c r="U15" s="1450" t="s">
        <v>64</v>
      </c>
      <c r="V15" s="2262">
        <v>10052</v>
      </c>
      <c r="W15" s="2262"/>
      <c r="X15" s="2262"/>
    </row>
    <row r="16" spans="1:25" ht="24.75" customHeight="1" x14ac:dyDescent="0.25">
      <c r="A16" s="100" t="s">
        <v>39</v>
      </c>
      <c r="B16" s="2260">
        <v>93506</v>
      </c>
      <c r="C16" s="2261"/>
      <c r="D16" s="1455"/>
      <c r="E16" s="1455"/>
      <c r="F16" s="1455">
        <v>5000</v>
      </c>
      <c r="G16" s="1455"/>
      <c r="H16" s="1455"/>
      <c r="I16" s="1455"/>
      <c r="J16" s="1455"/>
      <c r="K16" s="1455"/>
      <c r="L16" s="1455"/>
      <c r="M16" s="1455"/>
      <c r="N16" s="1455"/>
      <c r="O16" s="1455"/>
      <c r="P16" s="1455"/>
      <c r="Q16" s="2262"/>
      <c r="R16" s="2262"/>
      <c r="S16" s="1455"/>
      <c r="T16" s="2254" t="s">
        <v>55</v>
      </c>
      <c r="U16" s="2254"/>
      <c r="V16" s="2267">
        <f>Y12</f>
        <v>217360.33000000002</v>
      </c>
      <c r="W16" s="2267"/>
      <c r="X16" s="2262"/>
    </row>
    <row r="17" spans="1:25" ht="28.5" customHeight="1" x14ac:dyDescent="0.25">
      <c r="A17" s="101" t="s">
        <v>44</v>
      </c>
      <c r="B17" s="2260"/>
      <c r="C17" s="2261"/>
      <c r="D17" s="1455"/>
      <c r="E17" s="1455"/>
      <c r="F17" s="1455"/>
      <c r="G17" s="1455"/>
      <c r="H17" s="1455"/>
      <c r="I17" s="1455"/>
      <c r="J17" s="1455"/>
      <c r="K17" s="1455"/>
      <c r="L17" s="1455"/>
      <c r="M17" s="1455"/>
      <c r="N17" s="1455"/>
      <c r="O17" s="1455"/>
      <c r="P17" s="1455"/>
      <c r="Q17" s="2225"/>
      <c r="R17" s="2225"/>
      <c r="S17" s="1452"/>
      <c r="T17" s="2294" t="s">
        <v>473</v>
      </c>
      <c r="U17" s="2295"/>
      <c r="V17" s="2296"/>
      <c r="W17" s="2296"/>
      <c r="X17" s="2296"/>
    </row>
    <row r="18" spans="1:25" ht="27" customHeight="1" x14ac:dyDescent="0.25">
      <c r="A18" s="100" t="s">
        <v>40</v>
      </c>
      <c r="B18" s="2264">
        <f>C12</f>
        <v>106788</v>
      </c>
      <c r="C18" s="2261"/>
      <c r="D18" s="1456">
        <f>E12</f>
        <v>0</v>
      </c>
      <c r="E18" s="1456">
        <f>G12</f>
        <v>50</v>
      </c>
      <c r="F18" s="1456">
        <f>I12</f>
        <v>4900</v>
      </c>
      <c r="G18" s="1456">
        <f>K12</f>
        <v>0</v>
      </c>
      <c r="H18" s="1455"/>
      <c r="I18" s="1456">
        <f>U12</f>
        <v>0</v>
      </c>
      <c r="J18" s="1455"/>
      <c r="K18" s="1456">
        <f>W12</f>
        <v>0</v>
      </c>
      <c r="L18" s="1455"/>
      <c r="M18" s="1456">
        <f>M12</f>
        <v>0</v>
      </c>
      <c r="N18" s="1456">
        <f>O12</f>
        <v>2410</v>
      </c>
      <c r="O18" s="1457">
        <f>Q12</f>
        <v>0</v>
      </c>
      <c r="P18" s="1456"/>
      <c r="Q18" s="2262"/>
      <c r="R18" s="2262"/>
      <c r="S18" s="1450"/>
      <c r="T18" s="2254" t="s">
        <v>57</v>
      </c>
      <c r="U18" s="2254"/>
      <c r="V18" s="2262">
        <v>1020</v>
      </c>
      <c r="W18" s="2262"/>
      <c r="X18" s="2262"/>
      <c r="Y18" s="2269"/>
    </row>
    <row r="19" spans="1:25" ht="25.5" customHeight="1" x14ac:dyDescent="0.25">
      <c r="A19" s="100" t="s">
        <v>41</v>
      </c>
      <c r="B19" s="2260">
        <f>B15+B16+B17-B18</f>
        <v>278941</v>
      </c>
      <c r="C19" s="2261"/>
      <c r="D19" s="1455">
        <f>D15+D16+D17-D18</f>
        <v>130</v>
      </c>
      <c r="E19" s="1455">
        <f t="shared" ref="E19:N19" si="13">E15+E16+E17-E18</f>
        <v>660</v>
      </c>
      <c r="F19" s="1455">
        <f t="shared" si="13"/>
        <v>15310</v>
      </c>
      <c r="G19" s="1455">
        <f t="shared" si="13"/>
        <v>580</v>
      </c>
      <c r="H19" s="1455">
        <f t="shared" si="13"/>
        <v>161</v>
      </c>
      <c r="I19" s="1455">
        <f t="shared" si="13"/>
        <v>11</v>
      </c>
      <c r="J19" s="1455">
        <f t="shared" si="13"/>
        <v>4</v>
      </c>
      <c r="K19" s="1455">
        <f t="shared" si="13"/>
        <v>82</v>
      </c>
      <c r="L19" s="1455">
        <f t="shared" si="13"/>
        <v>0</v>
      </c>
      <c r="M19" s="1455">
        <f t="shared" si="13"/>
        <v>0</v>
      </c>
      <c r="N19" s="1455">
        <f t="shared" si="13"/>
        <v>7630</v>
      </c>
      <c r="O19" s="1455">
        <f>O15+O16+O17-O18</f>
        <v>0</v>
      </c>
      <c r="P19" s="1455">
        <f t="shared" ref="P19:Q19" si="14">P15+P16+P17-P18</f>
        <v>100</v>
      </c>
      <c r="Q19" s="2260">
        <f t="shared" si="14"/>
        <v>10</v>
      </c>
      <c r="R19" s="2261"/>
      <c r="S19" s="1450">
        <f>S15+S16-S17-S18</f>
        <v>2</v>
      </c>
      <c r="T19" s="2256" t="s">
        <v>48</v>
      </c>
      <c r="U19" s="49" t="s">
        <v>58</v>
      </c>
      <c r="V19" s="2262">
        <v>245000</v>
      </c>
      <c r="W19" s="2262"/>
      <c r="X19" s="2262"/>
      <c r="Y19" s="2269"/>
    </row>
    <row r="20" spans="1:25" ht="23.25" customHeight="1" x14ac:dyDescent="0.25">
      <c r="A20" s="289" t="s">
        <v>187</v>
      </c>
      <c r="B20" s="2286">
        <f>B19*0.9625</f>
        <v>268480.71250000002</v>
      </c>
      <c r="C20" s="2287"/>
      <c r="D20" s="290">
        <f>D19*66.41</f>
        <v>8633.2999999999993</v>
      </c>
      <c r="E20" s="290">
        <f>27.9368*E19</f>
        <v>18438.288</v>
      </c>
      <c r="F20" s="290">
        <f>18.31*F19</f>
        <v>280326.09999999998</v>
      </c>
      <c r="G20" s="290">
        <f>27.9368*G19</f>
        <v>16203.344000000001</v>
      </c>
      <c r="H20" s="290">
        <f>241*H19</f>
        <v>38801</v>
      </c>
      <c r="I20" s="290">
        <f>323*I19</f>
        <v>3553</v>
      </c>
      <c r="J20" s="290">
        <f>241*J19</f>
        <v>964</v>
      </c>
      <c r="K20" s="290">
        <f>K19*100</f>
        <v>8200</v>
      </c>
      <c r="L20" s="290">
        <f>241*L19</f>
        <v>0</v>
      </c>
      <c r="M20" s="290">
        <f>47.1625*M19</f>
        <v>0</v>
      </c>
      <c r="N20" s="290">
        <f>N19*8.81</f>
        <v>67220.3</v>
      </c>
      <c r="O20" s="290">
        <f>241*O19</f>
        <v>0</v>
      </c>
      <c r="P20" s="290">
        <f>P19*48.2</f>
        <v>4820</v>
      </c>
      <c r="Q20" s="2286">
        <f>470*Q19</f>
        <v>4700</v>
      </c>
      <c r="R20" s="2287"/>
      <c r="S20" s="290">
        <f>341*S19</f>
        <v>682</v>
      </c>
      <c r="T20" s="2257"/>
      <c r="U20" s="49" t="s">
        <v>59</v>
      </c>
      <c r="V20" s="2262"/>
      <c r="W20" s="2262"/>
      <c r="X20" s="2262"/>
      <c r="Y20" s="2269"/>
    </row>
    <row r="21" spans="1:25" ht="32.25" customHeight="1" x14ac:dyDescent="0.25">
      <c r="A21" s="291" t="s">
        <v>186</v>
      </c>
      <c r="B21" s="2293">
        <f>SUM(B20:S20)</f>
        <v>721022.04450000008</v>
      </c>
      <c r="C21" s="2293"/>
      <c r="O21" s="1459"/>
      <c r="P21" s="1459"/>
      <c r="Q21" s="1459"/>
      <c r="R21" s="1459"/>
      <c r="T21" s="2294" t="s">
        <v>487</v>
      </c>
      <c r="U21" s="2295"/>
      <c r="V21" s="2297"/>
      <c r="W21" s="2298"/>
      <c r="X21" s="2299"/>
      <c r="Y21" s="2269"/>
    </row>
    <row r="22" spans="1:25" ht="35.25" customHeight="1" x14ac:dyDescent="0.25">
      <c r="A22" s="15"/>
      <c r="B22" s="2288" t="s">
        <v>49</v>
      </c>
      <c r="C22" s="2291">
        <v>245000</v>
      </c>
      <c r="D22" s="2291">
        <v>245000</v>
      </c>
      <c r="E22" s="2291">
        <v>181550</v>
      </c>
      <c r="F22" s="2291">
        <f>C22-D22+E22</f>
        <v>181550</v>
      </c>
      <c r="G22" s="1459"/>
      <c r="Q22" s="1459"/>
      <c r="R22" s="1459"/>
      <c r="T22" s="2251" t="s">
        <v>83</v>
      </c>
      <c r="U22" s="50" t="s">
        <v>60</v>
      </c>
      <c r="V22" s="2262">
        <v>241310</v>
      </c>
      <c r="W22" s="2262"/>
      <c r="X22" s="2262"/>
      <c r="Y22" s="2269"/>
    </row>
    <row r="23" spans="1:25" ht="39.75" customHeight="1" x14ac:dyDescent="0.25">
      <c r="A23" s="1459"/>
      <c r="B23" s="2289"/>
      <c r="C23" s="2292"/>
      <c r="D23" s="2292"/>
      <c r="E23" s="2292"/>
      <c r="F23" s="2292"/>
      <c r="G23" s="1459"/>
      <c r="Q23" s="1459"/>
      <c r="R23" s="1459"/>
      <c r="T23" s="2252"/>
      <c r="U23" s="50" t="s">
        <v>61</v>
      </c>
      <c r="V23" s="2262">
        <v>245000</v>
      </c>
      <c r="W23" s="2262"/>
      <c r="X23" s="2262"/>
      <c r="Y23" s="2269"/>
    </row>
    <row r="24" spans="1:25" ht="48" customHeight="1" x14ac:dyDescent="0.25">
      <c r="A24" s="1459"/>
      <c r="B24" s="2290"/>
      <c r="C24" s="290" t="s">
        <v>46</v>
      </c>
      <c r="D24" s="290" t="s">
        <v>50</v>
      </c>
      <c r="E24" s="290" t="s">
        <v>51</v>
      </c>
      <c r="F24" s="290" t="s">
        <v>52</v>
      </c>
      <c r="G24" s="1459"/>
      <c r="Q24" s="1459"/>
      <c r="R24" s="1459"/>
      <c r="T24" s="2235" t="s">
        <v>47</v>
      </c>
      <c r="U24" s="51" t="s">
        <v>62</v>
      </c>
      <c r="V24" s="2263">
        <f>V14+V16+V17-V18-V19-V20-V22+V23-V21</f>
        <v>7471.3300000000163</v>
      </c>
      <c r="W24" s="2263"/>
      <c r="X24" s="2263"/>
      <c r="Y24" s="2269"/>
    </row>
    <row r="25" spans="1:25" ht="40.5" customHeight="1" x14ac:dyDescent="0.25">
      <c r="T25" s="2235"/>
      <c r="U25" s="51" t="s">
        <v>63</v>
      </c>
      <c r="V25" s="2262">
        <f>V15+V22-V23</f>
        <v>6362</v>
      </c>
      <c r="W25" s="2262"/>
      <c r="X25" s="2262"/>
    </row>
    <row r="26" spans="1:25" ht="36" customHeight="1" x14ac:dyDescent="0.25">
      <c r="K26" s="314"/>
    </row>
    <row r="28" spans="1:25" x14ac:dyDescent="0.25">
      <c r="J28" s="14" t="s">
        <v>139</v>
      </c>
    </row>
    <row r="32" spans="1:25" x14ac:dyDescent="0.25">
      <c r="I32" s="2280"/>
      <c r="J32" s="2280"/>
      <c r="K32" s="2280"/>
      <c r="L32" s="2280"/>
    </row>
    <row r="33" spans="9:12" x14ac:dyDescent="0.25">
      <c r="I33" s="1459"/>
      <c r="J33" s="1459"/>
      <c r="K33" s="2280"/>
      <c r="L33" s="2280"/>
    </row>
  </sheetData>
  <mergeCells count="62">
    <mergeCell ref="I32:J32"/>
    <mergeCell ref="K32:L32"/>
    <mergeCell ref="K33:L33"/>
    <mergeCell ref="T22:T23"/>
    <mergeCell ref="V22:X22"/>
    <mergeCell ref="V23:X23"/>
    <mergeCell ref="T24:T25"/>
    <mergeCell ref="V24:X24"/>
    <mergeCell ref="V25:X25"/>
    <mergeCell ref="Y18:Y24"/>
    <mergeCell ref="B19:C19"/>
    <mergeCell ref="Q19:R19"/>
    <mergeCell ref="T19:T20"/>
    <mergeCell ref="V19:X19"/>
    <mergeCell ref="B20:C20"/>
    <mergeCell ref="B22:B24"/>
    <mergeCell ref="C22:C23"/>
    <mergeCell ref="D22:D23"/>
    <mergeCell ref="E22:E23"/>
    <mergeCell ref="F22:F23"/>
    <mergeCell ref="Q20:R20"/>
    <mergeCell ref="V20:X20"/>
    <mergeCell ref="B21:C21"/>
    <mergeCell ref="T21:U21"/>
    <mergeCell ref="V21:X21"/>
    <mergeCell ref="B17:C17"/>
    <mergeCell ref="Q17:R17"/>
    <mergeCell ref="T17:U17"/>
    <mergeCell ref="V17:X17"/>
    <mergeCell ref="B18:C18"/>
    <mergeCell ref="Q18:R18"/>
    <mergeCell ref="T18:U18"/>
    <mergeCell ref="V18:X18"/>
    <mergeCell ref="W4:X4"/>
    <mergeCell ref="B16:C16"/>
    <mergeCell ref="Q16:R16"/>
    <mergeCell ref="T16:U16"/>
    <mergeCell ref="V16:X16"/>
    <mergeCell ref="A12:B12"/>
    <mergeCell ref="B14:C14"/>
    <mergeCell ref="Q14:R14"/>
    <mergeCell ref="T14:T15"/>
    <mergeCell ref="V14:X14"/>
    <mergeCell ref="B15:C15"/>
    <mergeCell ref="Q15:R15"/>
    <mergeCell ref="V15:X15"/>
    <mergeCell ref="A1:Y1"/>
    <mergeCell ref="A2:Y2"/>
    <mergeCell ref="T3:Y3"/>
    <mergeCell ref="A4:A5"/>
    <mergeCell ref="B4:B5"/>
    <mergeCell ref="C4:D4"/>
    <mergeCell ref="E4:F4"/>
    <mergeCell ref="G4:H4"/>
    <mergeCell ref="I4:J4"/>
    <mergeCell ref="K4:L4"/>
    <mergeCell ref="Y4:Y5"/>
    <mergeCell ref="M4:N4"/>
    <mergeCell ref="O4:P4"/>
    <mergeCell ref="Q4:R4"/>
    <mergeCell ref="S4:T4"/>
    <mergeCell ref="U4:V4"/>
  </mergeCells>
  <pageMargins left="0.15748031496063" right="0.15748031496063" top="0" bottom="0" header="0" footer="0"/>
  <pageSetup paperSize="9" scale="46" orientation="landscape" r:id="rId1"/>
</worksheet>
</file>

<file path=xl/worksheets/sheet24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B7C8031-D953-45B9-99FB-5B9166408FA3}">
  <sheetPr>
    <pageSetUpPr fitToPage="1"/>
  </sheetPr>
  <dimension ref="A1:Y33"/>
  <sheetViews>
    <sheetView topLeftCell="A4" zoomScale="70" zoomScaleNormal="70" zoomScaleSheetLayoutView="100" zoomScalePageLayoutView="68" workbookViewId="0">
      <selection activeCell="Q44" sqref="Q44"/>
    </sheetView>
  </sheetViews>
  <sheetFormatPr defaultColWidth="9.140625" defaultRowHeight="15" x14ac:dyDescent="0.25"/>
  <cols>
    <col min="1" max="1" width="18.28515625" style="14" customWidth="1"/>
    <col min="2" max="2" width="10.7109375" style="14" customWidth="1"/>
    <col min="3" max="3" width="12.28515625" style="14" customWidth="1"/>
    <col min="4" max="4" width="13.140625" style="14" bestFit="1" customWidth="1"/>
    <col min="5" max="5" width="12" style="14" customWidth="1"/>
    <col min="6" max="6" width="14" style="14" bestFit="1" customWidth="1"/>
    <col min="7" max="7" width="16" style="14" bestFit="1" customWidth="1"/>
    <col min="8" max="8" width="10.140625" style="14" bestFit="1" customWidth="1"/>
    <col min="9" max="9" width="10.5703125" style="14" bestFit="1" customWidth="1"/>
    <col min="10" max="10" width="10.5703125" style="14" customWidth="1"/>
    <col min="11" max="11" width="10.28515625" style="14" bestFit="1" customWidth="1"/>
    <col min="12" max="12" width="10.42578125" style="14" bestFit="1" customWidth="1"/>
    <col min="13" max="14" width="12" style="14" bestFit="1" customWidth="1"/>
    <col min="15" max="15" width="11" style="14" customWidth="1"/>
    <col min="16" max="16" width="12.85546875" style="14" bestFit="1" customWidth="1"/>
    <col min="17" max="18" width="9.42578125" style="14" customWidth="1"/>
    <col min="19" max="19" width="13.7109375" style="14" customWidth="1"/>
    <col min="20" max="20" width="12.140625" style="14" customWidth="1"/>
    <col min="21" max="21" width="21.7109375" style="14" customWidth="1"/>
    <col min="22" max="22" width="9.85546875" style="14" customWidth="1"/>
    <col min="23" max="23" width="10.140625" style="14" bestFit="1" customWidth="1"/>
    <col min="24" max="24" width="10.28515625" style="14" customWidth="1"/>
    <col min="25" max="25" width="15.7109375" style="14" customWidth="1"/>
    <col min="26" max="16384" width="9.140625" style="14"/>
  </cols>
  <sheetData>
    <row r="1" spans="1:25" ht="46.15" customHeight="1" x14ac:dyDescent="0.25">
      <c r="A1" s="2240" t="s">
        <v>148</v>
      </c>
      <c r="B1" s="2240"/>
      <c r="C1" s="2240"/>
      <c r="D1" s="2240"/>
      <c r="E1" s="2240"/>
      <c r="F1" s="2240"/>
      <c r="G1" s="2240"/>
      <c r="H1" s="2240"/>
      <c r="I1" s="2240"/>
      <c r="J1" s="2240"/>
      <c r="K1" s="2240"/>
      <c r="L1" s="2240"/>
      <c r="M1" s="2240"/>
      <c r="N1" s="2240"/>
      <c r="O1" s="2240"/>
      <c r="P1" s="2240"/>
      <c r="Q1" s="2240"/>
      <c r="R1" s="2240"/>
      <c r="S1" s="2240"/>
      <c r="T1" s="2240"/>
      <c r="U1" s="2240"/>
      <c r="V1" s="2240"/>
      <c r="W1" s="2240"/>
      <c r="X1" s="2240"/>
      <c r="Y1" s="2240"/>
    </row>
    <row r="2" spans="1:25" ht="21.6" customHeight="1" x14ac:dyDescent="0.25">
      <c r="A2" s="2241" t="s">
        <v>383</v>
      </c>
      <c r="B2" s="2241"/>
      <c r="C2" s="2241"/>
      <c r="D2" s="2241"/>
      <c r="E2" s="2241"/>
      <c r="F2" s="2241"/>
      <c r="G2" s="2241"/>
      <c r="H2" s="2241"/>
      <c r="I2" s="2241"/>
      <c r="J2" s="2241"/>
      <c r="K2" s="2241"/>
      <c r="L2" s="2241"/>
      <c r="M2" s="2241"/>
      <c r="N2" s="2241"/>
      <c r="O2" s="2241"/>
      <c r="P2" s="2241"/>
      <c r="Q2" s="2241"/>
      <c r="R2" s="2241"/>
      <c r="S2" s="2241"/>
      <c r="T2" s="2241"/>
      <c r="U2" s="2241"/>
      <c r="V2" s="2241"/>
      <c r="W2" s="2241"/>
      <c r="X2" s="2241"/>
      <c r="Y2" s="2241"/>
    </row>
    <row r="3" spans="1:25" ht="21" customHeight="1" x14ac:dyDescent="0.25">
      <c r="A3" s="1449"/>
      <c r="B3" s="1449"/>
      <c r="C3" s="1449"/>
      <c r="D3" s="1449"/>
      <c r="E3" s="1449"/>
      <c r="F3" s="1449"/>
      <c r="G3" s="1449"/>
      <c r="H3" s="1449"/>
      <c r="I3" s="1449"/>
      <c r="J3" s="1449"/>
      <c r="K3" s="1449"/>
      <c r="L3" s="1449"/>
      <c r="M3" s="1449"/>
      <c r="N3" s="1449"/>
      <c r="O3" s="1449"/>
      <c r="P3" s="1449"/>
      <c r="Q3" s="1449"/>
      <c r="R3" s="1449"/>
      <c r="S3" s="1449"/>
      <c r="T3" s="2242" t="s">
        <v>494</v>
      </c>
      <c r="U3" s="2242"/>
      <c r="V3" s="2242"/>
      <c r="W3" s="2242"/>
      <c r="X3" s="2242"/>
      <c r="Y3" s="2242"/>
    </row>
    <row r="4" spans="1:25" s="1449" customFormat="1" ht="18" customHeight="1" x14ac:dyDescent="0.25">
      <c r="A4" s="2243" t="s">
        <v>25</v>
      </c>
      <c r="B4" s="2243" t="s">
        <v>26</v>
      </c>
      <c r="C4" s="2244" t="s">
        <v>27</v>
      </c>
      <c r="D4" s="2244"/>
      <c r="E4" s="2244" t="s">
        <v>342</v>
      </c>
      <c r="F4" s="2244"/>
      <c r="G4" s="2244" t="s">
        <v>65</v>
      </c>
      <c r="H4" s="2244"/>
      <c r="I4" s="2244" t="s">
        <v>29</v>
      </c>
      <c r="J4" s="2244"/>
      <c r="K4" s="2245" t="s">
        <v>14</v>
      </c>
      <c r="L4" s="2246"/>
      <c r="M4" s="2245" t="s">
        <v>429</v>
      </c>
      <c r="N4" s="2246"/>
      <c r="O4" s="2245" t="s">
        <v>441</v>
      </c>
      <c r="P4" s="2246"/>
      <c r="Q4" s="2245" t="s">
        <v>114</v>
      </c>
      <c r="R4" s="2246"/>
      <c r="S4" s="2244" t="s">
        <v>35</v>
      </c>
      <c r="T4" s="2244"/>
      <c r="U4" s="2245" t="s">
        <v>17</v>
      </c>
      <c r="V4" s="2246"/>
      <c r="W4" s="2247" t="s">
        <v>36</v>
      </c>
      <c r="X4" s="2248"/>
      <c r="Y4" s="2238" t="s">
        <v>30</v>
      </c>
    </row>
    <row r="5" spans="1:25" s="1449" customFormat="1" ht="25.5" customHeight="1" x14ac:dyDescent="0.25">
      <c r="A5" s="2243"/>
      <c r="B5" s="2243"/>
      <c r="C5" s="1451" t="s">
        <v>42</v>
      </c>
      <c r="D5" s="1451" t="s">
        <v>43</v>
      </c>
      <c r="E5" s="1451" t="s">
        <v>42</v>
      </c>
      <c r="F5" s="1451" t="s">
        <v>43</v>
      </c>
      <c r="G5" s="1451" t="s">
        <v>42</v>
      </c>
      <c r="H5" s="1451" t="s">
        <v>43</v>
      </c>
      <c r="I5" s="1451" t="s">
        <v>42</v>
      </c>
      <c r="J5" s="1451" t="s">
        <v>43</v>
      </c>
      <c r="K5" s="1451" t="s">
        <v>42</v>
      </c>
      <c r="L5" s="1451" t="s">
        <v>43</v>
      </c>
      <c r="M5" s="1451" t="s">
        <v>42</v>
      </c>
      <c r="N5" s="1451" t="s">
        <v>43</v>
      </c>
      <c r="O5" s="1451" t="s">
        <v>42</v>
      </c>
      <c r="P5" s="1451" t="s">
        <v>43</v>
      </c>
      <c r="Q5" s="1451" t="s">
        <v>42</v>
      </c>
      <c r="R5" s="1451" t="s">
        <v>43</v>
      </c>
      <c r="S5" s="33" t="s">
        <v>42</v>
      </c>
      <c r="T5" s="33" t="s">
        <v>43</v>
      </c>
      <c r="U5" s="30" t="s">
        <v>42</v>
      </c>
      <c r="V5" s="30" t="s">
        <v>43</v>
      </c>
      <c r="W5" s="30" t="s">
        <v>42</v>
      </c>
      <c r="X5" s="30" t="s">
        <v>43</v>
      </c>
      <c r="Y5" s="2239"/>
    </row>
    <row r="6" spans="1:25" ht="34.5" customHeight="1" x14ac:dyDescent="0.25">
      <c r="A6" s="12">
        <v>1409935200</v>
      </c>
      <c r="B6" s="1450" t="s">
        <v>71</v>
      </c>
      <c r="C6" s="1453">
        <v>38145</v>
      </c>
      <c r="D6" s="1454">
        <f t="shared" ref="D6:D11" si="0">0.9725*C6</f>
        <v>37096.012500000004</v>
      </c>
      <c r="E6" s="1453"/>
      <c r="F6" s="1454">
        <f>67.1*E6</f>
        <v>0</v>
      </c>
      <c r="G6" s="1453">
        <v>70</v>
      </c>
      <c r="H6" s="1453">
        <f>28.2*G6</f>
        <v>1974</v>
      </c>
      <c r="I6" s="1453">
        <v>350</v>
      </c>
      <c r="J6" s="1453">
        <f>18.5*I6</f>
        <v>6475</v>
      </c>
      <c r="K6" s="1453"/>
      <c r="L6" s="1454">
        <f>28.2368*K6</f>
        <v>0</v>
      </c>
      <c r="M6" s="1453"/>
      <c r="N6" s="1454">
        <f>M6*47.6525</f>
        <v>0</v>
      </c>
      <c r="O6" s="1453">
        <v>3990</v>
      </c>
      <c r="P6" s="1454">
        <f>O6*8.9</f>
        <v>35511</v>
      </c>
      <c r="Q6" s="1454"/>
      <c r="R6" s="1454">
        <f>241*Q6</f>
        <v>0</v>
      </c>
      <c r="S6" s="1453"/>
      <c r="T6" s="1453">
        <f>241*S6</f>
        <v>0</v>
      </c>
      <c r="U6" s="1453"/>
      <c r="V6" s="1453">
        <f>332*U6</f>
        <v>0</v>
      </c>
      <c r="W6" s="1453"/>
      <c r="X6" s="19">
        <f>W6*100</f>
        <v>0</v>
      </c>
      <c r="Y6" s="20">
        <f t="shared" ref="Y6:Y12" si="1">D6+F6+H6+J6+L6+N6+P6+R6+T6+V6+X6</f>
        <v>81056.012500000012</v>
      </c>
    </row>
    <row r="7" spans="1:25" ht="31.5" customHeight="1" x14ac:dyDescent="0.25">
      <c r="A7" s="12">
        <v>1984225578</v>
      </c>
      <c r="B7" s="1450" t="s">
        <v>72</v>
      </c>
      <c r="C7" s="1453">
        <v>14695</v>
      </c>
      <c r="D7" s="1454">
        <f t="shared" si="0"/>
        <v>14290.887500000001</v>
      </c>
      <c r="E7" s="1453"/>
      <c r="F7" s="1453">
        <f t="shared" ref="F7:F11" si="2">67.1*E7</f>
        <v>0</v>
      </c>
      <c r="G7" s="1453"/>
      <c r="H7" s="1453">
        <f t="shared" ref="H7:H11" si="3">28.2*G7</f>
        <v>0</v>
      </c>
      <c r="I7" s="1453">
        <v>250</v>
      </c>
      <c r="J7" s="1453">
        <f t="shared" ref="J7:J11" si="4">18.5*I7</f>
        <v>4625</v>
      </c>
      <c r="K7" s="1453"/>
      <c r="L7" s="1454">
        <f t="shared" ref="L7:L11" si="5">28.2368*K7</f>
        <v>0</v>
      </c>
      <c r="M7" s="1453"/>
      <c r="N7" s="1454">
        <f t="shared" ref="N7:N11" si="6">M7*47.6525</f>
        <v>0</v>
      </c>
      <c r="O7" s="1453"/>
      <c r="P7" s="1454">
        <f t="shared" ref="P7:P11" si="7">O7*8.9</f>
        <v>0</v>
      </c>
      <c r="Q7" s="1454"/>
      <c r="R7" s="1454">
        <f t="shared" ref="R7:R11" si="8">241*Q7</f>
        <v>0</v>
      </c>
      <c r="S7" s="1453"/>
      <c r="T7" s="1453">
        <f t="shared" ref="T7:T10" si="9">241*S7</f>
        <v>0</v>
      </c>
      <c r="U7" s="1453"/>
      <c r="V7" s="1453">
        <f t="shared" ref="V7:V11" si="10">332*U7</f>
        <v>0</v>
      </c>
      <c r="W7" s="1453"/>
      <c r="X7" s="19">
        <f t="shared" ref="X7:X11" si="11">W7*100</f>
        <v>0</v>
      </c>
      <c r="Y7" s="20">
        <f t="shared" si="1"/>
        <v>18915.887500000001</v>
      </c>
    </row>
    <row r="8" spans="1:25" ht="35.25" customHeight="1" x14ac:dyDescent="0.25">
      <c r="A8" s="12">
        <v>1967020280</v>
      </c>
      <c r="B8" s="1450" t="s">
        <v>427</v>
      </c>
      <c r="C8" s="1453">
        <v>26434</v>
      </c>
      <c r="D8" s="1454">
        <f t="shared" si="0"/>
        <v>25707.065000000002</v>
      </c>
      <c r="E8" s="1453"/>
      <c r="F8" s="1453">
        <f t="shared" si="2"/>
        <v>0</v>
      </c>
      <c r="G8" s="1453">
        <v>10</v>
      </c>
      <c r="H8" s="1454">
        <f t="shared" si="3"/>
        <v>282</v>
      </c>
      <c r="I8" s="1453">
        <v>140</v>
      </c>
      <c r="J8" s="1453">
        <f t="shared" si="4"/>
        <v>2590</v>
      </c>
      <c r="K8" s="1453"/>
      <c r="L8" s="1454">
        <f t="shared" si="5"/>
        <v>0</v>
      </c>
      <c r="M8" s="1453"/>
      <c r="N8" s="1454">
        <f t="shared" si="6"/>
        <v>0</v>
      </c>
      <c r="O8" s="1453">
        <v>1900</v>
      </c>
      <c r="P8" s="1454">
        <f t="shared" si="7"/>
        <v>16910</v>
      </c>
      <c r="Q8" s="1454"/>
      <c r="R8" s="1454">
        <f t="shared" si="8"/>
        <v>0</v>
      </c>
      <c r="S8" s="1453"/>
      <c r="T8" s="1453">
        <f t="shared" si="9"/>
        <v>0</v>
      </c>
      <c r="U8" s="1453"/>
      <c r="V8" s="1453">
        <f t="shared" si="10"/>
        <v>0</v>
      </c>
      <c r="W8" s="1453"/>
      <c r="X8" s="19">
        <f t="shared" si="11"/>
        <v>0</v>
      </c>
      <c r="Y8" s="20">
        <f t="shared" si="1"/>
        <v>45489.065000000002</v>
      </c>
    </row>
    <row r="9" spans="1:25" ht="38.25" customHeight="1" x14ac:dyDescent="0.25">
      <c r="A9" s="12">
        <v>1984225580</v>
      </c>
      <c r="B9" s="1450" t="s">
        <v>75</v>
      </c>
      <c r="C9" s="1453">
        <v>27687</v>
      </c>
      <c r="D9" s="1454">
        <f t="shared" si="0"/>
        <v>26925.607500000002</v>
      </c>
      <c r="E9" s="1453"/>
      <c r="F9" s="1453">
        <f t="shared" si="2"/>
        <v>0</v>
      </c>
      <c r="G9" s="1453"/>
      <c r="H9" s="1453">
        <f t="shared" si="3"/>
        <v>0</v>
      </c>
      <c r="I9" s="1453"/>
      <c r="J9" s="1453">
        <f t="shared" si="4"/>
        <v>0</v>
      </c>
      <c r="K9" s="1453"/>
      <c r="L9" s="1454">
        <f t="shared" si="5"/>
        <v>0</v>
      </c>
      <c r="M9" s="1453"/>
      <c r="N9" s="1454">
        <f t="shared" si="6"/>
        <v>0</v>
      </c>
      <c r="O9" s="1453">
        <v>1240</v>
      </c>
      <c r="P9" s="1454">
        <f t="shared" si="7"/>
        <v>11036</v>
      </c>
      <c r="Q9" s="1454"/>
      <c r="R9" s="1454">
        <f t="shared" si="8"/>
        <v>0</v>
      </c>
      <c r="S9" s="1453"/>
      <c r="T9" s="1453">
        <f t="shared" si="9"/>
        <v>0</v>
      </c>
      <c r="U9" s="1453"/>
      <c r="V9" s="1453">
        <f t="shared" si="10"/>
        <v>0</v>
      </c>
      <c r="W9" s="1453"/>
      <c r="X9" s="19">
        <f t="shared" si="11"/>
        <v>0</v>
      </c>
      <c r="Y9" s="20">
        <f t="shared" si="1"/>
        <v>37961.607499999998</v>
      </c>
    </row>
    <row r="10" spans="1:25" ht="35.25" customHeight="1" x14ac:dyDescent="0.25">
      <c r="A10" s="12">
        <v>1409935199</v>
      </c>
      <c r="C10" s="1453">
        <v>325</v>
      </c>
      <c r="D10" s="1454">
        <f t="shared" si="0"/>
        <v>316.0625</v>
      </c>
      <c r="E10" s="1453"/>
      <c r="F10" s="1453">
        <f t="shared" si="2"/>
        <v>0</v>
      </c>
      <c r="G10" s="1453"/>
      <c r="H10" s="1453">
        <f t="shared" si="3"/>
        <v>0</v>
      </c>
      <c r="I10" s="1453"/>
      <c r="J10" s="1453">
        <f t="shared" si="4"/>
        <v>0</v>
      </c>
      <c r="K10" s="1453"/>
      <c r="L10" s="1454">
        <f t="shared" si="5"/>
        <v>0</v>
      </c>
      <c r="M10" s="1453"/>
      <c r="N10" s="1454">
        <f t="shared" si="6"/>
        <v>0</v>
      </c>
      <c r="O10" s="1453"/>
      <c r="P10" s="1454">
        <f t="shared" si="7"/>
        <v>0</v>
      </c>
      <c r="Q10" s="1454"/>
      <c r="R10" s="1454">
        <f t="shared" si="8"/>
        <v>0</v>
      </c>
      <c r="S10" s="1453"/>
      <c r="T10" s="1453">
        <f t="shared" si="9"/>
        <v>0</v>
      </c>
      <c r="U10" s="1453"/>
      <c r="V10" s="1453">
        <f t="shared" si="10"/>
        <v>0</v>
      </c>
      <c r="W10" s="1453"/>
      <c r="X10" s="19">
        <f t="shared" si="11"/>
        <v>0</v>
      </c>
      <c r="Y10" s="20">
        <f t="shared" si="1"/>
        <v>316.0625</v>
      </c>
    </row>
    <row r="11" spans="1:25" ht="37.5" customHeight="1" x14ac:dyDescent="0.25">
      <c r="A11" s="12"/>
      <c r="B11" s="1452"/>
      <c r="C11" s="1453"/>
      <c r="D11" s="1454">
        <f t="shared" si="0"/>
        <v>0</v>
      </c>
      <c r="E11" s="1453"/>
      <c r="F11" s="1453">
        <f t="shared" si="2"/>
        <v>0</v>
      </c>
      <c r="G11" s="1453"/>
      <c r="H11" s="1453">
        <f t="shared" si="3"/>
        <v>0</v>
      </c>
      <c r="I11" s="1453"/>
      <c r="J11" s="1453">
        <f t="shared" si="4"/>
        <v>0</v>
      </c>
      <c r="K11" s="1453"/>
      <c r="L11" s="1454">
        <f t="shared" si="5"/>
        <v>0</v>
      </c>
      <c r="M11" s="1453"/>
      <c r="N11" s="1454">
        <f t="shared" si="6"/>
        <v>0</v>
      </c>
      <c r="O11" s="1453"/>
      <c r="P11" s="1454">
        <f t="shared" si="7"/>
        <v>0</v>
      </c>
      <c r="Q11" s="1454"/>
      <c r="R11" s="1454">
        <f t="shared" si="8"/>
        <v>0</v>
      </c>
      <c r="S11" s="1453"/>
      <c r="T11" s="1453">
        <f>341*S11</f>
        <v>0</v>
      </c>
      <c r="U11" s="1453"/>
      <c r="V11" s="1453">
        <f t="shared" si="10"/>
        <v>0</v>
      </c>
      <c r="W11" s="1453">
        <v>2</v>
      </c>
      <c r="X11" s="19">
        <f t="shared" si="11"/>
        <v>200</v>
      </c>
      <c r="Y11" s="20">
        <f t="shared" si="1"/>
        <v>200</v>
      </c>
    </row>
    <row r="12" spans="1:25" ht="29.25" customHeight="1" x14ac:dyDescent="0.25">
      <c r="A12" s="2235" t="s">
        <v>31</v>
      </c>
      <c r="B12" s="2235"/>
      <c r="C12" s="18">
        <f t="shared" ref="C12:X12" si="12">SUM(C6:C11)</f>
        <v>107286</v>
      </c>
      <c r="D12" s="18">
        <f t="shared" si="12"/>
        <v>104335.63500000001</v>
      </c>
      <c r="E12" s="18">
        <f t="shared" si="12"/>
        <v>0</v>
      </c>
      <c r="F12" s="18">
        <f t="shared" si="12"/>
        <v>0</v>
      </c>
      <c r="G12" s="18">
        <f t="shared" si="12"/>
        <v>80</v>
      </c>
      <c r="H12" s="18">
        <f t="shared" si="12"/>
        <v>2256</v>
      </c>
      <c r="I12" s="18">
        <f t="shared" si="12"/>
        <v>740</v>
      </c>
      <c r="J12" s="18">
        <f t="shared" si="12"/>
        <v>13690</v>
      </c>
      <c r="K12" s="18">
        <f t="shared" si="12"/>
        <v>0</v>
      </c>
      <c r="L12" s="18">
        <f t="shared" si="12"/>
        <v>0</v>
      </c>
      <c r="M12" s="18">
        <f t="shared" si="12"/>
        <v>0</v>
      </c>
      <c r="N12" s="23">
        <f t="shared" si="12"/>
        <v>0</v>
      </c>
      <c r="O12" s="18">
        <f t="shared" si="12"/>
        <v>7130</v>
      </c>
      <c r="P12" s="23">
        <f t="shared" si="12"/>
        <v>63457</v>
      </c>
      <c r="Q12" s="23">
        <f t="shared" si="12"/>
        <v>0</v>
      </c>
      <c r="R12" s="23">
        <f>SUM(R6:R11)</f>
        <v>0</v>
      </c>
      <c r="S12" s="23">
        <f>SUM(S6:S11)</f>
        <v>0</v>
      </c>
      <c r="T12" s="18">
        <f t="shared" si="12"/>
        <v>0</v>
      </c>
      <c r="U12" s="18">
        <f t="shared" si="12"/>
        <v>0</v>
      </c>
      <c r="V12" s="18">
        <f t="shared" si="12"/>
        <v>0</v>
      </c>
      <c r="W12" s="18">
        <f t="shared" si="12"/>
        <v>2</v>
      </c>
      <c r="X12" s="18">
        <f t="shared" si="12"/>
        <v>200</v>
      </c>
      <c r="Y12" s="20">
        <f t="shared" si="1"/>
        <v>183938.63500000001</v>
      </c>
    </row>
    <row r="14" spans="1:25" ht="43.5" customHeight="1" x14ac:dyDescent="0.25">
      <c r="A14" s="30" t="s">
        <v>32</v>
      </c>
      <c r="B14" s="2236" t="s">
        <v>27</v>
      </c>
      <c r="C14" s="2236"/>
      <c r="D14" s="30" t="s">
        <v>333</v>
      </c>
      <c r="E14" s="30" t="s">
        <v>65</v>
      </c>
      <c r="F14" s="30" t="s">
        <v>34</v>
      </c>
      <c r="G14" s="30" t="s">
        <v>14</v>
      </c>
      <c r="H14" s="469" t="s">
        <v>173</v>
      </c>
      <c r="I14" s="30" t="s">
        <v>17</v>
      </c>
      <c r="J14" s="1458" t="s">
        <v>174</v>
      </c>
      <c r="K14" s="30" t="s">
        <v>36</v>
      </c>
      <c r="L14" s="1458" t="s">
        <v>403</v>
      </c>
      <c r="M14" s="30" t="s">
        <v>429</v>
      </c>
      <c r="N14" s="30" t="s">
        <v>442</v>
      </c>
      <c r="O14" s="1458" t="s">
        <v>114</v>
      </c>
      <c r="P14" s="30" t="s">
        <v>70</v>
      </c>
      <c r="Q14" s="2300" t="s">
        <v>479</v>
      </c>
      <c r="R14" s="2301"/>
      <c r="S14" s="1458" t="s">
        <v>401</v>
      </c>
      <c r="T14" s="2235" t="s">
        <v>46</v>
      </c>
      <c r="U14" s="1450" t="s">
        <v>176</v>
      </c>
      <c r="V14" s="2260">
        <v>7471</v>
      </c>
      <c r="W14" s="2268"/>
      <c r="X14" s="2261"/>
    </row>
    <row r="15" spans="1:25" ht="22.5" customHeight="1" x14ac:dyDescent="0.25">
      <c r="A15" s="100" t="s">
        <v>38</v>
      </c>
      <c r="B15" s="2260">
        <v>278941</v>
      </c>
      <c r="C15" s="2261"/>
      <c r="D15" s="1455">
        <v>130</v>
      </c>
      <c r="E15" s="1455">
        <v>660</v>
      </c>
      <c r="F15" s="1455">
        <v>15310</v>
      </c>
      <c r="G15" s="1455">
        <v>580</v>
      </c>
      <c r="H15" s="1455">
        <v>161</v>
      </c>
      <c r="I15" s="1455">
        <v>11</v>
      </c>
      <c r="J15" s="1455">
        <v>4</v>
      </c>
      <c r="K15" s="1455">
        <v>82</v>
      </c>
      <c r="L15" s="1455">
        <v>0</v>
      </c>
      <c r="M15" s="1455">
        <v>0</v>
      </c>
      <c r="N15" s="1455">
        <v>7630</v>
      </c>
      <c r="O15" s="1455">
        <v>0</v>
      </c>
      <c r="P15" s="1455">
        <v>100</v>
      </c>
      <c r="Q15" s="2260">
        <v>10</v>
      </c>
      <c r="R15" s="2261"/>
      <c r="S15" s="1450">
        <v>2</v>
      </c>
      <c r="T15" s="2235"/>
      <c r="U15" s="1450" t="s">
        <v>64</v>
      </c>
      <c r="V15" s="2262">
        <v>6362</v>
      </c>
      <c r="W15" s="2262"/>
      <c r="X15" s="2262"/>
    </row>
    <row r="16" spans="1:25" ht="24.75" customHeight="1" x14ac:dyDescent="0.25">
      <c r="A16" s="100" t="s">
        <v>39</v>
      </c>
      <c r="B16" s="2260"/>
      <c r="C16" s="2261"/>
      <c r="D16" s="1455"/>
      <c r="E16" s="1455"/>
      <c r="F16" s="1455">
        <v>6000</v>
      </c>
      <c r="G16" s="1455"/>
      <c r="H16" s="1455"/>
      <c r="I16" s="1455"/>
      <c r="J16" s="1455"/>
      <c r="K16" s="1455"/>
      <c r="L16" s="1455"/>
      <c r="M16" s="1455"/>
      <c r="N16" s="1455"/>
      <c r="O16" s="1455"/>
      <c r="P16" s="1455"/>
      <c r="Q16" s="2262"/>
      <c r="R16" s="2262"/>
      <c r="S16" s="1455"/>
      <c r="T16" s="2254" t="s">
        <v>55</v>
      </c>
      <c r="U16" s="2254"/>
      <c r="V16" s="2267">
        <f>Y12</f>
        <v>183938.63500000001</v>
      </c>
      <c r="W16" s="2267"/>
      <c r="X16" s="2262"/>
    </row>
    <row r="17" spans="1:25" ht="28.5" customHeight="1" x14ac:dyDescent="0.25">
      <c r="A17" s="101" t="s">
        <v>44</v>
      </c>
      <c r="B17" s="2260"/>
      <c r="C17" s="2261"/>
      <c r="D17" s="1455"/>
      <c r="E17" s="1455"/>
      <c r="F17" s="1455"/>
      <c r="G17" s="1455"/>
      <c r="H17" s="1455"/>
      <c r="I17" s="1455"/>
      <c r="J17" s="1455"/>
      <c r="K17" s="1455"/>
      <c r="L17" s="1455"/>
      <c r="M17" s="1455"/>
      <c r="N17" s="1455"/>
      <c r="O17" s="1455"/>
      <c r="P17" s="1455"/>
      <c r="Q17" s="2225"/>
      <c r="R17" s="2225"/>
      <c r="S17" s="1452"/>
      <c r="T17" s="2294" t="s">
        <v>473</v>
      </c>
      <c r="U17" s="2295"/>
      <c r="V17" s="2296"/>
      <c r="W17" s="2296"/>
      <c r="X17" s="2296"/>
    </row>
    <row r="18" spans="1:25" ht="27" customHeight="1" x14ac:dyDescent="0.25">
      <c r="A18" s="100" t="s">
        <v>40</v>
      </c>
      <c r="B18" s="2264">
        <f>C12</f>
        <v>107286</v>
      </c>
      <c r="C18" s="2261"/>
      <c r="D18" s="1456">
        <f>E12</f>
        <v>0</v>
      </c>
      <c r="E18" s="1456">
        <f>G12</f>
        <v>80</v>
      </c>
      <c r="F18" s="1456">
        <f>I12</f>
        <v>740</v>
      </c>
      <c r="G18" s="1456">
        <f>K12</f>
        <v>0</v>
      </c>
      <c r="H18" s="1455"/>
      <c r="I18" s="1456">
        <f>U12</f>
        <v>0</v>
      </c>
      <c r="J18" s="1455"/>
      <c r="K18" s="1456">
        <f>W12</f>
        <v>2</v>
      </c>
      <c r="L18" s="1455"/>
      <c r="M18" s="1456">
        <f>M12</f>
        <v>0</v>
      </c>
      <c r="N18" s="1456">
        <f>O12</f>
        <v>7130</v>
      </c>
      <c r="O18" s="1457">
        <f>Q12</f>
        <v>0</v>
      </c>
      <c r="P18" s="1456"/>
      <c r="Q18" s="2262"/>
      <c r="R18" s="2262"/>
      <c r="S18" s="1450"/>
      <c r="T18" s="2254" t="s">
        <v>57</v>
      </c>
      <c r="U18" s="2254"/>
      <c r="V18" s="2262">
        <v>1150</v>
      </c>
      <c r="W18" s="2262"/>
      <c r="X18" s="2262"/>
      <c r="Y18" s="2269"/>
    </row>
    <row r="19" spans="1:25" ht="25.5" customHeight="1" x14ac:dyDescent="0.25">
      <c r="A19" s="100" t="s">
        <v>41</v>
      </c>
      <c r="B19" s="2260">
        <f>B15+B16+B17-B18</f>
        <v>171655</v>
      </c>
      <c r="C19" s="2261"/>
      <c r="D19" s="1455">
        <f>D15+D16+D17-D18</f>
        <v>130</v>
      </c>
      <c r="E19" s="1455">
        <f t="shared" ref="E19:N19" si="13">E15+E16+E17-E18</f>
        <v>580</v>
      </c>
      <c r="F19" s="1455">
        <f t="shared" si="13"/>
        <v>20570</v>
      </c>
      <c r="G19" s="1455">
        <f t="shared" si="13"/>
        <v>580</v>
      </c>
      <c r="H19" s="1455">
        <f t="shared" si="13"/>
        <v>161</v>
      </c>
      <c r="I19" s="1455">
        <f t="shared" si="13"/>
        <v>11</v>
      </c>
      <c r="J19" s="1455">
        <f t="shared" si="13"/>
        <v>4</v>
      </c>
      <c r="K19" s="1455">
        <f t="shared" si="13"/>
        <v>80</v>
      </c>
      <c r="L19" s="1455">
        <f t="shared" si="13"/>
        <v>0</v>
      </c>
      <c r="M19" s="1455">
        <f t="shared" si="13"/>
        <v>0</v>
      </c>
      <c r="N19" s="1455">
        <f t="shared" si="13"/>
        <v>500</v>
      </c>
      <c r="O19" s="1455">
        <f>O15+O16+O17-O18</f>
        <v>0</v>
      </c>
      <c r="P19" s="1455">
        <f t="shared" ref="P19:Q19" si="14">P15+P16+P17-P18</f>
        <v>100</v>
      </c>
      <c r="Q19" s="2260">
        <f t="shared" si="14"/>
        <v>10</v>
      </c>
      <c r="R19" s="2261"/>
      <c r="S19" s="1450">
        <f>S15+S16-S17-S18</f>
        <v>2</v>
      </c>
      <c r="T19" s="2256" t="s">
        <v>48</v>
      </c>
      <c r="U19" s="49" t="s">
        <v>58</v>
      </c>
      <c r="V19" s="2262">
        <v>181550</v>
      </c>
      <c r="W19" s="2262"/>
      <c r="X19" s="2262"/>
      <c r="Y19" s="2269"/>
    </row>
    <row r="20" spans="1:25" ht="23.25" customHeight="1" x14ac:dyDescent="0.25">
      <c r="A20" s="289" t="s">
        <v>187</v>
      </c>
      <c r="B20" s="2286">
        <f>B19*0.9625</f>
        <v>165217.9375</v>
      </c>
      <c r="C20" s="2287"/>
      <c r="D20" s="290">
        <f>D19*66.41</f>
        <v>8633.2999999999993</v>
      </c>
      <c r="E20" s="290">
        <f>27.9368*E19</f>
        <v>16203.344000000001</v>
      </c>
      <c r="F20" s="290">
        <f>18.31*F19</f>
        <v>376636.69999999995</v>
      </c>
      <c r="G20" s="290">
        <f>27.9368*G19</f>
        <v>16203.344000000001</v>
      </c>
      <c r="H20" s="290">
        <f>241*H19</f>
        <v>38801</v>
      </c>
      <c r="I20" s="290">
        <f>323*I19</f>
        <v>3553</v>
      </c>
      <c r="J20" s="290">
        <f>241*J19</f>
        <v>964</v>
      </c>
      <c r="K20" s="290">
        <f>K19*100</f>
        <v>8000</v>
      </c>
      <c r="L20" s="290">
        <f>241*L19</f>
        <v>0</v>
      </c>
      <c r="M20" s="290">
        <f>47.1625*M19</f>
        <v>0</v>
      </c>
      <c r="N20" s="290">
        <f>N19*8.81</f>
        <v>4405</v>
      </c>
      <c r="O20" s="290">
        <f>241*O19</f>
        <v>0</v>
      </c>
      <c r="P20" s="290">
        <f>P19*48.2</f>
        <v>4820</v>
      </c>
      <c r="Q20" s="2286">
        <f>470*Q19</f>
        <v>4700</v>
      </c>
      <c r="R20" s="2287"/>
      <c r="S20" s="290">
        <f>341*S19</f>
        <v>682</v>
      </c>
      <c r="T20" s="2257"/>
      <c r="U20" s="49" t="s">
        <v>59</v>
      </c>
      <c r="V20" s="2262"/>
      <c r="W20" s="2262"/>
      <c r="X20" s="2262"/>
      <c r="Y20" s="2269"/>
    </row>
    <row r="21" spans="1:25" ht="32.25" customHeight="1" x14ac:dyDescent="0.25">
      <c r="A21" s="291" t="s">
        <v>186</v>
      </c>
      <c r="B21" s="2293">
        <f>SUM(B20:S20)</f>
        <v>648819.62549999997</v>
      </c>
      <c r="C21" s="2293"/>
      <c r="O21" s="1459"/>
      <c r="P21" s="1459"/>
      <c r="Q21" s="1459"/>
      <c r="R21" s="1459"/>
      <c r="T21" s="2294" t="s">
        <v>487</v>
      </c>
      <c r="U21" s="2295"/>
      <c r="V21" s="2297"/>
      <c r="W21" s="2298"/>
      <c r="X21" s="2299"/>
      <c r="Y21" s="2269"/>
    </row>
    <row r="22" spans="1:25" ht="35.25" customHeight="1" x14ac:dyDescent="0.25">
      <c r="A22" s="15"/>
      <c r="B22" s="2288" t="s">
        <v>49</v>
      </c>
      <c r="C22" s="2291">
        <v>181550</v>
      </c>
      <c r="D22" s="2291">
        <v>181550</v>
      </c>
      <c r="E22" s="2291">
        <v>109860</v>
      </c>
      <c r="F22" s="2291">
        <f>C22-D22+E22</f>
        <v>109860</v>
      </c>
      <c r="G22" s="1459"/>
      <c r="Q22" s="1459"/>
      <c r="R22" s="1459"/>
      <c r="T22" s="2251" t="s">
        <v>83</v>
      </c>
      <c r="U22" s="50" t="s">
        <v>60</v>
      </c>
      <c r="V22" s="2262">
        <v>186650</v>
      </c>
      <c r="W22" s="2262"/>
      <c r="X22" s="2262"/>
      <c r="Y22" s="2269"/>
    </row>
    <row r="23" spans="1:25" ht="39.75" customHeight="1" x14ac:dyDescent="0.25">
      <c r="A23" s="1459"/>
      <c r="B23" s="2289"/>
      <c r="C23" s="2292"/>
      <c r="D23" s="2292"/>
      <c r="E23" s="2292"/>
      <c r="F23" s="2292"/>
      <c r="G23" s="1459"/>
      <c r="Q23" s="1459"/>
      <c r="R23" s="1459"/>
      <c r="T23" s="2252"/>
      <c r="U23" s="50" t="s">
        <v>61</v>
      </c>
      <c r="V23" s="2262">
        <v>181550</v>
      </c>
      <c r="W23" s="2262"/>
      <c r="X23" s="2262"/>
      <c r="Y23" s="2269"/>
    </row>
    <row r="24" spans="1:25" ht="48" customHeight="1" x14ac:dyDescent="0.25">
      <c r="A24" s="1459"/>
      <c r="B24" s="2290"/>
      <c r="C24" s="290" t="s">
        <v>46</v>
      </c>
      <c r="D24" s="290" t="s">
        <v>50</v>
      </c>
      <c r="E24" s="290" t="s">
        <v>51</v>
      </c>
      <c r="F24" s="290" t="s">
        <v>52</v>
      </c>
      <c r="G24" s="1459"/>
      <c r="Q24" s="1459"/>
      <c r="R24" s="1459"/>
      <c r="T24" s="2235" t="s">
        <v>47</v>
      </c>
      <c r="U24" s="51" t="s">
        <v>62</v>
      </c>
      <c r="V24" s="2263">
        <f>V14+V16+V17-V18-V19-V20-V22+V23-V21</f>
        <v>3609.6350000000093</v>
      </c>
      <c r="W24" s="2263"/>
      <c r="X24" s="2263"/>
      <c r="Y24" s="2269"/>
    </row>
    <row r="25" spans="1:25" ht="40.5" customHeight="1" x14ac:dyDescent="0.25">
      <c r="T25" s="2235"/>
      <c r="U25" s="51" t="s">
        <v>63</v>
      </c>
      <c r="V25" s="2262">
        <f>V15+V22-V23</f>
        <v>11462</v>
      </c>
      <c r="W25" s="2262"/>
      <c r="X25" s="2262"/>
    </row>
    <row r="26" spans="1:25" ht="36" customHeight="1" x14ac:dyDescent="0.25">
      <c r="K26" s="314"/>
    </row>
    <row r="28" spans="1:25" x14ac:dyDescent="0.25">
      <c r="J28" s="14" t="s">
        <v>139</v>
      </c>
    </row>
    <row r="32" spans="1:25" x14ac:dyDescent="0.25">
      <c r="I32" s="2280"/>
      <c r="J32" s="2280"/>
      <c r="K32" s="2280"/>
      <c r="L32" s="2280"/>
    </row>
    <row r="33" spans="9:12" x14ac:dyDescent="0.25">
      <c r="I33" s="1459"/>
      <c r="J33" s="1459"/>
      <c r="K33" s="2280"/>
      <c r="L33" s="2280"/>
    </row>
  </sheetData>
  <mergeCells count="62">
    <mergeCell ref="I32:J32"/>
    <mergeCell ref="K32:L32"/>
    <mergeCell ref="K33:L33"/>
    <mergeCell ref="T22:T23"/>
    <mergeCell ref="V22:X22"/>
    <mergeCell ref="V23:X23"/>
    <mergeCell ref="T24:T25"/>
    <mergeCell ref="V24:X24"/>
    <mergeCell ref="V25:X25"/>
    <mergeCell ref="Y18:Y24"/>
    <mergeCell ref="B19:C19"/>
    <mergeCell ref="Q19:R19"/>
    <mergeCell ref="T19:T20"/>
    <mergeCell ref="V19:X19"/>
    <mergeCell ref="B20:C20"/>
    <mergeCell ref="B22:B24"/>
    <mergeCell ref="C22:C23"/>
    <mergeCell ref="D22:D23"/>
    <mergeCell ref="E22:E23"/>
    <mergeCell ref="F22:F23"/>
    <mergeCell ref="Q20:R20"/>
    <mergeCell ref="V20:X20"/>
    <mergeCell ref="B21:C21"/>
    <mergeCell ref="T21:U21"/>
    <mergeCell ref="V21:X21"/>
    <mergeCell ref="B17:C17"/>
    <mergeCell ref="Q17:R17"/>
    <mergeCell ref="T17:U17"/>
    <mergeCell ref="V17:X17"/>
    <mergeCell ref="B18:C18"/>
    <mergeCell ref="Q18:R18"/>
    <mergeCell ref="T18:U18"/>
    <mergeCell ref="V18:X18"/>
    <mergeCell ref="W4:X4"/>
    <mergeCell ref="B16:C16"/>
    <mergeCell ref="Q16:R16"/>
    <mergeCell ref="T16:U16"/>
    <mergeCell ref="V16:X16"/>
    <mergeCell ref="A12:B12"/>
    <mergeCell ref="B14:C14"/>
    <mergeCell ref="Q14:R14"/>
    <mergeCell ref="T14:T15"/>
    <mergeCell ref="V14:X14"/>
    <mergeCell ref="B15:C15"/>
    <mergeCell ref="Q15:R15"/>
    <mergeCell ref="V15:X15"/>
    <mergeCell ref="A1:Y1"/>
    <mergeCell ref="A2:Y2"/>
    <mergeCell ref="T3:Y3"/>
    <mergeCell ref="A4:A5"/>
    <mergeCell ref="B4:B5"/>
    <mergeCell ref="C4:D4"/>
    <mergeCell ref="E4:F4"/>
    <mergeCell ref="G4:H4"/>
    <mergeCell ref="I4:J4"/>
    <mergeCell ref="K4:L4"/>
    <mergeCell ref="Y4:Y5"/>
    <mergeCell ref="M4:N4"/>
    <mergeCell ref="O4:P4"/>
    <mergeCell ref="Q4:R4"/>
    <mergeCell ref="S4:T4"/>
    <mergeCell ref="U4:V4"/>
  </mergeCells>
  <pageMargins left="0.15748031496063" right="0.15748031496063" top="0" bottom="0" header="0" footer="0"/>
  <pageSetup paperSize="9" scale="46" orientation="landscape" r:id="rId1"/>
</worksheet>
</file>

<file path=xl/worksheets/sheet25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7A86FCC-BF9F-4750-A5CD-EA46D49EEAD9}">
  <sheetPr>
    <pageSetUpPr fitToPage="1"/>
  </sheetPr>
  <dimension ref="A1:Y33"/>
  <sheetViews>
    <sheetView topLeftCell="A4" zoomScale="70" zoomScaleNormal="70" zoomScaleSheetLayoutView="100" zoomScalePageLayoutView="68" workbookViewId="0">
      <selection activeCell="N24" sqref="N24"/>
    </sheetView>
  </sheetViews>
  <sheetFormatPr defaultColWidth="9.140625" defaultRowHeight="15" x14ac:dyDescent="0.25"/>
  <cols>
    <col min="1" max="1" width="18.28515625" style="14" customWidth="1"/>
    <col min="2" max="2" width="10.7109375" style="14" customWidth="1"/>
    <col min="3" max="3" width="12.28515625" style="14" customWidth="1"/>
    <col min="4" max="4" width="13.140625" style="14" bestFit="1" customWidth="1"/>
    <col min="5" max="5" width="12" style="14" customWidth="1"/>
    <col min="6" max="6" width="14" style="14" bestFit="1" customWidth="1"/>
    <col min="7" max="7" width="16" style="14" bestFit="1" customWidth="1"/>
    <col min="8" max="8" width="10.140625" style="14" bestFit="1" customWidth="1"/>
    <col min="9" max="9" width="10.5703125" style="14" bestFit="1" customWidth="1"/>
    <col min="10" max="10" width="10.5703125" style="14" customWidth="1"/>
    <col min="11" max="11" width="10.28515625" style="14" bestFit="1" customWidth="1"/>
    <col min="12" max="12" width="10.42578125" style="14" bestFit="1" customWidth="1"/>
    <col min="13" max="14" width="12" style="14" bestFit="1" customWidth="1"/>
    <col min="15" max="15" width="11" style="14" customWidth="1"/>
    <col min="16" max="16" width="12.85546875" style="14" bestFit="1" customWidth="1"/>
    <col min="17" max="18" width="9.42578125" style="14" customWidth="1"/>
    <col min="19" max="19" width="13.7109375" style="14" customWidth="1"/>
    <col min="20" max="20" width="12.140625" style="14" customWidth="1"/>
    <col min="21" max="21" width="21.7109375" style="14" customWidth="1"/>
    <col min="22" max="22" width="9.85546875" style="14" customWidth="1"/>
    <col min="23" max="23" width="10.140625" style="14" bestFit="1" customWidth="1"/>
    <col min="24" max="24" width="10.28515625" style="14" customWidth="1"/>
    <col min="25" max="25" width="15.7109375" style="14" customWidth="1"/>
    <col min="26" max="16384" width="9.140625" style="14"/>
  </cols>
  <sheetData>
    <row r="1" spans="1:25" ht="46.15" customHeight="1" x14ac:dyDescent="0.25">
      <c r="A1" s="2240" t="s">
        <v>148</v>
      </c>
      <c r="B1" s="2240"/>
      <c r="C1" s="2240"/>
      <c r="D1" s="2240"/>
      <c r="E1" s="2240"/>
      <c r="F1" s="2240"/>
      <c r="G1" s="2240"/>
      <c r="H1" s="2240"/>
      <c r="I1" s="2240"/>
      <c r="J1" s="2240"/>
      <c r="K1" s="2240"/>
      <c r="L1" s="2240"/>
      <c r="M1" s="2240"/>
      <c r="N1" s="2240"/>
      <c r="O1" s="2240"/>
      <c r="P1" s="2240"/>
      <c r="Q1" s="2240"/>
      <c r="R1" s="2240"/>
      <c r="S1" s="2240"/>
      <c r="T1" s="2240"/>
      <c r="U1" s="2240"/>
      <c r="V1" s="2240"/>
      <c r="W1" s="2240"/>
      <c r="X1" s="2240"/>
      <c r="Y1" s="2240"/>
    </row>
    <row r="2" spans="1:25" ht="21.6" customHeight="1" x14ac:dyDescent="0.25">
      <c r="A2" s="2241" t="s">
        <v>383</v>
      </c>
      <c r="B2" s="2241"/>
      <c r="C2" s="2241"/>
      <c r="D2" s="2241"/>
      <c r="E2" s="2241"/>
      <c r="F2" s="2241"/>
      <c r="G2" s="2241"/>
      <c r="H2" s="2241"/>
      <c r="I2" s="2241"/>
      <c r="J2" s="2241"/>
      <c r="K2" s="2241"/>
      <c r="L2" s="2241"/>
      <c r="M2" s="2241"/>
      <c r="N2" s="2241"/>
      <c r="O2" s="2241"/>
      <c r="P2" s="2241"/>
      <c r="Q2" s="2241"/>
      <c r="R2" s="2241"/>
      <c r="S2" s="2241"/>
      <c r="T2" s="2241"/>
      <c r="U2" s="2241"/>
      <c r="V2" s="2241"/>
      <c r="W2" s="2241"/>
      <c r="X2" s="2241"/>
      <c r="Y2" s="2241"/>
    </row>
    <row r="3" spans="1:25" ht="21" customHeight="1" x14ac:dyDescent="0.25">
      <c r="A3" s="1460"/>
      <c r="B3" s="1460"/>
      <c r="C3" s="1460"/>
      <c r="D3" s="1460"/>
      <c r="E3" s="1460"/>
      <c r="F3" s="1460"/>
      <c r="G3" s="1460"/>
      <c r="H3" s="1460"/>
      <c r="I3" s="1460"/>
      <c r="J3" s="1460"/>
      <c r="K3" s="1460"/>
      <c r="L3" s="1460"/>
      <c r="M3" s="1460"/>
      <c r="N3" s="1460"/>
      <c r="O3" s="1460"/>
      <c r="P3" s="1460"/>
      <c r="Q3" s="1460"/>
      <c r="R3" s="1460"/>
      <c r="S3" s="1460"/>
      <c r="T3" s="2242" t="s">
        <v>495</v>
      </c>
      <c r="U3" s="2242"/>
      <c r="V3" s="2242"/>
      <c r="W3" s="2242"/>
      <c r="X3" s="2242"/>
      <c r="Y3" s="2242"/>
    </row>
    <row r="4" spans="1:25" s="1460" customFormat="1" ht="18" customHeight="1" x14ac:dyDescent="0.25">
      <c r="A4" s="2243" t="s">
        <v>25</v>
      </c>
      <c r="B4" s="2243" t="s">
        <v>26</v>
      </c>
      <c r="C4" s="2244" t="s">
        <v>27</v>
      </c>
      <c r="D4" s="2244"/>
      <c r="E4" s="2244" t="s">
        <v>342</v>
      </c>
      <c r="F4" s="2244"/>
      <c r="G4" s="2244" t="s">
        <v>65</v>
      </c>
      <c r="H4" s="2244"/>
      <c r="I4" s="2244" t="s">
        <v>29</v>
      </c>
      <c r="J4" s="2244"/>
      <c r="K4" s="2245" t="s">
        <v>14</v>
      </c>
      <c r="L4" s="2246"/>
      <c r="M4" s="2245" t="s">
        <v>429</v>
      </c>
      <c r="N4" s="2246"/>
      <c r="O4" s="2245" t="s">
        <v>441</v>
      </c>
      <c r="P4" s="2246"/>
      <c r="Q4" s="2245" t="s">
        <v>114</v>
      </c>
      <c r="R4" s="2246"/>
      <c r="S4" s="2244" t="s">
        <v>35</v>
      </c>
      <c r="T4" s="2244"/>
      <c r="U4" s="2245" t="s">
        <v>17</v>
      </c>
      <c r="V4" s="2246"/>
      <c r="W4" s="2247" t="s">
        <v>36</v>
      </c>
      <c r="X4" s="2248"/>
      <c r="Y4" s="2238" t="s">
        <v>30</v>
      </c>
    </row>
    <row r="5" spans="1:25" s="1460" customFormat="1" ht="25.5" customHeight="1" x14ac:dyDescent="0.25">
      <c r="A5" s="2243"/>
      <c r="B5" s="2243"/>
      <c r="C5" s="1462" t="s">
        <v>42</v>
      </c>
      <c r="D5" s="1462" t="s">
        <v>43</v>
      </c>
      <c r="E5" s="1462" t="s">
        <v>42</v>
      </c>
      <c r="F5" s="1462" t="s">
        <v>43</v>
      </c>
      <c r="G5" s="1462" t="s">
        <v>42</v>
      </c>
      <c r="H5" s="1462" t="s">
        <v>43</v>
      </c>
      <c r="I5" s="1462" t="s">
        <v>42</v>
      </c>
      <c r="J5" s="1462" t="s">
        <v>43</v>
      </c>
      <c r="K5" s="1462" t="s">
        <v>42</v>
      </c>
      <c r="L5" s="1462" t="s">
        <v>43</v>
      </c>
      <c r="M5" s="1462" t="s">
        <v>42</v>
      </c>
      <c r="N5" s="1462" t="s">
        <v>43</v>
      </c>
      <c r="O5" s="1462" t="s">
        <v>42</v>
      </c>
      <c r="P5" s="1462" t="s">
        <v>43</v>
      </c>
      <c r="Q5" s="1462" t="s">
        <v>42</v>
      </c>
      <c r="R5" s="1462" t="s">
        <v>43</v>
      </c>
      <c r="S5" s="33" t="s">
        <v>42</v>
      </c>
      <c r="T5" s="33" t="s">
        <v>43</v>
      </c>
      <c r="U5" s="30" t="s">
        <v>42</v>
      </c>
      <c r="V5" s="30" t="s">
        <v>43</v>
      </c>
      <c r="W5" s="30" t="s">
        <v>42</v>
      </c>
      <c r="X5" s="30" t="s">
        <v>43</v>
      </c>
      <c r="Y5" s="2239"/>
    </row>
    <row r="6" spans="1:25" ht="34.5" customHeight="1" x14ac:dyDescent="0.25">
      <c r="A6" s="12">
        <v>1409935200</v>
      </c>
      <c r="B6" s="1461" t="s">
        <v>71</v>
      </c>
      <c r="C6" s="1464">
        <v>19379</v>
      </c>
      <c r="D6" s="1465">
        <f t="shared" ref="D6:D11" si="0">0.9725*C6</f>
        <v>18846.077499999999</v>
      </c>
      <c r="E6" s="1464"/>
      <c r="F6" s="1465">
        <f>67.1*E6</f>
        <v>0</v>
      </c>
      <c r="G6" s="1464"/>
      <c r="H6" s="1464">
        <f>28.2*G6</f>
        <v>0</v>
      </c>
      <c r="I6" s="1464">
        <v>110</v>
      </c>
      <c r="J6" s="1464">
        <f>18.5*I6</f>
        <v>2035</v>
      </c>
      <c r="K6" s="1464"/>
      <c r="L6" s="1465">
        <f>28.2368*K6</f>
        <v>0</v>
      </c>
      <c r="M6" s="1464"/>
      <c r="N6" s="1465">
        <f>M6*47.6525</f>
        <v>0</v>
      </c>
      <c r="O6" s="1464"/>
      <c r="P6" s="1465">
        <f>O6*8.9</f>
        <v>0</v>
      </c>
      <c r="Q6" s="1465"/>
      <c r="R6" s="1465">
        <f>241*Q6</f>
        <v>0</v>
      </c>
      <c r="S6" s="1464">
        <v>22</v>
      </c>
      <c r="T6" s="1464">
        <f>241*S6</f>
        <v>5302</v>
      </c>
      <c r="U6" s="1464"/>
      <c r="V6" s="1464">
        <f>332*U6</f>
        <v>0</v>
      </c>
      <c r="W6" s="1464"/>
      <c r="X6" s="19">
        <f>W6*100</f>
        <v>0</v>
      </c>
      <c r="Y6" s="20">
        <f t="shared" ref="Y6:Y12" si="1">D6+F6+H6+J6+L6+N6+P6+R6+T6+V6+X6</f>
        <v>26183.077499999999</v>
      </c>
    </row>
    <row r="7" spans="1:25" ht="31.5" customHeight="1" x14ac:dyDescent="0.25">
      <c r="A7" s="12">
        <v>1984225578</v>
      </c>
      <c r="B7" s="1461" t="s">
        <v>72</v>
      </c>
      <c r="C7" s="1464">
        <v>22407</v>
      </c>
      <c r="D7" s="1465">
        <f t="shared" si="0"/>
        <v>21790.807499999999</v>
      </c>
      <c r="E7" s="1464"/>
      <c r="F7" s="1464">
        <f t="shared" ref="F7:F11" si="2">67.1*E7</f>
        <v>0</v>
      </c>
      <c r="G7" s="1464"/>
      <c r="H7" s="1464">
        <f t="shared" ref="H7:H11" si="3">28.2*G7</f>
        <v>0</v>
      </c>
      <c r="I7" s="1464"/>
      <c r="J7" s="1464">
        <f t="shared" ref="J7:J11" si="4">18.5*I7</f>
        <v>0</v>
      </c>
      <c r="K7" s="1464"/>
      <c r="L7" s="1465">
        <f t="shared" ref="L7:L11" si="5">28.2368*K7</f>
        <v>0</v>
      </c>
      <c r="M7" s="1464"/>
      <c r="N7" s="1465">
        <f t="shared" ref="N7:N11" si="6">M7*47.6525</f>
        <v>0</v>
      </c>
      <c r="O7" s="1464"/>
      <c r="P7" s="1465">
        <f t="shared" ref="P7:P11" si="7">O7*8.9</f>
        <v>0</v>
      </c>
      <c r="Q7" s="1465"/>
      <c r="R7" s="1465">
        <f t="shared" ref="R7:R11" si="8">241*Q7</f>
        <v>0</v>
      </c>
      <c r="S7" s="1464">
        <v>35</v>
      </c>
      <c r="T7" s="1464">
        <f t="shared" ref="T7:T10" si="9">241*S7</f>
        <v>8435</v>
      </c>
      <c r="U7" s="1464"/>
      <c r="V7" s="1464">
        <f t="shared" ref="V7:V11" si="10">332*U7</f>
        <v>0</v>
      </c>
      <c r="W7" s="1464"/>
      <c r="X7" s="19">
        <f t="shared" ref="X7:X11" si="11">W7*100</f>
        <v>0</v>
      </c>
      <c r="Y7" s="20">
        <f t="shared" si="1"/>
        <v>30225.807499999999</v>
      </c>
    </row>
    <row r="8" spans="1:25" ht="35.25" customHeight="1" x14ac:dyDescent="0.25">
      <c r="A8" s="12">
        <v>1967020280</v>
      </c>
      <c r="B8" s="1461" t="s">
        <v>427</v>
      </c>
      <c r="C8" s="1464">
        <v>27235</v>
      </c>
      <c r="D8" s="1465">
        <f t="shared" si="0"/>
        <v>26486.037500000002</v>
      </c>
      <c r="E8" s="1464"/>
      <c r="F8" s="1464">
        <f t="shared" si="2"/>
        <v>0</v>
      </c>
      <c r="G8" s="1464"/>
      <c r="H8" s="1465">
        <f t="shared" si="3"/>
        <v>0</v>
      </c>
      <c r="I8" s="1464">
        <v>390</v>
      </c>
      <c r="J8" s="1464">
        <f t="shared" si="4"/>
        <v>7215</v>
      </c>
      <c r="K8" s="1464"/>
      <c r="L8" s="1465">
        <f t="shared" si="5"/>
        <v>0</v>
      </c>
      <c r="M8" s="1464"/>
      <c r="N8" s="1465">
        <f t="shared" si="6"/>
        <v>0</v>
      </c>
      <c r="O8" s="1464"/>
      <c r="P8" s="1465">
        <f t="shared" si="7"/>
        <v>0</v>
      </c>
      <c r="Q8" s="1465"/>
      <c r="R8" s="1465">
        <f t="shared" si="8"/>
        <v>0</v>
      </c>
      <c r="S8" s="1464">
        <v>15</v>
      </c>
      <c r="T8" s="1464">
        <f t="shared" si="9"/>
        <v>3615</v>
      </c>
      <c r="U8" s="1464"/>
      <c r="V8" s="1464">
        <f t="shared" si="10"/>
        <v>0</v>
      </c>
      <c r="W8" s="1464"/>
      <c r="X8" s="19">
        <f t="shared" si="11"/>
        <v>0</v>
      </c>
      <c r="Y8" s="20">
        <f t="shared" si="1"/>
        <v>37316.037500000006</v>
      </c>
    </row>
    <row r="9" spans="1:25" ht="38.25" customHeight="1" x14ac:dyDescent="0.25">
      <c r="A9" s="12">
        <v>1984225580</v>
      </c>
      <c r="B9" s="1461" t="s">
        <v>75</v>
      </c>
      <c r="C9" s="1464">
        <v>45141</v>
      </c>
      <c r="D9" s="1465">
        <f t="shared" si="0"/>
        <v>43899.622500000005</v>
      </c>
      <c r="E9" s="1464"/>
      <c r="F9" s="1464">
        <f t="shared" si="2"/>
        <v>0</v>
      </c>
      <c r="G9" s="1464"/>
      <c r="H9" s="1464">
        <f t="shared" si="3"/>
        <v>0</v>
      </c>
      <c r="I9" s="1464"/>
      <c r="J9" s="1464">
        <f t="shared" si="4"/>
        <v>0</v>
      </c>
      <c r="K9" s="1464"/>
      <c r="L9" s="1465">
        <f t="shared" si="5"/>
        <v>0</v>
      </c>
      <c r="M9" s="1464"/>
      <c r="N9" s="1465">
        <f t="shared" si="6"/>
        <v>0</v>
      </c>
      <c r="O9" s="1464"/>
      <c r="P9" s="1465">
        <f t="shared" si="7"/>
        <v>0</v>
      </c>
      <c r="Q9" s="1465"/>
      <c r="R9" s="1465">
        <f t="shared" si="8"/>
        <v>0</v>
      </c>
      <c r="S9" s="1464">
        <v>17</v>
      </c>
      <c r="T9" s="1464">
        <f t="shared" si="9"/>
        <v>4097</v>
      </c>
      <c r="U9" s="1464"/>
      <c r="V9" s="1464">
        <f t="shared" si="10"/>
        <v>0</v>
      </c>
      <c r="W9" s="1464"/>
      <c r="X9" s="19">
        <f t="shared" si="11"/>
        <v>0</v>
      </c>
      <c r="Y9" s="20">
        <f t="shared" si="1"/>
        <v>47996.622500000005</v>
      </c>
    </row>
    <row r="10" spans="1:25" ht="35.25" customHeight="1" x14ac:dyDescent="0.25">
      <c r="A10" s="12">
        <v>1409935199</v>
      </c>
      <c r="C10" s="1464"/>
      <c r="D10" s="1465">
        <f t="shared" si="0"/>
        <v>0</v>
      </c>
      <c r="E10" s="1464"/>
      <c r="F10" s="1464">
        <f t="shared" si="2"/>
        <v>0</v>
      </c>
      <c r="G10" s="1464"/>
      <c r="H10" s="1464">
        <f t="shared" si="3"/>
        <v>0</v>
      </c>
      <c r="I10" s="1464"/>
      <c r="J10" s="1464">
        <f t="shared" si="4"/>
        <v>0</v>
      </c>
      <c r="K10" s="1464"/>
      <c r="L10" s="1465">
        <f t="shared" si="5"/>
        <v>0</v>
      </c>
      <c r="M10" s="1464"/>
      <c r="N10" s="1465">
        <f t="shared" si="6"/>
        <v>0</v>
      </c>
      <c r="O10" s="1464"/>
      <c r="P10" s="1465">
        <f t="shared" si="7"/>
        <v>0</v>
      </c>
      <c r="Q10" s="1465"/>
      <c r="R10" s="1465">
        <f t="shared" si="8"/>
        <v>0</v>
      </c>
      <c r="S10" s="1464"/>
      <c r="T10" s="1464">
        <f t="shared" si="9"/>
        <v>0</v>
      </c>
      <c r="U10" s="1464"/>
      <c r="V10" s="1464">
        <f t="shared" si="10"/>
        <v>0</v>
      </c>
      <c r="W10" s="1464"/>
      <c r="X10" s="19">
        <f t="shared" si="11"/>
        <v>0</v>
      </c>
      <c r="Y10" s="20">
        <f t="shared" si="1"/>
        <v>0</v>
      </c>
    </row>
    <row r="11" spans="1:25" ht="37.5" customHeight="1" x14ac:dyDescent="0.25">
      <c r="A11" s="12"/>
      <c r="B11" s="1463"/>
      <c r="C11" s="1464"/>
      <c r="D11" s="1465">
        <f t="shared" si="0"/>
        <v>0</v>
      </c>
      <c r="E11" s="1464"/>
      <c r="F11" s="1464">
        <f t="shared" si="2"/>
        <v>0</v>
      </c>
      <c r="G11" s="1464"/>
      <c r="H11" s="1464">
        <f t="shared" si="3"/>
        <v>0</v>
      </c>
      <c r="I11" s="1464"/>
      <c r="J11" s="1464">
        <f t="shared" si="4"/>
        <v>0</v>
      </c>
      <c r="K11" s="1464"/>
      <c r="L11" s="1465">
        <f t="shared" si="5"/>
        <v>0</v>
      </c>
      <c r="M11" s="1464"/>
      <c r="N11" s="1465">
        <f t="shared" si="6"/>
        <v>0</v>
      </c>
      <c r="O11" s="1464"/>
      <c r="P11" s="1465">
        <f t="shared" si="7"/>
        <v>0</v>
      </c>
      <c r="Q11" s="1465"/>
      <c r="R11" s="1465">
        <f t="shared" si="8"/>
        <v>0</v>
      </c>
      <c r="S11" s="1464"/>
      <c r="T11" s="1464">
        <f>341*S11</f>
        <v>0</v>
      </c>
      <c r="U11" s="1464"/>
      <c r="V11" s="1464">
        <f t="shared" si="10"/>
        <v>0</v>
      </c>
      <c r="W11" s="1464"/>
      <c r="X11" s="19">
        <f t="shared" si="11"/>
        <v>0</v>
      </c>
      <c r="Y11" s="20">
        <f t="shared" si="1"/>
        <v>0</v>
      </c>
    </row>
    <row r="12" spans="1:25" ht="29.25" customHeight="1" x14ac:dyDescent="0.25">
      <c r="A12" s="2235" t="s">
        <v>31</v>
      </c>
      <c r="B12" s="2235"/>
      <c r="C12" s="18">
        <f t="shared" ref="C12:X12" si="12">SUM(C6:C11)</f>
        <v>114162</v>
      </c>
      <c r="D12" s="18">
        <f t="shared" si="12"/>
        <v>111022.54500000001</v>
      </c>
      <c r="E12" s="18">
        <f t="shared" si="12"/>
        <v>0</v>
      </c>
      <c r="F12" s="18">
        <f t="shared" si="12"/>
        <v>0</v>
      </c>
      <c r="G12" s="18">
        <f t="shared" si="12"/>
        <v>0</v>
      </c>
      <c r="H12" s="18">
        <f t="shared" si="12"/>
        <v>0</v>
      </c>
      <c r="I12" s="18">
        <f t="shared" si="12"/>
        <v>500</v>
      </c>
      <c r="J12" s="18">
        <f t="shared" si="12"/>
        <v>9250</v>
      </c>
      <c r="K12" s="18">
        <f t="shared" si="12"/>
        <v>0</v>
      </c>
      <c r="L12" s="18">
        <f t="shared" si="12"/>
        <v>0</v>
      </c>
      <c r="M12" s="18">
        <f t="shared" si="12"/>
        <v>0</v>
      </c>
      <c r="N12" s="23">
        <f t="shared" si="12"/>
        <v>0</v>
      </c>
      <c r="O12" s="18">
        <f t="shared" si="12"/>
        <v>0</v>
      </c>
      <c r="P12" s="23">
        <f t="shared" si="12"/>
        <v>0</v>
      </c>
      <c r="Q12" s="23">
        <f t="shared" si="12"/>
        <v>0</v>
      </c>
      <c r="R12" s="23">
        <f>SUM(R6:R11)</f>
        <v>0</v>
      </c>
      <c r="S12" s="23">
        <f>SUM(S6:S11)</f>
        <v>89</v>
      </c>
      <c r="T12" s="18">
        <f t="shared" si="12"/>
        <v>21449</v>
      </c>
      <c r="U12" s="18">
        <f t="shared" si="12"/>
        <v>0</v>
      </c>
      <c r="V12" s="18">
        <f t="shared" si="12"/>
        <v>0</v>
      </c>
      <c r="W12" s="18">
        <f t="shared" si="12"/>
        <v>0</v>
      </c>
      <c r="X12" s="18">
        <f t="shared" si="12"/>
        <v>0</v>
      </c>
      <c r="Y12" s="20">
        <f t="shared" si="1"/>
        <v>141721.54500000001</v>
      </c>
    </row>
    <row r="14" spans="1:25" ht="43.5" customHeight="1" x14ac:dyDescent="0.25">
      <c r="A14" s="30" t="s">
        <v>32</v>
      </c>
      <c r="B14" s="2236" t="s">
        <v>27</v>
      </c>
      <c r="C14" s="2236"/>
      <c r="D14" s="30" t="s">
        <v>333</v>
      </c>
      <c r="E14" s="30" t="s">
        <v>65</v>
      </c>
      <c r="F14" s="30" t="s">
        <v>34</v>
      </c>
      <c r="G14" s="30" t="s">
        <v>14</v>
      </c>
      <c r="H14" s="469" t="s">
        <v>173</v>
      </c>
      <c r="I14" s="30" t="s">
        <v>17</v>
      </c>
      <c r="J14" s="1469" t="s">
        <v>174</v>
      </c>
      <c r="K14" s="30" t="s">
        <v>36</v>
      </c>
      <c r="L14" s="1469" t="s">
        <v>403</v>
      </c>
      <c r="M14" s="30" t="s">
        <v>429</v>
      </c>
      <c r="N14" s="30" t="s">
        <v>442</v>
      </c>
      <c r="O14" s="1469" t="s">
        <v>114</v>
      </c>
      <c r="P14" s="30" t="s">
        <v>70</v>
      </c>
      <c r="Q14" s="2300" t="s">
        <v>479</v>
      </c>
      <c r="R14" s="2301"/>
      <c r="S14" s="1469" t="s">
        <v>401</v>
      </c>
      <c r="T14" s="2235" t="s">
        <v>46</v>
      </c>
      <c r="U14" s="1461" t="s">
        <v>176</v>
      </c>
      <c r="V14" s="2260">
        <v>3610</v>
      </c>
      <c r="W14" s="2268"/>
      <c r="X14" s="2261"/>
    </row>
    <row r="15" spans="1:25" ht="22.5" customHeight="1" x14ac:dyDescent="0.25">
      <c r="A15" s="100" t="s">
        <v>38</v>
      </c>
      <c r="B15" s="2260">
        <v>171655</v>
      </c>
      <c r="C15" s="2261"/>
      <c r="D15" s="1466">
        <v>130</v>
      </c>
      <c r="E15" s="1466">
        <v>580</v>
      </c>
      <c r="F15" s="1466">
        <v>20570</v>
      </c>
      <c r="G15" s="1466">
        <v>580</v>
      </c>
      <c r="H15" s="1466">
        <v>161</v>
      </c>
      <c r="I15" s="1466">
        <v>11</v>
      </c>
      <c r="J15" s="1466">
        <v>4</v>
      </c>
      <c r="K15" s="1466">
        <v>80</v>
      </c>
      <c r="L15" s="1466">
        <v>0</v>
      </c>
      <c r="M15" s="1466">
        <v>0</v>
      </c>
      <c r="N15" s="1466">
        <v>500</v>
      </c>
      <c r="O15" s="1466">
        <v>0</v>
      </c>
      <c r="P15" s="1466">
        <v>100</v>
      </c>
      <c r="Q15" s="2260">
        <v>10</v>
      </c>
      <c r="R15" s="2261"/>
      <c r="S15" s="1461">
        <v>2</v>
      </c>
      <c r="T15" s="2235"/>
      <c r="U15" s="1461" t="s">
        <v>64</v>
      </c>
      <c r="V15" s="2262">
        <v>11462</v>
      </c>
      <c r="W15" s="2262"/>
      <c r="X15" s="2262"/>
    </row>
    <row r="16" spans="1:25" ht="24.75" customHeight="1" x14ac:dyDescent="0.25">
      <c r="A16" s="100" t="s">
        <v>39</v>
      </c>
      <c r="B16" s="2260">
        <v>415584</v>
      </c>
      <c r="C16" s="2261"/>
      <c r="D16" s="1466"/>
      <c r="E16" s="1466"/>
      <c r="F16" s="1466"/>
      <c r="G16" s="1466"/>
      <c r="H16" s="1466"/>
      <c r="I16" s="1466"/>
      <c r="J16" s="1466"/>
      <c r="K16" s="1466"/>
      <c r="L16" s="1466">
        <v>89</v>
      </c>
      <c r="M16" s="1466"/>
      <c r="N16" s="1466"/>
      <c r="O16" s="1466"/>
      <c r="P16" s="1466"/>
      <c r="Q16" s="2262"/>
      <c r="R16" s="2262"/>
      <c r="S16" s="1466"/>
      <c r="T16" s="2254" t="s">
        <v>55</v>
      </c>
      <c r="U16" s="2254"/>
      <c r="V16" s="2267">
        <f>Y12</f>
        <v>141721.54500000001</v>
      </c>
      <c r="W16" s="2267"/>
      <c r="X16" s="2262"/>
    </row>
    <row r="17" spans="1:25" ht="28.5" customHeight="1" x14ac:dyDescent="0.25">
      <c r="A17" s="101" t="s">
        <v>44</v>
      </c>
      <c r="B17" s="2260"/>
      <c r="C17" s="2261"/>
      <c r="D17" s="1466"/>
      <c r="E17" s="1466"/>
      <c r="F17" s="1466"/>
      <c r="G17" s="1466"/>
      <c r="H17" s="1466"/>
      <c r="I17" s="1466"/>
      <c r="J17" s="1466"/>
      <c r="K17" s="1466"/>
      <c r="L17" s="1466"/>
      <c r="M17" s="1466"/>
      <c r="N17" s="1466"/>
      <c r="O17" s="1466"/>
      <c r="P17" s="1466"/>
      <c r="Q17" s="2225"/>
      <c r="R17" s="2225"/>
      <c r="S17" s="1463"/>
      <c r="T17" s="2294" t="s">
        <v>473</v>
      </c>
      <c r="U17" s="2295"/>
      <c r="V17" s="2296"/>
      <c r="W17" s="2296"/>
      <c r="X17" s="2296"/>
    </row>
    <row r="18" spans="1:25" ht="27" customHeight="1" x14ac:dyDescent="0.25">
      <c r="A18" s="100" t="s">
        <v>40</v>
      </c>
      <c r="B18" s="2264">
        <f>C12</f>
        <v>114162</v>
      </c>
      <c r="C18" s="2261"/>
      <c r="D18" s="1467">
        <f>E12</f>
        <v>0</v>
      </c>
      <c r="E18" s="1467">
        <f>G12</f>
        <v>0</v>
      </c>
      <c r="F18" s="1467">
        <f>I12</f>
        <v>500</v>
      </c>
      <c r="G18" s="1467">
        <f>K12</f>
        <v>0</v>
      </c>
      <c r="H18" s="1466">
        <v>89</v>
      </c>
      <c r="I18" s="1467">
        <f>U12</f>
        <v>0</v>
      </c>
      <c r="J18" s="1466"/>
      <c r="K18" s="1467">
        <f>W12</f>
        <v>0</v>
      </c>
      <c r="L18" s="1466">
        <v>89</v>
      </c>
      <c r="M18" s="1467">
        <f>M12</f>
        <v>0</v>
      </c>
      <c r="N18" s="1467">
        <f>O12</f>
        <v>0</v>
      </c>
      <c r="O18" s="1468">
        <f>Q12</f>
        <v>0</v>
      </c>
      <c r="P18" s="1467"/>
      <c r="Q18" s="2262"/>
      <c r="R18" s="2262"/>
      <c r="S18" s="1461"/>
      <c r="T18" s="2254" t="s">
        <v>57</v>
      </c>
      <c r="U18" s="2254"/>
      <c r="V18" s="2262">
        <v>1020</v>
      </c>
      <c r="W18" s="2262"/>
      <c r="X18" s="2262"/>
      <c r="Y18" s="2269"/>
    </row>
    <row r="19" spans="1:25" ht="25.5" customHeight="1" x14ac:dyDescent="0.25">
      <c r="A19" s="100" t="s">
        <v>41</v>
      </c>
      <c r="B19" s="2260">
        <f>B15+B16+B17-B18</f>
        <v>473077</v>
      </c>
      <c r="C19" s="2261"/>
      <c r="D19" s="1466">
        <f>D15+D16+D17-D18</f>
        <v>130</v>
      </c>
      <c r="E19" s="1466">
        <f t="shared" ref="E19:N19" si="13">E15+E16+E17-E18</f>
        <v>580</v>
      </c>
      <c r="F19" s="1466">
        <f t="shared" si="13"/>
        <v>20070</v>
      </c>
      <c r="G19" s="1466">
        <f t="shared" si="13"/>
        <v>580</v>
      </c>
      <c r="H19" s="1466">
        <f t="shared" si="13"/>
        <v>72</v>
      </c>
      <c r="I19" s="1466">
        <f t="shared" si="13"/>
        <v>11</v>
      </c>
      <c r="J19" s="1466">
        <f t="shared" si="13"/>
        <v>4</v>
      </c>
      <c r="K19" s="1466">
        <f t="shared" si="13"/>
        <v>80</v>
      </c>
      <c r="L19" s="1466">
        <f t="shared" si="13"/>
        <v>0</v>
      </c>
      <c r="M19" s="1466">
        <f t="shared" si="13"/>
        <v>0</v>
      </c>
      <c r="N19" s="1466">
        <f t="shared" si="13"/>
        <v>500</v>
      </c>
      <c r="O19" s="1466">
        <f>O15+O16+O17-O18</f>
        <v>0</v>
      </c>
      <c r="P19" s="1466">
        <f t="shared" ref="P19:Q19" si="14">P15+P16+P17-P18</f>
        <v>100</v>
      </c>
      <c r="Q19" s="2260">
        <f t="shared" si="14"/>
        <v>10</v>
      </c>
      <c r="R19" s="2261"/>
      <c r="S19" s="1461">
        <f>S15+S16-S17-S18</f>
        <v>2</v>
      </c>
      <c r="T19" s="2256" t="s">
        <v>48</v>
      </c>
      <c r="U19" s="49" t="s">
        <v>58</v>
      </c>
      <c r="V19" s="2262">
        <v>109860</v>
      </c>
      <c r="W19" s="2262"/>
      <c r="X19" s="2262"/>
      <c r="Y19" s="2269"/>
    </row>
    <row r="20" spans="1:25" ht="23.25" customHeight="1" x14ac:dyDescent="0.25">
      <c r="A20" s="289" t="s">
        <v>187</v>
      </c>
      <c r="B20" s="2286">
        <f>B19*0.9625</f>
        <v>455336.61249999999</v>
      </c>
      <c r="C20" s="2287"/>
      <c r="D20" s="290">
        <f>D19*66.41</f>
        <v>8633.2999999999993</v>
      </c>
      <c r="E20" s="290">
        <f>27.9368*E19</f>
        <v>16203.344000000001</v>
      </c>
      <c r="F20" s="290">
        <f>18.31*F19</f>
        <v>367481.69999999995</v>
      </c>
      <c r="G20" s="290">
        <f>27.9368*G19</f>
        <v>16203.344000000001</v>
      </c>
      <c r="H20" s="290">
        <f>241*H19</f>
        <v>17352</v>
      </c>
      <c r="I20" s="290">
        <f>323*I19</f>
        <v>3553</v>
      </c>
      <c r="J20" s="290">
        <f>241*J19</f>
        <v>964</v>
      </c>
      <c r="K20" s="290">
        <f>K19*100</f>
        <v>8000</v>
      </c>
      <c r="L20" s="290">
        <f>241*L19</f>
        <v>0</v>
      </c>
      <c r="M20" s="290">
        <f>47.1625*M19</f>
        <v>0</v>
      </c>
      <c r="N20" s="290">
        <f>N19*8.81</f>
        <v>4405</v>
      </c>
      <c r="O20" s="290">
        <f>241*O19</f>
        <v>0</v>
      </c>
      <c r="P20" s="290">
        <f>P19*48.2</f>
        <v>4820</v>
      </c>
      <c r="Q20" s="2286">
        <f>470*Q19</f>
        <v>4700</v>
      </c>
      <c r="R20" s="2287"/>
      <c r="S20" s="290">
        <f>341*S19</f>
        <v>682</v>
      </c>
      <c r="T20" s="2257"/>
      <c r="U20" s="49" t="s">
        <v>59</v>
      </c>
      <c r="V20" s="2262"/>
      <c r="W20" s="2262"/>
      <c r="X20" s="2262"/>
      <c r="Y20" s="2269"/>
    </row>
    <row r="21" spans="1:25" ht="32.25" customHeight="1" x14ac:dyDescent="0.25">
      <c r="A21" s="291" t="s">
        <v>186</v>
      </c>
      <c r="B21" s="2293">
        <f>SUM(B20:S20)</f>
        <v>908334.3004999999</v>
      </c>
      <c r="C21" s="2293"/>
      <c r="O21" s="1470"/>
      <c r="P21" s="1470"/>
      <c r="Q21" s="1470"/>
      <c r="R21" s="1470"/>
      <c r="T21" s="2294" t="s">
        <v>487</v>
      </c>
      <c r="U21" s="2295"/>
      <c r="V21" s="2297"/>
      <c r="W21" s="2298"/>
      <c r="X21" s="2299"/>
      <c r="Y21" s="2269"/>
    </row>
    <row r="22" spans="1:25" ht="35.25" customHeight="1" x14ac:dyDescent="0.25">
      <c r="A22" s="15"/>
      <c r="B22" s="2288" t="s">
        <v>49</v>
      </c>
      <c r="C22" s="2291">
        <v>109860</v>
      </c>
      <c r="D22" s="2291">
        <v>109860</v>
      </c>
      <c r="E22" s="2291">
        <v>400000</v>
      </c>
      <c r="F22" s="2291">
        <f>C22-D22+E22</f>
        <v>400000</v>
      </c>
      <c r="G22" s="1470"/>
      <c r="Q22" s="1470"/>
      <c r="R22" s="1470"/>
      <c r="T22" s="2251" t="s">
        <v>83</v>
      </c>
      <c r="U22" s="50" t="s">
        <v>60</v>
      </c>
      <c r="V22" s="2262">
        <v>122340</v>
      </c>
      <c r="W22" s="2262"/>
      <c r="X22" s="2262"/>
      <c r="Y22" s="2269"/>
    </row>
    <row r="23" spans="1:25" ht="39.75" customHeight="1" x14ac:dyDescent="0.25">
      <c r="A23" s="1470"/>
      <c r="B23" s="2289"/>
      <c r="C23" s="2292"/>
      <c r="D23" s="2292"/>
      <c r="E23" s="2292"/>
      <c r="F23" s="2292"/>
      <c r="G23" s="1470"/>
      <c r="Q23" s="1470"/>
      <c r="R23" s="1470"/>
      <c r="T23" s="2252"/>
      <c r="U23" s="50" t="s">
        <v>61</v>
      </c>
      <c r="V23" s="2262">
        <v>109860</v>
      </c>
      <c r="W23" s="2262"/>
      <c r="X23" s="2262"/>
      <c r="Y23" s="2269"/>
    </row>
    <row r="24" spans="1:25" ht="48" customHeight="1" x14ac:dyDescent="0.25">
      <c r="A24" s="1470"/>
      <c r="B24" s="2290"/>
      <c r="C24" s="290" t="s">
        <v>46</v>
      </c>
      <c r="D24" s="290" t="s">
        <v>50</v>
      </c>
      <c r="E24" s="290" t="s">
        <v>51</v>
      </c>
      <c r="F24" s="290" t="s">
        <v>52</v>
      </c>
      <c r="G24" s="1470"/>
      <c r="Q24" s="1470"/>
      <c r="R24" s="1470"/>
      <c r="T24" s="2235" t="s">
        <v>47</v>
      </c>
      <c r="U24" s="51" t="s">
        <v>62</v>
      </c>
      <c r="V24" s="2263">
        <f>V14+V16+V17-V18-V19-V20-V22+V23-V21</f>
        <v>21971.545000000013</v>
      </c>
      <c r="W24" s="2263"/>
      <c r="X24" s="2263"/>
      <c r="Y24" s="2269"/>
    </row>
    <row r="25" spans="1:25" ht="40.5" customHeight="1" x14ac:dyDescent="0.25">
      <c r="T25" s="2235"/>
      <c r="U25" s="51" t="s">
        <v>63</v>
      </c>
      <c r="V25" s="2262">
        <f>V15+V22-V23</f>
        <v>23942</v>
      </c>
      <c r="W25" s="2262"/>
      <c r="X25" s="2262"/>
    </row>
    <row r="26" spans="1:25" ht="36" customHeight="1" x14ac:dyDescent="0.25">
      <c r="K26" s="314"/>
    </row>
    <row r="28" spans="1:25" x14ac:dyDescent="0.25">
      <c r="J28" s="14" t="s">
        <v>139</v>
      </c>
    </row>
    <row r="32" spans="1:25" x14ac:dyDescent="0.25">
      <c r="I32" s="2280"/>
      <c r="J32" s="2280"/>
      <c r="K32" s="2280"/>
      <c r="L32" s="2280"/>
    </row>
    <row r="33" spans="9:12" x14ac:dyDescent="0.25">
      <c r="I33" s="1470"/>
      <c r="J33" s="1470"/>
      <c r="K33" s="2280"/>
      <c r="L33" s="2280"/>
    </row>
  </sheetData>
  <mergeCells count="62">
    <mergeCell ref="I32:J32"/>
    <mergeCell ref="K32:L32"/>
    <mergeCell ref="K33:L33"/>
    <mergeCell ref="T22:T23"/>
    <mergeCell ref="V22:X22"/>
    <mergeCell ref="V23:X23"/>
    <mergeCell ref="T24:T25"/>
    <mergeCell ref="V24:X24"/>
    <mergeCell ref="V25:X25"/>
    <mergeCell ref="Y18:Y24"/>
    <mergeCell ref="B19:C19"/>
    <mergeCell ref="Q19:R19"/>
    <mergeCell ref="T19:T20"/>
    <mergeCell ref="V19:X19"/>
    <mergeCell ref="B20:C20"/>
    <mergeCell ref="B22:B24"/>
    <mergeCell ref="C22:C23"/>
    <mergeCell ref="D22:D23"/>
    <mergeCell ref="E22:E23"/>
    <mergeCell ref="F22:F23"/>
    <mergeCell ref="Q20:R20"/>
    <mergeCell ref="V20:X20"/>
    <mergeCell ref="B21:C21"/>
    <mergeCell ref="T21:U21"/>
    <mergeCell ref="V21:X21"/>
    <mergeCell ref="B17:C17"/>
    <mergeCell ref="Q17:R17"/>
    <mergeCell ref="T17:U17"/>
    <mergeCell ref="V17:X17"/>
    <mergeCell ref="B18:C18"/>
    <mergeCell ref="Q18:R18"/>
    <mergeCell ref="T18:U18"/>
    <mergeCell ref="V18:X18"/>
    <mergeCell ref="W4:X4"/>
    <mergeCell ref="B16:C16"/>
    <mergeCell ref="Q16:R16"/>
    <mergeCell ref="T16:U16"/>
    <mergeCell ref="V16:X16"/>
    <mergeCell ref="A12:B12"/>
    <mergeCell ref="B14:C14"/>
    <mergeCell ref="Q14:R14"/>
    <mergeCell ref="T14:T15"/>
    <mergeCell ref="V14:X14"/>
    <mergeCell ref="B15:C15"/>
    <mergeCell ref="Q15:R15"/>
    <mergeCell ref="V15:X15"/>
    <mergeCell ref="A1:Y1"/>
    <mergeCell ref="A2:Y2"/>
    <mergeCell ref="T3:Y3"/>
    <mergeCell ref="A4:A5"/>
    <mergeCell ref="B4:B5"/>
    <mergeCell ref="C4:D4"/>
    <mergeCell ref="E4:F4"/>
    <mergeCell ref="G4:H4"/>
    <mergeCell ref="I4:J4"/>
    <mergeCell ref="K4:L4"/>
    <mergeCell ref="Y4:Y5"/>
    <mergeCell ref="M4:N4"/>
    <mergeCell ref="O4:P4"/>
    <mergeCell ref="Q4:R4"/>
    <mergeCell ref="S4:T4"/>
    <mergeCell ref="U4:V4"/>
  </mergeCells>
  <pageMargins left="0.15748031496063" right="0.15748031496063" top="0" bottom="0" header="0" footer="0"/>
  <pageSetup paperSize="9" scale="46" orientation="landscape" r:id="rId1"/>
</worksheet>
</file>

<file path=xl/worksheets/sheet25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91B3F9A-EC8A-45C1-A0D8-6350BDACD879}">
  <sheetPr>
    <pageSetUpPr fitToPage="1"/>
  </sheetPr>
  <dimension ref="A1:Y33"/>
  <sheetViews>
    <sheetView topLeftCell="A10" zoomScale="70" zoomScaleNormal="70" zoomScaleSheetLayoutView="100" zoomScalePageLayoutView="68" workbookViewId="0">
      <selection activeCell="G11" sqref="G11"/>
    </sheetView>
  </sheetViews>
  <sheetFormatPr defaultColWidth="9.140625" defaultRowHeight="15" x14ac:dyDescent="0.25"/>
  <cols>
    <col min="1" max="1" width="18.28515625" style="14" customWidth="1"/>
    <col min="2" max="2" width="10.7109375" style="14" customWidth="1"/>
    <col min="3" max="3" width="12.28515625" style="14" customWidth="1"/>
    <col min="4" max="4" width="13.140625" style="14" bestFit="1" customWidth="1"/>
    <col min="5" max="5" width="12" style="14" customWidth="1"/>
    <col min="6" max="6" width="14" style="14" bestFit="1" customWidth="1"/>
    <col min="7" max="7" width="16" style="14" bestFit="1" customWidth="1"/>
    <col min="8" max="8" width="10.140625" style="14" bestFit="1" customWidth="1"/>
    <col min="9" max="9" width="10.5703125" style="14" bestFit="1" customWidth="1"/>
    <col min="10" max="10" width="10.5703125" style="14" customWidth="1"/>
    <col min="11" max="11" width="10.28515625" style="14" bestFit="1" customWidth="1"/>
    <col min="12" max="12" width="10.42578125" style="14" bestFit="1" customWidth="1"/>
    <col min="13" max="14" width="12" style="14" bestFit="1" customWidth="1"/>
    <col min="15" max="15" width="11" style="14" customWidth="1"/>
    <col min="16" max="16" width="12.85546875" style="14" bestFit="1" customWidth="1"/>
    <col min="17" max="18" width="9.42578125" style="14" customWidth="1"/>
    <col min="19" max="19" width="13.7109375" style="14" customWidth="1"/>
    <col min="20" max="20" width="12.140625" style="14" customWidth="1"/>
    <col min="21" max="21" width="21.7109375" style="14" customWidth="1"/>
    <col min="22" max="22" width="9.85546875" style="14" customWidth="1"/>
    <col min="23" max="23" width="10.140625" style="14" bestFit="1" customWidth="1"/>
    <col min="24" max="24" width="10.28515625" style="14" customWidth="1"/>
    <col min="25" max="25" width="15.7109375" style="14" customWidth="1"/>
    <col min="26" max="16384" width="9.140625" style="14"/>
  </cols>
  <sheetData>
    <row r="1" spans="1:25" ht="46.15" customHeight="1" x14ac:dyDescent="0.25">
      <c r="A1" s="2240" t="s">
        <v>148</v>
      </c>
      <c r="B1" s="2240"/>
      <c r="C1" s="2240"/>
      <c r="D1" s="2240"/>
      <c r="E1" s="2240"/>
      <c r="F1" s="2240"/>
      <c r="G1" s="2240"/>
      <c r="H1" s="2240"/>
      <c r="I1" s="2240"/>
      <c r="J1" s="2240"/>
      <c r="K1" s="2240"/>
      <c r="L1" s="2240"/>
      <c r="M1" s="2240"/>
      <c r="N1" s="2240"/>
      <c r="O1" s="2240"/>
      <c r="P1" s="2240"/>
      <c r="Q1" s="2240"/>
      <c r="R1" s="2240"/>
      <c r="S1" s="2240"/>
      <c r="T1" s="2240"/>
      <c r="U1" s="2240"/>
      <c r="V1" s="2240"/>
      <c r="W1" s="2240"/>
      <c r="X1" s="2240"/>
      <c r="Y1" s="2240"/>
    </row>
    <row r="2" spans="1:25" ht="21.6" customHeight="1" x14ac:dyDescent="0.25">
      <c r="A2" s="2241" t="s">
        <v>383</v>
      </c>
      <c r="B2" s="2241"/>
      <c r="C2" s="2241"/>
      <c r="D2" s="2241"/>
      <c r="E2" s="2241"/>
      <c r="F2" s="2241"/>
      <c r="G2" s="2241"/>
      <c r="H2" s="2241"/>
      <c r="I2" s="2241"/>
      <c r="J2" s="2241"/>
      <c r="K2" s="2241"/>
      <c r="L2" s="2241"/>
      <c r="M2" s="2241"/>
      <c r="N2" s="2241"/>
      <c r="O2" s="2241"/>
      <c r="P2" s="2241"/>
      <c r="Q2" s="2241"/>
      <c r="R2" s="2241"/>
      <c r="S2" s="2241"/>
      <c r="T2" s="2241"/>
      <c r="U2" s="2241"/>
      <c r="V2" s="2241"/>
      <c r="W2" s="2241"/>
      <c r="X2" s="2241"/>
      <c r="Y2" s="2241"/>
    </row>
    <row r="3" spans="1:25" ht="21" customHeight="1" x14ac:dyDescent="0.25">
      <c r="A3" s="1476"/>
      <c r="B3" s="1476"/>
      <c r="C3" s="1476"/>
      <c r="D3" s="1476"/>
      <c r="E3" s="1476"/>
      <c r="F3" s="1476"/>
      <c r="G3" s="1476"/>
      <c r="H3" s="1476"/>
      <c r="I3" s="1476"/>
      <c r="J3" s="1476"/>
      <c r="K3" s="1476"/>
      <c r="L3" s="1476"/>
      <c r="M3" s="1476"/>
      <c r="N3" s="1476"/>
      <c r="O3" s="1476"/>
      <c r="P3" s="1476"/>
      <c r="Q3" s="1476"/>
      <c r="R3" s="1476"/>
      <c r="S3" s="1476"/>
      <c r="T3" s="2242" t="s">
        <v>496</v>
      </c>
      <c r="U3" s="2242"/>
      <c r="V3" s="2242"/>
      <c r="W3" s="2242"/>
      <c r="X3" s="2242"/>
      <c r="Y3" s="2242"/>
    </row>
    <row r="4" spans="1:25" s="1476" customFormat="1" ht="18" customHeight="1" x14ac:dyDescent="0.25">
      <c r="A4" s="2243" t="s">
        <v>25</v>
      </c>
      <c r="B4" s="2243" t="s">
        <v>26</v>
      </c>
      <c r="C4" s="2244" t="s">
        <v>27</v>
      </c>
      <c r="D4" s="2244"/>
      <c r="E4" s="2244" t="s">
        <v>342</v>
      </c>
      <c r="F4" s="2244"/>
      <c r="G4" s="2244" t="s">
        <v>65</v>
      </c>
      <c r="H4" s="2244"/>
      <c r="I4" s="2244" t="s">
        <v>29</v>
      </c>
      <c r="J4" s="2244"/>
      <c r="K4" s="2245" t="s">
        <v>14</v>
      </c>
      <c r="L4" s="2246"/>
      <c r="M4" s="2245" t="s">
        <v>429</v>
      </c>
      <c r="N4" s="2246"/>
      <c r="O4" s="2245" t="s">
        <v>441</v>
      </c>
      <c r="P4" s="2246"/>
      <c r="Q4" s="2245" t="s">
        <v>114</v>
      </c>
      <c r="R4" s="2246"/>
      <c r="S4" s="2244" t="s">
        <v>35</v>
      </c>
      <c r="T4" s="2244"/>
      <c r="U4" s="2245" t="s">
        <v>17</v>
      </c>
      <c r="V4" s="2246"/>
      <c r="W4" s="2247" t="s">
        <v>36</v>
      </c>
      <c r="X4" s="2248"/>
      <c r="Y4" s="2238" t="s">
        <v>30</v>
      </c>
    </row>
    <row r="5" spans="1:25" s="1476" customFormat="1" ht="25.5" customHeight="1" x14ac:dyDescent="0.25">
      <c r="A5" s="2243"/>
      <c r="B5" s="2243"/>
      <c r="C5" s="1475" t="s">
        <v>42</v>
      </c>
      <c r="D5" s="1475" t="s">
        <v>43</v>
      </c>
      <c r="E5" s="1475" t="s">
        <v>42</v>
      </c>
      <c r="F5" s="1475" t="s">
        <v>43</v>
      </c>
      <c r="G5" s="1475" t="s">
        <v>42</v>
      </c>
      <c r="H5" s="1475" t="s">
        <v>43</v>
      </c>
      <c r="I5" s="1475" t="s">
        <v>42</v>
      </c>
      <c r="J5" s="1475" t="s">
        <v>43</v>
      </c>
      <c r="K5" s="1475" t="s">
        <v>42</v>
      </c>
      <c r="L5" s="1475" t="s">
        <v>43</v>
      </c>
      <c r="M5" s="1475" t="s">
        <v>42</v>
      </c>
      <c r="N5" s="1475" t="s">
        <v>43</v>
      </c>
      <c r="O5" s="1475" t="s">
        <v>42</v>
      </c>
      <c r="P5" s="1475" t="s">
        <v>43</v>
      </c>
      <c r="Q5" s="1475" t="s">
        <v>42</v>
      </c>
      <c r="R5" s="1475" t="s">
        <v>43</v>
      </c>
      <c r="S5" s="33" t="s">
        <v>42</v>
      </c>
      <c r="T5" s="33" t="s">
        <v>43</v>
      </c>
      <c r="U5" s="30" t="s">
        <v>42</v>
      </c>
      <c r="V5" s="30" t="s">
        <v>43</v>
      </c>
      <c r="W5" s="30" t="s">
        <v>42</v>
      </c>
      <c r="X5" s="30" t="s">
        <v>43</v>
      </c>
      <c r="Y5" s="2239"/>
    </row>
    <row r="6" spans="1:25" ht="34.5" customHeight="1" x14ac:dyDescent="0.25">
      <c r="A6" s="12">
        <v>1409935200</v>
      </c>
      <c r="B6" s="1474" t="s">
        <v>71</v>
      </c>
      <c r="C6" s="1472">
        <v>62659</v>
      </c>
      <c r="D6" s="1471">
        <f t="shared" ref="D6:D11" si="0">0.9725*C6</f>
        <v>60935.877500000002</v>
      </c>
      <c r="E6" s="1472"/>
      <c r="F6" s="1471">
        <f>67.1*E6</f>
        <v>0</v>
      </c>
      <c r="G6" s="1472">
        <v>110</v>
      </c>
      <c r="H6" s="1472">
        <f>28.2*G6</f>
        <v>3102</v>
      </c>
      <c r="I6" s="1472">
        <v>420</v>
      </c>
      <c r="J6" s="1472">
        <f>18.5*I6</f>
        <v>7770</v>
      </c>
      <c r="K6" s="1472"/>
      <c r="L6" s="1471">
        <f>28.2368*K6</f>
        <v>0</v>
      </c>
      <c r="M6" s="1472"/>
      <c r="N6" s="1471">
        <f>M6*47.6525</f>
        <v>0</v>
      </c>
      <c r="O6" s="1472"/>
      <c r="P6" s="1471">
        <f>O6*8.9</f>
        <v>0</v>
      </c>
      <c r="Q6" s="1471"/>
      <c r="R6" s="1471">
        <f>241*Q6</f>
        <v>0</v>
      </c>
      <c r="S6" s="1472"/>
      <c r="T6" s="1472">
        <f>241*S6</f>
        <v>0</v>
      </c>
      <c r="U6" s="1472"/>
      <c r="V6" s="1472">
        <f>332*U6</f>
        <v>0</v>
      </c>
      <c r="W6" s="1472"/>
      <c r="X6" s="19">
        <f>W6*100</f>
        <v>0</v>
      </c>
      <c r="Y6" s="20">
        <f t="shared" ref="Y6:Y12" si="1">D6+F6+H6+J6+L6+N6+P6+R6+T6+V6+X6</f>
        <v>71807.877500000002</v>
      </c>
    </row>
    <row r="7" spans="1:25" ht="31.5" customHeight="1" x14ac:dyDescent="0.25">
      <c r="A7" s="12">
        <v>1984225578</v>
      </c>
      <c r="B7" s="1474" t="s">
        <v>72</v>
      </c>
      <c r="C7" s="1472">
        <v>41776</v>
      </c>
      <c r="D7" s="1471">
        <f t="shared" si="0"/>
        <v>40627.160000000003</v>
      </c>
      <c r="E7" s="1472"/>
      <c r="F7" s="1472">
        <f t="shared" ref="F7:F11" si="2">67.1*E7</f>
        <v>0</v>
      </c>
      <c r="G7" s="1472"/>
      <c r="H7" s="1472">
        <f t="shared" ref="H7:H11" si="3">28.2*G7</f>
        <v>0</v>
      </c>
      <c r="I7" s="1472">
        <v>90</v>
      </c>
      <c r="J7" s="1472">
        <f t="shared" ref="J7:J11" si="4">18.5*I7</f>
        <v>1665</v>
      </c>
      <c r="K7" s="1472"/>
      <c r="L7" s="1471">
        <f t="shared" ref="L7:L11" si="5">28.2368*K7</f>
        <v>0</v>
      </c>
      <c r="M7" s="1472"/>
      <c r="N7" s="1471">
        <f t="shared" ref="N7:N11" si="6">M7*47.6525</f>
        <v>0</v>
      </c>
      <c r="O7" s="1472"/>
      <c r="P7" s="1471">
        <f t="shared" ref="P7:P11" si="7">O7*8.9</f>
        <v>0</v>
      </c>
      <c r="Q7" s="1471"/>
      <c r="R7" s="1471">
        <f t="shared" ref="R7:R11" si="8">241*Q7</f>
        <v>0</v>
      </c>
      <c r="S7" s="1472"/>
      <c r="T7" s="1472">
        <f t="shared" ref="T7:T10" si="9">241*S7</f>
        <v>0</v>
      </c>
      <c r="U7" s="1472"/>
      <c r="V7" s="1472">
        <f t="shared" ref="V7:V11" si="10">332*U7</f>
        <v>0</v>
      </c>
      <c r="W7" s="1472"/>
      <c r="X7" s="19">
        <f t="shared" ref="X7:X11" si="11">W7*100</f>
        <v>0</v>
      </c>
      <c r="Y7" s="20">
        <f t="shared" si="1"/>
        <v>42292.160000000003</v>
      </c>
    </row>
    <row r="8" spans="1:25" ht="35.25" customHeight="1" x14ac:dyDescent="0.25">
      <c r="A8" s="12">
        <v>1967020280</v>
      </c>
      <c r="B8" s="1474" t="s">
        <v>427</v>
      </c>
      <c r="C8" s="1472">
        <v>37869</v>
      </c>
      <c r="D8" s="1471">
        <f t="shared" si="0"/>
        <v>36827.602500000001</v>
      </c>
      <c r="E8" s="1472"/>
      <c r="F8" s="1472">
        <f t="shared" si="2"/>
        <v>0</v>
      </c>
      <c r="G8" s="1472">
        <v>30</v>
      </c>
      <c r="H8" s="1471">
        <f t="shared" si="3"/>
        <v>846</v>
      </c>
      <c r="I8" s="1472">
        <v>670</v>
      </c>
      <c r="J8" s="1472">
        <f t="shared" si="4"/>
        <v>12395</v>
      </c>
      <c r="K8" s="1472"/>
      <c r="L8" s="1471">
        <f t="shared" si="5"/>
        <v>0</v>
      </c>
      <c r="M8" s="1472"/>
      <c r="N8" s="1471">
        <f t="shared" si="6"/>
        <v>0</v>
      </c>
      <c r="O8" s="1472"/>
      <c r="P8" s="1471">
        <f t="shared" si="7"/>
        <v>0</v>
      </c>
      <c r="Q8" s="1471"/>
      <c r="R8" s="1471">
        <f t="shared" si="8"/>
        <v>0</v>
      </c>
      <c r="S8" s="1472"/>
      <c r="T8" s="1472">
        <f t="shared" si="9"/>
        <v>0</v>
      </c>
      <c r="U8" s="1472"/>
      <c r="V8" s="1472">
        <f t="shared" si="10"/>
        <v>0</v>
      </c>
      <c r="W8" s="1472"/>
      <c r="X8" s="19">
        <f t="shared" si="11"/>
        <v>0</v>
      </c>
      <c r="Y8" s="20">
        <f t="shared" si="1"/>
        <v>50068.602500000001</v>
      </c>
    </row>
    <row r="9" spans="1:25" ht="38.25" customHeight="1" x14ac:dyDescent="0.25">
      <c r="A9" s="12">
        <v>1984225580</v>
      </c>
      <c r="B9" s="1474" t="s">
        <v>75</v>
      </c>
      <c r="C9" s="1472">
        <v>54669</v>
      </c>
      <c r="D9" s="1471">
        <f t="shared" si="0"/>
        <v>53165.602500000001</v>
      </c>
      <c r="E9" s="1472"/>
      <c r="F9" s="1472">
        <f t="shared" si="2"/>
        <v>0</v>
      </c>
      <c r="G9" s="1472"/>
      <c r="H9" s="1472">
        <f t="shared" si="3"/>
        <v>0</v>
      </c>
      <c r="I9" s="1472">
        <v>1080</v>
      </c>
      <c r="J9" s="1472">
        <f t="shared" si="4"/>
        <v>19980</v>
      </c>
      <c r="K9" s="1472"/>
      <c r="L9" s="1471">
        <f t="shared" si="5"/>
        <v>0</v>
      </c>
      <c r="M9" s="1472"/>
      <c r="N9" s="1471">
        <f t="shared" si="6"/>
        <v>0</v>
      </c>
      <c r="O9" s="1472"/>
      <c r="P9" s="1471">
        <f t="shared" si="7"/>
        <v>0</v>
      </c>
      <c r="Q9" s="1471"/>
      <c r="R9" s="1471">
        <f t="shared" si="8"/>
        <v>0</v>
      </c>
      <c r="S9" s="1472"/>
      <c r="T9" s="1472">
        <f t="shared" si="9"/>
        <v>0</v>
      </c>
      <c r="U9" s="1472">
        <v>3</v>
      </c>
      <c r="V9" s="1472">
        <f t="shared" si="10"/>
        <v>996</v>
      </c>
      <c r="W9" s="1472"/>
      <c r="X9" s="19">
        <f t="shared" si="11"/>
        <v>0</v>
      </c>
      <c r="Y9" s="20">
        <f t="shared" si="1"/>
        <v>74141.602500000008</v>
      </c>
    </row>
    <row r="10" spans="1:25" ht="35.25" customHeight="1" x14ac:dyDescent="0.25">
      <c r="A10" s="12">
        <v>1409935199</v>
      </c>
      <c r="C10" s="1472"/>
      <c r="D10" s="1471">
        <f t="shared" si="0"/>
        <v>0</v>
      </c>
      <c r="E10" s="1472"/>
      <c r="F10" s="1472">
        <f t="shared" si="2"/>
        <v>0</v>
      </c>
      <c r="G10" s="1472"/>
      <c r="H10" s="1472">
        <f t="shared" si="3"/>
        <v>0</v>
      </c>
      <c r="I10" s="1472"/>
      <c r="J10" s="1472">
        <f t="shared" si="4"/>
        <v>0</v>
      </c>
      <c r="K10" s="1472"/>
      <c r="L10" s="1471">
        <f t="shared" si="5"/>
        <v>0</v>
      </c>
      <c r="M10" s="1472"/>
      <c r="N10" s="1471">
        <f t="shared" si="6"/>
        <v>0</v>
      </c>
      <c r="O10" s="1472"/>
      <c r="P10" s="1471">
        <f t="shared" si="7"/>
        <v>0</v>
      </c>
      <c r="Q10" s="1471"/>
      <c r="R10" s="1471">
        <f t="shared" si="8"/>
        <v>0</v>
      </c>
      <c r="S10" s="1472"/>
      <c r="T10" s="1472">
        <f t="shared" si="9"/>
        <v>0</v>
      </c>
      <c r="U10" s="1472"/>
      <c r="V10" s="1472">
        <f t="shared" si="10"/>
        <v>0</v>
      </c>
      <c r="W10" s="1472"/>
      <c r="X10" s="19">
        <f t="shared" si="11"/>
        <v>0</v>
      </c>
      <c r="Y10" s="20">
        <f t="shared" si="1"/>
        <v>0</v>
      </c>
    </row>
    <row r="11" spans="1:25" ht="37.5" customHeight="1" x14ac:dyDescent="0.25">
      <c r="A11" s="12"/>
      <c r="B11" s="1473"/>
      <c r="C11" s="1472"/>
      <c r="D11" s="1471">
        <f t="shared" si="0"/>
        <v>0</v>
      </c>
      <c r="E11" s="1472"/>
      <c r="F11" s="1472">
        <f t="shared" si="2"/>
        <v>0</v>
      </c>
      <c r="G11" s="1472"/>
      <c r="H11" s="1472">
        <f t="shared" si="3"/>
        <v>0</v>
      </c>
      <c r="I11" s="1472"/>
      <c r="J11" s="1472">
        <f t="shared" si="4"/>
        <v>0</v>
      </c>
      <c r="K11" s="1472"/>
      <c r="L11" s="1471">
        <f t="shared" si="5"/>
        <v>0</v>
      </c>
      <c r="M11" s="1472"/>
      <c r="N11" s="1471">
        <f t="shared" si="6"/>
        <v>0</v>
      </c>
      <c r="O11" s="1472"/>
      <c r="P11" s="1471">
        <f t="shared" si="7"/>
        <v>0</v>
      </c>
      <c r="Q11" s="1471"/>
      <c r="R11" s="1471">
        <f t="shared" si="8"/>
        <v>0</v>
      </c>
      <c r="S11" s="1472"/>
      <c r="T11" s="1472">
        <f>341*S11</f>
        <v>0</v>
      </c>
      <c r="U11" s="1472"/>
      <c r="V11" s="1472">
        <f t="shared" si="10"/>
        <v>0</v>
      </c>
      <c r="W11" s="1472"/>
      <c r="X11" s="19">
        <f t="shared" si="11"/>
        <v>0</v>
      </c>
      <c r="Y11" s="20">
        <f t="shared" si="1"/>
        <v>0</v>
      </c>
    </row>
    <row r="12" spans="1:25" ht="29.25" customHeight="1" x14ac:dyDescent="0.25">
      <c r="A12" s="2235" t="s">
        <v>31</v>
      </c>
      <c r="B12" s="2235"/>
      <c r="C12" s="18">
        <f t="shared" ref="C12:X12" si="12">SUM(C6:C11)</f>
        <v>196973</v>
      </c>
      <c r="D12" s="18">
        <f t="shared" si="12"/>
        <v>191556.24250000002</v>
      </c>
      <c r="E12" s="18">
        <f t="shared" si="12"/>
        <v>0</v>
      </c>
      <c r="F12" s="18">
        <f t="shared" si="12"/>
        <v>0</v>
      </c>
      <c r="G12" s="18">
        <f t="shared" si="12"/>
        <v>140</v>
      </c>
      <c r="H12" s="18">
        <f t="shared" si="12"/>
        <v>3948</v>
      </c>
      <c r="I12" s="18">
        <f t="shared" si="12"/>
        <v>2260</v>
      </c>
      <c r="J12" s="18">
        <f t="shared" si="12"/>
        <v>41810</v>
      </c>
      <c r="K12" s="18">
        <f t="shared" si="12"/>
        <v>0</v>
      </c>
      <c r="L12" s="18">
        <f t="shared" si="12"/>
        <v>0</v>
      </c>
      <c r="M12" s="18">
        <f t="shared" si="12"/>
        <v>0</v>
      </c>
      <c r="N12" s="23">
        <f t="shared" si="12"/>
        <v>0</v>
      </c>
      <c r="O12" s="18">
        <f t="shared" si="12"/>
        <v>0</v>
      </c>
      <c r="P12" s="23">
        <f t="shared" si="12"/>
        <v>0</v>
      </c>
      <c r="Q12" s="23">
        <f t="shared" si="12"/>
        <v>0</v>
      </c>
      <c r="R12" s="23">
        <f>SUM(R6:R11)</f>
        <v>0</v>
      </c>
      <c r="S12" s="23">
        <f>SUM(S6:S11)</f>
        <v>0</v>
      </c>
      <c r="T12" s="18">
        <f t="shared" si="12"/>
        <v>0</v>
      </c>
      <c r="U12" s="18">
        <f t="shared" si="12"/>
        <v>3</v>
      </c>
      <c r="V12" s="18">
        <f t="shared" si="12"/>
        <v>996</v>
      </c>
      <c r="W12" s="18">
        <f t="shared" si="12"/>
        <v>0</v>
      </c>
      <c r="X12" s="18">
        <f t="shared" si="12"/>
        <v>0</v>
      </c>
      <c r="Y12" s="20">
        <f t="shared" si="1"/>
        <v>238310.24250000002</v>
      </c>
    </row>
    <row r="14" spans="1:25" ht="43.5" customHeight="1" x14ac:dyDescent="0.25">
      <c r="A14" s="30" t="s">
        <v>32</v>
      </c>
      <c r="B14" s="2236" t="s">
        <v>27</v>
      </c>
      <c r="C14" s="2236"/>
      <c r="D14" s="30" t="s">
        <v>333</v>
      </c>
      <c r="E14" s="30" t="s">
        <v>65</v>
      </c>
      <c r="F14" s="30" t="s">
        <v>34</v>
      </c>
      <c r="G14" s="30" t="s">
        <v>14</v>
      </c>
      <c r="H14" s="469" t="s">
        <v>173</v>
      </c>
      <c r="I14" s="30" t="s">
        <v>17</v>
      </c>
      <c r="J14" s="1480" t="s">
        <v>174</v>
      </c>
      <c r="K14" s="30" t="s">
        <v>36</v>
      </c>
      <c r="L14" s="1480" t="s">
        <v>403</v>
      </c>
      <c r="M14" s="30" t="s">
        <v>429</v>
      </c>
      <c r="N14" s="30" t="s">
        <v>442</v>
      </c>
      <c r="O14" s="1480" t="s">
        <v>114</v>
      </c>
      <c r="P14" s="30" t="s">
        <v>70</v>
      </c>
      <c r="Q14" s="2300" t="s">
        <v>479</v>
      </c>
      <c r="R14" s="2301"/>
      <c r="S14" s="1480" t="s">
        <v>401</v>
      </c>
      <c r="T14" s="2235" t="s">
        <v>46</v>
      </c>
      <c r="U14" s="1474" t="s">
        <v>176</v>
      </c>
      <c r="V14" s="2260">
        <v>21972</v>
      </c>
      <c r="W14" s="2268"/>
      <c r="X14" s="2261"/>
    </row>
    <row r="15" spans="1:25" ht="22.5" customHeight="1" x14ac:dyDescent="0.25">
      <c r="A15" s="100" t="s">
        <v>38</v>
      </c>
      <c r="B15" s="2260">
        <v>473077</v>
      </c>
      <c r="C15" s="2261"/>
      <c r="D15" s="1477">
        <v>130</v>
      </c>
      <c r="E15" s="1477">
        <v>580</v>
      </c>
      <c r="F15" s="1477">
        <v>20070</v>
      </c>
      <c r="G15" s="1477">
        <v>580</v>
      </c>
      <c r="H15" s="1477">
        <v>72</v>
      </c>
      <c r="I15" s="1477">
        <v>11</v>
      </c>
      <c r="J15" s="1477">
        <v>4</v>
      </c>
      <c r="K15" s="1477">
        <v>80</v>
      </c>
      <c r="L15" s="1477">
        <v>0</v>
      </c>
      <c r="M15" s="1477">
        <v>0</v>
      </c>
      <c r="N15" s="1477">
        <v>500</v>
      </c>
      <c r="O15" s="1477">
        <v>0</v>
      </c>
      <c r="P15" s="1477">
        <v>100</v>
      </c>
      <c r="Q15" s="2260">
        <v>10</v>
      </c>
      <c r="R15" s="2261"/>
      <c r="S15" s="1474">
        <v>2</v>
      </c>
      <c r="T15" s="2235"/>
      <c r="U15" s="1474" t="s">
        <v>64</v>
      </c>
      <c r="V15" s="2262">
        <v>23942</v>
      </c>
      <c r="W15" s="2262"/>
      <c r="X15" s="2262"/>
    </row>
    <row r="16" spans="1:25" ht="24.75" customHeight="1" x14ac:dyDescent="0.25">
      <c r="A16" s="100" t="s">
        <v>39</v>
      </c>
      <c r="B16" s="2260"/>
      <c r="C16" s="2261"/>
      <c r="D16" s="1477"/>
      <c r="E16" s="1477"/>
      <c r="F16" s="1477"/>
      <c r="G16" s="1477"/>
      <c r="H16" s="1477"/>
      <c r="I16" s="1477"/>
      <c r="J16" s="1477"/>
      <c r="K16" s="1477"/>
      <c r="L16" s="1477"/>
      <c r="M16" s="1477"/>
      <c r="N16" s="1477"/>
      <c r="O16" s="1477"/>
      <c r="P16" s="1477"/>
      <c r="Q16" s="2262"/>
      <c r="R16" s="2262"/>
      <c r="S16" s="1477"/>
      <c r="T16" s="2254" t="s">
        <v>55</v>
      </c>
      <c r="U16" s="2254"/>
      <c r="V16" s="2267">
        <f>Y12</f>
        <v>238310.24250000002</v>
      </c>
      <c r="W16" s="2267"/>
      <c r="X16" s="2262"/>
    </row>
    <row r="17" spans="1:25" ht="28.5" customHeight="1" x14ac:dyDescent="0.25">
      <c r="A17" s="101" t="s">
        <v>44</v>
      </c>
      <c r="B17" s="2260"/>
      <c r="C17" s="2261"/>
      <c r="D17" s="1477"/>
      <c r="E17" s="1477"/>
      <c r="F17" s="1477"/>
      <c r="G17" s="1477"/>
      <c r="H17" s="1477"/>
      <c r="I17" s="1477"/>
      <c r="J17" s="1477"/>
      <c r="K17" s="1477"/>
      <c r="L17" s="1477"/>
      <c r="M17" s="1477"/>
      <c r="N17" s="1477"/>
      <c r="O17" s="1477"/>
      <c r="P17" s="1477"/>
      <c r="Q17" s="2225"/>
      <c r="R17" s="2225"/>
      <c r="S17" s="1473"/>
      <c r="T17" s="2294" t="s">
        <v>473</v>
      </c>
      <c r="U17" s="2295"/>
      <c r="V17" s="2296"/>
      <c r="W17" s="2296"/>
      <c r="X17" s="2296"/>
    </row>
    <row r="18" spans="1:25" ht="27" customHeight="1" x14ac:dyDescent="0.25">
      <c r="A18" s="100" t="s">
        <v>40</v>
      </c>
      <c r="B18" s="2264">
        <f>C12</f>
        <v>196973</v>
      </c>
      <c r="C18" s="2261"/>
      <c r="D18" s="1479">
        <f>E12</f>
        <v>0</v>
      </c>
      <c r="E18" s="1479">
        <f>G12</f>
        <v>140</v>
      </c>
      <c r="F18" s="1479">
        <f>I12</f>
        <v>2260</v>
      </c>
      <c r="G18" s="1479">
        <f>K12</f>
        <v>0</v>
      </c>
      <c r="H18" s="1477"/>
      <c r="I18" s="1479">
        <f>U12</f>
        <v>3</v>
      </c>
      <c r="J18" s="1477"/>
      <c r="K18" s="1479">
        <f>W12</f>
        <v>0</v>
      </c>
      <c r="L18" s="1477"/>
      <c r="M18" s="1479">
        <f>M12</f>
        <v>0</v>
      </c>
      <c r="N18" s="1479">
        <f>O12</f>
        <v>0</v>
      </c>
      <c r="O18" s="1478">
        <f>Q12</f>
        <v>0</v>
      </c>
      <c r="P18" s="1479"/>
      <c r="Q18" s="2262"/>
      <c r="R18" s="2262"/>
      <c r="S18" s="1474"/>
      <c r="T18" s="2254" t="s">
        <v>57</v>
      </c>
      <c r="U18" s="2254"/>
      <c r="V18" s="2262">
        <v>620</v>
      </c>
      <c r="W18" s="2262"/>
      <c r="X18" s="2262"/>
      <c r="Y18" s="2269"/>
    </row>
    <row r="19" spans="1:25" ht="25.5" customHeight="1" x14ac:dyDescent="0.25">
      <c r="A19" s="100" t="s">
        <v>41</v>
      </c>
      <c r="B19" s="2260">
        <f>B15+B16+B17-B18</f>
        <v>276104</v>
      </c>
      <c r="C19" s="2261"/>
      <c r="D19" s="1477">
        <f>D15+D16+D17-D18</f>
        <v>130</v>
      </c>
      <c r="E19" s="1477">
        <f t="shared" ref="E19:N19" si="13">E15+E16+E17-E18</f>
        <v>440</v>
      </c>
      <c r="F19" s="1477">
        <f t="shared" si="13"/>
        <v>17810</v>
      </c>
      <c r="G19" s="1477">
        <f t="shared" si="13"/>
        <v>580</v>
      </c>
      <c r="H19" s="1477">
        <f t="shared" si="13"/>
        <v>72</v>
      </c>
      <c r="I19" s="1477">
        <f t="shared" si="13"/>
        <v>8</v>
      </c>
      <c r="J19" s="1477">
        <f t="shared" si="13"/>
        <v>4</v>
      </c>
      <c r="K19" s="1477">
        <f t="shared" si="13"/>
        <v>80</v>
      </c>
      <c r="L19" s="1477">
        <f t="shared" si="13"/>
        <v>0</v>
      </c>
      <c r="M19" s="1477">
        <f t="shared" si="13"/>
        <v>0</v>
      </c>
      <c r="N19" s="1477">
        <f t="shared" si="13"/>
        <v>500</v>
      </c>
      <c r="O19" s="1477">
        <f>O15+O16+O17-O18</f>
        <v>0</v>
      </c>
      <c r="P19" s="1477">
        <f t="shared" ref="P19:Q19" si="14">P15+P16+P17-P18</f>
        <v>100</v>
      </c>
      <c r="Q19" s="2260">
        <f t="shared" si="14"/>
        <v>10</v>
      </c>
      <c r="R19" s="2261"/>
      <c r="S19" s="1474">
        <f>S15+S16-S17-S18</f>
        <v>2</v>
      </c>
      <c r="T19" s="2256" t="s">
        <v>48</v>
      </c>
      <c r="U19" s="49" t="s">
        <v>58</v>
      </c>
      <c r="V19" s="2262"/>
      <c r="W19" s="2262"/>
      <c r="X19" s="2262"/>
      <c r="Y19" s="2269"/>
    </row>
    <row r="20" spans="1:25" ht="23.25" customHeight="1" x14ac:dyDescent="0.25">
      <c r="A20" s="289" t="s">
        <v>187</v>
      </c>
      <c r="B20" s="2286">
        <f>B19*0.9625</f>
        <v>265750.10000000003</v>
      </c>
      <c r="C20" s="2287"/>
      <c r="D20" s="290">
        <f>D19*66.41</f>
        <v>8633.2999999999993</v>
      </c>
      <c r="E20" s="290">
        <f>27.9368*E19</f>
        <v>12292.192000000001</v>
      </c>
      <c r="F20" s="290">
        <f>18.31*F19</f>
        <v>326101.09999999998</v>
      </c>
      <c r="G20" s="290">
        <f>27.9368*G19</f>
        <v>16203.344000000001</v>
      </c>
      <c r="H20" s="290">
        <f>241*H19</f>
        <v>17352</v>
      </c>
      <c r="I20" s="290">
        <f>323*I19</f>
        <v>2584</v>
      </c>
      <c r="J20" s="290">
        <f>241*J19</f>
        <v>964</v>
      </c>
      <c r="K20" s="290">
        <f>K19*100</f>
        <v>8000</v>
      </c>
      <c r="L20" s="290">
        <f>241*L19</f>
        <v>0</v>
      </c>
      <c r="M20" s="290">
        <f>47.1625*M19</f>
        <v>0</v>
      </c>
      <c r="N20" s="290">
        <f>N19*8.81</f>
        <v>4405</v>
      </c>
      <c r="O20" s="290">
        <f>241*O19</f>
        <v>0</v>
      </c>
      <c r="P20" s="290">
        <f>P19*48.2</f>
        <v>4820</v>
      </c>
      <c r="Q20" s="2286">
        <f>470*Q19</f>
        <v>4700</v>
      </c>
      <c r="R20" s="2287"/>
      <c r="S20" s="290">
        <f>341*S19</f>
        <v>682</v>
      </c>
      <c r="T20" s="2257"/>
      <c r="U20" s="49" t="s">
        <v>59</v>
      </c>
      <c r="V20" s="2262"/>
      <c r="W20" s="2262"/>
      <c r="X20" s="2262"/>
      <c r="Y20" s="2269"/>
    </row>
    <row r="21" spans="1:25" ht="32.25" customHeight="1" x14ac:dyDescent="0.25">
      <c r="A21" s="291" t="s">
        <v>186</v>
      </c>
      <c r="B21" s="2293">
        <f>SUM(B20:S20)</f>
        <v>672487.03600000008</v>
      </c>
      <c r="C21" s="2293"/>
      <c r="O21" s="1481"/>
      <c r="P21" s="1481"/>
      <c r="Q21" s="1481"/>
      <c r="R21" s="1481"/>
      <c r="T21" s="2294" t="s">
        <v>487</v>
      </c>
      <c r="U21" s="2295"/>
      <c r="V21" s="2297"/>
      <c r="W21" s="2298"/>
      <c r="X21" s="2299"/>
      <c r="Y21" s="2269"/>
    </row>
    <row r="22" spans="1:25" ht="35.25" customHeight="1" x14ac:dyDescent="0.25">
      <c r="A22" s="15"/>
      <c r="B22" s="2288" t="s">
        <v>49</v>
      </c>
      <c r="C22" s="2291">
        <v>400000</v>
      </c>
      <c r="D22" s="2291"/>
      <c r="E22" s="2291"/>
      <c r="F22" s="2291">
        <f>C22-D22+E22</f>
        <v>400000</v>
      </c>
      <c r="G22" s="1481"/>
      <c r="Q22" s="1481"/>
      <c r="R22" s="1481"/>
      <c r="T22" s="2251" t="s">
        <v>83</v>
      </c>
      <c r="U22" s="50" t="s">
        <v>60</v>
      </c>
      <c r="V22" s="2262"/>
      <c r="W22" s="2262"/>
      <c r="X22" s="2262"/>
      <c r="Y22" s="2269"/>
    </row>
    <row r="23" spans="1:25" ht="39.75" customHeight="1" x14ac:dyDescent="0.25">
      <c r="A23" s="1481"/>
      <c r="B23" s="2289"/>
      <c r="C23" s="2292"/>
      <c r="D23" s="2292"/>
      <c r="E23" s="2292"/>
      <c r="F23" s="2292"/>
      <c r="G23" s="1481"/>
      <c r="Q23" s="1481"/>
      <c r="R23" s="1481"/>
      <c r="T23" s="2252"/>
      <c r="U23" s="50" t="s">
        <v>61</v>
      </c>
      <c r="V23" s="2262"/>
      <c r="W23" s="2262"/>
      <c r="X23" s="2262"/>
      <c r="Y23" s="2269"/>
    </row>
    <row r="24" spans="1:25" ht="48" customHeight="1" x14ac:dyDescent="0.25">
      <c r="A24" s="1481"/>
      <c r="B24" s="2290"/>
      <c r="C24" s="290" t="s">
        <v>46</v>
      </c>
      <c r="D24" s="290" t="s">
        <v>50</v>
      </c>
      <c r="E24" s="290" t="s">
        <v>51</v>
      </c>
      <c r="F24" s="290" t="s">
        <v>52</v>
      </c>
      <c r="G24" s="1481"/>
      <c r="Q24" s="1481"/>
      <c r="R24" s="1481"/>
      <c r="T24" s="2235" t="s">
        <v>47</v>
      </c>
      <c r="U24" s="51" t="s">
        <v>62</v>
      </c>
      <c r="V24" s="2263">
        <f>V14+V16+V17-V18-V19-V20-V22+V23-V21</f>
        <v>259662.24250000002</v>
      </c>
      <c r="W24" s="2263"/>
      <c r="X24" s="2263"/>
      <c r="Y24" s="2269"/>
    </row>
    <row r="25" spans="1:25" ht="40.5" customHeight="1" x14ac:dyDescent="0.25">
      <c r="T25" s="2235"/>
      <c r="U25" s="51" t="s">
        <v>63</v>
      </c>
      <c r="V25" s="2262">
        <f>V15+V22-V23</f>
        <v>23942</v>
      </c>
      <c r="W25" s="2262"/>
      <c r="X25" s="2262"/>
    </row>
    <row r="26" spans="1:25" ht="36" customHeight="1" x14ac:dyDescent="0.25">
      <c r="K26" s="314"/>
    </row>
    <row r="28" spans="1:25" x14ac:dyDescent="0.25">
      <c r="J28" s="14" t="s">
        <v>139</v>
      </c>
    </row>
    <row r="32" spans="1:25" x14ac:dyDescent="0.25">
      <c r="I32" s="2280"/>
      <c r="J32" s="2280"/>
      <c r="K32" s="2280"/>
      <c r="L32" s="2280"/>
    </row>
    <row r="33" spans="9:12" x14ac:dyDescent="0.25">
      <c r="I33" s="1481"/>
      <c r="J33" s="1481"/>
      <c r="K33" s="2280"/>
      <c r="L33" s="2280"/>
    </row>
  </sheetData>
  <mergeCells count="62">
    <mergeCell ref="A1:Y1"/>
    <mergeCell ref="A2:Y2"/>
    <mergeCell ref="T3:Y3"/>
    <mergeCell ref="A4:A5"/>
    <mergeCell ref="B4:B5"/>
    <mergeCell ref="C4:D4"/>
    <mergeCell ref="E4:F4"/>
    <mergeCell ref="G4:H4"/>
    <mergeCell ref="I4:J4"/>
    <mergeCell ref="K4:L4"/>
    <mergeCell ref="Y4:Y5"/>
    <mergeCell ref="M4:N4"/>
    <mergeCell ref="O4:P4"/>
    <mergeCell ref="Q4:R4"/>
    <mergeCell ref="S4:T4"/>
    <mergeCell ref="U4:V4"/>
    <mergeCell ref="W4:X4"/>
    <mergeCell ref="B16:C16"/>
    <mergeCell ref="Q16:R16"/>
    <mergeCell ref="T16:U16"/>
    <mergeCell ref="V16:X16"/>
    <mergeCell ref="A12:B12"/>
    <mergeCell ref="B14:C14"/>
    <mergeCell ref="Q14:R14"/>
    <mergeCell ref="T14:T15"/>
    <mergeCell ref="V14:X14"/>
    <mergeCell ref="B15:C15"/>
    <mergeCell ref="Q15:R15"/>
    <mergeCell ref="V15:X15"/>
    <mergeCell ref="B17:C17"/>
    <mergeCell ref="Q17:R17"/>
    <mergeCell ref="T17:U17"/>
    <mergeCell ref="V17:X17"/>
    <mergeCell ref="B18:C18"/>
    <mergeCell ref="Q18:R18"/>
    <mergeCell ref="T18:U18"/>
    <mergeCell ref="V18:X18"/>
    <mergeCell ref="Y18:Y24"/>
    <mergeCell ref="B19:C19"/>
    <mergeCell ref="Q19:R19"/>
    <mergeCell ref="T19:T20"/>
    <mergeCell ref="V19:X19"/>
    <mergeCell ref="B20:C20"/>
    <mergeCell ref="B22:B24"/>
    <mergeCell ref="C22:C23"/>
    <mergeCell ref="D22:D23"/>
    <mergeCell ref="E22:E23"/>
    <mergeCell ref="F22:F23"/>
    <mergeCell ref="Q20:R20"/>
    <mergeCell ref="V20:X20"/>
    <mergeCell ref="B21:C21"/>
    <mergeCell ref="T21:U21"/>
    <mergeCell ref="V21:X21"/>
    <mergeCell ref="I32:J32"/>
    <mergeCell ref="K32:L32"/>
    <mergeCell ref="K33:L33"/>
    <mergeCell ref="T22:T23"/>
    <mergeCell ref="V22:X22"/>
    <mergeCell ref="V23:X23"/>
    <mergeCell ref="T24:T25"/>
    <mergeCell ref="V24:X24"/>
    <mergeCell ref="V25:X25"/>
  </mergeCells>
  <pageMargins left="0.15748031496063" right="0.15748031496063" top="0" bottom="0" header="0" footer="0"/>
  <pageSetup paperSize="9" scale="46" orientation="landscape" r:id="rId1"/>
</worksheet>
</file>

<file path=xl/worksheets/sheet25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C46AADA-BA9A-4279-95B6-B5F55FBC367F}">
  <sheetPr>
    <pageSetUpPr fitToPage="1"/>
  </sheetPr>
  <dimension ref="A1:Y33"/>
  <sheetViews>
    <sheetView topLeftCell="D7" zoomScale="70" zoomScaleNormal="70" zoomScaleSheetLayoutView="100" zoomScalePageLayoutView="68" workbookViewId="0">
      <selection activeCell="K22" sqref="K22"/>
    </sheetView>
  </sheetViews>
  <sheetFormatPr defaultColWidth="9.140625" defaultRowHeight="15" x14ac:dyDescent="0.25"/>
  <cols>
    <col min="1" max="1" width="18.28515625" style="14" customWidth="1"/>
    <col min="2" max="2" width="10.7109375" style="14" customWidth="1"/>
    <col min="3" max="3" width="12.28515625" style="14" customWidth="1"/>
    <col min="4" max="4" width="13.140625" style="14" bestFit="1" customWidth="1"/>
    <col min="5" max="5" width="12" style="14" customWidth="1"/>
    <col min="6" max="6" width="14" style="14" bestFit="1" customWidth="1"/>
    <col min="7" max="7" width="16" style="14" bestFit="1" customWidth="1"/>
    <col min="8" max="8" width="10.140625" style="14" bestFit="1" customWidth="1"/>
    <col min="9" max="9" width="10.5703125" style="14" bestFit="1" customWidth="1"/>
    <col min="10" max="10" width="10.5703125" style="14" customWidth="1"/>
    <col min="11" max="11" width="10.28515625" style="14" bestFit="1" customWidth="1"/>
    <col min="12" max="12" width="10.42578125" style="14" bestFit="1" customWidth="1"/>
    <col min="13" max="14" width="12" style="14" bestFit="1" customWidth="1"/>
    <col min="15" max="15" width="11" style="14" customWidth="1"/>
    <col min="16" max="16" width="12.85546875" style="14" bestFit="1" customWidth="1"/>
    <col min="17" max="18" width="9.42578125" style="14" customWidth="1"/>
    <col min="19" max="19" width="13.7109375" style="14" customWidth="1"/>
    <col min="20" max="20" width="12.140625" style="14" customWidth="1"/>
    <col min="21" max="21" width="21.7109375" style="14" customWidth="1"/>
    <col min="22" max="22" width="9.85546875" style="14" customWidth="1"/>
    <col min="23" max="23" width="10.140625" style="14" bestFit="1" customWidth="1"/>
    <col min="24" max="24" width="10.28515625" style="14" customWidth="1"/>
    <col min="25" max="25" width="15.7109375" style="14" customWidth="1"/>
    <col min="26" max="16384" width="9.140625" style="14"/>
  </cols>
  <sheetData>
    <row r="1" spans="1:25" ht="46.15" customHeight="1" x14ac:dyDescent="0.25">
      <c r="A1" s="2240" t="s">
        <v>148</v>
      </c>
      <c r="B1" s="2240"/>
      <c r="C1" s="2240"/>
      <c r="D1" s="2240"/>
      <c r="E1" s="2240"/>
      <c r="F1" s="2240"/>
      <c r="G1" s="2240"/>
      <c r="H1" s="2240"/>
      <c r="I1" s="2240"/>
      <c r="J1" s="2240"/>
      <c r="K1" s="2240"/>
      <c r="L1" s="2240"/>
      <c r="M1" s="2240"/>
      <c r="N1" s="2240"/>
      <c r="O1" s="2240"/>
      <c r="P1" s="2240"/>
      <c r="Q1" s="2240"/>
      <c r="R1" s="2240"/>
      <c r="S1" s="2240"/>
      <c r="T1" s="2240"/>
      <c r="U1" s="2240"/>
      <c r="V1" s="2240"/>
      <c r="W1" s="2240"/>
      <c r="X1" s="2240"/>
      <c r="Y1" s="2240"/>
    </row>
    <row r="2" spans="1:25" ht="21.6" customHeight="1" x14ac:dyDescent="0.25">
      <c r="A2" s="2241" t="s">
        <v>383</v>
      </c>
      <c r="B2" s="2241"/>
      <c r="C2" s="2241"/>
      <c r="D2" s="2241"/>
      <c r="E2" s="2241"/>
      <c r="F2" s="2241"/>
      <c r="G2" s="2241"/>
      <c r="H2" s="2241"/>
      <c r="I2" s="2241"/>
      <c r="J2" s="2241"/>
      <c r="K2" s="2241"/>
      <c r="L2" s="2241"/>
      <c r="M2" s="2241"/>
      <c r="N2" s="2241"/>
      <c r="O2" s="2241"/>
      <c r="P2" s="2241"/>
      <c r="Q2" s="2241"/>
      <c r="R2" s="2241"/>
      <c r="S2" s="2241"/>
      <c r="T2" s="2241"/>
      <c r="U2" s="2241"/>
      <c r="V2" s="2241"/>
      <c r="W2" s="2241"/>
      <c r="X2" s="2241"/>
      <c r="Y2" s="2241"/>
    </row>
    <row r="3" spans="1:25" ht="21" customHeight="1" x14ac:dyDescent="0.25">
      <c r="A3" s="1476"/>
      <c r="B3" s="1476"/>
      <c r="C3" s="1476"/>
      <c r="D3" s="1476"/>
      <c r="E3" s="1476"/>
      <c r="F3" s="1476"/>
      <c r="G3" s="1476"/>
      <c r="H3" s="1476"/>
      <c r="I3" s="1476"/>
      <c r="J3" s="1476"/>
      <c r="K3" s="1476"/>
      <c r="L3" s="1476"/>
      <c r="M3" s="1476"/>
      <c r="N3" s="1476"/>
      <c r="O3" s="1476"/>
      <c r="P3" s="1476"/>
      <c r="Q3" s="1476"/>
      <c r="R3" s="1476"/>
      <c r="S3" s="1476"/>
      <c r="T3" s="2242" t="s">
        <v>497</v>
      </c>
      <c r="U3" s="2242"/>
      <c r="V3" s="2242"/>
      <c r="W3" s="2242"/>
      <c r="X3" s="2242"/>
      <c r="Y3" s="2242"/>
    </row>
    <row r="4" spans="1:25" s="1476" customFormat="1" ht="18" customHeight="1" x14ac:dyDescent="0.25">
      <c r="A4" s="2243" t="s">
        <v>25</v>
      </c>
      <c r="B4" s="2243" t="s">
        <v>26</v>
      </c>
      <c r="C4" s="2244" t="s">
        <v>27</v>
      </c>
      <c r="D4" s="2244"/>
      <c r="E4" s="2244" t="s">
        <v>342</v>
      </c>
      <c r="F4" s="2244"/>
      <c r="G4" s="2244" t="s">
        <v>65</v>
      </c>
      <c r="H4" s="2244"/>
      <c r="I4" s="2244" t="s">
        <v>29</v>
      </c>
      <c r="J4" s="2244"/>
      <c r="K4" s="2245" t="s">
        <v>14</v>
      </c>
      <c r="L4" s="2246"/>
      <c r="M4" s="2245" t="s">
        <v>429</v>
      </c>
      <c r="N4" s="2246"/>
      <c r="O4" s="2245" t="s">
        <v>441</v>
      </c>
      <c r="P4" s="2246"/>
      <c r="Q4" s="2245" t="s">
        <v>114</v>
      </c>
      <c r="R4" s="2246"/>
      <c r="S4" s="2244" t="s">
        <v>35</v>
      </c>
      <c r="T4" s="2244"/>
      <c r="U4" s="2245" t="s">
        <v>17</v>
      </c>
      <c r="V4" s="2246"/>
      <c r="W4" s="2247" t="s">
        <v>36</v>
      </c>
      <c r="X4" s="2248"/>
      <c r="Y4" s="2238" t="s">
        <v>30</v>
      </c>
    </row>
    <row r="5" spans="1:25" s="1476" customFormat="1" ht="25.5" customHeight="1" x14ac:dyDescent="0.25">
      <c r="A5" s="2243"/>
      <c r="B5" s="2243"/>
      <c r="C5" s="1475" t="s">
        <v>42</v>
      </c>
      <c r="D5" s="1475" t="s">
        <v>43</v>
      </c>
      <c r="E5" s="1475" t="s">
        <v>42</v>
      </c>
      <c r="F5" s="1475" t="s">
        <v>43</v>
      </c>
      <c r="G5" s="1475" t="s">
        <v>42</v>
      </c>
      <c r="H5" s="1475" t="s">
        <v>43</v>
      </c>
      <c r="I5" s="1475" t="s">
        <v>42</v>
      </c>
      <c r="J5" s="1475" t="s">
        <v>43</v>
      </c>
      <c r="K5" s="1475" t="s">
        <v>42</v>
      </c>
      <c r="L5" s="1475" t="s">
        <v>43</v>
      </c>
      <c r="M5" s="1475" t="s">
        <v>42</v>
      </c>
      <c r="N5" s="1475" t="s">
        <v>43</v>
      </c>
      <c r="O5" s="1475" t="s">
        <v>42</v>
      </c>
      <c r="P5" s="1475" t="s">
        <v>43</v>
      </c>
      <c r="Q5" s="1475" t="s">
        <v>42</v>
      </c>
      <c r="R5" s="1475" t="s">
        <v>43</v>
      </c>
      <c r="S5" s="33" t="s">
        <v>42</v>
      </c>
      <c r="T5" s="33" t="s">
        <v>43</v>
      </c>
      <c r="U5" s="30" t="s">
        <v>42</v>
      </c>
      <c r="V5" s="30" t="s">
        <v>43</v>
      </c>
      <c r="W5" s="30" t="s">
        <v>42</v>
      </c>
      <c r="X5" s="30" t="s">
        <v>43</v>
      </c>
      <c r="Y5" s="2239"/>
    </row>
    <row r="6" spans="1:25" ht="34.5" customHeight="1" x14ac:dyDescent="0.25">
      <c r="A6" s="12">
        <v>1409935200</v>
      </c>
      <c r="B6" s="1474" t="s">
        <v>71</v>
      </c>
      <c r="C6" s="1472">
        <v>38224</v>
      </c>
      <c r="D6" s="1471">
        <f t="shared" ref="D6:D11" si="0">0.9725*C6</f>
        <v>37172.840000000004</v>
      </c>
      <c r="E6" s="1472"/>
      <c r="F6" s="1471">
        <f>67.1*E6</f>
        <v>0</v>
      </c>
      <c r="G6" s="1472"/>
      <c r="H6" s="1472">
        <f>28.2*G6</f>
        <v>0</v>
      </c>
      <c r="I6" s="1472">
        <v>100</v>
      </c>
      <c r="J6" s="1472">
        <f>18.5*I6</f>
        <v>1850</v>
      </c>
      <c r="K6" s="1472"/>
      <c r="L6" s="1471">
        <f>28.2368*K6</f>
        <v>0</v>
      </c>
      <c r="M6" s="1472"/>
      <c r="N6" s="1471">
        <f>M6*47.6525</f>
        <v>0</v>
      </c>
      <c r="O6" s="1472"/>
      <c r="P6" s="1471">
        <f>O6*8.9</f>
        <v>0</v>
      </c>
      <c r="Q6" s="1471"/>
      <c r="R6" s="1471">
        <f>241*Q6</f>
        <v>0</v>
      </c>
      <c r="S6" s="1472"/>
      <c r="T6" s="1472">
        <f>241*S6</f>
        <v>0</v>
      </c>
      <c r="U6" s="1472"/>
      <c r="V6" s="1472">
        <f>332*U6</f>
        <v>0</v>
      </c>
      <c r="W6" s="1472"/>
      <c r="X6" s="19">
        <f>W6*100</f>
        <v>0</v>
      </c>
      <c r="Y6" s="20">
        <f t="shared" ref="Y6:Y12" si="1">D6+F6+H6+J6+L6+N6+P6+R6+T6+V6+X6</f>
        <v>39022.840000000004</v>
      </c>
    </row>
    <row r="7" spans="1:25" ht="31.5" customHeight="1" x14ac:dyDescent="0.25">
      <c r="A7" s="12">
        <v>1984225578</v>
      </c>
      <c r="B7" s="1474" t="s">
        <v>72</v>
      </c>
      <c r="C7" s="1472">
        <v>28469</v>
      </c>
      <c r="D7" s="1471">
        <f t="shared" si="0"/>
        <v>27686.102500000001</v>
      </c>
      <c r="E7" s="1472"/>
      <c r="F7" s="1472">
        <f t="shared" ref="F7:F11" si="2">67.1*E7</f>
        <v>0</v>
      </c>
      <c r="G7" s="1472"/>
      <c r="H7" s="1472">
        <f t="shared" ref="H7:H11" si="3">28.2*G7</f>
        <v>0</v>
      </c>
      <c r="I7" s="1472">
        <v>30</v>
      </c>
      <c r="J7" s="1472">
        <f t="shared" ref="J7:J11" si="4">18.5*I7</f>
        <v>555</v>
      </c>
      <c r="K7" s="1472"/>
      <c r="L7" s="1471">
        <f t="shared" ref="L7:L11" si="5">28.2368*K7</f>
        <v>0</v>
      </c>
      <c r="M7" s="1472"/>
      <c r="N7" s="1471">
        <f t="shared" ref="N7:N11" si="6">M7*47.6525</f>
        <v>0</v>
      </c>
      <c r="O7" s="1472"/>
      <c r="P7" s="1471">
        <f t="shared" ref="P7:P11" si="7">O7*8.9</f>
        <v>0</v>
      </c>
      <c r="Q7" s="1471"/>
      <c r="R7" s="1471">
        <f t="shared" ref="R7:R11" si="8">241*Q7</f>
        <v>0</v>
      </c>
      <c r="S7" s="1472"/>
      <c r="T7" s="1472">
        <f t="shared" ref="T7:T10" si="9">241*S7</f>
        <v>0</v>
      </c>
      <c r="U7" s="1472"/>
      <c r="V7" s="1472">
        <f t="shared" ref="V7:V11" si="10">332*U7</f>
        <v>0</v>
      </c>
      <c r="W7" s="1472"/>
      <c r="X7" s="19">
        <f t="shared" ref="X7:X11" si="11">W7*100</f>
        <v>0</v>
      </c>
      <c r="Y7" s="20">
        <f t="shared" si="1"/>
        <v>28241.102500000001</v>
      </c>
    </row>
    <row r="8" spans="1:25" ht="35.25" customHeight="1" x14ac:dyDescent="0.25">
      <c r="A8" s="12">
        <v>1967020280</v>
      </c>
      <c r="B8" s="1474" t="s">
        <v>427</v>
      </c>
      <c r="C8" s="1472">
        <v>25406</v>
      </c>
      <c r="D8" s="1471">
        <f t="shared" si="0"/>
        <v>24707.334999999999</v>
      </c>
      <c r="E8" s="1472"/>
      <c r="F8" s="1472">
        <f t="shared" si="2"/>
        <v>0</v>
      </c>
      <c r="G8" s="1472"/>
      <c r="H8" s="1471">
        <f t="shared" si="3"/>
        <v>0</v>
      </c>
      <c r="I8" s="1472">
        <v>260</v>
      </c>
      <c r="J8" s="1472">
        <f t="shared" si="4"/>
        <v>4810</v>
      </c>
      <c r="K8" s="1472"/>
      <c r="L8" s="1471">
        <f t="shared" si="5"/>
        <v>0</v>
      </c>
      <c r="M8" s="1472"/>
      <c r="N8" s="1471">
        <f t="shared" si="6"/>
        <v>0</v>
      </c>
      <c r="O8" s="1472"/>
      <c r="P8" s="1471">
        <f t="shared" si="7"/>
        <v>0</v>
      </c>
      <c r="Q8" s="1471"/>
      <c r="R8" s="1471">
        <f t="shared" si="8"/>
        <v>0</v>
      </c>
      <c r="S8" s="1472"/>
      <c r="T8" s="1472">
        <f t="shared" si="9"/>
        <v>0</v>
      </c>
      <c r="U8" s="1472"/>
      <c r="V8" s="1472">
        <f t="shared" si="10"/>
        <v>0</v>
      </c>
      <c r="W8" s="1472"/>
      <c r="X8" s="19">
        <f t="shared" si="11"/>
        <v>0</v>
      </c>
      <c r="Y8" s="20">
        <f t="shared" si="1"/>
        <v>29517.334999999999</v>
      </c>
    </row>
    <row r="9" spans="1:25" ht="38.25" customHeight="1" x14ac:dyDescent="0.25">
      <c r="A9" s="12">
        <v>1984225580</v>
      </c>
      <c r="B9" s="1474" t="s">
        <v>75</v>
      </c>
      <c r="C9" s="1472">
        <v>48412</v>
      </c>
      <c r="D9" s="1471">
        <f t="shared" si="0"/>
        <v>47080.67</v>
      </c>
      <c r="E9" s="1472"/>
      <c r="F9" s="1472">
        <f t="shared" si="2"/>
        <v>0</v>
      </c>
      <c r="G9" s="1472"/>
      <c r="H9" s="1472">
        <f t="shared" si="3"/>
        <v>0</v>
      </c>
      <c r="I9" s="1472">
        <v>310</v>
      </c>
      <c r="J9" s="1472">
        <f t="shared" si="4"/>
        <v>5735</v>
      </c>
      <c r="K9" s="1472"/>
      <c r="L9" s="1471">
        <f t="shared" si="5"/>
        <v>0</v>
      </c>
      <c r="M9" s="1472"/>
      <c r="N9" s="1471">
        <f t="shared" si="6"/>
        <v>0</v>
      </c>
      <c r="O9" s="1472"/>
      <c r="P9" s="1471">
        <f t="shared" si="7"/>
        <v>0</v>
      </c>
      <c r="Q9" s="1471"/>
      <c r="R9" s="1471">
        <f t="shared" si="8"/>
        <v>0</v>
      </c>
      <c r="S9" s="1472"/>
      <c r="T9" s="1472">
        <f t="shared" si="9"/>
        <v>0</v>
      </c>
      <c r="U9" s="1472"/>
      <c r="V9" s="1472">
        <f t="shared" si="10"/>
        <v>0</v>
      </c>
      <c r="W9" s="1472"/>
      <c r="X9" s="19">
        <f t="shared" si="11"/>
        <v>0</v>
      </c>
      <c r="Y9" s="20">
        <f t="shared" si="1"/>
        <v>52815.67</v>
      </c>
    </row>
    <row r="10" spans="1:25" ht="35.25" customHeight="1" x14ac:dyDescent="0.25">
      <c r="A10" s="12">
        <v>1409935199</v>
      </c>
      <c r="C10" s="1472"/>
      <c r="D10" s="1471">
        <f t="shared" si="0"/>
        <v>0</v>
      </c>
      <c r="E10" s="1472"/>
      <c r="F10" s="1472">
        <f t="shared" si="2"/>
        <v>0</v>
      </c>
      <c r="G10" s="1472"/>
      <c r="H10" s="1472">
        <f t="shared" si="3"/>
        <v>0</v>
      </c>
      <c r="I10" s="1472"/>
      <c r="J10" s="1472">
        <f t="shared" si="4"/>
        <v>0</v>
      </c>
      <c r="K10" s="1472"/>
      <c r="L10" s="1471">
        <f t="shared" si="5"/>
        <v>0</v>
      </c>
      <c r="M10" s="1472"/>
      <c r="N10" s="1471">
        <f t="shared" si="6"/>
        <v>0</v>
      </c>
      <c r="O10" s="1472"/>
      <c r="P10" s="1471">
        <f t="shared" si="7"/>
        <v>0</v>
      </c>
      <c r="Q10" s="1471"/>
      <c r="R10" s="1471">
        <f t="shared" si="8"/>
        <v>0</v>
      </c>
      <c r="S10" s="1472"/>
      <c r="T10" s="1472">
        <f t="shared" si="9"/>
        <v>0</v>
      </c>
      <c r="U10" s="1472"/>
      <c r="V10" s="1472">
        <f t="shared" si="10"/>
        <v>0</v>
      </c>
      <c r="W10" s="1472"/>
      <c r="X10" s="19">
        <f t="shared" si="11"/>
        <v>0</v>
      </c>
      <c r="Y10" s="20">
        <f t="shared" si="1"/>
        <v>0</v>
      </c>
    </row>
    <row r="11" spans="1:25" ht="37.5" customHeight="1" x14ac:dyDescent="0.25">
      <c r="A11" s="12"/>
      <c r="B11" s="1473"/>
      <c r="C11" s="1472"/>
      <c r="D11" s="1471">
        <f t="shared" si="0"/>
        <v>0</v>
      </c>
      <c r="E11" s="1472"/>
      <c r="F11" s="1472">
        <f t="shared" si="2"/>
        <v>0</v>
      </c>
      <c r="G11" s="1472"/>
      <c r="H11" s="1472">
        <f t="shared" si="3"/>
        <v>0</v>
      </c>
      <c r="I11" s="1472"/>
      <c r="J11" s="1472">
        <f t="shared" si="4"/>
        <v>0</v>
      </c>
      <c r="K11" s="1472"/>
      <c r="L11" s="1471">
        <f t="shared" si="5"/>
        <v>0</v>
      </c>
      <c r="M11" s="1472"/>
      <c r="N11" s="1471">
        <f t="shared" si="6"/>
        <v>0</v>
      </c>
      <c r="O11" s="1472"/>
      <c r="P11" s="1471">
        <f t="shared" si="7"/>
        <v>0</v>
      </c>
      <c r="Q11" s="1471"/>
      <c r="R11" s="1471">
        <f t="shared" si="8"/>
        <v>0</v>
      </c>
      <c r="S11" s="1472"/>
      <c r="T11" s="1472">
        <f>341*S11</f>
        <v>0</v>
      </c>
      <c r="U11" s="1472"/>
      <c r="V11" s="1472">
        <f t="shared" si="10"/>
        <v>0</v>
      </c>
      <c r="W11" s="1472"/>
      <c r="X11" s="19">
        <f t="shared" si="11"/>
        <v>0</v>
      </c>
      <c r="Y11" s="20">
        <f t="shared" si="1"/>
        <v>0</v>
      </c>
    </row>
    <row r="12" spans="1:25" ht="29.25" customHeight="1" x14ac:dyDescent="0.25">
      <c r="A12" s="2235" t="s">
        <v>31</v>
      </c>
      <c r="B12" s="2235"/>
      <c r="C12" s="18">
        <f t="shared" ref="C12:X12" si="12">SUM(C6:C11)</f>
        <v>140511</v>
      </c>
      <c r="D12" s="18">
        <f t="shared" si="12"/>
        <v>136646.94750000001</v>
      </c>
      <c r="E12" s="18">
        <f t="shared" si="12"/>
        <v>0</v>
      </c>
      <c r="F12" s="18">
        <f t="shared" si="12"/>
        <v>0</v>
      </c>
      <c r="G12" s="18">
        <f t="shared" si="12"/>
        <v>0</v>
      </c>
      <c r="H12" s="18">
        <f t="shared" si="12"/>
        <v>0</v>
      </c>
      <c r="I12" s="18">
        <f t="shared" si="12"/>
        <v>700</v>
      </c>
      <c r="J12" s="18">
        <f t="shared" si="12"/>
        <v>12950</v>
      </c>
      <c r="K12" s="18">
        <f t="shared" si="12"/>
        <v>0</v>
      </c>
      <c r="L12" s="18">
        <f t="shared" si="12"/>
        <v>0</v>
      </c>
      <c r="M12" s="18">
        <f t="shared" si="12"/>
        <v>0</v>
      </c>
      <c r="N12" s="23">
        <f t="shared" si="12"/>
        <v>0</v>
      </c>
      <c r="O12" s="18">
        <f t="shared" si="12"/>
        <v>0</v>
      </c>
      <c r="P12" s="23">
        <f t="shared" si="12"/>
        <v>0</v>
      </c>
      <c r="Q12" s="23">
        <f t="shared" si="12"/>
        <v>0</v>
      </c>
      <c r="R12" s="23">
        <f>SUM(R6:R11)</f>
        <v>0</v>
      </c>
      <c r="S12" s="23">
        <f>SUM(S6:S11)</f>
        <v>0</v>
      </c>
      <c r="T12" s="18">
        <f t="shared" si="12"/>
        <v>0</v>
      </c>
      <c r="U12" s="18">
        <f t="shared" si="12"/>
        <v>0</v>
      </c>
      <c r="V12" s="18">
        <f t="shared" si="12"/>
        <v>0</v>
      </c>
      <c r="W12" s="18">
        <f t="shared" si="12"/>
        <v>0</v>
      </c>
      <c r="X12" s="18">
        <f t="shared" si="12"/>
        <v>0</v>
      </c>
      <c r="Y12" s="20">
        <f t="shared" si="1"/>
        <v>149596.94750000001</v>
      </c>
    </row>
    <row r="14" spans="1:25" ht="43.5" customHeight="1" x14ac:dyDescent="0.25">
      <c r="A14" s="30" t="s">
        <v>32</v>
      </c>
      <c r="B14" s="2236" t="s">
        <v>27</v>
      </c>
      <c r="C14" s="2236"/>
      <c r="D14" s="30" t="s">
        <v>333</v>
      </c>
      <c r="E14" s="30" t="s">
        <v>65</v>
      </c>
      <c r="F14" s="30" t="s">
        <v>34</v>
      </c>
      <c r="G14" s="30" t="s">
        <v>14</v>
      </c>
      <c r="H14" s="469" t="s">
        <v>173</v>
      </c>
      <c r="I14" s="30" t="s">
        <v>17</v>
      </c>
      <c r="J14" s="1480" t="s">
        <v>174</v>
      </c>
      <c r="K14" s="30" t="s">
        <v>36</v>
      </c>
      <c r="L14" s="1480" t="s">
        <v>403</v>
      </c>
      <c r="M14" s="30" t="s">
        <v>429</v>
      </c>
      <c r="N14" s="30" t="s">
        <v>442</v>
      </c>
      <c r="O14" s="1480" t="s">
        <v>114</v>
      </c>
      <c r="P14" s="30" t="s">
        <v>70</v>
      </c>
      <c r="Q14" s="2300" t="s">
        <v>479</v>
      </c>
      <c r="R14" s="2301"/>
      <c r="S14" s="1480" t="s">
        <v>401</v>
      </c>
      <c r="T14" s="2235" t="s">
        <v>46</v>
      </c>
      <c r="U14" s="1474" t="s">
        <v>176</v>
      </c>
      <c r="V14" s="2260">
        <v>259662</v>
      </c>
      <c r="W14" s="2268"/>
      <c r="X14" s="2261"/>
    </row>
    <row r="15" spans="1:25" ht="22.5" customHeight="1" x14ac:dyDescent="0.25">
      <c r="A15" s="100" t="s">
        <v>38</v>
      </c>
      <c r="B15" s="2260">
        <v>276104</v>
      </c>
      <c r="C15" s="2261"/>
      <c r="D15" s="1477">
        <v>130</v>
      </c>
      <c r="E15" s="1477">
        <v>440</v>
      </c>
      <c r="F15" s="1477">
        <v>17810</v>
      </c>
      <c r="G15" s="1477">
        <v>580</v>
      </c>
      <c r="H15" s="1477">
        <v>72</v>
      </c>
      <c r="I15" s="1477">
        <v>8</v>
      </c>
      <c r="J15" s="1477">
        <v>4</v>
      </c>
      <c r="K15" s="1477">
        <v>80</v>
      </c>
      <c r="L15" s="1477">
        <v>0</v>
      </c>
      <c r="M15" s="1477">
        <v>0</v>
      </c>
      <c r="N15" s="1477">
        <v>500</v>
      </c>
      <c r="O15" s="1477">
        <v>0</v>
      </c>
      <c r="P15" s="1477">
        <v>100</v>
      </c>
      <c r="Q15" s="2260">
        <v>10</v>
      </c>
      <c r="R15" s="2261"/>
      <c r="S15" s="1474">
        <v>2</v>
      </c>
      <c r="T15" s="2235"/>
      <c r="U15" s="1474" t="s">
        <v>64</v>
      </c>
      <c r="V15" s="2262">
        <v>23942</v>
      </c>
      <c r="W15" s="2262"/>
      <c r="X15" s="2262"/>
    </row>
    <row r="16" spans="1:25" ht="24.75" customHeight="1" x14ac:dyDescent="0.25">
      <c r="A16" s="100" t="s">
        <v>39</v>
      </c>
      <c r="B16" s="2260">
        <v>160000</v>
      </c>
      <c r="C16" s="2261"/>
      <c r="D16" s="1477"/>
      <c r="E16" s="1477"/>
      <c r="F16" s="1477"/>
      <c r="G16" s="1477"/>
      <c r="H16" s="1477"/>
      <c r="I16" s="1477"/>
      <c r="J16" s="1477"/>
      <c r="K16" s="1477"/>
      <c r="L16" s="1477"/>
      <c r="M16" s="1477"/>
      <c r="N16" s="1477"/>
      <c r="O16" s="1477"/>
      <c r="P16" s="1477"/>
      <c r="Q16" s="2262"/>
      <c r="R16" s="2262"/>
      <c r="S16" s="1477"/>
      <c r="T16" s="2254" t="s">
        <v>55</v>
      </c>
      <c r="U16" s="2254"/>
      <c r="V16" s="2267">
        <f>Y12</f>
        <v>149596.94750000001</v>
      </c>
      <c r="W16" s="2267"/>
      <c r="X16" s="2262"/>
    </row>
    <row r="17" spans="1:25" ht="28.5" customHeight="1" x14ac:dyDescent="0.25">
      <c r="A17" s="101" t="s">
        <v>44</v>
      </c>
      <c r="B17" s="2260"/>
      <c r="C17" s="2261"/>
      <c r="D17" s="1477"/>
      <c r="E17" s="1477"/>
      <c r="F17" s="1477"/>
      <c r="G17" s="1477"/>
      <c r="H17" s="1477"/>
      <c r="I17" s="1477"/>
      <c r="J17" s="1477"/>
      <c r="K17" s="1477"/>
      <c r="L17" s="1477"/>
      <c r="M17" s="1477"/>
      <c r="N17" s="1477"/>
      <c r="O17" s="1477"/>
      <c r="P17" s="1477"/>
      <c r="Q17" s="2225"/>
      <c r="R17" s="2225"/>
      <c r="S17" s="1473"/>
      <c r="T17" s="2294" t="s">
        <v>473</v>
      </c>
      <c r="U17" s="2295"/>
      <c r="V17" s="2296"/>
      <c r="W17" s="2296"/>
      <c r="X17" s="2296"/>
    </row>
    <row r="18" spans="1:25" ht="27" customHeight="1" x14ac:dyDescent="0.25">
      <c r="A18" s="100" t="s">
        <v>40</v>
      </c>
      <c r="B18" s="2264">
        <f>C12</f>
        <v>140511</v>
      </c>
      <c r="C18" s="2261"/>
      <c r="D18" s="1479">
        <f>E12</f>
        <v>0</v>
      </c>
      <c r="E18" s="1479">
        <f>G12</f>
        <v>0</v>
      </c>
      <c r="F18" s="1479">
        <f>I12</f>
        <v>700</v>
      </c>
      <c r="G18" s="1479">
        <f>K12</f>
        <v>0</v>
      </c>
      <c r="H18" s="1477"/>
      <c r="I18" s="1479">
        <f>U12</f>
        <v>0</v>
      </c>
      <c r="J18" s="1477"/>
      <c r="K18" s="1479">
        <f>W12</f>
        <v>0</v>
      </c>
      <c r="L18" s="1477"/>
      <c r="M18" s="1479">
        <f>M12</f>
        <v>0</v>
      </c>
      <c r="N18" s="1479">
        <f>O12</f>
        <v>0</v>
      </c>
      <c r="O18" s="1478">
        <f>Q12</f>
        <v>0</v>
      </c>
      <c r="P18" s="1479"/>
      <c r="Q18" s="2262"/>
      <c r="R18" s="2262"/>
      <c r="S18" s="1474"/>
      <c r="T18" s="2254" t="s">
        <v>57</v>
      </c>
      <c r="U18" s="2254"/>
      <c r="V18" s="2262">
        <v>10770</v>
      </c>
      <c r="W18" s="2262"/>
      <c r="X18" s="2262"/>
      <c r="Y18" s="2269"/>
    </row>
    <row r="19" spans="1:25" ht="25.5" customHeight="1" x14ac:dyDescent="0.25">
      <c r="A19" s="100" t="s">
        <v>41</v>
      </c>
      <c r="B19" s="2260">
        <f>B15+B16+B17-B18</f>
        <v>295593</v>
      </c>
      <c r="C19" s="2261"/>
      <c r="D19" s="1477">
        <f>D15+D16+D17-D18</f>
        <v>130</v>
      </c>
      <c r="E19" s="1477">
        <f t="shared" ref="E19:N19" si="13">E15+E16+E17-E18</f>
        <v>440</v>
      </c>
      <c r="F19" s="1477">
        <f t="shared" si="13"/>
        <v>17110</v>
      </c>
      <c r="G19" s="1477">
        <f t="shared" si="13"/>
        <v>580</v>
      </c>
      <c r="H19" s="1477">
        <f t="shared" si="13"/>
        <v>72</v>
      </c>
      <c r="I19" s="1477">
        <f t="shared" si="13"/>
        <v>8</v>
      </c>
      <c r="J19" s="1477">
        <f t="shared" si="13"/>
        <v>4</v>
      </c>
      <c r="K19" s="1477">
        <f t="shared" si="13"/>
        <v>80</v>
      </c>
      <c r="L19" s="1477">
        <f t="shared" si="13"/>
        <v>0</v>
      </c>
      <c r="M19" s="1477">
        <f t="shared" si="13"/>
        <v>0</v>
      </c>
      <c r="N19" s="1477">
        <f t="shared" si="13"/>
        <v>500</v>
      </c>
      <c r="O19" s="1477">
        <f>O15+O16+O17-O18</f>
        <v>0</v>
      </c>
      <c r="P19" s="1477">
        <f t="shared" ref="P19:Q19" si="14">P15+P16+P17-P18</f>
        <v>100</v>
      </c>
      <c r="Q19" s="2260">
        <f t="shared" si="14"/>
        <v>10</v>
      </c>
      <c r="R19" s="2261"/>
      <c r="S19" s="1474">
        <f>S15+S16-S17-S18</f>
        <v>2</v>
      </c>
      <c r="T19" s="2256" t="s">
        <v>48</v>
      </c>
      <c r="U19" s="49" t="s">
        <v>58</v>
      </c>
      <c r="V19" s="2262">
        <v>400000</v>
      </c>
      <c r="W19" s="2262"/>
      <c r="X19" s="2262"/>
      <c r="Y19" s="2269"/>
    </row>
    <row r="20" spans="1:25" ht="23.25" customHeight="1" x14ac:dyDescent="0.25">
      <c r="A20" s="289" t="s">
        <v>187</v>
      </c>
      <c r="B20" s="2286">
        <f>B19*0.9625</f>
        <v>284508.26250000001</v>
      </c>
      <c r="C20" s="2287"/>
      <c r="D20" s="290">
        <f>D19*66.41</f>
        <v>8633.2999999999993</v>
      </c>
      <c r="E20" s="290">
        <f>27.9368*E19</f>
        <v>12292.192000000001</v>
      </c>
      <c r="F20" s="290">
        <f>18.31*F19</f>
        <v>313284.09999999998</v>
      </c>
      <c r="G20" s="290">
        <f>27.9368*G19</f>
        <v>16203.344000000001</v>
      </c>
      <c r="H20" s="290">
        <f>241*H19</f>
        <v>17352</v>
      </c>
      <c r="I20" s="290">
        <f>323*I19</f>
        <v>2584</v>
      </c>
      <c r="J20" s="290">
        <f>241*J19</f>
        <v>964</v>
      </c>
      <c r="K20" s="290">
        <f>K19*100</f>
        <v>8000</v>
      </c>
      <c r="L20" s="290">
        <f>241*L19</f>
        <v>0</v>
      </c>
      <c r="M20" s="290">
        <f>47.1625*M19</f>
        <v>0</v>
      </c>
      <c r="N20" s="290">
        <f>N19*8.81</f>
        <v>4405</v>
      </c>
      <c r="O20" s="290">
        <f>241*O19</f>
        <v>0</v>
      </c>
      <c r="P20" s="290">
        <f>P19*48.2</f>
        <v>4820</v>
      </c>
      <c r="Q20" s="2286">
        <f>470*Q19</f>
        <v>4700</v>
      </c>
      <c r="R20" s="2287"/>
      <c r="S20" s="290">
        <f>341*S19</f>
        <v>682</v>
      </c>
      <c r="T20" s="2257"/>
      <c r="U20" s="49" t="s">
        <v>59</v>
      </c>
      <c r="V20" s="2262"/>
      <c r="W20" s="2262"/>
      <c r="X20" s="2262"/>
      <c r="Y20" s="2269"/>
    </row>
    <row r="21" spans="1:25" ht="32.25" customHeight="1" x14ac:dyDescent="0.25">
      <c r="A21" s="291" t="s">
        <v>186</v>
      </c>
      <c r="B21" s="2293">
        <f>SUM(B20:S20)</f>
        <v>678428.19849999994</v>
      </c>
      <c r="C21" s="2293"/>
      <c r="O21" s="1481"/>
      <c r="P21" s="1481"/>
      <c r="Q21" s="1481"/>
      <c r="R21" s="1481"/>
      <c r="T21" s="2294" t="s">
        <v>487</v>
      </c>
      <c r="U21" s="2295"/>
      <c r="V21" s="2297"/>
      <c r="W21" s="2298"/>
      <c r="X21" s="2299"/>
      <c r="Y21" s="2269"/>
    </row>
    <row r="22" spans="1:25" ht="35.25" customHeight="1" x14ac:dyDescent="0.25">
      <c r="A22" s="15"/>
      <c r="B22" s="2288" t="s">
        <v>49</v>
      </c>
      <c r="C22" s="2291">
        <v>400000</v>
      </c>
      <c r="D22" s="2291">
        <v>400000</v>
      </c>
      <c r="E22" s="2291">
        <v>154000</v>
      </c>
      <c r="F22" s="2291">
        <f>C22-D22+E22</f>
        <v>154000</v>
      </c>
      <c r="G22" s="1481"/>
      <c r="Q22" s="1481"/>
      <c r="R22" s="1481"/>
      <c r="T22" s="2251" t="s">
        <v>83</v>
      </c>
      <c r="U22" s="50" t="s">
        <v>60</v>
      </c>
      <c r="V22" s="2262">
        <v>391980</v>
      </c>
      <c r="W22" s="2262"/>
      <c r="X22" s="2262"/>
      <c r="Y22" s="2269"/>
    </row>
    <row r="23" spans="1:25" ht="39.75" customHeight="1" x14ac:dyDescent="0.25">
      <c r="A23" s="1481"/>
      <c r="B23" s="2289"/>
      <c r="C23" s="2292"/>
      <c r="D23" s="2292"/>
      <c r="E23" s="2292"/>
      <c r="F23" s="2292"/>
      <c r="G23" s="1481"/>
      <c r="Q23" s="1481"/>
      <c r="R23" s="1481"/>
      <c r="T23" s="2252"/>
      <c r="U23" s="50" t="s">
        <v>61</v>
      </c>
      <c r="V23" s="2262">
        <v>400000</v>
      </c>
      <c r="W23" s="2262"/>
      <c r="X23" s="2262"/>
      <c r="Y23" s="2269"/>
    </row>
    <row r="24" spans="1:25" ht="48" customHeight="1" x14ac:dyDescent="0.25">
      <c r="A24" s="1481"/>
      <c r="B24" s="2290"/>
      <c r="C24" s="290" t="s">
        <v>46</v>
      </c>
      <c r="D24" s="290" t="s">
        <v>50</v>
      </c>
      <c r="E24" s="290" t="s">
        <v>51</v>
      </c>
      <c r="F24" s="290" t="s">
        <v>52</v>
      </c>
      <c r="G24" s="1481"/>
      <c r="Q24" s="1481"/>
      <c r="R24" s="1481"/>
      <c r="T24" s="2235" t="s">
        <v>47</v>
      </c>
      <c r="U24" s="51" t="s">
        <v>62</v>
      </c>
      <c r="V24" s="2263">
        <f>V14+V16+V17-V18-V19-V20-V22+V23-V21</f>
        <v>6508.9475000000093</v>
      </c>
      <c r="W24" s="2263"/>
      <c r="X24" s="2263"/>
      <c r="Y24" s="2269"/>
    </row>
    <row r="25" spans="1:25" ht="40.5" customHeight="1" x14ac:dyDescent="0.25">
      <c r="T25" s="2235"/>
      <c r="U25" s="51" t="s">
        <v>63</v>
      </c>
      <c r="V25" s="2262">
        <f>V15+V22-V23</f>
        <v>15922</v>
      </c>
      <c r="W25" s="2262"/>
      <c r="X25" s="2262"/>
    </row>
    <row r="26" spans="1:25" ht="36" customHeight="1" x14ac:dyDescent="0.25">
      <c r="K26" s="314"/>
    </row>
    <row r="28" spans="1:25" x14ac:dyDescent="0.25">
      <c r="J28" s="14" t="s">
        <v>139</v>
      </c>
    </row>
    <row r="32" spans="1:25" x14ac:dyDescent="0.25">
      <c r="I32" s="2280"/>
      <c r="J32" s="2280"/>
      <c r="K32" s="2280"/>
      <c r="L32" s="2280"/>
    </row>
    <row r="33" spans="9:12" x14ac:dyDescent="0.25">
      <c r="I33" s="1481"/>
      <c r="J33" s="1481"/>
      <c r="K33" s="2280"/>
      <c r="L33" s="2280"/>
    </row>
  </sheetData>
  <mergeCells count="62">
    <mergeCell ref="A1:Y1"/>
    <mergeCell ref="A2:Y2"/>
    <mergeCell ref="T3:Y3"/>
    <mergeCell ref="A4:A5"/>
    <mergeCell ref="B4:B5"/>
    <mergeCell ref="C4:D4"/>
    <mergeCell ref="E4:F4"/>
    <mergeCell ref="G4:H4"/>
    <mergeCell ref="I4:J4"/>
    <mergeCell ref="K4:L4"/>
    <mergeCell ref="Y4:Y5"/>
    <mergeCell ref="M4:N4"/>
    <mergeCell ref="O4:P4"/>
    <mergeCell ref="Q4:R4"/>
    <mergeCell ref="S4:T4"/>
    <mergeCell ref="U4:V4"/>
    <mergeCell ref="W4:X4"/>
    <mergeCell ref="B16:C16"/>
    <mergeCell ref="Q16:R16"/>
    <mergeCell ref="T16:U16"/>
    <mergeCell ref="V16:X16"/>
    <mergeCell ref="A12:B12"/>
    <mergeCell ref="B14:C14"/>
    <mergeCell ref="Q14:R14"/>
    <mergeCell ref="T14:T15"/>
    <mergeCell ref="V14:X14"/>
    <mergeCell ref="B15:C15"/>
    <mergeCell ref="Q15:R15"/>
    <mergeCell ref="V15:X15"/>
    <mergeCell ref="B17:C17"/>
    <mergeCell ref="Q17:R17"/>
    <mergeCell ref="T17:U17"/>
    <mergeCell ref="V17:X17"/>
    <mergeCell ref="B18:C18"/>
    <mergeCell ref="Q18:R18"/>
    <mergeCell ref="T18:U18"/>
    <mergeCell ref="V18:X18"/>
    <mergeCell ref="Y18:Y24"/>
    <mergeCell ref="B19:C19"/>
    <mergeCell ref="Q19:R19"/>
    <mergeCell ref="T19:T20"/>
    <mergeCell ref="V19:X19"/>
    <mergeCell ref="B20:C20"/>
    <mergeCell ref="B22:B24"/>
    <mergeCell ref="C22:C23"/>
    <mergeCell ref="D22:D23"/>
    <mergeCell ref="E22:E23"/>
    <mergeCell ref="F22:F23"/>
    <mergeCell ref="Q20:R20"/>
    <mergeCell ref="V20:X20"/>
    <mergeCell ref="B21:C21"/>
    <mergeCell ref="T21:U21"/>
    <mergeCell ref="V21:X21"/>
    <mergeCell ref="I32:J32"/>
    <mergeCell ref="K32:L32"/>
    <mergeCell ref="K33:L33"/>
    <mergeCell ref="T22:T23"/>
    <mergeCell ref="V22:X22"/>
    <mergeCell ref="V23:X23"/>
    <mergeCell ref="T24:T25"/>
    <mergeCell ref="V24:X24"/>
    <mergeCell ref="V25:X25"/>
  </mergeCells>
  <pageMargins left="0.15748031496063" right="0.15748031496063" top="0" bottom="0" header="0" footer="0"/>
  <pageSetup paperSize="9" scale="46" orientation="landscape" r:id="rId1"/>
</worksheet>
</file>

<file path=xl/worksheets/sheet25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FE1D490-EBE3-4479-A662-D9513901A6E6}">
  <sheetPr>
    <pageSetUpPr fitToPage="1"/>
  </sheetPr>
  <dimension ref="A1:Y33"/>
  <sheetViews>
    <sheetView topLeftCell="A4" zoomScale="70" zoomScaleNormal="70" zoomScaleSheetLayoutView="100" zoomScalePageLayoutView="68" workbookViewId="0">
      <selection activeCell="B19" sqref="B19:C19"/>
    </sheetView>
  </sheetViews>
  <sheetFormatPr defaultColWidth="9.140625" defaultRowHeight="15" x14ac:dyDescent="0.25"/>
  <cols>
    <col min="1" max="1" width="18.28515625" style="14" customWidth="1"/>
    <col min="2" max="2" width="10.7109375" style="14" customWidth="1"/>
    <col min="3" max="3" width="12.28515625" style="14" customWidth="1"/>
    <col min="4" max="4" width="13.140625" style="14" bestFit="1" customWidth="1"/>
    <col min="5" max="5" width="12" style="14" customWidth="1"/>
    <col min="6" max="6" width="14" style="14" bestFit="1" customWidth="1"/>
    <col min="7" max="7" width="16" style="14" bestFit="1" customWidth="1"/>
    <col min="8" max="8" width="10.140625" style="14" bestFit="1" customWidth="1"/>
    <col min="9" max="9" width="10.5703125" style="14" bestFit="1" customWidth="1"/>
    <col min="10" max="10" width="10.5703125" style="14" customWidth="1"/>
    <col min="11" max="11" width="10.28515625" style="14" bestFit="1" customWidth="1"/>
    <col min="12" max="12" width="10.42578125" style="14" bestFit="1" customWidth="1"/>
    <col min="13" max="14" width="12" style="14" bestFit="1" customWidth="1"/>
    <col min="15" max="15" width="11" style="14" customWidth="1"/>
    <col min="16" max="16" width="12.85546875" style="14" bestFit="1" customWidth="1"/>
    <col min="17" max="18" width="9.42578125" style="14" customWidth="1"/>
    <col min="19" max="19" width="13.7109375" style="14" customWidth="1"/>
    <col min="20" max="20" width="12.140625" style="14" customWidth="1"/>
    <col min="21" max="21" width="21.7109375" style="14" customWidth="1"/>
    <col min="22" max="22" width="9.85546875" style="14" customWidth="1"/>
    <col min="23" max="23" width="10.140625" style="14" bestFit="1" customWidth="1"/>
    <col min="24" max="24" width="10.28515625" style="14" customWidth="1"/>
    <col min="25" max="25" width="15.7109375" style="14" customWidth="1"/>
    <col min="26" max="16384" width="9.140625" style="14"/>
  </cols>
  <sheetData>
    <row r="1" spans="1:25" ht="46.15" customHeight="1" x14ac:dyDescent="0.25">
      <c r="A1" s="2240" t="s">
        <v>148</v>
      </c>
      <c r="B1" s="2240"/>
      <c r="C1" s="2240"/>
      <c r="D1" s="2240"/>
      <c r="E1" s="2240"/>
      <c r="F1" s="2240"/>
      <c r="G1" s="2240"/>
      <c r="H1" s="2240"/>
      <c r="I1" s="2240"/>
      <c r="J1" s="2240"/>
      <c r="K1" s="2240"/>
      <c r="L1" s="2240"/>
      <c r="M1" s="2240"/>
      <c r="N1" s="2240"/>
      <c r="O1" s="2240"/>
      <c r="P1" s="2240"/>
      <c r="Q1" s="2240"/>
      <c r="R1" s="2240"/>
      <c r="S1" s="2240"/>
      <c r="T1" s="2240"/>
      <c r="U1" s="2240"/>
      <c r="V1" s="2240"/>
      <c r="W1" s="2240"/>
      <c r="X1" s="2240"/>
      <c r="Y1" s="2240"/>
    </row>
    <row r="2" spans="1:25" ht="21.6" customHeight="1" x14ac:dyDescent="0.25">
      <c r="A2" s="2241" t="s">
        <v>383</v>
      </c>
      <c r="B2" s="2241"/>
      <c r="C2" s="2241"/>
      <c r="D2" s="2241"/>
      <c r="E2" s="2241"/>
      <c r="F2" s="2241"/>
      <c r="G2" s="2241"/>
      <c r="H2" s="2241"/>
      <c r="I2" s="2241"/>
      <c r="J2" s="2241"/>
      <c r="K2" s="2241"/>
      <c r="L2" s="2241"/>
      <c r="M2" s="2241"/>
      <c r="N2" s="2241"/>
      <c r="O2" s="2241"/>
      <c r="P2" s="2241"/>
      <c r="Q2" s="2241"/>
      <c r="R2" s="2241"/>
      <c r="S2" s="2241"/>
      <c r="T2" s="2241"/>
      <c r="U2" s="2241"/>
      <c r="V2" s="2241"/>
      <c r="W2" s="2241"/>
      <c r="X2" s="2241"/>
      <c r="Y2" s="2241"/>
    </row>
    <row r="3" spans="1:25" ht="21" customHeight="1" x14ac:dyDescent="0.25">
      <c r="A3" s="1482"/>
      <c r="B3" s="1482"/>
      <c r="C3" s="1482"/>
      <c r="D3" s="1482"/>
      <c r="E3" s="1482"/>
      <c r="F3" s="1482"/>
      <c r="G3" s="1482"/>
      <c r="H3" s="1482"/>
      <c r="I3" s="1482"/>
      <c r="J3" s="1482"/>
      <c r="K3" s="1482"/>
      <c r="L3" s="1482"/>
      <c r="M3" s="1482"/>
      <c r="N3" s="1482"/>
      <c r="O3" s="1482"/>
      <c r="P3" s="1482"/>
      <c r="Q3" s="1482"/>
      <c r="R3" s="1482"/>
      <c r="S3" s="1482"/>
      <c r="T3" s="2242" t="s">
        <v>498</v>
      </c>
      <c r="U3" s="2242"/>
      <c r="V3" s="2242"/>
      <c r="W3" s="2242"/>
      <c r="X3" s="2242"/>
      <c r="Y3" s="2242"/>
    </row>
    <row r="4" spans="1:25" s="1482" customFormat="1" ht="18" customHeight="1" x14ac:dyDescent="0.25">
      <c r="A4" s="2243" t="s">
        <v>25</v>
      </c>
      <c r="B4" s="2243" t="s">
        <v>26</v>
      </c>
      <c r="C4" s="2244" t="s">
        <v>27</v>
      </c>
      <c r="D4" s="2244"/>
      <c r="E4" s="2244" t="s">
        <v>342</v>
      </c>
      <c r="F4" s="2244"/>
      <c r="G4" s="2244" t="s">
        <v>65</v>
      </c>
      <c r="H4" s="2244"/>
      <c r="I4" s="2244" t="s">
        <v>29</v>
      </c>
      <c r="J4" s="2244"/>
      <c r="K4" s="2245" t="s">
        <v>14</v>
      </c>
      <c r="L4" s="2246"/>
      <c r="M4" s="2245" t="s">
        <v>429</v>
      </c>
      <c r="N4" s="2246"/>
      <c r="O4" s="2245" t="s">
        <v>441</v>
      </c>
      <c r="P4" s="2246"/>
      <c r="Q4" s="2245" t="s">
        <v>114</v>
      </c>
      <c r="R4" s="2246"/>
      <c r="S4" s="2244" t="s">
        <v>35</v>
      </c>
      <c r="T4" s="2244"/>
      <c r="U4" s="2245" t="s">
        <v>17</v>
      </c>
      <c r="V4" s="2246"/>
      <c r="W4" s="2247" t="s">
        <v>36</v>
      </c>
      <c r="X4" s="2248"/>
      <c r="Y4" s="2238" t="s">
        <v>30</v>
      </c>
    </row>
    <row r="5" spans="1:25" s="1482" customFormat="1" ht="25.5" customHeight="1" x14ac:dyDescent="0.25">
      <c r="A5" s="2243"/>
      <c r="B5" s="2243"/>
      <c r="C5" s="1484" t="s">
        <v>42</v>
      </c>
      <c r="D5" s="1484" t="s">
        <v>43</v>
      </c>
      <c r="E5" s="1484" t="s">
        <v>42</v>
      </c>
      <c r="F5" s="1484" t="s">
        <v>43</v>
      </c>
      <c r="G5" s="1484" t="s">
        <v>42</v>
      </c>
      <c r="H5" s="1484" t="s">
        <v>43</v>
      </c>
      <c r="I5" s="1484" t="s">
        <v>42</v>
      </c>
      <c r="J5" s="1484" t="s">
        <v>43</v>
      </c>
      <c r="K5" s="1484" t="s">
        <v>42</v>
      </c>
      <c r="L5" s="1484" t="s">
        <v>43</v>
      </c>
      <c r="M5" s="1484" t="s">
        <v>42</v>
      </c>
      <c r="N5" s="1484" t="s">
        <v>43</v>
      </c>
      <c r="O5" s="1484" t="s">
        <v>42</v>
      </c>
      <c r="P5" s="1484" t="s">
        <v>43</v>
      </c>
      <c r="Q5" s="1484" t="s">
        <v>42</v>
      </c>
      <c r="R5" s="1484" t="s">
        <v>43</v>
      </c>
      <c r="S5" s="33" t="s">
        <v>42</v>
      </c>
      <c r="T5" s="33" t="s">
        <v>43</v>
      </c>
      <c r="U5" s="30" t="s">
        <v>42</v>
      </c>
      <c r="V5" s="30" t="s">
        <v>43</v>
      </c>
      <c r="W5" s="30" t="s">
        <v>42</v>
      </c>
      <c r="X5" s="30" t="s">
        <v>43</v>
      </c>
      <c r="Y5" s="2239"/>
    </row>
    <row r="6" spans="1:25" ht="34.5" customHeight="1" x14ac:dyDescent="0.25">
      <c r="A6" s="12">
        <v>1409935200</v>
      </c>
      <c r="B6" s="1483" t="s">
        <v>71</v>
      </c>
      <c r="C6" s="1486">
        <v>31762</v>
      </c>
      <c r="D6" s="1487">
        <f t="shared" ref="D6:D11" si="0">0.9725*C6</f>
        <v>30888.545000000002</v>
      </c>
      <c r="E6" s="1486"/>
      <c r="F6" s="1487">
        <f>67.1*E6</f>
        <v>0</v>
      </c>
      <c r="G6" s="1486">
        <v>30</v>
      </c>
      <c r="H6" s="1486">
        <f>28.2*G6</f>
        <v>846</v>
      </c>
      <c r="I6" s="1486">
        <v>550</v>
      </c>
      <c r="J6" s="1486">
        <f>18.5*I6</f>
        <v>10175</v>
      </c>
      <c r="K6" s="1486"/>
      <c r="L6" s="1487">
        <f>28.2368*K6</f>
        <v>0</v>
      </c>
      <c r="M6" s="1486"/>
      <c r="N6" s="1487">
        <f>M6*47.6525</f>
        <v>0</v>
      </c>
      <c r="O6" s="1486">
        <v>500</v>
      </c>
      <c r="P6" s="1487">
        <f>O6*8.9</f>
        <v>4450</v>
      </c>
      <c r="Q6" s="1487"/>
      <c r="R6" s="1487">
        <f>241*Q6</f>
        <v>0</v>
      </c>
      <c r="S6" s="1486"/>
      <c r="T6" s="1486">
        <f>241*S6</f>
        <v>0</v>
      </c>
      <c r="U6" s="1486">
        <v>4</v>
      </c>
      <c r="V6" s="1486">
        <f>332*U6</f>
        <v>1328</v>
      </c>
      <c r="W6" s="1486"/>
      <c r="X6" s="19">
        <f>W6*100</f>
        <v>0</v>
      </c>
      <c r="Y6" s="20">
        <f t="shared" ref="Y6:Y12" si="1">D6+F6+H6+J6+L6+N6+P6+R6+T6+V6+X6</f>
        <v>47687.544999999998</v>
      </c>
    </row>
    <row r="7" spans="1:25" ht="31.5" customHeight="1" x14ac:dyDescent="0.25">
      <c r="A7" s="12">
        <v>1984225578</v>
      </c>
      <c r="B7" s="1483" t="s">
        <v>72</v>
      </c>
      <c r="C7" s="1486">
        <v>27846</v>
      </c>
      <c r="D7" s="1487">
        <f t="shared" si="0"/>
        <v>27080.235000000001</v>
      </c>
      <c r="E7" s="1486"/>
      <c r="F7" s="1486">
        <f t="shared" ref="F7:F11" si="2">67.1*E7</f>
        <v>0</v>
      </c>
      <c r="G7" s="1486">
        <v>60</v>
      </c>
      <c r="H7" s="1486">
        <f t="shared" ref="H7:H11" si="3">28.2*G7</f>
        <v>1692</v>
      </c>
      <c r="I7" s="1486">
        <v>1060</v>
      </c>
      <c r="J7" s="1486">
        <f t="shared" ref="J7:J11" si="4">18.5*I7</f>
        <v>19610</v>
      </c>
      <c r="K7" s="1486"/>
      <c r="L7" s="1487">
        <f t="shared" ref="L7:L11" si="5">28.2368*K7</f>
        <v>0</v>
      </c>
      <c r="M7" s="1486"/>
      <c r="N7" s="1487">
        <f t="shared" ref="N7:N11" si="6">M7*47.6525</f>
        <v>0</v>
      </c>
      <c r="O7" s="1486"/>
      <c r="P7" s="1487">
        <f t="shared" ref="P7:P11" si="7">O7*8.9</f>
        <v>0</v>
      </c>
      <c r="Q7" s="1487"/>
      <c r="R7" s="1487">
        <f t="shared" ref="R7:R11" si="8">241*Q7</f>
        <v>0</v>
      </c>
      <c r="S7" s="1486"/>
      <c r="T7" s="1486">
        <f t="shared" ref="T7:T10" si="9">241*S7</f>
        <v>0</v>
      </c>
      <c r="U7" s="1486"/>
      <c r="V7" s="1486">
        <f t="shared" ref="V7:V11" si="10">332*U7</f>
        <v>0</v>
      </c>
      <c r="W7" s="1486">
        <v>3</v>
      </c>
      <c r="X7" s="19">
        <f t="shared" ref="X7:X11" si="11">W7*100</f>
        <v>300</v>
      </c>
      <c r="Y7" s="20">
        <f t="shared" si="1"/>
        <v>48682.235000000001</v>
      </c>
    </row>
    <row r="8" spans="1:25" ht="35.25" customHeight="1" x14ac:dyDescent="0.25">
      <c r="A8" s="12">
        <v>1967020280</v>
      </c>
      <c r="B8" s="1483" t="s">
        <v>427</v>
      </c>
      <c r="C8" s="1486">
        <v>17462</v>
      </c>
      <c r="D8" s="1487">
        <f t="shared" si="0"/>
        <v>16981.795000000002</v>
      </c>
      <c r="E8" s="1486"/>
      <c r="F8" s="1486">
        <f t="shared" si="2"/>
        <v>0</v>
      </c>
      <c r="G8" s="1486">
        <v>20</v>
      </c>
      <c r="H8" s="1487">
        <f t="shared" si="3"/>
        <v>564</v>
      </c>
      <c r="I8" s="1486">
        <v>550</v>
      </c>
      <c r="J8" s="1486">
        <f t="shared" si="4"/>
        <v>10175</v>
      </c>
      <c r="K8" s="1486"/>
      <c r="L8" s="1487">
        <f t="shared" si="5"/>
        <v>0</v>
      </c>
      <c r="M8" s="1486"/>
      <c r="N8" s="1487">
        <f t="shared" si="6"/>
        <v>0</v>
      </c>
      <c r="O8" s="1486"/>
      <c r="P8" s="1487">
        <f t="shared" si="7"/>
        <v>0</v>
      </c>
      <c r="Q8" s="1487"/>
      <c r="R8" s="1487">
        <f t="shared" si="8"/>
        <v>0</v>
      </c>
      <c r="S8" s="1486"/>
      <c r="T8" s="1486">
        <f t="shared" si="9"/>
        <v>0</v>
      </c>
      <c r="U8" s="1486"/>
      <c r="V8" s="1486">
        <f t="shared" si="10"/>
        <v>0</v>
      </c>
      <c r="W8" s="1486"/>
      <c r="X8" s="19">
        <f t="shared" si="11"/>
        <v>0</v>
      </c>
      <c r="Y8" s="20">
        <f t="shared" si="1"/>
        <v>27720.795000000002</v>
      </c>
    </row>
    <row r="9" spans="1:25" ht="38.25" customHeight="1" x14ac:dyDescent="0.25">
      <c r="A9" s="12">
        <v>1984225580</v>
      </c>
      <c r="B9" s="1483" t="s">
        <v>75</v>
      </c>
      <c r="C9" s="1486">
        <v>23811</v>
      </c>
      <c r="D9" s="1487">
        <f t="shared" si="0"/>
        <v>23156.197500000002</v>
      </c>
      <c r="E9" s="1486">
        <v>20</v>
      </c>
      <c r="F9" s="1486">
        <f t="shared" si="2"/>
        <v>1342</v>
      </c>
      <c r="G9" s="1486"/>
      <c r="H9" s="1486">
        <f t="shared" si="3"/>
        <v>0</v>
      </c>
      <c r="I9" s="1486">
        <v>1410</v>
      </c>
      <c r="J9" s="1486">
        <f t="shared" si="4"/>
        <v>26085</v>
      </c>
      <c r="K9" s="1486"/>
      <c r="L9" s="1487">
        <f t="shared" si="5"/>
        <v>0</v>
      </c>
      <c r="M9" s="1486"/>
      <c r="N9" s="1487">
        <f t="shared" si="6"/>
        <v>0</v>
      </c>
      <c r="O9" s="1486"/>
      <c r="P9" s="1487">
        <f t="shared" si="7"/>
        <v>0</v>
      </c>
      <c r="Q9" s="1487"/>
      <c r="R9" s="1487">
        <f t="shared" si="8"/>
        <v>0</v>
      </c>
      <c r="S9" s="1486"/>
      <c r="T9" s="1486">
        <f t="shared" si="9"/>
        <v>0</v>
      </c>
      <c r="U9" s="1486"/>
      <c r="V9" s="1486">
        <f t="shared" si="10"/>
        <v>0</v>
      </c>
      <c r="W9" s="1486"/>
      <c r="X9" s="19">
        <f t="shared" si="11"/>
        <v>0</v>
      </c>
      <c r="Y9" s="20">
        <f t="shared" si="1"/>
        <v>50583.197500000002</v>
      </c>
    </row>
    <row r="10" spans="1:25" ht="35.25" customHeight="1" x14ac:dyDescent="0.25">
      <c r="A10" s="12">
        <v>1409935199</v>
      </c>
      <c r="C10" s="1486"/>
      <c r="D10" s="1487">
        <f t="shared" si="0"/>
        <v>0</v>
      </c>
      <c r="E10" s="1486"/>
      <c r="F10" s="1486">
        <f t="shared" si="2"/>
        <v>0</v>
      </c>
      <c r="G10" s="1486"/>
      <c r="H10" s="1486">
        <f t="shared" si="3"/>
        <v>0</v>
      </c>
      <c r="I10" s="1486"/>
      <c r="J10" s="1486">
        <f t="shared" si="4"/>
        <v>0</v>
      </c>
      <c r="K10" s="1486"/>
      <c r="L10" s="1487">
        <f t="shared" si="5"/>
        <v>0</v>
      </c>
      <c r="M10" s="1486"/>
      <c r="N10" s="1487">
        <f t="shared" si="6"/>
        <v>0</v>
      </c>
      <c r="O10" s="1486"/>
      <c r="P10" s="1487">
        <f t="shared" si="7"/>
        <v>0</v>
      </c>
      <c r="Q10" s="1487"/>
      <c r="R10" s="1487">
        <f t="shared" si="8"/>
        <v>0</v>
      </c>
      <c r="S10" s="1486"/>
      <c r="T10" s="1486">
        <f t="shared" si="9"/>
        <v>0</v>
      </c>
      <c r="U10" s="1486"/>
      <c r="V10" s="1486">
        <f t="shared" si="10"/>
        <v>0</v>
      </c>
      <c r="W10" s="1486"/>
      <c r="X10" s="19">
        <f t="shared" si="11"/>
        <v>0</v>
      </c>
      <c r="Y10" s="20">
        <f t="shared" si="1"/>
        <v>0</v>
      </c>
    </row>
    <row r="11" spans="1:25" ht="37.5" customHeight="1" x14ac:dyDescent="0.25">
      <c r="A11" s="12"/>
      <c r="B11" s="1485"/>
      <c r="C11" s="1486"/>
      <c r="D11" s="1487">
        <f t="shared" si="0"/>
        <v>0</v>
      </c>
      <c r="E11" s="1486"/>
      <c r="F11" s="1486">
        <f t="shared" si="2"/>
        <v>0</v>
      </c>
      <c r="G11" s="1486"/>
      <c r="H11" s="1486">
        <f t="shared" si="3"/>
        <v>0</v>
      </c>
      <c r="I11" s="1486"/>
      <c r="J11" s="1486">
        <f t="shared" si="4"/>
        <v>0</v>
      </c>
      <c r="K11" s="1486"/>
      <c r="L11" s="1487">
        <f t="shared" si="5"/>
        <v>0</v>
      </c>
      <c r="M11" s="1486"/>
      <c r="N11" s="1487">
        <f t="shared" si="6"/>
        <v>0</v>
      </c>
      <c r="O11" s="1486"/>
      <c r="P11" s="1487">
        <f t="shared" si="7"/>
        <v>0</v>
      </c>
      <c r="Q11" s="1487"/>
      <c r="R11" s="1487">
        <f t="shared" si="8"/>
        <v>0</v>
      </c>
      <c r="S11" s="1486"/>
      <c r="T11" s="1486">
        <f>341*S11</f>
        <v>0</v>
      </c>
      <c r="U11" s="1486"/>
      <c r="V11" s="1486">
        <f t="shared" si="10"/>
        <v>0</v>
      </c>
      <c r="W11" s="1486"/>
      <c r="X11" s="19">
        <f t="shared" si="11"/>
        <v>0</v>
      </c>
      <c r="Y11" s="20">
        <f t="shared" si="1"/>
        <v>0</v>
      </c>
    </row>
    <row r="12" spans="1:25" ht="29.25" customHeight="1" x14ac:dyDescent="0.25">
      <c r="A12" s="2235" t="s">
        <v>31</v>
      </c>
      <c r="B12" s="2235"/>
      <c r="C12" s="18">
        <f t="shared" ref="C12:X12" si="12">SUM(C6:C11)</f>
        <v>100881</v>
      </c>
      <c r="D12" s="18">
        <f t="shared" si="12"/>
        <v>98106.772499999992</v>
      </c>
      <c r="E12" s="18">
        <f t="shared" si="12"/>
        <v>20</v>
      </c>
      <c r="F12" s="18">
        <f t="shared" si="12"/>
        <v>1342</v>
      </c>
      <c r="G12" s="18">
        <f t="shared" si="12"/>
        <v>110</v>
      </c>
      <c r="H12" s="18">
        <f t="shared" si="12"/>
        <v>3102</v>
      </c>
      <c r="I12" s="18">
        <f t="shared" si="12"/>
        <v>3570</v>
      </c>
      <c r="J12" s="18">
        <f t="shared" si="12"/>
        <v>66045</v>
      </c>
      <c r="K12" s="18">
        <f t="shared" si="12"/>
        <v>0</v>
      </c>
      <c r="L12" s="18">
        <f t="shared" si="12"/>
        <v>0</v>
      </c>
      <c r="M12" s="18">
        <f t="shared" si="12"/>
        <v>0</v>
      </c>
      <c r="N12" s="23">
        <f t="shared" si="12"/>
        <v>0</v>
      </c>
      <c r="O12" s="18">
        <f t="shared" si="12"/>
        <v>500</v>
      </c>
      <c r="P12" s="23">
        <f t="shared" si="12"/>
        <v>4450</v>
      </c>
      <c r="Q12" s="23">
        <f t="shared" si="12"/>
        <v>0</v>
      </c>
      <c r="R12" s="23">
        <f>SUM(R6:R11)</f>
        <v>0</v>
      </c>
      <c r="S12" s="23">
        <f>SUM(S6:S11)</f>
        <v>0</v>
      </c>
      <c r="T12" s="18">
        <f t="shared" si="12"/>
        <v>0</v>
      </c>
      <c r="U12" s="18">
        <f t="shared" si="12"/>
        <v>4</v>
      </c>
      <c r="V12" s="18">
        <f t="shared" si="12"/>
        <v>1328</v>
      </c>
      <c r="W12" s="18">
        <f t="shared" si="12"/>
        <v>3</v>
      </c>
      <c r="X12" s="18">
        <f t="shared" si="12"/>
        <v>300</v>
      </c>
      <c r="Y12" s="20">
        <f t="shared" si="1"/>
        <v>174673.77249999999</v>
      </c>
    </row>
    <row r="14" spans="1:25" ht="43.5" customHeight="1" x14ac:dyDescent="0.25">
      <c r="A14" s="30" t="s">
        <v>32</v>
      </c>
      <c r="B14" s="2236" t="s">
        <v>27</v>
      </c>
      <c r="C14" s="2236"/>
      <c r="D14" s="30" t="s">
        <v>333</v>
      </c>
      <c r="E14" s="30" t="s">
        <v>65</v>
      </c>
      <c r="F14" s="30" t="s">
        <v>34</v>
      </c>
      <c r="G14" s="30" t="s">
        <v>14</v>
      </c>
      <c r="H14" s="469" t="s">
        <v>173</v>
      </c>
      <c r="I14" s="30" t="s">
        <v>17</v>
      </c>
      <c r="J14" s="1491" t="s">
        <v>174</v>
      </c>
      <c r="K14" s="30" t="s">
        <v>36</v>
      </c>
      <c r="L14" s="1491" t="s">
        <v>403</v>
      </c>
      <c r="M14" s="30" t="s">
        <v>429</v>
      </c>
      <c r="N14" s="30" t="s">
        <v>442</v>
      </c>
      <c r="O14" s="1491" t="s">
        <v>114</v>
      </c>
      <c r="P14" s="30" t="s">
        <v>70</v>
      </c>
      <c r="Q14" s="2300" t="s">
        <v>479</v>
      </c>
      <c r="R14" s="2301"/>
      <c r="S14" s="1491" t="s">
        <v>401</v>
      </c>
      <c r="T14" s="2235" t="s">
        <v>46</v>
      </c>
      <c r="U14" s="1483" t="s">
        <v>176</v>
      </c>
      <c r="V14" s="2260">
        <v>6509</v>
      </c>
      <c r="W14" s="2268"/>
      <c r="X14" s="2261"/>
    </row>
    <row r="15" spans="1:25" ht="22.5" customHeight="1" x14ac:dyDescent="0.25">
      <c r="A15" s="100" t="s">
        <v>38</v>
      </c>
      <c r="B15" s="2260">
        <v>295593</v>
      </c>
      <c r="C15" s="2261"/>
      <c r="D15" s="1488">
        <v>130</v>
      </c>
      <c r="E15" s="1488">
        <v>440</v>
      </c>
      <c r="F15" s="1488">
        <v>17110</v>
      </c>
      <c r="G15" s="1488">
        <v>580</v>
      </c>
      <c r="H15" s="1488">
        <v>72</v>
      </c>
      <c r="I15" s="1488">
        <v>8</v>
      </c>
      <c r="J15" s="1488">
        <v>4</v>
      </c>
      <c r="K15" s="1488">
        <v>80</v>
      </c>
      <c r="L15" s="1488">
        <v>0</v>
      </c>
      <c r="M15" s="1488">
        <v>0</v>
      </c>
      <c r="N15" s="1488">
        <v>500</v>
      </c>
      <c r="O15" s="1488">
        <v>0</v>
      </c>
      <c r="P15" s="1488">
        <v>100</v>
      </c>
      <c r="Q15" s="2260">
        <v>10</v>
      </c>
      <c r="R15" s="2261"/>
      <c r="S15" s="1483">
        <v>2</v>
      </c>
      <c r="T15" s="2235"/>
      <c r="U15" s="1483" t="s">
        <v>64</v>
      </c>
      <c r="V15" s="2262">
        <v>15922</v>
      </c>
      <c r="W15" s="2262"/>
      <c r="X15" s="2262"/>
    </row>
    <row r="16" spans="1:25" ht="24.75" customHeight="1" x14ac:dyDescent="0.25">
      <c r="A16" s="100" t="s">
        <v>39</v>
      </c>
      <c r="B16" s="2260">
        <v>103896</v>
      </c>
      <c r="C16" s="2261"/>
      <c r="D16" s="1488"/>
      <c r="E16" s="1488"/>
      <c r="F16" s="1488"/>
      <c r="G16" s="1488"/>
      <c r="H16" s="1488"/>
      <c r="I16" s="1488"/>
      <c r="J16" s="1488"/>
      <c r="K16" s="1488"/>
      <c r="L16" s="1488"/>
      <c r="M16" s="1488"/>
      <c r="N16" s="1488"/>
      <c r="O16" s="1488"/>
      <c r="P16" s="1488"/>
      <c r="Q16" s="2262"/>
      <c r="R16" s="2262"/>
      <c r="S16" s="1488"/>
      <c r="T16" s="2254" t="s">
        <v>55</v>
      </c>
      <c r="U16" s="2254"/>
      <c r="V16" s="2267">
        <f>Y12</f>
        <v>174673.77249999999</v>
      </c>
      <c r="W16" s="2267"/>
      <c r="X16" s="2262"/>
    </row>
    <row r="17" spans="1:25" ht="28.5" customHeight="1" x14ac:dyDescent="0.25">
      <c r="A17" s="101" t="s">
        <v>44</v>
      </c>
      <c r="B17" s="2260"/>
      <c r="C17" s="2261"/>
      <c r="D17" s="1488"/>
      <c r="E17" s="1488"/>
      <c r="F17" s="1488"/>
      <c r="G17" s="1488"/>
      <c r="H17" s="1488"/>
      <c r="I17" s="1488"/>
      <c r="J17" s="1488"/>
      <c r="K17" s="1488"/>
      <c r="L17" s="1488"/>
      <c r="M17" s="1488"/>
      <c r="N17" s="1488"/>
      <c r="O17" s="1488"/>
      <c r="P17" s="1488"/>
      <c r="Q17" s="2225"/>
      <c r="R17" s="2225"/>
      <c r="S17" s="1485"/>
      <c r="T17" s="2294" t="s">
        <v>473</v>
      </c>
      <c r="U17" s="2295"/>
      <c r="V17" s="2296"/>
      <c r="W17" s="2296"/>
      <c r="X17" s="2296"/>
    </row>
    <row r="18" spans="1:25" ht="27" customHeight="1" x14ac:dyDescent="0.25">
      <c r="A18" s="100" t="s">
        <v>40</v>
      </c>
      <c r="B18" s="2264">
        <f>C12</f>
        <v>100881</v>
      </c>
      <c r="C18" s="2261"/>
      <c r="D18" s="1489">
        <f>E12</f>
        <v>20</v>
      </c>
      <c r="E18" s="1489">
        <f>G12</f>
        <v>110</v>
      </c>
      <c r="F18" s="1489">
        <f>I12</f>
        <v>3570</v>
      </c>
      <c r="G18" s="1489">
        <f>K12</f>
        <v>0</v>
      </c>
      <c r="H18" s="1488"/>
      <c r="I18" s="1489">
        <f>U12</f>
        <v>4</v>
      </c>
      <c r="J18" s="1488"/>
      <c r="K18" s="1489">
        <f>W12</f>
        <v>3</v>
      </c>
      <c r="L18" s="1488"/>
      <c r="M18" s="1489">
        <f>M12</f>
        <v>0</v>
      </c>
      <c r="N18" s="1489">
        <f>O12</f>
        <v>500</v>
      </c>
      <c r="O18" s="1490">
        <f>Q12</f>
        <v>0</v>
      </c>
      <c r="P18" s="1489"/>
      <c r="Q18" s="2262"/>
      <c r="R18" s="2262"/>
      <c r="S18" s="1483"/>
      <c r="T18" s="2254" t="s">
        <v>57</v>
      </c>
      <c r="U18" s="2254"/>
      <c r="V18" s="2262">
        <v>620</v>
      </c>
      <c r="W18" s="2262"/>
      <c r="X18" s="2262"/>
      <c r="Y18" s="2269"/>
    </row>
    <row r="19" spans="1:25" ht="25.5" customHeight="1" x14ac:dyDescent="0.25">
      <c r="A19" s="100" t="s">
        <v>41</v>
      </c>
      <c r="B19" s="2260">
        <f>B15+B16+B17-B18</f>
        <v>298608</v>
      </c>
      <c r="C19" s="2261"/>
      <c r="D19" s="1488">
        <f>D15+D16+D17-D18</f>
        <v>110</v>
      </c>
      <c r="E19" s="1488">
        <f t="shared" ref="E19:N19" si="13">E15+E16+E17-E18</f>
        <v>330</v>
      </c>
      <c r="F19" s="1488">
        <f t="shared" si="13"/>
        <v>13540</v>
      </c>
      <c r="G19" s="1488">
        <f t="shared" si="13"/>
        <v>580</v>
      </c>
      <c r="H19" s="1488">
        <f t="shared" si="13"/>
        <v>72</v>
      </c>
      <c r="I19" s="1488">
        <f t="shared" si="13"/>
        <v>4</v>
      </c>
      <c r="J19" s="1488">
        <f t="shared" si="13"/>
        <v>4</v>
      </c>
      <c r="K19" s="1488">
        <f t="shared" si="13"/>
        <v>77</v>
      </c>
      <c r="L19" s="1488">
        <f t="shared" si="13"/>
        <v>0</v>
      </c>
      <c r="M19" s="1488">
        <f t="shared" si="13"/>
        <v>0</v>
      </c>
      <c r="N19" s="1488">
        <f t="shared" si="13"/>
        <v>0</v>
      </c>
      <c r="O19" s="1488">
        <f>O15+O16+O17-O18</f>
        <v>0</v>
      </c>
      <c r="P19" s="1488">
        <f t="shared" ref="P19:Q19" si="14">P15+P16+P17-P18</f>
        <v>100</v>
      </c>
      <c r="Q19" s="2260">
        <f t="shared" si="14"/>
        <v>10</v>
      </c>
      <c r="R19" s="2261"/>
      <c r="S19" s="1483">
        <f>S15+S16-S17-S18</f>
        <v>2</v>
      </c>
      <c r="T19" s="2256" t="s">
        <v>48</v>
      </c>
      <c r="U19" s="49" t="s">
        <v>58</v>
      </c>
      <c r="V19" s="2262">
        <v>154000</v>
      </c>
      <c r="W19" s="2262"/>
      <c r="X19" s="2262"/>
      <c r="Y19" s="2269"/>
    </row>
    <row r="20" spans="1:25" ht="23.25" customHeight="1" x14ac:dyDescent="0.25">
      <c r="A20" s="289" t="s">
        <v>187</v>
      </c>
      <c r="B20" s="2286">
        <f>B19*0.9625</f>
        <v>287410.2</v>
      </c>
      <c r="C20" s="2287"/>
      <c r="D20" s="290">
        <f>D19*66.41</f>
        <v>7305.0999999999995</v>
      </c>
      <c r="E20" s="290">
        <f>27.9368*E19</f>
        <v>9219.1440000000002</v>
      </c>
      <c r="F20" s="290">
        <f>18.31*F19</f>
        <v>247917.4</v>
      </c>
      <c r="G20" s="290">
        <f>27.9368*G19</f>
        <v>16203.344000000001</v>
      </c>
      <c r="H20" s="290">
        <f>241*H19</f>
        <v>17352</v>
      </c>
      <c r="I20" s="290">
        <f>323*I19</f>
        <v>1292</v>
      </c>
      <c r="J20" s="290">
        <f>241*J19</f>
        <v>964</v>
      </c>
      <c r="K20" s="290">
        <f>K19*100</f>
        <v>7700</v>
      </c>
      <c r="L20" s="290">
        <f>241*L19</f>
        <v>0</v>
      </c>
      <c r="M20" s="290">
        <f>47.1625*M19</f>
        <v>0</v>
      </c>
      <c r="N20" s="290">
        <f>N19*8.81</f>
        <v>0</v>
      </c>
      <c r="O20" s="290">
        <f>241*O19</f>
        <v>0</v>
      </c>
      <c r="P20" s="290">
        <f>P19*48.2</f>
        <v>4820</v>
      </c>
      <c r="Q20" s="2286">
        <f>470*Q19</f>
        <v>4700</v>
      </c>
      <c r="R20" s="2287"/>
      <c r="S20" s="290">
        <f>341*S19</f>
        <v>682</v>
      </c>
      <c r="T20" s="2257"/>
      <c r="U20" s="49" t="s">
        <v>59</v>
      </c>
      <c r="V20" s="2262"/>
      <c r="W20" s="2262"/>
      <c r="X20" s="2262"/>
      <c r="Y20" s="2269"/>
    </row>
    <row r="21" spans="1:25" ht="32.25" customHeight="1" x14ac:dyDescent="0.25">
      <c r="A21" s="291" t="s">
        <v>186</v>
      </c>
      <c r="B21" s="2293">
        <f>SUM(B20:S20)</f>
        <v>605565.18800000008</v>
      </c>
      <c r="C21" s="2293"/>
      <c r="O21" s="1492"/>
      <c r="P21" s="1492"/>
      <c r="Q21" s="1492"/>
      <c r="R21" s="1492"/>
      <c r="T21" s="2294" t="s">
        <v>487</v>
      </c>
      <c r="U21" s="2295"/>
      <c r="V21" s="2297"/>
      <c r="W21" s="2298"/>
      <c r="X21" s="2299"/>
      <c r="Y21" s="2269"/>
    </row>
    <row r="22" spans="1:25" ht="35.25" customHeight="1" x14ac:dyDescent="0.25">
      <c r="A22" s="15"/>
      <c r="B22" s="2288" t="s">
        <v>49</v>
      </c>
      <c r="C22" s="2291">
        <v>154000</v>
      </c>
      <c r="D22" s="2291">
        <v>154000</v>
      </c>
      <c r="E22" s="2291">
        <v>100000</v>
      </c>
      <c r="F22" s="2291">
        <f>C22-D22+E22</f>
        <v>100000</v>
      </c>
      <c r="G22" s="1492"/>
      <c r="Q22" s="1492"/>
      <c r="R22" s="1492"/>
      <c r="T22" s="2251" t="s">
        <v>83</v>
      </c>
      <c r="U22" s="50" t="s">
        <v>60</v>
      </c>
      <c r="V22" s="2262">
        <v>174680</v>
      </c>
      <c r="W22" s="2262"/>
      <c r="X22" s="2262"/>
      <c r="Y22" s="2269"/>
    </row>
    <row r="23" spans="1:25" ht="39.75" customHeight="1" x14ac:dyDescent="0.25">
      <c r="A23" s="1492"/>
      <c r="B23" s="2289"/>
      <c r="C23" s="2292"/>
      <c r="D23" s="2292"/>
      <c r="E23" s="2292"/>
      <c r="F23" s="2292"/>
      <c r="G23" s="1492"/>
      <c r="Q23" s="1492"/>
      <c r="R23" s="1492"/>
      <c r="T23" s="2252"/>
      <c r="U23" s="50" t="s">
        <v>61</v>
      </c>
      <c r="V23" s="2262">
        <v>154000</v>
      </c>
      <c r="W23" s="2262"/>
      <c r="X23" s="2262"/>
      <c r="Y23" s="2269"/>
    </row>
    <row r="24" spans="1:25" ht="48" customHeight="1" x14ac:dyDescent="0.25">
      <c r="A24" s="1492"/>
      <c r="B24" s="2290"/>
      <c r="C24" s="290" t="s">
        <v>46</v>
      </c>
      <c r="D24" s="290" t="s">
        <v>50</v>
      </c>
      <c r="E24" s="290" t="s">
        <v>51</v>
      </c>
      <c r="F24" s="290" t="s">
        <v>52</v>
      </c>
      <c r="G24" s="1492"/>
      <c r="Q24" s="1492"/>
      <c r="R24" s="1492"/>
      <c r="T24" s="2235" t="s">
        <v>47</v>
      </c>
      <c r="U24" s="51" t="s">
        <v>62</v>
      </c>
      <c r="V24" s="2263">
        <f>V14+V16+V17-V18-V19-V20-V22+V23-V21</f>
        <v>5882.7724999999919</v>
      </c>
      <c r="W24" s="2263"/>
      <c r="X24" s="2263"/>
      <c r="Y24" s="2269"/>
    </row>
    <row r="25" spans="1:25" ht="40.5" customHeight="1" x14ac:dyDescent="0.25">
      <c r="T25" s="2235"/>
      <c r="U25" s="51" t="s">
        <v>63</v>
      </c>
      <c r="V25" s="2262">
        <f>V15+V22-V23</f>
        <v>36602</v>
      </c>
      <c r="W25" s="2262"/>
      <c r="X25" s="2262"/>
    </row>
    <row r="26" spans="1:25" ht="36" customHeight="1" x14ac:dyDescent="0.25">
      <c r="K26" s="314"/>
    </row>
    <row r="28" spans="1:25" x14ac:dyDescent="0.25">
      <c r="J28" s="14" t="s">
        <v>139</v>
      </c>
    </row>
    <row r="32" spans="1:25" x14ac:dyDescent="0.25">
      <c r="I32" s="2280"/>
      <c r="J32" s="2280"/>
      <c r="K32" s="2280"/>
      <c r="L32" s="2280"/>
    </row>
    <row r="33" spans="9:12" x14ac:dyDescent="0.25">
      <c r="I33" s="1492"/>
      <c r="J33" s="1492"/>
      <c r="K33" s="2280"/>
      <c r="L33" s="2280"/>
    </row>
  </sheetData>
  <mergeCells count="62">
    <mergeCell ref="I32:J32"/>
    <mergeCell ref="K32:L32"/>
    <mergeCell ref="K33:L33"/>
    <mergeCell ref="T22:T23"/>
    <mergeCell ref="V22:X22"/>
    <mergeCell ref="V23:X23"/>
    <mergeCell ref="T24:T25"/>
    <mergeCell ref="V24:X24"/>
    <mergeCell ref="V25:X25"/>
    <mergeCell ref="Y18:Y24"/>
    <mergeCell ref="B19:C19"/>
    <mergeCell ref="Q19:R19"/>
    <mergeCell ref="T19:T20"/>
    <mergeCell ref="V19:X19"/>
    <mergeCell ref="B20:C20"/>
    <mergeCell ref="B22:B24"/>
    <mergeCell ref="C22:C23"/>
    <mergeCell ref="D22:D23"/>
    <mergeCell ref="E22:E23"/>
    <mergeCell ref="F22:F23"/>
    <mergeCell ref="Q20:R20"/>
    <mergeCell ref="V20:X20"/>
    <mergeCell ref="B21:C21"/>
    <mergeCell ref="T21:U21"/>
    <mergeCell ref="V21:X21"/>
    <mergeCell ref="B17:C17"/>
    <mergeCell ref="Q17:R17"/>
    <mergeCell ref="T17:U17"/>
    <mergeCell ref="V17:X17"/>
    <mergeCell ref="B18:C18"/>
    <mergeCell ref="Q18:R18"/>
    <mergeCell ref="T18:U18"/>
    <mergeCell ref="V18:X18"/>
    <mergeCell ref="W4:X4"/>
    <mergeCell ref="B16:C16"/>
    <mergeCell ref="Q16:R16"/>
    <mergeCell ref="T16:U16"/>
    <mergeCell ref="V16:X16"/>
    <mergeCell ref="A12:B12"/>
    <mergeCell ref="B14:C14"/>
    <mergeCell ref="Q14:R14"/>
    <mergeCell ref="T14:T15"/>
    <mergeCell ref="V14:X14"/>
    <mergeCell ref="B15:C15"/>
    <mergeCell ref="Q15:R15"/>
    <mergeCell ref="V15:X15"/>
    <mergeCell ref="A1:Y1"/>
    <mergeCell ref="A2:Y2"/>
    <mergeCell ref="T3:Y3"/>
    <mergeCell ref="A4:A5"/>
    <mergeCell ref="B4:B5"/>
    <mergeCell ref="C4:D4"/>
    <mergeCell ref="E4:F4"/>
    <mergeCell ref="G4:H4"/>
    <mergeCell ref="I4:J4"/>
    <mergeCell ref="K4:L4"/>
    <mergeCell ref="Y4:Y5"/>
    <mergeCell ref="M4:N4"/>
    <mergeCell ref="O4:P4"/>
    <mergeCell ref="Q4:R4"/>
    <mergeCell ref="S4:T4"/>
    <mergeCell ref="U4:V4"/>
  </mergeCells>
  <pageMargins left="0.15748031496063" right="0.15748031496063" top="0" bottom="0" header="0" footer="0"/>
  <pageSetup paperSize="9" scale="46" orientation="landscape" r:id="rId1"/>
</worksheet>
</file>

<file path=xl/worksheets/sheet25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C2AD266-E0E6-4106-912B-6F5FCC81EE1A}">
  <sheetPr>
    <pageSetUpPr fitToPage="1"/>
  </sheetPr>
  <dimension ref="A1:Y33"/>
  <sheetViews>
    <sheetView zoomScale="70" zoomScaleNormal="70" zoomScaleSheetLayoutView="100" zoomScalePageLayoutView="68" workbookViewId="0">
      <selection activeCell="B16" sqref="B16:C16"/>
    </sheetView>
  </sheetViews>
  <sheetFormatPr defaultColWidth="9.140625" defaultRowHeight="15" x14ac:dyDescent="0.25"/>
  <cols>
    <col min="1" max="1" width="18.28515625" style="14" customWidth="1"/>
    <col min="2" max="2" width="10.7109375" style="14" customWidth="1"/>
    <col min="3" max="3" width="12.28515625" style="14" customWidth="1"/>
    <col min="4" max="4" width="13.140625" style="14" bestFit="1" customWidth="1"/>
    <col min="5" max="5" width="12" style="14" customWidth="1"/>
    <col min="6" max="6" width="14" style="14" bestFit="1" customWidth="1"/>
    <col min="7" max="7" width="16" style="14" bestFit="1" customWidth="1"/>
    <col min="8" max="8" width="10.140625" style="14" bestFit="1" customWidth="1"/>
    <col min="9" max="9" width="10.5703125" style="14" bestFit="1" customWidth="1"/>
    <col min="10" max="10" width="10.5703125" style="14" customWidth="1"/>
    <col min="11" max="11" width="10.28515625" style="14" bestFit="1" customWidth="1"/>
    <col min="12" max="12" width="10.42578125" style="14" bestFit="1" customWidth="1"/>
    <col min="13" max="14" width="12" style="14" bestFit="1" customWidth="1"/>
    <col min="15" max="15" width="11" style="14" customWidth="1"/>
    <col min="16" max="16" width="12.85546875" style="14" bestFit="1" customWidth="1"/>
    <col min="17" max="18" width="9.42578125" style="14" customWidth="1"/>
    <col min="19" max="19" width="13.7109375" style="14" customWidth="1"/>
    <col min="20" max="20" width="12.140625" style="14" customWidth="1"/>
    <col min="21" max="21" width="21.7109375" style="14" customWidth="1"/>
    <col min="22" max="22" width="9.85546875" style="14" customWidth="1"/>
    <col min="23" max="23" width="10.140625" style="14" bestFit="1" customWidth="1"/>
    <col min="24" max="24" width="10.28515625" style="14" customWidth="1"/>
    <col min="25" max="25" width="15.7109375" style="14" customWidth="1"/>
    <col min="26" max="16384" width="9.140625" style="14"/>
  </cols>
  <sheetData>
    <row r="1" spans="1:25" ht="46.15" customHeight="1" x14ac:dyDescent="0.25">
      <c r="A1" s="2240" t="s">
        <v>148</v>
      </c>
      <c r="B1" s="2240"/>
      <c r="C1" s="2240"/>
      <c r="D1" s="2240"/>
      <c r="E1" s="2240"/>
      <c r="F1" s="2240"/>
      <c r="G1" s="2240"/>
      <c r="H1" s="2240"/>
      <c r="I1" s="2240"/>
      <c r="J1" s="2240"/>
      <c r="K1" s="2240"/>
      <c r="L1" s="2240"/>
      <c r="M1" s="2240"/>
      <c r="N1" s="2240"/>
      <c r="O1" s="2240"/>
      <c r="P1" s="2240"/>
      <c r="Q1" s="2240"/>
      <c r="R1" s="2240"/>
      <c r="S1" s="2240"/>
      <c r="T1" s="2240"/>
      <c r="U1" s="2240"/>
      <c r="V1" s="2240"/>
      <c r="W1" s="2240"/>
      <c r="X1" s="2240"/>
      <c r="Y1" s="2240"/>
    </row>
    <row r="2" spans="1:25" ht="21.6" customHeight="1" x14ac:dyDescent="0.25">
      <c r="A2" s="2241" t="s">
        <v>383</v>
      </c>
      <c r="B2" s="2241"/>
      <c r="C2" s="2241"/>
      <c r="D2" s="2241"/>
      <c r="E2" s="2241"/>
      <c r="F2" s="2241"/>
      <c r="G2" s="2241"/>
      <c r="H2" s="2241"/>
      <c r="I2" s="2241"/>
      <c r="J2" s="2241"/>
      <c r="K2" s="2241"/>
      <c r="L2" s="2241"/>
      <c r="M2" s="2241"/>
      <c r="N2" s="2241"/>
      <c r="O2" s="2241"/>
      <c r="P2" s="2241"/>
      <c r="Q2" s="2241"/>
      <c r="R2" s="2241"/>
      <c r="S2" s="2241"/>
      <c r="T2" s="2241"/>
      <c r="U2" s="2241"/>
      <c r="V2" s="2241"/>
      <c r="W2" s="2241"/>
      <c r="X2" s="2241"/>
      <c r="Y2" s="2241"/>
    </row>
    <row r="3" spans="1:25" ht="21" customHeight="1" x14ac:dyDescent="0.25">
      <c r="A3" s="1493"/>
      <c r="B3" s="1493"/>
      <c r="C3" s="1493"/>
      <c r="D3" s="1493"/>
      <c r="E3" s="1493"/>
      <c r="F3" s="1493"/>
      <c r="G3" s="1493"/>
      <c r="H3" s="1493"/>
      <c r="I3" s="1493"/>
      <c r="J3" s="1493"/>
      <c r="K3" s="1493"/>
      <c r="L3" s="1493"/>
      <c r="M3" s="1493"/>
      <c r="N3" s="1493"/>
      <c r="O3" s="1493"/>
      <c r="P3" s="1493"/>
      <c r="Q3" s="1493"/>
      <c r="R3" s="1493"/>
      <c r="S3" s="1493"/>
      <c r="T3" s="2242" t="s">
        <v>499</v>
      </c>
      <c r="U3" s="2242"/>
      <c r="V3" s="2242"/>
      <c r="W3" s="2242"/>
      <c r="X3" s="2242"/>
      <c r="Y3" s="2242"/>
    </row>
    <row r="4" spans="1:25" s="1493" customFormat="1" ht="18" customHeight="1" x14ac:dyDescent="0.25">
      <c r="A4" s="2243" t="s">
        <v>25</v>
      </c>
      <c r="B4" s="2243" t="s">
        <v>26</v>
      </c>
      <c r="C4" s="2244" t="s">
        <v>27</v>
      </c>
      <c r="D4" s="2244"/>
      <c r="E4" s="2244" t="s">
        <v>342</v>
      </c>
      <c r="F4" s="2244"/>
      <c r="G4" s="2244" t="s">
        <v>65</v>
      </c>
      <c r="H4" s="2244"/>
      <c r="I4" s="2244" t="s">
        <v>29</v>
      </c>
      <c r="J4" s="2244"/>
      <c r="K4" s="2245" t="s">
        <v>14</v>
      </c>
      <c r="L4" s="2246"/>
      <c r="M4" s="2245" t="s">
        <v>429</v>
      </c>
      <c r="N4" s="2246"/>
      <c r="O4" s="2245" t="s">
        <v>441</v>
      </c>
      <c r="P4" s="2246"/>
      <c r="Q4" s="2245" t="s">
        <v>114</v>
      </c>
      <c r="R4" s="2246"/>
      <c r="S4" s="2244" t="s">
        <v>35</v>
      </c>
      <c r="T4" s="2244"/>
      <c r="U4" s="2245" t="s">
        <v>17</v>
      </c>
      <c r="V4" s="2246"/>
      <c r="W4" s="2247" t="s">
        <v>36</v>
      </c>
      <c r="X4" s="2248"/>
      <c r="Y4" s="2238" t="s">
        <v>30</v>
      </c>
    </row>
    <row r="5" spans="1:25" s="1493" customFormat="1" ht="25.5" customHeight="1" x14ac:dyDescent="0.25">
      <c r="A5" s="2243"/>
      <c r="B5" s="2243"/>
      <c r="C5" s="1495" t="s">
        <v>42</v>
      </c>
      <c r="D5" s="1495" t="s">
        <v>43</v>
      </c>
      <c r="E5" s="1495" t="s">
        <v>42</v>
      </c>
      <c r="F5" s="1495" t="s">
        <v>43</v>
      </c>
      <c r="G5" s="1495" t="s">
        <v>42</v>
      </c>
      <c r="H5" s="1495" t="s">
        <v>43</v>
      </c>
      <c r="I5" s="1495" t="s">
        <v>42</v>
      </c>
      <c r="J5" s="1495" t="s">
        <v>43</v>
      </c>
      <c r="K5" s="1495" t="s">
        <v>42</v>
      </c>
      <c r="L5" s="1495" t="s">
        <v>43</v>
      </c>
      <c r="M5" s="1495" t="s">
        <v>42</v>
      </c>
      <c r="N5" s="1495" t="s">
        <v>43</v>
      </c>
      <c r="O5" s="1495" t="s">
        <v>42</v>
      </c>
      <c r="P5" s="1495" t="s">
        <v>43</v>
      </c>
      <c r="Q5" s="1495" t="s">
        <v>42</v>
      </c>
      <c r="R5" s="1495" t="s">
        <v>43</v>
      </c>
      <c r="S5" s="33" t="s">
        <v>42</v>
      </c>
      <c r="T5" s="33" t="s">
        <v>43</v>
      </c>
      <c r="U5" s="30" t="s">
        <v>42</v>
      </c>
      <c r="V5" s="30" t="s">
        <v>43</v>
      </c>
      <c r="W5" s="30" t="s">
        <v>42</v>
      </c>
      <c r="X5" s="30" t="s">
        <v>43</v>
      </c>
      <c r="Y5" s="2239"/>
    </row>
    <row r="6" spans="1:25" ht="34.5" customHeight="1" x14ac:dyDescent="0.25">
      <c r="A6" s="12">
        <v>1409935200</v>
      </c>
      <c r="B6" s="1494" t="s">
        <v>71</v>
      </c>
      <c r="C6" s="1497">
        <v>33671</v>
      </c>
      <c r="D6" s="1498">
        <f t="shared" ref="D6:D11" si="0">0.9725*C6</f>
        <v>32745.047500000001</v>
      </c>
      <c r="E6" s="1497"/>
      <c r="F6" s="1498">
        <f>67.1*E6</f>
        <v>0</v>
      </c>
      <c r="G6" s="1497"/>
      <c r="H6" s="1497">
        <f>28.2*G6</f>
        <v>0</v>
      </c>
      <c r="I6" s="1497">
        <v>350</v>
      </c>
      <c r="J6" s="1497">
        <f>18.5*I6</f>
        <v>6475</v>
      </c>
      <c r="K6" s="1497"/>
      <c r="L6" s="1498">
        <f>28.2368*K6</f>
        <v>0</v>
      </c>
      <c r="M6" s="1497"/>
      <c r="N6" s="1498">
        <f>M6*47.6525</f>
        <v>0</v>
      </c>
      <c r="O6" s="1497"/>
      <c r="P6" s="1498">
        <f>O6*8.9</f>
        <v>0</v>
      </c>
      <c r="Q6" s="1498"/>
      <c r="R6" s="1498">
        <f>241*Q6</f>
        <v>0</v>
      </c>
      <c r="S6" s="1497"/>
      <c r="T6" s="1497">
        <f>241*S6</f>
        <v>0</v>
      </c>
      <c r="U6" s="1497"/>
      <c r="V6" s="1497">
        <f>332*U6</f>
        <v>0</v>
      </c>
      <c r="W6" s="1497"/>
      <c r="X6" s="19">
        <f>W6*100</f>
        <v>0</v>
      </c>
      <c r="Y6" s="20">
        <f t="shared" ref="Y6:Y12" si="1">D6+F6+H6+J6+L6+N6+P6+R6+T6+V6+X6</f>
        <v>39220.047500000001</v>
      </c>
    </row>
    <row r="7" spans="1:25" ht="31.5" customHeight="1" x14ac:dyDescent="0.25">
      <c r="A7" s="12">
        <v>1984225578</v>
      </c>
      <c r="B7" s="1494" t="s">
        <v>72</v>
      </c>
      <c r="C7" s="1497">
        <v>25094</v>
      </c>
      <c r="D7" s="1498">
        <f t="shared" si="0"/>
        <v>24403.915000000001</v>
      </c>
      <c r="E7" s="1497"/>
      <c r="F7" s="1497">
        <f t="shared" ref="F7:F11" si="2">67.1*E7</f>
        <v>0</v>
      </c>
      <c r="G7" s="1497"/>
      <c r="H7" s="1497">
        <f t="shared" ref="H7:H11" si="3">28.2*G7</f>
        <v>0</v>
      </c>
      <c r="I7" s="1497">
        <v>500</v>
      </c>
      <c r="J7" s="1497">
        <f t="shared" ref="J7:J11" si="4">18.5*I7</f>
        <v>9250</v>
      </c>
      <c r="K7" s="1497"/>
      <c r="L7" s="1498">
        <f t="shared" ref="L7:L11" si="5">28.2368*K7</f>
        <v>0</v>
      </c>
      <c r="M7" s="1497"/>
      <c r="N7" s="1498">
        <f t="shared" ref="N7:N11" si="6">M7*47.6525</f>
        <v>0</v>
      </c>
      <c r="O7" s="1497"/>
      <c r="P7" s="1498">
        <f t="shared" ref="P7:P11" si="7">O7*8.9</f>
        <v>0</v>
      </c>
      <c r="Q7" s="1498"/>
      <c r="R7" s="1498">
        <f t="shared" ref="R7:R11" si="8">241*Q7</f>
        <v>0</v>
      </c>
      <c r="S7" s="1497"/>
      <c r="T7" s="1497">
        <f t="shared" ref="T7:T10" si="9">241*S7</f>
        <v>0</v>
      </c>
      <c r="U7" s="1497"/>
      <c r="V7" s="1497">
        <f t="shared" ref="V7:V11" si="10">332*U7</f>
        <v>0</v>
      </c>
      <c r="W7" s="1497"/>
      <c r="X7" s="19">
        <f t="shared" ref="X7:X11" si="11">W7*100</f>
        <v>0</v>
      </c>
      <c r="Y7" s="20">
        <f t="shared" si="1"/>
        <v>33653.915000000001</v>
      </c>
    </row>
    <row r="8" spans="1:25" ht="35.25" customHeight="1" x14ac:dyDescent="0.25">
      <c r="A8" s="12">
        <v>1967020280</v>
      </c>
      <c r="B8" s="1494" t="s">
        <v>427</v>
      </c>
      <c r="C8" s="1497">
        <v>25426</v>
      </c>
      <c r="D8" s="1498">
        <f t="shared" si="0"/>
        <v>24726.785</v>
      </c>
      <c r="E8" s="1497"/>
      <c r="F8" s="1497">
        <f t="shared" si="2"/>
        <v>0</v>
      </c>
      <c r="G8" s="1497">
        <v>30</v>
      </c>
      <c r="H8" s="1498">
        <f t="shared" si="3"/>
        <v>846</v>
      </c>
      <c r="I8" s="1497">
        <v>740</v>
      </c>
      <c r="J8" s="1497">
        <f t="shared" si="4"/>
        <v>13690</v>
      </c>
      <c r="K8" s="1497"/>
      <c r="L8" s="1498">
        <f t="shared" si="5"/>
        <v>0</v>
      </c>
      <c r="M8" s="1497"/>
      <c r="N8" s="1498">
        <f t="shared" si="6"/>
        <v>0</v>
      </c>
      <c r="O8" s="1497"/>
      <c r="P8" s="1498">
        <f t="shared" si="7"/>
        <v>0</v>
      </c>
      <c r="Q8" s="1498"/>
      <c r="R8" s="1498">
        <f t="shared" si="8"/>
        <v>0</v>
      </c>
      <c r="S8" s="1497"/>
      <c r="T8" s="1497">
        <f t="shared" si="9"/>
        <v>0</v>
      </c>
      <c r="U8" s="1497"/>
      <c r="V8" s="1497">
        <f t="shared" si="10"/>
        <v>0</v>
      </c>
      <c r="W8" s="1497"/>
      <c r="X8" s="19">
        <f t="shared" si="11"/>
        <v>0</v>
      </c>
      <c r="Y8" s="20">
        <f t="shared" si="1"/>
        <v>39262.785000000003</v>
      </c>
    </row>
    <row r="9" spans="1:25" ht="38.25" customHeight="1" x14ac:dyDescent="0.25">
      <c r="A9" s="12">
        <v>1984225580</v>
      </c>
      <c r="B9" s="1494" t="s">
        <v>75</v>
      </c>
      <c r="C9" s="1497">
        <v>28677</v>
      </c>
      <c r="D9" s="1498">
        <f t="shared" si="0"/>
        <v>27888.3825</v>
      </c>
      <c r="E9" s="1497"/>
      <c r="F9" s="1497">
        <f t="shared" si="2"/>
        <v>0</v>
      </c>
      <c r="G9" s="1497"/>
      <c r="H9" s="1497">
        <f t="shared" si="3"/>
        <v>0</v>
      </c>
      <c r="I9" s="1497">
        <v>450</v>
      </c>
      <c r="J9" s="1497">
        <f t="shared" si="4"/>
        <v>8325</v>
      </c>
      <c r="K9" s="1497"/>
      <c r="L9" s="1498">
        <f t="shared" si="5"/>
        <v>0</v>
      </c>
      <c r="M9" s="1497"/>
      <c r="N9" s="1498">
        <f t="shared" si="6"/>
        <v>0</v>
      </c>
      <c r="O9" s="1497"/>
      <c r="P9" s="1498">
        <f t="shared" si="7"/>
        <v>0</v>
      </c>
      <c r="Q9" s="1498"/>
      <c r="R9" s="1498">
        <f t="shared" si="8"/>
        <v>0</v>
      </c>
      <c r="S9" s="1497"/>
      <c r="T9" s="1497">
        <f t="shared" si="9"/>
        <v>0</v>
      </c>
      <c r="U9" s="1497"/>
      <c r="V9" s="1497">
        <f t="shared" si="10"/>
        <v>0</v>
      </c>
      <c r="W9" s="1497"/>
      <c r="X9" s="19">
        <f t="shared" si="11"/>
        <v>0</v>
      </c>
      <c r="Y9" s="20">
        <f t="shared" si="1"/>
        <v>36213.3825</v>
      </c>
    </row>
    <row r="10" spans="1:25" ht="35.25" customHeight="1" x14ac:dyDescent="0.25">
      <c r="A10" s="12">
        <v>1409935199</v>
      </c>
      <c r="C10" s="1497"/>
      <c r="D10" s="1498">
        <f t="shared" si="0"/>
        <v>0</v>
      </c>
      <c r="E10" s="1497"/>
      <c r="F10" s="1497">
        <f t="shared" si="2"/>
        <v>0</v>
      </c>
      <c r="G10" s="1497"/>
      <c r="H10" s="1497">
        <f t="shared" si="3"/>
        <v>0</v>
      </c>
      <c r="I10" s="1497"/>
      <c r="J10" s="1497">
        <f t="shared" si="4"/>
        <v>0</v>
      </c>
      <c r="K10" s="1497"/>
      <c r="L10" s="1498">
        <f t="shared" si="5"/>
        <v>0</v>
      </c>
      <c r="M10" s="1497"/>
      <c r="N10" s="1498">
        <f t="shared" si="6"/>
        <v>0</v>
      </c>
      <c r="O10" s="1497"/>
      <c r="P10" s="1498">
        <f t="shared" si="7"/>
        <v>0</v>
      </c>
      <c r="Q10" s="1498"/>
      <c r="R10" s="1498">
        <f t="shared" si="8"/>
        <v>0</v>
      </c>
      <c r="S10" s="1497"/>
      <c r="T10" s="1497">
        <f t="shared" si="9"/>
        <v>0</v>
      </c>
      <c r="U10" s="1497"/>
      <c r="V10" s="1497">
        <f t="shared" si="10"/>
        <v>0</v>
      </c>
      <c r="W10" s="1497"/>
      <c r="X10" s="19">
        <f t="shared" si="11"/>
        <v>0</v>
      </c>
      <c r="Y10" s="20">
        <f t="shared" si="1"/>
        <v>0</v>
      </c>
    </row>
    <row r="11" spans="1:25" ht="37.5" customHeight="1" x14ac:dyDescent="0.25">
      <c r="A11" s="12"/>
      <c r="B11" s="1496"/>
      <c r="C11" s="1497"/>
      <c r="D11" s="1498">
        <f t="shared" si="0"/>
        <v>0</v>
      </c>
      <c r="E11" s="1497"/>
      <c r="F11" s="1497">
        <f t="shared" si="2"/>
        <v>0</v>
      </c>
      <c r="G11" s="1497"/>
      <c r="H11" s="1497">
        <f t="shared" si="3"/>
        <v>0</v>
      </c>
      <c r="I11" s="1497"/>
      <c r="J11" s="1497">
        <f t="shared" si="4"/>
        <v>0</v>
      </c>
      <c r="K11" s="1497"/>
      <c r="L11" s="1498">
        <f t="shared" si="5"/>
        <v>0</v>
      </c>
      <c r="M11" s="1497"/>
      <c r="N11" s="1498">
        <f t="shared" si="6"/>
        <v>0</v>
      </c>
      <c r="O11" s="1497"/>
      <c r="P11" s="1498">
        <f t="shared" si="7"/>
        <v>0</v>
      </c>
      <c r="Q11" s="1498"/>
      <c r="R11" s="1498">
        <f t="shared" si="8"/>
        <v>0</v>
      </c>
      <c r="S11" s="1497"/>
      <c r="T11" s="1497">
        <f>341*S11</f>
        <v>0</v>
      </c>
      <c r="U11" s="1497"/>
      <c r="V11" s="1497">
        <f t="shared" si="10"/>
        <v>0</v>
      </c>
      <c r="W11" s="1497"/>
      <c r="X11" s="19">
        <f t="shared" si="11"/>
        <v>0</v>
      </c>
      <c r="Y11" s="20">
        <f t="shared" si="1"/>
        <v>0</v>
      </c>
    </row>
    <row r="12" spans="1:25" ht="29.25" customHeight="1" x14ac:dyDescent="0.25">
      <c r="A12" s="2235" t="s">
        <v>31</v>
      </c>
      <c r="B12" s="2235"/>
      <c r="C12" s="18">
        <f t="shared" ref="C12:X12" si="12">SUM(C6:C11)</f>
        <v>112868</v>
      </c>
      <c r="D12" s="18">
        <f t="shared" si="12"/>
        <v>109764.13</v>
      </c>
      <c r="E12" s="18">
        <f t="shared" si="12"/>
        <v>0</v>
      </c>
      <c r="F12" s="18">
        <f t="shared" si="12"/>
        <v>0</v>
      </c>
      <c r="G12" s="18">
        <f t="shared" si="12"/>
        <v>30</v>
      </c>
      <c r="H12" s="18">
        <f t="shared" si="12"/>
        <v>846</v>
      </c>
      <c r="I12" s="18">
        <f t="shared" si="12"/>
        <v>2040</v>
      </c>
      <c r="J12" s="18">
        <f t="shared" si="12"/>
        <v>37740</v>
      </c>
      <c r="K12" s="18">
        <f t="shared" si="12"/>
        <v>0</v>
      </c>
      <c r="L12" s="18">
        <f t="shared" si="12"/>
        <v>0</v>
      </c>
      <c r="M12" s="18">
        <f t="shared" si="12"/>
        <v>0</v>
      </c>
      <c r="N12" s="23">
        <f t="shared" si="12"/>
        <v>0</v>
      </c>
      <c r="O12" s="18">
        <f t="shared" si="12"/>
        <v>0</v>
      </c>
      <c r="P12" s="23">
        <f t="shared" si="12"/>
        <v>0</v>
      </c>
      <c r="Q12" s="23">
        <f t="shared" si="12"/>
        <v>0</v>
      </c>
      <c r="R12" s="23">
        <f>SUM(R6:R11)</f>
        <v>0</v>
      </c>
      <c r="S12" s="23">
        <f>SUM(S6:S11)</f>
        <v>0</v>
      </c>
      <c r="T12" s="18">
        <f t="shared" si="12"/>
        <v>0</v>
      </c>
      <c r="U12" s="18">
        <f t="shared" si="12"/>
        <v>0</v>
      </c>
      <c r="V12" s="18">
        <f t="shared" si="12"/>
        <v>0</v>
      </c>
      <c r="W12" s="18">
        <f t="shared" si="12"/>
        <v>0</v>
      </c>
      <c r="X12" s="18">
        <f t="shared" si="12"/>
        <v>0</v>
      </c>
      <c r="Y12" s="20">
        <f t="shared" si="1"/>
        <v>148350.13</v>
      </c>
    </row>
    <row r="14" spans="1:25" ht="43.5" customHeight="1" x14ac:dyDescent="0.25">
      <c r="A14" s="30" t="s">
        <v>32</v>
      </c>
      <c r="B14" s="2236" t="s">
        <v>27</v>
      </c>
      <c r="C14" s="2236"/>
      <c r="D14" s="30" t="s">
        <v>333</v>
      </c>
      <c r="E14" s="30" t="s">
        <v>65</v>
      </c>
      <c r="F14" s="30" t="s">
        <v>34</v>
      </c>
      <c r="G14" s="30" t="s">
        <v>14</v>
      </c>
      <c r="H14" s="469" t="s">
        <v>173</v>
      </c>
      <c r="I14" s="30" t="s">
        <v>17</v>
      </c>
      <c r="J14" s="1502" t="s">
        <v>174</v>
      </c>
      <c r="K14" s="30" t="s">
        <v>36</v>
      </c>
      <c r="L14" s="1502" t="s">
        <v>403</v>
      </c>
      <c r="M14" s="30" t="s">
        <v>429</v>
      </c>
      <c r="N14" s="30" t="s">
        <v>442</v>
      </c>
      <c r="O14" s="1502" t="s">
        <v>114</v>
      </c>
      <c r="P14" s="30" t="s">
        <v>70</v>
      </c>
      <c r="Q14" s="2300" t="s">
        <v>479</v>
      </c>
      <c r="R14" s="2301"/>
      <c r="S14" s="1502" t="s">
        <v>401</v>
      </c>
      <c r="T14" s="2235" t="s">
        <v>46</v>
      </c>
      <c r="U14" s="1494" t="s">
        <v>176</v>
      </c>
      <c r="V14" s="2260">
        <v>5883</v>
      </c>
      <c r="W14" s="2268"/>
      <c r="X14" s="2261"/>
    </row>
    <row r="15" spans="1:25" ht="22.5" customHeight="1" x14ac:dyDescent="0.25">
      <c r="A15" s="100" t="s">
        <v>38</v>
      </c>
      <c r="B15" s="2260">
        <v>298608</v>
      </c>
      <c r="C15" s="2261"/>
      <c r="D15" s="1499">
        <v>110</v>
      </c>
      <c r="E15" s="1499">
        <v>330</v>
      </c>
      <c r="F15" s="1499">
        <v>13540</v>
      </c>
      <c r="G15" s="1499">
        <v>580</v>
      </c>
      <c r="H15" s="1499">
        <v>72</v>
      </c>
      <c r="I15" s="1499">
        <v>4</v>
      </c>
      <c r="J15" s="1499">
        <v>4</v>
      </c>
      <c r="K15" s="1499">
        <v>77</v>
      </c>
      <c r="L15" s="1499">
        <v>0</v>
      </c>
      <c r="M15" s="1499">
        <v>0</v>
      </c>
      <c r="N15" s="1499">
        <v>0</v>
      </c>
      <c r="O15" s="1499">
        <v>0</v>
      </c>
      <c r="P15" s="1499">
        <v>100</v>
      </c>
      <c r="Q15" s="2260">
        <v>10</v>
      </c>
      <c r="R15" s="2261"/>
      <c r="S15" s="1494">
        <v>2</v>
      </c>
      <c r="T15" s="2235"/>
      <c r="U15" s="1494" t="s">
        <v>64</v>
      </c>
      <c r="V15" s="2262">
        <v>36602</v>
      </c>
      <c r="W15" s="2262"/>
      <c r="X15" s="2262"/>
    </row>
    <row r="16" spans="1:25" ht="24.75" customHeight="1" x14ac:dyDescent="0.25">
      <c r="A16" s="100" t="s">
        <v>39</v>
      </c>
      <c r="B16" s="2260">
        <v>114285</v>
      </c>
      <c r="C16" s="2261"/>
      <c r="D16" s="1499"/>
      <c r="E16" s="1499"/>
      <c r="F16" s="1499"/>
      <c r="G16" s="1499"/>
      <c r="H16" s="1499"/>
      <c r="I16" s="1499"/>
      <c r="J16" s="1499"/>
      <c r="K16" s="1499"/>
      <c r="L16" s="1499"/>
      <c r="M16" s="1499"/>
      <c r="N16" s="1499"/>
      <c r="O16" s="1499"/>
      <c r="P16" s="1499"/>
      <c r="Q16" s="2262"/>
      <c r="R16" s="2262"/>
      <c r="S16" s="1499"/>
      <c r="T16" s="2254" t="s">
        <v>55</v>
      </c>
      <c r="U16" s="2254"/>
      <c r="V16" s="2267">
        <f>Y12</f>
        <v>148350.13</v>
      </c>
      <c r="W16" s="2267"/>
      <c r="X16" s="2262"/>
    </row>
    <row r="17" spans="1:25" ht="28.5" customHeight="1" x14ac:dyDescent="0.25">
      <c r="A17" s="101" t="s">
        <v>44</v>
      </c>
      <c r="B17" s="2260"/>
      <c r="C17" s="2261"/>
      <c r="D17" s="1499"/>
      <c r="E17" s="1499"/>
      <c r="F17" s="1499"/>
      <c r="G17" s="1499"/>
      <c r="H17" s="1499"/>
      <c r="I17" s="1499"/>
      <c r="J17" s="1499"/>
      <c r="K17" s="1499"/>
      <c r="L17" s="1499"/>
      <c r="M17" s="1499"/>
      <c r="N17" s="1499"/>
      <c r="O17" s="1499"/>
      <c r="P17" s="1499"/>
      <c r="Q17" s="2225"/>
      <c r="R17" s="2225"/>
      <c r="S17" s="1496"/>
      <c r="T17" s="2294" t="s">
        <v>473</v>
      </c>
      <c r="U17" s="2295"/>
      <c r="V17" s="2296"/>
      <c r="W17" s="2296"/>
      <c r="X17" s="2296"/>
    </row>
    <row r="18" spans="1:25" ht="27" customHeight="1" x14ac:dyDescent="0.25">
      <c r="A18" s="100" t="s">
        <v>40</v>
      </c>
      <c r="B18" s="2264">
        <f>C12</f>
        <v>112868</v>
      </c>
      <c r="C18" s="2261"/>
      <c r="D18" s="1500">
        <f>E12</f>
        <v>0</v>
      </c>
      <c r="E18" s="1500">
        <f>G12</f>
        <v>30</v>
      </c>
      <c r="F18" s="1500">
        <f>I12</f>
        <v>2040</v>
      </c>
      <c r="G18" s="1500">
        <f>K12</f>
        <v>0</v>
      </c>
      <c r="H18" s="1499"/>
      <c r="I18" s="1500">
        <f>U12</f>
        <v>0</v>
      </c>
      <c r="J18" s="1499"/>
      <c r="K18" s="1500">
        <f>W12</f>
        <v>0</v>
      </c>
      <c r="L18" s="1499"/>
      <c r="M18" s="1500">
        <f>M12</f>
        <v>0</v>
      </c>
      <c r="N18" s="1500">
        <f>O12</f>
        <v>0</v>
      </c>
      <c r="O18" s="1501">
        <f>Q12</f>
        <v>0</v>
      </c>
      <c r="P18" s="1500"/>
      <c r="Q18" s="2262"/>
      <c r="R18" s="2262"/>
      <c r="S18" s="1494"/>
      <c r="T18" s="2254" t="s">
        <v>57</v>
      </c>
      <c r="U18" s="2254"/>
      <c r="V18" s="2262">
        <v>760</v>
      </c>
      <c r="W18" s="2262"/>
      <c r="X18" s="2262"/>
      <c r="Y18" s="2269"/>
    </row>
    <row r="19" spans="1:25" ht="25.5" customHeight="1" x14ac:dyDescent="0.25">
      <c r="A19" s="100" t="s">
        <v>41</v>
      </c>
      <c r="B19" s="2260">
        <f>B15+B16+B17-B18</f>
        <v>300025</v>
      </c>
      <c r="C19" s="2261"/>
      <c r="D19" s="1499">
        <f>D15+D16+D17-D18</f>
        <v>110</v>
      </c>
      <c r="E19" s="1499">
        <f t="shared" ref="E19:N19" si="13">E15+E16+E17-E18</f>
        <v>300</v>
      </c>
      <c r="F19" s="1499">
        <f t="shared" si="13"/>
        <v>11500</v>
      </c>
      <c r="G19" s="1499">
        <f t="shared" si="13"/>
        <v>580</v>
      </c>
      <c r="H19" s="1499">
        <f t="shared" si="13"/>
        <v>72</v>
      </c>
      <c r="I19" s="1499">
        <f t="shared" si="13"/>
        <v>4</v>
      </c>
      <c r="J19" s="1499">
        <f t="shared" si="13"/>
        <v>4</v>
      </c>
      <c r="K19" s="1499">
        <f t="shared" si="13"/>
        <v>77</v>
      </c>
      <c r="L19" s="1499">
        <f t="shared" si="13"/>
        <v>0</v>
      </c>
      <c r="M19" s="1499">
        <f t="shared" si="13"/>
        <v>0</v>
      </c>
      <c r="N19" s="1499">
        <f t="shared" si="13"/>
        <v>0</v>
      </c>
      <c r="O19" s="1499">
        <f>O15+O16+O17-O18</f>
        <v>0</v>
      </c>
      <c r="P19" s="1499">
        <f t="shared" ref="P19:Q19" si="14">P15+P16+P17-P18</f>
        <v>100</v>
      </c>
      <c r="Q19" s="2260">
        <f t="shared" si="14"/>
        <v>10</v>
      </c>
      <c r="R19" s="2261"/>
      <c r="S19" s="1494">
        <f>S15+S16-S17-S18</f>
        <v>2</v>
      </c>
      <c r="T19" s="2256" t="s">
        <v>48</v>
      </c>
      <c r="U19" s="49" t="s">
        <v>58</v>
      </c>
      <c r="V19" s="2262">
        <v>100000</v>
      </c>
      <c r="W19" s="2262"/>
      <c r="X19" s="2262"/>
      <c r="Y19" s="2269"/>
    </row>
    <row r="20" spans="1:25" ht="23.25" customHeight="1" x14ac:dyDescent="0.25">
      <c r="A20" s="289" t="s">
        <v>187</v>
      </c>
      <c r="B20" s="2286">
        <f>B19*0.9625</f>
        <v>288774.0625</v>
      </c>
      <c r="C20" s="2287"/>
      <c r="D20" s="290">
        <f>D19*66.41</f>
        <v>7305.0999999999995</v>
      </c>
      <c r="E20" s="290">
        <f>27.9368*E19</f>
        <v>8381.0400000000009</v>
      </c>
      <c r="F20" s="290">
        <f>18.31*F19</f>
        <v>210564.99999999997</v>
      </c>
      <c r="G20" s="290">
        <f>27.9368*G19</f>
        <v>16203.344000000001</v>
      </c>
      <c r="H20" s="290">
        <f>241*H19</f>
        <v>17352</v>
      </c>
      <c r="I20" s="290">
        <f>323*I19</f>
        <v>1292</v>
      </c>
      <c r="J20" s="290">
        <f>241*J19</f>
        <v>964</v>
      </c>
      <c r="K20" s="290">
        <f>K19*100</f>
        <v>7700</v>
      </c>
      <c r="L20" s="290">
        <f>241*L19</f>
        <v>0</v>
      </c>
      <c r="M20" s="290">
        <f>47.1625*M19</f>
        <v>0</v>
      </c>
      <c r="N20" s="290">
        <f>N19*8.81</f>
        <v>0</v>
      </c>
      <c r="O20" s="290">
        <f>241*O19</f>
        <v>0</v>
      </c>
      <c r="P20" s="290">
        <f>P19*48.2</f>
        <v>4820</v>
      </c>
      <c r="Q20" s="2286">
        <f>470*Q19</f>
        <v>4700</v>
      </c>
      <c r="R20" s="2287"/>
      <c r="S20" s="290">
        <f>341*S19</f>
        <v>682</v>
      </c>
      <c r="T20" s="2257"/>
      <c r="U20" s="49" t="s">
        <v>59</v>
      </c>
      <c r="V20" s="2262"/>
      <c r="W20" s="2262"/>
      <c r="X20" s="2262"/>
      <c r="Y20" s="2269"/>
    </row>
    <row r="21" spans="1:25" ht="32.25" customHeight="1" x14ac:dyDescent="0.25">
      <c r="A21" s="291" t="s">
        <v>186</v>
      </c>
      <c r="B21" s="2293">
        <f>SUM(B20:S20)</f>
        <v>568738.54649999994</v>
      </c>
      <c r="C21" s="2293"/>
      <c r="O21" s="1503"/>
      <c r="P21" s="1503"/>
      <c r="Q21" s="1503"/>
      <c r="R21" s="1503"/>
      <c r="T21" s="2294" t="s">
        <v>487</v>
      </c>
      <c r="U21" s="2295"/>
      <c r="V21" s="2297">
        <v>50000</v>
      </c>
      <c r="W21" s="2298"/>
      <c r="X21" s="2299"/>
      <c r="Y21" s="2269"/>
    </row>
    <row r="22" spans="1:25" ht="35.25" customHeight="1" x14ac:dyDescent="0.25">
      <c r="A22" s="15"/>
      <c r="B22" s="2288" t="s">
        <v>49</v>
      </c>
      <c r="C22" s="2291">
        <v>100000</v>
      </c>
      <c r="D22" s="2291">
        <v>100000</v>
      </c>
      <c r="E22" s="2291">
        <v>110000</v>
      </c>
      <c r="F22" s="2291">
        <f>C22-D22+E22</f>
        <v>110000</v>
      </c>
      <c r="G22" s="1503"/>
      <c r="Q22" s="1503"/>
      <c r="R22" s="1503"/>
      <c r="T22" s="2251" t="s">
        <v>83</v>
      </c>
      <c r="U22" s="50" t="s">
        <v>60</v>
      </c>
      <c r="V22" s="2262">
        <v>146890</v>
      </c>
      <c r="W22" s="2262"/>
      <c r="X22" s="2262"/>
      <c r="Y22" s="2269"/>
    </row>
    <row r="23" spans="1:25" ht="39.75" customHeight="1" x14ac:dyDescent="0.25">
      <c r="A23" s="1503"/>
      <c r="B23" s="2289"/>
      <c r="C23" s="2292"/>
      <c r="D23" s="2292"/>
      <c r="E23" s="2292"/>
      <c r="F23" s="2292"/>
      <c r="G23" s="1503"/>
      <c r="Q23" s="1503"/>
      <c r="R23" s="1503"/>
      <c r="T23" s="2252"/>
      <c r="U23" s="50" t="s">
        <v>61</v>
      </c>
      <c r="V23" s="2262">
        <v>150000</v>
      </c>
      <c r="W23" s="2262"/>
      <c r="X23" s="2262"/>
      <c r="Y23" s="2269"/>
    </row>
    <row r="24" spans="1:25" ht="48" customHeight="1" x14ac:dyDescent="0.25">
      <c r="A24" s="1503"/>
      <c r="B24" s="2290"/>
      <c r="C24" s="290" t="s">
        <v>46</v>
      </c>
      <c r="D24" s="290" t="s">
        <v>50</v>
      </c>
      <c r="E24" s="290" t="s">
        <v>51</v>
      </c>
      <c r="F24" s="290" t="s">
        <v>52</v>
      </c>
      <c r="G24" s="1503"/>
      <c r="Q24" s="1503"/>
      <c r="R24" s="1503"/>
      <c r="T24" s="2235" t="s">
        <v>47</v>
      </c>
      <c r="U24" s="51" t="s">
        <v>62</v>
      </c>
      <c r="V24" s="2263">
        <f>V14+V16+V17-V18-V19-V20-V22+V23-V21</f>
        <v>6583.1300000000047</v>
      </c>
      <c r="W24" s="2263"/>
      <c r="X24" s="2263"/>
      <c r="Y24" s="2269"/>
    </row>
    <row r="25" spans="1:25" ht="40.5" customHeight="1" x14ac:dyDescent="0.25">
      <c r="T25" s="2235"/>
      <c r="U25" s="51" t="s">
        <v>63</v>
      </c>
      <c r="V25" s="2262">
        <f>V15+V22-V23</f>
        <v>33492</v>
      </c>
      <c r="W25" s="2262"/>
      <c r="X25" s="2262"/>
    </row>
    <row r="26" spans="1:25" ht="36" customHeight="1" x14ac:dyDescent="0.25">
      <c r="K26" s="314"/>
    </row>
    <row r="28" spans="1:25" x14ac:dyDescent="0.25">
      <c r="J28" s="14" t="s">
        <v>139</v>
      </c>
    </row>
    <row r="32" spans="1:25" x14ac:dyDescent="0.25">
      <c r="I32" s="2280"/>
      <c r="J32" s="2280"/>
      <c r="K32" s="2280"/>
      <c r="L32" s="2280"/>
    </row>
    <row r="33" spans="9:12" x14ac:dyDescent="0.25">
      <c r="I33" s="1503"/>
      <c r="J33" s="1503"/>
      <c r="K33" s="2280"/>
      <c r="L33" s="2280"/>
    </row>
  </sheetData>
  <mergeCells count="62">
    <mergeCell ref="I32:J32"/>
    <mergeCell ref="K32:L32"/>
    <mergeCell ref="K33:L33"/>
    <mergeCell ref="T22:T23"/>
    <mergeCell ref="V22:X22"/>
    <mergeCell ref="V23:X23"/>
    <mergeCell ref="T24:T25"/>
    <mergeCell ref="V24:X24"/>
    <mergeCell ref="V25:X25"/>
    <mergeCell ref="Y18:Y24"/>
    <mergeCell ref="B19:C19"/>
    <mergeCell ref="Q19:R19"/>
    <mergeCell ref="T19:T20"/>
    <mergeCell ref="V19:X19"/>
    <mergeCell ref="B20:C20"/>
    <mergeCell ref="B22:B24"/>
    <mergeCell ref="C22:C23"/>
    <mergeCell ref="D22:D23"/>
    <mergeCell ref="E22:E23"/>
    <mergeCell ref="F22:F23"/>
    <mergeCell ref="Q20:R20"/>
    <mergeCell ref="V20:X20"/>
    <mergeCell ref="B21:C21"/>
    <mergeCell ref="T21:U21"/>
    <mergeCell ref="V21:X21"/>
    <mergeCell ref="B17:C17"/>
    <mergeCell ref="Q17:R17"/>
    <mergeCell ref="T17:U17"/>
    <mergeCell ref="V17:X17"/>
    <mergeCell ref="B18:C18"/>
    <mergeCell ref="Q18:R18"/>
    <mergeCell ref="T18:U18"/>
    <mergeCell ref="V18:X18"/>
    <mergeCell ref="W4:X4"/>
    <mergeCell ref="B16:C16"/>
    <mergeCell ref="Q16:R16"/>
    <mergeCell ref="T16:U16"/>
    <mergeCell ref="V16:X16"/>
    <mergeCell ref="A12:B12"/>
    <mergeCell ref="B14:C14"/>
    <mergeCell ref="Q14:R14"/>
    <mergeCell ref="T14:T15"/>
    <mergeCell ref="V14:X14"/>
    <mergeCell ref="B15:C15"/>
    <mergeCell ref="Q15:R15"/>
    <mergeCell ref="V15:X15"/>
    <mergeCell ref="A1:Y1"/>
    <mergeCell ref="A2:Y2"/>
    <mergeCell ref="T3:Y3"/>
    <mergeCell ref="A4:A5"/>
    <mergeCell ref="B4:B5"/>
    <mergeCell ref="C4:D4"/>
    <mergeCell ref="E4:F4"/>
    <mergeCell ref="G4:H4"/>
    <mergeCell ref="I4:J4"/>
    <mergeCell ref="K4:L4"/>
    <mergeCell ref="Y4:Y5"/>
    <mergeCell ref="M4:N4"/>
    <mergeCell ref="O4:P4"/>
    <mergeCell ref="Q4:R4"/>
    <mergeCell ref="S4:T4"/>
    <mergeCell ref="U4:V4"/>
  </mergeCells>
  <pageMargins left="0.15748031496063" right="0.15748031496063" top="0" bottom="0" header="0" footer="0"/>
  <pageSetup paperSize="9" scale="46" orientation="landscape" r:id="rId1"/>
</worksheet>
</file>

<file path=xl/worksheets/sheet25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ADF92CD-E562-4603-8EB2-52665EDFF7B6}">
  <sheetPr>
    <pageSetUpPr fitToPage="1"/>
  </sheetPr>
  <dimension ref="A1:Y33"/>
  <sheetViews>
    <sheetView topLeftCell="C10" zoomScale="70" zoomScaleNormal="70" zoomScaleSheetLayoutView="100" zoomScalePageLayoutView="68" workbookViewId="0">
      <selection activeCell="I25" sqref="I25"/>
    </sheetView>
  </sheetViews>
  <sheetFormatPr defaultColWidth="9.140625" defaultRowHeight="15" x14ac:dyDescent="0.25"/>
  <cols>
    <col min="1" max="1" width="18.28515625" style="14" customWidth="1"/>
    <col min="2" max="2" width="10.7109375" style="14" customWidth="1"/>
    <col min="3" max="3" width="12.28515625" style="14" customWidth="1"/>
    <col min="4" max="4" width="13.140625" style="14" bestFit="1" customWidth="1"/>
    <col min="5" max="5" width="12" style="14" customWidth="1"/>
    <col min="6" max="6" width="14" style="14" bestFit="1" customWidth="1"/>
    <col min="7" max="7" width="16" style="14" bestFit="1" customWidth="1"/>
    <col min="8" max="8" width="10.140625" style="14" bestFit="1" customWidth="1"/>
    <col min="9" max="9" width="10.5703125" style="14" bestFit="1" customWidth="1"/>
    <col min="10" max="10" width="10.5703125" style="14" customWidth="1"/>
    <col min="11" max="11" width="10.28515625" style="14" bestFit="1" customWidth="1"/>
    <col min="12" max="12" width="10.42578125" style="14" bestFit="1" customWidth="1"/>
    <col min="13" max="14" width="12" style="14" bestFit="1" customWidth="1"/>
    <col min="15" max="15" width="11" style="14" customWidth="1"/>
    <col min="16" max="16" width="12.85546875" style="14" bestFit="1" customWidth="1"/>
    <col min="17" max="18" width="9.42578125" style="14" customWidth="1"/>
    <col min="19" max="19" width="13.7109375" style="14" customWidth="1"/>
    <col min="20" max="20" width="12.140625" style="14" customWidth="1"/>
    <col min="21" max="21" width="21.7109375" style="14" customWidth="1"/>
    <col min="22" max="22" width="9.85546875" style="14" customWidth="1"/>
    <col min="23" max="23" width="10.140625" style="14" bestFit="1" customWidth="1"/>
    <col min="24" max="24" width="10.28515625" style="14" customWidth="1"/>
    <col min="25" max="25" width="15.7109375" style="14" customWidth="1"/>
    <col min="26" max="16384" width="9.140625" style="14"/>
  </cols>
  <sheetData>
    <row r="1" spans="1:25" ht="46.15" customHeight="1" x14ac:dyDescent="0.25">
      <c r="A1" s="2240" t="s">
        <v>148</v>
      </c>
      <c r="B1" s="2240"/>
      <c r="C1" s="2240"/>
      <c r="D1" s="2240"/>
      <c r="E1" s="2240"/>
      <c r="F1" s="2240"/>
      <c r="G1" s="2240"/>
      <c r="H1" s="2240"/>
      <c r="I1" s="2240"/>
      <c r="J1" s="2240"/>
      <c r="K1" s="2240"/>
      <c r="L1" s="2240"/>
      <c r="M1" s="2240"/>
      <c r="N1" s="2240"/>
      <c r="O1" s="2240"/>
      <c r="P1" s="2240"/>
      <c r="Q1" s="2240"/>
      <c r="R1" s="2240"/>
      <c r="S1" s="2240"/>
      <c r="T1" s="2240"/>
      <c r="U1" s="2240"/>
      <c r="V1" s="2240"/>
      <c r="W1" s="2240"/>
      <c r="X1" s="2240"/>
      <c r="Y1" s="2240"/>
    </row>
    <row r="2" spans="1:25" ht="21.6" customHeight="1" x14ac:dyDescent="0.25">
      <c r="A2" s="2241" t="s">
        <v>383</v>
      </c>
      <c r="B2" s="2241"/>
      <c r="C2" s="2241"/>
      <c r="D2" s="2241"/>
      <c r="E2" s="2241"/>
      <c r="F2" s="2241"/>
      <c r="G2" s="2241"/>
      <c r="H2" s="2241"/>
      <c r="I2" s="2241"/>
      <c r="J2" s="2241"/>
      <c r="K2" s="2241"/>
      <c r="L2" s="2241"/>
      <c r="M2" s="2241"/>
      <c r="N2" s="2241"/>
      <c r="O2" s="2241"/>
      <c r="P2" s="2241"/>
      <c r="Q2" s="2241"/>
      <c r="R2" s="2241"/>
      <c r="S2" s="2241"/>
      <c r="T2" s="2241"/>
      <c r="U2" s="2241"/>
      <c r="V2" s="2241"/>
      <c r="W2" s="2241"/>
      <c r="X2" s="2241"/>
      <c r="Y2" s="2241"/>
    </row>
    <row r="3" spans="1:25" ht="21" customHeight="1" x14ac:dyDescent="0.25">
      <c r="A3" s="1509"/>
      <c r="B3" s="1509"/>
      <c r="C3" s="1509"/>
      <c r="D3" s="1509"/>
      <c r="E3" s="1509"/>
      <c r="F3" s="1509"/>
      <c r="G3" s="1509"/>
      <c r="H3" s="1509"/>
      <c r="I3" s="1509"/>
      <c r="J3" s="1509"/>
      <c r="K3" s="1509"/>
      <c r="L3" s="1509"/>
      <c r="M3" s="1509"/>
      <c r="N3" s="1509"/>
      <c r="O3" s="1509"/>
      <c r="P3" s="1509"/>
      <c r="Q3" s="1509"/>
      <c r="R3" s="1509"/>
      <c r="S3" s="1509"/>
      <c r="T3" s="2242" t="s">
        <v>500</v>
      </c>
      <c r="U3" s="2242"/>
      <c r="V3" s="2242"/>
      <c r="W3" s="2242"/>
      <c r="X3" s="2242"/>
      <c r="Y3" s="2242"/>
    </row>
    <row r="4" spans="1:25" s="1509" customFormat="1" ht="18" customHeight="1" x14ac:dyDescent="0.25">
      <c r="A4" s="2243" t="s">
        <v>25</v>
      </c>
      <c r="B4" s="2243" t="s">
        <v>26</v>
      </c>
      <c r="C4" s="2244" t="s">
        <v>27</v>
      </c>
      <c r="D4" s="2244"/>
      <c r="E4" s="2244" t="s">
        <v>342</v>
      </c>
      <c r="F4" s="2244"/>
      <c r="G4" s="2244" t="s">
        <v>65</v>
      </c>
      <c r="H4" s="2244"/>
      <c r="I4" s="2244" t="s">
        <v>29</v>
      </c>
      <c r="J4" s="2244"/>
      <c r="K4" s="2245" t="s">
        <v>14</v>
      </c>
      <c r="L4" s="2246"/>
      <c r="M4" s="2245" t="s">
        <v>429</v>
      </c>
      <c r="N4" s="2246"/>
      <c r="O4" s="2245" t="s">
        <v>441</v>
      </c>
      <c r="P4" s="2246"/>
      <c r="Q4" s="2245" t="s">
        <v>114</v>
      </c>
      <c r="R4" s="2246"/>
      <c r="S4" s="2244" t="s">
        <v>35</v>
      </c>
      <c r="T4" s="2244"/>
      <c r="U4" s="2245" t="s">
        <v>17</v>
      </c>
      <c r="V4" s="2246"/>
      <c r="W4" s="2247" t="s">
        <v>36</v>
      </c>
      <c r="X4" s="2248"/>
      <c r="Y4" s="2238" t="s">
        <v>30</v>
      </c>
    </row>
    <row r="5" spans="1:25" s="1509" customFormat="1" ht="25.5" customHeight="1" x14ac:dyDescent="0.25">
      <c r="A5" s="2243"/>
      <c r="B5" s="2243"/>
      <c r="C5" s="1508" t="s">
        <v>42</v>
      </c>
      <c r="D5" s="1508" t="s">
        <v>43</v>
      </c>
      <c r="E5" s="1508" t="s">
        <v>42</v>
      </c>
      <c r="F5" s="1508" t="s">
        <v>43</v>
      </c>
      <c r="G5" s="1508" t="s">
        <v>42</v>
      </c>
      <c r="H5" s="1508" t="s">
        <v>43</v>
      </c>
      <c r="I5" s="1508" t="s">
        <v>42</v>
      </c>
      <c r="J5" s="1508" t="s">
        <v>43</v>
      </c>
      <c r="K5" s="1508" t="s">
        <v>42</v>
      </c>
      <c r="L5" s="1508" t="s">
        <v>43</v>
      </c>
      <c r="M5" s="1508" t="s">
        <v>42</v>
      </c>
      <c r="N5" s="1508" t="s">
        <v>43</v>
      </c>
      <c r="O5" s="1508" t="s">
        <v>42</v>
      </c>
      <c r="P5" s="1508" t="s">
        <v>43</v>
      </c>
      <c r="Q5" s="1508" t="s">
        <v>42</v>
      </c>
      <c r="R5" s="1508" t="s">
        <v>43</v>
      </c>
      <c r="S5" s="33" t="s">
        <v>42</v>
      </c>
      <c r="T5" s="33" t="s">
        <v>43</v>
      </c>
      <c r="U5" s="30" t="s">
        <v>42</v>
      </c>
      <c r="V5" s="30" t="s">
        <v>43</v>
      </c>
      <c r="W5" s="30" t="s">
        <v>42</v>
      </c>
      <c r="X5" s="30" t="s">
        <v>43</v>
      </c>
      <c r="Y5" s="2239"/>
    </row>
    <row r="6" spans="1:25" ht="34.5" customHeight="1" x14ac:dyDescent="0.25">
      <c r="A6" s="12">
        <v>1409935200</v>
      </c>
      <c r="B6" s="1507" t="s">
        <v>71</v>
      </c>
      <c r="C6" s="1505">
        <v>44949</v>
      </c>
      <c r="D6" s="1504">
        <f t="shared" ref="D6:D11" si="0">0.9725*C6</f>
        <v>43712.902500000004</v>
      </c>
      <c r="E6" s="1505"/>
      <c r="F6" s="1504">
        <f>67.1*E6</f>
        <v>0</v>
      </c>
      <c r="G6" s="1505"/>
      <c r="H6" s="1505">
        <f>28.2*G6</f>
        <v>0</v>
      </c>
      <c r="I6" s="1505">
        <v>440</v>
      </c>
      <c r="J6" s="1505">
        <f>18.5*I6</f>
        <v>8140</v>
      </c>
      <c r="K6" s="1505"/>
      <c r="L6" s="1504">
        <f>28.2368*K6</f>
        <v>0</v>
      </c>
      <c r="M6" s="1505"/>
      <c r="N6" s="1504">
        <f>M6*47.6525</f>
        <v>0</v>
      </c>
      <c r="O6" s="1505"/>
      <c r="P6" s="1504">
        <f>O6*8.9</f>
        <v>0</v>
      </c>
      <c r="Q6" s="1504"/>
      <c r="R6" s="1504">
        <f>241*Q6</f>
        <v>0</v>
      </c>
      <c r="S6" s="1505"/>
      <c r="T6" s="1505">
        <f>241*S6</f>
        <v>0</v>
      </c>
      <c r="U6" s="1505"/>
      <c r="V6" s="1505">
        <f>332*U6</f>
        <v>0</v>
      </c>
      <c r="W6" s="1505"/>
      <c r="X6" s="19">
        <f>W6*100</f>
        <v>0</v>
      </c>
      <c r="Y6" s="20">
        <f t="shared" ref="Y6:Y12" si="1">D6+F6+H6+J6+L6+N6+P6+R6+T6+V6+X6</f>
        <v>51852.902500000004</v>
      </c>
    </row>
    <row r="7" spans="1:25" ht="31.5" customHeight="1" x14ac:dyDescent="0.25">
      <c r="A7" s="12">
        <v>1984225578</v>
      </c>
      <c r="B7" s="1507" t="s">
        <v>72</v>
      </c>
      <c r="C7" s="1505">
        <v>29284</v>
      </c>
      <c r="D7" s="1504">
        <f t="shared" si="0"/>
        <v>28478.690000000002</v>
      </c>
      <c r="E7" s="1505"/>
      <c r="F7" s="1505">
        <f t="shared" ref="F7:F11" si="2">67.1*E7</f>
        <v>0</v>
      </c>
      <c r="G7" s="1505"/>
      <c r="H7" s="1505">
        <f t="shared" ref="H7:H11" si="3">28.2*G7</f>
        <v>0</v>
      </c>
      <c r="I7" s="1505">
        <v>1180</v>
      </c>
      <c r="J7" s="1505">
        <f t="shared" ref="J7:J11" si="4">18.5*I7</f>
        <v>21830</v>
      </c>
      <c r="K7" s="1505"/>
      <c r="L7" s="1504">
        <f t="shared" ref="L7:L11" si="5">28.2368*K7</f>
        <v>0</v>
      </c>
      <c r="M7" s="1505"/>
      <c r="N7" s="1504">
        <f t="shared" ref="N7:N11" si="6">M7*47.6525</f>
        <v>0</v>
      </c>
      <c r="O7" s="1505"/>
      <c r="P7" s="1504">
        <f t="shared" ref="P7:P11" si="7">O7*8.9</f>
        <v>0</v>
      </c>
      <c r="Q7" s="1504"/>
      <c r="R7" s="1504">
        <f t="shared" ref="R7:R11" si="8">241*Q7</f>
        <v>0</v>
      </c>
      <c r="S7" s="1505"/>
      <c r="T7" s="1505">
        <f t="shared" ref="T7:T10" si="9">241*S7</f>
        <v>0</v>
      </c>
      <c r="U7" s="1505">
        <v>1</v>
      </c>
      <c r="V7" s="1505">
        <f t="shared" ref="V7:V11" si="10">332*U7</f>
        <v>332</v>
      </c>
      <c r="W7" s="1505"/>
      <c r="X7" s="19">
        <f t="shared" ref="X7:X11" si="11">W7*100</f>
        <v>0</v>
      </c>
      <c r="Y7" s="20">
        <f t="shared" si="1"/>
        <v>50640.69</v>
      </c>
    </row>
    <row r="8" spans="1:25" ht="35.25" customHeight="1" x14ac:dyDescent="0.25">
      <c r="A8" s="12">
        <v>1967020280</v>
      </c>
      <c r="B8" s="1507" t="s">
        <v>427</v>
      </c>
      <c r="C8" s="1505">
        <v>34698</v>
      </c>
      <c r="D8" s="1504">
        <f t="shared" si="0"/>
        <v>33743.805</v>
      </c>
      <c r="E8" s="1505"/>
      <c r="F8" s="1505">
        <f t="shared" si="2"/>
        <v>0</v>
      </c>
      <c r="G8" s="1505"/>
      <c r="H8" s="1504">
        <f t="shared" si="3"/>
        <v>0</v>
      </c>
      <c r="I8" s="1505">
        <v>360</v>
      </c>
      <c r="J8" s="1505">
        <f t="shared" si="4"/>
        <v>6660</v>
      </c>
      <c r="K8" s="1505"/>
      <c r="L8" s="1504">
        <f t="shared" si="5"/>
        <v>0</v>
      </c>
      <c r="M8" s="1505"/>
      <c r="N8" s="1504">
        <f t="shared" si="6"/>
        <v>0</v>
      </c>
      <c r="O8" s="1505"/>
      <c r="P8" s="1504">
        <f t="shared" si="7"/>
        <v>0</v>
      </c>
      <c r="Q8" s="1504"/>
      <c r="R8" s="1504">
        <f t="shared" si="8"/>
        <v>0</v>
      </c>
      <c r="S8" s="1505"/>
      <c r="T8" s="1505">
        <f t="shared" si="9"/>
        <v>0</v>
      </c>
      <c r="U8" s="1505"/>
      <c r="V8" s="1505">
        <f t="shared" si="10"/>
        <v>0</v>
      </c>
      <c r="W8" s="1505"/>
      <c r="X8" s="19">
        <f t="shared" si="11"/>
        <v>0</v>
      </c>
      <c r="Y8" s="20">
        <f t="shared" si="1"/>
        <v>40403.805</v>
      </c>
    </row>
    <row r="9" spans="1:25" ht="38.25" customHeight="1" x14ac:dyDescent="0.25">
      <c r="A9" s="12">
        <v>1984225580</v>
      </c>
      <c r="B9" s="1507" t="s">
        <v>75</v>
      </c>
      <c r="C9" s="1505">
        <v>27953</v>
      </c>
      <c r="D9" s="1504">
        <f t="shared" si="0"/>
        <v>27184.2925</v>
      </c>
      <c r="E9" s="1505">
        <v>10</v>
      </c>
      <c r="F9" s="1505">
        <f t="shared" si="2"/>
        <v>671</v>
      </c>
      <c r="G9" s="1505"/>
      <c r="H9" s="1505">
        <f t="shared" si="3"/>
        <v>0</v>
      </c>
      <c r="I9" s="1505">
        <v>500</v>
      </c>
      <c r="J9" s="1505">
        <f t="shared" si="4"/>
        <v>9250</v>
      </c>
      <c r="K9" s="1505"/>
      <c r="L9" s="1504">
        <f t="shared" si="5"/>
        <v>0</v>
      </c>
      <c r="M9" s="1505"/>
      <c r="N9" s="1504">
        <f t="shared" si="6"/>
        <v>0</v>
      </c>
      <c r="O9" s="1505"/>
      <c r="P9" s="1504">
        <f t="shared" si="7"/>
        <v>0</v>
      </c>
      <c r="Q9" s="1504"/>
      <c r="R9" s="1504">
        <f t="shared" si="8"/>
        <v>0</v>
      </c>
      <c r="S9" s="1505"/>
      <c r="T9" s="1505">
        <f t="shared" si="9"/>
        <v>0</v>
      </c>
      <c r="U9" s="1505"/>
      <c r="V9" s="1505">
        <f t="shared" si="10"/>
        <v>0</v>
      </c>
      <c r="W9" s="1505"/>
      <c r="X9" s="19">
        <f t="shared" si="11"/>
        <v>0</v>
      </c>
      <c r="Y9" s="20">
        <f t="shared" si="1"/>
        <v>37105.292499999996</v>
      </c>
    </row>
    <row r="10" spans="1:25" ht="35.25" customHeight="1" x14ac:dyDescent="0.25">
      <c r="A10" s="12">
        <v>1409935199</v>
      </c>
      <c r="C10" s="1505"/>
      <c r="D10" s="1504">
        <f t="shared" si="0"/>
        <v>0</v>
      </c>
      <c r="E10" s="1505"/>
      <c r="F10" s="1505">
        <f t="shared" si="2"/>
        <v>0</v>
      </c>
      <c r="G10" s="1505"/>
      <c r="H10" s="1505">
        <f t="shared" si="3"/>
        <v>0</v>
      </c>
      <c r="I10" s="1505"/>
      <c r="J10" s="1505">
        <f t="shared" si="4"/>
        <v>0</v>
      </c>
      <c r="K10" s="1505"/>
      <c r="L10" s="1504">
        <f t="shared" si="5"/>
        <v>0</v>
      </c>
      <c r="M10" s="1505"/>
      <c r="N10" s="1504">
        <f t="shared" si="6"/>
        <v>0</v>
      </c>
      <c r="O10" s="1505"/>
      <c r="P10" s="1504">
        <f t="shared" si="7"/>
        <v>0</v>
      </c>
      <c r="Q10" s="1504"/>
      <c r="R10" s="1504">
        <f t="shared" si="8"/>
        <v>0</v>
      </c>
      <c r="S10" s="1505"/>
      <c r="T10" s="1505">
        <f t="shared" si="9"/>
        <v>0</v>
      </c>
      <c r="U10" s="1505"/>
      <c r="V10" s="1505">
        <f t="shared" si="10"/>
        <v>0</v>
      </c>
      <c r="W10" s="1505"/>
      <c r="X10" s="19">
        <f t="shared" si="11"/>
        <v>0</v>
      </c>
      <c r="Y10" s="20">
        <f t="shared" si="1"/>
        <v>0</v>
      </c>
    </row>
    <row r="11" spans="1:25" ht="37.5" customHeight="1" x14ac:dyDescent="0.25">
      <c r="A11" s="12"/>
      <c r="B11" s="1506"/>
      <c r="C11" s="1505"/>
      <c r="D11" s="1504">
        <f t="shared" si="0"/>
        <v>0</v>
      </c>
      <c r="E11" s="1505"/>
      <c r="F11" s="1505">
        <f t="shared" si="2"/>
        <v>0</v>
      </c>
      <c r="G11" s="1505"/>
      <c r="H11" s="1505">
        <f t="shared" si="3"/>
        <v>0</v>
      </c>
      <c r="I11" s="1505"/>
      <c r="J11" s="1505">
        <f t="shared" si="4"/>
        <v>0</v>
      </c>
      <c r="K11" s="1505"/>
      <c r="L11" s="1504">
        <f t="shared" si="5"/>
        <v>0</v>
      </c>
      <c r="M11" s="1505"/>
      <c r="N11" s="1504">
        <f t="shared" si="6"/>
        <v>0</v>
      </c>
      <c r="O11" s="1505"/>
      <c r="P11" s="1504">
        <f t="shared" si="7"/>
        <v>0</v>
      </c>
      <c r="Q11" s="1504"/>
      <c r="R11" s="1504">
        <f t="shared" si="8"/>
        <v>0</v>
      </c>
      <c r="S11" s="1505"/>
      <c r="T11" s="1505">
        <f>341*S11</f>
        <v>0</v>
      </c>
      <c r="U11" s="1505"/>
      <c r="V11" s="1505">
        <f t="shared" si="10"/>
        <v>0</v>
      </c>
      <c r="W11" s="1505"/>
      <c r="X11" s="19">
        <f t="shared" si="11"/>
        <v>0</v>
      </c>
      <c r="Y11" s="20">
        <f t="shared" si="1"/>
        <v>0</v>
      </c>
    </row>
    <row r="12" spans="1:25" ht="29.25" customHeight="1" x14ac:dyDescent="0.25">
      <c r="A12" s="2235" t="s">
        <v>31</v>
      </c>
      <c r="B12" s="2235"/>
      <c r="C12" s="18">
        <f t="shared" ref="C12:X12" si="12">SUM(C6:C11)</f>
        <v>136884</v>
      </c>
      <c r="D12" s="18">
        <f t="shared" si="12"/>
        <v>133119.69</v>
      </c>
      <c r="E12" s="18">
        <f t="shared" si="12"/>
        <v>10</v>
      </c>
      <c r="F12" s="18">
        <f t="shared" si="12"/>
        <v>671</v>
      </c>
      <c r="G12" s="18">
        <f t="shared" si="12"/>
        <v>0</v>
      </c>
      <c r="H12" s="18">
        <f t="shared" si="12"/>
        <v>0</v>
      </c>
      <c r="I12" s="18">
        <f t="shared" si="12"/>
        <v>2480</v>
      </c>
      <c r="J12" s="18">
        <f t="shared" si="12"/>
        <v>45880</v>
      </c>
      <c r="K12" s="18">
        <f t="shared" si="12"/>
        <v>0</v>
      </c>
      <c r="L12" s="18">
        <f t="shared" si="12"/>
        <v>0</v>
      </c>
      <c r="M12" s="18">
        <f t="shared" si="12"/>
        <v>0</v>
      </c>
      <c r="N12" s="23">
        <f t="shared" si="12"/>
        <v>0</v>
      </c>
      <c r="O12" s="18">
        <f t="shared" si="12"/>
        <v>0</v>
      </c>
      <c r="P12" s="23">
        <f t="shared" si="12"/>
        <v>0</v>
      </c>
      <c r="Q12" s="23">
        <f t="shared" si="12"/>
        <v>0</v>
      </c>
      <c r="R12" s="23">
        <f>SUM(R6:R11)</f>
        <v>0</v>
      </c>
      <c r="S12" s="23">
        <f>SUM(S6:S11)</f>
        <v>0</v>
      </c>
      <c r="T12" s="18">
        <f t="shared" si="12"/>
        <v>0</v>
      </c>
      <c r="U12" s="18">
        <f t="shared" si="12"/>
        <v>1</v>
      </c>
      <c r="V12" s="18">
        <f t="shared" si="12"/>
        <v>332</v>
      </c>
      <c r="W12" s="18">
        <f t="shared" si="12"/>
        <v>0</v>
      </c>
      <c r="X12" s="18">
        <f t="shared" si="12"/>
        <v>0</v>
      </c>
      <c r="Y12" s="20">
        <f t="shared" si="1"/>
        <v>180002.69</v>
      </c>
    </row>
    <row r="14" spans="1:25" ht="43.5" customHeight="1" x14ac:dyDescent="0.25">
      <c r="A14" s="30" t="s">
        <v>32</v>
      </c>
      <c r="B14" s="2236" t="s">
        <v>27</v>
      </c>
      <c r="C14" s="2236"/>
      <c r="D14" s="30" t="s">
        <v>333</v>
      </c>
      <c r="E14" s="30" t="s">
        <v>65</v>
      </c>
      <c r="F14" s="30" t="s">
        <v>34</v>
      </c>
      <c r="G14" s="30" t="s">
        <v>14</v>
      </c>
      <c r="H14" s="469" t="s">
        <v>173</v>
      </c>
      <c r="I14" s="30" t="s">
        <v>17</v>
      </c>
      <c r="J14" s="1513" t="s">
        <v>174</v>
      </c>
      <c r="K14" s="30" t="s">
        <v>36</v>
      </c>
      <c r="L14" s="1513" t="s">
        <v>403</v>
      </c>
      <c r="M14" s="30" t="s">
        <v>429</v>
      </c>
      <c r="N14" s="30" t="s">
        <v>442</v>
      </c>
      <c r="O14" s="1513" t="s">
        <v>114</v>
      </c>
      <c r="P14" s="30" t="s">
        <v>70</v>
      </c>
      <c r="Q14" s="2300" t="s">
        <v>479</v>
      </c>
      <c r="R14" s="2301"/>
      <c r="S14" s="1513" t="s">
        <v>401</v>
      </c>
      <c r="T14" s="2235" t="s">
        <v>46</v>
      </c>
      <c r="U14" s="1507" t="s">
        <v>176</v>
      </c>
      <c r="V14" s="2260">
        <v>6583</v>
      </c>
      <c r="W14" s="2268"/>
      <c r="X14" s="2261"/>
    </row>
    <row r="15" spans="1:25" ht="22.5" customHeight="1" x14ac:dyDescent="0.25">
      <c r="A15" s="100" t="s">
        <v>38</v>
      </c>
      <c r="B15" s="2260">
        <v>300025</v>
      </c>
      <c r="C15" s="2261"/>
      <c r="D15" s="1510">
        <v>110</v>
      </c>
      <c r="E15" s="1510">
        <v>300</v>
      </c>
      <c r="F15" s="1510">
        <v>11500</v>
      </c>
      <c r="G15" s="1510">
        <v>580</v>
      </c>
      <c r="H15" s="1510">
        <v>72</v>
      </c>
      <c r="I15" s="1510">
        <v>4</v>
      </c>
      <c r="J15" s="1510">
        <v>4</v>
      </c>
      <c r="K15" s="1510">
        <v>77</v>
      </c>
      <c r="L15" s="1510">
        <v>0</v>
      </c>
      <c r="M15" s="1510">
        <v>0</v>
      </c>
      <c r="N15" s="1510">
        <v>0</v>
      </c>
      <c r="O15" s="1510">
        <v>0</v>
      </c>
      <c r="P15" s="1510">
        <v>100</v>
      </c>
      <c r="Q15" s="2260">
        <v>10</v>
      </c>
      <c r="R15" s="2261"/>
      <c r="S15" s="1507">
        <v>2</v>
      </c>
      <c r="T15" s="2235"/>
      <c r="U15" s="1507" t="s">
        <v>64</v>
      </c>
      <c r="V15" s="2262">
        <v>33492</v>
      </c>
      <c r="W15" s="2262"/>
      <c r="X15" s="2262"/>
    </row>
    <row r="16" spans="1:25" ht="24.75" customHeight="1" x14ac:dyDescent="0.25">
      <c r="A16" s="100" t="s">
        <v>39</v>
      </c>
      <c r="B16" s="2260">
        <v>135064</v>
      </c>
      <c r="C16" s="2261"/>
      <c r="D16" s="1510"/>
      <c r="E16" s="1510"/>
      <c r="F16" s="1510"/>
      <c r="G16" s="1510"/>
      <c r="H16" s="1510"/>
      <c r="I16" s="1510">
        <v>100</v>
      </c>
      <c r="J16" s="1510"/>
      <c r="K16" s="1510"/>
      <c r="L16" s="1510"/>
      <c r="M16" s="1510"/>
      <c r="N16" s="1510"/>
      <c r="O16" s="1510"/>
      <c r="P16" s="1510"/>
      <c r="Q16" s="2262"/>
      <c r="R16" s="2262"/>
      <c r="S16" s="1510"/>
      <c r="T16" s="2254" t="s">
        <v>55</v>
      </c>
      <c r="U16" s="2254"/>
      <c r="V16" s="2267">
        <f>Y12</f>
        <v>180002.69</v>
      </c>
      <c r="W16" s="2267"/>
      <c r="X16" s="2262"/>
    </row>
    <row r="17" spans="1:25" ht="28.5" customHeight="1" x14ac:dyDescent="0.25">
      <c r="A17" s="101" t="s">
        <v>44</v>
      </c>
      <c r="B17" s="2260">
        <v>4170</v>
      </c>
      <c r="C17" s="2261"/>
      <c r="D17" s="1510"/>
      <c r="E17" s="1510"/>
      <c r="F17" s="1510"/>
      <c r="G17" s="1510"/>
      <c r="H17" s="1510"/>
      <c r="I17" s="1510"/>
      <c r="J17" s="1510"/>
      <c r="K17" s="1510"/>
      <c r="L17" s="1510"/>
      <c r="M17" s="1510"/>
      <c r="N17" s="1510"/>
      <c r="O17" s="1510"/>
      <c r="P17" s="1510"/>
      <c r="Q17" s="2225"/>
      <c r="R17" s="2225"/>
      <c r="S17" s="1506"/>
      <c r="T17" s="2294" t="s">
        <v>473</v>
      </c>
      <c r="U17" s="2295"/>
      <c r="V17" s="2296"/>
      <c r="W17" s="2296"/>
      <c r="X17" s="2296"/>
    </row>
    <row r="18" spans="1:25" ht="27" customHeight="1" x14ac:dyDescent="0.25">
      <c r="A18" s="100" t="s">
        <v>40</v>
      </c>
      <c r="B18" s="2264">
        <f>C12</f>
        <v>136884</v>
      </c>
      <c r="C18" s="2261"/>
      <c r="D18" s="1512">
        <f>E12</f>
        <v>10</v>
      </c>
      <c r="E18" s="1512">
        <f>G12</f>
        <v>0</v>
      </c>
      <c r="F18" s="1512">
        <f>I12</f>
        <v>2480</v>
      </c>
      <c r="G18" s="1512">
        <f>K12</f>
        <v>0</v>
      </c>
      <c r="H18" s="1510"/>
      <c r="I18" s="1512">
        <f>U12</f>
        <v>1</v>
      </c>
      <c r="J18" s="1510"/>
      <c r="K18" s="1512">
        <f>W12</f>
        <v>0</v>
      </c>
      <c r="L18" s="1510"/>
      <c r="M18" s="1512">
        <f>M12</f>
        <v>0</v>
      </c>
      <c r="N18" s="1512">
        <f>O12</f>
        <v>0</v>
      </c>
      <c r="O18" s="1511">
        <f>Q12</f>
        <v>0</v>
      </c>
      <c r="P18" s="1512"/>
      <c r="Q18" s="2262"/>
      <c r="R18" s="2262"/>
      <c r="S18" s="1507"/>
      <c r="T18" s="2254" t="s">
        <v>57</v>
      </c>
      <c r="U18" s="2254"/>
      <c r="V18" s="2262">
        <v>4833</v>
      </c>
      <c r="W18" s="2262"/>
      <c r="X18" s="2262"/>
      <c r="Y18" s="2269"/>
    </row>
    <row r="19" spans="1:25" ht="25.5" customHeight="1" x14ac:dyDescent="0.25">
      <c r="A19" s="100" t="s">
        <v>41</v>
      </c>
      <c r="B19" s="2260">
        <f>B15+B16+B17-B18</f>
        <v>302375</v>
      </c>
      <c r="C19" s="2261"/>
      <c r="D19" s="1510">
        <f>D15+D16+D17-D18</f>
        <v>100</v>
      </c>
      <c r="E19" s="1510">
        <f t="shared" ref="E19:N19" si="13">E15+E16+E17-E18</f>
        <v>300</v>
      </c>
      <c r="F19" s="1510">
        <f t="shared" si="13"/>
        <v>9020</v>
      </c>
      <c r="G19" s="1510">
        <f t="shared" si="13"/>
        <v>580</v>
      </c>
      <c r="H19" s="1510">
        <f t="shared" si="13"/>
        <v>72</v>
      </c>
      <c r="I19" s="1510">
        <f t="shared" si="13"/>
        <v>103</v>
      </c>
      <c r="J19" s="1510">
        <f t="shared" si="13"/>
        <v>4</v>
      </c>
      <c r="K19" s="1510">
        <f t="shared" si="13"/>
        <v>77</v>
      </c>
      <c r="L19" s="1510">
        <f t="shared" si="13"/>
        <v>0</v>
      </c>
      <c r="M19" s="1510">
        <f t="shared" si="13"/>
        <v>0</v>
      </c>
      <c r="N19" s="1510">
        <f t="shared" si="13"/>
        <v>0</v>
      </c>
      <c r="O19" s="1510">
        <f>O15+O16+O17-O18</f>
        <v>0</v>
      </c>
      <c r="P19" s="1510">
        <f t="shared" ref="P19:Q19" si="14">P15+P16+P17-P18</f>
        <v>100</v>
      </c>
      <c r="Q19" s="2260">
        <f t="shared" si="14"/>
        <v>10</v>
      </c>
      <c r="R19" s="2261"/>
      <c r="S19" s="1507">
        <f>S15+S16-S17-S18</f>
        <v>2</v>
      </c>
      <c r="T19" s="2256" t="s">
        <v>48</v>
      </c>
      <c r="U19" s="49" t="s">
        <v>58</v>
      </c>
      <c r="V19" s="2262">
        <v>110000</v>
      </c>
      <c r="W19" s="2262"/>
      <c r="X19" s="2262"/>
      <c r="Y19" s="2269"/>
    </row>
    <row r="20" spans="1:25" ht="23.25" customHeight="1" x14ac:dyDescent="0.25">
      <c r="A20" s="289" t="s">
        <v>187</v>
      </c>
      <c r="B20" s="2286">
        <f>B19*0.9625</f>
        <v>291035.9375</v>
      </c>
      <c r="C20" s="2287"/>
      <c r="D20" s="290">
        <f>D19*66.41</f>
        <v>6641</v>
      </c>
      <c r="E20" s="290">
        <f>27.9368*E19</f>
        <v>8381.0400000000009</v>
      </c>
      <c r="F20" s="290">
        <f>18.31*F19</f>
        <v>165156.19999999998</v>
      </c>
      <c r="G20" s="290">
        <f>27.9368*G19</f>
        <v>16203.344000000001</v>
      </c>
      <c r="H20" s="290">
        <f>241*H19</f>
        <v>17352</v>
      </c>
      <c r="I20" s="290">
        <f>323*I19</f>
        <v>33269</v>
      </c>
      <c r="J20" s="290">
        <f>241*J19</f>
        <v>964</v>
      </c>
      <c r="K20" s="290">
        <f>K19*100</f>
        <v>7700</v>
      </c>
      <c r="L20" s="290">
        <f>241*L19</f>
        <v>0</v>
      </c>
      <c r="M20" s="290">
        <f>47.1625*M19</f>
        <v>0</v>
      </c>
      <c r="N20" s="290">
        <f>N19*8.81</f>
        <v>0</v>
      </c>
      <c r="O20" s="290">
        <f>241*O19</f>
        <v>0</v>
      </c>
      <c r="P20" s="290">
        <f>P19*48.2</f>
        <v>4820</v>
      </c>
      <c r="Q20" s="2286">
        <f>470*Q19</f>
        <v>4700</v>
      </c>
      <c r="R20" s="2287"/>
      <c r="S20" s="290">
        <f>341*S19</f>
        <v>682</v>
      </c>
      <c r="T20" s="2257"/>
      <c r="U20" s="49" t="s">
        <v>59</v>
      </c>
      <c r="V20" s="2262">
        <v>32300</v>
      </c>
      <c r="W20" s="2262"/>
      <c r="X20" s="2262"/>
      <c r="Y20" s="2269"/>
    </row>
    <row r="21" spans="1:25" ht="32.25" customHeight="1" x14ac:dyDescent="0.25">
      <c r="A21" s="291" t="s">
        <v>186</v>
      </c>
      <c r="B21" s="2293">
        <f>SUM(B20:S20)</f>
        <v>556904.52150000003</v>
      </c>
      <c r="C21" s="2293"/>
      <c r="O21" s="1514"/>
      <c r="P21" s="1514"/>
      <c r="Q21" s="1514"/>
      <c r="R21" s="1514"/>
      <c r="T21" s="2294" t="s">
        <v>487</v>
      </c>
      <c r="U21" s="2295"/>
      <c r="V21" s="2297"/>
      <c r="W21" s="2298"/>
      <c r="X21" s="2299"/>
      <c r="Y21" s="2269"/>
    </row>
    <row r="22" spans="1:25" ht="35.25" customHeight="1" x14ac:dyDescent="0.25">
      <c r="A22" s="15"/>
      <c r="B22" s="2288" t="s">
        <v>49</v>
      </c>
      <c r="C22" s="2291">
        <v>110000</v>
      </c>
      <c r="D22" s="2291">
        <v>110000</v>
      </c>
      <c r="E22" s="2291">
        <v>130000</v>
      </c>
      <c r="F22" s="2291">
        <f>C22-D22+E22</f>
        <v>130000</v>
      </c>
      <c r="G22" s="1514"/>
      <c r="Q22" s="1514"/>
      <c r="R22" s="1514"/>
      <c r="T22" s="2251" t="s">
        <v>83</v>
      </c>
      <c r="U22" s="50" t="s">
        <v>60</v>
      </c>
      <c r="V22" s="2262">
        <v>174160</v>
      </c>
      <c r="W22" s="2262"/>
      <c r="X22" s="2262"/>
      <c r="Y22" s="2269"/>
    </row>
    <row r="23" spans="1:25" ht="39.75" customHeight="1" x14ac:dyDescent="0.25">
      <c r="A23" s="1514"/>
      <c r="B23" s="2289"/>
      <c r="C23" s="2292"/>
      <c r="D23" s="2292"/>
      <c r="E23" s="2292"/>
      <c r="F23" s="2292"/>
      <c r="G23" s="1514"/>
      <c r="Q23" s="1514"/>
      <c r="R23" s="1514"/>
      <c r="T23" s="2252"/>
      <c r="U23" s="50" t="s">
        <v>61</v>
      </c>
      <c r="V23" s="2262">
        <v>142300</v>
      </c>
      <c r="W23" s="2262"/>
      <c r="X23" s="2262"/>
      <c r="Y23" s="2269"/>
    </row>
    <row r="24" spans="1:25" ht="48" customHeight="1" x14ac:dyDescent="0.25">
      <c r="A24" s="1514"/>
      <c r="B24" s="2290"/>
      <c r="C24" s="290" t="s">
        <v>46</v>
      </c>
      <c r="D24" s="290" t="s">
        <v>50</v>
      </c>
      <c r="E24" s="290" t="s">
        <v>51</v>
      </c>
      <c r="F24" s="290" t="s">
        <v>52</v>
      </c>
      <c r="G24" s="1514"/>
      <c r="Q24" s="1514"/>
      <c r="R24" s="1514"/>
      <c r="T24" s="2235" t="s">
        <v>47</v>
      </c>
      <c r="U24" s="51" t="s">
        <v>62</v>
      </c>
      <c r="V24" s="2263">
        <f>V14+V16+V17-V18-V19-V20-V22+V23-V21</f>
        <v>7592.6900000000023</v>
      </c>
      <c r="W24" s="2263"/>
      <c r="X24" s="2263"/>
      <c r="Y24" s="2269"/>
    </row>
    <row r="25" spans="1:25" ht="40.5" customHeight="1" x14ac:dyDescent="0.25">
      <c r="T25" s="2235"/>
      <c r="U25" s="51" t="s">
        <v>63</v>
      </c>
      <c r="V25" s="2262">
        <f>V15+V22-V23</f>
        <v>65352</v>
      </c>
      <c r="W25" s="2262"/>
      <c r="X25" s="2262"/>
    </row>
    <row r="26" spans="1:25" ht="36" customHeight="1" x14ac:dyDescent="0.25">
      <c r="K26" s="314"/>
    </row>
    <row r="28" spans="1:25" x14ac:dyDescent="0.25">
      <c r="J28" s="14" t="s">
        <v>139</v>
      </c>
    </row>
    <row r="32" spans="1:25" x14ac:dyDescent="0.25">
      <c r="I32" s="2280"/>
      <c r="J32" s="2280"/>
      <c r="K32" s="2280"/>
      <c r="L32" s="2280"/>
    </row>
    <row r="33" spans="9:12" x14ac:dyDescent="0.25">
      <c r="I33" s="1514"/>
      <c r="J33" s="1514"/>
      <c r="K33" s="2280"/>
      <c r="L33" s="2280"/>
    </row>
  </sheetData>
  <mergeCells count="62">
    <mergeCell ref="A1:Y1"/>
    <mergeCell ref="A2:Y2"/>
    <mergeCell ref="T3:Y3"/>
    <mergeCell ref="A4:A5"/>
    <mergeCell ref="B4:B5"/>
    <mergeCell ref="C4:D4"/>
    <mergeCell ref="E4:F4"/>
    <mergeCell ref="G4:H4"/>
    <mergeCell ref="I4:J4"/>
    <mergeCell ref="K4:L4"/>
    <mergeCell ref="Y4:Y5"/>
    <mergeCell ref="M4:N4"/>
    <mergeCell ref="O4:P4"/>
    <mergeCell ref="Q4:R4"/>
    <mergeCell ref="S4:T4"/>
    <mergeCell ref="U4:V4"/>
    <mergeCell ref="W4:X4"/>
    <mergeCell ref="B16:C16"/>
    <mergeCell ref="Q16:R16"/>
    <mergeCell ref="T16:U16"/>
    <mergeCell ref="V16:X16"/>
    <mergeCell ref="A12:B12"/>
    <mergeCell ref="B14:C14"/>
    <mergeCell ref="Q14:R14"/>
    <mergeCell ref="T14:T15"/>
    <mergeCell ref="V14:X14"/>
    <mergeCell ref="B15:C15"/>
    <mergeCell ref="Q15:R15"/>
    <mergeCell ref="V15:X15"/>
    <mergeCell ref="B17:C17"/>
    <mergeCell ref="Q17:R17"/>
    <mergeCell ref="T17:U17"/>
    <mergeCell ref="V17:X17"/>
    <mergeCell ref="B18:C18"/>
    <mergeCell ref="Q18:R18"/>
    <mergeCell ref="T18:U18"/>
    <mergeCell ref="V18:X18"/>
    <mergeCell ref="Y18:Y24"/>
    <mergeCell ref="B19:C19"/>
    <mergeCell ref="Q19:R19"/>
    <mergeCell ref="T19:T20"/>
    <mergeCell ref="V19:X19"/>
    <mergeCell ref="B20:C20"/>
    <mergeCell ref="B22:B24"/>
    <mergeCell ref="C22:C23"/>
    <mergeCell ref="D22:D23"/>
    <mergeCell ref="E22:E23"/>
    <mergeCell ref="F22:F23"/>
    <mergeCell ref="Q20:R20"/>
    <mergeCell ref="V20:X20"/>
    <mergeCell ref="B21:C21"/>
    <mergeCell ref="T21:U21"/>
    <mergeCell ref="V21:X21"/>
    <mergeCell ref="I32:J32"/>
    <mergeCell ref="K32:L32"/>
    <mergeCell ref="K33:L33"/>
    <mergeCell ref="T22:T23"/>
    <mergeCell ref="V22:X22"/>
    <mergeCell ref="V23:X23"/>
    <mergeCell ref="T24:T25"/>
    <mergeCell ref="V24:X24"/>
    <mergeCell ref="V25:X25"/>
  </mergeCells>
  <pageMargins left="0.15748031496063" right="0.15748031496063" top="0" bottom="0" header="0" footer="0"/>
  <pageSetup paperSize="9" scale="46" orientation="landscape" r:id="rId1"/>
</worksheet>
</file>

<file path=xl/worksheets/sheet25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E26655D-A107-42D5-BEC1-2CA19540D58C}">
  <sheetPr>
    <pageSetUpPr fitToPage="1"/>
  </sheetPr>
  <dimension ref="A1:Y33"/>
  <sheetViews>
    <sheetView topLeftCell="A6" zoomScale="70" zoomScaleNormal="70" zoomScaleSheetLayoutView="100" zoomScalePageLayoutView="68" workbookViewId="0">
      <selection activeCell="K28" sqref="K28"/>
    </sheetView>
  </sheetViews>
  <sheetFormatPr defaultColWidth="9.140625" defaultRowHeight="15" x14ac:dyDescent="0.25"/>
  <cols>
    <col min="1" max="1" width="18.28515625" style="14" customWidth="1"/>
    <col min="2" max="2" width="10.7109375" style="14" customWidth="1"/>
    <col min="3" max="3" width="12.28515625" style="14" customWidth="1"/>
    <col min="4" max="4" width="13.140625" style="14" bestFit="1" customWidth="1"/>
    <col min="5" max="5" width="12" style="14" customWidth="1"/>
    <col min="6" max="6" width="14" style="14" bestFit="1" customWidth="1"/>
    <col min="7" max="7" width="16" style="14" bestFit="1" customWidth="1"/>
    <col min="8" max="8" width="10.140625" style="14" bestFit="1" customWidth="1"/>
    <col min="9" max="9" width="10.5703125" style="14" bestFit="1" customWidth="1"/>
    <col min="10" max="10" width="10.5703125" style="14" customWidth="1"/>
    <col min="11" max="11" width="10.28515625" style="14" bestFit="1" customWidth="1"/>
    <col min="12" max="12" width="10.42578125" style="14" bestFit="1" customWidth="1"/>
    <col min="13" max="14" width="12" style="14" bestFit="1" customWidth="1"/>
    <col min="15" max="15" width="11" style="14" customWidth="1"/>
    <col min="16" max="16" width="12.85546875" style="14" bestFit="1" customWidth="1"/>
    <col min="17" max="18" width="9.42578125" style="14" customWidth="1"/>
    <col min="19" max="19" width="13.7109375" style="14" customWidth="1"/>
    <col min="20" max="20" width="12.140625" style="14" customWidth="1"/>
    <col min="21" max="21" width="21.7109375" style="14" customWidth="1"/>
    <col min="22" max="22" width="9.85546875" style="14" customWidth="1"/>
    <col min="23" max="23" width="10.140625" style="14" bestFit="1" customWidth="1"/>
    <col min="24" max="24" width="10.28515625" style="14" customWidth="1"/>
    <col min="25" max="25" width="15.7109375" style="14" customWidth="1"/>
    <col min="26" max="16384" width="9.140625" style="14"/>
  </cols>
  <sheetData>
    <row r="1" spans="1:25" ht="46.15" customHeight="1" x14ac:dyDescent="0.25">
      <c r="A1" s="2240" t="s">
        <v>148</v>
      </c>
      <c r="B1" s="2240"/>
      <c r="C1" s="2240"/>
      <c r="D1" s="2240"/>
      <c r="E1" s="2240"/>
      <c r="F1" s="2240"/>
      <c r="G1" s="2240"/>
      <c r="H1" s="2240"/>
      <c r="I1" s="2240"/>
      <c r="J1" s="2240"/>
      <c r="K1" s="2240"/>
      <c r="L1" s="2240"/>
      <c r="M1" s="2240"/>
      <c r="N1" s="2240"/>
      <c r="O1" s="2240"/>
      <c r="P1" s="2240"/>
      <c r="Q1" s="2240"/>
      <c r="R1" s="2240"/>
      <c r="S1" s="2240"/>
      <c r="T1" s="2240"/>
      <c r="U1" s="2240"/>
      <c r="V1" s="2240"/>
      <c r="W1" s="2240"/>
      <c r="X1" s="2240"/>
      <c r="Y1" s="2240"/>
    </row>
    <row r="2" spans="1:25" ht="21.6" customHeight="1" x14ac:dyDescent="0.25">
      <c r="A2" s="2241" t="s">
        <v>383</v>
      </c>
      <c r="B2" s="2241"/>
      <c r="C2" s="2241"/>
      <c r="D2" s="2241"/>
      <c r="E2" s="2241"/>
      <c r="F2" s="2241"/>
      <c r="G2" s="2241"/>
      <c r="H2" s="2241"/>
      <c r="I2" s="2241"/>
      <c r="J2" s="2241"/>
      <c r="K2" s="2241"/>
      <c r="L2" s="2241"/>
      <c r="M2" s="2241"/>
      <c r="N2" s="2241"/>
      <c r="O2" s="2241"/>
      <c r="P2" s="2241"/>
      <c r="Q2" s="2241"/>
      <c r="R2" s="2241"/>
      <c r="S2" s="2241"/>
      <c r="T2" s="2241"/>
      <c r="U2" s="2241"/>
      <c r="V2" s="2241"/>
      <c r="W2" s="2241"/>
      <c r="X2" s="2241"/>
      <c r="Y2" s="2241"/>
    </row>
    <row r="3" spans="1:25" ht="21" customHeight="1" x14ac:dyDescent="0.25">
      <c r="A3" s="1515"/>
      <c r="B3" s="1515"/>
      <c r="C3" s="1515"/>
      <c r="D3" s="1515"/>
      <c r="E3" s="1515"/>
      <c r="F3" s="1515"/>
      <c r="G3" s="1515"/>
      <c r="H3" s="1515"/>
      <c r="I3" s="1515"/>
      <c r="J3" s="1515"/>
      <c r="K3" s="1515"/>
      <c r="L3" s="1515"/>
      <c r="M3" s="1515"/>
      <c r="N3" s="1515"/>
      <c r="O3" s="1515"/>
      <c r="P3" s="1515"/>
      <c r="Q3" s="1515"/>
      <c r="R3" s="1515"/>
      <c r="S3" s="1515"/>
      <c r="T3" s="2242" t="s">
        <v>501</v>
      </c>
      <c r="U3" s="2242"/>
      <c r="V3" s="2242"/>
      <c r="W3" s="2242"/>
      <c r="X3" s="2242"/>
      <c r="Y3" s="2242"/>
    </row>
    <row r="4" spans="1:25" s="1515" customFormat="1" ht="18" customHeight="1" x14ac:dyDescent="0.25">
      <c r="A4" s="2243" t="s">
        <v>25</v>
      </c>
      <c r="B4" s="2243" t="s">
        <v>26</v>
      </c>
      <c r="C4" s="2244" t="s">
        <v>27</v>
      </c>
      <c r="D4" s="2244"/>
      <c r="E4" s="2244" t="s">
        <v>342</v>
      </c>
      <c r="F4" s="2244"/>
      <c r="G4" s="2244" t="s">
        <v>65</v>
      </c>
      <c r="H4" s="2244"/>
      <c r="I4" s="2244" t="s">
        <v>29</v>
      </c>
      <c r="J4" s="2244"/>
      <c r="K4" s="2245" t="s">
        <v>14</v>
      </c>
      <c r="L4" s="2246"/>
      <c r="M4" s="2245" t="s">
        <v>429</v>
      </c>
      <c r="N4" s="2246"/>
      <c r="O4" s="2245" t="s">
        <v>441</v>
      </c>
      <c r="P4" s="2246"/>
      <c r="Q4" s="2245" t="s">
        <v>114</v>
      </c>
      <c r="R4" s="2246"/>
      <c r="S4" s="2244" t="s">
        <v>35</v>
      </c>
      <c r="T4" s="2244"/>
      <c r="U4" s="2245" t="s">
        <v>17</v>
      </c>
      <c r="V4" s="2246"/>
      <c r="W4" s="2247" t="s">
        <v>36</v>
      </c>
      <c r="X4" s="2248"/>
      <c r="Y4" s="2238" t="s">
        <v>30</v>
      </c>
    </row>
    <row r="5" spans="1:25" s="1515" customFormat="1" ht="25.5" customHeight="1" x14ac:dyDescent="0.25">
      <c r="A5" s="2243"/>
      <c r="B5" s="2243"/>
      <c r="C5" s="1517" t="s">
        <v>42</v>
      </c>
      <c r="D5" s="1517" t="s">
        <v>43</v>
      </c>
      <c r="E5" s="1517" t="s">
        <v>42</v>
      </c>
      <c r="F5" s="1517" t="s">
        <v>43</v>
      </c>
      <c r="G5" s="1517" t="s">
        <v>42</v>
      </c>
      <c r="H5" s="1517" t="s">
        <v>43</v>
      </c>
      <c r="I5" s="1517" t="s">
        <v>42</v>
      </c>
      <c r="J5" s="1517" t="s">
        <v>43</v>
      </c>
      <c r="K5" s="1517" t="s">
        <v>42</v>
      </c>
      <c r="L5" s="1517" t="s">
        <v>43</v>
      </c>
      <c r="M5" s="1517" t="s">
        <v>42</v>
      </c>
      <c r="N5" s="1517" t="s">
        <v>43</v>
      </c>
      <c r="O5" s="1517" t="s">
        <v>42</v>
      </c>
      <c r="P5" s="1517" t="s">
        <v>43</v>
      </c>
      <c r="Q5" s="1517" t="s">
        <v>42</v>
      </c>
      <c r="R5" s="1517" t="s">
        <v>43</v>
      </c>
      <c r="S5" s="33" t="s">
        <v>42</v>
      </c>
      <c r="T5" s="33" t="s">
        <v>43</v>
      </c>
      <c r="U5" s="30" t="s">
        <v>42</v>
      </c>
      <c r="V5" s="30" t="s">
        <v>43</v>
      </c>
      <c r="W5" s="30" t="s">
        <v>42</v>
      </c>
      <c r="X5" s="30" t="s">
        <v>43</v>
      </c>
      <c r="Y5" s="2239"/>
    </row>
    <row r="6" spans="1:25" ht="34.5" customHeight="1" x14ac:dyDescent="0.25">
      <c r="A6" s="12">
        <v>1409935200</v>
      </c>
      <c r="B6" s="1516" t="s">
        <v>71</v>
      </c>
      <c r="C6" s="1519">
        <v>32942</v>
      </c>
      <c r="D6" s="1520">
        <f t="shared" ref="D6:D11" si="0">0.9725*C6</f>
        <v>32036.095000000001</v>
      </c>
      <c r="E6" s="1519"/>
      <c r="F6" s="1520">
        <f>67.1*E6</f>
        <v>0</v>
      </c>
      <c r="G6" s="1519">
        <v>40</v>
      </c>
      <c r="H6" s="1519">
        <f>28.2*G6</f>
        <v>1128</v>
      </c>
      <c r="I6" s="1519">
        <v>50</v>
      </c>
      <c r="J6" s="1519">
        <f>18.5*I6</f>
        <v>925</v>
      </c>
      <c r="K6" s="1519"/>
      <c r="L6" s="1520">
        <f>28.2368*K6</f>
        <v>0</v>
      </c>
      <c r="M6" s="1519"/>
      <c r="N6" s="1520">
        <f>M6*47.6525</f>
        <v>0</v>
      </c>
      <c r="O6" s="1519"/>
      <c r="P6" s="1520">
        <f>O6*8.9</f>
        <v>0</v>
      </c>
      <c r="Q6" s="1520"/>
      <c r="R6" s="1520">
        <f>241*Q6</f>
        <v>0</v>
      </c>
      <c r="S6" s="1519"/>
      <c r="T6" s="1519">
        <f>241*S6</f>
        <v>0</v>
      </c>
      <c r="U6" s="1519"/>
      <c r="V6" s="1519">
        <f>332*U6</f>
        <v>0</v>
      </c>
      <c r="W6" s="1519"/>
      <c r="X6" s="19">
        <f>W6*100</f>
        <v>0</v>
      </c>
      <c r="Y6" s="20">
        <f t="shared" ref="Y6:Y12" si="1">D6+F6+H6+J6+L6+N6+P6+R6+T6+V6+X6</f>
        <v>34089.095000000001</v>
      </c>
    </row>
    <row r="7" spans="1:25" ht="31.5" customHeight="1" x14ac:dyDescent="0.25">
      <c r="A7" s="12">
        <v>1984225578</v>
      </c>
      <c r="B7" s="1516" t="s">
        <v>72</v>
      </c>
      <c r="C7" s="1519">
        <v>57251</v>
      </c>
      <c r="D7" s="1520">
        <f t="shared" si="0"/>
        <v>55676.597500000003</v>
      </c>
      <c r="E7" s="1519"/>
      <c r="F7" s="1519">
        <f t="shared" ref="F7:F11" si="2">67.1*E7</f>
        <v>0</v>
      </c>
      <c r="G7" s="1519"/>
      <c r="H7" s="1519">
        <f t="shared" ref="H7:H11" si="3">28.2*G7</f>
        <v>0</v>
      </c>
      <c r="I7" s="1519"/>
      <c r="J7" s="1519">
        <f t="shared" ref="J7:J11" si="4">18.5*I7</f>
        <v>0</v>
      </c>
      <c r="K7" s="1519"/>
      <c r="L7" s="1520">
        <f t="shared" ref="L7:L11" si="5">28.2368*K7</f>
        <v>0</v>
      </c>
      <c r="M7" s="1519"/>
      <c r="N7" s="1520">
        <f t="shared" ref="N7:N11" si="6">M7*47.6525</f>
        <v>0</v>
      </c>
      <c r="O7" s="1519"/>
      <c r="P7" s="1520">
        <f t="shared" ref="P7:P11" si="7">O7*8.9</f>
        <v>0</v>
      </c>
      <c r="Q7" s="1520"/>
      <c r="R7" s="1520">
        <f t="shared" ref="R7:R11" si="8">241*Q7</f>
        <v>0</v>
      </c>
      <c r="S7" s="1519"/>
      <c r="T7" s="1519">
        <f t="shared" ref="T7:T10" si="9">241*S7</f>
        <v>0</v>
      </c>
      <c r="U7" s="1519"/>
      <c r="V7" s="1519">
        <f t="shared" ref="V7:V11" si="10">332*U7</f>
        <v>0</v>
      </c>
      <c r="W7" s="1519"/>
      <c r="X7" s="19">
        <f t="shared" ref="X7:X11" si="11">W7*100</f>
        <v>0</v>
      </c>
      <c r="Y7" s="20">
        <f t="shared" si="1"/>
        <v>55676.597500000003</v>
      </c>
    </row>
    <row r="8" spans="1:25" ht="35.25" customHeight="1" x14ac:dyDescent="0.25">
      <c r="A8" s="12">
        <v>1967020280</v>
      </c>
      <c r="B8" s="1516" t="s">
        <v>427</v>
      </c>
      <c r="C8" s="1519">
        <v>40039</v>
      </c>
      <c r="D8" s="1520">
        <f t="shared" si="0"/>
        <v>38937.927499999998</v>
      </c>
      <c r="E8" s="1519"/>
      <c r="F8" s="1519">
        <f t="shared" si="2"/>
        <v>0</v>
      </c>
      <c r="G8" s="1519">
        <v>10</v>
      </c>
      <c r="H8" s="1520">
        <f t="shared" si="3"/>
        <v>282</v>
      </c>
      <c r="I8" s="1519">
        <v>310</v>
      </c>
      <c r="J8" s="1519">
        <f t="shared" si="4"/>
        <v>5735</v>
      </c>
      <c r="K8" s="1519">
        <v>30</v>
      </c>
      <c r="L8" s="1520">
        <f t="shared" si="5"/>
        <v>847.10399999999993</v>
      </c>
      <c r="M8" s="1519"/>
      <c r="N8" s="1520">
        <f t="shared" si="6"/>
        <v>0</v>
      </c>
      <c r="O8" s="1519"/>
      <c r="P8" s="1520">
        <f t="shared" si="7"/>
        <v>0</v>
      </c>
      <c r="Q8" s="1520"/>
      <c r="R8" s="1520">
        <f t="shared" si="8"/>
        <v>0</v>
      </c>
      <c r="S8" s="1519"/>
      <c r="T8" s="1519">
        <f t="shared" si="9"/>
        <v>0</v>
      </c>
      <c r="U8" s="1519"/>
      <c r="V8" s="1519">
        <f t="shared" si="10"/>
        <v>0</v>
      </c>
      <c r="W8" s="1519"/>
      <c r="X8" s="19">
        <f t="shared" si="11"/>
        <v>0</v>
      </c>
      <c r="Y8" s="20">
        <f t="shared" si="1"/>
        <v>45802.031499999997</v>
      </c>
    </row>
    <row r="9" spans="1:25" ht="38.25" customHeight="1" x14ac:dyDescent="0.25">
      <c r="A9" s="12">
        <v>1984225580</v>
      </c>
      <c r="B9" s="1516" t="s">
        <v>75</v>
      </c>
      <c r="C9" s="1519">
        <v>55660</v>
      </c>
      <c r="D9" s="1520">
        <f t="shared" si="0"/>
        <v>54129.35</v>
      </c>
      <c r="E9" s="1519"/>
      <c r="F9" s="1519">
        <f t="shared" si="2"/>
        <v>0</v>
      </c>
      <c r="G9" s="1519"/>
      <c r="H9" s="1519">
        <f t="shared" si="3"/>
        <v>0</v>
      </c>
      <c r="I9" s="1519">
        <v>550</v>
      </c>
      <c r="J9" s="1519">
        <f t="shared" si="4"/>
        <v>10175</v>
      </c>
      <c r="K9" s="1519"/>
      <c r="L9" s="1520">
        <f t="shared" si="5"/>
        <v>0</v>
      </c>
      <c r="M9" s="1519"/>
      <c r="N9" s="1520">
        <f t="shared" si="6"/>
        <v>0</v>
      </c>
      <c r="O9" s="1519"/>
      <c r="P9" s="1520">
        <f t="shared" si="7"/>
        <v>0</v>
      </c>
      <c r="Q9" s="1520"/>
      <c r="R9" s="1520">
        <f t="shared" si="8"/>
        <v>0</v>
      </c>
      <c r="S9" s="1519"/>
      <c r="T9" s="1519">
        <f t="shared" si="9"/>
        <v>0</v>
      </c>
      <c r="U9" s="1519"/>
      <c r="V9" s="1519">
        <f t="shared" si="10"/>
        <v>0</v>
      </c>
      <c r="W9" s="1519"/>
      <c r="X9" s="19">
        <f t="shared" si="11"/>
        <v>0</v>
      </c>
      <c r="Y9" s="20">
        <f t="shared" si="1"/>
        <v>64304.35</v>
      </c>
    </row>
    <row r="10" spans="1:25" ht="35.25" customHeight="1" x14ac:dyDescent="0.25">
      <c r="A10" s="12">
        <v>1409935199</v>
      </c>
      <c r="C10" s="1519"/>
      <c r="D10" s="1520">
        <f t="shared" si="0"/>
        <v>0</v>
      </c>
      <c r="E10" s="1519"/>
      <c r="F10" s="1519">
        <f t="shared" si="2"/>
        <v>0</v>
      </c>
      <c r="G10" s="1519"/>
      <c r="H10" s="1519">
        <f t="shared" si="3"/>
        <v>0</v>
      </c>
      <c r="I10" s="1519"/>
      <c r="J10" s="1519">
        <f t="shared" si="4"/>
        <v>0</v>
      </c>
      <c r="K10" s="1519"/>
      <c r="L10" s="1520">
        <f t="shared" si="5"/>
        <v>0</v>
      </c>
      <c r="M10" s="1519"/>
      <c r="N10" s="1520">
        <f t="shared" si="6"/>
        <v>0</v>
      </c>
      <c r="O10" s="1519"/>
      <c r="P10" s="1520">
        <f t="shared" si="7"/>
        <v>0</v>
      </c>
      <c r="Q10" s="1520"/>
      <c r="R10" s="1520">
        <f t="shared" si="8"/>
        <v>0</v>
      </c>
      <c r="S10" s="1519"/>
      <c r="T10" s="1519">
        <f t="shared" si="9"/>
        <v>0</v>
      </c>
      <c r="U10" s="1519"/>
      <c r="V10" s="1519">
        <f t="shared" si="10"/>
        <v>0</v>
      </c>
      <c r="W10" s="1519"/>
      <c r="X10" s="19">
        <f t="shared" si="11"/>
        <v>0</v>
      </c>
      <c r="Y10" s="20">
        <f t="shared" si="1"/>
        <v>0</v>
      </c>
    </row>
    <row r="11" spans="1:25" ht="37.5" customHeight="1" x14ac:dyDescent="0.25">
      <c r="A11" s="12"/>
      <c r="B11" s="1518"/>
      <c r="C11" s="1519"/>
      <c r="D11" s="1520">
        <f t="shared" si="0"/>
        <v>0</v>
      </c>
      <c r="E11" s="1519"/>
      <c r="F11" s="1519">
        <f t="shared" si="2"/>
        <v>0</v>
      </c>
      <c r="G11" s="1519"/>
      <c r="H11" s="1519">
        <f t="shared" si="3"/>
        <v>0</v>
      </c>
      <c r="I11" s="1519"/>
      <c r="J11" s="1519">
        <f t="shared" si="4"/>
        <v>0</v>
      </c>
      <c r="K11" s="1519"/>
      <c r="L11" s="1520">
        <f t="shared" si="5"/>
        <v>0</v>
      </c>
      <c r="M11" s="1519"/>
      <c r="N11" s="1520">
        <f t="shared" si="6"/>
        <v>0</v>
      </c>
      <c r="O11" s="1519"/>
      <c r="P11" s="1520">
        <f t="shared" si="7"/>
        <v>0</v>
      </c>
      <c r="Q11" s="1520"/>
      <c r="R11" s="1520">
        <f t="shared" si="8"/>
        <v>0</v>
      </c>
      <c r="S11" s="1519"/>
      <c r="T11" s="1519">
        <f>341*S11</f>
        <v>0</v>
      </c>
      <c r="U11" s="1519"/>
      <c r="V11" s="1519">
        <f t="shared" si="10"/>
        <v>0</v>
      </c>
      <c r="W11" s="1519"/>
      <c r="X11" s="19">
        <f t="shared" si="11"/>
        <v>0</v>
      </c>
      <c r="Y11" s="20">
        <f t="shared" si="1"/>
        <v>0</v>
      </c>
    </row>
    <row r="12" spans="1:25" ht="29.25" customHeight="1" x14ac:dyDescent="0.25">
      <c r="A12" s="2235" t="s">
        <v>31</v>
      </c>
      <c r="B12" s="2235"/>
      <c r="C12" s="18">
        <f t="shared" ref="C12:X12" si="12">SUM(C6:C11)</f>
        <v>185892</v>
      </c>
      <c r="D12" s="18">
        <f t="shared" si="12"/>
        <v>180779.97</v>
      </c>
      <c r="E12" s="18">
        <f t="shared" si="12"/>
        <v>0</v>
      </c>
      <c r="F12" s="18">
        <f t="shared" si="12"/>
        <v>0</v>
      </c>
      <c r="G12" s="18">
        <f t="shared" si="12"/>
        <v>50</v>
      </c>
      <c r="H12" s="18">
        <f t="shared" si="12"/>
        <v>1410</v>
      </c>
      <c r="I12" s="18">
        <f t="shared" si="12"/>
        <v>910</v>
      </c>
      <c r="J12" s="18">
        <f t="shared" si="12"/>
        <v>16835</v>
      </c>
      <c r="K12" s="18">
        <f t="shared" si="12"/>
        <v>30</v>
      </c>
      <c r="L12" s="18">
        <f t="shared" si="12"/>
        <v>847.10399999999993</v>
      </c>
      <c r="M12" s="18">
        <f t="shared" si="12"/>
        <v>0</v>
      </c>
      <c r="N12" s="23">
        <f t="shared" si="12"/>
        <v>0</v>
      </c>
      <c r="O12" s="18">
        <f t="shared" si="12"/>
        <v>0</v>
      </c>
      <c r="P12" s="23">
        <f t="shared" si="12"/>
        <v>0</v>
      </c>
      <c r="Q12" s="23">
        <f t="shared" si="12"/>
        <v>0</v>
      </c>
      <c r="R12" s="23">
        <f>SUM(R6:R11)</f>
        <v>0</v>
      </c>
      <c r="S12" s="23">
        <f>SUM(S6:S11)</f>
        <v>0</v>
      </c>
      <c r="T12" s="18">
        <f t="shared" si="12"/>
        <v>0</v>
      </c>
      <c r="U12" s="18">
        <f t="shared" si="12"/>
        <v>0</v>
      </c>
      <c r="V12" s="18">
        <f t="shared" si="12"/>
        <v>0</v>
      </c>
      <c r="W12" s="18">
        <f t="shared" si="12"/>
        <v>0</v>
      </c>
      <c r="X12" s="18">
        <f t="shared" si="12"/>
        <v>0</v>
      </c>
      <c r="Y12" s="20">
        <f t="shared" si="1"/>
        <v>199872.07399999999</v>
      </c>
    </row>
    <row r="14" spans="1:25" ht="43.5" customHeight="1" x14ac:dyDescent="0.25">
      <c r="A14" s="30" t="s">
        <v>32</v>
      </c>
      <c r="B14" s="2236" t="s">
        <v>27</v>
      </c>
      <c r="C14" s="2236"/>
      <c r="D14" s="30" t="s">
        <v>333</v>
      </c>
      <c r="E14" s="30" t="s">
        <v>65</v>
      </c>
      <c r="F14" s="30" t="s">
        <v>34</v>
      </c>
      <c r="G14" s="30" t="s">
        <v>14</v>
      </c>
      <c r="H14" s="469" t="s">
        <v>173</v>
      </c>
      <c r="I14" s="30" t="s">
        <v>17</v>
      </c>
      <c r="J14" s="1524" t="s">
        <v>174</v>
      </c>
      <c r="K14" s="30" t="s">
        <v>36</v>
      </c>
      <c r="L14" s="1524" t="s">
        <v>403</v>
      </c>
      <c r="M14" s="30" t="s">
        <v>429</v>
      </c>
      <c r="N14" s="30" t="s">
        <v>442</v>
      </c>
      <c r="O14" s="1524" t="s">
        <v>114</v>
      </c>
      <c r="P14" s="30" t="s">
        <v>70</v>
      </c>
      <c r="Q14" s="2300" t="s">
        <v>479</v>
      </c>
      <c r="R14" s="2301"/>
      <c r="S14" s="1524" t="s">
        <v>401</v>
      </c>
      <c r="T14" s="2235" t="s">
        <v>46</v>
      </c>
      <c r="U14" s="1516" t="s">
        <v>176</v>
      </c>
      <c r="V14" s="2260">
        <v>7593</v>
      </c>
      <c r="W14" s="2268"/>
      <c r="X14" s="2261"/>
    </row>
    <row r="15" spans="1:25" ht="22.5" customHeight="1" x14ac:dyDescent="0.25">
      <c r="A15" s="100" t="s">
        <v>38</v>
      </c>
      <c r="B15" s="2260">
        <v>302375</v>
      </c>
      <c r="C15" s="2261"/>
      <c r="D15" s="1521">
        <v>100</v>
      </c>
      <c r="E15" s="1521">
        <v>300</v>
      </c>
      <c r="F15" s="1521">
        <v>9020</v>
      </c>
      <c r="G15" s="1521">
        <v>580</v>
      </c>
      <c r="H15" s="1521">
        <v>72</v>
      </c>
      <c r="I15" s="1521">
        <v>103</v>
      </c>
      <c r="J15" s="1521">
        <v>4</v>
      </c>
      <c r="K15" s="1521">
        <v>77</v>
      </c>
      <c r="L15" s="1521">
        <v>0</v>
      </c>
      <c r="M15" s="1521">
        <v>0</v>
      </c>
      <c r="N15" s="1521">
        <v>0</v>
      </c>
      <c r="O15" s="1521">
        <v>0</v>
      </c>
      <c r="P15" s="1521">
        <v>100</v>
      </c>
      <c r="Q15" s="2260">
        <v>10</v>
      </c>
      <c r="R15" s="2261"/>
      <c r="S15" s="1516">
        <v>2</v>
      </c>
      <c r="T15" s="2235"/>
      <c r="U15" s="1516" t="s">
        <v>64</v>
      </c>
      <c r="V15" s="2262">
        <v>65352</v>
      </c>
      <c r="W15" s="2262"/>
      <c r="X15" s="2262"/>
    </row>
    <row r="16" spans="1:25" ht="24.75" customHeight="1" x14ac:dyDescent="0.25">
      <c r="A16" s="100" t="s">
        <v>39</v>
      </c>
      <c r="B16" s="2260">
        <v>435739</v>
      </c>
      <c r="C16" s="2261"/>
      <c r="D16" s="1521"/>
      <c r="E16" s="1521"/>
      <c r="F16" s="1521"/>
      <c r="G16" s="1521"/>
      <c r="H16" s="1521"/>
      <c r="I16" s="1521"/>
      <c r="J16" s="1521"/>
      <c r="K16" s="1521"/>
      <c r="L16" s="1521"/>
      <c r="M16" s="1521"/>
      <c r="N16" s="1521"/>
      <c r="O16" s="1521"/>
      <c r="P16" s="1521"/>
      <c r="Q16" s="2262"/>
      <c r="R16" s="2262"/>
      <c r="S16" s="1521"/>
      <c r="T16" s="2254" t="s">
        <v>55</v>
      </c>
      <c r="U16" s="2254"/>
      <c r="V16" s="2267">
        <f>Y12</f>
        <v>199872.07399999999</v>
      </c>
      <c r="W16" s="2267"/>
      <c r="X16" s="2262"/>
    </row>
    <row r="17" spans="1:25" ht="28.5" customHeight="1" x14ac:dyDescent="0.25">
      <c r="A17" s="101" t="s">
        <v>44</v>
      </c>
      <c r="B17" s="2260"/>
      <c r="C17" s="2261"/>
      <c r="D17" s="1521"/>
      <c r="E17" s="1521"/>
      <c r="F17" s="1521"/>
      <c r="G17" s="1521"/>
      <c r="H17" s="1521"/>
      <c r="I17" s="1521"/>
      <c r="J17" s="1521"/>
      <c r="K17" s="1521"/>
      <c r="L17" s="1521"/>
      <c r="M17" s="1521"/>
      <c r="N17" s="1521"/>
      <c r="O17" s="1521"/>
      <c r="P17" s="1521"/>
      <c r="Q17" s="2225"/>
      <c r="R17" s="2225"/>
      <c r="S17" s="1518"/>
      <c r="T17" s="2294" t="s">
        <v>473</v>
      </c>
      <c r="U17" s="2295"/>
      <c r="V17" s="2296"/>
      <c r="W17" s="2296"/>
      <c r="X17" s="2296"/>
    </row>
    <row r="18" spans="1:25" ht="27" customHeight="1" x14ac:dyDescent="0.25">
      <c r="A18" s="100" t="s">
        <v>40</v>
      </c>
      <c r="B18" s="2264">
        <f>C12</f>
        <v>185892</v>
      </c>
      <c r="C18" s="2261"/>
      <c r="D18" s="1522">
        <f>E12</f>
        <v>0</v>
      </c>
      <c r="E18" s="1522">
        <f>G12</f>
        <v>50</v>
      </c>
      <c r="F18" s="1522">
        <f>I12</f>
        <v>910</v>
      </c>
      <c r="G18" s="1522">
        <f>K12</f>
        <v>30</v>
      </c>
      <c r="H18" s="1521"/>
      <c r="I18" s="1522">
        <f>U12</f>
        <v>0</v>
      </c>
      <c r="J18" s="1521"/>
      <c r="K18" s="1522">
        <f>W12</f>
        <v>0</v>
      </c>
      <c r="L18" s="1521"/>
      <c r="M18" s="1522">
        <f>M12</f>
        <v>0</v>
      </c>
      <c r="N18" s="1522">
        <f>O12</f>
        <v>0</v>
      </c>
      <c r="O18" s="1523">
        <f>Q12</f>
        <v>0</v>
      </c>
      <c r="P18" s="1522"/>
      <c r="Q18" s="2262"/>
      <c r="R18" s="2262"/>
      <c r="S18" s="1516"/>
      <c r="T18" s="2254" t="s">
        <v>57</v>
      </c>
      <c r="U18" s="2254"/>
      <c r="V18" s="2262">
        <v>2610</v>
      </c>
      <c r="W18" s="2262"/>
      <c r="X18" s="2262"/>
      <c r="Y18" s="2269"/>
    </row>
    <row r="19" spans="1:25" ht="25.5" customHeight="1" x14ac:dyDescent="0.25">
      <c r="A19" s="100" t="s">
        <v>41</v>
      </c>
      <c r="B19" s="2260">
        <f>B15+B16+B17-B18</f>
        <v>552222</v>
      </c>
      <c r="C19" s="2261"/>
      <c r="D19" s="1521">
        <f>D15+D16+D17-D18</f>
        <v>100</v>
      </c>
      <c r="E19" s="1521">
        <f t="shared" ref="E19:N19" si="13">E15+E16+E17-E18</f>
        <v>250</v>
      </c>
      <c r="F19" s="1521">
        <f t="shared" si="13"/>
        <v>8110</v>
      </c>
      <c r="G19" s="1521">
        <f t="shared" si="13"/>
        <v>550</v>
      </c>
      <c r="H19" s="1521">
        <f t="shared" si="13"/>
        <v>72</v>
      </c>
      <c r="I19" s="1521">
        <f t="shared" si="13"/>
        <v>103</v>
      </c>
      <c r="J19" s="1521">
        <f t="shared" si="13"/>
        <v>4</v>
      </c>
      <c r="K19" s="1521">
        <f t="shared" si="13"/>
        <v>77</v>
      </c>
      <c r="L19" s="1521">
        <f t="shared" si="13"/>
        <v>0</v>
      </c>
      <c r="M19" s="1521">
        <f t="shared" si="13"/>
        <v>0</v>
      </c>
      <c r="N19" s="1521">
        <f t="shared" si="13"/>
        <v>0</v>
      </c>
      <c r="O19" s="1521">
        <f>O15+O16+O17-O18</f>
        <v>0</v>
      </c>
      <c r="P19" s="1521">
        <f t="shared" ref="P19:Q19" si="14">P15+P16+P17-P18</f>
        <v>100</v>
      </c>
      <c r="Q19" s="2260">
        <f t="shared" si="14"/>
        <v>10</v>
      </c>
      <c r="R19" s="2261"/>
      <c r="S19" s="1516">
        <f>S15+S16-S17-S18</f>
        <v>2</v>
      </c>
      <c r="T19" s="2256" t="s">
        <v>48</v>
      </c>
      <c r="U19" s="49" t="s">
        <v>58</v>
      </c>
      <c r="V19" s="2262">
        <v>130000</v>
      </c>
      <c r="W19" s="2262"/>
      <c r="X19" s="2262"/>
      <c r="Y19" s="2269"/>
    </row>
    <row r="20" spans="1:25" ht="23.25" customHeight="1" x14ac:dyDescent="0.25">
      <c r="A20" s="289" t="s">
        <v>187</v>
      </c>
      <c r="B20" s="2286">
        <f>B19*0.9625</f>
        <v>531513.67500000005</v>
      </c>
      <c r="C20" s="2287"/>
      <c r="D20" s="290">
        <f>D19*66.41</f>
        <v>6641</v>
      </c>
      <c r="E20" s="290">
        <f>27.9368*E19</f>
        <v>6984.2000000000007</v>
      </c>
      <c r="F20" s="290">
        <f>18.31*F19</f>
        <v>148494.09999999998</v>
      </c>
      <c r="G20" s="290">
        <f>27.9368*G19</f>
        <v>15365.240000000002</v>
      </c>
      <c r="H20" s="290">
        <f>241*H19</f>
        <v>17352</v>
      </c>
      <c r="I20" s="290">
        <f>323*I19</f>
        <v>33269</v>
      </c>
      <c r="J20" s="290">
        <f>241*J19</f>
        <v>964</v>
      </c>
      <c r="K20" s="290">
        <f>K19*100</f>
        <v>7700</v>
      </c>
      <c r="L20" s="290">
        <f>241*L19</f>
        <v>0</v>
      </c>
      <c r="M20" s="290">
        <f>47.1625*M19</f>
        <v>0</v>
      </c>
      <c r="N20" s="290">
        <f>N19*8.81</f>
        <v>0</v>
      </c>
      <c r="O20" s="290">
        <f>241*O19</f>
        <v>0</v>
      </c>
      <c r="P20" s="290">
        <f>P19*48.2</f>
        <v>4820</v>
      </c>
      <c r="Q20" s="2286">
        <f>470*Q19</f>
        <v>4700</v>
      </c>
      <c r="R20" s="2287"/>
      <c r="S20" s="290">
        <f>341*S19</f>
        <v>682</v>
      </c>
      <c r="T20" s="2257"/>
      <c r="U20" s="49" t="s">
        <v>59</v>
      </c>
      <c r="V20" s="2262">
        <v>19400</v>
      </c>
      <c r="W20" s="2262"/>
      <c r="X20" s="2262"/>
      <c r="Y20" s="2269"/>
    </row>
    <row r="21" spans="1:25" ht="32.25" customHeight="1" x14ac:dyDescent="0.25">
      <c r="A21" s="291" t="s">
        <v>186</v>
      </c>
      <c r="B21" s="2293">
        <f>SUM(B20:S20)</f>
        <v>778485.21499999997</v>
      </c>
      <c r="C21" s="2293"/>
      <c r="O21" s="1525"/>
      <c r="P21" s="1525"/>
      <c r="Q21" s="1525"/>
      <c r="R21" s="1525"/>
      <c r="T21" s="2294" t="s">
        <v>487</v>
      </c>
      <c r="U21" s="2295"/>
      <c r="V21" s="2297"/>
      <c r="W21" s="2298"/>
      <c r="X21" s="2299"/>
      <c r="Y21" s="2269"/>
    </row>
    <row r="22" spans="1:25" ht="35.25" customHeight="1" x14ac:dyDescent="0.25">
      <c r="A22" s="15"/>
      <c r="B22" s="2288" t="s">
        <v>49</v>
      </c>
      <c r="C22" s="2291">
        <v>130000</v>
      </c>
      <c r="D22" s="2291">
        <v>130000</v>
      </c>
      <c r="E22" s="2291">
        <v>400000</v>
      </c>
      <c r="F22" s="2291">
        <f>C22-D22+E22</f>
        <v>400000</v>
      </c>
      <c r="G22" s="1525"/>
      <c r="Q22" s="1525"/>
      <c r="R22" s="1525"/>
      <c r="T22" s="2251" t="s">
        <v>83</v>
      </c>
      <c r="U22" s="50" t="s">
        <v>60</v>
      </c>
      <c r="V22" s="2262">
        <v>162840</v>
      </c>
      <c r="W22" s="2262"/>
      <c r="X22" s="2262"/>
      <c r="Y22" s="2269"/>
    </row>
    <row r="23" spans="1:25" ht="39.75" customHeight="1" x14ac:dyDescent="0.25">
      <c r="A23" s="1525"/>
      <c r="B23" s="2289"/>
      <c r="C23" s="2292"/>
      <c r="D23" s="2292"/>
      <c r="E23" s="2292"/>
      <c r="F23" s="2292"/>
      <c r="G23" s="1525"/>
      <c r="Q23" s="1525"/>
      <c r="R23" s="1525"/>
      <c r="T23" s="2252"/>
      <c r="U23" s="50" t="s">
        <v>61</v>
      </c>
      <c r="V23" s="2262">
        <v>149400</v>
      </c>
      <c r="W23" s="2262"/>
      <c r="X23" s="2262"/>
      <c r="Y23" s="2269"/>
    </row>
    <row r="24" spans="1:25" ht="48" customHeight="1" x14ac:dyDescent="0.25">
      <c r="A24" s="1525"/>
      <c r="B24" s="2290"/>
      <c r="C24" s="290" t="s">
        <v>46</v>
      </c>
      <c r="D24" s="290" t="s">
        <v>50</v>
      </c>
      <c r="E24" s="290" t="s">
        <v>51</v>
      </c>
      <c r="F24" s="290" t="s">
        <v>52</v>
      </c>
      <c r="G24" s="1525"/>
      <c r="Q24" s="1525"/>
      <c r="R24" s="1525"/>
      <c r="T24" s="2235" t="s">
        <v>47</v>
      </c>
      <c r="U24" s="51" t="s">
        <v>62</v>
      </c>
      <c r="V24" s="2263">
        <f>V14+V16+V17-V18-V19-V20-V22+V23-V21</f>
        <v>42015.073999999993</v>
      </c>
      <c r="W24" s="2263"/>
      <c r="X24" s="2263"/>
      <c r="Y24" s="2269"/>
    </row>
    <row r="25" spans="1:25" ht="40.5" customHeight="1" x14ac:dyDescent="0.25">
      <c r="T25" s="2235"/>
      <c r="U25" s="51" t="s">
        <v>63</v>
      </c>
      <c r="V25" s="2262">
        <f>V15+V22-V23</f>
        <v>78792</v>
      </c>
      <c r="W25" s="2262"/>
      <c r="X25" s="2262"/>
    </row>
    <row r="26" spans="1:25" ht="36" customHeight="1" x14ac:dyDescent="0.25">
      <c r="K26" s="314"/>
    </row>
    <row r="28" spans="1:25" x14ac:dyDescent="0.25">
      <c r="J28" s="14" t="s">
        <v>139</v>
      </c>
    </row>
    <row r="32" spans="1:25" x14ac:dyDescent="0.25">
      <c r="I32" s="2280"/>
      <c r="J32" s="2280"/>
      <c r="K32" s="2280"/>
      <c r="L32" s="2280"/>
    </row>
    <row r="33" spans="9:12" x14ac:dyDescent="0.25">
      <c r="I33" s="1525"/>
      <c r="J33" s="1525"/>
      <c r="K33" s="2280"/>
      <c r="L33" s="2280"/>
    </row>
  </sheetData>
  <mergeCells count="62">
    <mergeCell ref="I32:J32"/>
    <mergeCell ref="K32:L32"/>
    <mergeCell ref="K33:L33"/>
    <mergeCell ref="T22:T23"/>
    <mergeCell ref="V22:X22"/>
    <mergeCell ref="V23:X23"/>
    <mergeCell ref="T24:T25"/>
    <mergeCell ref="V24:X24"/>
    <mergeCell ref="V25:X25"/>
    <mergeCell ref="Y18:Y24"/>
    <mergeCell ref="B19:C19"/>
    <mergeCell ref="Q19:R19"/>
    <mergeCell ref="T19:T20"/>
    <mergeCell ref="V19:X19"/>
    <mergeCell ref="B20:C20"/>
    <mergeCell ref="B22:B24"/>
    <mergeCell ref="C22:C23"/>
    <mergeCell ref="D22:D23"/>
    <mergeCell ref="E22:E23"/>
    <mergeCell ref="F22:F23"/>
    <mergeCell ref="Q20:R20"/>
    <mergeCell ref="V20:X20"/>
    <mergeCell ref="B21:C21"/>
    <mergeCell ref="T21:U21"/>
    <mergeCell ref="V21:X21"/>
    <mergeCell ref="B17:C17"/>
    <mergeCell ref="Q17:R17"/>
    <mergeCell ref="T17:U17"/>
    <mergeCell ref="V17:X17"/>
    <mergeCell ref="B18:C18"/>
    <mergeCell ref="Q18:R18"/>
    <mergeCell ref="T18:U18"/>
    <mergeCell ref="V18:X18"/>
    <mergeCell ref="W4:X4"/>
    <mergeCell ref="B16:C16"/>
    <mergeCell ref="Q16:R16"/>
    <mergeCell ref="T16:U16"/>
    <mergeCell ref="V16:X16"/>
    <mergeCell ref="A12:B12"/>
    <mergeCell ref="B14:C14"/>
    <mergeCell ref="Q14:R14"/>
    <mergeCell ref="T14:T15"/>
    <mergeCell ref="V14:X14"/>
    <mergeCell ref="B15:C15"/>
    <mergeCell ref="Q15:R15"/>
    <mergeCell ref="V15:X15"/>
    <mergeCell ref="A1:Y1"/>
    <mergeCell ref="A2:Y2"/>
    <mergeCell ref="T3:Y3"/>
    <mergeCell ref="A4:A5"/>
    <mergeCell ref="B4:B5"/>
    <mergeCell ref="C4:D4"/>
    <mergeCell ref="E4:F4"/>
    <mergeCell ref="G4:H4"/>
    <mergeCell ref="I4:J4"/>
    <mergeCell ref="K4:L4"/>
    <mergeCell ref="Y4:Y5"/>
    <mergeCell ref="M4:N4"/>
    <mergeCell ref="O4:P4"/>
    <mergeCell ref="Q4:R4"/>
    <mergeCell ref="S4:T4"/>
    <mergeCell ref="U4:V4"/>
  </mergeCells>
  <pageMargins left="0.15748031496063" right="0.15748031496063" top="0" bottom="0" header="0" footer="0"/>
  <pageSetup paperSize="9" scale="46" orientation="landscape" r:id="rId1"/>
</worksheet>
</file>

<file path=xl/worksheets/sheet25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333C639-D1CF-4DFE-ABFA-A20D132E01FC}">
  <sheetPr>
    <pageSetUpPr fitToPage="1"/>
  </sheetPr>
  <dimension ref="A1:Y33"/>
  <sheetViews>
    <sheetView topLeftCell="A10" zoomScale="70" zoomScaleNormal="70" zoomScaleSheetLayoutView="100" zoomScalePageLayoutView="68" workbookViewId="0">
      <selection activeCell="J25" sqref="J25"/>
    </sheetView>
  </sheetViews>
  <sheetFormatPr defaultColWidth="9.140625" defaultRowHeight="15" x14ac:dyDescent="0.25"/>
  <cols>
    <col min="1" max="1" width="18.28515625" style="14" customWidth="1"/>
    <col min="2" max="2" width="10.7109375" style="14" customWidth="1"/>
    <col min="3" max="3" width="12.28515625" style="14" customWidth="1"/>
    <col min="4" max="4" width="13.140625" style="14" bestFit="1" customWidth="1"/>
    <col min="5" max="5" width="12" style="14" customWidth="1"/>
    <col min="6" max="6" width="14" style="14" bestFit="1" customWidth="1"/>
    <col min="7" max="7" width="16" style="14" bestFit="1" customWidth="1"/>
    <col min="8" max="8" width="10.140625" style="14" bestFit="1" customWidth="1"/>
    <col min="9" max="9" width="10.5703125" style="14" bestFit="1" customWidth="1"/>
    <col min="10" max="10" width="10.5703125" style="14" customWidth="1"/>
    <col min="11" max="11" width="10.28515625" style="14" bestFit="1" customWidth="1"/>
    <col min="12" max="12" width="10.42578125" style="14" bestFit="1" customWidth="1"/>
    <col min="13" max="14" width="12" style="14" bestFit="1" customWidth="1"/>
    <col min="15" max="15" width="11" style="14" customWidth="1"/>
    <col min="16" max="16" width="12.85546875" style="14" bestFit="1" customWidth="1"/>
    <col min="17" max="18" width="9.42578125" style="14" customWidth="1"/>
    <col min="19" max="19" width="13.7109375" style="14" customWidth="1"/>
    <col min="20" max="20" width="12.140625" style="14" customWidth="1"/>
    <col min="21" max="21" width="21.7109375" style="14" customWidth="1"/>
    <col min="22" max="22" width="9.85546875" style="14" customWidth="1"/>
    <col min="23" max="23" width="10.140625" style="14" bestFit="1" customWidth="1"/>
    <col min="24" max="24" width="10.28515625" style="14" customWidth="1"/>
    <col min="25" max="25" width="15.7109375" style="14" customWidth="1"/>
    <col min="26" max="16384" width="9.140625" style="14"/>
  </cols>
  <sheetData>
    <row r="1" spans="1:25" ht="46.15" customHeight="1" x14ac:dyDescent="0.25">
      <c r="A1" s="2240" t="s">
        <v>148</v>
      </c>
      <c r="B1" s="2240"/>
      <c r="C1" s="2240"/>
      <c r="D1" s="2240"/>
      <c r="E1" s="2240"/>
      <c r="F1" s="2240"/>
      <c r="G1" s="2240"/>
      <c r="H1" s="2240"/>
      <c r="I1" s="2240"/>
      <c r="J1" s="2240"/>
      <c r="K1" s="2240"/>
      <c r="L1" s="2240"/>
      <c r="M1" s="2240"/>
      <c r="N1" s="2240"/>
      <c r="O1" s="2240"/>
      <c r="P1" s="2240"/>
      <c r="Q1" s="2240"/>
      <c r="R1" s="2240"/>
      <c r="S1" s="2240"/>
      <c r="T1" s="2240"/>
      <c r="U1" s="2240"/>
      <c r="V1" s="2240"/>
      <c r="W1" s="2240"/>
      <c r="X1" s="2240"/>
      <c r="Y1" s="2240"/>
    </row>
    <row r="2" spans="1:25" ht="21.6" customHeight="1" x14ac:dyDescent="0.25">
      <c r="A2" s="2241" t="s">
        <v>383</v>
      </c>
      <c r="B2" s="2241"/>
      <c r="C2" s="2241"/>
      <c r="D2" s="2241"/>
      <c r="E2" s="2241"/>
      <c r="F2" s="2241"/>
      <c r="G2" s="2241"/>
      <c r="H2" s="2241"/>
      <c r="I2" s="2241"/>
      <c r="J2" s="2241"/>
      <c r="K2" s="2241"/>
      <c r="L2" s="2241"/>
      <c r="M2" s="2241"/>
      <c r="N2" s="2241"/>
      <c r="O2" s="2241"/>
      <c r="P2" s="2241"/>
      <c r="Q2" s="2241"/>
      <c r="R2" s="2241"/>
      <c r="S2" s="2241"/>
      <c r="T2" s="2241"/>
      <c r="U2" s="2241"/>
      <c r="V2" s="2241"/>
      <c r="W2" s="2241"/>
      <c r="X2" s="2241"/>
      <c r="Y2" s="2241"/>
    </row>
    <row r="3" spans="1:25" ht="21" customHeight="1" x14ac:dyDescent="0.25">
      <c r="A3" s="1515"/>
      <c r="B3" s="1515"/>
      <c r="C3" s="1515"/>
      <c r="D3" s="1515"/>
      <c r="E3" s="1515"/>
      <c r="F3" s="1515"/>
      <c r="G3" s="1515"/>
      <c r="H3" s="1515"/>
      <c r="I3" s="1515"/>
      <c r="J3" s="1515"/>
      <c r="K3" s="1515"/>
      <c r="L3" s="1515"/>
      <c r="M3" s="1515"/>
      <c r="N3" s="1515"/>
      <c r="O3" s="1515"/>
      <c r="P3" s="1515"/>
      <c r="Q3" s="1515"/>
      <c r="R3" s="1515"/>
      <c r="S3" s="1515"/>
      <c r="T3" s="2242" t="s">
        <v>502</v>
      </c>
      <c r="U3" s="2242"/>
      <c r="V3" s="2242"/>
      <c r="W3" s="2242"/>
      <c r="X3" s="2242"/>
      <c r="Y3" s="2242"/>
    </row>
    <row r="4" spans="1:25" s="1515" customFormat="1" ht="18" customHeight="1" x14ac:dyDescent="0.25">
      <c r="A4" s="2243" t="s">
        <v>25</v>
      </c>
      <c r="B4" s="2243" t="s">
        <v>26</v>
      </c>
      <c r="C4" s="2244" t="s">
        <v>27</v>
      </c>
      <c r="D4" s="2244"/>
      <c r="E4" s="2244" t="s">
        <v>342</v>
      </c>
      <c r="F4" s="2244"/>
      <c r="G4" s="2244" t="s">
        <v>65</v>
      </c>
      <c r="H4" s="2244"/>
      <c r="I4" s="2244" t="s">
        <v>29</v>
      </c>
      <c r="J4" s="2244"/>
      <c r="K4" s="2245" t="s">
        <v>14</v>
      </c>
      <c r="L4" s="2246"/>
      <c r="M4" s="2245" t="s">
        <v>429</v>
      </c>
      <c r="N4" s="2246"/>
      <c r="O4" s="2245" t="s">
        <v>441</v>
      </c>
      <c r="P4" s="2246"/>
      <c r="Q4" s="2245" t="s">
        <v>114</v>
      </c>
      <c r="R4" s="2246"/>
      <c r="S4" s="2244" t="s">
        <v>35</v>
      </c>
      <c r="T4" s="2244"/>
      <c r="U4" s="2245" t="s">
        <v>17</v>
      </c>
      <c r="V4" s="2246"/>
      <c r="W4" s="2247" t="s">
        <v>36</v>
      </c>
      <c r="X4" s="2248"/>
      <c r="Y4" s="2238" t="s">
        <v>30</v>
      </c>
    </row>
    <row r="5" spans="1:25" s="1515" customFormat="1" ht="25.5" customHeight="1" x14ac:dyDescent="0.25">
      <c r="A5" s="2243"/>
      <c r="B5" s="2243"/>
      <c r="C5" s="1517" t="s">
        <v>42</v>
      </c>
      <c r="D5" s="1517" t="s">
        <v>43</v>
      </c>
      <c r="E5" s="1517" t="s">
        <v>42</v>
      </c>
      <c r="F5" s="1517" t="s">
        <v>43</v>
      </c>
      <c r="G5" s="1517" t="s">
        <v>42</v>
      </c>
      <c r="H5" s="1517" t="s">
        <v>43</v>
      </c>
      <c r="I5" s="1517" t="s">
        <v>42</v>
      </c>
      <c r="J5" s="1517" t="s">
        <v>43</v>
      </c>
      <c r="K5" s="1517" t="s">
        <v>42</v>
      </c>
      <c r="L5" s="1517" t="s">
        <v>43</v>
      </c>
      <c r="M5" s="1517" t="s">
        <v>42</v>
      </c>
      <c r="N5" s="1517" t="s">
        <v>43</v>
      </c>
      <c r="O5" s="1517" t="s">
        <v>42</v>
      </c>
      <c r="P5" s="1517" t="s">
        <v>43</v>
      </c>
      <c r="Q5" s="1517" t="s">
        <v>42</v>
      </c>
      <c r="R5" s="1517" t="s">
        <v>43</v>
      </c>
      <c r="S5" s="33" t="s">
        <v>42</v>
      </c>
      <c r="T5" s="33" t="s">
        <v>43</v>
      </c>
      <c r="U5" s="30" t="s">
        <v>42</v>
      </c>
      <c r="V5" s="30" t="s">
        <v>43</v>
      </c>
      <c r="W5" s="30" t="s">
        <v>42</v>
      </c>
      <c r="X5" s="30" t="s">
        <v>43</v>
      </c>
      <c r="Y5" s="2239"/>
    </row>
    <row r="6" spans="1:25" ht="34.5" customHeight="1" x14ac:dyDescent="0.25">
      <c r="A6" s="12">
        <v>1409935200</v>
      </c>
      <c r="B6" s="1516" t="s">
        <v>71</v>
      </c>
      <c r="C6" s="1519">
        <v>28987</v>
      </c>
      <c r="D6" s="1520">
        <f t="shared" ref="D6:D11" si="0">0.9725*C6</f>
        <v>28189.857500000002</v>
      </c>
      <c r="E6" s="1519">
        <v>20</v>
      </c>
      <c r="F6" s="1520">
        <f>67.1*E6</f>
        <v>1342</v>
      </c>
      <c r="G6" s="1519">
        <v>20</v>
      </c>
      <c r="H6" s="1519">
        <f>28.2*G6</f>
        <v>564</v>
      </c>
      <c r="I6" s="1519">
        <v>330</v>
      </c>
      <c r="J6" s="1519">
        <f>18.5*I6</f>
        <v>6105</v>
      </c>
      <c r="K6" s="1519">
        <v>30</v>
      </c>
      <c r="L6" s="1520">
        <f>28.2368*K6</f>
        <v>847.10399999999993</v>
      </c>
      <c r="M6" s="1519"/>
      <c r="N6" s="1520">
        <f>M6*47.6525</f>
        <v>0</v>
      </c>
      <c r="O6" s="1519"/>
      <c r="P6" s="1520">
        <f>O6*8.9</f>
        <v>0</v>
      </c>
      <c r="Q6" s="1520"/>
      <c r="R6" s="1520">
        <f>241*Q6</f>
        <v>0</v>
      </c>
      <c r="S6" s="1519"/>
      <c r="T6" s="1519">
        <f>241*S6</f>
        <v>0</v>
      </c>
      <c r="U6" s="1519"/>
      <c r="V6" s="1519">
        <f>332*U6</f>
        <v>0</v>
      </c>
      <c r="W6" s="1519"/>
      <c r="X6" s="19">
        <f>W6*100</f>
        <v>0</v>
      </c>
      <c r="Y6" s="20">
        <f t="shared" ref="Y6:Y12" si="1">D6+F6+H6+J6+L6+N6+P6+R6+T6+V6+X6</f>
        <v>37047.961499999998</v>
      </c>
    </row>
    <row r="7" spans="1:25" ht="31.5" customHeight="1" x14ac:dyDescent="0.25">
      <c r="A7" s="12">
        <v>1984225578</v>
      </c>
      <c r="B7" s="1516" t="s">
        <v>72</v>
      </c>
      <c r="C7" s="1519">
        <v>24092</v>
      </c>
      <c r="D7" s="1520">
        <f t="shared" si="0"/>
        <v>23429.47</v>
      </c>
      <c r="E7" s="1519"/>
      <c r="F7" s="1519">
        <f t="shared" ref="F7:F11" si="2">67.1*E7</f>
        <v>0</v>
      </c>
      <c r="G7" s="1519"/>
      <c r="H7" s="1519">
        <f t="shared" ref="H7:H11" si="3">28.2*G7</f>
        <v>0</v>
      </c>
      <c r="I7" s="1519">
        <v>200</v>
      </c>
      <c r="J7" s="1519">
        <f t="shared" ref="J7:J11" si="4">18.5*I7</f>
        <v>3700</v>
      </c>
      <c r="K7" s="1519"/>
      <c r="L7" s="1520">
        <f t="shared" ref="L7:L11" si="5">28.2368*K7</f>
        <v>0</v>
      </c>
      <c r="M7" s="1519"/>
      <c r="N7" s="1520">
        <f t="shared" ref="N7:N11" si="6">M7*47.6525</f>
        <v>0</v>
      </c>
      <c r="O7" s="1519"/>
      <c r="P7" s="1520">
        <f t="shared" ref="P7:P11" si="7">O7*8.9</f>
        <v>0</v>
      </c>
      <c r="Q7" s="1520"/>
      <c r="R7" s="1520">
        <f t="shared" ref="R7:R11" si="8">241*Q7</f>
        <v>0</v>
      </c>
      <c r="S7" s="1519"/>
      <c r="T7" s="1519">
        <f t="shared" ref="T7:T10" si="9">241*S7</f>
        <v>0</v>
      </c>
      <c r="U7" s="1519"/>
      <c r="V7" s="1519">
        <f t="shared" ref="V7:V11" si="10">332*U7</f>
        <v>0</v>
      </c>
      <c r="W7" s="1519"/>
      <c r="X7" s="19">
        <f t="shared" ref="X7:X11" si="11">W7*100</f>
        <v>0</v>
      </c>
      <c r="Y7" s="20">
        <f t="shared" si="1"/>
        <v>27129.47</v>
      </c>
    </row>
    <row r="8" spans="1:25" ht="35.25" customHeight="1" x14ac:dyDescent="0.25">
      <c r="A8" s="12">
        <v>1967020280</v>
      </c>
      <c r="B8" s="1516" t="s">
        <v>427</v>
      </c>
      <c r="C8" s="1519">
        <v>28379</v>
      </c>
      <c r="D8" s="1520">
        <f t="shared" si="0"/>
        <v>27598.577499999999</v>
      </c>
      <c r="E8" s="1519"/>
      <c r="F8" s="1519">
        <f t="shared" si="2"/>
        <v>0</v>
      </c>
      <c r="G8" s="1519">
        <v>20</v>
      </c>
      <c r="H8" s="1520">
        <f t="shared" si="3"/>
        <v>564</v>
      </c>
      <c r="I8" s="1519">
        <v>960</v>
      </c>
      <c r="J8" s="1519">
        <f t="shared" si="4"/>
        <v>17760</v>
      </c>
      <c r="K8" s="1519"/>
      <c r="L8" s="1520">
        <f t="shared" si="5"/>
        <v>0</v>
      </c>
      <c r="M8" s="1519"/>
      <c r="N8" s="1520">
        <f t="shared" si="6"/>
        <v>0</v>
      </c>
      <c r="O8" s="1519"/>
      <c r="P8" s="1520">
        <f t="shared" si="7"/>
        <v>0</v>
      </c>
      <c r="Q8" s="1520"/>
      <c r="R8" s="1520">
        <f t="shared" si="8"/>
        <v>0</v>
      </c>
      <c r="S8" s="1519"/>
      <c r="T8" s="1519">
        <f t="shared" si="9"/>
        <v>0</v>
      </c>
      <c r="U8" s="1519"/>
      <c r="V8" s="1519">
        <f t="shared" si="10"/>
        <v>0</v>
      </c>
      <c r="W8" s="1519"/>
      <c r="X8" s="19">
        <f t="shared" si="11"/>
        <v>0</v>
      </c>
      <c r="Y8" s="20">
        <f t="shared" si="1"/>
        <v>45922.577499999999</v>
      </c>
    </row>
    <row r="9" spans="1:25" ht="38.25" customHeight="1" x14ac:dyDescent="0.25">
      <c r="A9" s="12">
        <v>1984225580</v>
      </c>
      <c r="B9" s="1516" t="s">
        <v>75</v>
      </c>
      <c r="C9" s="1519">
        <v>29800</v>
      </c>
      <c r="D9" s="1520">
        <f t="shared" si="0"/>
        <v>28980.5</v>
      </c>
      <c r="E9" s="1519"/>
      <c r="F9" s="1519">
        <f t="shared" si="2"/>
        <v>0</v>
      </c>
      <c r="G9" s="1519"/>
      <c r="H9" s="1519">
        <f t="shared" si="3"/>
        <v>0</v>
      </c>
      <c r="I9" s="1519">
        <v>850</v>
      </c>
      <c r="J9" s="1519">
        <f t="shared" si="4"/>
        <v>15725</v>
      </c>
      <c r="K9" s="1519"/>
      <c r="L9" s="1520">
        <f t="shared" si="5"/>
        <v>0</v>
      </c>
      <c r="M9" s="1519"/>
      <c r="N9" s="1520">
        <f t="shared" si="6"/>
        <v>0</v>
      </c>
      <c r="O9" s="1519"/>
      <c r="P9" s="1520">
        <f t="shared" si="7"/>
        <v>0</v>
      </c>
      <c r="Q9" s="1520"/>
      <c r="R9" s="1520">
        <f t="shared" si="8"/>
        <v>0</v>
      </c>
      <c r="S9" s="1519"/>
      <c r="T9" s="1519">
        <f t="shared" si="9"/>
        <v>0</v>
      </c>
      <c r="U9" s="1519"/>
      <c r="V9" s="1519">
        <f t="shared" si="10"/>
        <v>0</v>
      </c>
      <c r="W9" s="1519"/>
      <c r="X9" s="19">
        <f t="shared" si="11"/>
        <v>0</v>
      </c>
      <c r="Y9" s="20">
        <f t="shared" si="1"/>
        <v>44705.5</v>
      </c>
    </row>
    <row r="10" spans="1:25" ht="35.25" customHeight="1" x14ac:dyDescent="0.25">
      <c r="A10" s="12">
        <v>1409935199</v>
      </c>
      <c r="C10" s="1519"/>
      <c r="D10" s="1520">
        <f t="shared" si="0"/>
        <v>0</v>
      </c>
      <c r="E10" s="1519"/>
      <c r="F10" s="1519">
        <f t="shared" si="2"/>
        <v>0</v>
      </c>
      <c r="G10" s="1519"/>
      <c r="H10" s="1519">
        <f t="shared" si="3"/>
        <v>0</v>
      </c>
      <c r="I10" s="1519"/>
      <c r="J10" s="1519">
        <f t="shared" si="4"/>
        <v>0</v>
      </c>
      <c r="K10" s="1519"/>
      <c r="L10" s="1520">
        <f t="shared" si="5"/>
        <v>0</v>
      </c>
      <c r="M10" s="1519"/>
      <c r="N10" s="1520">
        <f t="shared" si="6"/>
        <v>0</v>
      </c>
      <c r="O10" s="1519"/>
      <c r="P10" s="1520">
        <f t="shared" si="7"/>
        <v>0</v>
      </c>
      <c r="Q10" s="1520"/>
      <c r="R10" s="1520">
        <f t="shared" si="8"/>
        <v>0</v>
      </c>
      <c r="S10" s="1519"/>
      <c r="T10" s="1519">
        <f t="shared" si="9"/>
        <v>0</v>
      </c>
      <c r="U10" s="1519"/>
      <c r="V10" s="1519">
        <f t="shared" si="10"/>
        <v>0</v>
      </c>
      <c r="W10" s="1519"/>
      <c r="X10" s="19">
        <f t="shared" si="11"/>
        <v>0</v>
      </c>
      <c r="Y10" s="20">
        <f t="shared" si="1"/>
        <v>0</v>
      </c>
    </row>
    <row r="11" spans="1:25" ht="37.5" customHeight="1" x14ac:dyDescent="0.25">
      <c r="A11" s="12"/>
      <c r="B11" s="1518"/>
      <c r="C11" s="1519"/>
      <c r="D11" s="1520">
        <f t="shared" si="0"/>
        <v>0</v>
      </c>
      <c r="E11" s="1519"/>
      <c r="F11" s="1519">
        <f t="shared" si="2"/>
        <v>0</v>
      </c>
      <c r="G11" s="1519"/>
      <c r="H11" s="1519">
        <f t="shared" si="3"/>
        <v>0</v>
      </c>
      <c r="I11" s="1519"/>
      <c r="J11" s="1519">
        <f t="shared" si="4"/>
        <v>0</v>
      </c>
      <c r="K11" s="1519"/>
      <c r="L11" s="1520">
        <f t="shared" si="5"/>
        <v>0</v>
      </c>
      <c r="M11" s="1519"/>
      <c r="N11" s="1520">
        <f t="shared" si="6"/>
        <v>0</v>
      </c>
      <c r="O11" s="1519"/>
      <c r="P11" s="1520">
        <f t="shared" si="7"/>
        <v>0</v>
      </c>
      <c r="Q11" s="1520"/>
      <c r="R11" s="1520">
        <f t="shared" si="8"/>
        <v>0</v>
      </c>
      <c r="S11" s="1519"/>
      <c r="T11" s="1519">
        <f>341*S11</f>
        <v>0</v>
      </c>
      <c r="U11" s="1519"/>
      <c r="V11" s="1519">
        <f t="shared" si="10"/>
        <v>0</v>
      </c>
      <c r="W11" s="1519"/>
      <c r="X11" s="19">
        <f t="shared" si="11"/>
        <v>0</v>
      </c>
      <c r="Y11" s="20">
        <f t="shared" si="1"/>
        <v>0</v>
      </c>
    </row>
    <row r="12" spans="1:25" ht="29.25" customHeight="1" x14ac:dyDescent="0.25">
      <c r="A12" s="2235" t="s">
        <v>31</v>
      </c>
      <c r="B12" s="2235"/>
      <c r="C12" s="18">
        <f t="shared" ref="C12:X12" si="12">SUM(C6:C11)</f>
        <v>111258</v>
      </c>
      <c r="D12" s="18">
        <f t="shared" si="12"/>
        <v>108198.405</v>
      </c>
      <c r="E12" s="18">
        <f t="shared" si="12"/>
        <v>20</v>
      </c>
      <c r="F12" s="18">
        <f t="shared" si="12"/>
        <v>1342</v>
      </c>
      <c r="G12" s="18">
        <f t="shared" si="12"/>
        <v>40</v>
      </c>
      <c r="H12" s="18">
        <f t="shared" si="12"/>
        <v>1128</v>
      </c>
      <c r="I12" s="18">
        <f t="shared" si="12"/>
        <v>2340</v>
      </c>
      <c r="J12" s="18">
        <f t="shared" si="12"/>
        <v>43290</v>
      </c>
      <c r="K12" s="18">
        <f t="shared" si="12"/>
        <v>30</v>
      </c>
      <c r="L12" s="18">
        <f t="shared" si="12"/>
        <v>847.10399999999993</v>
      </c>
      <c r="M12" s="18">
        <f t="shared" si="12"/>
        <v>0</v>
      </c>
      <c r="N12" s="23">
        <f t="shared" si="12"/>
        <v>0</v>
      </c>
      <c r="O12" s="18">
        <f t="shared" si="12"/>
        <v>0</v>
      </c>
      <c r="P12" s="23">
        <f t="shared" si="12"/>
        <v>0</v>
      </c>
      <c r="Q12" s="23">
        <f t="shared" si="12"/>
        <v>0</v>
      </c>
      <c r="R12" s="23">
        <f>SUM(R6:R11)</f>
        <v>0</v>
      </c>
      <c r="S12" s="23">
        <f>SUM(S6:S11)</f>
        <v>0</v>
      </c>
      <c r="T12" s="18">
        <f t="shared" si="12"/>
        <v>0</v>
      </c>
      <c r="U12" s="18">
        <f t="shared" si="12"/>
        <v>0</v>
      </c>
      <c r="V12" s="18">
        <f t="shared" si="12"/>
        <v>0</v>
      </c>
      <c r="W12" s="18">
        <f t="shared" si="12"/>
        <v>0</v>
      </c>
      <c r="X12" s="18">
        <f t="shared" si="12"/>
        <v>0</v>
      </c>
      <c r="Y12" s="20">
        <f t="shared" si="1"/>
        <v>154805.50899999999</v>
      </c>
    </row>
    <row r="14" spans="1:25" ht="43.5" customHeight="1" x14ac:dyDescent="0.25">
      <c r="A14" s="30" t="s">
        <v>32</v>
      </c>
      <c r="B14" s="2236" t="s">
        <v>27</v>
      </c>
      <c r="C14" s="2236"/>
      <c r="D14" s="30" t="s">
        <v>333</v>
      </c>
      <c r="E14" s="30" t="s">
        <v>65</v>
      </c>
      <c r="F14" s="30" t="s">
        <v>34</v>
      </c>
      <c r="G14" s="30" t="s">
        <v>14</v>
      </c>
      <c r="H14" s="469" t="s">
        <v>173</v>
      </c>
      <c r="I14" s="30" t="s">
        <v>17</v>
      </c>
      <c r="J14" s="1524" t="s">
        <v>174</v>
      </c>
      <c r="K14" s="30" t="s">
        <v>36</v>
      </c>
      <c r="L14" s="1524" t="s">
        <v>403</v>
      </c>
      <c r="M14" s="30" t="s">
        <v>429</v>
      </c>
      <c r="N14" s="30" t="s">
        <v>442</v>
      </c>
      <c r="O14" s="1524" t="s">
        <v>114</v>
      </c>
      <c r="P14" s="30" t="s">
        <v>70</v>
      </c>
      <c r="Q14" s="2300" t="s">
        <v>479</v>
      </c>
      <c r="R14" s="2301"/>
      <c r="S14" s="1524" t="s">
        <v>401</v>
      </c>
      <c r="T14" s="2235" t="s">
        <v>46</v>
      </c>
      <c r="U14" s="1516" t="s">
        <v>176</v>
      </c>
      <c r="V14" s="2260">
        <v>42015</v>
      </c>
      <c r="W14" s="2268"/>
      <c r="X14" s="2261"/>
    </row>
    <row r="15" spans="1:25" ht="22.5" customHeight="1" x14ac:dyDescent="0.25">
      <c r="A15" s="100" t="s">
        <v>38</v>
      </c>
      <c r="B15" s="2260">
        <v>552222</v>
      </c>
      <c r="C15" s="2261"/>
      <c r="D15" s="1521">
        <v>100</v>
      </c>
      <c r="E15" s="1521">
        <v>250</v>
      </c>
      <c r="F15" s="1521">
        <v>8110</v>
      </c>
      <c r="G15" s="1521">
        <v>550</v>
      </c>
      <c r="H15" s="1521">
        <v>72</v>
      </c>
      <c r="I15" s="1521">
        <v>103</v>
      </c>
      <c r="J15" s="1521">
        <v>4</v>
      </c>
      <c r="K15" s="1521">
        <v>77</v>
      </c>
      <c r="L15" s="1521">
        <v>0</v>
      </c>
      <c r="M15" s="1521">
        <v>0</v>
      </c>
      <c r="N15" s="1521">
        <v>0</v>
      </c>
      <c r="O15" s="1521">
        <v>0</v>
      </c>
      <c r="P15" s="1521">
        <v>100</v>
      </c>
      <c r="Q15" s="2260">
        <v>10</v>
      </c>
      <c r="R15" s="2261"/>
      <c r="S15" s="1516">
        <v>2</v>
      </c>
      <c r="T15" s="2235"/>
      <c r="U15" s="1516" t="s">
        <v>64</v>
      </c>
      <c r="V15" s="2262">
        <v>78792</v>
      </c>
      <c r="W15" s="2262"/>
      <c r="X15" s="2262"/>
    </row>
    <row r="16" spans="1:25" ht="24.75" customHeight="1" x14ac:dyDescent="0.25">
      <c r="A16" s="100" t="s">
        <v>39</v>
      </c>
      <c r="B16" s="2260"/>
      <c r="C16" s="2261"/>
      <c r="D16" s="1521"/>
      <c r="E16" s="1521"/>
      <c r="F16" s="1521"/>
      <c r="G16" s="1521"/>
      <c r="H16" s="1521"/>
      <c r="I16" s="1521"/>
      <c r="J16" s="1521"/>
      <c r="K16" s="1521"/>
      <c r="L16" s="1521"/>
      <c r="M16" s="1521"/>
      <c r="N16" s="1521"/>
      <c r="O16" s="1521"/>
      <c r="P16" s="1521"/>
      <c r="Q16" s="2262"/>
      <c r="R16" s="2262"/>
      <c r="S16" s="1521"/>
      <c r="T16" s="2254" t="s">
        <v>55</v>
      </c>
      <c r="U16" s="2254"/>
      <c r="V16" s="2267">
        <f>Y12</f>
        <v>154805.50899999999</v>
      </c>
      <c r="W16" s="2267"/>
      <c r="X16" s="2262"/>
    </row>
    <row r="17" spans="1:25" ht="28.5" customHeight="1" x14ac:dyDescent="0.25">
      <c r="A17" s="101" t="s">
        <v>44</v>
      </c>
      <c r="B17" s="2260">
        <v>19403</v>
      </c>
      <c r="C17" s="2261"/>
      <c r="D17" s="1521"/>
      <c r="E17" s="1521"/>
      <c r="F17" s="1521"/>
      <c r="G17" s="1521"/>
      <c r="H17" s="1521"/>
      <c r="I17" s="1521"/>
      <c r="J17" s="1521"/>
      <c r="K17" s="1521"/>
      <c r="L17" s="1521"/>
      <c r="M17" s="1521"/>
      <c r="N17" s="1521"/>
      <c r="O17" s="1521"/>
      <c r="P17" s="1521"/>
      <c r="Q17" s="2225"/>
      <c r="R17" s="2225"/>
      <c r="S17" s="1518"/>
      <c r="T17" s="2294" t="s">
        <v>473</v>
      </c>
      <c r="U17" s="2295"/>
      <c r="V17" s="2296"/>
      <c r="W17" s="2296"/>
      <c r="X17" s="2296"/>
    </row>
    <row r="18" spans="1:25" ht="27" customHeight="1" x14ac:dyDescent="0.25">
      <c r="A18" s="100" t="s">
        <v>40</v>
      </c>
      <c r="B18" s="2264">
        <f>C12</f>
        <v>111258</v>
      </c>
      <c r="C18" s="2261"/>
      <c r="D18" s="1522">
        <f>E12</f>
        <v>20</v>
      </c>
      <c r="E18" s="1522">
        <f>G12</f>
        <v>40</v>
      </c>
      <c r="F18" s="1522">
        <f>I12</f>
        <v>2340</v>
      </c>
      <c r="G18" s="1522">
        <f>K12</f>
        <v>30</v>
      </c>
      <c r="H18" s="1521"/>
      <c r="I18" s="1522">
        <f>U12</f>
        <v>0</v>
      </c>
      <c r="J18" s="1521"/>
      <c r="K18" s="1522">
        <f>W12</f>
        <v>0</v>
      </c>
      <c r="L18" s="1521"/>
      <c r="M18" s="1522">
        <f>M12</f>
        <v>0</v>
      </c>
      <c r="N18" s="1522">
        <f>O12</f>
        <v>0</v>
      </c>
      <c r="O18" s="1523">
        <f>Q12</f>
        <v>0</v>
      </c>
      <c r="P18" s="1522"/>
      <c r="Q18" s="2262"/>
      <c r="R18" s="2262"/>
      <c r="S18" s="1516"/>
      <c r="T18" s="2254" t="s">
        <v>57</v>
      </c>
      <c r="U18" s="2254"/>
      <c r="V18" s="2262">
        <v>920</v>
      </c>
      <c r="W18" s="2262"/>
      <c r="X18" s="2262"/>
      <c r="Y18" s="2269"/>
    </row>
    <row r="19" spans="1:25" ht="25.5" customHeight="1" x14ac:dyDescent="0.25">
      <c r="A19" s="100" t="s">
        <v>41</v>
      </c>
      <c r="B19" s="2260">
        <f>B15+B16+B17-B18</f>
        <v>460367</v>
      </c>
      <c r="C19" s="2261"/>
      <c r="D19" s="1521">
        <f>D15+D16+D17-D18</f>
        <v>80</v>
      </c>
      <c r="E19" s="1521">
        <f t="shared" ref="E19:N19" si="13">E15+E16+E17-E18</f>
        <v>210</v>
      </c>
      <c r="F19" s="1521">
        <f t="shared" si="13"/>
        <v>5770</v>
      </c>
      <c r="G19" s="1521">
        <f t="shared" si="13"/>
        <v>520</v>
      </c>
      <c r="H19" s="1521">
        <f t="shared" si="13"/>
        <v>72</v>
      </c>
      <c r="I19" s="1521">
        <f t="shared" si="13"/>
        <v>103</v>
      </c>
      <c r="J19" s="1521">
        <f t="shared" si="13"/>
        <v>4</v>
      </c>
      <c r="K19" s="1521">
        <f t="shared" si="13"/>
        <v>77</v>
      </c>
      <c r="L19" s="1521">
        <f t="shared" si="13"/>
        <v>0</v>
      </c>
      <c r="M19" s="1521">
        <f t="shared" si="13"/>
        <v>0</v>
      </c>
      <c r="N19" s="1521">
        <f t="shared" si="13"/>
        <v>0</v>
      </c>
      <c r="O19" s="1521">
        <f>O15+O16+O17-O18</f>
        <v>0</v>
      </c>
      <c r="P19" s="1521">
        <f t="shared" ref="P19:Q19" si="14">P15+P16+P17-P18</f>
        <v>100</v>
      </c>
      <c r="Q19" s="2260">
        <f t="shared" si="14"/>
        <v>10</v>
      </c>
      <c r="R19" s="2261"/>
      <c r="S19" s="1516">
        <f>S15+S16-S17-S18</f>
        <v>2</v>
      </c>
      <c r="T19" s="2256" t="s">
        <v>48</v>
      </c>
      <c r="U19" s="49" t="s">
        <v>58</v>
      </c>
      <c r="V19" s="2262"/>
      <c r="W19" s="2262"/>
      <c r="X19" s="2262"/>
      <c r="Y19" s="2269"/>
    </row>
    <row r="20" spans="1:25" ht="23.25" customHeight="1" x14ac:dyDescent="0.25">
      <c r="A20" s="289" t="s">
        <v>187</v>
      </c>
      <c r="B20" s="2286">
        <f>B19*0.9625</f>
        <v>443103.23749999999</v>
      </c>
      <c r="C20" s="2287"/>
      <c r="D20" s="290">
        <f>D19*66.41</f>
        <v>5312.7999999999993</v>
      </c>
      <c r="E20" s="290">
        <f>27.9368*E19</f>
        <v>5866.7280000000001</v>
      </c>
      <c r="F20" s="290">
        <f>18.31*F19</f>
        <v>105648.7</v>
      </c>
      <c r="G20" s="290">
        <f>27.9368*G19</f>
        <v>14527.136</v>
      </c>
      <c r="H20" s="290">
        <f>241*H19</f>
        <v>17352</v>
      </c>
      <c r="I20" s="290">
        <f>323*I19</f>
        <v>33269</v>
      </c>
      <c r="J20" s="290">
        <f>241*J19</f>
        <v>964</v>
      </c>
      <c r="K20" s="290">
        <f>K19*100</f>
        <v>7700</v>
      </c>
      <c r="L20" s="290">
        <f>241*L19</f>
        <v>0</v>
      </c>
      <c r="M20" s="290">
        <f>47.1625*M19</f>
        <v>0</v>
      </c>
      <c r="N20" s="290">
        <f>N19*8.81</f>
        <v>0</v>
      </c>
      <c r="O20" s="290">
        <f>241*O19</f>
        <v>0</v>
      </c>
      <c r="P20" s="290">
        <f>P19*48.2</f>
        <v>4820</v>
      </c>
      <c r="Q20" s="2286">
        <f>470*Q19</f>
        <v>4700</v>
      </c>
      <c r="R20" s="2287"/>
      <c r="S20" s="290">
        <f>341*S19</f>
        <v>682</v>
      </c>
      <c r="T20" s="2257"/>
      <c r="U20" s="49" t="s">
        <v>59</v>
      </c>
      <c r="V20" s="2262"/>
      <c r="W20" s="2262"/>
      <c r="X20" s="2262"/>
      <c r="Y20" s="2269"/>
    </row>
    <row r="21" spans="1:25" ht="32.25" customHeight="1" x14ac:dyDescent="0.25">
      <c r="A21" s="291" t="s">
        <v>186</v>
      </c>
      <c r="B21" s="2293">
        <f>SUM(B20:S20)</f>
        <v>643945.60149999999</v>
      </c>
      <c r="C21" s="2293"/>
      <c r="O21" s="1525"/>
      <c r="P21" s="1525"/>
      <c r="Q21" s="1525"/>
      <c r="R21" s="1525"/>
      <c r="T21" s="2294" t="s">
        <v>487</v>
      </c>
      <c r="U21" s="2295"/>
      <c r="V21" s="2297"/>
      <c r="W21" s="2298"/>
      <c r="X21" s="2299"/>
      <c r="Y21" s="2269"/>
    </row>
    <row r="22" spans="1:25" ht="35.25" customHeight="1" x14ac:dyDescent="0.25">
      <c r="A22" s="15"/>
      <c r="B22" s="2288" t="s">
        <v>49</v>
      </c>
      <c r="C22" s="2291">
        <v>400000</v>
      </c>
      <c r="D22" s="2291"/>
      <c r="E22" s="2291"/>
      <c r="F22" s="2291">
        <f>C22-D22+E22</f>
        <v>400000</v>
      </c>
      <c r="G22" s="1525"/>
      <c r="Q22" s="1525"/>
      <c r="R22" s="1525"/>
      <c r="T22" s="2251" t="s">
        <v>83</v>
      </c>
      <c r="U22" s="50" t="s">
        <v>60</v>
      </c>
      <c r="V22" s="2262"/>
      <c r="W22" s="2262"/>
      <c r="X22" s="2262"/>
      <c r="Y22" s="2269"/>
    </row>
    <row r="23" spans="1:25" ht="39.75" customHeight="1" x14ac:dyDescent="0.25">
      <c r="A23" s="1525"/>
      <c r="B23" s="2289"/>
      <c r="C23" s="2292"/>
      <c r="D23" s="2292"/>
      <c r="E23" s="2292"/>
      <c r="F23" s="2292"/>
      <c r="G23" s="1525"/>
      <c r="Q23" s="1525"/>
      <c r="R23" s="1525"/>
      <c r="T23" s="2252"/>
      <c r="U23" s="50" t="s">
        <v>61</v>
      </c>
      <c r="V23" s="2262"/>
      <c r="W23" s="2262"/>
      <c r="X23" s="2262"/>
      <c r="Y23" s="2269"/>
    </row>
    <row r="24" spans="1:25" ht="48" customHeight="1" x14ac:dyDescent="0.25">
      <c r="A24" s="1525"/>
      <c r="B24" s="2290"/>
      <c r="C24" s="290" t="s">
        <v>46</v>
      </c>
      <c r="D24" s="290" t="s">
        <v>50</v>
      </c>
      <c r="E24" s="290" t="s">
        <v>51</v>
      </c>
      <c r="F24" s="290" t="s">
        <v>52</v>
      </c>
      <c r="G24" s="1525"/>
      <c r="Q24" s="1525"/>
      <c r="R24" s="1525"/>
      <c r="T24" s="2235" t="s">
        <v>47</v>
      </c>
      <c r="U24" s="51" t="s">
        <v>62</v>
      </c>
      <c r="V24" s="2263">
        <f>V14+V16+V17-V18-V19-V20-V22+V23-V21</f>
        <v>195900.50899999999</v>
      </c>
      <c r="W24" s="2263"/>
      <c r="X24" s="2263"/>
      <c r="Y24" s="2269"/>
    </row>
    <row r="25" spans="1:25" ht="40.5" customHeight="1" x14ac:dyDescent="0.25">
      <c r="T25" s="2235"/>
      <c r="U25" s="51" t="s">
        <v>63</v>
      </c>
      <c r="V25" s="2262">
        <f>V15+V22-V23</f>
        <v>78792</v>
      </c>
      <c r="W25" s="2262"/>
      <c r="X25" s="2262"/>
    </row>
    <row r="26" spans="1:25" ht="36" customHeight="1" x14ac:dyDescent="0.25">
      <c r="K26" s="314"/>
    </row>
    <row r="28" spans="1:25" x14ac:dyDescent="0.25">
      <c r="J28" s="14" t="s">
        <v>139</v>
      </c>
    </row>
    <row r="32" spans="1:25" x14ac:dyDescent="0.25">
      <c r="I32" s="2280"/>
      <c r="J32" s="2280"/>
      <c r="K32" s="2280"/>
      <c r="L32" s="2280"/>
    </row>
    <row r="33" spans="9:12" x14ac:dyDescent="0.25">
      <c r="I33" s="1525"/>
      <c r="J33" s="1525"/>
      <c r="K33" s="2280"/>
      <c r="L33" s="2280"/>
    </row>
  </sheetData>
  <mergeCells count="62">
    <mergeCell ref="I32:J32"/>
    <mergeCell ref="K32:L32"/>
    <mergeCell ref="K33:L33"/>
    <mergeCell ref="T22:T23"/>
    <mergeCell ref="V22:X22"/>
    <mergeCell ref="V23:X23"/>
    <mergeCell ref="T24:T25"/>
    <mergeCell ref="V24:X24"/>
    <mergeCell ref="V25:X25"/>
    <mergeCell ref="Y18:Y24"/>
    <mergeCell ref="B19:C19"/>
    <mergeCell ref="Q19:R19"/>
    <mergeCell ref="T19:T20"/>
    <mergeCell ref="V19:X19"/>
    <mergeCell ref="B20:C20"/>
    <mergeCell ref="B22:B24"/>
    <mergeCell ref="C22:C23"/>
    <mergeCell ref="D22:D23"/>
    <mergeCell ref="E22:E23"/>
    <mergeCell ref="F22:F23"/>
    <mergeCell ref="Q20:R20"/>
    <mergeCell ref="V20:X20"/>
    <mergeCell ref="B21:C21"/>
    <mergeCell ref="T21:U21"/>
    <mergeCell ref="V21:X21"/>
    <mergeCell ref="B17:C17"/>
    <mergeCell ref="Q17:R17"/>
    <mergeCell ref="T17:U17"/>
    <mergeCell ref="V17:X17"/>
    <mergeCell ref="B18:C18"/>
    <mergeCell ref="Q18:R18"/>
    <mergeCell ref="T18:U18"/>
    <mergeCell ref="V18:X18"/>
    <mergeCell ref="W4:X4"/>
    <mergeCell ref="B16:C16"/>
    <mergeCell ref="Q16:R16"/>
    <mergeCell ref="T16:U16"/>
    <mergeCell ref="V16:X16"/>
    <mergeCell ref="A12:B12"/>
    <mergeCell ref="B14:C14"/>
    <mergeCell ref="Q14:R14"/>
    <mergeCell ref="T14:T15"/>
    <mergeCell ref="V14:X14"/>
    <mergeCell ref="B15:C15"/>
    <mergeCell ref="Q15:R15"/>
    <mergeCell ref="V15:X15"/>
    <mergeCell ref="A1:Y1"/>
    <mergeCell ref="A2:Y2"/>
    <mergeCell ref="T3:Y3"/>
    <mergeCell ref="A4:A5"/>
    <mergeCell ref="B4:B5"/>
    <mergeCell ref="C4:D4"/>
    <mergeCell ref="E4:F4"/>
    <mergeCell ref="G4:H4"/>
    <mergeCell ref="I4:J4"/>
    <mergeCell ref="K4:L4"/>
    <mergeCell ref="Y4:Y5"/>
    <mergeCell ref="M4:N4"/>
    <mergeCell ref="O4:P4"/>
    <mergeCell ref="Q4:R4"/>
    <mergeCell ref="S4:T4"/>
    <mergeCell ref="U4:V4"/>
  </mergeCells>
  <pageMargins left="0.15748031496063" right="0.15748031496063" top="0" bottom="0" header="0" footer="0"/>
  <pageSetup paperSize="9" scale="46" orientation="landscape" r:id="rId1"/>
</worksheet>
</file>

<file path=xl/worksheets/sheet25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5B38851-9C0E-476A-B0CE-6A1E536B65A9}">
  <sheetPr>
    <pageSetUpPr fitToPage="1"/>
  </sheetPr>
  <dimension ref="A1:Y33"/>
  <sheetViews>
    <sheetView topLeftCell="C10" zoomScale="70" zoomScaleNormal="70" zoomScaleSheetLayoutView="100" zoomScalePageLayoutView="68" workbookViewId="0">
      <selection activeCell="M32" sqref="M32"/>
    </sheetView>
  </sheetViews>
  <sheetFormatPr defaultColWidth="9.140625" defaultRowHeight="15" x14ac:dyDescent="0.25"/>
  <cols>
    <col min="1" max="1" width="18.28515625" style="14" customWidth="1"/>
    <col min="2" max="2" width="10.7109375" style="14" customWidth="1"/>
    <col min="3" max="3" width="12.28515625" style="14" customWidth="1"/>
    <col min="4" max="4" width="13.140625" style="14" bestFit="1" customWidth="1"/>
    <col min="5" max="5" width="12" style="14" customWidth="1"/>
    <col min="6" max="6" width="14" style="14" bestFit="1" customWidth="1"/>
    <col min="7" max="7" width="16" style="14" bestFit="1" customWidth="1"/>
    <col min="8" max="8" width="10.140625" style="14" bestFit="1" customWidth="1"/>
    <col min="9" max="9" width="10.5703125" style="14" bestFit="1" customWidth="1"/>
    <col min="10" max="10" width="10.5703125" style="14" customWidth="1"/>
    <col min="11" max="11" width="10.28515625" style="14" bestFit="1" customWidth="1"/>
    <col min="12" max="12" width="10.42578125" style="14" bestFit="1" customWidth="1"/>
    <col min="13" max="14" width="12" style="14" bestFit="1" customWidth="1"/>
    <col min="15" max="15" width="11" style="14" customWidth="1"/>
    <col min="16" max="16" width="12.85546875" style="14" bestFit="1" customWidth="1"/>
    <col min="17" max="18" width="9.42578125" style="14" customWidth="1"/>
    <col min="19" max="19" width="13.7109375" style="14" customWidth="1"/>
    <col min="20" max="20" width="12.140625" style="14" customWidth="1"/>
    <col min="21" max="21" width="21.7109375" style="14" customWidth="1"/>
    <col min="22" max="22" width="9.85546875" style="14" customWidth="1"/>
    <col min="23" max="23" width="10.140625" style="14" bestFit="1" customWidth="1"/>
    <col min="24" max="24" width="10.28515625" style="14" customWidth="1"/>
    <col min="25" max="25" width="15.7109375" style="14" customWidth="1"/>
    <col min="26" max="16384" width="9.140625" style="14"/>
  </cols>
  <sheetData>
    <row r="1" spans="1:25" ht="46.15" customHeight="1" x14ac:dyDescent="0.25">
      <c r="A1" s="2240" t="s">
        <v>148</v>
      </c>
      <c r="B1" s="2240"/>
      <c r="C1" s="2240"/>
      <c r="D1" s="2240"/>
      <c r="E1" s="2240"/>
      <c r="F1" s="2240"/>
      <c r="G1" s="2240"/>
      <c r="H1" s="2240"/>
      <c r="I1" s="2240"/>
      <c r="J1" s="2240"/>
      <c r="K1" s="2240"/>
      <c r="L1" s="2240"/>
      <c r="M1" s="2240"/>
      <c r="N1" s="2240"/>
      <c r="O1" s="2240"/>
      <c r="P1" s="2240"/>
      <c r="Q1" s="2240"/>
      <c r="R1" s="2240"/>
      <c r="S1" s="2240"/>
      <c r="T1" s="2240"/>
      <c r="U1" s="2240"/>
      <c r="V1" s="2240"/>
      <c r="W1" s="2240"/>
      <c r="X1" s="2240"/>
      <c r="Y1" s="2240"/>
    </row>
    <row r="2" spans="1:25" ht="21.6" customHeight="1" x14ac:dyDescent="0.25">
      <c r="A2" s="2241" t="s">
        <v>383</v>
      </c>
      <c r="B2" s="2241"/>
      <c r="C2" s="2241"/>
      <c r="D2" s="2241"/>
      <c r="E2" s="2241"/>
      <c r="F2" s="2241"/>
      <c r="G2" s="2241"/>
      <c r="H2" s="2241"/>
      <c r="I2" s="2241"/>
      <c r="J2" s="2241"/>
      <c r="K2" s="2241"/>
      <c r="L2" s="2241"/>
      <c r="M2" s="2241"/>
      <c r="N2" s="2241"/>
      <c r="O2" s="2241"/>
      <c r="P2" s="2241"/>
      <c r="Q2" s="2241"/>
      <c r="R2" s="2241"/>
      <c r="S2" s="2241"/>
      <c r="T2" s="2241"/>
      <c r="U2" s="2241"/>
      <c r="V2" s="2241"/>
      <c r="W2" s="2241"/>
      <c r="X2" s="2241"/>
      <c r="Y2" s="2241"/>
    </row>
    <row r="3" spans="1:25" ht="21" customHeight="1" x14ac:dyDescent="0.25">
      <c r="A3" s="1526"/>
      <c r="B3" s="1526"/>
      <c r="C3" s="1526"/>
      <c r="D3" s="1526"/>
      <c r="E3" s="1526"/>
      <c r="F3" s="1526"/>
      <c r="G3" s="1526"/>
      <c r="H3" s="1526"/>
      <c r="I3" s="1526"/>
      <c r="J3" s="1526"/>
      <c r="K3" s="1526"/>
      <c r="L3" s="1526"/>
      <c r="M3" s="1526"/>
      <c r="N3" s="1526"/>
      <c r="O3" s="1526"/>
      <c r="P3" s="1526"/>
      <c r="Q3" s="1526"/>
      <c r="R3" s="1526"/>
      <c r="S3" s="1526"/>
      <c r="T3" s="2242" t="s">
        <v>503</v>
      </c>
      <c r="U3" s="2242"/>
      <c r="V3" s="2242"/>
      <c r="W3" s="2242"/>
      <c r="X3" s="2242"/>
      <c r="Y3" s="2242"/>
    </row>
    <row r="4" spans="1:25" s="1526" customFormat="1" ht="18" customHeight="1" x14ac:dyDescent="0.25">
      <c r="A4" s="2243" t="s">
        <v>25</v>
      </c>
      <c r="B4" s="2243" t="s">
        <v>26</v>
      </c>
      <c r="C4" s="2244" t="s">
        <v>27</v>
      </c>
      <c r="D4" s="2244"/>
      <c r="E4" s="2244" t="s">
        <v>342</v>
      </c>
      <c r="F4" s="2244"/>
      <c r="G4" s="2244" t="s">
        <v>65</v>
      </c>
      <c r="H4" s="2244"/>
      <c r="I4" s="2244" t="s">
        <v>29</v>
      </c>
      <c r="J4" s="2244"/>
      <c r="K4" s="2245" t="s">
        <v>14</v>
      </c>
      <c r="L4" s="2246"/>
      <c r="M4" s="2245" t="s">
        <v>429</v>
      </c>
      <c r="N4" s="2246"/>
      <c r="O4" s="2245" t="s">
        <v>441</v>
      </c>
      <c r="P4" s="2246"/>
      <c r="Q4" s="2245" t="s">
        <v>114</v>
      </c>
      <c r="R4" s="2246"/>
      <c r="S4" s="2244" t="s">
        <v>35</v>
      </c>
      <c r="T4" s="2244"/>
      <c r="U4" s="2245" t="s">
        <v>17</v>
      </c>
      <c r="V4" s="2246"/>
      <c r="W4" s="2247" t="s">
        <v>36</v>
      </c>
      <c r="X4" s="2248"/>
      <c r="Y4" s="2238" t="s">
        <v>30</v>
      </c>
    </row>
    <row r="5" spans="1:25" s="1526" customFormat="1" ht="25.5" customHeight="1" x14ac:dyDescent="0.25">
      <c r="A5" s="2243"/>
      <c r="B5" s="2243"/>
      <c r="C5" s="1528" t="s">
        <v>42</v>
      </c>
      <c r="D5" s="1528" t="s">
        <v>43</v>
      </c>
      <c r="E5" s="1528" t="s">
        <v>42</v>
      </c>
      <c r="F5" s="1528" t="s">
        <v>43</v>
      </c>
      <c r="G5" s="1528" t="s">
        <v>42</v>
      </c>
      <c r="H5" s="1528" t="s">
        <v>43</v>
      </c>
      <c r="I5" s="1528" t="s">
        <v>42</v>
      </c>
      <c r="J5" s="1528" t="s">
        <v>43</v>
      </c>
      <c r="K5" s="1528" t="s">
        <v>42</v>
      </c>
      <c r="L5" s="1528" t="s">
        <v>43</v>
      </c>
      <c r="M5" s="1528" t="s">
        <v>42</v>
      </c>
      <c r="N5" s="1528" t="s">
        <v>43</v>
      </c>
      <c r="O5" s="1528" t="s">
        <v>42</v>
      </c>
      <c r="P5" s="1528" t="s">
        <v>43</v>
      </c>
      <c r="Q5" s="1528" t="s">
        <v>42</v>
      </c>
      <c r="R5" s="1528" t="s">
        <v>43</v>
      </c>
      <c r="S5" s="33" t="s">
        <v>42</v>
      </c>
      <c r="T5" s="33" t="s">
        <v>43</v>
      </c>
      <c r="U5" s="30" t="s">
        <v>42</v>
      </c>
      <c r="V5" s="30" t="s">
        <v>43</v>
      </c>
      <c r="W5" s="30" t="s">
        <v>42</v>
      </c>
      <c r="X5" s="30" t="s">
        <v>43</v>
      </c>
      <c r="Y5" s="2239"/>
    </row>
    <row r="6" spans="1:25" ht="34.5" customHeight="1" x14ac:dyDescent="0.25">
      <c r="A6" s="12">
        <v>1409935200</v>
      </c>
      <c r="B6" s="1527" t="s">
        <v>71</v>
      </c>
      <c r="C6" s="1530">
        <v>45907</v>
      </c>
      <c r="D6" s="1531">
        <f t="shared" ref="D6:D11" si="0">0.9725*C6</f>
        <v>44644.557500000003</v>
      </c>
      <c r="E6" s="1530"/>
      <c r="F6" s="1531">
        <f>67.1*E6</f>
        <v>0</v>
      </c>
      <c r="G6" s="1530"/>
      <c r="H6" s="1530">
        <f>28.2*G6</f>
        <v>0</v>
      </c>
      <c r="I6" s="1530">
        <v>110</v>
      </c>
      <c r="J6" s="1530">
        <f>18.5*I6</f>
        <v>2035</v>
      </c>
      <c r="K6" s="1530"/>
      <c r="L6" s="1531">
        <f>28.2368*K6</f>
        <v>0</v>
      </c>
      <c r="M6" s="1530"/>
      <c r="N6" s="1531">
        <f>M6*47.6525</f>
        <v>0</v>
      </c>
      <c r="O6" s="1530"/>
      <c r="P6" s="1531">
        <f>O6*8.9</f>
        <v>0</v>
      </c>
      <c r="Q6" s="1531"/>
      <c r="R6" s="1531">
        <f>241*Q6</f>
        <v>0</v>
      </c>
      <c r="S6" s="1530"/>
      <c r="T6" s="1530">
        <f>241*S6</f>
        <v>0</v>
      </c>
      <c r="U6" s="1530"/>
      <c r="V6" s="1530">
        <f>332*U6</f>
        <v>0</v>
      </c>
      <c r="W6" s="1530"/>
      <c r="X6" s="19">
        <f>W6*100</f>
        <v>0</v>
      </c>
      <c r="Y6" s="20">
        <f t="shared" ref="Y6:Y12" si="1">D6+F6+H6+J6+L6+N6+P6+R6+T6+V6+X6</f>
        <v>46679.557500000003</v>
      </c>
    </row>
    <row r="7" spans="1:25" ht="31.5" customHeight="1" x14ac:dyDescent="0.25">
      <c r="A7" s="12">
        <v>1984225578</v>
      </c>
      <c r="B7" s="1527" t="s">
        <v>72</v>
      </c>
      <c r="C7" s="1530">
        <v>26901</v>
      </c>
      <c r="D7" s="1531">
        <f t="shared" si="0"/>
        <v>26161.2225</v>
      </c>
      <c r="E7" s="1530"/>
      <c r="F7" s="1530">
        <f t="shared" ref="F7:F11" si="2">67.1*E7</f>
        <v>0</v>
      </c>
      <c r="G7" s="1530"/>
      <c r="H7" s="1530">
        <f t="shared" ref="H7:H11" si="3">28.2*G7</f>
        <v>0</v>
      </c>
      <c r="I7" s="1530">
        <v>150</v>
      </c>
      <c r="J7" s="1530">
        <f t="shared" ref="J7:J11" si="4">18.5*I7</f>
        <v>2775</v>
      </c>
      <c r="K7" s="1530"/>
      <c r="L7" s="1531">
        <f t="shared" ref="L7:L11" si="5">28.2368*K7</f>
        <v>0</v>
      </c>
      <c r="M7" s="1530"/>
      <c r="N7" s="1531">
        <f t="shared" ref="N7:N11" si="6">M7*47.6525</f>
        <v>0</v>
      </c>
      <c r="O7" s="1530"/>
      <c r="P7" s="1531">
        <f t="shared" ref="P7:P11" si="7">O7*8.9</f>
        <v>0</v>
      </c>
      <c r="Q7" s="1531"/>
      <c r="R7" s="1531">
        <f t="shared" ref="R7:R11" si="8">241*Q7</f>
        <v>0</v>
      </c>
      <c r="S7" s="1530"/>
      <c r="T7" s="1530">
        <f t="shared" ref="T7:T10" si="9">241*S7</f>
        <v>0</v>
      </c>
      <c r="U7" s="1530">
        <v>50</v>
      </c>
      <c r="V7" s="1530">
        <f t="shared" ref="V7:V11" si="10">332*U7</f>
        <v>16600</v>
      </c>
      <c r="W7" s="1530"/>
      <c r="X7" s="19">
        <f t="shared" ref="X7:X11" si="11">W7*100</f>
        <v>0</v>
      </c>
      <c r="Y7" s="20">
        <f t="shared" si="1"/>
        <v>45536.222500000003</v>
      </c>
    </row>
    <row r="8" spans="1:25" ht="35.25" customHeight="1" x14ac:dyDescent="0.25">
      <c r="A8" s="12">
        <v>1967020280</v>
      </c>
      <c r="B8" s="1527" t="s">
        <v>427</v>
      </c>
      <c r="C8" s="1530">
        <v>56827</v>
      </c>
      <c r="D8" s="1531">
        <f t="shared" si="0"/>
        <v>55264.2575</v>
      </c>
      <c r="E8" s="1530"/>
      <c r="F8" s="1530">
        <f t="shared" si="2"/>
        <v>0</v>
      </c>
      <c r="G8" s="1530"/>
      <c r="H8" s="1531">
        <f t="shared" si="3"/>
        <v>0</v>
      </c>
      <c r="I8" s="1530">
        <v>330</v>
      </c>
      <c r="J8" s="1530">
        <f t="shared" si="4"/>
        <v>6105</v>
      </c>
      <c r="K8" s="1530">
        <v>40</v>
      </c>
      <c r="L8" s="1531">
        <f t="shared" si="5"/>
        <v>1129.472</v>
      </c>
      <c r="M8" s="1530"/>
      <c r="N8" s="1531">
        <f t="shared" si="6"/>
        <v>0</v>
      </c>
      <c r="O8" s="1530"/>
      <c r="P8" s="1531">
        <f t="shared" si="7"/>
        <v>0</v>
      </c>
      <c r="Q8" s="1531"/>
      <c r="R8" s="1531">
        <f t="shared" si="8"/>
        <v>0</v>
      </c>
      <c r="S8" s="1530"/>
      <c r="T8" s="1530">
        <f t="shared" si="9"/>
        <v>0</v>
      </c>
      <c r="U8" s="1530">
        <v>1</v>
      </c>
      <c r="V8" s="1530">
        <f t="shared" si="10"/>
        <v>332</v>
      </c>
      <c r="W8" s="1530">
        <v>1</v>
      </c>
      <c r="X8" s="19">
        <f t="shared" si="11"/>
        <v>100</v>
      </c>
      <c r="Y8" s="20">
        <f t="shared" si="1"/>
        <v>62930.729500000001</v>
      </c>
    </row>
    <row r="9" spans="1:25" ht="38.25" customHeight="1" x14ac:dyDescent="0.25">
      <c r="A9" s="12">
        <v>1984225580</v>
      </c>
      <c r="B9" s="1527" t="s">
        <v>75</v>
      </c>
      <c r="C9" s="1530">
        <v>33372</v>
      </c>
      <c r="D9" s="1531">
        <f t="shared" si="0"/>
        <v>32454.27</v>
      </c>
      <c r="E9" s="1530"/>
      <c r="F9" s="1530">
        <f t="shared" si="2"/>
        <v>0</v>
      </c>
      <c r="G9" s="1530"/>
      <c r="H9" s="1530">
        <f t="shared" si="3"/>
        <v>0</v>
      </c>
      <c r="I9" s="1530">
        <v>650</v>
      </c>
      <c r="J9" s="1530">
        <f t="shared" si="4"/>
        <v>12025</v>
      </c>
      <c r="K9" s="1530">
        <v>250</v>
      </c>
      <c r="L9" s="1531">
        <f t="shared" si="5"/>
        <v>7059.2</v>
      </c>
      <c r="M9" s="1530"/>
      <c r="N9" s="1531">
        <f t="shared" si="6"/>
        <v>0</v>
      </c>
      <c r="O9" s="1530"/>
      <c r="P9" s="1531">
        <f t="shared" si="7"/>
        <v>0</v>
      </c>
      <c r="Q9" s="1531"/>
      <c r="R9" s="1531">
        <f t="shared" si="8"/>
        <v>0</v>
      </c>
      <c r="S9" s="1530"/>
      <c r="T9" s="1530">
        <f t="shared" si="9"/>
        <v>0</v>
      </c>
      <c r="U9" s="1530">
        <v>25</v>
      </c>
      <c r="V9" s="1530">
        <f t="shared" si="10"/>
        <v>8300</v>
      </c>
      <c r="W9" s="1530"/>
      <c r="X9" s="19">
        <f t="shared" si="11"/>
        <v>0</v>
      </c>
      <c r="Y9" s="20">
        <f t="shared" si="1"/>
        <v>59838.47</v>
      </c>
    </row>
    <row r="10" spans="1:25" ht="35.25" customHeight="1" x14ac:dyDescent="0.25">
      <c r="A10" s="12">
        <v>1409935199</v>
      </c>
      <c r="C10" s="1530">
        <v>2312</v>
      </c>
      <c r="D10" s="1531">
        <f t="shared" si="0"/>
        <v>2248.42</v>
      </c>
      <c r="E10" s="1530"/>
      <c r="F10" s="1530">
        <f t="shared" si="2"/>
        <v>0</v>
      </c>
      <c r="G10" s="1530"/>
      <c r="H10" s="1530">
        <f t="shared" si="3"/>
        <v>0</v>
      </c>
      <c r="I10" s="1530">
        <v>2000</v>
      </c>
      <c r="J10" s="1530">
        <f t="shared" si="4"/>
        <v>37000</v>
      </c>
      <c r="K10" s="1530"/>
      <c r="L10" s="1531">
        <f t="shared" si="5"/>
        <v>0</v>
      </c>
      <c r="M10" s="1530"/>
      <c r="N10" s="1531">
        <f t="shared" si="6"/>
        <v>0</v>
      </c>
      <c r="O10" s="1530"/>
      <c r="P10" s="1531">
        <f t="shared" si="7"/>
        <v>0</v>
      </c>
      <c r="Q10" s="1531"/>
      <c r="R10" s="1531">
        <f t="shared" si="8"/>
        <v>0</v>
      </c>
      <c r="S10" s="1530"/>
      <c r="T10" s="1530">
        <f t="shared" si="9"/>
        <v>0</v>
      </c>
      <c r="U10" s="1530"/>
      <c r="V10" s="1530">
        <f t="shared" si="10"/>
        <v>0</v>
      </c>
      <c r="W10" s="1530"/>
      <c r="X10" s="19">
        <f t="shared" si="11"/>
        <v>0</v>
      </c>
      <c r="Y10" s="20">
        <f t="shared" si="1"/>
        <v>39248.42</v>
      </c>
    </row>
    <row r="11" spans="1:25" ht="37.5" customHeight="1" x14ac:dyDescent="0.25">
      <c r="A11" s="12"/>
      <c r="B11" s="1529"/>
      <c r="C11" s="1530"/>
      <c r="D11" s="1531">
        <f t="shared" si="0"/>
        <v>0</v>
      </c>
      <c r="E11" s="1530"/>
      <c r="F11" s="1530">
        <f t="shared" si="2"/>
        <v>0</v>
      </c>
      <c r="G11" s="1530"/>
      <c r="H11" s="1530">
        <f t="shared" si="3"/>
        <v>0</v>
      </c>
      <c r="I11" s="1530"/>
      <c r="J11" s="1530">
        <f t="shared" si="4"/>
        <v>0</v>
      </c>
      <c r="K11" s="1530"/>
      <c r="L11" s="1531">
        <f t="shared" si="5"/>
        <v>0</v>
      </c>
      <c r="M11" s="1530"/>
      <c r="N11" s="1531">
        <f t="shared" si="6"/>
        <v>0</v>
      </c>
      <c r="O11" s="1530"/>
      <c r="P11" s="1531">
        <f t="shared" si="7"/>
        <v>0</v>
      </c>
      <c r="Q11" s="1531"/>
      <c r="R11" s="1531">
        <f t="shared" si="8"/>
        <v>0</v>
      </c>
      <c r="S11" s="1530"/>
      <c r="T11" s="1530">
        <f>341*S11</f>
        <v>0</v>
      </c>
      <c r="U11" s="1530"/>
      <c r="V11" s="1530">
        <f t="shared" si="10"/>
        <v>0</v>
      </c>
      <c r="W11" s="1530"/>
      <c r="X11" s="19">
        <f t="shared" si="11"/>
        <v>0</v>
      </c>
      <c r="Y11" s="20">
        <f t="shared" si="1"/>
        <v>0</v>
      </c>
    </row>
    <row r="12" spans="1:25" ht="29.25" customHeight="1" x14ac:dyDescent="0.25">
      <c r="A12" s="2235" t="s">
        <v>31</v>
      </c>
      <c r="B12" s="2235"/>
      <c r="C12" s="18">
        <f t="shared" ref="C12:X12" si="12">SUM(C6:C11)</f>
        <v>165319</v>
      </c>
      <c r="D12" s="18">
        <f t="shared" si="12"/>
        <v>160772.72750000001</v>
      </c>
      <c r="E12" s="18">
        <f t="shared" si="12"/>
        <v>0</v>
      </c>
      <c r="F12" s="18">
        <f t="shared" si="12"/>
        <v>0</v>
      </c>
      <c r="G12" s="18">
        <f t="shared" si="12"/>
        <v>0</v>
      </c>
      <c r="H12" s="18">
        <f t="shared" si="12"/>
        <v>0</v>
      </c>
      <c r="I12" s="18">
        <f t="shared" si="12"/>
        <v>3240</v>
      </c>
      <c r="J12" s="18">
        <f t="shared" si="12"/>
        <v>59940</v>
      </c>
      <c r="K12" s="18">
        <f t="shared" si="12"/>
        <v>290</v>
      </c>
      <c r="L12" s="18">
        <f t="shared" si="12"/>
        <v>8188.6719999999996</v>
      </c>
      <c r="M12" s="18">
        <f t="shared" si="12"/>
        <v>0</v>
      </c>
      <c r="N12" s="23">
        <f t="shared" si="12"/>
        <v>0</v>
      </c>
      <c r="O12" s="18">
        <f t="shared" si="12"/>
        <v>0</v>
      </c>
      <c r="P12" s="23">
        <f t="shared" si="12"/>
        <v>0</v>
      </c>
      <c r="Q12" s="23">
        <f t="shared" si="12"/>
        <v>0</v>
      </c>
      <c r="R12" s="23">
        <f>SUM(R6:R11)</f>
        <v>0</v>
      </c>
      <c r="S12" s="23">
        <f>SUM(S6:S11)</f>
        <v>0</v>
      </c>
      <c r="T12" s="18">
        <f t="shared" si="12"/>
        <v>0</v>
      </c>
      <c r="U12" s="18">
        <f t="shared" si="12"/>
        <v>76</v>
      </c>
      <c r="V12" s="18">
        <f t="shared" si="12"/>
        <v>25232</v>
      </c>
      <c r="W12" s="18">
        <f t="shared" si="12"/>
        <v>1</v>
      </c>
      <c r="X12" s="18">
        <f t="shared" si="12"/>
        <v>100</v>
      </c>
      <c r="Y12" s="20">
        <f t="shared" si="1"/>
        <v>254233.3995</v>
      </c>
    </row>
    <row r="14" spans="1:25" ht="43.5" customHeight="1" x14ac:dyDescent="0.25">
      <c r="A14" s="30" t="s">
        <v>32</v>
      </c>
      <c r="B14" s="2236" t="s">
        <v>27</v>
      </c>
      <c r="C14" s="2236"/>
      <c r="D14" s="30" t="s">
        <v>333</v>
      </c>
      <c r="E14" s="30" t="s">
        <v>65</v>
      </c>
      <c r="F14" s="30" t="s">
        <v>34</v>
      </c>
      <c r="G14" s="30" t="s">
        <v>14</v>
      </c>
      <c r="H14" s="469" t="s">
        <v>173</v>
      </c>
      <c r="I14" s="30" t="s">
        <v>17</v>
      </c>
      <c r="J14" s="1535" t="s">
        <v>174</v>
      </c>
      <c r="K14" s="30" t="s">
        <v>36</v>
      </c>
      <c r="L14" s="1535" t="s">
        <v>403</v>
      </c>
      <c r="M14" s="30" t="s">
        <v>429</v>
      </c>
      <c r="N14" s="30" t="s">
        <v>442</v>
      </c>
      <c r="O14" s="1535" t="s">
        <v>114</v>
      </c>
      <c r="P14" s="30" t="s">
        <v>70</v>
      </c>
      <c r="Q14" s="2300" t="s">
        <v>479</v>
      </c>
      <c r="R14" s="2301"/>
      <c r="S14" s="1535" t="s">
        <v>401</v>
      </c>
      <c r="T14" s="2235" t="s">
        <v>46</v>
      </c>
      <c r="U14" s="1527" t="s">
        <v>176</v>
      </c>
      <c r="V14" s="2260">
        <v>195901</v>
      </c>
      <c r="W14" s="2268"/>
      <c r="X14" s="2261"/>
    </row>
    <row r="15" spans="1:25" ht="22.5" customHeight="1" x14ac:dyDescent="0.25">
      <c r="A15" s="100" t="s">
        <v>38</v>
      </c>
      <c r="B15" s="2260">
        <v>460367</v>
      </c>
      <c r="C15" s="2261"/>
      <c r="D15" s="1532">
        <v>80</v>
      </c>
      <c r="E15" s="1532">
        <v>210</v>
      </c>
      <c r="F15" s="1532">
        <v>5770</v>
      </c>
      <c r="G15" s="1532">
        <v>520</v>
      </c>
      <c r="H15" s="1532">
        <v>72</v>
      </c>
      <c r="I15" s="1532">
        <v>103</v>
      </c>
      <c r="J15" s="1532">
        <v>4</v>
      </c>
      <c r="K15" s="1532">
        <v>77</v>
      </c>
      <c r="L15" s="1532">
        <v>0</v>
      </c>
      <c r="M15" s="1532">
        <v>0</v>
      </c>
      <c r="N15" s="1532">
        <v>0</v>
      </c>
      <c r="O15" s="1532">
        <v>0</v>
      </c>
      <c r="P15" s="1532">
        <v>100</v>
      </c>
      <c r="Q15" s="2260">
        <v>10</v>
      </c>
      <c r="R15" s="2261"/>
      <c r="S15" s="1527">
        <v>2</v>
      </c>
      <c r="T15" s="2235"/>
      <c r="U15" s="1527" t="s">
        <v>64</v>
      </c>
      <c r="V15" s="2262">
        <v>78792</v>
      </c>
      <c r="W15" s="2262"/>
      <c r="X15" s="2262"/>
    </row>
    <row r="16" spans="1:25" ht="24.75" customHeight="1" x14ac:dyDescent="0.25">
      <c r="A16" s="100" t="s">
        <v>39</v>
      </c>
      <c r="B16" s="2260">
        <v>27012</v>
      </c>
      <c r="C16" s="2261"/>
      <c r="D16" s="1532"/>
      <c r="E16" s="1532"/>
      <c r="F16" s="1532">
        <v>5000</v>
      </c>
      <c r="G16" s="1532"/>
      <c r="H16" s="1532"/>
      <c r="I16" s="1532"/>
      <c r="J16" s="1532"/>
      <c r="K16" s="1532"/>
      <c r="L16" s="1532"/>
      <c r="M16" s="1532"/>
      <c r="N16" s="1532"/>
      <c r="O16" s="1532"/>
      <c r="P16" s="1532"/>
      <c r="Q16" s="2262"/>
      <c r="R16" s="2262"/>
      <c r="S16" s="1532"/>
      <c r="T16" s="2254" t="s">
        <v>55</v>
      </c>
      <c r="U16" s="2254"/>
      <c r="V16" s="2267">
        <f>Y12</f>
        <v>254233.3995</v>
      </c>
      <c r="W16" s="2267"/>
      <c r="X16" s="2262"/>
    </row>
    <row r="17" spans="1:25" ht="28.5" customHeight="1" x14ac:dyDescent="0.25">
      <c r="A17" s="101" t="s">
        <v>44</v>
      </c>
      <c r="B17" s="2260"/>
      <c r="C17" s="2261"/>
      <c r="D17" s="1532"/>
      <c r="E17" s="1532"/>
      <c r="F17" s="1532"/>
      <c r="G17" s="1532"/>
      <c r="H17" s="1532"/>
      <c r="I17" s="1532"/>
      <c r="J17" s="1532"/>
      <c r="K17" s="1532"/>
      <c r="L17" s="1532"/>
      <c r="M17" s="1532"/>
      <c r="N17" s="1532"/>
      <c r="O17" s="1532"/>
      <c r="P17" s="1532"/>
      <c r="Q17" s="2225"/>
      <c r="R17" s="2225"/>
      <c r="S17" s="1529"/>
      <c r="T17" s="2294" t="s">
        <v>473</v>
      </c>
      <c r="U17" s="2295"/>
      <c r="V17" s="2296"/>
      <c r="W17" s="2296"/>
      <c r="X17" s="2296"/>
    </row>
    <row r="18" spans="1:25" ht="27" customHeight="1" x14ac:dyDescent="0.25">
      <c r="A18" s="100" t="s">
        <v>40</v>
      </c>
      <c r="B18" s="2264">
        <f>C12</f>
        <v>165319</v>
      </c>
      <c r="C18" s="2261"/>
      <c r="D18" s="1533">
        <f>E12</f>
        <v>0</v>
      </c>
      <c r="E18" s="1533">
        <f>G12</f>
        <v>0</v>
      </c>
      <c r="F18" s="1533">
        <f>I12</f>
        <v>3240</v>
      </c>
      <c r="G18" s="1533">
        <f>K12</f>
        <v>290</v>
      </c>
      <c r="H18" s="1532"/>
      <c r="I18" s="1533">
        <f>U12</f>
        <v>76</v>
      </c>
      <c r="J18" s="1532"/>
      <c r="K18" s="1533">
        <f>W12</f>
        <v>1</v>
      </c>
      <c r="L18" s="1532"/>
      <c r="M18" s="1533">
        <f>M12</f>
        <v>0</v>
      </c>
      <c r="N18" s="1533">
        <f>O12</f>
        <v>0</v>
      </c>
      <c r="O18" s="1534">
        <f>Q12</f>
        <v>0</v>
      </c>
      <c r="P18" s="1533"/>
      <c r="Q18" s="2262"/>
      <c r="R18" s="2262"/>
      <c r="S18" s="1527"/>
      <c r="T18" s="2254" t="s">
        <v>57</v>
      </c>
      <c r="U18" s="2254"/>
      <c r="V18" s="2262">
        <v>620</v>
      </c>
      <c r="W18" s="2262"/>
      <c r="X18" s="2262"/>
      <c r="Y18" s="2269"/>
    </row>
    <row r="19" spans="1:25" ht="25.5" customHeight="1" x14ac:dyDescent="0.25">
      <c r="A19" s="100" t="s">
        <v>41</v>
      </c>
      <c r="B19" s="2260">
        <f>B15+B16+B17-B18</f>
        <v>322060</v>
      </c>
      <c r="C19" s="2261"/>
      <c r="D19" s="1532">
        <f>D15+D16+D17-D18</f>
        <v>80</v>
      </c>
      <c r="E19" s="1532">
        <f t="shared" ref="E19:N19" si="13">E15+E16+E17-E18</f>
        <v>210</v>
      </c>
      <c r="F19" s="1532">
        <f t="shared" si="13"/>
        <v>7530</v>
      </c>
      <c r="G19" s="1532">
        <f t="shared" si="13"/>
        <v>230</v>
      </c>
      <c r="H19" s="1532">
        <f t="shared" si="13"/>
        <v>72</v>
      </c>
      <c r="I19" s="1532">
        <f t="shared" si="13"/>
        <v>27</v>
      </c>
      <c r="J19" s="1532">
        <f t="shared" si="13"/>
        <v>4</v>
      </c>
      <c r="K19" s="1532">
        <f t="shared" si="13"/>
        <v>76</v>
      </c>
      <c r="L19" s="1532">
        <f t="shared" si="13"/>
        <v>0</v>
      </c>
      <c r="M19" s="1532">
        <f t="shared" si="13"/>
        <v>0</v>
      </c>
      <c r="N19" s="1532">
        <f t="shared" si="13"/>
        <v>0</v>
      </c>
      <c r="O19" s="1532">
        <f>O15+O16+O17-O18</f>
        <v>0</v>
      </c>
      <c r="P19" s="1532">
        <f t="shared" ref="P19:Q19" si="14">P15+P16+P17-P18</f>
        <v>100</v>
      </c>
      <c r="Q19" s="2260">
        <f t="shared" si="14"/>
        <v>10</v>
      </c>
      <c r="R19" s="2261"/>
      <c r="S19" s="1527">
        <f>S15+S16-S17-S18</f>
        <v>2</v>
      </c>
      <c r="T19" s="2256" t="s">
        <v>48</v>
      </c>
      <c r="U19" s="49" t="s">
        <v>58</v>
      </c>
      <c r="V19" s="2262">
        <v>400000</v>
      </c>
      <c r="W19" s="2262"/>
      <c r="X19" s="2262"/>
      <c r="Y19" s="2269"/>
    </row>
    <row r="20" spans="1:25" ht="23.25" customHeight="1" x14ac:dyDescent="0.25">
      <c r="A20" s="289" t="s">
        <v>187</v>
      </c>
      <c r="B20" s="2286">
        <f>B19*0.9625</f>
        <v>309982.75</v>
      </c>
      <c r="C20" s="2287"/>
      <c r="D20" s="290">
        <f>D19*66.41</f>
        <v>5312.7999999999993</v>
      </c>
      <c r="E20" s="290">
        <f>27.9368*E19</f>
        <v>5866.7280000000001</v>
      </c>
      <c r="F20" s="290">
        <f>18.31*F19</f>
        <v>137874.29999999999</v>
      </c>
      <c r="G20" s="290">
        <f>27.9368*G19</f>
        <v>6425.4639999999999</v>
      </c>
      <c r="H20" s="290">
        <f>241*H19</f>
        <v>17352</v>
      </c>
      <c r="I20" s="290">
        <f>323*I19</f>
        <v>8721</v>
      </c>
      <c r="J20" s="290">
        <f>241*J19</f>
        <v>964</v>
      </c>
      <c r="K20" s="290">
        <f>K19*100</f>
        <v>7600</v>
      </c>
      <c r="L20" s="290">
        <f>241*L19</f>
        <v>0</v>
      </c>
      <c r="M20" s="290">
        <f>47.1625*M19</f>
        <v>0</v>
      </c>
      <c r="N20" s="290">
        <f>N19*8.81</f>
        <v>0</v>
      </c>
      <c r="O20" s="290">
        <f>241*O19</f>
        <v>0</v>
      </c>
      <c r="P20" s="290">
        <f>P19*48.2</f>
        <v>4820</v>
      </c>
      <c r="Q20" s="2286">
        <f>470*Q19</f>
        <v>4700</v>
      </c>
      <c r="R20" s="2287"/>
      <c r="S20" s="290">
        <f>341*S19</f>
        <v>682</v>
      </c>
      <c r="T20" s="2257"/>
      <c r="U20" s="49" t="s">
        <v>59</v>
      </c>
      <c r="V20" s="2262"/>
      <c r="W20" s="2262"/>
      <c r="X20" s="2262"/>
      <c r="Y20" s="2269"/>
    </row>
    <row r="21" spans="1:25" ht="32.25" customHeight="1" x14ac:dyDescent="0.25">
      <c r="A21" s="291" t="s">
        <v>186</v>
      </c>
      <c r="B21" s="2293">
        <f>SUM(B20:S20)</f>
        <v>510301.04199999996</v>
      </c>
      <c r="C21" s="2293"/>
      <c r="O21" s="1536"/>
      <c r="P21" s="1536"/>
      <c r="Q21" s="1536"/>
      <c r="R21" s="1536"/>
      <c r="T21" s="2294" t="s">
        <v>487</v>
      </c>
      <c r="U21" s="2295"/>
      <c r="V21" s="2297"/>
      <c r="W21" s="2298"/>
      <c r="X21" s="2299"/>
      <c r="Y21" s="2269"/>
    </row>
    <row r="22" spans="1:25" ht="35.25" customHeight="1" x14ac:dyDescent="0.25">
      <c r="A22" s="15"/>
      <c r="B22" s="2288" t="s">
        <v>49</v>
      </c>
      <c r="C22" s="2291">
        <v>400000</v>
      </c>
      <c r="D22" s="2291">
        <v>400000</v>
      </c>
      <c r="E22" s="2291">
        <v>117550</v>
      </c>
      <c r="F22" s="2291">
        <f>C22-D22+E22</f>
        <v>117550</v>
      </c>
      <c r="G22" s="1536"/>
      <c r="Q22" s="1536"/>
      <c r="R22" s="1536"/>
      <c r="T22" s="2251" t="s">
        <v>83</v>
      </c>
      <c r="U22" s="50" t="s">
        <v>60</v>
      </c>
      <c r="V22" s="2262">
        <v>405120</v>
      </c>
      <c r="W22" s="2262"/>
      <c r="X22" s="2262"/>
      <c r="Y22" s="2269"/>
    </row>
    <row r="23" spans="1:25" ht="39.75" customHeight="1" x14ac:dyDescent="0.25">
      <c r="A23" s="1536"/>
      <c r="B23" s="2289"/>
      <c r="C23" s="2292"/>
      <c r="D23" s="2292"/>
      <c r="E23" s="2292"/>
      <c r="F23" s="2292"/>
      <c r="G23" s="1536"/>
      <c r="Q23" s="1536"/>
      <c r="R23" s="1536"/>
      <c r="T23" s="2252"/>
      <c r="U23" s="50" t="s">
        <v>61</v>
      </c>
      <c r="V23" s="2262">
        <v>400000</v>
      </c>
      <c r="W23" s="2262"/>
      <c r="X23" s="2262"/>
      <c r="Y23" s="2269"/>
    </row>
    <row r="24" spans="1:25" ht="48" customHeight="1" x14ac:dyDescent="0.25">
      <c r="A24" s="1536"/>
      <c r="B24" s="2290"/>
      <c r="C24" s="290" t="s">
        <v>46</v>
      </c>
      <c r="D24" s="290" t="s">
        <v>50</v>
      </c>
      <c r="E24" s="290" t="s">
        <v>51</v>
      </c>
      <c r="F24" s="290" t="s">
        <v>52</v>
      </c>
      <c r="G24" s="1536"/>
      <c r="Q24" s="1536"/>
      <c r="R24" s="1536"/>
      <c r="T24" s="2235" t="s">
        <v>47</v>
      </c>
      <c r="U24" s="51" t="s">
        <v>62</v>
      </c>
      <c r="V24" s="2263">
        <f>V14+V16+V17-V18-V19-V20-V22+V23-V21</f>
        <v>44394.3995</v>
      </c>
      <c r="W24" s="2263"/>
      <c r="X24" s="2263"/>
      <c r="Y24" s="2269"/>
    </row>
    <row r="25" spans="1:25" ht="40.5" customHeight="1" x14ac:dyDescent="0.25">
      <c r="T25" s="2235"/>
      <c r="U25" s="51" t="s">
        <v>63</v>
      </c>
      <c r="V25" s="2262">
        <f>V15+V22-V23</f>
        <v>83912</v>
      </c>
      <c r="W25" s="2262"/>
      <c r="X25" s="2262"/>
    </row>
    <row r="26" spans="1:25" ht="36" customHeight="1" x14ac:dyDescent="0.25">
      <c r="K26" s="314"/>
    </row>
    <row r="28" spans="1:25" x14ac:dyDescent="0.25">
      <c r="J28" s="14" t="s">
        <v>139</v>
      </c>
    </row>
    <row r="32" spans="1:25" x14ac:dyDescent="0.25">
      <c r="I32" s="2280"/>
      <c r="J32" s="2280"/>
      <c r="K32" s="2280"/>
      <c r="L32" s="2280"/>
    </row>
    <row r="33" spans="9:12" x14ac:dyDescent="0.25">
      <c r="I33" s="1536"/>
      <c r="J33" s="1536"/>
      <c r="K33" s="2280"/>
      <c r="L33" s="2280"/>
    </row>
  </sheetData>
  <mergeCells count="62">
    <mergeCell ref="I32:J32"/>
    <mergeCell ref="K32:L32"/>
    <mergeCell ref="K33:L33"/>
    <mergeCell ref="T22:T23"/>
    <mergeCell ref="V22:X22"/>
    <mergeCell ref="V23:X23"/>
    <mergeCell ref="T24:T25"/>
    <mergeCell ref="V24:X24"/>
    <mergeCell ref="V25:X25"/>
    <mergeCell ref="Y18:Y24"/>
    <mergeCell ref="B19:C19"/>
    <mergeCell ref="Q19:R19"/>
    <mergeCell ref="T19:T20"/>
    <mergeCell ref="V19:X19"/>
    <mergeCell ref="B20:C20"/>
    <mergeCell ref="B22:B24"/>
    <mergeCell ref="C22:C23"/>
    <mergeCell ref="D22:D23"/>
    <mergeCell ref="E22:E23"/>
    <mergeCell ref="F22:F23"/>
    <mergeCell ref="Q20:R20"/>
    <mergeCell ref="V20:X20"/>
    <mergeCell ref="B21:C21"/>
    <mergeCell ref="T21:U21"/>
    <mergeCell ref="V21:X21"/>
    <mergeCell ref="B17:C17"/>
    <mergeCell ref="Q17:R17"/>
    <mergeCell ref="T17:U17"/>
    <mergeCell ref="V17:X17"/>
    <mergeCell ref="B18:C18"/>
    <mergeCell ref="Q18:R18"/>
    <mergeCell ref="T18:U18"/>
    <mergeCell ref="V18:X18"/>
    <mergeCell ref="W4:X4"/>
    <mergeCell ref="B16:C16"/>
    <mergeCell ref="Q16:R16"/>
    <mergeCell ref="T16:U16"/>
    <mergeCell ref="V16:X16"/>
    <mergeCell ref="A12:B12"/>
    <mergeCell ref="B14:C14"/>
    <mergeCell ref="Q14:R14"/>
    <mergeCell ref="T14:T15"/>
    <mergeCell ref="V14:X14"/>
    <mergeCell ref="B15:C15"/>
    <mergeCell ref="Q15:R15"/>
    <mergeCell ref="V15:X15"/>
    <mergeCell ref="A1:Y1"/>
    <mergeCell ref="A2:Y2"/>
    <mergeCell ref="T3:Y3"/>
    <mergeCell ref="A4:A5"/>
    <mergeCell ref="B4:B5"/>
    <mergeCell ref="C4:D4"/>
    <mergeCell ref="E4:F4"/>
    <mergeCell ref="G4:H4"/>
    <mergeCell ref="I4:J4"/>
    <mergeCell ref="K4:L4"/>
    <mergeCell ref="Y4:Y5"/>
    <mergeCell ref="M4:N4"/>
    <mergeCell ref="O4:P4"/>
    <mergeCell ref="Q4:R4"/>
    <mergeCell ref="S4:T4"/>
    <mergeCell ref="U4:V4"/>
  </mergeCells>
  <pageMargins left="0.15748031496063" right="0.15748031496063" top="0" bottom="0" header="0" footer="0"/>
  <pageSetup paperSize="9" scale="46" orientation="landscape" r:id="rId1"/>
</worksheet>
</file>

<file path=xl/worksheets/sheet25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A22B60B-3C1F-42C4-B581-26D7CD5B03BD}">
  <sheetPr>
    <pageSetUpPr fitToPage="1"/>
  </sheetPr>
  <dimension ref="A1:Y33"/>
  <sheetViews>
    <sheetView topLeftCell="D13" zoomScale="70" zoomScaleNormal="70" zoomScaleSheetLayoutView="100" zoomScalePageLayoutView="68" workbookViewId="0">
      <selection activeCell="I23" sqref="I23"/>
    </sheetView>
  </sheetViews>
  <sheetFormatPr defaultColWidth="9.140625" defaultRowHeight="15" x14ac:dyDescent="0.25"/>
  <cols>
    <col min="1" max="1" width="18.28515625" style="14" customWidth="1"/>
    <col min="2" max="2" width="10.7109375" style="14" customWidth="1"/>
    <col min="3" max="3" width="12.28515625" style="14" customWidth="1"/>
    <col min="4" max="4" width="13.140625" style="14" bestFit="1" customWidth="1"/>
    <col min="5" max="5" width="12" style="14" customWidth="1"/>
    <col min="6" max="6" width="14" style="14" bestFit="1" customWidth="1"/>
    <col min="7" max="7" width="16" style="14" bestFit="1" customWidth="1"/>
    <col min="8" max="8" width="10.140625" style="14" bestFit="1" customWidth="1"/>
    <col min="9" max="9" width="10.5703125" style="14" bestFit="1" customWidth="1"/>
    <col min="10" max="10" width="10.5703125" style="14" customWidth="1"/>
    <col min="11" max="11" width="10.28515625" style="14" bestFit="1" customWidth="1"/>
    <col min="12" max="12" width="10.42578125" style="14" bestFit="1" customWidth="1"/>
    <col min="13" max="14" width="12" style="14" bestFit="1" customWidth="1"/>
    <col min="15" max="15" width="11" style="14" customWidth="1"/>
    <col min="16" max="16" width="12.85546875" style="14" bestFit="1" customWidth="1"/>
    <col min="17" max="18" width="9.42578125" style="14" customWidth="1"/>
    <col min="19" max="19" width="13.7109375" style="14" customWidth="1"/>
    <col min="20" max="20" width="12.140625" style="14" customWidth="1"/>
    <col min="21" max="21" width="21.7109375" style="14" customWidth="1"/>
    <col min="22" max="22" width="9.85546875" style="14" customWidth="1"/>
    <col min="23" max="23" width="10.140625" style="14" bestFit="1" customWidth="1"/>
    <col min="24" max="24" width="10.28515625" style="14" customWidth="1"/>
    <col min="25" max="25" width="15.7109375" style="14" customWidth="1"/>
    <col min="26" max="16384" width="9.140625" style="14"/>
  </cols>
  <sheetData>
    <row r="1" spans="1:25" ht="46.15" customHeight="1" x14ac:dyDescent="0.25">
      <c r="A1" s="2240" t="s">
        <v>148</v>
      </c>
      <c r="B1" s="2240"/>
      <c r="C1" s="2240"/>
      <c r="D1" s="2240"/>
      <c r="E1" s="2240"/>
      <c r="F1" s="2240"/>
      <c r="G1" s="2240"/>
      <c r="H1" s="2240"/>
      <c r="I1" s="2240"/>
      <c r="J1" s="2240"/>
      <c r="K1" s="2240"/>
      <c r="L1" s="2240"/>
      <c r="M1" s="2240"/>
      <c r="N1" s="2240"/>
      <c r="O1" s="2240"/>
      <c r="P1" s="2240"/>
      <c r="Q1" s="2240"/>
      <c r="R1" s="2240"/>
      <c r="S1" s="2240"/>
      <c r="T1" s="2240"/>
      <c r="U1" s="2240"/>
      <c r="V1" s="2240"/>
      <c r="W1" s="2240"/>
      <c r="X1" s="2240"/>
      <c r="Y1" s="2240"/>
    </row>
    <row r="2" spans="1:25" ht="21.6" customHeight="1" x14ac:dyDescent="0.25">
      <c r="A2" s="2241" t="s">
        <v>383</v>
      </c>
      <c r="B2" s="2241"/>
      <c r="C2" s="2241"/>
      <c r="D2" s="2241"/>
      <c r="E2" s="2241"/>
      <c r="F2" s="2241"/>
      <c r="G2" s="2241"/>
      <c r="H2" s="2241"/>
      <c r="I2" s="2241"/>
      <c r="J2" s="2241"/>
      <c r="K2" s="2241"/>
      <c r="L2" s="2241"/>
      <c r="M2" s="2241"/>
      <c r="N2" s="2241"/>
      <c r="O2" s="2241"/>
      <c r="P2" s="2241"/>
      <c r="Q2" s="2241"/>
      <c r="R2" s="2241"/>
      <c r="S2" s="2241"/>
      <c r="T2" s="2241"/>
      <c r="U2" s="2241"/>
      <c r="V2" s="2241"/>
      <c r="W2" s="2241"/>
      <c r="X2" s="2241"/>
      <c r="Y2" s="2241"/>
    </row>
    <row r="3" spans="1:25" ht="21" customHeight="1" x14ac:dyDescent="0.25">
      <c r="A3" s="1542"/>
      <c r="B3" s="1542"/>
      <c r="C3" s="1542"/>
      <c r="D3" s="1542"/>
      <c r="E3" s="1542"/>
      <c r="F3" s="1542"/>
      <c r="G3" s="1542"/>
      <c r="H3" s="1542"/>
      <c r="I3" s="1542"/>
      <c r="J3" s="1542"/>
      <c r="K3" s="1542"/>
      <c r="L3" s="1542"/>
      <c r="M3" s="1542"/>
      <c r="N3" s="1542"/>
      <c r="O3" s="1542"/>
      <c r="P3" s="1542"/>
      <c r="Q3" s="1542"/>
      <c r="R3" s="1542"/>
      <c r="S3" s="1542"/>
      <c r="T3" s="2242" t="s">
        <v>504</v>
      </c>
      <c r="U3" s="2242"/>
      <c r="V3" s="2242"/>
      <c r="W3" s="2242"/>
      <c r="X3" s="2242"/>
      <c r="Y3" s="2242"/>
    </row>
    <row r="4" spans="1:25" s="1542" customFormat="1" ht="18" customHeight="1" x14ac:dyDescent="0.25">
      <c r="A4" s="2243" t="s">
        <v>25</v>
      </c>
      <c r="B4" s="2243" t="s">
        <v>26</v>
      </c>
      <c r="C4" s="2244" t="s">
        <v>27</v>
      </c>
      <c r="D4" s="2244"/>
      <c r="E4" s="2244" t="s">
        <v>342</v>
      </c>
      <c r="F4" s="2244"/>
      <c r="G4" s="2244" t="s">
        <v>65</v>
      </c>
      <c r="H4" s="2244"/>
      <c r="I4" s="2244" t="s">
        <v>29</v>
      </c>
      <c r="J4" s="2244"/>
      <c r="K4" s="2245" t="s">
        <v>14</v>
      </c>
      <c r="L4" s="2246"/>
      <c r="M4" s="2245" t="s">
        <v>429</v>
      </c>
      <c r="N4" s="2246"/>
      <c r="O4" s="2245" t="s">
        <v>441</v>
      </c>
      <c r="P4" s="2246"/>
      <c r="Q4" s="2245" t="s">
        <v>114</v>
      </c>
      <c r="R4" s="2246"/>
      <c r="S4" s="2244" t="s">
        <v>35</v>
      </c>
      <c r="T4" s="2244"/>
      <c r="U4" s="2245" t="s">
        <v>17</v>
      </c>
      <c r="V4" s="2246"/>
      <c r="W4" s="2247" t="s">
        <v>36</v>
      </c>
      <c r="X4" s="2248"/>
      <c r="Y4" s="2238" t="s">
        <v>30</v>
      </c>
    </row>
    <row r="5" spans="1:25" s="1542" customFormat="1" ht="25.5" customHeight="1" x14ac:dyDescent="0.25">
      <c r="A5" s="2243"/>
      <c r="B5" s="2243"/>
      <c r="C5" s="1541" t="s">
        <v>42</v>
      </c>
      <c r="D5" s="1541" t="s">
        <v>43</v>
      </c>
      <c r="E5" s="1541" t="s">
        <v>42</v>
      </c>
      <c r="F5" s="1541" t="s">
        <v>43</v>
      </c>
      <c r="G5" s="1541" t="s">
        <v>42</v>
      </c>
      <c r="H5" s="1541" t="s">
        <v>43</v>
      </c>
      <c r="I5" s="1541" t="s">
        <v>42</v>
      </c>
      <c r="J5" s="1541" t="s">
        <v>43</v>
      </c>
      <c r="K5" s="1541" t="s">
        <v>42</v>
      </c>
      <c r="L5" s="1541" t="s">
        <v>43</v>
      </c>
      <c r="M5" s="1541" t="s">
        <v>42</v>
      </c>
      <c r="N5" s="1541" t="s">
        <v>43</v>
      </c>
      <c r="O5" s="1541" t="s">
        <v>42</v>
      </c>
      <c r="P5" s="1541" t="s">
        <v>43</v>
      </c>
      <c r="Q5" s="1541" t="s">
        <v>42</v>
      </c>
      <c r="R5" s="1541" t="s">
        <v>43</v>
      </c>
      <c r="S5" s="33" t="s">
        <v>42</v>
      </c>
      <c r="T5" s="33" t="s">
        <v>43</v>
      </c>
      <c r="U5" s="30" t="s">
        <v>42</v>
      </c>
      <c r="V5" s="30" t="s">
        <v>43</v>
      </c>
      <c r="W5" s="30" t="s">
        <v>42</v>
      </c>
      <c r="X5" s="30" t="s">
        <v>43</v>
      </c>
      <c r="Y5" s="2239"/>
    </row>
    <row r="6" spans="1:25" ht="34.5" customHeight="1" x14ac:dyDescent="0.25">
      <c r="A6" s="12">
        <v>1409935200</v>
      </c>
      <c r="B6" s="1540" t="s">
        <v>71</v>
      </c>
      <c r="C6" s="1538">
        <v>35687</v>
      </c>
      <c r="D6" s="1537">
        <f t="shared" ref="D6:D11" si="0">0.9725*C6</f>
        <v>34705.607499999998</v>
      </c>
      <c r="E6" s="1538"/>
      <c r="F6" s="1537">
        <f>67.1*E6</f>
        <v>0</v>
      </c>
      <c r="G6" s="1538">
        <v>20</v>
      </c>
      <c r="H6" s="1538">
        <f>28.2*G6</f>
        <v>564</v>
      </c>
      <c r="I6" s="1538">
        <v>200</v>
      </c>
      <c r="J6" s="1538">
        <f>18.5*I6</f>
        <v>3700</v>
      </c>
      <c r="K6" s="1538">
        <v>20</v>
      </c>
      <c r="L6" s="1537">
        <f>28.2368*K6</f>
        <v>564.73599999999999</v>
      </c>
      <c r="M6" s="1538"/>
      <c r="N6" s="1537">
        <f>M6*47.6525</f>
        <v>0</v>
      </c>
      <c r="O6" s="1538"/>
      <c r="P6" s="1537">
        <f>O6*8.9</f>
        <v>0</v>
      </c>
      <c r="Q6" s="1537"/>
      <c r="R6" s="1537">
        <f>241*Q6</f>
        <v>0</v>
      </c>
      <c r="S6" s="1538"/>
      <c r="T6" s="1538">
        <f>241*S6</f>
        <v>0</v>
      </c>
      <c r="U6" s="1538">
        <v>10</v>
      </c>
      <c r="V6" s="1538">
        <f>332*U6</f>
        <v>3320</v>
      </c>
      <c r="W6" s="1538"/>
      <c r="X6" s="19">
        <f>W6*100</f>
        <v>0</v>
      </c>
      <c r="Y6" s="20">
        <f t="shared" ref="Y6:Y12" si="1">D6+F6+H6+J6+L6+N6+P6+R6+T6+V6+X6</f>
        <v>42854.343499999995</v>
      </c>
    </row>
    <row r="7" spans="1:25" ht="31.5" customHeight="1" x14ac:dyDescent="0.25">
      <c r="A7" s="12">
        <v>1984225578</v>
      </c>
      <c r="B7" s="1540" t="s">
        <v>72</v>
      </c>
      <c r="C7" s="1538">
        <v>22035</v>
      </c>
      <c r="D7" s="1537">
        <f t="shared" si="0"/>
        <v>21429.037500000002</v>
      </c>
      <c r="E7" s="1538"/>
      <c r="F7" s="1538">
        <f t="shared" ref="F7:F11" si="2">67.1*E7</f>
        <v>0</v>
      </c>
      <c r="G7" s="1538">
        <v>30</v>
      </c>
      <c r="H7" s="1538">
        <f t="shared" ref="H7:H11" si="3">28.2*G7</f>
        <v>846</v>
      </c>
      <c r="I7" s="1538">
        <v>170</v>
      </c>
      <c r="J7" s="1538">
        <f t="shared" ref="J7:J11" si="4">18.5*I7</f>
        <v>3145</v>
      </c>
      <c r="K7" s="1538"/>
      <c r="L7" s="1537">
        <f t="shared" ref="L7:L11" si="5">28.2368*K7</f>
        <v>0</v>
      </c>
      <c r="M7" s="1538"/>
      <c r="N7" s="1537">
        <f t="shared" ref="N7:N11" si="6">M7*47.6525</f>
        <v>0</v>
      </c>
      <c r="O7" s="1538"/>
      <c r="P7" s="1537">
        <f t="shared" ref="P7:P11" si="7">O7*8.9</f>
        <v>0</v>
      </c>
      <c r="Q7" s="1537"/>
      <c r="R7" s="1537">
        <f t="shared" ref="R7:R11" si="8">241*Q7</f>
        <v>0</v>
      </c>
      <c r="S7" s="1538"/>
      <c r="T7" s="1538">
        <f t="shared" ref="T7:T10" si="9">241*S7</f>
        <v>0</v>
      </c>
      <c r="U7" s="1538"/>
      <c r="V7" s="1538">
        <f t="shared" ref="V7:V11" si="10">332*U7</f>
        <v>0</v>
      </c>
      <c r="W7" s="1538"/>
      <c r="X7" s="19">
        <f t="shared" ref="X7:X11" si="11">W7*100</f>
        <v>0</v>
      </c>
      <c r="Y7" s="20">
        <f t="shared" si="1"/>
        <v>25420.037500000002</v>
      </c>
    </row>
    <row r="8" spans="1:25" ht="35.25" customHeight="1" x14ac:dyDescent="0.25">
      <c r="A8" s="12">
        <v>1967020280</v>
      </c>
      <c r="B8" s="1540" t="s">
        <v>427</v>
      </c>
      <c r="C8" s="1538">
        <v>24146</v>
      </c>
      <c r="D8" s="1537">
        <f t="shared" si="0"/>
        <v>23481.985000000001</v>
      </c>
      <c r="E8" s="1538"/>
      <c r="F8" s="1538">
        <f t="shared" si="2"/>
        <v>0</v>
      </c>
      <c r="G8" s="1538">
        <v>100</v>
      </c>
      <c r="H8" s="1537">
        <f t="shared" si="3"/>
        <v>2820</v>
      </c>
      <c r="I8" s="1538">
        <v>40</v>
      </c>
      <c r="J8" s="1538">
        <f t="shared" si="4"/>
        <v>740</v>
      </c>
      <c r="K8" s="1538">
        <v>60</v>
      </c>
      <c r="L8" s="1537">
        <f t="shared" si="5"/>
        <v>1694.2079999999999</v>
      </c>
      <c r="M8" s="1538"/>
      <c r="N8" s="1537">
        <f t="shared" si="6"/>
        <v>0</v>
      </c>
      <c r="O8" s="1538"/>
      <c r="P8" s="1537">
        <f t="shared" si="7"/>
        <v>0</v>
      </c>
      <c r="Q8" s="1537"/>
      <c r="R8" s="1537">
        <f t="shared" si="8"/>
        <v>0</v>
      </c>
      <c r="S8" s="1538"/>
      <c r="T8" s="1538">
        <f t="shared" si="9"/>
        <v>0</v>
      </c>
      <c r="U8" s="1538"/>
      <c r="V8" s="1538">
        <f t="shared" si="10"/>
        <v>0</v>
      </c>
      <c r="W8" s="1538"/>
      <c r="X8" s="19">
        <f t="shared" si="11"/>
        <v>0</v>
      </c>
      <c r="Y8" s="20">
        <f t="shared" si="1"/>
        <v>28736.192999999999</v>
      </c>
    </row>
    <row r="9" spans="1:25" ht="38.25" customHeight="1" x14ac:dyDescent="0.25">
      <c r="A9" s="12">
        <v>1984225580</v>
      </c>
      <c r="B9" s="1540" t="s">
        <v>75</v>
      </c>
      <c r="C9" s="1538">
        <v>21891</v>
      </c>
      <c r="D9" s="1537">
        <f t="shared" si="0"/>
        <v>21288.997500000001</v>
      </c>
      <c r="E9" s="1538"/>
      <c r="F9" s="1538">
        <f t="shared" si="2"/>
        <v>0</v>
      </c>
      <c r="G9" s="1538"/>
      <c r="H9" s="1538">
        <f t="shared" si="3"/>
        <v>0</v>
      </c>
      <c r="I9" s="1538"/>
      <c r="J9" s="1538">
        <f t="shared" si="4"/>
        <v>0</v>
      </c>
      <c r="K9" s="1538"/>
      <c r="L9" s="1537">
        <f t="shared" si="5"/>
        <v>0</v>
      </c>
      <c r="M9" s="1538"/>
      <c r="N9" s="1537">
        <f t="shared" si="6"/>
        <v>0</v>
      </c>
      <c r="O9" s="1538"/>
      <c r="P9" s="1537">
        <f t="shared" si="7"/>
        <v>0</v>
      </c>
      <c r="Q9" s="1537"/>
      <c r="R9" s="1537">
        <f t="shared" si="8"/>
        <v>0</v>
      </c>
      <c r="S9" s="1538"/>
      <c r="T9" s="1538">
        <f t="shared" si="9"/>
        <v>0</v>
      </c>
      <c r="U9" s="1538"/>
      <c r="V9" s="1538">
        <f t="shared" si="10"/>
        <v>0</v>
      </c>
      <c r="W9" s="1538"/>
      <c r="X9" s="19">
        <f t="shared" si="11"/>
        <v>0</v>
      </c>
      <c r="Y9" s="20">
        <f t="shared" si="1"/>
        <v>21288.997500000001</v>
      </c>
    </row>
    <row r="10" spans="1:25" ht="35.25" customHeight="1" x14ac:dyDescent="0.25">
      <c r="A10" s="12">
        <v>1409935199</v>
      </c>
      <c r="C10" s="1538">
        <v>1890</v>
      </c>
      <c r="D10" s="1537">
        <f t="shared" si="0"/>
        <v>1838.0250000000001</v>
      </c>
      <c r="E10" s="1538"/>
      <c r="F10" s="1538">
        <f t="shared" si="2"/>
        <v>0</v>
      </c>
      <c r="G10" s="1538"/>
      <c r="H10" s="1538">
        <f t="shared" si="3"/>
        <v>0</v>
      </c>
      <c r="I10" s="1538"/>
      <c r="J10" s="1538">
        <f t="shared" si="4"/>
        <v>0</v>
      </c>
      <c r="K10" s="1538"/>
      <c r="L10" s="1537">
        <f t="shared" si="5"/>
        <v>0</v>
      </c>
      <c r="M10" s="1538"/>
      <c r="N10" s="1537">
        <f t="shared" si="6"/>
        <v>0</v>
      </c>
      <c r="O10" s="1538"/>
      <c r="P10" s="1537">
        <f t="shared" si="7"/>
        <v>0</v>
      </c>
      <c r="Q10" s="1537"/>
      <c r="R10" s="1537">
        <f t="shared" si="8"/>
        <v>0</v>
      </c>
      <c r="S10" s="1538"/>
      <c r="T10" s="1538">
        <f t="shared" si="9"/>
        <v>0</v>
      </c>
      <c r="U10" s="1538"/>
      <c r="V10" s="1538">
        <f t="shared" si="10"/>
        <v>0</v>
      </c>
      <c r="W10" s="1538"/>
      <c r="X10" s="19">
        <f t="shared" si="11"/>
        <v>0</v>
      </c>
      <c r="Y10" s="20">
        <f t="shared" si="1"/>
        <v>1838.0250000000001</v>
      </c>
    </row>
    <row r="11" spans="1:25" ht="37.5" customHeight="1" x14ac:dyDescent="0.25">
      <c r="A11" s="12"/>
      <c r="B11" s="1539"/>
      <c r="C11" s="1538"/>
      <c r="D11" s="1537">
        <f t="shared" si="0"/>
        <v>0</v>
      </c>
      <c r="E11" s="1538"/>
      <c r="F11" s="1538">
        <f t="shared" si="2"/>
        <v>0</v>
      </c>
      <c r="G11" s="1538"/>
      <c r="H11" s="1538">
        <f t="shared" si="3"/>
        <v>0</v>
      </c>
      <c r="I11" s="1538"/>
      <c r="J11" s="1538">
        <f t="shared" si="4"/>
        <v>0</v>
      </c>
      <c r="K11" s="1538"/>
      <c r="L11" s="1537">
        <f t="shared" si="5"/>
        <v>0</v>
      </c>
      <c r="M11" s="1538"/>
      <c r="N11" s="1537">
        <f t="shared" si="6"/>
        <v>0</v>
      </c>
      <c r="O11" s="1538"/>
      <c r="P11" s="1537">
        <f t="shared" si="7"/>
        <v>0</v>
      </c>
      <c r="Q11" s="1537"/>
      <c r="R11" s="1537">
        <f t="shared" si="8"/>
        <v>0</v>
      </c>
      <c r="S11" s="1538"/>
      <c r="T11" s="1538">
        <f>341*S11</f>
        <v>0</v>
      </c>
      <c r="U11" s="1538"/>
      <c r="V11" s="1538">
        <f t="shared" si="10"/>
        <v>0</v>
      </c>
      <c r="W11" s="1538"/>
      <c r="X11" s="19">
        <f t="shared" si="11"/>
        <v>0</v>
      </c>
      <c r="Y11" s="20">
        <f t="shared" si="1"/>
        <v>0</v>
      </c>
    </row>
    <row r="12" spans="1:25" ht="29.25" customHeight="1" x14ac:dyDescent="0.25">
      <c r="A12" s="2235" t="s">
        <v>31</v>
      </c>
      <c r="B12" s="2235"/>
      <c r="C12" s="18">
        <f t="shared" ref="C12:X12" si="12">SUM(C6:C11)</f>
        <v>105649</v>
      </c>
      <c r="D12" s="18">
        <f t="shared" si="12"/>
        <v>102743.6525</v>
      </c>
      <c r="E12" s="18">
        <f t="shared" si="12"/>
        <v>0</v>
      </c>
      <c r="F12" s="18">
        <f t="shared" si="12"/>
        <v>0</v>
      </c>
      <c r="G12" s="18">
        <f t="shared" si="12"/>
        <v>150</v>
      </c>
      <c r="H12" s="18">
        <f t="shared" si="12"/>
        <v>4230</v>
      </c>
      <c r="I12" s="18">
        <f t="shared" si="12"/>
        <v>410</v>
      </c>
      <c r="J12" s="18">
        <f t="shared" si="12"/>
        <v>7585</v>
      </c>
      <c r="K12" s="18">
        <f t="shared" si="12"/>
        <v>80</v>
      </c>
      <c r="L12" s="18">
        <f t="shared" si="12"/>
        <v>2258.944</v>
      </c>
      <c r="M12" s="18">
        <f t="shared" si="12"/>
        <v>0</v>
      </c>
      <c r="N12" s="23">
        <f t="shared" si="12"/>
        <v>0</v>
      </c>
      <c r="O12" s="18">
        <f t="shared" si="12"/>
        <v>0</v>
      </c>
      <c r="P12" s="23">
        <f t="shared" si="12"/>
        <v>0</v>
      </c>
      <c r="Q12" s="23">
        <f t="shared" si="12"/>
        <v>0</v>
      </c>
      <c r="R12" s="23">
        <f>SUM(R6:R11)</f>
        <v>0</v>
      </c>
      <c r="S12" s="23">
        <f>SUM(S6:S11)</f>
        <v>0</v>
      </c>
      <c r="T12" s="18">
        <f t="shared" si="12"/>
        <v>0</v>
      </c>
      <c r="U12" s="18">
        <f t="shared" si="12"/>
        <v>10</v>
      </c>
      <c r="V12" s="18">
        <f t="shared" si="12"/>
        <v>3320</v>
      </c>
      <c r="W12" s="18">
        <f t="shared" si="12"/>
        <v>0</v>
      </c>
      <c r="X12" s="18">
        <f t="shared" si="12"/>
        <v>0</v>
      </c>
      <c r="Y12" s="20">
        <f t="shared" si="1"/>
        <v>120137.5965</v>
      </c>
    </row>
    <row r="14" spans="1:25" ht="43.5" customHeight="1" x14ac:dyDescent="0.25">
      <c r="A14" s="30" t="s">
        <v>32</v>
      </c>
      <c r="B14" s="2236" t="s">
        <v>27</v>
      </c>
      <c r="C14" s="2236"/>
      <c r="D14" s="30" t="s">
        <v>333</v>
      </c>
      <c r="E14" s="30" t="s">
        <v>65</v>
      </c>
      <c r="F14" s="30" t="s">
        <v>34</v>
      </c>
      <c r="G14" s="30" t="s">
        <v>14</v>
      </c>
      <c r="H14" s="469" t="s">
        <v>173</v>
      </c>
      <c r="I14" s="30" t="s">
        <v>17</v>
      </c>
      <c r="J14" s="1546" t="s">
        <v>174</v>
      </c>
      <c r="K14" s="30" t="s">
        <v>36</v>
      </c>
      <c r="L14" s="1546" t="s">
        <v>403</v>
      </c>
      <c r="M14" s="30" t="s">
        <v>429</v>
      </c>
      <c r="N14" s="30" t="s">
        <v>442</v>
      </c>
      <c r="O14" s="1546" t="s">
        <v>114</v>
      </c>
      <c r="P14" s="30" t="s">
        <v>70</v>
      </c>
      <c r="Q14" s="2300" t="s">
        <v>479</v>
      </c>
      <c r="R14" s="2301"/>
      <c r="S14" s="1546" t="s">
        <v>401</v>
      </c>
      <c r="T14" s="2235" t="s">
        <v>46</v>
      </c>
      <c r="U14" s="1540" t="s">
        <v>176</v>
      </c>
      <c r="V14" s="2260">
        <v>44394</v>
      </c>
      <c r="W14" s="2268"/>
      <c r="X14" s="2261"/>
    </row>
    <row r="15" spans="1:25" ht="22.5" customHeight="1" x14ac:dyDescent="0.25">
      <c r="A15" s="100" t="s">
        <v>38</v>
      </c>
      <c r="B15" s="2260">
        <v>322060</v>
      </c>
      <c r="C15" s="2261"/>
      <c r="D15" s="1543">
        <v>80</v>
      </c>
      <c r="E15" s="1543">
        <v>210</v>
      </c>
      <c r="F15" s="1543">
        <v>7530</v>
      </c>
      <c r="G15" s="1543">
        <v>230</v>
      </c>
      <c r="H15" s="1543">
        <v>72</v>
      </c>
      <c r="I15" s="1543">
        <v>27</v>
      </c>
      <c r="J15" s="1543">
        <v>4</v>
      </c>
      <c r="K15" s="1543">
        <v>76</v>
      </c>
      <c r="L15" s="1543">
        <v>0</v>
      </c>
      <c r="M15" s="1543">
        <v>0</v>
      </c>
      <c r="N15" s="1543">
        <v>0</v>
      </c>
      <c r="O15" s="1543">
        <v>0</v>
      </c>
      <c r="P15" s="1543">
        <v>100</v>
      </c>
      <c r="Q15" s="2260">
        <v>10</v>
      </c>
      <c r="R15" s="2261"/>
      <c r="S15" s="1540">
        <v>2</v>
      </c>
      <c r="T15" s="2235"/>
      <c r="U15" s="1540" t="s">
        <v>64</v>
      </c>
      <c r="V15" s="2262">
        <v>83912</v>
      </c>
      <c r="W15" s="2262"/>
      <c r="X15" s="2262"/>
    </row>
    <row r="16" spans="1:25" ht="24.75" customHeight="1" x14ac:dyDescent="0.25">
      <c r="A16" s="100" t="s">
        <v>39</v>
      </c>
      <c r="B16" s="2260">
        <v>103896</v>
      </c>
      <c r="C16" s="2261"/>
      <c r="D16" s="1543"/>
      <c r="E16" s="1543"/>
      <c r="F16" s="1543"/>
      <c r="G16" s="1543"/>
      <c r="H16" s="1543"/>
      <c r="I16" s="1543"/>
      <c r="J16" s="1543"/>
      <c r="K16" s="1543"/>
      <c r="L16" s="1543"/>
      <c r="M16" s="1543"/>
      <c r="N16" s="1543"/>
      <c r="O16" s="1543"/>
      <c r="P16" s="1543"/>
      <c r="Q16" s="2262"/>
      <c r="R16" s="2262"/>
      <c r="S16" s="1543"/>
      <c r="T16" s="2254" t="s">
        <v>55</v>
      </c>
      <c r="U16" s="2254"/>
      <c r="V16" s="2267">
        <f>Y12</f>
        <v>120137.5965</v>
      </c>
      <c r="W16" s="2267"/>
      <c r="X16" s="2262"/>
    </row>
    <row r="17" spans="1:25" ht="28.5" customHeight="1" x14ac:dyDescent="0.25">
      <c r="A17" s="101" t="s">
        <v>44</v>
      </c>
      <c r="B17" s="2260"/>
      <c r="C17" s="2261"/>
      <c r="D17" s="1543"/>
      <c r="E17" s="1543"/>
      <c r="F17" s="1543"/>
      <c r="G17" s="1543"/>
      <c r="H17" s="1543"/>
      <c r="I17" s="1543"/>
      <c r="J17" s="1543"/>
      <c r="K17" s="1543"/>
      <c r="L17" s="1543"/>
      <c r="M17" s="1543"/>
      <c r="N17" s="1543"/>
      <c r="O17" s="1543"/>
      <c r="P17" s="1543"/>
      <c r="Q17" s="2225"/>
      <c r="R17" s="2225"/>
      <c r="S17" s="1539"/>
      <c r="T17" s="2294" t="s">
        <v>473</v>
      </c>
      <c r="U17" s="2295"/>
      <c r="V17" s="2296"/>
      <c r="W17" s="2296"/>
      <c r="X17" s="2296"/>
    </row>
    <row r="18" spans="1:25" ht="27" customHeight="1" x14ac:dyDescent="0.25">
      <c r="A18" s="100" t="s">
        <v>40</v>
      </c>
      <c r="B18" s="2264">
        <f>C12</f>
        <v>105649</v>
      </c>
      <c r="C18" s="2261"/>
      <c r="D18" s="1545">
        <f>E12</f>
        <v>0</v>
      </c>
      <c r="E18" s="1545">
        <f>G12</f>
        <v>150</v>
      </c>
      <c r="F18" s="1545">
        <f>I12</f>
        <v>410</v>
      </c>
      <c r="G18" s="1545">
        <f>K12</f>
        <v>80</v>
      </c>
      <c r="H18" s="1543"/>
      <c r="I18" s="1545">
        <f>U12</f>
        <v>10</v>
      </c>
      <c r="J18" s="1543"/>
      <c r="K18" s="1545">
        <f>W12</f>
        <v>0</v>
      </c>
      <c r="L18" s="1543"/>
      <c r="M18" s="1545">
        <f>M12</f>
        <v>0</v>
      </c>
      <c r="N18" s="1545">
        <f>O12</f>
        <v>0</v>
      </c>
      <c r="O18" s="1544">
        <f>Q12</f>
        <v>0</v>
      </c>
      <c r="P18" s="1545"/>
      <c r="Q18" s="2262"/>
      <c r="R18" s="2262"/>
      <c r="S18" s="1540"/>
      <c r="T18" s="2254" t="s">
        <v>57</v>
      </c>
      <c r="U18" s="2254"/>
      <c r="V18" s="2262">
        <v>2900</v>
      </c>
      <c r="W18" s="2262"/>
      <c r="X18" s="2262"/>
      <c r="Y18" s="2269"/>
    </row>
    <row r="19" spans="1:25" ht="25.5" customHeight="1" x14ac:dyDescent="0.25">
      <c r="A19" s="100" t="s">
        <v>41</v>
      </c>
      <c r="B19" s="2260">
        <f>B15+B16+B17-B18</f>
        <v>320307</v>
      </c>
      <c r="C19" s="2261"/>
      <c r="D19" s="1543">
        <f>D15+D16+D17-D18</f>
        <v>80</v>
      </c>
      <c r="E19" s="1543">
        <f t="shared" ref="E19:N19" si="13">E15+E16+E17-E18</f>
        <v>60</v>
      </c>
      <c r="F19" s="1543">
        <f t="shared" si="13"/>
        <v>7120</v>
      </c>
      <c r="G19" s="1543">
        <f t="shared" si="13"/>
        <v>150</v>
      </c>
      <c r="H19" s="1543">
        <f t="shared" si="13"/>
        <v>72</v>
      </c>
      <c r="I19" s="1543">
        <f t="shared" si="13"/>
        <v>17</v>
      </c>
      <c r="J19" s="1543">
        <f t="shared" si="13"/>
        <v>4</v>
      </c>
      <c r="K19" s="1543">
        <f t="shared" si="13"/>
        <v>76</v>
      </c>
      <c r="L19" s="1543">
        <f t="shared" si="13"/>
        <v>0</v>
      </c>
      <c r="M19" s="1543">
        <f t="shared" si="13"/>
        <v>0</v>
      </c>
      <c r="N19" s="1543">
        <f t="shared" si="13"/>
        <v>0</v>
      </c>
      <c r="O19" s="1543">
        <f>O15+O16+O17-O18</f>
        <v>0</v>
      </c>
      <c r="P19" s="1543">
        <f t="shared" ref="P19:Q19" si="14">P15+P16+P17-P18</f>
        <v>100</v>
      </c>
      <c r="Q19" s="2260">
        <f t="shared" si="14"/>
        <v>10</v>
      </c>
      <c r="R19" s="2261"/>
      <c r="S19" s="1540">
        <f>S15+S16-S17-S18</f>
        <v>2</v>
      </c>
      <c r="T19" s="2256" t="s">
        <v>48</v>
      </c>
      <c r="U19" s="49" t="s">
        <v>58</v>
      </c>
      <c r="V19" s="2262">
        <v>117550</v>
      </c>
      <c r="W19" s="2262"/>
      <c r="X19" s="2262"/>
      <c r="Y19" s="2269"/>
    </row>
    <row r="20" spans="1:25" ht="23.25" customHeight="1" x14ac:dyDescent="0.25">
      <c r="A20" s="289" t="s">
        <v>187</v>
      </c>
      <c r="B20" s="2286">
        <f>B19*0.9625</f>
        <v>308295.48749999999</v>
      </c>
      <c r="C20" s="2287"/>
      <c r="D20" s="290">
        <f>D19*66.41</f>
        <v>5312.7999999999993</v>
      </c>
      <c r="E20" s="290">
        <f>27.9368*E19</f>
        <v>1676.2080000000001</v>
      </c>
      <c r="F20" s="290">
        <f>18.31*F19</f>
        <v>130367.2</v>
      </c>
      <c r="G20" s="290">
        <f>27.9368*G19</f>
        <v>4190.5200000000004</v>
      </c>
      <c r="H20" s="290">
        <f>241*H19</f>
        <v>17352</v>
      </c>
      <c r="I20" s="290">
        <f>323*I19</f>
        <v>5491</v>
      </c>
      <c r="J20" s="290">
        <f>241*J19</f>
        <v>964</v>
      </c>
      <c r="K20" s="290">
        <f>K19*100</f>
        <v>7600</v>
      </c>
      <c r="L20" s="290">
        <f>241*L19</f>
        <v>0</v>
      </c>
      <c r="M20" s="290">
        <f>47.1625*M19</f>
        <v>0</v>
      </c>
      <c r="N20" s="290">
        <f>N19*8.81</f>
        <v>0</v>
      </c>
      <c r="O20" s="290">
        <f>241*O19</f>
        <v>0</v>
      </c>
      <c r="P20" s="290">
        <f>P19*48.2</f>
        <v>4820</v>
      </c>
      <c r="Q20" s="2286">
        <f>470*Q19</f>
        <v>4700</v>
      </c>
      <c r="R20" s="2287"/>
      <c r="S20" s="290">
        <f>341*S19</f>
        <v>682</v>
      </c>
      <c r="T20" s="2257"/>
      <c r="U20" s="49" t="s">
        <v>59</v>
      </c>
      <c r="V20" s="2262"/>
      <c r="W20" s="2262"/>
      <c r="X20" s="2262"/>
      <c r="Y20" s="2269"/>
    </row>
    <row r="21" spans="1:25" ht="32.25" customHeight="1" x14ac:dyDescent="0.25">
      <c r="A21" s="291" t="s">
        <v>186</v>
      </c>
      <c r="B21" s="2293">
        <f>SUM(B20:S20)</f>
        <v>491451.21549999999</v>
      </c>
      <c r="C21" s="2293"/>
      <c r="O21" s="1547"/>
      <c r="P21" s="1547"/>
      <c r="Q21" s="1547"/>
      <c r="R21" s="1547"/>
      <c r="T21" s="2294" t="s">
        <v>487</v>
      </c>
      <c r="U21" s="2295"/>
      <c r="V21" s="2297"/>
      <c r="W21" s="2298"/>
      <c r="X21" s="2299"/>
      <c r="Y21" s="2269"/>
    </row>
    <row r="22" spans="1:25" ht="35.25" customHeight="1" x14ac:dyDescent="0.25">
      <c r="A22" s="15"/>
      <c r="B22" s="2288" t="s">
        <v>49</v>
      </c>
      <c r="C22" s="2291">
        <v>117550</v>
      </c>
      <c r="D22" s="2291">
        <v>117550</v>
      </c>
      <c r="E22" s="2291">
        <v>100000</v>
      </c>
      <c r="F22" s="2291">
        <f>C22-D22+E22</f>
        <v>100000</v>
      </c>
      <c r="G22" s="1547"/>
      <c r="Q22" s="1547"/>
      <c r="R22" s="1547"/>
      <c r="T22" s="2251" t="s">
        <v>83</v>
      </c>
      <c r="U22" s="50" t="s">
        <v>60</v>
      </c>
      <c r="V22" s="2262">
        <v>117340</v>
      </c>
      <c r="W22" s="2262"/>
      <c r="X22" s="2262"/>
      <c r="Y22" s="2269"/>
    </row>
    <row r="23" spans="1:25" ht="39.75" customHeight="1" x14ac:dyDescent="0.25">
      <c r="A23" s="1547"/>
      <c r="B23" s="2289"/>
      <c r="C23" s="2292"/>
      <c r="D23" s="2292"/>
      <c r="E23" s="2292"/>
      <c r="F23" s="2292"/>
      <c r="G23" s="1547"/>
      <c r="Q23" s="1547"/>
      <c r="R23" s="1547"/>
      <c r="T23" s="2252"/>
      <c r="U23" s="50" t="s">
        <v>61</v>
      </c>
      <c r="V23" s="2262">
        <v>117550</v>
      </c>
      <c r="W23" s="2262"/>
      <c r="X23" s="2262"/>
      <c r="Y23" s="2269"/>
    </row>
    <row r="24" spans="1:25" ht="48" customHeight="1" x14ac:dyDescent="0.25">
      <c r="A24" s="1547"/>
      <c r="B24" s="2290"/>
      <c r="C24" s="290" t="s">
        <v>46</v>
      </c>
      <c r="D24" s="290" t="s">
        <v>50</v>
      </c>
      <c r="E24" s="290" t="s">
        <v>51</v>
      </c>
      <c r="F24" s="290" t="s">
        <v>52</v>
      </c>
      <c r="G24" s="1547"/>
      <c r="Q24" s="1547"/>
      <c r="R24" s="1547"/>
      <c r="T24" s="2235" t="s">
        <v>47</v>
      </c>
      <c r="U24" s="51" t="s">
        <v>62</v>
      </c>
      <c r="V24" s="2263">
        <f>V14+V16+V17-V18-V19-V20-V22+V23-V21</f>
        <v>44291.596499999985</v>
      </c>
      <c r="W24" s="2263"/>
      <c r="X24" s="2263"/>
      <c r="Y24" s="2269"/>
    </row>
    <row r="25" spans="1:25" ht="40.5" customHeight="1" x14ac:dyDescent="0.25">
      <c r="T25" s="2235"/>
      <c r="U25" s="51" t="s">
        <v>63</v>
      </c>
      <c r="V25" s="2262">
        <f>V15+V22-V23</f>
        <v>83702</v>
      </c>
      <c r="W25" s="2262"/>
      <c r="X25" s="2262"/>
    </row>
    <row r="26" spans="1:25" ht="36" customHeight="1" x14ac:dyDescent="0.25">
      <c r="K26" s="314"/>
    </row>
    <row r="28" spans="1:25" x14ac:dyDescent="0.25">
      <c r="J28" s="14" t="s">
        <v>139</v>
      </c>
    </row>
    <row r="32" spans="1:25" x14ac:dyDescent="0.25">
      <c r="I32" s="2280"/>
      <c r="J32" s="2280"/>
      <c r="K32" s="2280"/>
      <c r="L32" s="2280"/>
    </row>
    <row r="33" spans="9:12" x14ac:dyDescent="0.25">
      <c r="I33" s="1547"/>
      <c r="J33" s="1547"/>
      <c r="K33" s="2280"/>
      <c r="L33" s="2280"/>
    </row>
  </sheetData>
  <mergeCells count="62">
    <mergeCell ref="A1:Y1"/>
    <mergeCell ref="A2:Y2"/>
    <mergeCell ref="T3:Y3"/>
    <mergeCell ref="A4:A5"/>
    <mergeCell ref="B4:B5"/>
    <mergeCell ref="C4:D4"/>
    <mergeCell ref="E4:F4"/>
    <mergeCell ref="G4:H4"/>
    <mergeCell ref="I4:J4"/>
    <mergeCell ref="K4:L4"/>
    <mergeCell ref="Y4:Y5"/>
    <mergeCell ref="M4:N4"/>
    <mergeCell ref="O4:P4"/>
    <mergeCell ref="Q4:R4"/>
    <mergeCell ref="S4:T4"/>
    <mergeCell ref="U4:V4"/>
    <mergeCell ref="W4:X4"/>
    <mergeCell ref="B16:C16"/>
    <mergeCell ref="Q16:R16"/>
    <mergeCell ref="T16:U16"/>
    <mergeCell ref="V16:X16"/>
    <mergeCell ref="A12:B12"/>
    <mergeCell ref="B14:C14"/>
    <mergeCell ref="Q14:R14"/>
    <mergeCell ref="T14:T15"/>
    <mergeCell ref="V14:X14"/>
    <mergeCell ref="B15:C15"/>
    <mergeCell ref="Q15:R15"/>
    <mergeCell ref="V15:X15"/>
    <mergeCell ref="B17:C17"/>
    <mergeCell ref="Q17:R17"/>
    <mergeCell ref="T17:U17"/>
    <mergeCell ref="V17:X17"/>
    <mergeCell ref="B18:C18"/>
    <mergeCell ref="Q18:R18"/>
    <mergeCell ref="T18:U18"/>
    <mergeCell ref="V18:X18"/>
    <mergeCell ref="Y18:Y24"/>
    <mergeCell ref="B19:C19"/>
    <mergeCell ref="Q19:R19"/>
    <mergeCell ref="T19:T20"/>
    <mergeCell ref="V19:X19"/>
    <mergeCell ref="B20:C20"/>
    <mergeCell ref="B22:B24"/>
    <mergeCell ref="C22:C23"/>
    <mergeCell ref="D22:D23"/>
    <mergeCell ref="E22:E23"/>
    <mergeCell ref="F22:F23"/>
    <mergeCell ref="Q20:R20"/>
    <mergeCell ref="V20:X20"/>
    <mergeCell ref="B21:C21"/>
    <mergeCell ref="T21:U21"/>
    <mergeCell ref="V21:X21"/>
    <mergeCell ref="I32:J32"/>
    <mergeCell ref="K32:L32"/>
    <mergeCell ref="K33:L33"/>
    <mergeCell ref="T22:T23"/>
    <mergeCell ref="V22:X22"/>
    <mergeCell ref="V23:X23"/>
    <mergeCell ref="T24:T25"/>
    <mergeCell ref="V24:X24"/>
    <mergeCell ref="V25:X25"/>
  </mergeCells>
  <pageMargins left="0.15748031496063" right="0.15748031496063" top="0" bottom="0" header="0" footer="0"/>
  <pageSetup paperSize="9" scale="46" orientation="landscape" r:id="rId1"/>
</worksheet>
</file>

<file path=xl/worksheets/sheet26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A80D6C5-7751-4E51-BB23-F0F649D30E19}">
  <sheetPr>
    <pageSetUpPr fitToPage="1"/>
  </sheetPr>
  <dimension ref="A1:Y33"/>
  <sheetViews>
    <sheetView topLeftCell="A10" zoomScale="70" zoomScaleNormal="70" zoomScaleSheetLayoutView="100" zoomScalePageLayoutView="68" workbookViewId="0">
      <selection activeCell="K24" sqref="K24"/>
    </sheetView>
  </sheetViews>
  <sheetFormatPr defaultColWidth="9.140625" defaultRowHeight="15" x14ac:dyDescent="0.25"/>
  <cols>
    <col min="1" max="1" width="18.28515625" style="14" customWidth="1"/>
    <col min="2" max="2" width="10.7109375" style="14" customWidth="1"/>
    <col min="3" max="3" width="12.28515625" style="14" customWidth="1"/>
    <col min="4" max="4" width="13.140625" style="14" bestFit="1" customWidth="1"/>
    <col min="5" max="5" width="12" style="14" customWidth="1"/>
    <col min="6" max="6" width="14" style="14" bestFit="1" customWidth="1"/>
    <col min="7" max="7" width="16" style="14" bestFit="1" customWidth="1"/>
    <col min="8" max="8" width="10.140625" style="14" bestFit="1" customWidth="1"/>
    <col min="9" max="9" width="10.5703125" style="14" bestFit="1" customWidth="1"/>
    <col min="10" max="10" width="10.5703125" style="14" customWidth="1"/>
    <col min="11" max="11" width="10.28515625" style="14" bestFit="1" customWidth="1"/>
    <col min="12" max="12" width="10.42578125" style="14" bestFit="1" customWidth="1"/>
    <col min="13" max="14" width="12" style="14" bestFit="1" customWidth="1"/>
    <col min="15" max="15" width="11" style="14" customWidth="1"/>
    <col min="16" max="16" width="12.85546875" style="14" bestFit="1" customWidth="1"/>
    <col min="17" max="18" width="9.42578125" style="14" customWidth="1"/>
    <col min="19" max="19" width="13.7109375" style="14" customWidth="1"/>
    <col min="20" max="20" width="12.140625" style="14" customWidth="1"/>
    <col min="21" max="21" width="21.7109375" style="14" customWidth="1"/>
    <col min="22" max="22" width="9.85546875" style="14" customWidth="1"/>
    <col min="23" max="23" width="10.140625" style="14" bestFit="1" customWidth="1"/>
    <col min="24" max="24" width="10.28515625" style="14" customWidth="1"/>
    <col min="25" max="25" width="15.7109375" style="14" customWidth="1"/>
    <col min="26" max="16384" width="9.140625" style="14"/>
  </cols>
  <sheetData>
    <row r="1" spans="1:25" ht="46.15" customHeight="1" x14ac:dyDescent="0.25">
      <c r="A1" s="2240" t="s">
        <v>148</v>
      </c>
      <c r="B1" s="2240"/>
      <c r="C1" s="2240"/>
      <c r="D1" s="2240"/>
      <c r="E1" s="2240"/>
      <c r="F1" s="2240"/>
      <c r="G1" s="2240"/>
      <c r="H1" s="2240"/>
      <c r="I1" s="2240"/>
      <c r="J1" s="2240"/>
      <c r="K1" s="2240"/>
      <c r="L1" s="2240"/>
      <c r="M1" s="2240"/>
      <c r="N1" s="2240"/>
      <c r="O1" s="2240"/>
      <c r="P1" s="2240"/>
      <c r="Q1" s="2240"/>
      <c r="R1" s="2240"/>
      <c r="S1" s="2240"/>
      <c r="T1" s="2240"/>
      <c r="U1" s="2240"/>
      <c r="V1" s="2240"/>
      <c r="W1" s="2240"/>
      <c r="X1" s="2240"/>
      <c r="Y1" s="2240"/>
    </row>
    <row r="2" spans="1:25" ht="21.6" customHeight="1" x14ac:dyDescent="0.25">
      <c r="A2" s="2241" t="s">
        <v>383</v>
      </c>
      <c r="B2" s="2241"/>
      <c r="C2" s="2241"/>
      <c r="D2" s="2241"/>
      <c r="E2" s="2241"/>
      <c r="F2" s="2241"/>
      <c r="G2" s="2241"/>
      <c r="H2" s="2241"/>
      <c r="I2" s="2241"/>
      <c r="J2" s="2241"/>
      <c r="K2" s="2241"/>
      <c r="L2" s="2241"/>
      <c r="M2" s="2241"/>
      <c r="N2" s="2241"/>
      <c r="O2" s="2241"/>
      <c r="P2" s="2241"/>
      <c r="Q2" s="2241"/>
      <c r="R2" s="2241"/>
      <c r="S2" s="2241"/>
      <c r="T2" s="2241"/>
      <c r="U2" s="2241"/>
      <c r="V2" s="2241"/>
      <c r="W2" s="2241"/>
      <c r="X2" s="2241"/>
      <c r="Y2" s="2241"/>
    </row>
    <row r="3" spans="1:25" ht="21" customHeight="1" x14ac:dyDescent="0.25">
      <c r="A3" s="1553"/>
      <c r="B3" s="1553"/>
      <c r="C3" s="1553"/>
      <c r="D3" s="1553"/>
      <c r="E3" s="1553"/>
      <c r="F3" s="1553"/>
      <c r="G3" s="1553"/>
      <c r="H3" s="1553"/>
      <c r="I3" s="1553"/>
      <c r="J3" s="1553"/>
      <c r="K3" s="1553"/>
      <c r="L3" s="1553"/>
      <c r="M3" s="1553"/>
      <c r="N3" s="1553"/>
      <c r="O3" s="1553"/>
      <c r="P3" s="1553"/>
      <c r="Q3" s="1553"/>
      <c r="R3" s="1553"/>
      <c r="S3" s="1553"/>
      <c r="T3" s="2242" t="s">
        <v>505</v>
      </c>
      <c r="U3" s="2242"/>
      <c r="V3" s="2242"/>
      <c r="W3" s="2242"/>
      <c r="X3" s="2242"/>
      <c r="Y3" s="2242"/>
    </row>
    <row r="4" spans="1:25" s="1553" customFormat="1" ht="18" customHeight="1" x14ac:dyDescent="0.25">
      <c r="A4" s="2243" t="s">
        <v>25</v>
      </c>
      <c r="B4" s="2243" t="s">
        <v>26</v>
      </c>
      <c r="C4" s="2244" t="s">
        <v>27</v>
      </c>
      <c r="D4" s="2244"/>
      <c r="E4" s="2244" t="s">
        <v>342</v>
      </c>
      <c r="F4" s="2244"/>
      <c r="G4" s="2244" t="s">
        <v>65</v>
      </c>
      <c r="H4" s="2244"/>
      <c r="I4" s="2244" t="s">
        <v>29</v>
      </c>
      <c r="J4" s="2244"/>
      <c r="K4" s="2245" t="s">
        <v>14</v>
      </c>
      <c r="L4" s="2246"/>
      <c r="M4" s="2245" t="s">
        <v>429</v>
      </c>
      <c r="N4" s="2246"/>
      <c r="O4" s="2245" t="s">
        <v>441</v>
      </c>
      <c r="P4" s="2246"/>
      <c r="Q4" s="2245" t="s">
        <v>114</v>
      </c>
      <c r="R4" s="2246"/>
      <c r="S4" s="2244" t="s">
        <v>35</v>
      </c>
      <c r="T4" s="2244"/>
      <c r="U4" s="2245" t="s">
        <v>17</v>
      </c>
      <c r="V4" s="2246"/>
      <c r="W4" s="2247" t="s">
        <v>36</v>
      </c>
      <c r="X4" s="2248"/>
      <c r="Y4" s="2238" t="s">
        <v>30</v>
      </c>
    </row>
    <row r="5" spans="1:25" s="1553" customFormat="1" ht="25.5" customHeight="1" x14ac:dyDescent="0.25">
      <c r="A5" s="2243"/>
      <c r="B5" s="2243"/>
      <c r="C5" s="1552" t="s">
        <v>42</v>
      </c>
      <c r="D5" s="1552" t="s">
        <v>43</v>
      </c>
      <c r="E5" s="1552" t="s">
        <v>42</v>
      </c>
      <c r="F5" s="1552" t="s">
        <v>43</v>
      </c>
      <c r="G5" s="1552" t="s">
        <v>42</v>
      </c>
      <c r="H5" s="1552" t="s">
        <v>43</v>
      </c>
      <c r="I5" s="1552" t="s">
        <v>42</v>
      </c>
      <c r="J5" s="1552" t="s">
        <v>43</v>
      </c>
      <c r="K5" s="1552" t="s">
        <v>42</v>
      </c>
      <c r="L5" s="1552" t="s">
        <v>43</v>
      </c>
      <c r="M5" s="1552" t="s">
        <v>42</v>
      </c>
      <c r="N5" s="1552" t="s">
        <v>43</v>
      </c>
      <c r="O5" s="1552" t="s">
        <v>42</v>
      </c>
      <c r="P5" s="1552" t="s">
        <v>43</v>
      </c>
      <c r="Q5" s="1552" t="s">
        <v>42</v>
      </c>
      <c r="R5" s="1552" t="s">
        <v>43</v>
      </c>
      <c r="S5" s="33" t="s">
        <v>42</v>
      </c>
      <c r="T5" s="33" t="s">
        <v>43</v>
      </c>
      <c r="U5" s="30" t="s">
        <v>42</v>
      </c>
      <c r="V5" s="30" t="s">
        <v>43</v>
      </c>
      <c r="W5" s="30" t="s">
        <v>42</v>
      </c>
      <c r="X5" s="30" t="s">
        <v>43</v>
      </c>
      <c r="Y5" s="2239"/>
    </row>
    <row r="6" spans="1:25" ht="34.5" customHeight="1" x14ac:dyDescent="0.25">
      <c r="A6" s="12">
        <v>1409935200</v>
      </c>
      <c r="B6" s="1551" t="s">
        <v>71</v>
      </c>
      <c r="C6" s="1549">
        <v>12694</v>
      </c>
      <c r="D6" s="1548">
        <f t="shared" ref="D6:D11" si="0">0.9725*C6</f>
        <v>12344.915000000001</v>
      </c>
      <c r="E6" s="1549"/>
      <c r="F6" s="1548">
        <f>67.1*E6</f>
        <v>0</v>
      </c>
      <c r="G6" s="1549"/>
      <c r="H6" s="1549">
        <f>28.2*G6</f>
        <v>0</v>
      </c>
      <c r="I6" s="1549">
        <v>20</v>
      </c>
      <c r="J6" s="1549">
        <f>18.5*I6</f>
        <v>370</v>
      </c>
      <c r="K6" s="1549"/>
      <c r="L6" s="1548">
        <f>28.2368*K6</f>
        <v>0</v>
      </c>
      <c r="M6" s="1549"/>
      <c r="N6" s="1548">
        <f>M6*47.6525</f>
        <v>0</v>
      </c>
      <c r="O6" s="1549"/>
      <c r="P6" s="1548">
        <f>O6*8.9</f>
        <v>0</v>
      </c>
      <c r="Q6" s="1548"/>
      <c r="R6" s="1548">
        <f>241*Q6</f>
        <v>0</v>
      </c>
      <c r="S6" s="1549"/>
      <c r="T6" s="1549">
        <f>241*S6</f>
        <v>0</v>
      </c>
      <c r="U6" s="1549"/>
      <c r="V6" s="1549">
        <f>332*U6</f>
        <v>0</v>
      </c>
      <c r="W6" s="1549"/>
      <c r="X6" s="19">
        <f>W6*100</f>
        <v>0</v>
      </c>
      <c r="Y6" s="20">
        <f t="shared" ref="Y6:Y12" si="1">D6+F6+H6+J6+L6+N6+P6+R6+T6+V6+X6</f>
        <v>12714.915000000001</v>
      </c>
    </row>
    <row r="7" spans="1:25" ht="31.5" customHeight="1" x14ac:dyDescent="0.25">
      <c r="A7" s="12">
        <v>1984225578</v>
      </c>
      <c r="B7" s="1551" t="s">
        <v>72</v>
      </c>
      <c r="C7" s="1549">
        <v>29189</v>
      </c>
      <c r="D7" s="1548">
        <f t="shared" si="0"/>
        <v>28386.302500000002</v>
      </c>
      <c r="E7" s="1549"/>
      <c r="F7" s="1549">
        <f t="shared" ref="F7:F11" si="2">67.1*E7</f>
        <v>0</v>
      </c>
      <c r="G7" s="1549"/>
      <c r="H7" s="1549">
        <f t="shared" ref="H7:H11" si="3">28.2*G7</f>
        <v>0</v>
      </c>
      <c r="I7" s="1549"/>
      <c r="J7" s="1549">
        <f t="shared" ref="J7:J11" si="4">18.5*I7</f>
        <v>0</v>
      </c>
      <c r="K7" s="1549"/>
      <c r="L7" s="1548">
        <f t="shared" ref="L7:L11" si="5">28.2368*K7</f>
        <v>0</v>
      </c>
      <c r="M7" s="1549"/>
      <c r="N7" s="1548">
        <f t="shared" ref="N7:N11" si="6">M7*47.6525</f>
        <v>0</v>
      </c>
      <c r="O7" s="1549"/>
      <c r="P7" s="1548">
        <f t="shared" ref="P7:P11" si="7">O7*8.9</f>
        <v>0</v>
      </c>
      <c r="Q7" s="1548"/>
      <c r="R7" s="1548">
        <f t="shared" ref="R7:R11" si="8">241*Q7</f>
        <v>0</v>
      </c>
      <c r="S7" s="1549"/>
      <c r="T7" s="1549">
        <f t="shared" ref="T7:T10" si="9">241*S7</f>
        <v>0</v>
      </c>
      <c r="U7" s="1549">
        <v>8</v>
      </c>
      <c r="V7" s="1549">
        <f t="shared" ref="V7:V11" si="10">332*U7</f>
        <v>2656</v>
      </c>
      <c r="W7" s="1549"/>
      <c r="X7" s="19">
        <f t="shared" ref="X7:X11" si="11">W7*100</f>
        <v>0</v>
      </c>
      <c r="Y7" s="20">
        <f t="shared" si="1"/>
        <v>31042.302500000002</v>
      </c>
    </row>
    <row r="8" spans="1:25" ht="35.25" customHeight="1" x14ac:dyDescent="0.25">
      <c r="A8" s="12">
        <v>1967020280</v>
      </c>
      <c r="B8" s="1551" t="s">
        <v>427</v>
      </c>
      <c r="C8" s="1549">
        <v>23399</v>
      </c>
      <c r="D8" s="1548">
        <f t="shared" si="0"/>
        <v>22755.5275</v>
      </c>
      <c r="E8" s="1549"/>
      <c r="F8" s="1549">
        <f t="shared" si="2"/>
        <v>0</v>
      </c>
      <c r="G8" s="1549"/>
      <c r="H8" s="1548">
        <f t="shared" si="3"/>
        <v>0</v>
      </c>
      <c r="I8" s="1549"/>
      <c r="J8" s="1549">
        <f t="shared" si="4"/>
        <v>0</v>
      </c>
      <c r="K8" s="1549">
        <v>70</v>
      </c>
      <c r="L8" s="1548">
        <f t="shared" si="5"/>
        <v>1976.576</v>
      </c>
      <c r="M8" s="1549"/>
      <c r="N8" s="1548">
        <f t="shared" si="6"/>
        <v>0</v>
      </c>
      <c r="O8" s="1549"/>
      <c r="P8" s="1548">
        <f t="shared" si="7"/>
        <v>0</v>
      </c>
      <c r="Q8" s="1548"/>
      <c r="R8" s="1548">
        <f t="shared" si="8"/>
        <v>0</v>
      </c>
      <c r="S8" s="1549"/>
      <c r="T8" s="1549">
        <f t="shared" si="9"/>
        <v>0</v>
      </c>
      <c r="U8" s="1549">
        <v>2</v>
      </c>
      <c r="V8" s="1549">
        <f t="shared" si="10"/>
        <v>664</v>
      </c>
      <c r="W8" s="1549"/>
      <c r="X8" s="19">
        <f t="shared" si="11"/>
        <v>0</v>
      </c>
      <c r="Y8" s="20">
        <f t="shared" si="1"/>
        <v>25396.103500000001</v>
      </c>
    </row>
    <row r="9" spans="1:25" ht="38.25" customHeight="1" x14ac:dyDescent="0.25">
      <c r="A9" s="12">
        <v>1984225580</v>
      </c>
      <c r="B9" s="1551" t="s">
        <v>75</v>
      </c>
      <c r="C9" s="1549">
        <v>32785</v>
      </c>
      <c r="D9" s="1548">
        <f t="shared" si="0"/>
        <v>31883.412500000002</v>
      </c>
      <c r="E9" s="1549"/>
      <c r="F9" s="1549">
        <f t="shared" si="2"/>
        <v>0</v>
      </c>
      <c r="G9" s="1549"/>
      <c r="H9" s="1549">
        <f t="shared" si="3"/>
        <v>0</v>
      </c>
      <c r="I9" s="1549"/>
      <c r="J9" s="1549">
        <f t="shared" si="4"/>
        <v>0</v>
      </c>
      <c r="K9" s="1549"/>
      <c r="L9" s="1548">
        <f t="shared" si="5"/>
        <v>0</v>
      </c>
      <c r="M9" s="1549"/>
      <c r="N9" s="1548">
        <f t="shared" si="6"/>
        <v>0</v>
      </c>
      <c r="O9" s="1549"/>
      <c r="P9" s="1548">
        <f t="shared" si="7"/>
        <v>0</v>
      </c>
      <c r="Q9" s="1548"/>
      <c r="R9" s="1548">
        <f t="shared" si="8"/>
        <v>0</v>
      </c>
      <c r="S9" s="1549"/>
      <c r="T9" s="1549">
        <f t="shared" si="9"/>
        <v>0</v>
      </c>
      <c r="U9" s="1549"/>
      <c r="V9" s="1549">
        <f t="shared" si="10"/>
        <v>0</v>
      </c>
      <c r="W9" s="1549"/>
      <c r="X9" s="19">
        <f t="shared" si="11"/>
        <v>0</v>
      </c>
      <c r="Y9" s="20">
        <f t="shared" si="1"/>
        <v>31883.412500000002</v>
      </c>
    </row>
    <row r="10" spans="1:25" ht="35.25" customHeight="1" x14ac:dyDescent="0.25">
      <c r="A10" s="12">
        <v>1409935199</v>
      </c>
      <c r="C10" s="1549"/>
      <c r="D10" s="1548">
        <f t="shared" si="0"/>
        <v>0</v>
      </c>
      <c r="E10" s="1549"/>
      <c r="F10" s="1549">
        <f t="shared" si="2"/>
        <v>0</v>
      </c>
      <c r="G10" s="1549"/>
      <c r="H10" s="1549">
        <f t="shared" si="3"/>
        <v>0</v>
      </c>
      <c r="I10" s="1549"/>
      <c r="J10" s="1549">
        <f t="shared" si="4"/>
        <v>0</v>
      </c>
      <c r="K10" s="1549"/>
      <c r="L10" s="1548">
        <f t="shared" si="5"/>
        <v>0</v>
      </c>
      <c r="M10" s="1549"/>
      <c r="N10" s="1548">
        <f t="shared" si="6"/>
        <v>0</v>
      </c>
      <c r="O10" s="1549"/>
      <c r="P10" s="1548">
        <f t="shared" si="7"/>
        <v>0</v>
      </c>
      <c r="Q10" s="1548"/>
      <c r="R10" s="1548">
        <f t="shared" si="8"/>
        <v>0</v>
      </c>
      <c r="S10" s="1549"/>
      <c r="T10" s="1549">
        <f t="shared" si="9"/>
        <v>0</v>
      </c>
      <c r="U10" s="1549"/>
      <c r="V10" s="1549">
        <f t="shared" si="10"/>
        <v>0</v>
      </c>
      <c r="W10" s="1549"/>
      <c r="X10" s="19">
        <f t="shared" si="11"/>
        <v>0</v>
      </c>
      <c r="Y10" s="20">
        <f t="shared" si="1"/>
        <v>0</v>
      </c>
    </row>
    <row r="11" spans="1:25" ht="37.5" customHeight="1" x14ac:dyDescent="0.25">
      <c r="A11" s="12"/>
      <c r="B11" s="1550"/>
      <c r="C11" s="1549"/>
      <c r="D11" s="1548">
        <f t="shared" si="0"/>
        <v>0</v>
      </c>
      <c r="E11" s="1549"/>
      <c r="F11" s="1549">
        <f t="shared" si="2"/>
        <v>0</v>
      </c>
      <c r="G11" s="1549"/>
      <c r="H11" s="1549">
        <f t="shared" si="3"/>
        <v>0</v>
      </c>
      <c r="I11" s="1549"/>
      <c r="J11" s="1549">
        <f t="shared" si="4"/>
        <v>0</v>
      </c>
      <c r="K11" s="1549"/>
      <c r="L11" s="1548">
        <f t="shared" si="5"/>
        <v>0</v>
      </c>
      <c r="M11" s="1549"/>
      <c r="N11" s="1548">
        <f t="shared" si="6"/>
        <v>0</v>
      </c>
      <c r="O11" s="1549"/>
      <c r="P11" s="1548">
        <f t="shared" si="7"/>
        <v>0</v>
      </c>
      <c r="Q11" s="1548"/>
      <c r="R11" s="1548">
        <f t="shared" si="8"/>
        <v>0</v>
      </c>
      <c r="S11" s="1549"/>
      <c r="T11" s="1549">
        <f>341*S11</f>
        <v>0</v>
      </c>
      <c r="U11" s="1549"/>
      <c r="V11" s="1549">
        <f t="shared" si="10"/>
        <v>0</v>
      </c>
      <c r="W11" s="1549"/>
      <c r="X11" s="19">
        <f t="shared" si="11"/>
        <v>0</v>
      </c>
      <c r="Y11" s="20">
        <f t="shared" si="1"/>
        <v>0</v>
      </c>
    </row>
    <row r="12" spans="1:25" ht="29.25" customHeight="1" x14ac:dyDescent="0.25">
      <c r="A12" s="2235" t="s">
        <v>31</v>
      </c>
      <c r="B12" s="2235"/>
      <c r="C12" s="18">
        <f t="shared" ref="C12:X12" si="12">SUM(C6:C11)</f>
        <v>98067</v>
      </c>
      <c r="D12" s="18">
        <f t="shared" si="12"/>
        <v>95370.157500000001</v>
      </c>
      <c r="E12" s="18">
        <f t="shared" si="12"/>
        <v>0</v>
      </c>
      <c r="F12" s="18">
        <f t="shared" si="12"/>
        <v>0</v>
      </c>
      <c r="G12" s="18">
        <f t="shared" si="12"/>
        <v>0</v>
      </c>
      <c r="H12" s="18">
        <f t="shared" si="12"/>
        <v>0</v>
      </c>
      <c r="I12" s="18">
        <f t="shared" si="12"/>
        <v>20</v>
      </c>
      <c r="J12" s="18">
        <f t="shared" si="12"/>
        <v>370</v>
      </c>
      <c r="K12" s="18">
        <f t="shared" si="12"/>
        <v>70</v>
      </c>
      <c r="L12" s="18">
        <f t="shared" si="12"/>
        <v>1976.576</v>
      </c>
      <c r="M12" s="18">
        <f t="shared" si="12"/>
        <v>0</v>
      </c>
      <c r="N12" s="23">
        <f t="shared" si="12"/>
        <v>0</v>
      </c>
      <c r="O12" s="18">
        <f t="shared" si="12"/>
        <v>0</v>
      </c>
      <c r="P12" s="23">
        <f t="shared" si="12"/>
        <v>0</v>
      </c>
      <c r="Q12" s="23">
        <f t="shared" si="12"/>
        <v>0</v>
      </c>
      <c r="R12" s="23">
        <f>SUM(R6:R11)</f>
        <v>0</v>
      </c>
      <c r="S12" s="23">
        <f>SUM(S6:S11)</f>
        <v>0</v>
      </c>
      <c r="T12" s="18">
        <f t="shared" si="12"/>
        <v>0</v>
      </c>
      <c r="U12" s="18">
        <f t="shared" si="12"/>
        <v>10</v>
      </c>
      <c r="V12" s="18">
        <f t="shared" si="12"/>
        <v>3320</v>
      </c>
      <c r="W12" s="18">
        <f t="shared" si="12"/>
        <v>0</v>
      </c>
      <c r="X12" s="18">
        <f t="shared" si="12"/>
        <v>0</v>
      </c>
      <c r="Y12" s="20">
        <f t="shared" si="1"/>
        <v>101036.7335</v>
      </c>
    </row>
    <row r="14" spans="1:25" ht="43.5" customHeight="1" x14ac:dyDescent="0.25">
      <c r="A14" s="30" t="s">
        <v>32</v>
      </c>
      <c r="B14" s="2236" t="s">
        <v>27</v>
      </c>
      <c r="C14" s="2236"/>
      <c r="D14" s="30" t="s">
        <v>333</v>
      </c>
      <c r="E14" s="30" t="s">
        <v>65</v>
      </c>
      <c r="F14" s="30" t="s">
        <v>34</v>
      </c>
      <c r="G14" s="30" t="s">
        <v>14</v>
      </c>
      <c r="H14" s="469" t="s">
        <v>173</v>
      </c>
      <c r="I14" s="30" t="s">
        <v>17</v>
      </c>
      <c r="J14" s="1557" t="s">
        <v>174</v>
      </c>
      <c r="K14" s="30" t="s">
        <v>36</v>
      </c>
      <c r="L14" s="1557" t="s">
        <v>403</v>
      </c>
      <c r="M14" s="30" t="s">
        <v>429</v>
      </c>
      <c r="N14" s="30" t="s">
        <v>442</v>
      </c>
      <c r="O14" s="1557" t="s">
        <v>114</v>
      </c>
      <c r="P14" s="30" t="s">
        <v>70</v>
      </c>
      <c r="Q14" s="2300" t="s">
        <v>479</v>
      </c>
      <c r="R14" s="2301"/>
      <c r="S14" s="1557" t="s">
        <v>401</v>
      </c>
      <c r="T14" s="2235" t="s">
        <v>46</v>
      </c>
      <c r="U14" s="1551" t="s">
        <v>176</v>
      </c>
      <c r="V14" s="2260">
        <v>44292</v>
      </c>
      <c r="W14" s="2268"/>
      <c r="X14" s="2261"/>
    </row>
    <row r="15" spans="1:25" ht="22.5" customHeight="1" x14ac:dyDescent="0.25">
      <c r="A15" s="100" t="s">
        <v>38</v>
      </c>
      <c r="B15" s="2260">
        <v>320307</v>
      </c>
      <c r="C15" s="2261"/>
      <c r="D15" s="1554">
        <v>80</v>
      </c>
      <c r="E15" s="1554">
        <v>60</v>
      </c>
      <c r="F15" s="1554">
        <v>7120</v>
      </c>
      <c r="G15" s="1554">
        <v>150</v>
      </c>
      <c r="H15" s="1554">
        <v>72</v>
      </c>
      <c r="I15" s="1554">
        <v>17</v>
      </c>
      <c r="J15" s="1554">
        <v>4</v>
      </c>
      <c r="K15" s="1554">
        <v>76</v>
      </c>
      <c r="L15" s="1554">
        <v>0</v>
      </c>
      <c r="M15" s="1554">
        <v>0</v>
      </c>
      <c r="N15" s="1554">
        <v>0</v>
      </c>
      <c r="O15" s="1554">
        <v>0</v>
      </c>
      <c r="P15" s="1554">
        <v>100</v>
      </c>
      <c r="Q15" s="2260">
        <v>10</v>
      </c>
      <c r="R15" s="2261"/>
      <c r="S15" s="1551">
        <v>2</v>
      </c>
      <c r="T15" s="2235"/>
      <c r="U15" s="1551" t="s">
        <v>64</v>
      </c>
      <c r="V15" s="2262">
        <v>83702</v>
      </c>
      <c r="W15" s="2262"/>
      <c r="X15" s="2262"/>
    </row>
    <row r="16" spans="1:25" ht="24.75" customHeight="1" x14ac:dyDescent="0.25">
      <c r="A16" s="100" t="s">
        <v>39</v>
      </c>
      <c r="B16" s="2260">
        <v>52727</v>
      </c>
      <c r="C16" s="2261"/>
      <c r="D16" s="1554"/>
      <c r="E16" s="1554"/>
      <c r="F16" s="1554">
        <v>10000</v>
      </c>
      <c r="G16" s="1554"/>
      <c r="H16" s="1554"/>
      <c r="I16" s="1554">
        <v>50</v>
      </c>
      <c r="J16" s="1554"/>
      <c r="K16" s="1554"/>
      <c r="L16" s="1554"/>
      <c r="M16" s="1554"/>
      <c r="N16" s="1554"/>
      <c r="O16" s="1554"/>
      <c r="P16" s="1554"/>
      <c r="Q16" s="2262"/>
      <c r="R16" s="2262"/>
      <c r="S16" s="1554"/>
      <c r="T16" s="2254" t="s">
        <v>55</v>
      </c>
      <c r="U16" s="2254"/>
      <c r="V16" s="2267">
        <f>Y12</f>
        <v>101036.7335</v>
      </c>
      <c r="W16" s="2267"/>
      <c r="X16" s="2262"/>
    </row>
    <row r="17" spans="1:25" ht="28.5" customHeight="1" x14ac:dyDescent="0.25">
      <c r="A17" s="101" t="s">
        <v>44</v>
      </c>
      <c r="B17" s="2260">
        <v>43979</v>
      </c>
      <c r="C17" s="2261"/>
      <c r="D17" s="1554"/>
      <c r="E17" s="1554"/>
      <c r="F17" s="1554"/>
      <c r="G17" s="1554"/>
      <c r="H17" s="1554"/>
      <c r="I17" s="1554"/>
      <c r="J17" s="1554"/>
      <c r="K17" s="1554"/>
      <c r="L17" s="1554"/>
      <c r="M17" s="1554"/>
      <c r="N17" s="1554"/>
      <c r="O17" s="1554"/>
      <c r="P17" s="1554"/>
      <c r="Q17" s="2225"/>
      <c r="R17" s="2225"/>
      <c r="S17" s="1550"/>
      <c r="T17" s="2294" t="s">
        <v>473</v>
      </c>
      <c r="U17" s="2295"/>
      <c r="V17" s="2296"/>
      <c r="W17" s="2296"/>
      <c r="X17" s="2296"/>
    </row>
    <row r="18" spans="1:25" ht="27" customHeight="1" x14ac:dyDescent="0.25">
      <c r="A18" s="100" t="s">
        <v>40</v>
      </c>
      <c r="B18" s="2264">
        <f>C12</f>
        <v>98067</v>
      </c>
      <c r="C18" s="2261"/>
      <c r="D18" s="1556">
        <f>E12</f>
        <v>0</v>
      </c>
      <c r="E18" s="1556">
        <f>G12</f>
        <v>0</v>
      </c>
      <c r="F18" s="1556">
        <f>I12</f>
        <v>20</v>
      </c>
      <c r="G18" s="1556">
        <f>K12</f>
        <v>70</v>
      </c>
      <c r="H18" s="1554"/>
      <c r="I18" s="1556">
        <f>U12</f>
        <v>10</v>
      </c>
      <c r="J18" s="1554"/>
      <c r="K18" s="1556">
        <f>W12</f>
        <v>0</v>
      </c>
      <c r="L18" s="1554"/>
      <c r="M18" s="1556">
        <f>M12</f>
        <v>0</v>
      </c>
      <c r="N18" s="1556">
        <f>O12</f>
        <v>0</v>
      </c>
      <c r="O18" s="1555">
        <f>Q12</f>
        <v>0</v>
      </c>
      <c r="P18" s="1556"/>
      <c r="Q18" s="2262"/>
      <c r="R18" s="2262"/>
      <c r="S18" s="1551"/>
      <c r="T18" s="2254" t="s">
        <v>57</v>
      </c>
      <c r="U18" s="2254"/>
      <c r="V18" s="2262">
        <v>10470</v>
      </c>
      <c r="W18" s="2262"/>
      <c r="X18" s="2262"/>
      <c r="Y18" s="2269"/>
    </row>
    <row r="19" spans="1:25" ht="25.5" customHeight="1" x14ac:dyDescent="0.25">
      <c r="A19" s="100" t="s">
        <v>41</v>
      </c>
      <c r="B19" s="2260">
        <f>B15+B16+B17-B18</f>
        <v>318946</v>
      </c>
      <c r="C19" s="2261"/>
      <c r="D19" s="1554">
        <f>D15+D16+D17-D18</f>
        <v>80</v>
      </c>
      <c r="E19" s="1554">
        <f t="shared" ref="E19:N19" si="13">E15+E16+E17-E18</f>
        <v>60</v>
      </c>
      <c r="F19" s="1554">
        <f t="shared" si="13"/>
        <v>17100</v>
      </c>
      <c r="G19" s="1554">
        <f t="shared" si="13"/>
        <v>80</v>
      </c>
      <c r="H19" s="1554">
        <f t="shared" si="13"/>
        <v>72</v>
      </c>
      <c r="I19" s="1554">
        <f t="shared" si="13"/>
        <v>57</v>
      </c>
      <c r="J19" s="1554">
        <f t="shared" si="13"/>
        <v>4</v>
      </c>
      <c r="K19" s="1554">
        <f t="shared" si="13"/>
        <v>76</v>
      </c>
      <c r="L19" s="1554">
        <f t="shared" si="13"/>
        <v>0</v>
      </c>
      <c r="M19" s="1554">
        <f t="shared" si="13"/>
        <v>0</v>
      </c>
      <c r="N19" s="1554">
        <f t="shared" si="13"/>
        <v>0</v>
      </c>
      <c r="O19" s="1554">
        <f>O15+O16+O17-O18</f>
        <v>0</v>
      </c>
      <c r="P19" s="1554">
        <f t="shared" ref="P19:Q19" si="14">P15+P16+P17-P18</f>
        <v>100</v>
      </c>
      <c r="Q19" s="2260">
        <f t="shared" si="14"/>
        <v>10</v>
      </c>
      <c r="R19" s="2261"/>
      <c r="S19" s="1551">
        <f>S15+S16-S17-S18</f>
        <v>2</v>
      </c>
      <c r="T19" s="2256" t="s">
        <v>48</v>
      </c>
      <c r="U19" s="49" t="s">
        <v>58</v>
      </c>
      <c r="V19" s="2262">
        <v>100000</v>
      </c>
      <c r="W19" s="2262"/>
      <c r="X19" s="2262"/>
      <c r="Y19" s="2269"/>
    </row>
    <row r="20" spans="1:25" ht="23.25" customHeight="1" x14ac:dyDescent="0.25">
      <c r="A20" s="289" t="s">
        <v>187</v>
      </c>
      <c r="B20" s="2286">
        <f>B19*0.9625</f>
        <v>306985.52500000002</v>
      </c>
      <c r="C20" s="2287"/>
      <c r="D20" s="290">
        <f>D19*66.41</f>
        <v>5312.7999999999993</v>
      </c>
      <c r="E20" s="290">
        <f>27.9368*E19</f>
        <v>1676.2080000000001</v>
      </c>
      <c r="F20" s="290">
        <f>18.31*F19</f>
        <v>313101</v>
      </c>
      <c r="G20" s="290">
        <f>27.9368*G19</f>
        <v>2234.944</v>
      </c>
      <c r="H20" s="290">
        <f>241*H19</f>
        <v>17352</v>
      </c>
      <c r="I20" s="290">
        <f>323*I19</f>
        <v>18411</v>
      </c>
      <c r="J20" s="290">
        <f>241*J19</f>
        <v>964</v>
      </c>
      <c r="K20" s="290">
        <f>K19*100</f>
        <v>7600</v>
      </c>
      <c r="L20" s="290">
        <f>241*L19</f>
        <v>0</v>
      </c>
      <c r="M20" s="290">
        <f>47.1625*M19</f>
        <v>0</v>
      </c>
      <c r="N20" s="290">
        <f>N19*8.81</f>
        <v>0</v>
      </c>
      <c r="O20" s="290">
        <f>241*O19</f>
        <v>0</v>
      </c>
      <c r="P20" s="290">
        <f>P19*48.2</f>
        <v>4820</v>
      </c>
      <c r="Q20" s="2286">
        <f>470*Q19</f>
        <v>4700</v>
      </c>
      <c r="R20" s="2287"/>
      <c r="S20" s="290">
        <f>341*S19</f>
        <v>682</v>
      </c>
      <c r="T20" s="2257"/>
      <c r="U20" s="49" t="s">
        <v>59</v>
      </c>
      <c r="V20" s="2262"/>
      <c r="W20" s="2262"/>
      <c r="X20" s="2262"/>
      <c r="Y20" s="2269"/>
    </row>
    <row r="21" spans="1:25" ht="32.25" customHeight="1" x14ac:dyDescent="0.25">
      <c r="A21" s="291" t="s">
        <v>186</v>
      </c>
      <c r="B21" s="2293">
        <f>SUM(B20:S20)</f>
        <v>683839.47700000007</v>
      </c>
      <c r="C21" s="2293"/>
      <c r="O21" s="1558"/>
      <c r="P21" s="1558"/>
      <c r="Q21" s="1558"/>
      <c r="R21" s="1558"/>
      <c r="T21" s="2294" t="s">
        <v>487</v>
      </c>
      <c r="U21" s="2295"/>
      <c r="V21" s="2297"/>
      <c r="W21" s="2298"/>
      <c r="X21" s="2299"/>
      <c r="Y21" s="2269"/>
    </row>
    <row r="22" spans="1:25" ht="35.25" customHeight="1" x14ac:dyDescent="0.25">
      <c r="A22" s="15"/>
      <c r="B22" s="2288" t="s">
        <v>49</v>
      </c>
      <c r="C22" s="2291">
        <v>100000</v>
      </c>
      <c r="D22" s="2291">
        <v>100000</v>
      </c>
      <c r="E22" s="2291">
        <v>250000</v>
      </c>
      <c r="F22" s="2291">
        <f>C22-D22+E22</f>
        <v>250000</v>
      </c>
      <c r="G22" s="1558"/>
      <c r="Q22" s="1558"/>
      <c r="R22" s="1558"/>
      <c r="T22" s="2251" t="s">
        <v>83</v>
      </c>
      <c r="U22" s="50" t="s">
        <v>60</v>
      </c>
      <c r="V22" s="2262">
        <v>99670</v>
      </c>
      <c r="W22" s="2262"/>
      <c r="X22" s="2262"/>
      <c r="Y22" s="2269"/>
    </row>
    <row r="23" spans="1:25" ht="39.75" customHeight="1" x14ac:dyDescent="0.25">
      <c r="A23" s="1558"/>
      <c r="B23" s="2289"/>
      <c r="C23" s="2292"/>
      <c r="D23" s="2292"/>
      <c r="E23" s="2292"/>
      <c r="F23" s="2292"/>
      <c r="G23" s="1558"/>
      <c r="Q23" s="1558"/>
      <c r="R23" s="1558"/>
      <c r="T23" s="2252"/>
      <c r="U23" s="50" t="s">
        <v>61</v>
      </c>
      <c r="V23" s="2262">
        <v>100000</v>
      </c>
      <c r="W23" s="2262"/>
      <c r="X23" s="2262"/>
      <c r="Y23" s="2269"/>
    </row>
    <row r="24" spans="1:25" ht="48" customHeight="1" x14ac:dyDescent="0.25">
      <c r="A24" s="1558"/>
      <c r="B24" s="2290"/>
      <c r="C24" s="290" t="s">
        <v>46</v>
      </c>
      <c r="D24" s="290" t="s">
        <v>50</v>
      </c>
      <c r="E24" s="290" t="s">
        <v>51</v>
      </c>
      <c r="F24" s="290" t="s">
        <v>52</v>
      </c>
      <c r="G24" s="1558"/>
      <c r="Q24" s="1558"/>
      <c r="R24" s="1558"/>
      <c r="T24" s="2235" t="s">
        <v>47</v>
      </c>
      <c r="U24" s="51" t="s">
        <v>62</v>
      </c>
      <c r="V24" s="2263">
        <f>V14+V16+V17-V18-V19-V20-V22+V23-V21</f>
        <v>35188.733500000002</v>
      </c>
      <c r="W24" s="2263"/>
      <c r="X24" s="2263"/>
      <c r="Y24" s="2269"/>
    </row>
    <row r="25" spans="1:25" ht="40.5" customHeight="1" x14ac:dyDescent="0.25">
      <c r="T25" s="2235"/>
      <c r="U25" s="51" t="s">
        <v>63</v>
      </c>
      <c r="V25" s="2262">
        <f>V15+V22-V23</f>
        <v>83372</v>
      </c>
      <c r="W25" s="2262"/>
      <c r="X25" s="2262"/>
    </row>
    <row r="26" spans="1:25" ht="36" customHeight="1" x14ac:dyDescent="0.25">
      <c r="K26" s="314"/>
    </row>
    <row r="28" spans="1:25" x14ac:dyDescent="0.25">
      <c r="J28" s="14" t="s">
        <v>139</v>
      </c>
    </row>
    <row r="32" spans="1:25" x14ac:dyDescent="0.25">
      <c r="I32" s="2280"/>
      <c r="J32" s="2280"/>
      <c r="K32" s="2280"/>
      <c r="L32" s="2280"/>
    </row>
    <row r="33" spans="9:12" x14ac:dyDescent="0.25">
      <c r="I33" s="1558"/>
      <c r="J33" s="1558"/>
      <c r="K33" s="2280"/>
      <c r="L33" s="2280"/>
    </row>
  </sheetData>
  <mergeCells count="62">
    <mergeCell ref="A1:Y1"/>
    <mergeCell ref="A2:Y2"/>
    <mergeCell ref="T3:Y3"/>
    <mergeCell ref="A4:A5"/>
    <mergeCell ref="B4:B5"/>
    <mergeCell ref="C4:D4"/>
    <mergeCell ref="E4:F4"/>
    <mergeCell ref="G4:H4"/>
    <mergeCell ref="I4:J4"/>
    <mergeCell ref="K4:L4"/>
    <mergeCell ref="Y4:Y5"/>
    <mergeCell ref="M4:N4"/>
    <mergeCell ref="O4:P4"/>
    <mergeCell ref="Q4:R4"/>
    <mergeCell ref="S4:T4"/>
    <mergeCell ref="U4:V4"/>
    <mergeCell ref="W4:X4"/>
    <mergeCell ref="B16:C16"/>
    <mergeCell ref="Q16:R16"/>
    <mergeCell ref="T16:U16"/>
    <mergeCell ref="V16:X16"/>
    <mergeCell ref="A12:B12"/>
    <mergeCell ref="B14:C14"/>
    <mergeCell ref="Q14:R14"/>
    <mergeCell ref="T14:T15"/>
    <mergeCell ref="V14:X14"/>
    <mergeCell ref="B15:C15"/>
    <mergeCell ref="Q15:R15"/>
    <mergeCell ref="V15:X15"/>
    <mergeCell ref="B17:C17"/>
    <mergeCell ref="Q17:R17"/>
    <mergeCell ref="T17:U17"/>
    <mergeCell ref="V17:X17"/>
    <mergeCell ref="B18:C18"/>
    <mergeCell ref="Q18:R18"/>
    <mergeCell ref="T18:U18"/>
    <mergeCell ref="V18:X18"/>
    <mergeCell ref="Y18:Y24"/>
    <mergeCell ref="B19:C19"/>
    <mergeCell ref="Q19:R19"/>
    <mergeCell ref="T19:T20"/>
    <mergeCell ref="V19:X19"/>
    <mergeCell ref="B20:C20"/>
    <mergeCell ref="B22:B24"/>
    <mergeCell ref="C22:C23"/>
    <mergeCell ref="D22:D23"/>
    <mergeCell ref="E22:E23"/>
    <mergeCell ref="F22:F23"/>
    <mergeCell ref="Q20:R20"/>
    <mergeCell ref="V20:X20"/>
    <mergeCell ref="B21:C21"/>
    <mergeCell ref="T21:U21"/>
    <mergeCell ref="V21:X21"/>
    <mergeCell ref="I32:J32"/>
    <mergeCell ref="K32:L32"/>
    <mergeCell ref="K33:L33"/>
    <mergeCell ref="T22:T23"/>
    <mergeCell ref="V22:X22"/>
    <mergeCell ref="V23:X23"/>
    <mergeCell ref="T24:T25"/>
    <mergeCell ref="V24:X24"/>
    <mergeCell ref="V25:X25"/>
  </mergeCells>
  <pageMargins left="0.15748031496063" right="0.15748031496063" top="0" bottom="0" header="0" footer="0"/>
  <pageSetup paperSize="9" scale="46" orientation="landscape" r:id="rId1"/>
</worksheet>
</file>

<file path=xl/worksheets/sheet26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D80337E-37A8-422E-81B3-547C70BD54AD}">
  <sheetPr>
    <pageSetUpPr fitToPage="1"/>
  </sheetPr>
  <dimension ref="A1:Y33"/>
  <sheetViews>
    <sheetView topLeftCell="D13" zoomScale="70" zoomScaleNormal="70" zoomScaleSheetLayoutView="100" zoomScalePageLayoutView="68" workbookViewId="0">
      <selection activeCell="N25" sqref="N25"/>
    </sheetView>
  </sheetViews>
  <sheetFormatPr defaultColWidth="9.140625" defaultRowHeight="15" x14ac:dyDescent="0.25"/>
  <cols>
    <col min="1" max="1" width="18.28515625" style="14" customWidth="1"/>
    <col min="2" max="2" width="10.7109375" style="14" customWidth="1"/>
    <col min="3" max="3" width="12.28515625" style="14" customWidth="1"/>
    <col min="4" max="4" width="13.140625" style="14" bestFit="1" customWidth="1"/>
    <col min="5" max="5" width="12" style="14" customWidth="1"/>
    <col min="6" max="6" width="14" style="14" bestFit="1" customWidth="1"/>
    <col min="7" max="7" width="16" style="14" bestFit="1" customWidth="1"/>
    <col min="8" max="8" width="10.140625" style="14" bestFit="1" customWidth="1"/>
    <col min="9" max="9" width="10.5703125" style="14" bestFit="1" customWidth="1"/>
    <col min="10" max="10" width="10.5703125" style="14" customWidth="1"/>
    <col min="11" max="11" width="10.28515625" style="14" bestFit="1" customWidth="1"/>
    <col min="12" max="12" width="10.42578125" style="14" bestFit="1" customWidth="1"/>
    <col min="13" max="14" width="12" style="14" bestFit="1" customWidth="1"/>
    <col min="15" max="15" width="11" style="14" customWidth="1"/>
    <col min="16" max="16" width="12.85546875" style="14" bestFit="1" customWidth="1"/>
    <col min="17" max="18" width="9.42578125" style="14" customWidth="1"/>
    <col min="19" max="19" width="13.7109375" style="14" customWidth="1"/>
    <col min="20" max="20" width="12.140625" style="14" customWidth="1"/>
    <col min="21" max="21" width="21.7109375" style="14" customWidth="1"/>
    <col min="22" max="22" width="9.85546875" style="14" customWidth="1"/>
    <col min="23" max="23" width="10.140625" style="14" bestFit="1" customWidth="1"/>
    <col min="24" max="24" width="10.28515625" style="14" customWidth="1"/>
    <col min="25" max="25" width="15.7109375" style="14" customWidth="1"/>
    <col min="26" max="16384" width="9.140625" style="14"/>
  </cols>
  <sheetData>
    <row r="1" spans="1:25" ht="46.15" customHeight="1" x14ac:dyDescent="0.25">
      <c r="A1" s="2240" t="s">
        <v>148</v>
      </c>
      <c r="B1" s="2240"/>
      <c r="C1" s="2240"/>
      <c r="D1" s="2240"/>
      <c r="E1" s="2240"/>
      <c r="F1" s="2240"/>
      <c r="G1" s="2240"/>
      <c r="H1" s="2240"/>
      <c r="I1" s="2240"/>
      <c r="J1" s="2240"/>
      <c r="K1" s="2240"/>
      <c r="L1" s="2240"/>
      <c r="M1" s="2240"/>
      <c r="N1" s="2240"/>
      <c r="O1" s="2240"/>
      <c r="P1" s="2240"/>
      <c r="Q1" s="2240"/>
      <c r="R1" s="2240"/>
      <c r="S1" s="2240"/>
      <c r="T1" s="2240"/>
      <c r="U1" s="2240"/>
      <c r="V1" s="2240"/>
      <c r="W1" s="2240"/>
      <c r="X1" s="2240"/>
      <c r="Y1" s="2240"/>
    </row>
    <row r="2" spans="1:25" ht="21.6" customHeight="1" x14ac:dyDescent="0.25">
      <c r="A2" s="2241" t="s">
        <v>383</v>
      </c>
      <c r="B2" s="2241"/>
      <c r="C2" s="2241"/>
      <c r="D2" s="2241"/>
      <c r="E2" s="2241"/>
      <c r="F2" s="2241"/>
      <c r="G2" s="2241"/>
      <c r="H2" s="2241"/>
      <c r="I2" s="2241"/>
      <c r="J2" s="2241"/>
      <c r="K2" s="2241"/>
      <c r="L2" s="2241"/>
      <c r="M2" s="2241"/>
      <c r="N2" s="2241"/>
      <c r="O2" s="2241"/>
      <c r="P2" s="2241"/>
      <c r="Q2" s="2241"/>
      <c r="R2" s="2241"/>
      <c r="S2" s="2241"/>
      <c r="T2" s="2241"/>
      <c r="U2" s="2241"/>
      <c r="V2" s="2241"/>
      <c r="W2" s="2241"/>
      <c r="X2" s="2241"/>
      <c r="Y2" s="2241"/>
    </row>
    <row r="3" spans="1:25" ht="21" customHeight="1" x14ac:dyDescent="0.25">
      <c r="A3" s="1559"/>
      <c r="B3" s="1559"/>
      <c r="C3" s="1559"/>
      <c r="D3" s="1559"/>
      <c r="E3" s="1559"/>
      <c r="F3" s="1559"/>
      <c r="G3" s="1559"/>
      <c r="H3" s="1559"/>
      <c r="I3" s="1559"/>
      <c r="J3" s="1559"/>
      <c r="K3" s="1559"/>
      <c r="L3" s="1559"/>
      <c r="M3" s="1559"/>
      <c r="N3" s="1559"/>
      <c r="O3" s="1559"/>
      <c r="P3" s="1559"/>
      <c r="Q3" s="1559"/>
      <c r="R3" s="1559"/>
      <c r="S3" s="1559"/>
      <c r="T3" s="2242" t="s">
        <v>506</v>
      </c>
      <c r="U3" s="2242"/>
      <c r="V3" s="2242"/>
      <c r="W3" s="2242"/>
      <c r="X3" s="2242"/>
      <c r="Y3" s="2242"/>
    </row>
    <row r="4" spans="1:25" s="1559" customFormat="1" ht="18" customHeight="1" x14ac:dyDescent="0.25">
      <c r="A4" s="2243" t="s">
        <v>25</v>
      </c>
      <c r="B4" s="2243" t="s">
        <v>26</v>
      </c>
      <c r="C4" s="2244" t="s">
        <v>27</v>
      </c>
      <c r="D4" s="2244"/>
      <c r="E4" s="2244" t="s">
        <v>342</v>
      </c>
      <c r="F4" s="2244"/>
      <c r="G4" s="2244" t="s">
        <v>65</v>
      </c>
      <c r="H4" s="2244"/>
      <c r="I4" s="2244" t="s">
        <v>29</v>
      </c>
      <c r="J4" s="2244"/>
      <c r="K4" s="2245" t="s">
        <v>14</v>
      </c>
      <c r="L4" s="2246"/>
      <c r="M4" s="2245" t="s">
        <v>429</v>
      </c>
      <c r="N4" s="2246"/>
      <c r="O4" s="2245" t="s">
        <v>441</v>
      </c>
      <c r="P4" s="2246"/>
      <c r="Q4" s="2245" t="s">
        <v>114</v>
      </c>
      <c r="R4" s="2246"/>
      <c r="S4" s="2244" t="s">
        <v>35</v>
      </c>
      <c r="T4" s="2244"/>
      <c r="U4" s="2245" t="s">
        <v>17</v>
      </c>
      <c r="V4" s="2246"/>
      <c r="W4" s="2247" t="s">
        <v>36</v>
      </c>
      <c r="X4" s="2248"/>
      <c r="Y4" s="2238" t="s">
        <v>30</v>
      </c>
    </row>
    <row r="5" spans="1:25" s="1559" customFormat="1" ht="25.5" customHeight="1" x14ac:dyDescent="0.25">
      <c r="A5" s="2243"/>
      <c r="B5" s="2243"/>
      <c r="C5" s="1561" t="s">
        <v>42</v>
      </c>
      <c r="D5" s="1561" t="s">
        <v>43</v>
      </c>
      <c r="E5" s="1561" t="s">
        <v>42</v>
      </c>
      <c r="F5" s="1561" t="s">
        <v>43</v>
      </c>
      <c r="G5" s="1561" t="s">
        <v>42</v>
      </c>
      <c r="H5" s="1561" t="s">
        <v>43</v>
      </c>
      <c r="I5" s="1561" t="s">
        <v>42</v>
      </c>
      <c r="J5" s="1561" t="s">
        <v>43</v>
      </c>
      <c r="K5" s="1561" t="s">
        <v>42</v>
      </c>
      <c r="L5" s="1561" t="s">
        <v>43</v>
      </c>
      <c r="M5" s="1561" t="s">
        <v>42</v>
      </c>
      <c r="N5" s="1561" t="s">
        <v>43</v>
      </c>
      <c r="O5" s="1561" t="s">
        <v>42</v>
      </c>
      <c r="P5" s="1561" t="s">
        <v>43</v>
      </c>
      <c r="Q5" s="1561" t="s">
        <v>42</v>
      </c>
      <c r="R5" s="1561" t="s">
        <v>43</v>
      </c>
      <c r="S5" s="33" t="s">
        <v>42</v>
      </c>
      <c r="T5" s="33" t="s">
        <v>43</v>
      </c>
      <c r="U5" s="30" t="s">
        <v>42</v>
      </c>
      <c r="V5" s="30" t="s">
        <v>43</v>
      </c>
      <c r="W5" s="30" t="s">
        <v>42</v>
      </c>
      <c r="X5" s="30" t="s">
        <v>43</v>
      </c>
      <c r="Y5" s="2239"/>
    </row>
    <row r="6" spans="1:25" ht="34.5" customHeight="1" x14ac:dyDescent="0.25">
      <c r="A6" s="12">
        <v>1409935200</v>
      </c>
      <c r="B6" s="1560" t="s">
        <v>71</v>
      </c>
      <c r="C6" s="1563">
        <v>46258</v>
      </c>
      <c r="D6" s="1564">
        <f t="shared" ref="D6:D11" si="0">0.9725*C6</f>
        <v>44985.904999999999</v>
      </c>
      <c r="E6" s="1563">
        <v>20</v>
      </c>
      <c r="F6" s="1564">
        <f>67.1*E6</f>
        <v>1342</v>
      </c>
      <c r="G6" s="1563">
        <v>60</v>
      </c>
      <c r="H6" s="1563">
        <f>28.2*G6</f>
        <v>1692</v>
      </c>
      <c r="I6" s="1563">
        <v>660</v>
      </c>
      <c r="J6" s="1563">
        <f>18.5*I6</f>
        <v>12210</v>
      </c>
      <c r="K6" s="1563"/>
      <c r="L6" s="1564">
        <f>28.2368*K6</f>
        <v>0</v>
      </c>
      <c r="M6" s="1563"/>
      <c r="N6" s="1564">
        <f>M6*47.6525</f>
        <v>0</v>
      </c>
      <c r="O6" s="1563"/>
      <c r="P6" s="1564">
        <f>O6*8.9</f>
        <v>0</v>
      </c>
      <c r="Q6" s="1564"/>
      <c r="R6" s="1564">
        <f>241*Q6</f>
        <v>0</v>
      </c>
      <c r="S6" s="1563"/>
      <c r="T6" s="1563">
        <f>241*S6</f>
        <v>0</v>
      </c>
      <c r="U6" s="1563">
        <v>3</v>
      </c>
      <c r="V6" s="1563">
        <f>332*U6</f>
        <v>996</v>
      </c>
      <c r="W6" s="1563"/>
      <c r="X6" s="19">
        <f>W6*100</f>
        <v>0</v>
      </c>
      <c r="Y6" s="20">
        <f t="shared" ref="Y6:Y12" si="1">D6+F6+H6+J6+L6+N6+P6+R6+T6+V6+X6</f>
        <v>61225.904999999999</v>
      </c>
    </row>
    <row r="7" spans="1:25" ht="31.5" customHeight="1" x14ac:dyDescent="0.25">
      <c r="A7" s="12">
        <v>1984225578</v>
      </c>
      <c r="B7" s="1560" t="s">
        <v>72</v>
      </c>
      <c r="C7" s="1563">
        <v>26161</v>
      </c>
      <c r="D7" s="1564">
        <f t="shared" si="0"/>
        <v>25441.572500000002</v>
      </c>
      <c r="E7" s="1563">
        <v>10</v>
      </c>
      <c r="F7" s="1563">
        <f t="shared" ref="F7:F11" si="2">67.1*E7</f>
        <v>671</v>
      </c>
      <c r="G7" s="1563"/>
      <c r="H7" s="1563">
        <f t="shared" ref="H7:H11" si="3">28.2*G7</f>
        <v>0</v>
      </c>
      <c r="I7" s="1563">
        <v>1000</v>
      </c>
      <c r="J7" s="1563">
        <f t="shared" ref="J7:J11" si="4">18.5*I7</f>
        <v>18500</v>
      </c>
      <c r="K7" s="1563"/>
      <c r="L7" s="1564">
        <f t="shared" ref="L7:L11" si="5">28.2368*K7</f>
        <v>0</v>
      </c>
      <c r="M7" s="1563"/>
      <c r="N7" s="1564">
        <f t="shared" ref="N7:N11" si="6">M7*47.6525</f>
        <v>0</v>
      </c>
      <c r="O7" s="1563"/>
      <c r="P7" s="1564">
        <f t="shared" ref="P7:P11" si="7">O7*8.9</f>
        <v>0</v>
      </c>
      <c r="Q7" s="1564"/>
      <c r="R7" s="1564">
        <f t="shared" ref="R7:R11" si="8">241*Q7</f>
        <v>0</v>
      </c>
      <c r="S7" s="1563"/>
      <c r="T7" s="1563">
        <f t="shared" ref="T7:T10" si="9">241*S7</f>
        <v>0</v>
      </c>
      <c r="U7" s="1563"/>
      <c r="V7" s="1563">
        <f t="shared" ref="V7:V11" si="10">332*U7</f>
        <v>0</v>
      </c>
      <c r="W7" s="1563"/>
      <c r="X7" s="19">
        <f t="shared" ref="X7:X11" si="11">W7*100</f>
        <v>0</v>
      </c>
      <c r="Y7" s="20">
        <f t="shared" si="1"/>
        <v>44612.572500000002</v>
      </c>
    </row>
    <row r="8" spans="1:25" ht="35.25" customHeight="1" x14ac:dyDescent="0.25">
      <c r="A8" s="12">
        <v>1967020280</v>
      </c>
      <c r="B8" s="1560" t="s">
        <v>427</v>
      </c>
      <c r="C8" s="1563">
        <v>28536</v>
      </c>
      <c r="D8" s="1564">
        <f t="shared" si="0"/>
        <v>27751.260000000002</v>
      </c>
      <c r="E8" s="1563"/>
      <c r="F8" s="1563">
        <f t="shared" si="2"/>
        <v>0</v>
      </c>
      <c r="G8" s="1563"/>
      <c r="H8" s="1564">
        <f t="shared" si="3"/>
        <v>0</v>
      </c>
      <c r="I8" s="1563">
        <v>500</v>
      </c>
      <c r="J8" s="1563">
        <f t="shared" si="4"/>
        <v>9250</v>
      </c>
      <c r="K8" s="1563"/>
      <c r="L8" s="1564">
        <f t="shared" si="5"/>
        <v>0</v>
      </c>
      <c r="M8" s="1563"/>
      <c r="N8" s="1564">
        <f t="shared" si="6"/>
        <v>0</v>
      </c>
      <c r="O8" s="1563"/>
      <c r="P8" s="1564">
        <f t="shared" si="7"/>
        <v>0</v>
      </c>
      <c r="Q8" s="1564"/>
      <c r="R8" s="1564">
        <f t="shared" si="8"/>
        <v>0</v>
      </c>
      <c r="S8" s="1563"/>
      <c r="T8" s="1563">
        <f t="shared" si="9"/>
        <v>0</v>
      </c>
      <c r="U8" s="1563">
        <v>1</v>
      </c>
      <c r="V8" s="1563">
        <f t="shared" si="10"/>
        <v>332</v>
      </c>
      <c r="W8" s="1563"/>
      <c r="X8" s="19">
        <f t="shared" si="11"/>
        <v>0</v>
      </c>
      <c r="Y8" s="20">
        <f t="shared" si="1"/>
        <v>37333.26</v>
      </c>
    </row>
    <row r="9" spans="1:25" ht="38.25" customHeight="1" x14ac:dyDescent="0.25">
      <c r="A9" s="12">
        <v>1984225580</v>
      </c>
      <c r="B9" s="1560" t="s">
        <v>75</v>
      </c>
      <c r="C9" s="1563">
        <v>28778</v>
      </c>
      <c r="D9" s="1564">
        <f t="shared" si="0"/>
        <v>27986.605</v>
      </c>
      <c r="E9" s="1563"/>
      <c r="F9" s="1563">
        <f t="shared" si="2"/>
        <v>0</v>
      </c>
      <c r="G9" s="1563"/>
      <c r="H9" s="1563">
        <f t="shared" si="3"/>
        <v>0</v>
      </c>
      <c r="I9" s="1563">
        <v>2350</v>
      </c>
      <c r="J9" s="1563">
        <f t="shared" si="4"/>
        <v>43475</v>
      </c>
      <c r="K9" s="1563"/>
      <c r="L9" s="1564">
        <f t="shared" si="5"/>
        <v>0</v>
      </c>
      <c r="M9" s="1563"/>
      <c r="N9" s="1564">
        <f t="shared" si="6"/>
        <v>0</v>
      </c>
      <c r="O9" s="1563"/>
      <c r="P9" s="1564">
        <f t="shared" si="7"/>
        <v>0</v>
      </c>
      <c r="Q9" s="1564"/>
      <c r="R9" s="1564">
        <f t="shared" si="8"/>
        <v>0</v>
      </c>
      <c r="S9" s="1563"/>
      <c r="T9" s="1563">
        <f t="shared" si="9"/>
        <v>0</v>
      </c>
      <c r="U9" s="1563">
        <v>2</v>
      </c>
      <c r="V9" s="1563">
        <f t="shared" si="10"/>
        <v>664</v>
      </c>
      <c r="W9" s="1563">
        <v>6</v>
      </c>
      <c r="X9" s="19">
        <f t="shared" si="11"/>
        <v>600</v>
      </c>
      <c r="Y9" s="20">
        <f t="shared" si="1"/>
        <v>72725.604999999996</v>
      </c>
    </row>
    <row r="10" spans="1:25" ht="35.25" customHeight="1" x14ac:dyDescent="0.25">
      <c r="A10" s="12">
        <v>1409935199</v>
      </c>
      <c r="C10" s="1563"/>
      <c r="D10" s="1564">
        <f t="shared" si="0"/>
        <v>0</v>
      </c>
      <c r="E10" s="1563"/>
      <c r="F10" s="1563">
        <f t="shared" si="2"/>
        <v>0</v>
      </c>
      <c r="G10" s="1563"/>
      <c r="H10" s="1563">
        <f t="shared" si="3"/>
        <v>0</v>
      </c>
      <c r="I10" s="1563">
        <v>1000</v>
      </c>
      <c r="J10" s="1563">
        <f t="shared" si="4"/>
        <v>18500</v>
      </c>
      <c r="K10" s="1563"/>
      <c r="L10" s="1564">
        <f t="shared" si="5"/>
        <v>0</v>
      </c>
      <c r="M10" s="1563"/>
      <c r="N10" s="1564">
        <f t="shared" si="6"/>
        <v>0</v>
      </c>
      <c r="O10" s="1563"/>
      <c r="P10" s="1564">
        <f t="shared" si="7"/>
        <v>0</v>
      </c>
      <c r="Q10" s="1564"/>
      <c r="R10" s="1564">
        <f t="shared" si="8"/>
        <v>0</v>
      </c>
      <c r="S10" s="1563"/>
      <c r="T10" s="1563">
        <f t="shared" si="9"/>
        <v>0</v>
      </c>
      <c r="U10" s="1563"/>
      <c r="V10" s="1563">
        <f t="shared" si="10"/>
        <v>0</v>
      </c>
      <c r="W10" s="1563"/>
      <c r="X10" s="19">
        <f t="shared" si="11"/>
        <v>0</v>
      </c>
      <c r="Y10" s="20">
        <f t="shared" si="1"/>
        <v>18500</v>
      </c>
    </row>
    <row r="11" spans="1:25" ht="37.5" customHeight="1" x14ac:dyDescent="0.25">
      <c r="A11" s="12"/>
      <c r="B11" s="1562"/>
      <c r="C11" s="1563"/>
      <c r="D11" s="1564">
        <f t="shared" si="0"/>
        <v>0</v>
      </c>
      <c r="E11" s="1563"/>
      <c r="F11" s="1563">
        <f t="shared" si="2"/>
        <v>0</v>
      </c>
      <c r="G11" s="1563"/>
      <c r="H11" s="1563">
        <f t="shared" si="3"/>
        <v>0</v>
      </c>
      <c r="I11" s="1563"/>
      <c r="J11" s="1563">
        <f t="shared" si="4"/>
        <v>0</v>
      </c>
      <c r="K11" s="1563"/>
      <c r="L11" s="1564">
        <f t="shared" si="5"/>
        <v>0</v>
      </c>
      <c r="M11" s="1563"/>
      <c r="N11" s="1564">
        <f t="shared" si="6"/>
        <v>0</v>
      </c>
      <c r="O11" s="1563"/>
      <c r="P11" s="1564">
        <f t="shared" si="7"/>
        <v>0</v>
      </c>
      <c r="Q11" s="1564"/>
      <c r="R11" s="1564">
        <f t="shared" si="8"/>
        <v>0</v>
      </c>
      <c r="S11" s="1563"/>
      <c r="T11" s="1563">
        <f>341*S11</f>
        <v>0</v>
      </c>
      <c r="U11" s="1563"/>
      <c r="V11" s="1563">
        <f t="shared" si="10"/>
        <v>0</v>
      </c>
      <c r="W11" s="1563"/>
      <c r="X11" s="19">
        <f t="shared" si="11"/>
        <v>0</v>
      </c>
      <c r="Y11" s="20">
        <f t="shared" si="1"/>
        <v>0</v>
      </c>
    </row>
    <row r="12" spans="1:25" ht="29.25" customHeight="1" x14ac:dyDescent="0.25">
      <c r="A12" s="2235" t="s">
        <v>31</v>
      </c>
      <c r="B12" s="2235"/>
      <c r="C12" s="18">
        <f t="shared" ref="C12:X12" si="12">SUM(C6:C11)</f>
        <v>129733</v>
      </c>
      <c r="D12" s="18">
        <f t="shared" si="12"/>
        <v>126165.34250000001</v>
      </c>
      <c r="E12" s="18">
        <f t="shared" si="12"/>
        <v>30</v>
      </c>
      <c r="F12" s="18">
        <f t="shared" si="12"/>
        <v>2013</v>
      </c>
      <c r="G12" s="18">
        <f t="shared" si="12"/>
        <v>60</v>
      </c>
      <c r="H12" s="18">
        <f t="shared" si="12"/>
        <v>1692</v>
      </c>
      <c r="I12" s="18">
        <f t="shared" si="12"/>
        <v>5510</v>
      </c>
      <c r="J12" s="18">
        <f t="shared" si="12"/>
        <v>101935</v>
      </c>
      <c r="K12" s="18">
        <f t="shared" si="12"/>
        <v>0</v>
      </c>
      <c r="L12" s="18">
        <f t="shared" si="12"/>
        <v>0</v>
      </c>
      <c r="M12" s="18">
        <f t="shared" si="12"/>
        <v>0</v>
      </c>
      <c r="N12" s="23">
        <f t="shared" si="12"/>
        <v>0</v>
      </c>
      <c r="O12" s="18">
        <f t="shared" si="12"/>
        <v>0</v>
      </c>
      <c r="P12" s="23">
        <f t="shared" si="12"/>
        <v>0</v>
      </c>
      <c r="Q12" s="23">
        <f t="shared" si="12"/>
        <v>0</v>
      </c>
      <c r="R12" s="23">
        <f>SUM(R6:R11)</f>
        <v>0</v>
      </c>
      <c r="S12" s="23">
        <f>SUM(S6:S11)</f>
        <v>0</v>
      </c>
      <c r="T12" s="18">
        <f t="shared" si="12"/>
        <v>0</v>
      </c>
      <c r="U12" s="18">
        <f t="shared" si="12"/>
        <v>6</v>
      </c>
      <c r="V12" s="18">
        <f t="shared" si="12"/>
        <v>1992</v>
      </c>
      <c r="W12" s="18">
        <f t="shared" si="12"/>
        <v>6</v>
      </c>
      <c r="X12" s="18">
        <f t="shared" si="12"/>
        <v>600</v>
      </c>
      <c r="Y12" s="20">
        <f t="shared" si="1"/>
        <v>234397.34250000003</v>
      </c>
    </row>
    <row r="14" spans="1:25" ht="43.5" customHeight="1" x14ac:dyDescent="0.25">
      <c r="A14" s="30" t="s">
        <v>32</v>
      </c>
      <c r="B14" s="2236" t="s">
        <v>27</v>
      </c>
      <c r="C14" s="2236"/>
      <c r="D14" s="30" t="s">
        <v>333</v>
      </c>
      <c r="E14" s="30" t="s">
        <v>65</v>
      </c>
      <c r="F14" s="30" t="s">
        <v>34</v>
      </c>
      <c r="G14" s="30" t="s">
        <v>14</v>
      </c>
      <c r="H14" s="469" t="s">
        <v>173</v>
      </c>
      <c r="I14" s="30" t="s">
        <v>17</v>
      </c>
      <c r="J14" s="1568" t="s">
        <v>174</v>
      </c>
      <c r="K14" s="30" t="s">
        <v>36</v>
      </c>
      <c r="L14" s="1568" t="s">
        <v>403</v>
      </c>
      <c r="M14" s="30" t="s">
        <v>429</v>
      </c>
      <c r="N14" s="30" t="s">
        <v>442</v>
      </c>
      <c r="O14" s="1568" t="s">
        <v>114</v>
      </c>
      <c r="P14" s="30" t="s">
        <v>70</v>
      </c>
      <c r="Q14" s="2300" t="s">
        <v>479</v>
      </c>
      <c r="R14" s="2301"/>
      <c r="S14" s="1568" t="s">
        <v>401</v>
      </c>
      <c r="T14" s="2235" t="s">
        <v>46</v>
      </c>
      <c r="U14" s="1560" t="s">
        <v>176</v>
      </c>
      <c r="V14" s="2260">
        <v>35189</v>
      </c>
      <c r="W14" s="2268"/>
      <c r="X14" s="2261"/>
    </row>
    <row r="15" spans="1:25" ht="22.5" customHeight="1" x14ac:dyDescent="0.25">
      <c r="A15" s="100" t="s">
        <v>38</v>
      </c>
      <c r="B15" s="2260">
        <v>318946</v>
      </c>
      <c r="C15" s="2261"/>
      <c r="D15" s="1565">
        <v>80</v>
      </c>
      <c r="E15" s="1565">
        <v>60</v>
      </c>
      <c r="F15" s="1565">
        <v>17100</v>
      </c>
      <c r="G15" s="1565">
        <v>80</v>
      </c>
      <c r="H15" s="1565">
        <v>72</v>
      </c>
      <c r="I15" s="1565">
        <v>57</v>
      </c>
      <c r="J15" s="1565">
        <v>4</v>
      </c>
      <c r="K15" s="1565">
        <v>76</v>
      </c>
      <c r="L15" s="1565">
        <v>0</v>
      </c>
      <c r="M15" s="1565">
        <v>0</v>
      </c>
      <c r="N15" s="1565">
        <v>0</v>
      </c>
      <c r="O15" s="1565">
        <v>0</v>
      </c>
      <c r="P15" s="1565">
        <v>100</v>
      </c>
      <c r="Q15" s="2260">
        <v>10</v>
      </c>
      <c r="R15" s="2261"/>
      <c r="S15" s="1560">
        <v>2</v>
      </c>
      <c r="T15" s="2235"/>
      <c r="U15" s="1560" t="s">
        <v>64</v>
      </c>
      <c r="V15" s="2262">
        <v>83372</v>
      </c>
      <c r="W15" s="2262"/>
      <c r="X15" s="2262"/>
    </row>
    <row r="16" spans="1:25" ht="24.75" customHeight="1" x14ac:dyDescent="0.25">
      <c r="A16" s="100" t="s">
        <v>39</v>
      </c>
      <c r="B16" s="2260">
        <v>127792</v>
      </c>
      <c r="C16" s="2261"/>
      <c r="D16" s="1565"/>
      <c r="E16" s="1565"/>
      <c r="F16" s="1565"/>
      <c r="G16" s="1565"/>
      <c r="H16" s="1565"/>
      <c r="I16" s="1565"/>
      <c r="J16" s="1565"/>
      <c r="K16" s="1565"/>
      <c r="L16" s="1565"/>
      <c r="M16" s="1565"/>
      <c r="N16" s="1565"/>
      <c r="O16" s="1565"/>
      <c r="P16" s="1565"/>
      <c r="Q16" s="2262"/>
      <c r="R16" s="2262"/>
      <c r="S16" s="1565"/>
      <c r="T16" s="2254" t="s">
        <v>55</v>
      </c>
      <c r="U16" s="2254"/>
      <c r="V16" s="2267">
        <f>Y12</f>
        <v>234397.34250000003</v>
      </c>
      <c r="W16" s="2267"/>
      <c r="X16" s="2262"/>
    </row>
    <row r="17" spans="1:25" ht="28.5" customHeight="1" x14ac:dyDescent="0.25">
      <c r="A17" s="101" t="s">
        <v>44</v>
      </c>
      <c r="B17" s="2260"/>
      <c r="C17" s="2261"/>
      <c r="D17" s="1565"/>
      <c r="E17" s="1565"/>
      <c r="F17" s="1565"/>
      <c r="G17" s="1565"/>
      <c r="H17" s="1565"/>
      <c r="I17" s="1565"/>
      <c r="J17" s="1565"/>
      <c r="K17" s="1565"/>
      <c r="L17" s="1565"/>
      <c r="M17" s="1565"/>
      <c r="N17" s="1565"/>
      <c r="O17" s="1565"/>
      <c r="P17" s="1565"/>
      <c r="Q17" s="2225"/>
      <c r="R17" s="2225"/>
      <c r="S17" s="1562"/>
      <c r="T17" s="2294" t="s">
        <v>473</v>
      </c>
      <c r="U17" s="2295"/>
      <c r="V17" s="2296"/>
      <c r="W17" s="2296"/>
      <c r="X17" s="2296"/>
    </row>
    <row r="18" spans="1:25" ht="27" customHeight="1" x14ac:dyDescent="0.25">
      <c r="A18" s="100" t="s">
        <v>40</v>
      </c>
      <c r="B18" s="2264">
        <f>C12</f>
        <v>129733</v>
      </c>
      <c r="C18" s="2261"/>
      <c r="D18" s="1566">
        <f>E12</f>
        <v>30</v>
      </c>
      <c r="E18" s="1566">
        <f>G12</f>
        <v>60</v>
      </c>
      <c r="F18" s="1566">
        <f>I12</f>
        <v>5510</v>
      </c>
      <c r="G18" s="1566">
        <f>K12</f>
        <v>0</v>
      </c>
      <c r="H18" s="1565"/>
      <c r="I18" s="1566">
        <f>U12</f>
        <v>6</v>
      </c>
      <c r="J18" s="1565"/>
      <c r="K18" s="1566">
        <f>W12</f>
        <v>6</v>
      </c>
      <c r="L18" s="1565"/>
      <c r="M18" s="1566">
        <f>M12</f>
        <v>0</v>
      </c>
      <c r="N18" s="1566">
        <f>O12</f>
        <v>0</v>
      </c>
      <c r="O18" s="1567">
        <f>Q12</f>
        <v>0</v>
      </c>
      <c r="P18" s="1566"/>
      <c r="Q18" s="2262"/>
      <c r="R18" s="2262"/>
      <c r="S18" s="1560"/>
      <c r="T18" s="2254" t="s">
        <v>57</v>
      </c>
      <c r="U18" s="2254"/>
      <c r="V18" s="2262">
        <v>53826</v>
      </c>
      <c r="W18" s="2262"/>
      <c r="X18" s="2262"/>
      <c r="Y18" s="2269"/>
    </row>
    <row r="19" spans="1:25" ht="25.5" customHeight="1" x14ac:dyDescent="0.25">
      <c r="A19" s="100" t="s">
        <v>41</v>
      </c>
      <c r="B19" s="2260">
        <f>B15+B16+B17-B18</f>
        <v>317005</v>
      </c>
      <c r="C19" s="2261"/>
      <c r="D19" s="1565">
        <f>D15+D16+D17-D18</f>
        <v>50</v>
      </c>
      <c r="E19" s="1565">
        <f t="shared" ref="E19:N19" si="13">E15+E16+E17-E18</f>
        <v>0</v>
      </c>
      <c r="F19" s="1565">
        <f t="shared" si="13"/>
        <v>11590</v>
      </c>
      <c r="G19" s="1565">
        <f t="shared" si="13"/>
        <v>80</v>
      </c>
      <c r="H19" s="1565">
        <f t="shared" si="13"/>
        <v>72</v>
      </c>
      <c r="I19" s="1565">
        <f t="shared" si="13"/>
        <v>51</v>
      </c>
      <c r="J19" s="1565">
        <f t="shared" si="13"/>
        <v>4</v>
      </c>
      <c r="K19" s="1565">
        <f t="shared" si="13"/>
        <v>70</v>
      </c>
      <c r="L19" s="1565">
        <f t="shared" si="13"/>
        <v>0</v>
      </c>
      <c r="M19" s="1565">
        <f t="shared" si="13"/>
        <v>0</v>
      </c>
      <c r="N19" s="1565">
        <f t="shared" si="13"/>
        <v>0</v>
      </c>
      <c r="O19" s="1565">
        <f>O15+O16+O17-O18</f>
        <v>0</v>
      </c>
      <c r="P19" s="1565">
        <f t="shared" ref="P19:Q19" si="14">P15+P16+P17-P18</f>
        <v>100</v>
      </c>
      <c r="Q19" s="2260">
        <f t="shared" si="14"/>
        <v>10</v>
      </c>
      <c r="R19" s="2261"/>
      <c r="S19" s="1560">
        <f>S15+S16-S17-S18</f>
        <v>2</v>
      </c>
      <c r="T19" s="2256" t="s">
        <v>48</v>
      </c>
      <c r="U19" s="49" t="s">
        <v>58</v>
      </c>
      <c r="V19" s="2262">
        <v>250000</v>
      </c>
      <c r="W19" s="2262"/>
      <c r="X19" s="2262"/>
      <c r="Y19" s="2269"/>
    </row>
    <row r="20" spans="1:25" ht="23.25" customHeight="1" x14ac:dyDescent="0.25">
      <c r="A20" s="289" t="s">
        <v>187</v>
      </c>
      <c r="B20" s="2286">
        <f>B19*0.9625</f>
        <v>305117.3125</v>
      </c>
      <c r="C20" s="2287"/>
      <c r="D20" s="290">
        <f>D19*66.41</f>
        <v>3320.5</v>
      </c>
      <c r="E20" s="290">
        <f>27.9368*E19</f>
        <v>0</v>
      </c>
      <c r="F20" s="290">
        <f>18.31*F19</f>
        <v>212212.9</v>
      </c>
      <c r="G20" s="290">
        <f>27.9368*G19</f>
        <v>2234.944</v>
      </c>
      <c r="H20" s="290">
        <f>241*H19</f>
        <v>17352</v>
      </c>
      <c r="I20" s="290">
        <f>323*I19</f>
        <v>16473</v>
      </c>
      <c r="J20" s="290">
        <f>241*J19</f>
        <v>964</v>
      </c>
      <c r="K20" s="290">
        <f>K19*100</f>
        <v>7000</v>
      </c>
      <c r="L20" s="290">
        <f>241*L19</f>
        <v>0</v>
      </c>
      <c r="M20" s="290">
        <f>47.1625*M19</f>
        <v>0</v>
      </c>
      <c r="N20" s="290">
        <f>N19*8.81</f>
        <v>0</v>
      </c>
      <c r="O20" s="290">
        <f>241*O19</f>
        <v>0</v>
      </c>
      <c r="P20" s="290">
        <f>P19*48.2</f>
        <v>4820</v>
      </c>
      <c r="Q20" s="2286">
        <f>470*Q19</f>
        <v>4700</v>
      </c>
      <c r="R20" s="2287"/>
      <c r="S20" s="290">
        <f>341*S19</f>
        <v>682</v>
      </c>
      <c r="T20" s="2257"/>
      <c r="U20" s="49" t="s">
        <v>59</v>
      </c>
      <c r="V20" s="2262"/>
      <c r="W20" s="2262"/>
      <c r="X20" s="2262"/>
      <c r="Y20" s="2269"/>
    </row>
    <row r="21" spans="1:25" ht="32.25" customHeight="1" x14ac:dyDescent="0.25">
      <c r="A21" s="291" t="s">
        <v>186</v>
      </c>
      <c r="B21" s="2293">
        <f>SUM(B20:S20)</f>
        <v>574876.65650000004</v>
      </c>
      <c r="C21" s="2293"/>
      <c r="O21" s="1569"/>
      <c r="P21" s="1569"/>
      <c r="Q21" s="1569"/>
      <c r="R21" s="1569"/>
      <c r="T21" s="2294" t="s">
        <v>487</v>
      </c>
      <c r="U21" s="2295"/>
      <c r="V21" s="2297"/>
      <c r="W21" s="2298"/>
      <c r="X21" s="2299"/>
      <c r="Y21" s="2269"/>
    </row>
    <row r="22" spans="1:25" ht="35.25" customHeight="1" x14ac:dyDescent="0.25">
      <c r="A22" s="15"/>
      <c r="B22" s="2288" t="s">
        <v>49</v>
      </c>
      <c r="C22" s="2291">
        <v>250000</v>
      </c>
      <c r="D22" s="2291">
        <v>250000</v>
      </c>
      <c r="E22" s="2291">
        <v>123000</v>
      </c>
      <c r="F22" s="2291">
        <f>C22-D22+E22</f>
        <v>123000</v>
      </c>
      <c r="G22" s="1569"/>
      <c r="Q22" s="1569"/>
      <c r="R22" s="1569"/>
      <c r="T22" s="2251" t="s">
        <v>83</v>
      </c>
      <c r="U22" s="50" t="s">
        <v>60</v>
      </c>
      <c r="V22" s="2262">
        <v>198800</v>
      </c>
      <c r="W22" s="2262"/>
      <c r="X22" s="2262"/>
      <c r="Y22" s="2269"/>
    </row>
    <row r="23" spans="1:25" ht="39.75" customHeight="1" x14ac:dyDescent="0.25">
      <c r="A23" s="1569"/>
      <c r="B23" s="2289"/>
      <c r="C23" s="2292"/>
      <c r="D23" s="2292"/>
      <c r="E23" s="2292"/>
      <c r="F23" s="2292"/>
      <c r="G23" s="1569"/>
      <c r="Q23" s="1569"/>
      <c r="R23" s="1569"/>
      <c r="T23" s="2252"/>
      <c r="U23" s="50" t="s">
        <v>61</v>
      </c>
      <c r="V23" s="2262">
        <v>250000</v>
      </c>
      <c r="W23" s="2262"/>
      <c r="X23" s="2262"/>
      <c r="Y23" s="2269"/>
    </row>
    <row r="24" spans="1:25" ht="48" customHeight="1" x14ac:dyDescent="0.25">
      <c r="A24" s="1569"/>
      <c r="B24" s="2290"/>
      <c r="C24" s="290" t="s">
        <v>46</v>
      </c>
      <c r="D24" s="290" t="s">
        <v>50</v>
      </c>
      <c r="E24" s="290" t="s">
        <v>51</v>
      </c>
      <c r="F24" s="290" t="s">
        <v>52</v>
      </c>
      <c r="G24" s="1569"/>
      <c r="Q24" s="1569"/>
      <c r="R24" s="1569"/>
      <c r="T24" s="2235" t="s">
        <v>47</v>
      </c>
      <c r="U24" s="51" t="s">
        <v>62</v>
      </c>
      <c r="V24" s="2263">
        <f>V14+V16+V17-V18-V19-V20-V22+V23-V21</f>
        <v>16960.342500000028</v>
      </c>
      <c r="W24" s="2263"/>
      <c r="X24" s="2263"/>
      <c r="Y24" s="2269"/>
    </row>
    <row r="25" spans="1:25" ht="40.5" customHeight="1" x14ac:dyDescent="0.25">
      <c r="T25" s="2235"/>
      <c r="U25" s="51" t="s">
        <v>63</v>
      </c>
      <c r="V25" s="2262">
        <f>V15+V22-V23</f>
        <v>32172</v>
      </c>
      <c r="W25" s="2262"/>
      <c r="X25" s="2262"/>
    </row>
    <row r="26" spans="1:25" ht="36" customHeight="1" x14ac:dyDescent="0.25">
      <c r="K26" s="314"/>
    </row>
    <row r="28" spans="1:25" x14ac:dyDescent="0.25">
      <c r="J28" s="14" t="s">
        <v>139</v>
      </c>
    </row>
    <row r="32" spans="1:25" x14ac:dyDescent="0.25">
      <c r="I32" s="2280"/>
      <c r="J32" s="2280"/>
      <c r="K32" s="2280"/>
      <c r="L32" s="2280"/>
    </row>
    <row r="33" spans="9:12" x14ac:dyDescent="0.25">
      <c r="I33" s="1569"/>
      <c r="J33" s="1569"/>
      <c r="K33" s="2280"/>
      <c r="L33" s="2280"/>
    </row>
  </sheetData>
  <mergeCells count="62">
    <mergeCell ref="I32:J32"/>
    <mergeCell ref="K32:L32"/>
    <mergeCell ref="K33:L33"/>
    <mergeCell ref="T22:T23"/>
    <mergeCell ref="V22:X22"/>
    <mergeCell ref="V23:X23"/>
    <mergeCell ref="T24:T25"/>
    <mergeCell ref="V24:X24"/>
    <mergeCell ref="V25:X25"/>
    <mergeCell ref="Y18:Y24"/>
    <mergeCell ref="B19:C19"/>
    <mergeCell ref="Q19:R19"/>
    <mergeCell ref="T19:T20"/>
    <mergeCell ref="V19:X19"/>
    <mergeCell ref="B20:C20"/>
    <mergeCell ref="B22:B24"/>
    <mergeCell ref="C22:C23"/>
    <mergeCell ref="D22:D23"/>
    <mergeCell ref="E22:E23"/>
    <mergeCell ref="F22:F23"/>
    <mergeCell ref="Q20:R20"/>
    <mergeCell ref="V20:X20"/>
    <mergeCell ref="B21:C21"/>
    <mergeCell ref="T21:U21"/>
    <mergeCell ref="V21:X21"/>
    <mergeCell ref="B17:C17"/>
    <mergeCell ref="Q17:R17"/>
    <mergeCell ref="T17:U17"/>
    <mergeCell ref="V17:X17"/>
    <mergeCell ref="B18:C18"/>
    <mergeCell ref="Q18:R18"/>
    <mergeCell ref="T18:U18"/>
    <mergeCell ref="V18:X18"/>
    <mergeCell ref="W4:X4"/>
    <mergeCell ref="B16:C16"/>
    <mergeCell ref="Q16:R16"/>
    <mergeCell ref="T16:U16"/>
    <mergeCell ref="V16:X16"/>
    <mergeCell ref="A12:B12"/>
    <mergeCell ref="B14:C14"/>
    <mergeCell ref="Q14:R14"/>
    <mergeCell ref="T14:T15"/>
    <mergeCell ref="V14:X14"/>
    <mergeCell ref="B15:C15"/>
    <mergeCell ref="Q15:R15"/>
    <mergeCell ref="V15:X15"/>
    <mergeCell ref="A1:Y1"/>
    <mergeCell ref="A2:Y2"/>
    <mergeCell ref="T3:Y3"/>
    <mergeCell ref="A4:A5"/>
    <mergeCell ref="B4:B5"/>
    <mergeCell ref="C4:D4"/>
    <mergeCell ref="E4:F4"/>
    <mergeCell ref="G4:H4"/>
    <mergeCell ref="I4:J4"/>
    <mergeCell ref="K4:L4"/>
    <mergeCell ref="Y4:Y5"/>
    <mergeCell ref="M4:N4"/>
    <mergeCell ref="O4:P4"/>
    <mergeCell ref="Q4:R4"/>
    <mergeCell ref="S4:T4"/>
    <mergeCell ref="U4:V4"/>
  </mergeCells>
  <pageMargins left="0.15748031496063" right="0.15748031496063" top="0" bottom="0" header="0" footer="0"/>
  <pageSetup paperSize="9" scale="46" orientation="landscape" r:id="rId1"/>
</worksheet>
</file>

<file path=xl/worksheets/sheet26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43B0B81-568C-4BE6-A2F7-D1F592A64C0B}">
  <sheetPr>
    <pageSetUpPr fitToPage="1"/>
  </sheetPr>
  <dimension ref="A1:Y33"/>
  <sheetViews>
    <sheetView topLeftCell="A10" zoomScale="70" zoomScaleNormal="70" zoomScaleSheetLayoutView="100" zoomScalePageLayoutView="68" workbookViewId="0">
      <selection activeCell="J24" sqref="J24"/>
    </sheetView>
  </sheetViews>
  <sheetFormatPr defaultColWidth="9.140625" defaultRowHeight="15" x14ac:dyDescent="0.25"/>
  <cols>
    <col min="1" max="1" width="18.28515625" style="14" customWidth="1"/>
    <col min="2" max="2" width="10.7109375" style="14" customWidth="1"/>
    <col min="3" max="3" width="12.28515625" style="14" customWidth="1"/>
    <col min="4" max="4" width="13.140625" style="14" bestFit="1" customWidth="1"/>
    <col min="5" max="5" width="12" style="14" customWidth="1"/>
    <col min="6" max="6" width="14" style="14" bestFit="1" customWidth="1"/>
    <col min="7" max="7" width="16" style="14" bestFit="1" customWidth="1"/>
    <col min="8" max="8" width="10.140625" style="14" bestFit="1" customWidth="1"/>
    <col min="9" max="9" width="10.5703125" style="14" bestFit="1" customWidth="1"/>
    <col min="10" max="10" width="10.5703125" style="14" customWidth="1"/>
    <col min="11" max="11" width="10.28515625" style="14" bestFit="1" customWidth="1"/>
    <col min="12" max="12" width="10.42578125" style="14" bestFit="1" customWidth="1"/>
    <col min="13" max="14" width="12" style="14" bestFit="1" customWidth="1"/>
    <col min="15" max="15" width="11" style="14" customWidth="1"/>
    <col min="16" max="16" width="12.85546875" style="14" bestFit="1" customWidth="1"/>
    <col min="17" max="18" width="9.42578125" style="14" customWidth="1"/>
    <col min="19" max="19" width="13.7109375" style="14" customWidth="1"/>
    <col min="20" max="20" width="12.140625" style="14" customWidth="1"/>
    <col min="21" max="21" width="21.7109375" style="14" customWidth="1"/>
    <col min="22" max="22" width="9.85546875" style="14" customWidth="1"/>
    <col min="23" max="23" width="10.140625" style="14" bestFit="1" customWidth="1"/>
    <col min="24" max="24" width="10.28515625" style="14" customWidth="1"/>
    <col min="25" max="25" width="15.7109375" style="14" customWidth="1"/>
    <col min="26" max="16384" width="9.140625" style="14"/>
  </cols>
  <sheetData>
    <row r="1" spans="1:25" ht="46.15" customHeight="1" x14ac:dyDescent="0.25">
      <c r="A1" s="2240" t="s">
        <v>148</v>
      </c>
      <c r="B1" s="2240"/>
      <c r="C1" s="2240"/>
      <c r="D1" s="2240"/>
      <c r="E1" s="2240"/>
      <c r="F1" s="2240"/>
      <c r="G1" s="2240"/>
      <c r="H1" s="2240"/>
      <c r="I1" s="2240"/>
      <c r="J1" s="2240"/>
      <c r="K1" s="2240"/>
      <c r="L1" s="2240"/>
      <c r="M1" s="2240"/>
      <c r="N1" s="2240"/>
      <c r="O1" s="2240"/>
      <c r="P1" s="2240"/>
      <c r="Q1" s="2240"/>
      <c r="R1" s="2240"/>
      <c r="S1" s="2240"/>
      <c r="T1" s="2240"/>
      <c r="U1" s="2240"/>
      <c r="V1" s="2240"/>
      <c r="W1" s="2240"/>
      <c r="X1" s="2240"/>
      <c r="Y1" s="2240"/>
    </row>
    <row r="2" spans="1:25" ht="21.6" customHeight="1" x14ac:dyDescent="0.25">
      <c r="A2" s="2241" t="s">
        <v>383</v>
      </c>
      <c r="B2" s="2241"/>
      <c r="C2" s="2241"/>
      <c r="D2" s="2241"/>
      <c r="E2" s="2241"/>
      <c r="F2" s="2241"/>
      <c r="G2" s="2241"/>
      <c r="H2" s="2241"/>
      <c r="I2" s="2241"/>
      <c r="J2" s="2241"/>
      <c r="K2" s="2241"/>
      <c r="L2" s="2241"/>
      <c r="M2" s="2241"/>
      <c r="N2" s="2241"/>
      <c r="O2" s="2241"/>
      <c r="P2" s="2241"/>
      <c r="Q2" s="2241"/>
      <c r="R2" s="2241"/>
      <c r="S2" s="2241"/>
      <c r="T2" s="2241"/>
      <c r="U2" s="2241"/>
      <c r="V2" s="2241"/>
      <c r="W2" s="2241"/>
      <c r="X2" s="2241"/>
      <c r="Y2" s="2241"/>
    </row>
    <row r="3" spans="1:25" ht="21" customHeight="1" x14ac:dyDescent="0.25">
      <c r="A3" s="1575"/>
      <c r="B3" s="1575"/>
      <c r="C3" s="1575"/>
      <c r="D3" s="1575"/>
      <c r="E3" s="1575"/>
      <c r="F3" s="1575"/>
      <c r="G3" s="1575"/>
      <c r="H3" s="1575"/>
      <c r="I3" s="1575"/>
      <c r="J3" s="1575"/>
      <c r="K3" s="1575"/>
      <c r="L3" s="1575"/>
      <c r="M3" s="1575"/>
      <c r="N3" s="1575"/>
      <c r="O3" s="1575"/>
      <c r="P3" s="1575"/>
      <c r="Q3" s="1575"/>
      <c r="R3" s="1575"/>
      <c r="S3" s="1575"/>
      <c r="T3" s="2242" t="s">
        <v>507</v>
      </c>
      <c r="U3" s="2242"/>
      <c r="V3" s="2242"/>
      <c r="W3" s="2242"/>
      <c r="X3" s="2242"/>
      <c r="Y3" s="2242"/>
    </row>
    <row r="4" spans="1:25" s="1575" customFormat="1" ht="18" customHeight="1" x14ac:dyDescent="0.25">
      <c r="A4" s="2243" t="s">
        <v>25</v>
      </c>
      <c r="B4" s="2243" t="s">
        <v>26</v>
      </c>
      <c r="C4" s="2244" t="s">
        <v>27</v>
      </c>
      <c r="D4" s="2244"/>
      <c r="E4" s="2244" t="s">
        <v>342</v>
      </c>
      <c r="F4" s="2244"/>
      <c r="G4" s="2244" t="s">
        <v>65</v>
      </c>
      <c r="H4" s="2244"/>
      <c r="I4" s="2244" t="s">
        <v>29</v>
      </c>
      <c r="J4" s="2244"/>
      <c r="K4" s="2245" t="s">
        <v>14</v>
      </c>
      <c r="L4" s="2246"/>
      <c r="M4" s="2245" t="s">
        <v>429</v>
      </c>
      <c r="N4" s="2246"/>
      <c r="O4" s="2245" t="s">
        <v>441</v>
      </c>
      <c r="P4" s="2246"/>
      <c r="Q4" s="2245" t="s">
        <v>114</v>
      </c>
      <c r="R4" s="2246"/>
      <c r="S4" s="2244" t="s">
        <v>35</v>
      </c>
      <c r="T4" s="2244"/>
      <c r="U4" s="2245" t="s">
        <v>17</v>
      </c>
      <c r="V4" s="2246"/>
      <c r="W4" s="2247" t="s">
        <v>36</v>
      </c>
      <c r="X4" s="2248"/>
      <c r="Y4" s="2238" t="s">
        <v>30</v>
      </c>
    </row>
    <row r="5" spans="1:25" s="1575" customFormat="1" ht="25.5" customHeight="1" x14ac:dyDescent="0.25">
      <c r="A5" s="2243"/>
      <c r="B5" s="2243"/>
      <c r="C5" s="1574" t="s">
        <v>42</v>
      </c>
      <c r="D5" s="1574" t="s">
        <v>43</v>
      </c>
      <c r="E5" s="1574" t="s">
        <v>42</v>
      </c>
      <c r="F5" s="1574" t="s">
        <v>43</v>
      </c>
      <c r="G5" s="1574" t="s">
        <v>42</v>
      </c>
      <c r="H5" s="1574" t="s">
        <v>43</v>
      </c>
      <c r="I5" s="1574" t="s">
        <v>42</v>
      </c>
      <c r="J5" s="1574" t="s">
        <v>43</v>
      </c>
      <c r="K5" s="1574" t="s">
        <v>42</v>
      </c>
      <c r="L5" s="1574" t="s">
        <v>43</v>
      </c>
      <c r="M5" s="1574" t="s">
        <v>42</v>
      </c>
      <c r="N5" s="1574" t="s">
        <v>43</v>
      </c>
      <c r="O5" s="1574" t="s">
        <v>42</v>
      </c>
      <c r="P5" s="1574" t="s">
        <v>43</v>
      </c>
      <c r="Q5" s="1574" t="s">
        <v>42</v>
      </c>
      <c r="R5" s="1574" t="s">
        <v>43</v>
      </c>
      <c r="S5" s="33" t="s">
        <v>42</v>
      </c>
      <c r="T5" s="33" t="s">
        <v>43</v>
      </c>
      <c r="U5" s="30" t="s">
        <v>42</v>
      </c>
      <c r="V5" s="30" t="s">
        <v>43</v>
      </c>
      <c r="W5" s="30" t="s">
        <v>42</v>
      </c>
      <c r="X5" s="30" t="s">
        <v>43</v>
      </c>
      <c r="Y5" s="2239"/>
    </row>
    <row r="6" spans="1:25" ht="34.5" customHeight="1" x14ac:dyDescent="0.25">
      <c r="A6" s="12">
        <v>1409935200</v>
      </c>
      <c r="B6" s="1573" t="s">
        <v>71</v>
      </c>
      <c r="C6" s="1571">
        <v>22387</v>
      </c>
      <c r="D6" s="1570">
        <f t="shared" ref="D6:D11" si="0">0.9725*C6</f>
        <v>21771.357500000002</v>
      </c>
      <c r="E6" s="1571"/>
      <c r="F6" s="1570">
        <f>67.1*E6</f>
        <v>0</v>
      </c>
      <c r="G6" s="1571"/>
      <c r="H6" s="1571">
        <f>28.2*G6</f>
        <v>0</v>
      </c>
      <c r="I6" s="1571">
        <v>240</v>
      </c>
      <c r="J6" s="1571">
        <f>18.5*I6</f>
        <v>4440</v>
      </c>
      <c r="K6" s="1571"/>
      <c r="L6" s="1570">
        <f>28.2368*K6</f>
        <v>0</v>
      </c>
      <c r="M6" s="1571"/>
      <c r="N6" s="1570">
        <f>M6*47.6525</f>
        <v>0</v>
      </c>
      <c r="O6" s="1571"/>
      <c r="P6" s="1570">
        <f>O6*8.9</f>
        <v>0</v>
      </c>
      <c r="Q6" s="1570"/>
      <c r="R6" s="1570">
        <f>241*Q6</f>
        <v>0</v>
      </c>
      <c r="S6" s="1571"/>
      <c r="T6" s="1571">
        <f>241*S6</f>
        <v>0</v>
      </c>
      <c r="U6" s="1571"/>
      <c r="V6" s="1571">
        <f>332*U6</f>
        <v>0</v>
      </c>
      <c r="W6" s="1571"/>
      <c r="X6" s="19">
        <f>W6*100</f>
        <v>0</v>
      </c>
      <c r="Y6" s="20">
        <f t="shared" ref="Y6:Y12" si="1">D6+F6+H6+J6+L6+N6+P6+R6+T6+V6+X6</f>
        <v>26211.357500000002</v>
      </c>
    </row>
    <row r="7" spans="1:25" ht="31.5" customHeight="1" x14ac:dyDescent="0.25">
      <c r="A7" s="12">
        <v>1984225578</v>
      </c>
      <c r="B7" s="1573" t="s">
        <v>72</v>
      </c>
      <c r="C7" s="1571">
        <v>46349</v>
      </c>
      <c r="D7" s="1570">
        <f t="shared" si="0"/>
        <v>45074.402500000004</v>
      </c>
      <c r="E7" s="1571"/>
      <c r="F7" s="1571">
        <f t="shared" ref="F7:F11" si="2">67.1*E7</f>
        <v>0</v>
      </c>
      <c r="G7" s="1571"/>
      <c r="H7" s="1571">
        <f t="shared" ref="H7:H11" si="3">28.2*G7</f>
        <v>0</v>
      </c>
      <c r="I7" s="1571">
        <v>1800</v>
      </c>
      <c r="J7" s="1571">
        <f t="shared" ref="J7:J11" si="4">18.5*I7</f>
        <v>33300</v>
      </c>
      <c r="K7" s="1571"/>
      <c r="L7" s="1570">
        <f t="shared" ref="L7:L11" si="5">28.2368*K7</f>
        <v>0</v>
      </c>
      <c r="M7" s="1571"/>
      <c r="N7" s="1570">
        <f t="shared" ref="N7:N11" si="6">M7*47.6525</f>
        <v>0</v>
      </c>
      <c r="O7" s="1571"/>
      <c r="P7" s="1570">
        <f t="shared" ref="P7:P11" si="7">O7*8.9</f>
        <v>0</v>
      </c>
      <c r="Q7" s="1570"/>
      <c r="R7" s="1570">
        <f t="shared" ref="R7:R11" si="8">241*Q7</f>
        <v>0</v>
      </c>
      <c r="S7" s="1571"/>
      <c r="T7" s="1571">
        <f t="shared" ref="T7:T10" si="9">241*S7</f>
        <v>0</v>
      </c>
      <c r="U7" s="1571"/>
      <c r="V7" s="1571">
        <f t="shared" ref="V7:V11" si="10">332*U7</f>
        <v>0</v>
      </c>
      <c r="W7" s="1571"/>
      <c r="X7" s="19">
        <f t="shared" ref="X7:X11" si="11">W7*100</f>
        <v>0</v>
      </c>
      <c r="Y7" s="20">
        <f t="shared" si="1"/>
        <v>78374.402499999997</v>
      </c>
    </row>
    <row r="8" spans="1:25" ht="35.25" customHeight="1" x14ac:dyDescent="0.25">
      <c r="A8" s="12">
        <v>1967020280</v>
      </c>
      <c r="B8" s="1573" t="s">
        <v>427</v>
      </c>
      <c r="C8" s="1571">
        <v>34510</v>
      </c>
      <c r="D8" s="1570">
        <f t="shared" si="0"/>
        <v>33560.974999999999</v>
      </c>
      <c r="E8" s="1571"/>
      <c r="F8" s="1571">
        <f t="shared" si="2"/>
        <v>0</v>
      </c>
      <c r="G8" s="1571"/>
      <c r="H8" s="1570">
        <f t="shared" si="3"/>
        <v>0</v>
      </c>
      <c r="I8" s="1571">
        <v>50</v>
      </c>
      <c r="J8" s="1571">
        <f t="shared" si="4"/>
        <v>925</v>
      </c>
      <c r="K8" s="1571">
        <v>50</v>
      </c>
      <c r="L8" s="1570">
        <f t="shared" si="5"/>
        <v>1411.84</v>
      </c>
      <c r="M8" s="1571"/>
      <c r="N8" s="1570">
        <f t="shared" si="6"/>
        <v>0</v>
      </c>
      <c r="O8" s="1571"/>
      <c r="P8" s="1570">
        <f t="shared" si="7"/>
        <v>0</v>
      </c>
      <c r="Q8" s="1570"/>
      <c r="R8" s="1570">
        <f t="shared" si="8"/>
        <v>0</v>
      </c>
      <c r="S8" s="1571"/>
      <c r="T8" s="1571">
        <f t="shared" si="9"/>
        <v>0</v>
      </c>
      <c r="U8" s="1571"/>
      <c r="V8" s="1571">
        <f t="shared" si="10"/>
        <v>0</v>
      </c>
      <c r="W8" s="1571"/>
      <c r="X8" s="19">
        <f t="shared" si="11"/>
        <v>0</v>
      </c>
      <c r="Y8" s="20">
        <f t="shared" si="1"/>
        <v>35897.814999999995</v>
      </c>
    </row>
    <row r="9" spans="1:25" ht="38.25" customHeight="1" x14ac:dyDescent="0.25">
      <c r="A9" s="12">
        <v>1984225580</v>
      </c>
      <c r="B9" s="1573" t="s">
        <v>75</v>
      </c>
      <c r="C9" s="1571">
        <v>58904</v>
      </c>
      <c r="D9" s="1570">
        <f t="shared" si="0"/>
        <v>57284.14</v>
      </c>
      <c r="E9" s="1571">
        <v>20</v>
      </c>
      <c r="F9" s="1571">
        <f t="shared" si="2"/>
        <v>1342</v>
      </c>
      <c r="G9" s="1571"/>
      <c r="H9" s="1571">
        <f t="shared" si="3"/>
        <v>0</v>
      </c>
      <c r="I9" s="1571">
        <v>150</v>
      </c>
      <c r="J9" s="1571">
        <f t="shared" si="4"/>
        <v>2775</v>
      </c>
      <c r="K9" s="1571"/>
      <c r="L9" s="1570">
        <f t="shared" si="5"/>
        <v>0</v>
      </c>
      <c r="M9" s="1571"/>
      <c r="N9" s="1570">
        <f t="shared" si="6"/>
        <v>0</v>
      </c>
      <c r="O9" s="1571"/>
      <c r="P9" s="1570">
        <f t="shared" si="7"/>
        <v>0</v>
      </c>
      <c r="Q9" s="1570"/>
      <c r="R9" s="1570">
        <f t="shared" si="8"/>
        <v>0</v>
      </c>
      <c r="S9" s="1571"/>
      <c r="T9" s="1571">
        <f t="shared" si="9"/>
        <v>0</v>
      </c>
      <c r="U9" s="1571"/>
      <c r="V9" s="1571">
        <f t="shared" si="10"/>
        <v>0</v>
      </c>
      <c r="W9" s="1571"/>
      <c r="X9" s="19">
        <f t="shared" si="11"/>
        <v>0</v>
      </c>
      <c r="Y9" s="20">
        <f t="shared" si="1"/>
        <v>61401.14</v>
      </c>
    </row>
    <row r="10" spans="1:25" ht="35.25" customHeight="1" x14ac:dyDescent="0.25">
      <c r="A10" s="12">
        <v>1409935199</v>
      </c>
      <c r="C10" s="1571">
        <v>6650</v>
      </c>
      <c r="D10" s="1570">
        <f t="shared" si="0"/>
        <v>6467.125</v>
      </c>
      <c r="E10" s="1571"/>
      <c r="F10" s="1571">
        <f t="shared" si="2"/>
        <v>0</v>
      </c>
      <c r="G10" s="1571"/>
      <c r="H10" s="1571">
        <f t="shared" si="3"/>
        <v>0</v>
      </c>
      <c r="I10" s="1571"/>
      <c r="J10" s="1571">
        <f t="shared" si="4"/>
        <v>0</v>
      </c>
      <c r="K10" s="1571"/>
      <c r="L10" s="1570">
        <f t="shared" si="5"/>
        <v>0</v>
      </c>
      <c r="M10" s="1571"/>
      <c r="N10" s="1570">
        <f t="shared" si="6"/>
        <v>0</v>
      </c>
      <c r="O10" s="1571"/>
      <c r="P10" s="1570">
        <f t="shared" si="7"/>
        <v>0</v>
      </c>
      <c r="Q10" s="1570"/>
      <c r="R10" s="1570">
        <f t="shared" si="8"/>
        <v>0</v>
      </c>
      <c r="S10" s="1571"/>
      <c r="T10" s="1571">
        <f t="shared" si="9"/>
        <v>0</v>
      </c>
      <c r="U10" s="1571"/>
      <c r="V10" s="1571">
        <f t="shared" si="10"/>
        <v>0</v>
      </c>
      <c r="W10" s="1571"/>
      <c r="X10" s="19">
        <f t="shared" si="11"/>
        <v>0</v>
      </c>
      <c r="Y10" s="20">
        <f t="shared" si="1"/>
        <v>6467.125</v>
      </c>
    </row>
    <row r="11" spans="1:25" ht="37.5" customHeight="1" x14ac:dyDescent="0.25">
      <c r="A11" s="12"/>
      <c r="B11" s="1572"/>
      <c r="C11" s="1571"/>
      <c r="D11" s="1570">
        <f t="shared" si="0"/>
        <v>0</v>
      </c>
      <c r="E11" s="1571"/>
      <c r="F11" s="1571">
        <f t="shared" si="2"/>
        <v>0</v>
      </c>
      <c r="G11" s="1571"/>
      <c r="H11" s="1571">
        <f t="shared" si="3"/>
        <v>0</v>
      </c>
      <c r="I11" s="1571"/>
      <c r="J11" s="1571">
        <f t="shared" si="4"/>
        <v>0</v>
      </c>
      <c r="K11" s="1571"/>
      <c r="L11" s="1570">
        <f t="shared" si="5"/>
        <v>0</v>
      </c>
      <c r="M11" s="1571"/>
      <c r="N11" s="1570">
        <f t="shared" si="6"/>
        <v>0</v>
      </c>
      <c r="O11" s="1571"/>
      <c r="P11" s="1570">
        <f t="shared" si="7"/>
        <v>0</v>
      </c>
      <c r="Q11" s="1570"/>
      <c r="R11" s="1570">
        <f t="shared" si="8"/>
        <v>0</v>
      </c>
      <c r="S11" s="1571"/>
      <c r="T11" s="1571">
        <f>341*S11</f>
        <v>0</v>
      </c>
      <c r="U11" s="1571"/>
      <c r="V11" s="1571">
        <f t="shared" si="10"/>
        <v>0</v>
      </c>
      <c r="W11" s="1571"/>
      <c r="X11" s="19">
        <f t="shared" si="11"/>
        <v>0</v>
      </c>
      <c r="Y11" s="20">
        <f t="shared" si="1"/>
        <v>0</v>
      </c>
    </row>
    <row r="12" spans="1:25" ht="29.25" customHeight="1" x14ac:dyDescent="0.25">
      <c r="A12" s="2235" t="s">
        <v>31</v>
      </c>
      <c r="B12" s="2235"/>
      <c r="C12" s="18">
        <f t="shared" ref="C12:X12" si="12">SUM(C6:C11)</f>
        <v>168800</v>
      </c>
      <c r="D12" s="18">
        <f t="shared" si="12"/>
        <v>164158</v>
      </c>
      <c r="E12" s="18">
        <f t="shared" si="12"/>
        <v>20</v>
      </c>
      <c r="F12" s="18">
        <f t="shared" si="12"/>
        <v>1342</v>
      </c>
      <c r="G12" s="18">
        <f t="shared" si="12"/>
        <v>0</v>
      </c>
      <c r="H12" s="18">
        <f t="shared" si="12"/>
        <v>0</v>
      </c>
      <c r="I12" s="18">
        <f t="shared" si="12"/>
        <v>2240</v>
      </c>
      <c r="J12" s="18">
        <f t="shared" si="12"/>
        <v>41440</v>
      </c>
      <c r="K12" s="18">
        <f t="shared" si="12"/>
        <v>50</v>
      </c>
      <c r="L12" s="18">
        <f t="shared" si="12"/>
        <v>1411.84</v>
      </c>
      <c r="M12" s="18">
        <f t="shared" si="12"/>
        <v>0</v>
      </c>
      <c r="N12" s="23">
        <f t="shared" si="12"/>
        <v>0</v>
      </c>
      <c r="O12" s="18">
        <f t="shared" si="12"/>
        <v>0</v>
      </c>
      <c r="P12" s="23">
        <f t="shared" si="12"/>
        <v>0</v>
      </c>
      <c r="Q12" s="23">
        <f t="shared" si="12"/>
        <v>0</v>
      </c>
      <c r="R12" s="23">
        <f>SUM(R6:R11)</f>
        <v>0</v>
      </c>
      <c r="S12" s="23">
        <f>SUM(S6:S11)</f>
        <v>0</v>
      </c>
      <c r="T12" s="18">
        <f t="shared" si="12"/>
        <v>0</v>
      </c>
      <c r="U12" s="18">
        <f t="shared" si="12"/>
        <v>0</v>
      </c>
      <c r="V12" s="18">
        <f t="shared" si="12"/>
        <v>0</v>
      </c>
      <c r="W12" s="18">
        <f t="shared" si="12"/>
        <v>0</v>
      </c>
      <c r="X12" s="18">
        <f t="shared" si="12"/>
        <v>0</v>
      </c>
      <c r="Y12" s="20">
        <f t="shared" si="1"/>
        <v>208351.84</v>
      </c>
    </row>
    <row r="14" spans="1:25" ht="43.5" customHeight="1" x14ac:dyDescent="0.25">
      <c r="A14" s="30" t="s">
        <v>32</v>
      </c>
      <c r="B14" s="2236" t="s">
        <v>27</v>
      </c>
      <c r="C14" s="2236"/>
      <c r="D14" s="30" t="s">
        <v>333</v>
      </c>
      <c r="E14" s="30" t="s">
        <v>65</v>
      </c>
      <c r="F14" s="30" t="s">
        <v>34</v>
      </c>
      <c r="G14" s="30" t="s">
        <v>14</v>
      </c>
      <c r="H14" s="469" t="s">
        <v>173</v>
      </c>
      <c r="I14" s="30" t="s">
        <v>17</v>
      </c>
      <c r="J14" s="1579" t="s">
        <v>174</v>
      </c>
      <c r="K14" s="30" t="s">
        <v>36</v>
      </c>
      <c r="L14" s="1579" t="s">
        <v>403</v>
      </c>
      <c r="M14" s="30" t="s">
        <v>429</v>
      </c>
      <c r="N14" s="30" t="s">
        <v>442</v>
      </c>
      <c r="O14" s="1579" t="s">
        <v>114</v>
      </c>
      <c r="P14" s="30" t="s">
        <v>70</v>
      </c>
      <c r="Q14" s="2300" t="s">
        <v>479</v>
      </c>
      <c r="R14" s="2301"/>
      <c r="S14" s="1579" t="s">
        <v>401</v>
      </c>
      <c r="T14" s="2235" t="s">
        <v>46</v>
      </c>
      <c r="U14" s="1573" t="s">
        <v>176</v>
      </c>
      <c r="V14" s="2260">
        <v>16960</v>
      </c>
      <c r="W14" s="2268"/>
      <c r="X14" s="2261"/>
    </row>
    <row r="15" spans="1:25" ht="22.5" customHeight="1" x14ac:dyDescent="0.25">
      <c r="A15" s="100" t="s">
        <v>38</v>
      </c>
      <c r="B15" s="2260">
        <v>317005</v>
      </c>
      <c r="C15" s="2261"/>
      <c r="D15" s="1576">
        <v>50</v>
      </c>
      <c r="E15" s="1576">
        <v>0</v>
      </c>
      <c r="F15" s="1576">
        <v>11590</v>
      </c>
      <c r="G15" s="1576">
        <v>80</v>
      </c>
      <c r="H15" s="1576">
        <v>72</v>
      </c>
      <c r="I15" s="1576">
        <v>51</v>
      </c>
      <c r="J15" s="1576">
        <v>4</v>
      </c>
      <c r="K15" s="1576">
        <v>70</v>
      </c>
      <c r="L15" s="1576">
        <v>0</v>
      </c>
      <c r="M15" s="1576">
        <v>0</v>
      </c>
      <c r="N15" s="1576">
        <v>0</v>
      </c>
      <c r="O15" s="1576">
        <v>0</v>
      </c>
      <c r="P15" s="1576">
        <v>100</v>
      </c>
      <c r="Q15" s="2260">
        <v>10</v>
      </c>
      <c r="R15" s="2261"/>
      <c r="S15" s="1573">
        <v>2</v>
      </c>
      <c r="T15" s="2235"/>
      <c r="U15" s="1573" t="s">
        <v>64</v>
      </c>
      <c r="V15" s="2262">
        <v>32172</v>
      </c>
      <c r="W15" s="2262"/>
      <c r="X15" s="2262"/>
    </row>
    <row r="16" spans="1:25" ht="24.75" customHeight="1" x14ac:dyDescent="0.25">
      <c r="A16" s="100" t="s">
        <v>39</v>
      </c>
      <c r="B16" s="2260">
        <v>262504</v>
      </c>
      <c r="C16" s="2261"/>
      <c r="D16" s="1576"/>
      <c r="E16" s="1576"/>
      <c r="F16" s="1576">
        <v>14000</v>
      </c>
      <c r="G16" s="1576"/>
      <c r="H16" s="1576"/>
      <c r="I16" s="1576"/>
      <c r="J16" s="1576"/>
      <c r="K16" s="1576"/>
      <c r="L16" s="1576"/>
      <c r="M16" s="1576"/>
      <c r="N16" s="1576"/>
      <c r="O16" s="1576"/>
      <c r="P16" s="1576"/>
      <c r="Q16" s="2262"/>
      <c r="R16" s="2262"/>
      <c r="S16" s="1576"/>
      <c r="T16" s="2254" t="s">
        <v>55</v>
      </c>
      <c r="U16" s="2254"/>
      <c r="V16" s="2267">
        <f>Y12</f>
        <v>208351.84</v>
      </c>
      <c r="W16" s="2267"/>
      <c r="X16" s="2262"/>
    </row>
    <row r="17" spans="1:25" ht="28.5" customHeight="1" x14ac:dyDescent="0.25">
      <c r="A17" s="101" t="s">
        <v>44</v>
      </c>
      <c r="B17" s="2260">
        <v>11688</v>
      </c>
      <c r="C17" s="2261"/>
      <c r="D17" s="1576"/>
      <c r="E17" s="1576"/>
      <c r="F17" s="1576"/>
      <c r="G17" s="1576"/>
      <c r="H17" s="1576"/>
      <c r="I17" s="1576"/>
      <c r="J17" s="1576"/>
      <c r="K17" s="1576"/>
      <c r="L17" s="1576"/>
      <c r="M17" s="1576"/>
      <c r="N17" s="1576"/>
      <c r="O17" s="1576"/>
      <c r="P17" s="1576"/>
      <c r="Q17" s="2225"/>
      <c r="R17" s="2225"/>
      <c r="S17" s="1572"/>
      <c r="T17" s="2294" t="s">
        <v>473</v>
      </c>
      <c r="U17" s="2295"/>
      <c r="V17" s="2296"/>
      <c r="W17" s="2296"/>
      <c r="X17" s="2296"/>
    </row>
    <row r="18" spans="1:25" ht="27" customHeight="1" x14ac:dyDescent="0.25">
      <c r="A18" s="100" t="s">
        <v>40</v>
      </c>
      <c r="B18" s="2264">
        <f>C12</f>
        <v>168800</v>
      </c>
      <c r="C18" s="2261"/>
      <c r="D18" s="1578">
        <f>E12</f>
        <v>20</v>
      </c>
      <c r="E18" s="1578">
        <f>G12</f>
        <v>0</v>
      </c>
      <c r="F18" s="1578">
        <f>I12</f>
        <v>2240</v>
      </c>
      <c r="G18" s="1578">
        <f>K12</f>
        <v>50</v>
      </c>
      <c r="H18" s="1576"/>
      <c r="I18" s="1578">
        <f>U12</f>
        <v>0</v>
      </c>
      <c r="J18" s="1576"/>
      <c r="K18" s="1578">
        <f>W12</f>
        <v>0</v>
      </c>
      <c r="L18" s="1576"/>
      <c r="M18" s="1578">
        <f>M12</f>
        <v>0</v>
      </c>
      <c r="N18" s="1578">
        <f>O12</f>
        <v>0</v>
      </c>
      <c r="O18" s="1577">
        <f>Q12</f>
        <v>0</v>
      </c>
      <c r="P18" s="1578"/>
      <c r="Q18" s="2262"/>
      <c r="R18" s="2262"/>
      <c r="S18" s="1573"/>
      <c r="T18" s="2254" t="s">
        <v>57</v>
      </c>
      <c r="U18" s="2254"/>
      <c r="V18" s="2262">
        <v>640</v>
      </c>
      <c r="W18" s="2262"/>
      <c r="X18" s="2262"/>
      <c r="Y18" s="2269"/>
    </row>
    <row r="19" spans="1:25" ht="25.5" customHeight="1" x14ac:dyDescent="0.25">
      <c r="A19" s="100" t="s">
        <v>41</v>
      </c>
      <c r="B19" s="2260">
        <f>B15+B16+B17-B18</f>
        <v>422397</v>
      </c>
      <c r="C19" s="2261"/>
      <c r="D19" s="1576">
        <f>D15+D16+D17-D18</f>
        <v>30</v>
      </c>
      <c r="E19" s="1576">
        <f t="shared" ref="E19:N19" si="13">E15+E16+E17-E18</f>
        <v>0</v>
      </c>
      <c r="F19" s="1576">
        <f t="shared" si="13"/>
        <v>23350</v>
      </c>
      <c r="G19" s="1576">
        <f t="shared" si="13"/>
        <v>30</v>
      </c>
      <c r="H19" s="1576">
        <f t="shared" si="13"/>
        <v>72</v>
      </c>
      <c r="I19" s="1576">
        <f t="shared" si="13"/>
        <v>51</v>
      </c>
      <c r="J19" s="1576">
        <f t="shared" si="13"/>
        <v>4</v>
      </c>
      <c r="K19" s="1576">
        <f t="shared" si="13"/>
        <v>70</v>
      </c>
      <c r="L19" s="1576">
        <f t="shared" si="13"/>
        <v>0</v>
      </c>
      <c r="M19" s="1576">
        <f t="shared" si="13"/>
        <v>0</v>
      </c>
      <c r="N19" s="1576">
        <f t="shared" si="13"/>
        <v>0</v>
      </c>
      <c r="O19" s="1576">
        <f>O15+O16+O17-O18</f>
        <v>0</v>
      </c>
      <c r="P19" s="1576">
        <f t="shared" ref="P19:Q19" si="14">P15+P16+P17-P18</f>
        <v>100</v>
      </c>
      <c r="Q19" s="2260">
        <f t="shared" si="14"/>
        <v>10</v>
      </c>
      <c r="R19" s="2261"/>
      <c r="S19" s="1573">
        <f>S15+S16-S17-S18</f>
        <v>2</v>
      </c>
      <c r="T19" s="2256" t="s">
        <v>48</v>
      </c>
      <c r="U19" s="49" t="s">
        <v>58</v>
      </c>
      <c r="V19" s="2262">
        <v>123000</v>
      </c>
      <c r="W19" s="2262"/>
      <c r="X19" s="2262"/>
      <c r="Y19" s="2269"/>
    </row>
    <row r="20" spans="1:25" ht="23.25" customHeight="1" x14ac:dyDescent="0.25">
      <c r="A20" s="289" t="s">
        <v>187</v>
      </c>
      <c r="B20" s="2286">
        <f>B19*0.9625</f>
        <v>406557.11249999999</v>
      </c>
      <c r="C20" s="2287"/>
      <c r="D20" s="290">
        <f>D19*66.41</f>
        <v>1992.3</v>
      </c>
      <c r="E20" s="290">
        <f>27.9368*E19</f>
        <v>0</v>
      </c>
      <c r="F20" s="290">
        <f>18.31*F19</f>
        <v>427538.49999999994</v>
      </c>
      <c r="G20" s="290">
        <f>27.9368*G19</f>
        <v>838.10400000000004</v>
      </c>
      <c r="H20" s="290">
        <f>241*H19</f>
        <v>17352</v>
      </c>
      <c r="I20" s="290">
        <f>323*I19</f>
        <v>16473</v>
      </c>
      <c r="J20" s="290">
        <f>241*J19</f>
        <v>964</v>
      </c>
      <c r="K20" s="290">
        <f>K19*100</f>
        <v>7000</v>
      </c>
      <c r="L20" s="290">
        <f>241*L19</f>
        <v>0</v>
      </c>
      <c r="M20" s="290">
        <f>47.1625*M19</f>
        <v>0</v>
      </c>
      <c r="N20" s="290">
        <f>N19*8.81</f>
        <v>0</v>
      </c>
      <c r="O20" s="290">
        <f>241*O19</f>
        <v>0</v>
      </c>
      <c r="P20" s="290">
        <f>P19*48.2</f>
        <v>4820</v>
      </c>
      <c r="Q20" s="2286">
        <f>470*Q19</f>
        <v>4700</v>
      </c>
      <c r="R20" s="2287"/>
      <c r="S20" s="290">
        <f>341*S19</f>
        <v>682</v>
      </c>
      <c r="T20" s="2257"/>
      <c r="U20" s="49" t="s">
        <v>59</v>
      </c>
      <c r="V20" s="2262">
        <v>109000</v>
      </c>
      <c r="W20" s="2262"/>
      <c r="X20" s="2262"/>
      <c r="Y20" s="2269"/>
    </row>
    <row r="21" spans="1:25" ht="32.25" customHeight="1" x14ac:dyDescent="0.25">
      <c r="A21" s="291" t="s">
        <v>186</v>
      </c>
      <c r="B21" s="2293">
        <f>SUM(B20:S20)</f>
        <v>888917.01649999991</v>
      </c>
      <c r="C21" s="2293"/>
      <c r="O21" s="1580"/>
      <c r="P21" s="1580"/>
      <c r="Q21" s="1580"/>
      <c r="R21" s="1580"/>
      <c r="T21" s="2294" t="s">
        <v>487</v>
      </c>
      <c r="U21" s="2295"/>
      <c r="V21" s="2297"/>
      <c r="W21" s="2298"/>
      <c r="X21" s="2299"/>
      <c r="Y21" s="2269"/>
    </row>
    <row r="22" spans="1:25" ht="35.25" customHeight="1" x14ac:dyDescent="0.25">
      <c r="A22" s="15"/>
      <c r="B22" s="2288" t="s">
        <v>49</v>
      </c>
      <c r="C22" s="2291">
        <v>123000</v>
      </c>
      <c r="D22" s="2291">
        <v>123000</v>
      </c>
      <c r="E22" s="2291">
        <v>400000</v>
      </c>
      <c r="F22" s="2291">
        <f>C22-D22+E22</f>
        <v>400000</v>
      </c>
      <c r="G22" s="1580"/>
      <c r="Q22" s="1580"/>
      <c r="R22" s="1580"/>
      <c r="T22" s="2251" t="s">
        <v>83</v>
      </c>
      <c r="U22" s="50" t="s">
        <v>60</v>
      </c>
      <c r="V22" s="2262">
        <v>209100</v>
      </c>
      <c r="W22" s="2262"/>
      <c r="X22" s="2262"/>
      <c r="Y22" s="2269"/>
    </row>
    <row r="23" spans="1:25" ht="39.75" customHeight="1" x14ac:dyDescent="0.25">
      <c r="A23" s="1580"/>
      <c r="B23" s="2289"/>
      <c r="C23" s="2292"/>
      <c r="D23" s="2292"/>
      <c r="E23" s="2292"/>
      <c r="F23" s="2292"/>
      <c r="G23" s="1580"/>
      <c r="Q23" s="1580"/>
      <c r="R23" s="1580"/>
      <c r="T23" s="2252"/>
      <c r="U23" s="50" t="s">
        <v>61</v>
      </c>
      <c r="V23" s="2262">
        <v>232000</v>
      </c>
      <c r="W23" s="2262"/>
      <c r="X23" s="2262"/>
      <c r="Y23" s="2269"/>
    </row>
    <row r="24" spans="1:25" ht="48" customHeight="1" x14ac:dyDescent="0.25">
      <c r="A24" s="1580"/>
      <c r="B24" s="2290"/>
      <c r="C24" s="290" t="s">
        <v>46</v>
      </c>
      <c r="D24" s="290" t="s">
        <v>50</v>
      </c>
      <c r="E24" s="290" t="s">
        <v>51</v>
      </c>
      <c r="F24" s="290" t="s">
        <v>52</v>
      </c>
      <c r="G24" s="1580"/>
      <c r="Q24" s="1580"/>
      <c r="R24" s="1580"/>
      <c r="T24" s="2235" t="s">
        <v>47</v>
      </c>
      <c r="U24" s="51" t="s">
        <v>62</v>
      </c>
      <c r="V24" s="2263">
        <f>V14+V16+V17-V18-V19-V20-V22+V23-V21</f>
        <v>15571.839999999997</v>
      </c>
      <c r="W24" s="2263"/>
      <c r="X24" s="2263"/>
      <c r="Y24" s="2269"/>
    </row>
    <row r="25" spans="1:25" ht="40.5" customHeight="1" x14ac:dyDescent="0.25">
      <c r="T25" s="2235"/>
      <c r="U25" s="51" t="s">
        <v>63</v>
      </c>
      <c r="V25" s="2262">
        <f>V15+V22-V23</f>
        <v>9272</v>
      </c>
      <c r="W25" s="2262"/>
      <c r="X25" s="2262"/>
    </row>
    <row r="26" spans="1:25" ht="36" customHeight="1" x14ac:dyDescent="0.25">
      <c r="K26" s="314"/>
    </row>
    <row r="28" spans="1:25" x14ac:dyDescent="0.25">
      <c r="J28" s="14" t="s">
        <v>139</v>
      </c>
    </row>
    <row r="32" spans="1:25" x14ac:dyDescent="0.25">
      <c r="I32" s="2280"/>
      <c r="J32" s="2280"/>
      <c r="K32" s="2280"/>
      <c r="L32" s="2280"/>
    </row>
    <row r="33" spans="9:12" x14ac:dyDescent="0.25">
      <c r="I33" s="1580"/>
      <c r="J33" s="1580"/>
      <c r="K33" s="2280"/>
      <c r="L33" s="2280"/>
    </row>
  </sheetData>
  <mergeCells count="62">
    <mergeCell ref="A1:Y1"/>
    <mergeCell ref="A2:Y2"/>
    <mergeCell ref="T3:Y3"/>
    <mergeCell ref="A4:A5"/>
    <mergeCell ref="B4:B5"/>
    <mergeCell ref="C4:D4"/>
    <mergeCell ref="E4:F4"/>
    <mergeCell ref="G4:H4"/>
    <mergeCell ref="I4:J4"/>
    <mergeCell ref="K4:L4"/>
    <mergeCell ref="Y4:Y5"/>
    <mergeCell ref="M4:N4"/>
    <mergeCell ref="O4:P4"/>
    <mergeCell ref="Q4:R4"/>
    <mergeCell ref="S4:T4"/>
    <mergeCell ref="U4:V4"/>
    <mergeCell ref="W4:X4"/>
    <mergeCell ref="B16:C16"/>
    <mergeCell ref="Q16:R16"/>
    <mergeCell ref="T16:U16"/>
    <mergeCell ref="V16:X16"/>
    <mergeCell ref="A12:B12"/>
    <mergeCell ref="B14:C14"/>
    <mergeCell ref="Q14:R14"/>
    <mergeCell ref="T14:T15"/>
    <mergeCell ref="V14:X14"/>
    <mergeCell ref="B15:C15"/>
    <mergeCell ref="Q15:R15"/>
    <mergeCell ref="V15:X15"/>
    <mergeCell ref="B17:C17"/>
    <mergeCell ref="Q17:R17"/>
    <mergeCell ref="T17:U17"/>
    <mergeCell ref="V17:X17"/>
    <mergeCell ref="B18:C18"/>
    <mergeCell ref="Q18:R18"/>
    <mergeCell ref="T18:U18"/>
    <mergeCell ref="V18:X18"/>
    <mergeCell ref="Y18:Y24"/>
    <mergeCell ref="B19:C19"/>
    <mergeCell ref="Q19:R19"/>
    <mergeCell ref="T19:T20"/>
    <mergeCell ref="V19:X19"/>
    <mergeCell ref="B20:C20"/>
    <mergeCell ref="B22:B24"/>
    <mergeCell ref="C22:C23"/>
    <mergeCell ref="D22:D23"/>
    <mergeCell ref="E22:E23"/>
    <mergeCell ref="F22:F23"/>
    <mergeCell ref="Q20:R20"/>
    <mergeCell ref="V20:X20"/>
    <mergeCell ref="B21:C21"/>
    <mergeCell ref="T21:U21"/>
    <mergeCell ref="V21:X21"/>
    <mergeCell ref="I32:J32"/>
    <mergeCell ref="K32:L32"/>
    <mergeCell ref="K33:L33"/>
    <mergeCell ref="T22:T23"/>
    <mergeCell ref="V22:X22"/>
    <mergeCell ref="V23:X23"/>
    <mergeCell ref="T24:T25"/>
    <mergeCell ref="V24:X24"/>
    <mergeCell ref="V25:X25"/>
  </mergeCells>
  <pageMargins left="0.15748031496063" right="0.15748031496063" top="0" bottom="0" header="0" footer="0"/>
  <pageSetup paperSize="9" scale="46" orientation="landscape" r:id="rId1"/>
</worksheet>
</file>

<file path=xl/worksheets/sheet26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E6CF4FE-E1E5-4CB6-B844-E6906036A389}">
  <sheetPr>
    <pageSetUpPr fitToPage="1"/>
  </sheetPr>
  <dimension ref="A1:Y33"/>
  <sheetViews>
    <sheetView topLeftCell="A7" zoomScale="70" zoomScaleNormal="70" zoomScaleSheetLayoutView="100" zoomScalePageLayoutView="68" workbookViewId="0">
      <selection activeCell="J24" sqref="J24"/>
    </sheetView>
  </sheetViews>
  <sheetFormatPr defaultColWidth="9.140625" defaultRowHeight="15" x14ac:dyDescent="0.25"/>
  <cols>
    <col min="1" max="1" width="18.28515625" style="14" customWidth="1"/>
    <col min="2" max="2" width="10.7109375" style="14" customWidth="1"/>
    <col min="3" max="3" width="12.28515625" style="14" customWidth="1"/>
    <col min="4" max="4" width="13.140625" style="14" bestFit="1" customWidth="1"/>
    <col min="5" max="5" width="12" style="14" customWidth="1"/>
    <col min="6" max="6" width="14" style="14" bestFit="1" customWidth="1"/>
    <col min="7" max="7" width="16" style="14" bestFit="1" customWidth="1"/>
    <col min="8" max="8" width="10.140625" style="14" bestFit="1" customWidth="1"/>
    <col min="9" max="9" width="10.5703125" style="14" bestFit="1" customWidth="1"/>
    <col min="10" max="10" width="10.5703125" style="14" customWidth="1"/>
    <col min="11" max="11" width="10.28515625" style="14" bestFit="1" customWidth="1"/>
    <col min="12" max="12" width="10.42578125" style="14" bestFit="1" customWidth="1"/>
    <col min="13" max="14" width="12" style="14" bestFit="1" customWidth="1"/>
    <col min="15" max="15" width="11" style="14" customWidth="1"/>
    <col min="16" max="16" width="12.85546875" style="14" bestFit="1" customWidth="1"/>
    <col min="17" max="18" width="9.42578125" style="14" customWidth="1"/>
    <col min="19" max="19" width="13.7109375" style="14" customWidth="1"/>
    <col min="20" max="20" width="12.140625" style="14" customWidth="1"/>
    <col min="21" max="21" width="21.7109375" style="14" customWidth="1"/>
    <col min="22" max="22" width="9.85546875" style="14" customWidth="1"/>
    <col min="23" max="23" width="10.140625" style="14" bestFit="1" customWidth="1"/>
    <col min="24" max="24" width="10.28515625" style="14" customWidth="1"/>
    <col min="25" max="25" width="15.7109375" style="14" customWidth="1"/>
    <col min="26" max="16384" width="9.140625" style="14"/>
  </cols>
  <sheetData>
    <row r="1" spans="1:25" ht="46.15" customHeight="1" x14ac:dyDescent="0.25">
      <c r="A1" s="2240" t="s">
        <v>148</v>
      </c>
      <c r="B1" s="2240"/>
      <c r="C1" s="2240"/>
      <c r="D1" s="2240"/>
      <c r="E1" s="2240"/>
      <c r="F1" s="2240"/>
      <c r="G1" s="2240"/>
      <c r="H1" s="2240"/>
      <c r="I1" s="2240"/>
      <c r="J1" s="2240"/>
      <c r="K1" s="2240"/>
      <c r="L1" s="2240"/>
      <c r="M1" s="2240"/>
      <c r="N1" s="2240"/>
      <c r="O1" s="2240"/>
      <c r="P1" s="2240"/>
      <c r="Q1" s="2240"/>
      <c r="R1" s="2240"/>
      <c r="S1" s="2240"/>
      <c r="T1" s="2240"/>
      <c r="U1" s="2240"/>
      <c r="V1" s="2240"/>
      <c r="W1" s="2240"/>
      <c r="X1" s="2240"/>
      <c r="Y1" s="2240"/>
    </row>
    <row r="2" spans="1:25" ht="21.6" customHeight="1" x14ac:dyDescent="0.25">
      <c r="A2" s="2241" t="s">
        <v>383</v>
      </c>
      <c r="B2" s="2241"/>
      <c r="C2" s="2241"/>
      <c r="D2" s="2241"/>
      <c r="E2" s="2241"/>
      <c r="F2" s="2241"/>
      <c r="G2" s="2241"/>
      <c r="H2" s="2241"/>
      <c r="I2" s="2241"/>
      <c r="J2" s="2241"/>
      <c r="K2" s="2241"/>
      <c r="L2" s="2241"/>
      <c r="M2" s="2241"/>
      <c r="N2" s="2241"/>
      <c r="O2" s="2241"/>
      <c r="P2" s="2241"/>
      <c r="Q2" s="2241"/>
      <c r="R2" s="2241"/>
      <c r="S2" s="2241"/>
      <c r="T2" s="2241"/>
      <c r="U2" s="2241"/>
      <c r="V2" s="2241"/>
      <c r="W2" s="2241"/>
      <c r="X2" s="2241"/>
      <c r="Y2" s="2241"/>
    </row>
    <row r="3" spans="1:25" ht="21" customHeight="1" x14ac:dyDescent="0.25">
      <c r="A3" s="1581"/>
      <c r="B3" s="1581"/>
      <c r="C3" s="1581"/>
      <c r="D3" s="1581"/>
      <c r="E3" s="1581"/>
      <c r="F3" s="1581"/>
      <c r="G3" s="1581"/>
      <c r="H3" s="1581"/>
      <c r="I3" s="1581"/>
      <c r="J3" s="1581"/>
      <c r="K3" s="1581"/>
      <c r="L3" s="1581"/>
      <c r="M3" s="1581"/>
      <c r="N3" s="1581"/>
      <c r="O3" s="1581"/>
      <c r="P3" s="1581"/>
      <c r="Q3" s="1581"/>
      <c r="R3" s="1581"/>
      <c r="S3" s="1581"/>
      <c r="T3" s="2242" t="s">
        <v>508</v>
      </c>
      <c r="U3" s="2242"/>
      <c r="V3" s="2242"/>
      <c r="W3" s="2242"/>
      <c r="X3" s="2242"/>
      <c r="Y3" s="2242"/>
    </row>
    <row r="4" spans="1:25" s="1581" customFormat="1" ht="18" customHeight="1" x14ac:dyDescent="0.25">
      <c r="A4" s="2243" t="s">
        <v>25</v>
      </c>
      <c r="B4" s="2243" t="s">
        <v>26</v>
      </c>
      <c r="C4" s="2244" t="s">
        <v>27</v>
      </c>
      <c r="D4" s="2244"/>
      <c r="E4" s="2244" t="s">
        <v>342</v>
      </c>
      <c r="F4" s="2244"/>
      <c r="G4" s="2244" t="s">
        <v>65</v>
      </c>
      <c r="H4" s="2244"/>
      <c r="I4" s="2244" t="s">
        <v>29</v>
      </c>
      <c r="J4" s="2244"/>
      <c r="K4" s="2245" t="s">
        <v>14</v>
      </c>
      <c r="L4" s="2246"/>
      <c r="M4" s="2245" t="s">
        <v>429</v>
      </c>
      <c r="N4" s="2246"/>
      <c r="O4" s="2245" t="s">
        <v>441</v>
      </c>
      <c r="P4" s="2246"/>
      <c r="Q4" s="2245" t="s">
        <v>114</v>
      </c>
      <c r="R4" s="2246"/>
      <c r="S4" s="2244" t="s">
        <v>35</v>
      </c>
      <c r="T4" s="2244"/>
      <c r="U4" s="2245" t="s">
        <v>17</v>
      </c>
      <c r="V4" s="2246"/>
      <c r="W4" s="2247" t="s">
        <v>36</v>
      </c>
      <c r="X4" s="2248"/>
      <c r="Y4" s="2238" t="s">
        <v>30</v>
      </c>
    </row>
    <row r="5" spans="1:25" s="1581" customFormat="1" ht="25.5" customHeight="1" x14ac:dyDescent="0.25">
      <c r="A5" s="2243"/>
      <c r="B5" s="2243"/>
      <c r="C5" s="1583" t="s">
        <v>42</v>
      </c>
      <c r="D5" s="1583" t="s">
        <v>43</v>
      </c>
      <c r="E5" s="1583" t="s">
        <v>42</v>
      </c>
      <c r="F5" s="1583" t="s">
        <v>43</v>
      </c>
      <c r="G5" s="1583" t="s">
        <v>42</v>
      </c>
      <c r="H5" s="1583" t="s">
        <v>43</v>
      </c>
      <c r="I5" s="1583" t="s">
        <v>42</v>
      </c>
      <c r="J5" s="1583" t="s">
        <v>43</v>
      </c>
      <c r="K5" s="1583" t="s">
        <v>42</v>
      </c>
      <c r="L5" s="1583" t="s">
        <v>43</v>
      </c>
      <c r="M5" s="1583" t="s">
        <v>42</v>
      </c>
      <c r="N5" s="1583" t="s">
        <v>43</v>
      </c>
      <c r="O5" s="1583" t="s">
        <v>42</v>
      </c>
      <c r="P5" s="1583" t="s">
        <v>43</v>
      </c>
      <c r="Q5" s="1583" t="s">
        <v>42</v>
      </c>
      <c r="R5" s="1583" t="s">
        <v>43</v>
      </c>
      <c r="S5" s="33" t="s">
        <v>42</v>
      </c>
      <c r="T5" s="33" t="s">
        <v>43</v>
      </c>
      <c r="U5" s="30" t="s">
        <v>42</v>
      </c>
      <c r="V5" s="30" t="s">
        <v>43</v>
      </c>
      <c r="W5" s="30" t="s">
        <v>42</v>
      </c>
      <c r="X5" s="30" t="s">
        <v>43</v>
      </c>
      <c r="Y5" s="2239"/>
    </row>
    <row r="6" spans="1:25" ht="34.5" customHeight="1" x14ac:dyDescent="0.25">
      <c r="A6" s="12">
        <v>1409935200</v>
      </c>
      <c r="B6" s="1582" t="s">
        <v>71</v>
      </c>
      <c r="C6" s="1585">
        <v>31849</v>
      </c>
      <c r="D6" s="1586">
        <f t="shared" ref="D6:D11" si="0">0.9725*C6</f>
        <v>30973.1525</v>
      </c>
      <c r="E6" s="1585">
        <v>10</v>
      </c>
      <c r="F6" s="1586">
        <f>67.1*E6</f>
        <v>671</v>
      </c>
      <c r="G6" s="1585"/>
      <c r="H6" s="1585">
        <f>28.2*G6</f>
        <v>0</v>
      </c>
      <c r="I6" s="1585">
        <v>1360</v>
      </c>
      <c r="J6" s="1585">
        <f>18.5*I6</f>
        <v>25160</v>
      </c>
      <c r="K6" s="1585"/>
      <c r="L6" s="1586">
        <f>28.2368*K6</f>
        <v>0</v>
      </c>
      <c r="M6" s="1585"/>
      <c r="N6" s="1586">
        <f>M6*47.6525</f>
        <v>0</v>
      </c>
      <c r="O6" s="1585"/>
      <c r="P6" s="1586">
        <f>O6*8.9</f>
        <v>0</v>
      </c>
      <c r="Q6" s="1586"/>
      <c r="R6" s="1586">
        <f>241*Q6</f>
        <v>0</v>
      </c>
      <c r="S6" s="1585"/>
      <c r="T6" s="1585">
        <f>241*S6</f>
        <v>0</v>
      </c>
      <c r="U6" s="1585"/>
      <c r="V6" s="1585">
        <f>332*U6</f>
        <v>0</v>
      </c>
      <c r="W6" s="1585"/>
      <c r="X6" s="19">
        <f>W6*100</f>
        <v>0</v>
      </c>
      <c r="Y6" s="20">
        <f t="shared" ref="Y6:Y12" si="1">D6+F6+H6+J6+L6+N6+P6+R6+T6+V6+X6</f>
        <v>56804.152499999997</v>
      </c>
    </row>
    <row r="7" spans="1:25" ht="31.5" customHeight="1" x14ac:dyDescent="0.25">
      <c r="A7" s="12">
        <v>1984225578</v>
      </c>
      <c r="B7" s="1582" t="s">
        <v>509</v>
      </c>
      <c r="C7" s="1585">
        <v>21374</v>
      </c>
      <c r="D7" s="1586">
        <f t="shared" si="0"/>
        <v>20786.215</v>
      </c>
      <c r="E7" s="1585">
        <v>10</v>
      </c>
      <c r="F7" s="1585">
        <f t="shared" ref="F7:F11" si="2">67.1*E7</f>
        <v>671</v>
      </c>
      <c r="G7" s="1585"/>
      <c r="H7" s="1585">
        <f t="shared" ref="H7:H11" si="3">28.2*G7</f>
        <v>0</v>
      </c>
      <c r="I7" s="1585">
        <v>1460</v>
      </c>
      <c r="J7" s="1585">
        <f t="shared" ref="J7:J11" si="4">18.5*I7</f>
        <v>27010</v>
      </c>
      <c r="K7" s="1585"/>
      <c r="L7" s="1586">
        <f t="shared" ref="L7:L11" si="5">28.2368*K7</f>
        <v>0</v>
      </c>
      <c r="M7" s="1585"/>
      <c r="N7" s="1586">
        <f t="shared" ref="N7:N11" si="6">M7*47.6525</f>
        <v>0</v>
      </c>
      <c r="O7" s="1585"/>
      <c r="P7" s="1586">
        <f t="shared" ref="P7:P11" si="7">O7*8.9</f>
        <v>0</v>
      </c>
      <c r="Q7" s="1586"/>
      <c r="R7" s="1586">
        <f t="shared" ref="R7:R11" si="8">241*Q7</f>
        <v>0</v>
      </c>
      <c r="S7" s="1585"/>
      <c r="T7" s="1585">
        <f t="shared" ref="T7:T10" si="9">241*S7</f>
        <v>0</v>
      </c>
      <c r="U7" s="1585"/>
      <c r="V7" s="1585">
        <f t="shared" ref="V7:V11" si="10">332*U7</f>
        <v>0</v>
      </c>
      <c r="W7" s="1585"/>
      <c r="X7" s="19">
        <f t="shared" ref="X7:X11" si="11">W7*100</f>
        <v>0</v>
      </c>
      <c r="Y7" s="20">
        <f t="shared" si="1"/>
        <v>48467.214999999997</v>
      </c>
    </row>
    <row r="8" spans="1:25" ht="35.25" customHeight="1" x14ac:dyDescent="0.25">
      <c r="A8" s="12">
        <v>1967020280</v>
      </c>
      <c r="B8" s="1582" t="s">
        <v>427</v>
      </c>
      <c r="C8" s="1585">
        <v>17404</v>
      </c>
      <c r="D8" s="1586">
        <f t="shared" si="0"/>
        <v>16925.39</v>
      </c>
      <c r="E8" s="1585">
        <v>1</v>
      </c>
      <c r="F8" s="1585">
        <f t="shared" si="2"/>
        <v>67.099999999999994</v>
      </c>
      <c r="G8" s="1585"/>
      <c r="H8" s="1586">
        <f t="shared" si="3"/>
        <v>0</v>
      </c>
      <c r="I8" s="1585">
        <v>1570</v>
      </c>
      <c r="J8" s="1585">
        <f t="shared" si="4"/>
        <v>29045</v>
      </c>
      <c r="K8" s="1585">
        <v>30</v>
      </c>
      <c r="L8" s="1586">
        <f t="shared" si="5"/>
        <v>847.10399999999993</v>
      </c>
      <c r="M8" s="1585"/>
      <c r="N8" s="1586">
        <f t="shared" si="6"/>
        <v>0</v>
      </c>
      <c r="O8" s="1585"/>
      <c r="P8" s="1586">
        <f t="shared" si="7"/>
        <v>0</v>
      </c>
      <c r="Q8" s="1586"/>
      <c r="R8" s="1586">
        <f t="shared" si="8"/>
        <v>0</v>
      </c>
      <c r="S8" s="1585"/>
      <c r="T8" s="1585">
        <f t="shared" si="9"/>
        <v>0</v>
      </c>
      <c r="U8" s="1585"/>
      <c r="V8" s="1585">
        <f t="shared" si="10"/>
        <v>0</v>
      </c>
      <c r="W8" s="1585"/>
      <c r="X8" s="19">
        <f t="shared" si="11"/>
        <v>0</v>
      </c>
      <c r="Y8" s="20">
        <f t="shared" si="1"/>
        <v>46884.593999999997</v>
      </c>
    </row>
    <row r="9" spans="1:25" ht="38.25" customHeight="1" x14ac:dyDescent="0.25">
      <c r="A9" s="12">
        <v>1984225580</v>
      </c>
      <c r="B9" s="1582" t="s">
        <v>75</v>
      </c>
      <c r="C9" s="1585">
        <v>22712</v>
      </c>
      <c r="D9" s="1586">
        <f t="shared" si="0"/>
        <v>22087.420000000002</v>
      </c>
      <c r="E9" s="1585"/>
      <c r="F9" s="1585">
        <f t="shared" si="2"/>
        <v>0</v>
      </c>
      <c r="G9" s="1585"/>
      <c r="H9" s="1585">
        <f t="shared" si="3"/>
        <v>0</v>
      </c>
      <c r="I9" s="1585">
        <v>1450</v>
      </c>
      <c r="J9" s="1585">
        <f t="shared" si="4"/>
        <v>26825</v>
      </c>
      <c r="K9" s="1585"/>
      <c r="L9" s="1586">
        <f t="shared" si="5"/>
        <v>0</v>
      </c>
      <c r="M9" s="1585"/>
      <c r="N9" s="1586">
        <f t="shared" si="6"/>
        <v>0</v>
      </c>
      <c r="O9" s="1585"/>
      <c r="P9" s="1586">
        <f t="shared" si="7"/>
        <v>0</v>
      </c>
      <c r="Q9" s="1586"/>
      <c r="R9" s="1586">
        <f t="shared" si="8"/>
        <v>0</v>
      </c>
      <c r="S9" s="1585"/>
      <c r="T9" s="1585">
        <f t="shared" si="9"/>
        <v>0</v>
      </c>
      <c r="U9" s="1585"/>
      <c r="V9" s="1585">
        <f t="shared" si="10"/>
        <v>0</v>
      </c>
      <c r="W9" s="1585"/>
      <c r="X9" s="19">
        <f t="shared" si="11"/>
        <v>0</v>
      </c>
      <c r="Y9" s="20">
        <f t="shared" si="1"/>
        <v>48912.42</v>
      </c>
    </row>
    <row r="10" spans="1:25" ht="35.25" customHeight="1" x14ac:dyDescent="0.25">
      <c r="A10" s="12">
        <v>1409935199</v>
      </c>
      <c r="C10" s="1585"/>
      <c r="D10" s="1586">
        <f t="shared" si="0"/>
        <v>0</v>
      </c>
      <c r="E10" s="1585"/>
      <c r="F10" s="1585">
        <f t="shared" si="2"/>
        <v>0</v>
      </c>
      <c r="G10" s="1585"/>
      <c r="H10" s="1585">
        <f t="shared" si="3"/>
        <v>0</v>
      </c>
      <c r="I10" s="1585"/>
      <c r="J10" s="1585">
        <f t="shared" si="4"/>
        <v>0</v>
      </c>
      <c r="K10" s="1585"/>
      <c r="L10" s="1586">
        <f t="shared" si="5"/>
        <v>0</v>
      </c>
      <c r="M10" s="1585"/>
      <c r="N10" s="1586">
        <f t="shared" si="6"/>
        <v>0</v>
      </c>
      <c r="O10" s="1585"/>
      <c r="P10" s="1586">
        <f t="shared" si="7"/>
        <v>0</v>
      </c>
      <c r="Q10" s="1586"/>
      <c r="R10" s="1586">
        <f t="shared" si="8"/>
        <v>0</v>
      </c>
      <c r="S10" s="1585"/>
      <c r="T10" s="1585">
        <f t="shared" si="9"/>
        <v>0</v>
      </c>
      <c r="U10" s="1585"/>
      <c r="V10" s="1585">
        <f t="shared" si="10"/>
        <v>0</v>
      </c>
      <c r="W10" s="1585"/>
      <c r="X10" s="19">
        <f t="shared" si="11"/>
        <v>0</v>
      </c>
      <c r="Y10" s="20">
        <f t="shared" si="1"/>
        <v>0</v>
      </c>
    </row>
    <row r="11" spans="1:25" ht="37.5" customHeight="1" x14ac:dyDescent="0.25">
      <c r="A11" s="12"/>
      <c r="B11" s="1584"/>
      <c r="C11" s="1585"/>
      <c r="D11" s="1586">
        <f t="shared" si="0"/>
        <v>0</v>
      </c>
      <c r="E11" s="1585"/>
      <c r="F11" s="1585">
        <f t="shared" si="2"/>
        <v>0</v>
      </c>
      <c r="G11" s="1585"/>
      <c r="H11" s="1585">
        <f t="shared" si="3"/>
        <v>0</v>
      </c>
      <c r="I11" s="1585"/>
      <c r="J11" s="1585">
        <f t="shared" si="4"/>
        <v>0</v>
      </c>
      <c r="K11" s="1585"/>
      <c r="L11" s="1586">
        <f t="shared" si="5"/>
        <v>0</v>
      </c>
      <c r="M11" s="1585"/>
      <c r="N11" s="1586">
        <f t="shared" si="6"/>
        <v>0</v>
      </c>
      <c r="O11" s="1585"/>
      <c r="P11" s="1586">
        <f t="shared" si="7"/>
        <v>0</v>
      </c>
      <c r="Q11" s="1586"/>
      <c r="R11" s="1586">
        <f t="shared" si="8"/>
        <v>0</v>
      </c>
      <c r="S11" s="1585"/>
      <c r="T11" s="1585">
        <f>341*S11</f>
        <v>0</v>
      </c>
      <c r="U11" s="1585"/>
      <c r="V11" s="1585">
        <f t="shared" si="10"/>
        <v>0</v>
      </c>
      <c r="W11" s="1585"/>
      <c r="X11" s="19">
        <f t="shared" si="11"/>
        <v>0</v>
      </c>
      <c r="Y11" s="20">
        <f t="shared" si="1"/>
        <v>0</v>
      </c>
    </row>
    <row r="12" spans="1:25" ht="29.25" customHeight="1" x14ac:dyDescent="0.25">
      <c r="A12" s="2235" t="s">
        <v>31</v>
      </c>
      <c r="B12" s="2235"/>
      <c r="C12" s="18">
        <f t="shared" ref="C12:X12" si="12">SUM(C6:C11)</f>
        <v>93339</v>
      </c>
      <c r="D12" s="18">
        <f t="shared" si="12"/>
        <v>90772.177500000005</v>
      </c>
      <c r="E12" s="18">
        <f t="shared" si="12"/>
        <v>21</v>
      </c>
      <c r="F12" s="18">
        <f t="shared" si="12"/>
        <v>1409.1</v>
      </c>
      <c r="G12" s="18">
        <f t="shared" si="12"/>
        <v>0</v>
      </c>
      <c r="H12" s="18">
        <f t="shared" si="12"/>
        <v>0</v>
      </c>
      <c r="I12" s="18">
        <f t="shared" si="12"/>
        <v>5840</v>
      </c>
      <c r="J12" s="18">
        <f t="shared" si="12"/>
        <v>108040</v>
      </c>
      <c r="K12" s="18">
        <f t="shared" si="12"/>
        <v>30</v>
      </c>
      <c r="L12" s="18">
        <f t="shared" si="12"/>
        <v>847.10399999999993</v>
      </c>
      <c r="M12" s="18">
        <f t="shared" si="12"/>
        <v>0</v>
      </c>
      <c r="N12" s="23">
        <f t="shared" si="12"/>
        <v>0</v>
      </c>
      <c r="O12" s="18">
        <f t="shared" si="12"/>
        <v>0</v>
      </c>
      <c r="P12" s="23">
        <f t="shared" si="12"/>
        <v>0</v>
      </c>
      <c r="Q12" s="23">
        <f t="shared" si="12"/>
        <v>0</v>
      </c>
      <c r="R12" s="23">
        <f>SUM(R6:R11)</f>
        <v>0</v>
      </c>
      <c r="S12" s="23">
        <f>SUM(S6:S11)</f>
        <v>0</v>
      </c>
      <c r="T12" s="18">
        <f t="shared" si="12"/>
        <v>0</v>
      </c>
      <c r="U12" s="18">
        <f t="shared" si="12"/>
        <v>0</v>
      </c>
      <c r="V12" s="18">
        <f t="shared" si="12"/>
        <v>0</v>
      </c>
      <c r="W12" s="18">
        <f t="shared" si="12"/>
        <v>0</v>
      </c>
      <c r="X12" s="18">
        <f t="shared" si="12"/>
        <v>0</v>
      </c>
      <c r="Y12" s="20">
        <f t="shared" si="1"/>
        <v>201068.38150000002</v>
      </c>
    </row>
    <row r="14" spans="1:25" ht="43.5" customHeight="1" x14ac:dyDescent="0.25">
      <c r="A14" s="30" t="s">
        <v>32</v>
      </c>
      <c r="B14" s="2236" t="s">
        <v>27</v>
      </c>
      <c r="C14" s="2236"/>
      <c r="D14" s="30" t="s">
        <v>333</v>
      </c>
      <c r="E14" s="30" t="s">
        <v>65</v>
      </c>
      <c r="F14" s="30" t="s">
        <v>34</v>
      </c>
      <c r="G14" s="30" t="s">
        <v>14</v>
      </c>
      <c r="H14" s="469" t="s">
        <v>173</v>
      </c>
      <c r="I14" s="30" t="s">
        <v>17</v>
      </c>
      <c r="J14" s="1590" t="s">
        <v>174</v>
      </c>
      <c r="K14" s="30" t="s">
        <v>36</v>
      </c>
      <c r="L14" s="1590" t="s">
        <v>403</v>
      </c>
      <c r="M14" s="30" t="s">
        <v>429</v>
      </c>
      <c r="N14" s="30" t="s">
        <v>442</v>
      </c>
      <c r="O14" s="1590" t="s">
        <v>114</v>
      </c>
      <c r="P14" s="30" t="s">
        <v>70</v>
      </c>
      <c r="Q14" s="2300" t="s">
        <v>479</v>
      </c>
      <c r="R14" s="2301"/>
      <c r="S14" s="1590" t="s">
        <v>401</v>
      </c>
      <c r="T14" s="2235" t="s">
        <v>46</v>
      </c>
      <c r="U14" s="1582" t="s">
        <v>176</v>
      </c>
      <c r="V14" s="2260">
        <v>15572</v>
      </c>
      <c r="W14" s="2268"/>
      <c r="X14" s="2261"/>
    </row>
    <row r="15" spans="1:25" ht="22.5" customHeight="1" x14ac:dyDescent="0.25">
      <c r="A15" s="100" t="s">
        <v>38</v>
      </c>
      <c r="B15" s="2260">
        <v>422397</v>
      </c>
      <c r="C15" s="2261"/>
      <c r="D15" s="1587">
        <v>30</v>
      </c>
      <c r="E15" s="1587">
        <v>0</v>
      </c>
      <c r="F15" s="1587">
        <v>23350</v>
      </c>
      <c r="G15" s="1587">
        <v>30</v>
      </c>
      <c r="H15" s="1587">
        <v>72</v>
      </c>
      <c r="I15" s="1587">
        <v>51</v>
      </c>
      <c r="J15" s="1587">
        <v>4</v>
      </c>
      <c r="K15" s="1587">
        <v>70</v>
      </c>
      <c r="L15" s="1587">
        <v>0</v>
      </c>
      <c r="M15" s="1587">
        <v>0</v>
      </c>
      <c r="N15" s="1587">
        <v>0</v>
      </c>
      <c r="O15" s="1587">
        <v>0</v>
      </c>
      <c r="P15" s="1587">
        <v>100</v>
      </c>
      <c r="Q15" s="2260">
        <v>10</v>
      </c>
      <c r="R15" s="2261"/>
      <c r="S15" s="1582">
        <v>2</v>
      </c>
      <c r="T15" s="2235"/>
      <c r="U15" s="1582" t="s">
        <v>64</v>
      </c>
      <c r="V15" s="2262">
        <v>9272</v>
      </c>
      <c r="W15" s="2262"/>
      <c r="X15" s="2262"/>
    </row>
    <row r="16" spans="1:25" ht="24.75" customHeight="1" x14ac:dyDescent="0.25">
      <c r="A16" s="100" t="s">
        <v>39</v>
      </c>
      <c r="B16" s="2260"/>
      <c r="C16" s="2261"/>
      <c r="D16" s="1587"/>
      <c r="E16" s="1587"/>
      <c r="F16" s="1587"/>
      <c r="G16" s="1587"/>
      <c r="H16" s="1587"/>
      <c r="I16" s="1587"/>
      <c r="J16" s="1587"/>
      <c r="K16" s="1587"/>
      <c r="L16" s="1587"/>
      <c r="M16" s="1587"/>
      <c r="N16" s="1587"/>
      <c r="O16" s="1587"/>
      <c r="P16" s="1587"/>
      <c r="Q16" s="2262"/>
      <c r="R16" s="2262"/>
      <c r="S16" s="1587"/>
      <c r="T16" s="2254" t="s">
        <v>55</v>
      </c>
      <c r="U16" s="2254"/>
      <c r="V16" s="2267">
        <f>Y12</f>
        <v>201068.38150000002</v>
      </c>
      <c r="W16" s="2267"/>
      <c r="X16" s="2262"/>
    </row>
    <row r="17" spans="1:25" ht="28.5" customHeight="1" x14ac:dyDescent="0.25">
      <c r="A17" s="101" t="s">
        <v>44</v>
      </c>
      <c r="B17" s="2260"/>
      <c r="C17" s="2261"/>
      <c r="D17" s="1587"/>
      <c r="E17" s="1587"/>
      <c r="F17" s="1587"/>
      <c r="G17" s="1587"/>
      <c r="H17" s="1587"/>
      <c r="I17" s="1587"/>
      <c r="J17" s="1587"/>
      <c r="K17" s="1587"/>
      <c r="L17" s="1587"/>
      <c r="M17" s="1587"/>
      <c r="N17" s="1587"/>
      <c r="O17" s="1587"/>
      <c r="P17" s="1587"/>
      <c r="Q17" s="2225"/>
      <c r="R17" s="2225"/>
      <c r="S17" s="1584"/>
      <c r="T17" s="2294" t="s">
        <v>473</v>
      </c>
      <c r="U17" s="2295"/>
      <c r="V17" s="2296"/>
      <c r="W17" s="2296"/>
      <c r="X17" s="2296"/>
    </row>
    <row r="18" spans="1:25" ht="27" customHeight="1" x14ac:dyDescent="0.25">
      <c r="A18" s="100" t="s">
        <v>40</v>
      </c>
      <c r="B18" s="2264">
        <f>C12</f>
        <v>93339</v>
      </c>
      <c r="C18" s="2261"/>
      <c r="D18" s="1588">
        <f>E12</f>
        <v>21</v>
      </c>
      <c r="E18" s="1588">
        <f>G12</f>
        <v>0</v>
      </c>
      <c r="F18" s="1588">
        <f>I12</f>
        <v>5840</v>
      </c>
      <c r="G18" s="1588">
        <f>K12</f>
        <v>30</v>
      </c>
      <c r="H18" s="1587"/>
      <c r="I18" s="1588">
        <f>U12</f>
        <v>0</v>
      </c>
      <c r="J18" s="1587"/>
      <c r="K18" s="1588">
        <f>W12</f>
        <v>0</v>
      </c>
      <c r="L18" s="1587"/>
      <c r="M18" s="1588">
        <f>M12</f>
        <v>0</v>
      </c>
      <c r="N18" s="1588">
        <f>O12</f>
        <v>0</v>
      </c>
      <c r="O18" s="1589">
        <f>Q12</f>
        <v>0</v>
      </c>
      <c r="P18" s="1588"/>
      <c r="Q18" s="2262"/>
      <c r="R18" s="2262"/>
      <c r="S18" s="1582"/>
      <c r="T18" s="2254" t="s">
        <v>57</v>
      </c>
      <c r="U18" s="2254"/>
      <c r="V18" s="2262">
        <v>1320</v>
      </c>
      <c r="W18" s="2262"/>
      <c r="X18" s="2262"/>
      <c r="Y18" s="2269"/>
    </row>
    <row r="19" spans="1:25" ht="25.5" customHeight="1" x14ac:dyDescent="0.25">
      <c r="A19" s="100" t="s">
        <v>41</v>
      </c>
      <c r="B19" s="2260">
        <f>B15+B16+B17-B18</f>
        <v>329058</v>
      </c>
      <c r="C19" s="2261"/>
      <c r="D19" s="1587">
        <f>D15+D16+D17-D18</f>
        <v>9</v>
      </c>
      <c r="E19" s="1587">
        <f t="shared" ref="E19:N19" si="13">E15+E16+E17-E18</f>
        <v>0</v>
      </c>
      <c r="F19" s="1587">
        <f t="shared" si="13"/>
        <v>17510</v>
      </c>
      <c r="G19" s="1587">
        <f t="shared" si="13"/>
        <v>0</v>
      </c>
      <c r="H19" s="1587">
        <f t="shared" si="13"/>
        <v>72</v>
      </c>
      <c r="I19" s="1587">
        <f t="shared" si="13"/>
        <v>51</v>
      </c>
      <c r="J19" s="1587">
        <f t="shared" si="13"/>
        <v>4</v>
      </c>
      <c r="K19" s="1587">
        <f t="shared" si="13"/>
        <v>70</v>
      </c>
      <c r="L19" s="1587">
        <f t="shared" si="13"/>
        <v>0</v>
      </c>
      <c r="M19" s="1587">
        <f t="shared" si="13"/>
        <v>0</v>
      </c>
      <c r="N19" s="1587">
        <f t="shared" si="13"/>
        <v>0</v>
      </c>
      <c r="O19" s="1587">
        <f>O15+O16+O17-O18</f>
        <v>0</v>
      </c>
      <c r="P19" s="1587">
        <f t="shared" ref="P19:Q19" si="14">P15+P16+P17-P18</f>
        <v>100</v>
      </c>
      <c r="Q19" s="2260">
        <f t="shared" si="14"/>
        <v>10</v>
      </c>
      <c r="R19" s="2261"/>
      <c r="S19" s="1582">
        <f>S15+S16-S17-S18</f>
        <v>2</v>
      </c>
      <c r="T19" s="2256" t="s">
        <v>48</v>
      </c>
      <c r="U19" s="49" t="s">
        <v>58</v>
      </c>
      <c r="V19" s="2262"/>
      <c r="W19" s="2262"/>
      <c r="X19" s="2262"/>
      <c r="Y19" s="2269"/>
    </row>
    <row r="20" spans="1:25" ht="23.25" customHeight="1" x14ac:dyDescent="0.25">
      <c r="A20" s="289" t="s">
        <v>187</v>
      </c>
      <c r="B20" s="2286">
        <f>B19*0.9625</f>
        <v>316718.32500000001</v>
      </c>
      <c r="C20" s="2287"/>
      <c r="D20" s="290">
        <f>D19*66.41</f>
        <v>597.68999999999994</v>
      </c>
      <c r="E20" s="290">
        <f>27.9368*E19</f>
        <v>0</v>
      </c>
      <c r="F20" s="290">
        <f>18.31*F19</f>
        <v>320608.09999999998</v>
      </c>
      <c r="G20" s="290">
        <f>27.9368*G19</f>
        <v>0</v>
      </c>
      <c r="H20" s="290">
        <f>241*H19</f>
        <v>17352</v>
      </c>
      <c r="I20" s="290">
        <f>323*I19</f>
        <v>16473</v>
      </c>
      <c r="J20" s="290">
        <f>241*J19</f>
        <v>964</v>
      </c>
      <c r="K20" s="290">
        <f>K19*100</f>
        <v>7000</v>
      </c>
      <c r="L20" s="290">
        <f>241*L19</f>
        <v>0</v>
      </c>
      <c r="M20" s="290">
        <f>47.1625*M19</f>
        <v>0</v>
      </c>
      <c r="N20" s="290">
        <f>N19*8.81</f>
        <v>0</v>
      </c>
      <c r="O20" s="290">
        <f>241*O19</f>
        <v>0</v>
      </c>
      <c r="P20" s="290">
        <f>P19*48.2</f>
        <v>4820</v>
      </c>
      <c r="Q20" s="2286">
        <f>470*Q19</f>
        <v>4700</v>
      </c>
      <c r="R20" s="2287"/>
      <c r="S20" s="290">
        <f>341*S19</f>
        <v>682</v>
      </c>
      <c r="T20" s="2257"/>
      <c r="U20" s="49" t="s">
        <v>59</v>
      </c>
      <c r="V20" s="2262"/>
      <c r="W20" s="2262"/>
      <c r="X20" s="2262"/>
      <c r="Y20" s="2269"/>
    </row>
    <row r="21" spans="1:25" ht="32.25" customHeight="1" x14ac:dyDescent="0.25">
      <c r="A21" s="291" t="s">
        <v>186</v>
      </c>
      <c r="B21" s="2293">
        <f>SUM(B20:S20)</f>
        <v>689915.11499999999</v>
      </c>
      <c r="C21" s="2293"/>
      <c r="O21" s="1591"/>
      <c r="P21" s="1591"/>
      <c r="Q21" s="1591"/>
      <c r="R21" s="1591"/>
      <c r="T21" s="2294" t="s">
        <v>487</v>
      </c>
      <c r="U21" s="2295"/>
      <c r="V21" s="2297"/>
      <c r="W21" s="2298"/>
      <c r="X21" s="2299"/>
      <c r="Y21" s="2269"/>
    </row>
    <row r="22" spans="1:25" ht="35.25" customHeight="1" x14ac:dyDescent="0.25">
      <c r="A22" s="15"/>
      <c r="B22" s="2288" t="s">
        <v>49</v>
      </c>
      <c r="C22" s="2291">
        <v>400000</v>
      </c>
      <c r="D22" s="2291"/>
      <c r="E22" s="2291"/>
      <c r="F22" s="2291">
        <f>C22-D22+E22</f>
        <v>400000</v>
      </c>
      <c r="G22" s="1591"/>
      <c r="Q22" s="1591"/>
      <c r="R22" s="1591"/>
      <c r="T22" s="2251" t="s">
        <v>83</v>
      </c>
      <c r="U22" s="50" t="s">
        <v>60</v>
      </c>
      <c r="V22" s="2262"/>
      <c r="W22" s="2262"/>
      <c r="X22" s="2262"/>
      <c r="Y22" s="2269"/>
    </row>
    <row r="23" spans="1:25" ht="39.75" customHeight="1" x14ac:dyDescent="0.25">
      <c r="A23" s="1591"/>
      <c r="B23" s="2289"/>
      <c r="C23" s="2292"/>
      <c r="D23" s="2292"/>
      <c r="E23" s="2292"/>
      <c r="F23" s="2292"/>
      <c r="G23" s="1591"/>
      <c r="Q23" s="1591"/>
      <c r="R23" s="1591"/>
      <c r="T23" s="2252"/>
      <c r="U23" s="50" t="s">
        <v>61</v>
      </c>
      <c r="V23" s="2262"/>
      <c r="W23" s="2262"/>
      <c r="X23" s="2262"/>
      <c r="Y23" s="2269"/>
    </row>
    <row r="24" spans="1:25" ht="48" customHeight="1" x14ac:dyDescent="0.25">
      <c r="A24" s="1591"/>
      <c r="B24" s="2290"/>
      <c r="C24" s="290" t="s">
        <v>46</v>
      </c>
      <c r="D24" s="290" t="s">
        <v>50</v>
      </c>
      <c r="E24" s="290" t="s">
        <v>51</v>
      </c>
      <c r="F24" s="290" t="s">
        <v>52</v>
      </c>
      <c r="G24" s="1591"/>
      <c r="Q24" s="1591"/>
      <c r="R24" s="1591"/>
      <c r="T24" s="2235" t="s">
        <v>47</v>
      </c>
      <c r="U24" s="51" t="s">
        <v>62</v>
      </c>
      <c r="V24" s="2263">
        <f>V14+V16+V17-V18-V19-V20-V22+V23-V21</f>
        <v>215320.38150000002</v>
      </c>
      <c r="W24" s="2263"/>
      <c r="X24" s="2263"/>
      <c r="Y24" s="2269"/>
    </row>
    <row r="25" spans="1:25" ht="40.5" customHeight="1" x14ac:dyDescent="0.25">
      <c r="T25" s="2235"/>
      <c r="U25" s="51" t="s">
        <v>63</v>
      </c>
      <c r="V25" s="2262">
        <f>V15+V22-V23</f>
        <v>9272</v>
      </c>
      <c r="W25" s="2262"/>
      <c r="X25" s="2262"/>
    </row>
    <row r="26" spans="1:25" ht="36" customHeight="1" x14ac:dyDescent="0.25">
      <c r="K26" s="314"/>
    </row>
    <row r="28" spans="1:25" x14ac:dyDescent="0.25">
      <c r="J28" s="14" t="s">
        <v>139</v>
      </c>
    </row>
    <row r="32" spans="1:25" x14ac:dyDescent="0.25">
      <c r="I32" s="2280"/>
      <c r="J32" s="2280"/>
      <c r="K32" s="2280"/>
      <c r="L32" s="2280"/>
    </row>
    <row r="33" spans="9:12" x14ac:dyDescent="0.25">
      <c r="I33" s="1591"/>
      <c r="J33" s="1591"/>
      <c r="K33" s="2280"/>
      <c r="L33" s="2280"/>
    </row>
  </sheetData>
  <mergeCells count="62">
    <mergeCell ref="I32:J32"/>
    <mergeCell ref="K32:L32"/>
    <mergeCell ref="K33:L33"/>
    <mergeCell ref="T22:T23"/>
    <mergeCell ref="V22:X22"/>
    <mergeCell ref="V23:X23"/>
    <mergeCell ref="T24:T25"/>
    <mergeCell ref="V24:X24"/>
    <mergeCell ref="V25:X25"/>
    <mergeCell ref="Y18:Y24"/>
    <mergeCell ref="B19:C19"/>
    <mergeCell ref="Q19:R19"/>
    <mergeCell ref="T19:T20"/>
    <mergeCell ref="V19:X19"/>
    <mergeCell ref="B20:C20"/>
    <mergeCell ref="B22:B24"/>
    <mergeCell ref="C22:C23"/>
    <mergeCell ref="D22:D23"/>
    <mergeCell ref="E22:E23"/>
    <mergeCell ref="F22:F23"/>
    <mergeCell ref="Q20:R20"/>
    <mergeCell ref="V20:X20"/>
    <mergeCell ref="B21:C21"/>
    <mergeCell ref="T21:U21"/>
    <mergeCell ref="V21:X21"/>
    <mergeCell ref="B17:C17"/>
    <mergeCell ref="Q17:R17"/>
    <mergeCell ref="T17:U17"/>
    <mergeCell ref="V17:X17"/>
    <mergeCell ref="B18:C18"/>
    <mergeCell ref="Q18:R18"/>
    <mergeCell ref="T18:U18"/>
    <mergeCell ref="V18:X18"/>
    <mergeCell ref="W4:X4"/>
    <mergeCell ref="B16:C16"/>
    <mergeCell ref="Q16:R16"/>
    <mergeCell ref="T16:U16"/>
    <mergeCell ref="V16:X16"/>
    <mergeCell ref="A12:B12"/>
    <mergeCell ref="B14:C14"/>
    <mergeCell ref="Q14:R14"/>
    <mergeCell ref="T14:T15"/>
    <mergeCell ref="V14:X14"/>
    <mergeCell ref="B15:C15"/>
    <mergeCell ref="Q15:R15"/>
    <mergeCell ref="V15:X15"/>
    <mergeCell ref="A1:Y1"/>
    <mergeCell ref="A2:Y2"/>
    <mergeCell ref="T3:Y3"/>
    <mergeCell ref="A4:A5"/>
    <mergeCell ref="B4:B5"/>
    <mergeCell ref="C4:D4"/>
    <mergeCell ref="E4:F4"/>
    <mergeCell ref="G4:H4"/>
    <mergeCell ref="I4:J4"/>
    <mergeCell ref="K4:L4"/>
    <mergeCell ref="Y4:Y5"/>
    <mergeCell ref="M4:N4"/>
    <mergeCell ref="O4:P4"/>
    <mergeCell ref="Q4:R4"/>
    <mergeCell ref="S4:T4"/>
    <mergeCell ref="U4:V4"/>
  </mergeCells>
  <pageMargins left="0.15748031496063" right="0.15748031496063" top="0" bottom="0" header="0" footer="0"/>
  <pageSetup paperSize="9" scale="46" orientation="landscape" r:id="rId1"/>
</worksheet>
</file>

<file path=xl/worksheets/sheet26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3EEDF74-3E27-4909-94F0-15B89BD0098A}">
  <sheetPr>
    <pageSetUpPr fitToPage="1"/>
  </sheetPr>
  <dimension ref="A1:Y33"/>
  <sheetViews>
    <sheetView topLeftCell="A10" zoomScale="70" zoomScaleNormal="70" zoomScaleSheetLayoutView="100" zoomScalePageLayoutView="68" workbookViewId="0">
      <selection activeCell="J27" sqref="J27"/>
    </sheetView>
  </sheetViews>
  <sheetFormatPr defaultColWidth="9.140625" defaultRowHeight="15" x14ac:dyDescent="0.25"/>
  <cols>
    <col min="1" max="1" width="18.28515625" style="14" customWidth="1"/>
    <col min="2" max="2" width="10.7109375" style="14" customWidth="1"/>
    <col min="3" max="3" width="12.28515625" style="14" customWidth="1"/>
    <col min="4" max="4" width="13.140625" style="14" bestFit="1" customWidth="1"/>
    <col min="5" max="5" width="12" style="14" customWidth="1"/>
    <col min="6" max="6" width="14" style="14" bestFit="1" customWidth="1"/>
    <col min="7" max="7" width="16" style="14" bestFit="1" customWidth="1"/>
    <col min="8" max="8" width="10.140625" style="14" bestFit="1" customWidth="1"/>
    <col min="9" max="9" width="10.5703125" style="14" bestFit="1" customWidth="1"/>
    <col min="10" max="10" width="10.5703125" style="14" customWidth="1"/>
    <col min="11" max="11" width="10.28515625" style="14" bestFit="1" customWidth="1"/>
    <col min="12" max="12" width="10.42578125" style="14" bestFit="1" customWidth="1"/>
    <col min="13" max="14" width="12" style="14" bestFit="1" customWidth="1"/>
    <col min="15" max="15" width="11" style="14" customWidth="1"/>
    <col min="16" max="16" width="12.85546875" style="14" bestFit="1" customWidth="1"/>
    <col min="17" max="18" width="9.42578125" style="14" customWidth="1"/>
    <col min="19" max="19" width="13.7109375" style="14" customWidth="1"/>
    <col min="20" max="20" width="12.140625" style="14" customWidth="1"/>
    <col min="21" max="21" width="21.7109375" style="14" customWidth="1"/>
    <col min="22" max="22" width="9.85546875" style="14" customWidth="1"/>
    <col min="23" max="23" width="10.140625" style="14" bestFit="1" customWidth="1"/>
    <col min="24" max="24" width="10.28515625" style="14" customWidth="1"/>
    <col min="25" max="25" width="15.7109375" style="14" customWidth="1"/>
    <col min="26" max="16384" width="9.140625" style="14"/>
  </cols>
  <sheetData>
    <row r="1" spans="1:25" ht="46.15" customHeight="1" x14ac:dyDescent="0.25">
      <c r="A1" s="2240" t="s">
        <v>148</v>
      </c>
      <c r="B1" s="2240"/>
      <c r="C1" s="2240"/>
      <c r="D1" s="2240"/>
      <c r="E1" s="2240"/>
      <c r="F1" s="2240"/>
      <c r="G1" s="2240"/>
      <c r="H1" s="2240"/>
      <c r="I1" s="2240"/>
      <c r="J1" s="2240"/>
      <c r="K1" s="2240"/>
      <c r="L1" s="2240"/>
      <c r="M1" s="2240"/>
      <c r="N1" s="2240"/>
      <c r="O1" s="2240"/>
      <c r="P1" s="2240"/>
      <c r="Q1" s="2240"/>
      <c r="R1" s="2240"/>
      <c r="S1" s="2240"/>
      <c r="T1" s="2240"/>
      <c r="U1" s="2240"/>
      <c r="V1" s="2240"/>
      <c r="W1" s="2240"/>
      <c r="X1" s="2240"/>
      <c r="Y1" s="2240"/>
    </row>
    <row r="2" spans="1:25" ht="21.6" customHeight="1" x14ac:dyDescent="0.25">
      <c r="A2" s="2241" t="s">
        <v>383</v>
      </c>
      <c r="B2" s="2241"/>
      <c r="C2" s="2241"/>
      <c r="D2" s="2241"/>
      <c r="E2" s="2241"/>
      <c r="F2" s="2241"/>
      <c r="G2" s="2241"/>
      <c r="H2" s="2241"/>
      <c r="I2" s="2241"/>
      <c r="J2" s="2241"/>
      <c r="K2" s="2241"/>
      <c r="L2" s="2241"/>
      <c r="M2" s="2241"/>
      <c r="N2" s="2241"/>
      <c r="O2" s="2241"/>
      <c r="P2" s="2241"/>
      <c r="Q2" s="2241"/>
      <c r="R2" s="2241"/>
      <c r="S2" s="2241"/>
      <c r="T2" s="2241"/>
      <c r="U2" s="2241"/>
      <c r="V2" s="2241"/>
      <c r="W2" s="2241"/>
      <c r="X2" s="2241"/>
      <c r="Y2" s="2241"/>
    </row>
    <row r="3" spans="1:25" ht="21" customHeight="1" x14ac:dyDescent="0.25">
      <c r="A3" s="1597"/>
      <c r="B3" s="1597"/>
      <c r="C3" s="1597"/>
      <c r="D3" s="1597"/>
      <c r="E3" s="1597"/>
      <c r="F3" s="1597"/>
      <c r="G3" s="1597"/>
      <c r="H3" s="1597"/>
      <c r="I3" s="1597"/>
      <c r="J3" s="1597"/>
      <c r="K3" s="1597"/>
      <c r="L3" s="1597"/>
      <c r="M3" s="1597"/>
      <c r="N3" s="1597"/>
      <c r="O3" s="1597"/>
      <c r="P3" s="1597"/>
      <c r="Q3" s="1597"/>
      <c r="R3" s="1597"/>
      <c r="S3" s="1597"/>
      <c r="T3" s="2242" t="s">
        <v>510</v>
      </c>
      <c r="U3" s="2242"/>
      <c r="V3" s="2242"/>
      <c r="W3" s="2242"/>
      <c r="X3" s="2242"/>
      <c r="Y3" s="2242"/>
    </row>
    <row r="4" spans="1:25" s="1597" customFormat="1" ht="18" customHeight="1" x14ac:dyDescent="0.25">
      <c r="A4" s="2243" t="s">
        <v>25</v>
      </c>
      <c r="B4" s="2243" t="s">
        <v>26</v>
      </c>
      <c r="C4" s="2244" t="s">
        <v>27</v>
      </c>
      <c r="D4" s="2244"/>
      <c r="E4" s="2244" t="s">
        <v>342</v>
      </c>
      <c r="F4" s="2244"/>
      <c r="G4" s="2244" t="s">
        <v>65</v>
      </c>
      <c r="H4" s="2244"/>
      <c r="I4" s="2244" t="s">
        <v>29</v>
      </c>
      <c r="J4" s="2244"/>
      <c r="K4" s="2245" t="s">
        <v>14</v>
      </c>
      <c r="L4" s="2246"/>
      <c r="M4" s="2245" t="s">
        <v>429</v>
      </c>
      <c r="N4" s="2246"/>
      <c r="O4" s="2245" t="s">
        <v>441</v>
      </c>
      <c r="P4" s="2246"/>
      <c r="Q4" s="2245" t="s">
        <v>114</v>
      </c>
      <c r="R4" s="2246"/>
      <c r="S4" s="2244" t="s">
        <v>35</v>
      </c>
      <c r="T4" s="2244"/>
      <c r="U4" s="2245" t="s">
        <v>17</v>
      </c>
      <c r="V4" s="2246"/>
      <c r="W4" s="2247" t="s">
        <v>36</v>
      </c>
      <c r="X4" s="2248"/>
      <c r="Y4" s="2238" t="s">
        <v>30</v>
      </c>
    </row>
    <row r="5" spans="1:25" s="1597" customFormat="1" ht="25.5" customHeight="1" x14ac:dyDescent="0.25">
      <c r="A5" s="2243"/>
      <c r="B5" s="2243"/>
      <c r="C5" s="1596" t="s">
        <v>42</v>
      </c>
      <c r="D5" s="1596" t="s">
        <v>43</v>
      </c>
      <c r="E5" s="1596" t="s">
        <v>42</v>
      </c>
      <c r="F5" s="1596" t="s">
        <v>43</v>
      </c>
      <c r="G5" s="1596" t="s">
        <v>42</v>
      </c>
      <c r="H5" s="1596" t="s">
        <v>43</v>
      </c>
      <c r="I5" s="1596" t="s">
        <v>42</v>
      </c>
      <c r="J5" s="1596" t="s">
        <v>43</v>
      </c>
      <c r="K5" s="1596" t="s">
        <v>42</v>
      </c>
      <c r="L5" s="1596" t="s">
        <v>43</v>
      </c>
      <c r="M5" s="1596" t="s">
        <v>42</v>
      </c>
      <c r="N5" s="1596" t="s">
        <v>43</v>
      </c>
      <c r="O5" s="1596" t="s">
        <v>42</v>
      </c>
      <c r="P5" s="1596" t="s">
        <v>43</v>
      </c>
      <c r="Q5" s="1596" t="s">
        <v>42</v>
      </c>
      <c r="R5" s="1596" t="s">
        <v>43</v>
      </c>
      <c r="S5" s="33" t="s">
        <v>42</v>
      </c>
      <c r="T5" s="33" t="s">
        <v>43</v>
      </c>
      <c r="U5" s="30" t="s">
        <v>42</v>
      </c>
      <c r="V5" s="30" t="s">
        <v>43</v>
      </c>
      <c r="W5" s="30" t="s">
        <v>42</v>
      </c>
      <c r="X5" s="30" t="s">
        <v>43</v>
      </c>
      <c r="Y5" s="2239"/>
    </row>
    <row r="6" spans="1:25" ht="34.5" customHeight="1" x14ac:dyDescent="0.25">
      <c r="A6" s="12">
        <v>1409935200</v>
      </c>
      <c r="B6" s="1595" t="s">
        <v>71</v>
      </c>
      <c r="C6" s="1593">
        <v>30064</v>
      </c>
      <c r="D6" s="1592">
        <f t="shared" ref="D6:D11" si="0">0.9725*C6</f>
        <v>29237.24</v>
      </c>
      <c r="E6" s="1593">
        <v>9</v>
      </c>
      <c r="F6" s="1592">
        <f>67.1*E6</f>
        <v>603.9</v>
      </c>
      <c r="G6" s="1593"/>
      <c r="H6" s="1593">
        <f>28.2*G6</f>
        <v>0</v>
      </c>
      <c r="I6" s="1593">
        <v>400</v>
      </c>
      <c r="J6" s="1593">
        <f>18.5*I6</f>
        <v>7400</v>
      </c>
      <c r="K6" s="1593"/>
      <c r="L6" s="1592">
        <f>28.2368*K6</f>
        <v>0</v>
      </c>
      <c r="M6" s="1593"/>
      <c r="N6" s="1592">
        <f>M6*47.6525</f>
        <v>0</v>
      </c>
      <c r="O6" s="1593"/>
      <c r="P6" s="1592">
        <f>O6*8.9</f>
        <v>0</v>
      </c>
      <c r="Q6" s="1592"/>
      <c r="R6" s="1592">
        <f>241*Q6</f>
        <v>0</v>
      </c>
      <c r="S6" s="1593"/>
      <c r="T6" s="1593">
        <f>241*S6</f>
        <v>0</v>
      </c>
      <c r="U6" s="1593"/>
      <c r="V6" s="1593">
        <f>332*U6</f>
        <v>0</v>
      </c>
      <c r="W6" s="1593"/>
      <c r="X6" s="19">
        <f>W6*100</f>
        <v>0</v>
      </c>
      <c r="Y6" s="20">
        <f t="shared" ref="Y6:Y12" si="1">D6+F6+H6+J6+L6+N6+P6+R6+T6+V6+X6</f>
        <v>37241.14</v>
      </c>
    </row>
    <row r="7" spans="1:25" ht="31.5" customHeight="1" x14ac:dyDescent="0.25">
      <c r="A7" s="12">
        <v>1984225578</v>
      </c>
      <c r="B7" s="1595" t="s">
        <v>509</v>
      </c>
      <c r="C7" s="1593">
        <v>34270</v>
      </c>
      <c r="D7" s="1592">
        <f t="shared" si="0"/>
        <v>33327.575000000004</v>
      </c>
      <c r="E7" s="1593"/>
      <c r="F7" s="1593">
        <f t="shared" ref="F7:F11" si="2">67.1*E7</f>
        <v>0</v>
      </c>
      <c r="G7" s="1593"/>
      <c r="H7" s="1593">
        <f t="shared" ref="H7:H11" si="3">28.2*G7</f>
        <v>0</v>
      </c>
      <c r="I7" s="1593">
        <v>1210</v>
      </c>
      <c r="J7" s="1593">
        <f t="shared" ref="J7:J11" si="4">18.5*I7</f>
        <v>22385</v>
      </c>
      <c r="K7" s="1593"/>
      <c r="L7" s="1592">
        <f t="shared" ref="L7:L11" si="5">28.2368*K7</f>
        <v>0</v>
      </c>
      <c r="M7" s="1593"/>
      <c r="N7" s="1592">
        <f t="shared" ref="N7:N11" si="6">M7*47.6525</f>
        <v>0</v>
      </c>
      <c r="O7" s="1593"/>
      <c r="P7" s="1592">
        <f t="shared" ref="P7:P11" si="7">O7*8.9</f>
        <v>0</v>
      </c>
      <c r="Q7" s="1592"/>
      <c r="R7" s="1592">
        <f t="shared" ref="R7:R11" si="8">241*Q7</f>
        <v>0</v>
      </c>
      <c r="S7" s="1593"/>
      <c r="T7" s="1593">
        <f t="shared" ref="T7:T10" si="9">241*S7</f>
        <v>0</v>
      </c>
      <c r="U7" s="1593">
        <v>13</v>
      </c>
      <c r="V7" s="1593">
        <f t="shared" ref="V7:V11" si="10">332*U7</f>
        <v>4316</v>
      </c>
      <c r="W7" s="1593"/>
      <c r="X7" s="19">
        <f t="shared" ref="X7:X11" si="11">W7*100</f>
        <v>0</v>
      </c>
      <c r="Y7" s="20">
        <f t="shared" si="1"/>
        <v>60028.575000000004</v>
      </c>
    </row>
    <row r="8" spans="1:25" ht="35.25" customHeight="1" x14ac:dyDescent="0.25">
      <c r="A8" s="12">
        <v>1967020280</v>
      </c>
      <c r="B8" s="1595" t="s">
        <v>427</v>
      </c>
      <c r="C8" s="1593">
        <v>24773</v>
      </c>
      <c r="D8" s="1592">
        <f t="shared" si="0"/>
        <v>24091.7425</v>
      </c>
      <c r="E8" s="1593"/>
      <c r="F8" s="1593">
        <f t="shared" si="2"/>
        <v>0</v>
      </c>
      <c r="G8" s="1593"/>
      <c r="H8" s="1592">
        <f t="shared" si="3"/>
        <v>0</v>
      </c>
      <c r="I8" s="1593">
        <v>1230</v>
      </c>
      <c r="J8" s="1593">
        <f t="shared" si="4"/>
        <v>22755</v>
      </c>
      <c r="K8" s="1593"/>
      <c r="L8" s="1592">
        <f t="shared" si="5"/>
        <v>0</v>
      </c>
      <c r="M8" s="1593"/>
      <c r="N8" s="1592">
        <f t="shared" si="6"/>
        <v>0</v>
      </c>
      <c r="O8" s="1593"/>
      <c r="P8" s="1592">
        <f t="shared" si="7"/>
        <v>0</v>
      </c>
      <c r="Q8" s="1592"/>
      <c r="R8" s="1592">
        <f t="shared" si="8"/>
        <v>0</v>
      </c>
      <c r="S8" s="1593"/>
      <c r="T8" s="1593">
        <f t="shared" si="9"/>
        <v>0</v>
      </c>
      <c r="U8" s="1593">
        <v>10</v>
      </c>
      <c r="V8" s="1593">
        <f t="shared" si="10"/>
        <v>3320</v>
      </c>
      <c r="W8" s="1593"/>
      <c r="X8" s="19">
        <f t="shared" si="11"/>
        <v>0</v>
      </c>
      <c r="Y8" s="20">
        <f t="shared" si="1"/>
        <v>50166.7425</v>
      </c>
    </row>
    <row r="9" spans="1:25" ht="38.25" customHeight="1" x14ac:dyDescent="0.25">
      <c r="A9" s="12">
        <v>1984225580</v>
      </c>
      <c r="B9" s="1595" t="s">
        <v>75</v>
      </c>
      <c r="C9" s="1593">
        <v>26465</v>
      </c>
      <c r="D9" s="1592">
        <f t="shared" si="0"/>
        <v>25737.212500000001</v>
      </c>
      <c r="E9" s="1593"/>
      <c r="F9" s="1593">
        <f t="shared" si="2"/>
        <v>0</v>
      </c>
      <c r="G9" s="1593"/>
      <c r="H9" s="1593">
        <f t="shared" si="3"/>
        <v>0</v>
      </c>
      <c r="I9" s="1593">
        <v>950</v>
      </c>
      <c r="J9" s="1593">
        <f t="shared" si="4"/>
        <v>17575</v>
      </c>
      <c r="K9" s="1593"/>
      <c r="L9" s="1592">
        <f t="shared" si="5"/>
        <v>0</v>
      </c>
      <c r="M9" s="1593"/>
      <c r="N9" s="1592">
        <f t="shared" si="6"/>
        <v>0</v>
      </c>
      <c r="O9" s="1593"/>
      <c r="P9" s="1592">
        <f t="shared" si="7"/>
        <v>0</v>
      </c>
      <c r="Q9" s="1592"/>
      <c r="R9" s="1592">
        <f t="shared" si="8"/>
        <v>0</v>
      </c>
      <c r="S9" s="1593"/>
      <c r="T9" s="1593">
        <f t="shared" si="9"/>
        <v>0</v>
      </c>
      <c r="U9" s="1593">
        <v>10</v>
      </c>
      <c r="V9" s="1593">
        <f t="shared" si="10"/>
        <v>3320</v>
      </c>
      <c r="W9" s="1593">
        <v>1</v>
      </c>
      <c r="X9" s="19">
        <f t="shared" si="11"/>
        <v>100</v>
      </c>
      <c r="Y9" s="20">
        <f t="shared" si="1"/>
        <v>46732.212500000001</v>
      </c>
    </row>
    <row r="10" spans="1:25" ht="35.25" customHeight="1" x14ac:dyDescent="0.25">
      <c r="A10" s="12">
        <v>1409935199</v>
      </c>
      <c r="C10" s="1593"/>
      <c r="D10" s="1592">
        <f t="shared" si="0"/>
        <v>0</v>
      </c>
      <c r="E10" s="1593"/>
      <c r="F10" s="1593">
        <f t="shared" si="2"/>
        <v>0</v>
      </c>
      <c r="G10" s="1593"/>
      <c r="H10" s="1593">
        <f t="shared" si="3"/>
        <v>0</v>
      </c>
      <c r="I10" s="1593">
        <v>1100</v>
      </c>
      <c r="J10" s="1593">
        <f t="shared" si="4"/>
        <v>20350</v>
      </c>
      <c r="K10" s="1593"/>
      <c r="L10" s="1592">
        <f t="shared" si="5"/>
        <v>0</v>
      </c>
      <c r="M10" s="1593"/>
      <c r="N10" s="1592">
        <f t="shared" si="6"/>
        <v>0</v>
      </c>
      <c r="O10" s="1593"/>
      <c r="P10" s="1592">
        <f t="shared" si="7"/>
        <v>0</v>
      </c>
      <c r="Q10" s="1592"/>
      <c r="R10" s="1592">
        <f t="shared" si="8"/>
        <v>0</v>
      </c>
      <c r="S10" s="1593"/>
      <c r="T10" s="1593">
        <f t="shared" si="9"/>
        <v>0</v>
      </c>
      <c r="U10" s="1593"/>
      <c r="V10" s="1593">
        <f t="shared" si="10"/>
        <v>0</v>
      </c>
      <c r="W10" s="1593"/>
      <c r="X10" s="19">
        <f t="shared" si="11"/>
        <v>0</v>
      </c>
      <c r="Y10" s="20">
        <f t="shared" si="1"/>
        <v>20350</v>
      </c>
    </row>
    <row r="11" spans="1:25" ht="37.5" customHeight="1" x14ac:dyDescent="0.25">
      <c r="A11" s="12"/>
      <c r="B11" s="1594"/>
      <c r="C11" s="1593"/>
      <c r="D11" s="1592">
        <f t="shared" si="0"/>
        <v>0</v>
      </c>
      <c r="E11" s="1593"/>
      <c r="F11" s="1593">
        <f t="shared" si="2"/>
        <v>0</v>
      </c>
      <c r="G11" s="1593"/>
      <c r="H11" s="1593">
        <f t="shared" si="3"/>
        <v>0</v>
      </c>
      <c r="I11" s="1593"/>
      <c r="J11" s="1593">
        <f t="shared" si="4"/>
        <v>0</v>
      </c>
      <c r="K11" s="1593"/>
      <c r="L11" s="1592">
        <f t="shared" si="5"/>
        <v>0</v>
      </c>
      <c r="M11" s="1593"/>
      <c r="N11" s="1592">
        <f t="shared" si="6"/>
        <v>0</v>
      </c>
      <c r="O11" s="1593"/>
      <c r="P11" s="1592">
        <f t="shared" si="7"/>
        <v>0</v>
      </c>
      <c r="Q11" s="1592"/>
      <c r="R11" s="1592">
        <f t="shared" si="8"/>
        <v>0</v>
      </c>
      <c r="S11" s="1593"/>
      <c r="T11" s="1593">
        <f>341*S11</f>
        <v>0</v>
      </c>
      <c r="U11" s="1593"/>
      <c r="V11" s="1593">
        <f t="shared" si="10"/>
        <v>0</v>
      </c>
      <c r="W11" s="1593"/>
      <c r="X11" s="19">
        <f t="shared" si="11"/>
        <v>0</v>
      </c>
      <c r="Y11" s="20">
        <f t="shared" si="1"/>
        <v>0</v>
      </c>
    </row>
    <row r="12" spans="1:25" ht="29.25" customHeight="1" x14ac:dyDescent="0.25">
      <c r="A12" s="2235" t="s">
        <v>31</v>
      </c>
      <c r="B12" s="2235"/>
      <c r="C12" s="18">
        <f t="shared" ref="C12:X12" si="12">SUM(C6:C11)</f>
        <v>115572</v>
      </c>
      <c r="D12" s="18">
        <f t="shared" si="12"/>
        <v>112393.76999999999</v>
      </c>
      <c r="E12" s="18">
        <f t="shared" si="12"/>
        <v>9</v>
      </c>
      <c r="F12" s="18">
        <f t="shared" si="12"/>
        <v>603.9</v>
      </c>
      <c r="G12" s="18">
        <f t="shared" si="12"/>
        <v>0</v>
      </c>
      <c r="H12" s="18">
        <f t="shared" si="12"/>
        <v>0</v>
      </c>
      <c r="I12" s="18">
        <f t="shared" si="12"/>
        <v>4890</v>
      </c>
      <c r="J12" s="18">
        <f t="shared" si="12"/>
        <v>90465</v>
      </c>
      <c r="K12" s="18">
        <f t="shared" si="12"/>
        <v>0</v>
      </c>
      <c r="L12" s="18">
        <f t="shared" si="12"/>
        <v>0</v>
      </c>
      <c r="M12" s="18">
        <f t="shared" si="12"/>
        <v>0</v>
      </c>
      <c r="N12" s="23">
        <f t="shared" si="12"/>
        <v>0</v>
      </c>
      <c r="O12" s="18">
        <f t="shared" si="12"/>
        <v>0</v>
      </c>
      <c r="P12" s="23">
        <f t="shared" si="12"/>
        <v>0</v>
      </c>
      <c r="Q12" s="23">
        <f t="shared" si="12"/>
        <v>0</v>
      </c>
      <c r="R12" s="23">
        <f>SUM(R6:R11)</f>
        <v>0</v>
      </c>
      <c r="S12" s="23">
        <f>SUM(S6:S11)</f>
        <v>0</v>
      </c>
      <c r="T12" s="18">
        <f t="shared" si="12"/>
        <v>0</v>
      </c>
      <c r="U12" s="18">
        <f t="shared" si="12"/>
        <v>33</v>
      </c>
      <c r="V12" s="18">
        <f t="shared" si="12"/>
        <v>10956</v>
      </c>
      <c r="W12" s="18">
        <f t="shared" si="12"/>
        <v>1</v>
      </c>
      <c r="X12" s="18">
        <f t="shared" si="12"/>
        <v>100</v>
      </c>
      <c r="Y12" s="20">
        <f t="shared" si="1"/>
        <v>214518.66999999998</v>
      </c>
    </row>
    <row r="14" spans="1:25" ht="43.5" customHeight="1" x14ac:dyDescent="0.25">
      <c r="A14" s="30" t="s">
        <v>32</v>
      </c>
      <c r="B14" s="2236" t="s">
        <v>27</v>
      </c>
      <c r="C14" s="2236"/>
      <c r="D14" s="30" t="s">
        <v>333</v>
      </c>
      <c r="E14" s="30" t="s">
        <v>65</v>
      </c>
      <c r="F14" s="30" t="s">
        <v>34</v>
      </c>
      <c r="G14" s="30" t="s">
        <v>14</v>
      </c>
      <c r="H14" s="469" t="s">
        <v>173</v>
      </c>
      <c r="I14" s="30" t="s">
        <v>17</v>
      </c>
      <c r="J14" s="1601" t="s">
        <v>174</v>
      </c>
      <c r="K14" s="30" t="s">
        <v>36</v>
      </c>
      <c r="L14" s="1601" t="s">
        <v>403</v>
      </c>
      <c r="M14" s="30" t="s">
        <v>429</v>
      </c>
      <c r="N14" s="30" t="s">
        <v>442</v>
      </c>
      <c r="O14" s="1601" t="s">
        <v>114</v>
      </c>
      <c r="P14" s="30" t="s">
        <v>70</v>
      </c>
      <c r="Q14" s="2300" t="s">
        <v>479</v>
      </c>
      <c r="R14" s="2301"/>
      <c r="S14" s="1601" t="s">
        <v>401</v>
      </c>
      <c r="T14" s="2235" t="s">
        <v>46</v>
      </c>
      <c r="U14" s="1595" t="s">
        <v>176</v>
      </c>
      <c r="V14" s="2260">
        <v>215320</v>
      </c>
      <c r="W14" s="2268"/>
      <c r="X14" s="2261"/>
    </row>
    <row r="15" spans="1:25" ht="22.5" customHeight="1" x14ac:dyDescent="0.25">
      <c r="A15" s="100" t="s">
        <v>38</v>
      </c>
      <c r="B15" s="2260">
        <v>329058</v>
      </c>
      <c r="C15" s="2261"/>
      <c r="D15" s="1598">
        <v>9</v>
      </c>
      <c r="E15" s="1598">
        <v>0</v>
      </c>
      <c r="F15" s="1598">
        <v>17510</v>
      </c>
      <c r="G15" s="1598">
        <v>0</v>
      </c>
      <c r="H15" s="1598">
        <v>72</v>
      </c>
      <c r="I15" s="1598">
        <v>51</v>
      </c>
      <c r="J15" s="1598">
        <v>4</v>
      </c>
      <c r="K15" s="1598">
        <v>70</v>
      </c>
      <c r="L15" s="1598">
        <v>0</v>
      </c>
      <c r="M15" s="1598">
        <v>0</v>
      </c>
      <c r="N15" s="1598">
        <v>0</v>
      </c>
      <c r="O15" s="1598">
        <v>0</v>
      </c>
      <c r="P15" s="1598">
        <v>100</v>
      </c>
      <c r="Q15" s="2260">
        <v>10</v>
      </c>
      <c r="R15" s="2261"/>
      <c r="S15" s="1595">
        <v>2</v>
      </c>
      <c r="T15" s="2235"/>
      <c r="U15" s="1595" t="s">
        <v>64</v>
      </c>
      <c r="V15" s="2262">
        <v>9272</v>
      </c>
      <c r="W15" s="2262"/>
      <c r="X15" s="2262"/>
    </row>
    <row r="16" spans="1:25" ht="24.75" customHeight="1" x14ac:dyDescent="0.25">
      <c r="A16" s="100" t="s">
        <v>39</v>
      </c>
      <c r="B16" s="2260">
        <v>103896</v>
      </c>
      <c r="C16" s="2261"/>
      <c r="D16" s="1598"/>
      <c r="E16" s="1598"/>
      <c r="F16" s="1598"/>
      <c r="G16" s="1598"/>
      <c r="H16" s="1598"/>
      <c r="I16" s="1598"/>
      <c r="J16" s="1598"/>
      <c r="K16" s="1598"/>
      <c r="L16" s="1598"/>
      <c r="M16" s="1598"/>
      <c r="N16" s="1598"/>
      <c r="O16" s="1598"/>
      <c r="P16" s="1598"/>
      <c r="Q16" s="2262"/>
      <c r="R16" s="2262"/>
      <c r="S16" s="1598"/>
      <c r="T16" s="2254" t="s">
        <v>55</v>
      </c>
      <c r="U16" s="2254"/>
      <c r="V16" s="2267">
        <f>Y12</f>
        <v>214518.66999999998</v>
      </c>
      <c r="W16" s="2267"/>
      <c r="X16" s="2262"/>
    </row>
    <row r="17" spans="1:25" ht="28.5" customHeight="1" x14ac:dyDescent="0.25">
      <c r="A17" s="101" t="s">
        <v>44</v>
      </c>
      <c r="B17" s="2260"/>
      <c r="C17" s="2261"/>
      <c r="D17" s="1598"/>
      <c r="E17" s="1598"/>
      <c r="F17" s="1598"/>
      <c r="G17" s="1598"/>
      <c r="H17" s="1598"/>
      <c r="I17" s="1598"/>
      <c r="J17" s="1598"/>
      <c r="K17" s="1598"/>
      <c r="L17" s="1598"/>
      <c r="M17" s="1598"/>
      <c r="N17" s="1598"/>
      <c r="O17" s="1598"/>
      <c r="P17" s="1598"/>
      <c r="Q17" s="2225"/>
      <c r="R17" s="2225"/>
      <c r="S17" s="1594"/>
      <c r="T17" s="2294" t="s">
        <v>473</v>
      </c>
      <c r="U17" s="2295"/>
      <c r="V17" s="2296"/>
      <c r="W17" s="2296"/>
      <c r="X17" s="2296"/>
    </row>
    <row r="18" spans="1:25" ht="27" customHeight="1" x14ac:dyDescent="0.25">
      <c r="A18" s="100" t="s">
        <v>40</v>
      </c>
      <c r="B18" s="2264">
        <f>C12</f>
        <v>115572</v>
      </c>
      <c r="C18" s="2261"/>
      <c r="D18" s="1600">
        <f>E12</f>
        <v>9</v>
      </c>
      <c r="E18" s="1600">
        <f>G12</f>
        <v>0</v>
      </c>
      <c r="F18" s="1600">
        <f>I12</f>
        <v>4890</v>
      </c>
      <c r="G18" s="1600">
        <f>K12</f>
        <v>0</v>
      </c>
      <c r="H18" s="1598"/>
      <c r="I18" s="1600">
        <f>U12</f>
        <v>33</v>
      </c>
      <c r="J18" s="1598"/>
      <c r="K18" s="1600">
        <f>W12</f>
        <v>1</v>
      </c>
      <c r="L18" s="1598"/>
      <c r="M18" s="1600">
        <f>M12</f>
        <v>0</v>
      </c>
      <c r="N18" s="1600">
        <f>O12</f>
        <v>0</v>
      </c>
      <c r="O18" s="1599">
        <f>Q12</f>
        <v>0</v>
      </c>
      <c r="P18" s="1600"/>
      <c r="Q18" s="2262"/>
      <c r="R18" s="2262"/>
      <c r="S18" s="1595"/>
      <c r="T18" s="2254" t="s">
        <v>57</v>
      </c>
      <c r="U18" s="2254"/>
      <c r="V18" s="2262">
        <v>1570</v>
      </c>
      <c r="W18" s="2262"/>
      <c r="X18" s="2262"/>
      <c r="Y18" s="2269"/>
    </row>
    <row r="19" spans="1:25" ht="25.5" customHeight="1" x14ac:dyDescent="0.25">
      <c r="A19" s="100" t="s">
        <v>41</v>
      </c>
      <c r="B19" s="2260">
        <f>B15+B16+B17-B18</f>
        <v>317382</v>
      </c>
      <c r="C19" s="2261"/>
      <c r="D19" s="1598">
        <f>D15+D16+D17-D18</f>
        <v>0</v>
      </c>
      <c r="E19" s="1598">
        <f t="shared" ref="E19:N19" si="13">E15+E16+E17-E18</f>
        <v>0</v>
      </c>
      <c r="F19" s="1598">
        <f t="shared" si="13"/>
        <v>12620</v>
      </c>
      <c r="G19" s="1598">
        <f t="shared" si="13"/>
        <v>0</v>
      </c>
      <c r="H19" s="1598">
        <f t="shared" si="13"/>
        <v>72</v>
      </c>
      <c r="I19" s="1598">
        <f t="shared" si="13"/>
        <v>18</v>
      </c>
      <c r="J19" s="1598">
        <f t="shared" si="13"/>
        <v>4</v>
      </c>
      <c r="K19" s="1598">
        <f t="shared" si="13"/>
        <v>69</v>
      </c>
      <c r="L19" s="1598">
        <f t="shared" si="13"/>
        <v>0</v>
      </c>
      <c r="M19" s="1598">
        <f t="shared" si="13"/>
        <v>0</v>
      </c>
      <c r="N19" s="1598">
        <f t="shared" si="13"/>
        <v>0</v>
      </c>
      <c r="O19" s="1598">
        <f>O15+O16+O17-O18</f>
        <v>0</v>
      </c>
      <c r="P19" s="1598">
        <f t="shared" ref="P19:Q19" si="14">P15+P16+P17-P18</f>
        <v>100</v>
      </c>
      <c r="Q19" s="2260">
        <f t="shared" si="14"/>
        <v>10</v>
      </c>
      <c r="R19" s="2261"/>
      <c r="S19" s="1595">
        <f>S15+S16-S17-S18</f>
        <v>2</v>
      </c>
      <c r="T19" s="2256" t="s">
        <v>48</v>
      </c>
      <c r="U19" s="49" t="s">
        <v>58</v>
      </c>
      <c r="V19" s="2262">
        <v>400000</v>
      </c>
      <c r="W19" s="2262"/>
      <c r="X19" s="2262"/>
      <c r="Y19" s="2269"/>
    </row>
    <row r="20" spans="1:25" ht="23.25" customHeight="1" x14ac:dyDescent="0.25">
      <c r="A20" s="289" t="s">
        <v>187</v>
      </c>
      <c r="B20" s="2286">
        <f>B19*0.9625</f>
        <v>305480.17499999999</v>
      </c>
      <c r="C20" s="2287"/>
      <c r="D20" s="290">
        <f>D19*66.41</f>
        <v>0</v>
      </c>
      <c r="E20" s="290">
        <f>27.9368*E19</f>
        <v>0</v>
      </c>
      <c r="F20" s="290">
        <f>18.31*F19</f>
        <v>231072.19999999998</v>
      </c>
      <c r="G20" s="290">
        <f>27.9368*G19</f>
        <v>0</v>
      </c>
      <c r="H20" s="290">
        <f>241*H19</f>
        <v>17352</v>
      </c>
      <c r="I20" s="290">
        <f>323*I19</f>
        <v>5814</v>
      </c>
      <c r="J20" s="290">
        <f>241*J19</f>
        <v>964</v>
      </c>
      <c r="K20" s="290">
        <f>K19*100</f>
        <v>6900</v>
      </c>
      <c r="L20" s="290">
        <f>241*L19</f>
        <v>0</v>
      </c>
      <c r="M20" s="290">
        <f>47.1625*M19</f>
        <v>0</v>
      </c>
      <c r="N20" s="290">
        <f>N19*8.81</f>
        <v>0</v>
      </c>
      <c r="O20" s="290">
        <f>241*O19</f>
        <v>0</v>
      </c>
      <c r="P20" s="290">
        <f>P19*48.2</f>
        <v>4820</v>
      </c>
      <c r="Q20" s="2286">
        <f>470*Q19</f>
        <v>4700</v>
      </c>
      <c r="R20" s="2287"/>
      <c r="S20" s="290">
        <f>341*S19</f>
        <v>682</v>
      </c>
      <c r="T20" s="2257"/>
      <c r="U20" s="49" t="s">
        <v>59</v>
      </c>
      <c r="V20" s="2262"/>
      <c r="W20" s="2262"/>
      <c r="X20" s="2262"/>
      <c r="Y20" s="2269"/>
    </row>
    <row r="21" spans="1:25" ht="32.25" customHeight="1" x14ac:dyDescent="0.25">
      <c r="A21" s="291" t="s">
        <v>186</v>
      </c>
      <c r="B21" s="2293">
        <f>SUM(B20:S20)</f>
        <v>577784.375</v>
      </c>
      <c r="C21" s="2293"/>
      <c r="O21" s="1602"/>
      <c r="P21" s="1602"/>
      <c r="Q21" s="1602"/>
      <c r="R21" s="1602"/>
      <c r="T21" s="2294" t="s">
        <v>487</v>
      </c>
      <c r="U21" s="2295"/>
      <c r="V21" s="2297"/>
      <c r="W21" s="2298"/>
      <c r="X21" s="2299"/>
      <c r="Y21" s="2269"/>
    </row>
    <row r="22" spans="1:25" ht="35.25" customHeight="1" x14ac:dyDescent="0.25">
      <c r="A22" s="15"/>
      <c r="B22" s="2288" t="s">
        <v>49</v>
      </c>
      <c r="C22" s="2291">
        <v>400000</v>
      </c>
      <c r="D22" s="2291">
        <v>400000</v>
      </c>
      <c r="E22" s="2291">
        <v>100000</v>
      </c>
      <c r="F22" s="2291">
        <f>C22-D22+E22</f>
        <v>100000</v>
      </c>
      <c r="G22" s="1602"/>
      <c r="Q22" s="1602"/>
      <c r="R22" s="1602"/>
      <c r="T22" s="2251" t="s">
        <v>83</v>
      </c>
      <c r="U22" s="50" t="s">
        <v>60</v>
      </c>
      <c r="V22" s="2262">
        <v>413750</v>
      </c>
      <c r="W22" s="2262"/>
      <c r="X22" s="2262"/>
      <c r="Y22" s="2269"/>
    </row>
    <row r="23" spans="1:25" ht="39.75" customHeight="1" x14ac:dyDescent="0.25">
      <c r="A23" s="1602"/>
      <c r="B23" s="2289"/>
      <c r="C23" s="2292"/>
      <c r="D23" s="2292"/>
      <c r="E23" s="2292"/>
      <c r="F23" s="2292"/>
      <c r="G23" s="1602"/>
      <c r="Q23" s="1602"/>
      <c r="R23" s="1602"/>
      <c r="T23" s="2252"/>
      <c r="U23" s="50" t="s">
        <v>61</v>
      </c>
      <c r="V23" s="2262">
        <v>400000</v>
      </c>
      <c r="W23" s="2262"/>
      <c r="X23" s="2262"/>
      <c r="Y23" s="2269"/>
    </row>
    <row r="24" spans="1:25" ht="48" customHeight="1" x14ac:dyDescent="0.25">
      <c r="A24" s="1602"/>
      <c r="B24" s="2290"/>
      <c r="C24" s="290" t="s">
        <v>46</v>
      </c>
      <c r="D24" s="290" t="s">
        <v>50</v>
      </c>
      <c r="E24" s="290" t="s">
        <v>51</v>
      </c>
      <c r="F24" s="290" t="s">
        <v>52</v>
      </c>
      <c r="G24" s="1602"/>
      <c r="Q24" s="1602"/>
      <c r="R24" s="1602"/>
      <c r="T24" s="2235" t="s">
        <v>47</v>
      </c>
      <c r="U24" s="51" t="s">
        <v>62</v>
      </c>
      <c r="V24" s="2263">
        <f>V14+V16+V17-V18-V19-V20-V22+V23-V21</f>
        <v>14518.669999999984</v>
      </c>
      <c r="W24" s="2263"/>
      <c r="X24" s="2263"/>
      <c r="Y24" s="2269"/>
    </row>
    <row r="25" spans="1:25" ht="40.5" customHeight="1" x14ac:dyDescent="0.25">
      <c r="T25" s="2235"/>
      <c r="U25" s="51" t="s">
        <v>63</v>
      </c>
      <c r="V25" s="2262">
        <f>V15+V22-V23</f>
        <v>23022</v>
      </c>
      <c r="W25" s="2262"/>
      <c r="X25" s="2262"/>
    </row>
    <row r="26" spans="1:25" ht="36" customHeight="1" x14ac:dyDescent="0.25">
      <c r="K26" s="314"/>
    </row>
    <row r="28" spans="1:25" x14ac:dyDescent="0.25">
      <c r="J28" s="14" t="s">
        <v>139</v>
      </c>
    </row>
    <row r="32" spans="1:25" x14ac:dyDescent="0.25">
      <c r="I32" s="2280"/>
      <c r="J32" s="2280"/>
      <c r="K32" s="2280"/>
      <c r="L32" s="2280"/>
    </row>
    <row r="33" spans="9:12" x14ac:dyDescent="0.25">
      <c r="I33" s="1602"/>
      <c r="J33" s="1602"/>
      <c r="K33" s="2280"/>
      <c r="L33" s="2280"/>
    </row>
  </sheetData>
  <mergeCells count="62">
    <mergeCell ref="A1:Y1"/>
    <mergeCell ref="A2:Y2"/>
    <mergeCell ref="T3:Y3"/>
    <mergeCell ref="A4:A5"/>
    <mergeCell ref="B4:B5"/>
    <mergeCell ref="C4:D4"/>
    <mergeCell ref="E4:F4"/>
    <mergeCell ref="G4:H4"/>
    <mergeCell ref="I4:J4"/>
    <mergeCell ref="K4:L4"/>
    <mergeCell ref="Y4:Y5"/>
    <mergeCell ref="M4:N4"/>
    <mergeCell ref="O4:P4"/>
    <mergeCell ref="Q4:R4"/>
    <mergeCell ref="S4:T4"/>
    <mergeCell ref="U4:V4"/>
    <mergeCell ref="W4:X4"/>
    <mergeCell ref="B16:C16"/>
    <mergeCell ref="Q16:R16"/>
    <mergeCell ref="T16:U16"/>
    <mergeCell ref="V16:X16"/>
    <mergeCell ref="A12:B12"/>
    <mergeCell ref="B14:C14"/>
    <mergeCell ref="Q14:R14"/>
    <mergeCell ref="T14:T15"/>
    <mergeCell ref="V14:X14"/>
    <mergeCell ref="B15:C15"/>
    <mergeCell ref="Q15:R15"/>
    <mergeCell ref="V15:X15"/>
    <mergeCell ref="B17:C17"/>
    <mergeCell ref="Q17:R17"/>
    <mergeCell ref="T17:U17"/>
    <mergeCell ref="V17:X17"/>
    <mergeCell ref="B18:C18"/>
    <mergeCell ref="Q18:R18"/>
    <mergeCell ref="T18:U18"/>
    <mergeCell ref="V18:X18"/>
    <mergeCell ref="Y18:Y24"/>
    <mergeCell ref="B19:C19"/>
    <mergeCell ref="Q19:R19"/>
    <mergeCell ref="T19:T20"/>
    <mergeCell ref="V19:X19"/>
    <mergeCell ref="B20:C20"/>
    <mergeCell ref="B22:B24"/>
    <mergeCell ref="C22:C23"/>
    <mergeCell ref="D22:D23"/>
    <mergeCell ref="E22:E23"/>
    <mergeCell ref="F22:F23"/>
    <mergeCell ref="Q20:R20"/>
    <mergeCell ref="V20:X20"/>
    <mergeCell ref="B21:C21"/>
    <mergeCell ref="T21:U21"/>
    <mergeCell ref="V21:X21"/>
    <mergeCell ref="I32:J32"/>
    <mergeCell ref="K32:L32"/>
    <mergeCell ref="K33:L33"/>
    <mergeCell ref="T22:T23"/>
    <mergeCell ref="V22:X22"/>
    <mergeCell ref="V23:X23"/>
    <mergeCell ref="T24:T25"/>
    <mergeCell ref="V24:X24"/>
    <mergeCell ref="V25:X25"/>
  </mergeCells>
  <pageMargins left="0.15748031496063" right="0.15748031496063" top="0" bottom="0" header="0" footer="0"/>
  <pageSetup paperSize="9" scale="46" orientation="landscape" r:id="rId1"/>
</worksheet>
</file>

<file path=xl/worksheets/sheet26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4D036F8-3B29-4CA4-8E48-30231C1ADF9D}">
  <sheetPr>
    <pageSetUpPr fitToPage="1"/>
  </sheetPr>
  <dimension ref="A1:Y33"/>
  <sheetViews>
    <sheetView topLeftCell="A4" zoomScale="70" zoomScaleNormal="70" zoomScaleSheetLayoutView="100" zoomScalePageLayoutView="68" workbookViewId="0">
      <selection activeCell="J23" sqref="J23"/>
    </sheetView>
  </sheetViews>
  <sheetFormatPr defaultColWidth="9.140625" defaultRowHeight="15" x14ac:dyDescent="0.25"/>
  <cols>
    <col min="1" max="1" width="18.28515625" style="14" customWidth="1"/>
    <col min="2" max="2" width="10.7109375" style="14" customWidth="1"/>
    <col min="3" max="3" width="12.28515625" style="14" customWidth="1"/>
    <col min="4" max="4" width="13.140625" style="14" bestFit="1" customWidth="1"/>
    <col min="5" max="5" width="12" style="14" customWidth="1"/>
    <col min="6" max="6" width="14" style="14" bestFit="1" customWidth="1"/>
    <col min="7" max="7" width="16" style="14" bestFit="1" customWidth="1"/>
    <col min="8" max="8" width="10.140625" style="14" bestFit="1" customWidth="1"/>
    <col min="9" max="9" width="10.5703125" style="14" bestFit="1" customWidth="1"/>
    <col min="10" max="10" width="10.5703125" style="14" customWidth="1"/>
    <col min="11" max="11" width="10.28515625" style="14" bestFit="1" customWidth="1"/>
    <col min="12" max="12" width="10.42578125" style="14" bestFit="1" customWidth="1"/>
    <col min="13" max="14" width="12" style="14" bestFit="1" customWidth="1"/>
    <col min="15" max="15" width="11" style="14" customWidth="1"/>
    <col min="16" max="16" width="12.85546875" style="14" bestFit="1" customWidth="1"/>
    <col min="17" max="18" width="9.42578125" style="14" customWidth="1"/>
    <col min="19" max="19" width="13.7109375" style="14" customWidth="1"/>
    <col min="20" max="20" width="12.140625" style="14" customWidth="1"/>
    <col min="21" max="21" width="21.7109375" style="14" customWidth="1"/>
    <col min="22" max="22" width="9.85546875" style="14" customWidth="1"/>
    <col min="23" max="23" width="10.140625" style="14" bestFit="1" customWidth="1"/>
    <col min="24" max="24" width="10.28515625" style="14" customWidth="1"/>
    <col min="25" max="25" width="15.7109375" style="14" customWidth="1"/>
    <col min="26" max="16384" width="9.140625" style="14"/>
  </cols>
  <sheetData>
    <row r="1" spans="1:25" ht="46.15" customHeight="1" x14ac:dyDescent="0.25">
      <c r="A1" s="2240" t="s">
        <v>148</v>
      </c>
      <c r="B1" s="2240"/>
      <c r="C1" s="2240"/>
      <c r="D1" s="2240"/>
      <c r="E1" s="2240"/>
      <c r="F1" s="2240"/>
      <c r="G1" s="2240"/>
      <c r="H1" s="2240"/>
      <c r="I1" s="2240"/>
      <c r="J1" s="2240"/>
      <c r="K1" s="2240"/>
      <c r="L1" s="2240"/>
      <c r="M1" s="2240"/>
      <c r="N1" s="2240"/>
      <c r="O1" s="2240"/>
      <c r="P1" s="2240"/>
      <c r="Q1" s="2240"/>
      <c r="R1" s="2240"/>
      <c r="S1" s="2240"/>
      <c r="T1" s="2240"/>
      <c r="U1" s="2240"/>
      <c r="V1" s="2240"/>
      <c r="W1" s="2240"/>
      <c r="X1" s="2240"/>
      <c r="Y1" s="2240"/>
    </row>
    <row r="2" spans="1:25" ht="21.6" customHeight="1" x14ac:dyDescent="0.25">
      <c r="A2" s="2241" t="s">
        <v>383</v>
      </c>
      <c r="B2" s="2241"/>
      <c r="C2" s="2241"/>
      <c r="D2" s="2241"/>
      <c r="E2" s="2241"/>
      <c r="F2" s="2241"/>
      <c r="G2" s="2241"/>
      <c r="H2" s="2241"/>
      <c r="I2" s="2241"/>
      <c r="J2" s="2241"/>
      <c r="K2" s="2241"/>
      <c r="L2" s="2241"/>
      <c r="M2" s="2241"/>
      <c r="N2" s="2241"/>
      <c r="O2" s="2241"/>
      <c r="P2" s="2241"/>
      <c r="Q2" s="2241"/>
      <c r="R2" s="2241"/>
      <c r="S2" s="2241"/>
      <c r="T2" s="2241"/>
      <c r="U2" s="2241"/>
      <c r="V2" s="2241"/>
      <c r="W2" s="2241"/>
      <c r="X2" s="2241"/>
      <c r="Y2" s="2241"/>
    </row>
    <row r="3" spans="1:25" ht="21" customHeight="1" x14ac:dyDescent="0.25">
      <c r="A3" s="1603"/>
      <c r="B3" s="1603"/>
      <c r="C3" s="1603"/>
      <c r="D3" s="1603"/>
      <c r="E3" s="1603"/>
      <c r="F3" s="1603"/>
      <c r="G3" s="1603"/>
      <c r="H3" s="1603"/>
      <c r="I3" s="1603"/>
      <c r="J3" s="1603"/>
      <c r="K3" s="1603"/>
      <c r="L3" s="1603"/>
      <c r="M3" s="1603"/>
      <c r="N3" s="1603"/>
      <c r="O3" s="1603"/>
      <c r="P3" s="1603"/>
      <c r="Q3" s="1603"/>
      <c r="R3" s="1603"/>
      <c r="S3" s="1603"/>
      <c r="T3" s="2242" t="s">
        <v>511</v>
      </c>
      <c r="U3" s="2242"/>
      <c r="V3" s="2242"/>
      <c r="W3" s="2242"/>
      <c r="X3" s="2242"/>
      <c r="Y3" s="2242"/>
    </row>
    <row r="4" spans="1:25" s="1603" customFormat="1" ht="18" customHeight="1" x14ac:dyDescent="0.25">
      <c r="A4" s="2243" t="s">
        <v>25</v>
      </c>
      <c r="B4" s="2243" t="s">
        <v>26</v>
      </c>
      <c r="C4" s="2244" t="s">
        <v>27</v>
      </c>
      <c r="D4" s="2244"/>
      <c r="E4" s="2244" t="s">
        <v>342</v>
      </c>
      <c r="F4" s="2244"/>
      <c r="G4" s="2244" t="s">
        <v>65</v>
      </c>
      <c r="H4" s="2244"/>
      <c r="I4" s="2244" t="s">
        <v>29</v>
      </c>
      <c r="J4" s="2244"/>
      <c r="K4" s="2245" t="s">
        <v>14</v>
      </c>
      <c r="L4" s="2246"/>
      <c r="M4" s="2245" t="s">
        <v>429</v>
      </c>
      <c r="N4" s="2246"/>
      <c r="O4" s="2245" t="s">
        <v>441</v>
      </c>
      <c r="P4" s="2246"/>
      <c r="Q4" s="2245" t="s">
        <v>114</v>
      </c>
      <c r="R4" s="2246"/>
      <c r="S4" s="2244" t="s">
        <v>35</v>
      </c>
      <c r="T4" s="2244"/>
      <c r="U4" s="2245" t="s">
        <v>17</v>
      </c>
      <c r="V4" s="2246"/>
      <c r="W4" s="2247" t="s">
        <v>36</v>
      </c>
      <c r="X4" s="2248"/>
      <c r="Y4" s="2238" t="s">
        <v>30</v>
      </c>
    </row>
    <row r="5" spans="1:25" s="1603" customFormat="1" ht="25.5" customHeight="1" x14ac:dyDescent="0.25">
      <c r="A5" s="2243"/>
      <c r="B5" s="2243"/>
      <c r="C5" s="1605" t="s">
        <v>42</v>
      </c>
      <c r="D5" s="1605" t="s">
        <v>43</v>
      </c>
      <c r="E5" s="1605" t="s">
        <v>42</v>
      </c>
      <c r="F5" s="1605" t="s">
        <v>43</v>
      </c>
      <c r="G5" s="1605" t="s">
        <v>42</v>
      </c>
      <c r="H5" s="1605" t="s">
        <v>43</v>
      </c>
      <c r="I5" s="1605" t="s">
        <v>42</v>
      </c>
      <c r="J5" s="1605" t="s">
        <v>43</v>
      </c>
      <c r="K5" s="1605" t="s">
        <v>42</v>
      </c>
      <c r="L5" s="1605" t="s">
        <v>43</v>
      </c>
      <c r="M5" s="1605" t="s">
        <v>42</v>
      </c>
      <c r="N5" s="1605" t="s">
        <v>43</v>
      </c>
      <c r="O5" s="1605" t="s">
        <v>42</v>
      </c>
      <c r="P5" s="1605" t="s">
        <v>43</v>
      </c>
      <c r="Q5" s="1605" t="s">
        <v>42</v>
      </c>
      <c r="R5" s="1605" t="s">
        <v>43</v>
      </c>
      <c r="S5" s="33" t="s">
        <v>42</v>
      </c>
      <c r="T5" s="33" t="s">
        <v>43</v>
      </c>
      <c r="U5" s="30" t="s">
        <v>42</v>
      </c>
      <c r="V5" s="30" t="s">
        <v>43</v>
      </c>
      <c r="W5" s="30" t="s">
        <v>42</v>
      </c>
      <c r="X5" s="30" t="s">
        <v>43</v>
      </c>
      <c r="Y5" s="2239"/>
    </row>
    <row r="6" spans="1:25" ht="34.5" customHeight="1" x14ac:dyDescent="0.25">
      <c r="A6" s="12">
        <v>1409935200</v>
      </c>
      <c r="B6" s="1604" t="s">
        <v>71</v>
      </c>
      <c r="C6" s="1607">
        <v>25377</v>
      </c>
      <c r="D6" s="1608">
        <f t="shared" ref="D6:D11" si="0">0.9725*C6</f>
        <v>24679.1325</v>
      </c>
      <c r="E6" s="1607"/>
      <c r="F6" s="1608">
        <f>67.1*E6</f>
        <v>0</v>
      </c>
      <c r="G6" s="1607"/>
      <c r="H6" s="1607">
        <f>28.2*G6</f>
        <v>0</v>
      </c>
      <c r="I6" s="1607">
        <v>310</v>
      </c>
      <c r="J6" s="1607">
        <f>18.5*I6</f>
        <v>5735</v>
      </c>
      <c r="K6" s="1607"/>
      <c r="L6" s="1608">
        <f>28.2368*K6</f>
        <v>0</v>
      </c>
      <c r="M6" s="1607"/>
      <c r="N6" s="1608">
        <f>M6*47.6525</f>
        <v>0</v>
      </c>
      <c r="O6" s="1607"/>
      <c r="P6" s="1608">
        <f>O6*8.9</f>
        <v>0</v>
      </c>
      <c r="Q6" s="1608"/>
      <c r="R6" s="1608">
        <f>241*Q6</f>
        <v>0</v>
      </c>
      <c r="S6" s="1607"/>
      <c r="T6" s="1607">
        <f>241*S6</f>
        <v>0</v>
      </c>
      <c r="U6" s="1607"/>
      <c r="V6" s="1607">
        <f>332*U6</f>
        <v>0</v>
      </c>
      <c r="W6" s="1607"/>
      <c r="X6" s="19">
        <f>W6*100</f>
        <v>0</v>
      </c>
      <c r="Y6" s="20">
        <f t="shared" ref="Y6:Y12" si="1">D6+F6+H6+J6+L6+N6+P6+R6+T6+V6+X6</f>
        <v>30414.1325</v>
      </c>
    </row>
    <row r="7" spans="1:25" ht="31.5" customHeight="1" x14ac:dyDescent="0.25">
      <c r="A7" s="12">
        <v>1984225578</v>
      </c>
      <c r="B7" s="1604" t="s">
        <v>509</v>
      </c>
      <c r="C7" s="1607">
        <v>28462</v>
      </c>
      <c r="D7" s="1608">
        <f t="shared" si="0"/>
        <v>27679.295000000002</v>
      </c>
      <c r="E7" s="1607"/>
      <c r="F7" s="1607">
        <f t="shared" ref="F7:F11" si="2">67.1*E7</f>
        <v>0</v>
      </c>
      <c r="G7" s="1607"/>
      <c r="H7" s="1607">
        <f t="shared" ref="H7:H11" si="3">28.2*G7</f>
        <v>0</v>
      </c>
      <c r="I7" s="1607">
        <v>110</v>
      </c>
      <c r="J7" s="1607">
        <f t="shared" ref="J7:J11" si="4">18.5*I7</f>
        <v>2035</v>
      </c>
      <c r="K7" s="1607"/>
      <c r="L7" s="1608">
        <f t="shared" ref="L7:L11" si="5">28.2368*K7</f>
        <v>0</v>
      </c>
      <c r="M7" s="1607"/>
      <c r="N7" s="1608">
        <f t="shared" ref="N7:N11" si="6">M7*47.6525</f>
        <v>0</v>
      </c>
      <c r="O7" s="1607"/>
      <c r="P7" s="1608">
        <f t="shared" ref="P7:P11" si="7">O7*8.9</f>
        <v>0</v>
      </c>
      <c r="Q7" s="1608"/>
      <c r="R7" s="1608">
        <f t="shared" ref="R7:R11" si="8">241*Q7</f>
        <v>0</v>
      </c>
      <c r="S7" s="1607"/>
      <c r="T7" s="1607">
        <f t="shared" ref="T7:T10" si="9">241*S7</f>
        <v>0</v>
      </c>
      <c r="U7" s="1607"/>
      <c r="V7" s="1607">
        <f t="shared" ref="V7:V11" si="10">332*U7</f>
        <v>0</v>
      </c>
      <c r="W7" s="1607"/>
      <c r="X7" s="19">
        <f t="shared" ref="X7:X11" si="11">W7*100</f>
        <v>0</v>
      </c>
      <c r="Y7" s="20">
        <f t="shared" si="1"/>
        <v>29714.295000000002</v>
      </c>
    </row>
    <row r="8" spans="1:25" ht="35.25" customHeight="1" x14ac:dyDescent="0.25">
      <c r="A8" s="12">
        <v>1967020280</v>
      </c>
      <c r="B8" s="1604" t="s">
        <v>427</v>
      </c>
      <c r="C8" s="1607">
        <v>16681</v>
      </c>
      <c r="D8" s="1608">
        <f t="shared" si="0"/>
        <v>16222.272500000001</v>
      </c>
      <c r="E8" s="1607"/>
      <c r="F8" s="1607">
        <f t="shared" si="2"/>
        <v>0</v>
      </c>
      <c r="G8" s="1607"/>
      <c r="H8" s="1608">
        <f t="shared" si="3"/>
        <v>0</v>
      </c>
      <c r="I8" s="1607">
        <v>860</v>
      </c>
      <c r="J8" s="1607">
        <f t="shared" si="4"/>
        <v>15910</v>
      </c>
      <c r="K8" s="1607"/>
      <c r="L8" s="1608">
        <f t="shared" si="5"/>
        <v>0</v>
      </c>
      <c r="M8" s="1607"/>
      <c r="N8" s="1608">
        <f t="shared" si="6"/>
        <v>0</v>
      </c>
      <c r="O8" s="1607"/>
      <c r="P8" s="1608">
        <f t="shared" si="7"/>
        <v>0</v>
      </c>
      <c r="Q8" s="1608"/>
      <c r="R8" s="1608">
        <f t="shared" si="8"/>
        <v>0</v>
      </c>
      <c r="S8" s="1607"/>
      <c r="T8" s="1607">
        <f t="shared" si="9"/>
        <v>0</v>
      </c>
      <c r="U8" s="1607"/>
      <c r="V8" s="1607">
        <f t="shared" si="10"/>
        <v>0</v>
      </c>
      <c r="W8" s="1607"/>
      <c r="X8" s="19">
        <f t="shared" si="11"/>
        <v>0</v>
      </c>
      <c r="Y8" s="20">
        <f t="shared" si="1"/>
        <v>32132.272499999999</v>
      </c>
    </row>
    <row r="9" spans="1:25" ht="38.25" customHeight="1" x14ac:dyDescent="0.25">
      <c r="A9" s="12">
        <v>1984225580</v>
      </c>
      <c r="B9" s="1604" t="s">
        <v>75</v>
      </c>
      <c r="C9" s="1607">
        <v>26896</v>
      </c>
      <c r="D9" s="1608">
        <f t="shared" si="0"/>
        <v>26156.36</v>
      </c>
      <c r="E9" s="1607"/>
      <c r="F9" s="1607">
        <f t="shared" si="2"/>
        <v>0</v>
      </c>
      <c r="G9" s="1607"/>
      <c r="H9" s="1607">
        <f t="shared" si="3"/>
        <v>0</v>
      </c>
      <c r="I9" s="1607">
        <v>700</v>
      </c>
      <c r="J9" s="1607">
        <f t="shared" si="4"/>
        <v>12950</v>
      </c>
      <c r="K9" s="1607"/>
      <c r="L9" s="1608">
        <f t="shared" si="5"/>
        <v>0</v>
      </c>
      <c r="M9" s="1607"/>
      <c r="N9" s="1608">
        <f t="shared" si="6"/>
        <v>0</v>
      </c>
      <c r="O9" s="1607"/>
      <c r="P9" s="1608">
        <f t="shared" si="7"/>
        <v>0</v>
      </c>
      <c r="Q9" s="1608"/>
      <c r="R9" s="1608">
        <f t="shared" si="8"/>
        <v>0</v>
      </c>
      <c r="S9" s="1607"/>
      <c r="T9" s="1607">
        <f t="shared" si="9"/>
        <v>0</v>
      </c>
      <c r="U9" s="1607"/>
      <c r="V9" s="1607">
        <f t="shared" si="10"/>
        <v>0</v>
      </c>
      <c r="W9" s="1607"/>
      <c r="X9" s="19">
        <f t="shared" si="11"/>
        <v>0</v>
      </c>
      <c r="Y9" s="20">
        <f t="shared" si="1"/>
        <v>39106.36</v>
      </c>
    </row>
    <row r="10" spans="1:25" ht="35.25" customHeight="1" x14ac:dyDescent="0.25">
      <c r="A10" s="12">
        <v>1409935199</v>
      </c>
      <c r="C10" s="1607"/>
      <c r="D10" s="1608">
        <f t="shared" si="0"/>
        <v>0</v>
      </c>
      <c r="E10" s="1607"/>
      <c r="F10" s="1607">
        <f t="shared" si="2"/>
        <v>0</v>
      </c>
      <c r="G10" s="1607"/>
      <c r="H10" s="1607">
        <f t="shared" si="3"/>
        <v>0</v>
      </c>
      <c r="I10" s="1607">
        <v>4000</v>
      </c>
      <c r="J10" s="1607">
        <f t="shared" si="4"/>
        <v>74000</v>
      </c>
      <c r="K10" s="1607"/>
      <c r="L10" s="1608">
        <f t="shared" si="5"/>
        <v>0</v>
      </c>
      <c r="M10" s="1607"/>
      <c r="N10" s="1608">
        <f t="shared" si="6"/>
        <v>0</v>
      </c>
      <c r="O10" s="1607"/>
      <c r="P10" s="1608">
        <f t="shared" si="7"/>
        <v>0</v>
      </c>
      <c r="Q10" s="1608"/>
      <c r="R10" s="1608">
        <f t="shared" si="8"/>
        <v>0</v>
      </c>
      <c r="S10" s="1607"/>
      <c r="T10" s="1607">
        <f t="shared" si="9"/>
        <v>0</v>
      </c>
      <c r="U10" s="1607"/>
      <c r="V10" s="1607">
        <f t="shared" si="10"/>
        <v>0</v>
      </c>
      <c r="W10" s="1607"/>
      <c r="X10" s="19">
        <f t="shared" si="11"/>
        <v>0</v>
      </c>
      <c r="Y10" s="20">
        <f t="shared" si="1"/>
        <v>74000</v>
      </c>
    </row>
    <row r="11" spans="1:25" ht="37.5" customHeight="1" x14ac:dyDescent="0.25">
      <c r="A11" s="12"/>
      <c r="B11" s="1606"/>
      <c r="C11" s="1607"/>
      <c r="D11" s="1608">
        <f t="shared" si="0"/>
        <v>0</v>
      </c>
      <c r="E11" s="1607"/>
      <c r="F11" s="1607">
        <f t="shared" si="2"/>
        <v>0</v>
      </c>
      <c r="G11" s="1607"/>
      <c r="H11" s="1607">
        <f t="shared" si="3"/>
        <v>0</v>
      </c>
      <c r="I11" s="1607"/>
      <c r="J11" s="1607">
        <f t="shared" si="4"/>
        <v>0</v>
      </c>
      <c r="K11" s="1607"/>
      <c r="L11" s="1608">
        <f t="shared" si="5"/>
        <v>0</v>
      </c>
      <c r="M11" s="1607"/>
      <c r="N11" s="1608">
        <f t="shared" si="6"/>
        <v>0</v>
      </c>
      <c r="O11" s="1607"/>
      <c r="P11" s="1608">
        <f t="shared" si="7"/>
        <v>0</v>
      </c>
      <c r="Q11" s="1608"/>
      <c r="R11" s="1608">
        <f t="shared" si="8"/>
        <v>0</v>
      </c>
      <c r="S11" s="1607"/>
      <c r="T11" s="1607">
        <f>341*S11</f>
        <v>0</v>
      </c>
      <c r="U11" s="1607"/>
      <c r="V11" s="1607">
        <f t="shared" si="10"/>
        <v>0</v>
      </c>
      <c r="W11" s="1607"/>
      <c r="X11" s="19">
        <f t="shared" si="11"/>
        <v>0</v>
      </c>
      <c r="Y11" s="20">
        <f t="shared" si="1"/>
        <v>0</v>
      </c>
    </row>
    <row r="12" spans="1:25" ht="29.25" customHeight="1" x14ac:dyDescent="0.25">
      <c r="A12" s="2235" t="s">
        <v>31</v>
      </c>
      <c r="B12" s="2235"/>
      <c r="C12" s="18">
        <f t="shared" ref="C12:X12" si="12">SUM(C6:C11)</f>
        <v>97416</v>
      </c>
      <c r="D12" s="18">
        <f t="shared" si="12"/>
        <v>94737.060000000012</v>
      </c>
      <c r="E12" s="18">
        <f t="shared" si="12"/>
        <v>0</v>
      </c>
      <c r="F12" s="18">
        <f t="shared" si="12"/>
        <v>0</v>
      </c>
      <c r="G12" s="18">
        <f t="shared" si="12"/>
        <v>0</v>
      </c>
      <c r="H12" s="18">
        <f t="shared" si="12"/>
        <v>0</v>
      </c>
      <c r="I12" s="18">
        <f t="shared" si="12"/>
        <v>5980</v>
      </c>
      <c r="J12" s="18">
        <f t="shared" si="12"/>
        <v>110630</v>
      </c>
      <c r="K12" s="18">
        <f t="shared" si="12"/>
        <v>0</v>
      </c>
      <c r="L12" s="18">
        <f t="shared" si="12"/>
        <v>0</v>
      </c>
      <c r="M12" s="18">
        <f t="shared" si="12"/>
        <v>0</v>
      </c>
      <c r="N12" s="23">
        <f t="shared" si="12"/>
        <v>0</v>
      </c>
      <c r="O12" s="18">
        <f t="shared" si="12"/>
        <v>0</v>
      </c>
      <c r="P12" s="23">
        <f t="shared" si="12"/>
        <v>0</v>
      </c>
      <c r="Q12" s="23">
        <f t="shared" si="12"/>
        <v>0</v>
      </c>
      <c r="R12" s="23">
        <f>SUM(R6:R11)</f>
        <v>0</v>
      </c>
      <c r="S12" s="23">
        <f>SUM(S6:S11)</f>
        <v>0</v>
      </c>
      <c r="T12" s="18">
        <f t="shared" si="12"/>
        <v>0</v>
      </c>
      <c r="U12" s="18">
        <f t="shared" si="12"/>
        <v>0</v>
      </c>
      <c r="V12" s="18">
        <f t="shared" si="12"/>
        <v>0</v>
      </c>
      <c r="W12" s="18">
        <f t="shared" si="12"/>
        <v>0</v>
      </c>
      <c r="X12" s="18">
        <f t="shared" si="12"/>
        <v>0</v>
      </c>
      <c r="Y12" s="20">
        <f t="shared" si="1"/>
        <v>205367.06</v>
      </c>
    </row>
    <row r="14" spans="1:25" ht="43.5" customHeight="1" x14ac:dyDescent="0.25">
      <c r="A14" s="30" t="s">
        <v>32</v>
      </c>
      <c r="B14" s="2236" t="s">
        <v>27</v>
      </c>
      <c r="C14" s="2236"/>
      <c r="D14" s="30" t="s">
        <v>333</v>
      </c>
      <c r="E14" s="30" t="s">
        <v>65</v>
      </c>
      <c r="F14" s="30" t="s">
        <v>34</v>
      </c>
      <c r="G14" s="30" t="s">
        <v>14</v>
      </c>
      <c r="H14" s="469" t="s">
        <v>173</v>
      </c>
      <c r="I14" s="30" t="s">
        <v>17</v>
      </c>
      <c r="J14" s="1612" t="s">
        <v>174</v>
      </c>
      <c r="K14" s="30" t="s">
        <v>36</v>
      </c>
      <c r="L14" s="1612" t="s">
        <v>403</v>
      </c>
      <c r="M14" s="30" t="s">
        <v>429</v>
      </c>
      <c r="N14" s="30" t="s">
        <v>442</v>
      </c>
      <c r="O14" s="1612" t="s">
        <v>114</v>
      </c>
      <c r="P14" s="30" t="s">
        <v>70</v>
      </c>
      <c r="Q14" s="2300" t="s">
        <v>479</v>
      </c>
      <c r="R14" s="2301"/>
      <c r="S14" s="1612" t="s">
        <v>401</v>
      </c>
      <c r="T14" s="2235" t="s">
        <v>46</v>
      </c>
      <c r="U14" s="1604" t="s">
        <v>176</v>
      </c>
      <c r="V14" s="2260">
        <v>14519</v>
      </c>
      <c r="W14" s="2268"/>
      <c r="X14" s="2261"/>
    </row>
    <row r="15" spans="1:25" ht="22.5" customHeight="1" x14ac:dyDescent="0.25">
      <c r="A15" s="100" t="s">
        <v>38</v>
      </c>
      <c r="B15" s="2260">
        <v>317382</v>
      </c>
      <c r="C15" s="2261"/>
      <c r="D15" s="1609">
        <v>0</v>
      </c>
      <c r="E15" s="1609">
        <v>0</v>
      </c>
      <c r="F15" s="1609">
        <v>12620</v>
      </c>
      <c r="G15" s="1609">
        <v>0</v>
      </c>
      <c r="H15" s="1609">
        <v>72</v>
      </c>
      <c r="I15" s="1609">
        <v>18</v>
      </c>
      <c r="J15" s="1609">
        <v>4</v>
      </c>
      <c r="K15" s="1609">
        <v>69</v>
      </c>
      <c r="L15" s="1609">
        <v>0</v>
      </c>
      <c r="M15" s="1609">
        <v>0</v>
      </c>
      <c r="N15" s="1609">
        <v>0</v>
      </c>
      <c r="O15" s="1609">
        <v>0</v>
      </c>
      <c r="P15" s="1609">
        <v>100</v>
      </c>
      <c r="Q15" s="2260">
        <v>10</v>
      </c>
      <c r="R15" s="2261"/>
      <c r="S15" s="1604">
        <v>2</v>
      </c>
      <c r="T15" s="2235"/>
      <c r="U15" s="1604" t="s">
        <v>64</v>
      </c>
      <c r="V15" s="2262">
        <v>23022</v>
      </c>
      <c r="W15" s="2262"/>
      <c r="X15" s="2262"/>
    </row>
    <row r="16" spans="1:25" ht="24.75" customHeight="1" x14ac:dyDescent="0.25">
      <c r="A16" s="100" t="s">
        <v>39</v>
      </c>
      <c r="B16" s="2260">
        <v>91380</v>
      </c>
      <c r="C16" s="2261"/>
      <c r="D16" s="1609"/>
      <c r="E16" s="1609"/>
      <c r="F16" s="1609">
        <v>5000</v>
      </c>
      <c r="G16" s="1609"/>
      <c r="H16" s="1609"/>
      <c r="I16" s="1609"/>
      <c r="J16" s="1609"/>
      <c r="K16" s="1609"/>
      <c r="L16" s="1609"/>
      <c r="M16" s="1609"/>
      <c r="N16" s="1609"/>
      <c r="O16" s="1609"/>
      <c r="P16" s="1609"/>
      <c r="Q16" s="2262"/>
      <c r="R16" s="2262"/>
      <c r="S16" s="1609"/>
      <c r="T16" s="2254" t="s">
        <v>55</v>
      </c>
      <c r="U16" s="2254"/>
      <c r="V16" s="2267">
        <f>Y12</f>
        <v>205367.06</v>
      </c>
      <c r="W16" s="2267"/>
      <c r="X16" s="2262"/>
    </row>
    <row r="17" spans="1:25" ht="28.5" customHeight="1" x14ac:dyDescent="0.25">
      <c r="A17" s="101" t="s">
        <v>44</v>
      </c>
      <c r="B17" s="2260"/>
      <c r="C17" s="2261"/>
      <c r="D17" s="1609"/>
      <c r="E17" s="1609"/>
      <c r="F17" s="1609"/>
      <c r="G17" s="1609"/>
      <c r="H17" s="1609"/>
      <c r="I17" s="1609"/>
      <c r="J17" s="1609"/>
      <c r="K17" s="1609"/>
      <c r="L17" s="1609"/>
      <c r="M17" s="1609"/>
      <c r="N17" s="1609"/>
      <c r="O17" s="1609"/>
      <c r="P17" s="1609"/>
      <c r="Q17" s="2225"/>
      <c r="R17" s="2225"/>
      <c r="S17" s="1606"/>
      <c r="T17" s="2294" t="s">
        <v>473</v>
      </c>
      <c r="U17" s="2295"/>
      <c r="V17" s="2296"/>
      <c r="W17" s="2296"/>
      <c r="X17" s="2296"/>
    </row>
    <row r="18" spans="1:25" ht="27" customHeight="1" x14ac:dyDescent="0.25">
      <c r="A18" s="100" t="s">
        <v>40</v>
      </c>
      <c r="B18" s="2264">
        <f>C12</f>
        <v>97416</v>
      </c>
      <c r="C18" s="2261"/>
      <c r="D18" s="1610">
        <f>E12</f>
        <v>0</v>
      </c>
      <c r="E18" s="1610">
        <f>G12</f>
        <v>0</v>
      </c>
      <c r="F18" s="1610">
        <f>I12</f>
        <v>5980</v>
      </c>
      <c r="G18" s="1610">
        <f>K12</f>
        <v>0</v>
      </c>
      <c r="H18" s="1609"/>
      <c r="I18" s="1610">
        <f>U12</f>
        <v>0</v>
      </c>
      <c r="J18" s="1609"/>
      <c r="K18" s="1610">
        <f>W12</f>
        <v>0</v>
      </c>
      <c r="L18" s="1609"/>
      <c r="M18" s="1610">
        <f>M12</f>
        <v>0</v>
      </c>
      <c r="N18" s="1610">
        <f>O12</f>
        <v>0</v>
      </c>
      <c r="O18" s="1611">
        <f>Q12</f>
        <v>0</v>
      </c>
      <c r="P18" s="1610"/>
      <c r="Q18" s="2262"/>
      <c r="R18" s="2262"/>
      <c r="S18" s="1604"/>
      <c r="T18" s="2254" t="s">
        <v>57</v>
      </c>
      <c r="U18" s="2254"/>
      <c r="V18" s="2262">
        <v>620</v>
      </c>
      <c r="W18" s="2262"/>
      <c r="X18" s="2262"/>
      <c r="Y18" s="2269"/>
    </row>
    <row r="19" spans="1:25" ht="25.5" customHeight="1" x14ac:dyDescent="0.25">
      <c r="A19" s="100" t="s">
        <v>41</v>
      </c>
      <c r="B19" s="2260">
        <f>B15+B16+B17-B18</f>
        <v>311346</v>
      </c>
      <c r="C19" s="2261"/>
      <c r="D19" s="1609">
        <f>D15+D16+D17-D18</f>
        <v>0</v>
      </c>
      <c r="E19" s="1609">
        <f t="shared" ref="E19:N19" si="13">E15+E16+E17-E18</f>
        <v>0</v>
      </c>
      <c r="F19" s="1609">
        <f t="shared" si="13"/>
        <v>11640</v>
      </c>
      <c r="G19" s="1609">
        <f t="shared" si="13"/>
        <v>0</v>
      </c>
      <c r="H19" s="1609">
        <f t="shared" si="13"/>
        <v>72</v>
      </c>
      <c r="I19" s="1609">
        <f t="shared" si="13"/>
        <v>18</v>
      </c>
      <c r="J19" s="1609">
        <f t="shared" si="13"/>
        <v>4</v>
      </c>
      <c r="K19" s="1609">
        <f t="shared" si="13"/>
        <v>69</v>
      </c>
      <c r="L19" s="1609">
        <f t="shared" si="13"/>
        <v>0</v>
      </c>
      <c r="M19" s="1609">
        <f t="shared" si="13"/>
        <v>0</v>
      </c>
      <c r="N19" s="1609">
        <f t="shared" si="13"/>
        <v>0</v>
      </c>
      <c r="O19" s="1609">
        <f>O15+O16+O17-O18</f>
        <v>0</v>
      </c>
      <c r="P19" s="1609">
        <f t="shared" ref="P19:Q19" si="14">P15+P16+P17-P18</f>
        <v>100</v>
      </c>
      <c r="Q19" s="2260">
        <f t="shared" si="14"/>
        <v>10</v>
      </c>
      <c r="R19" s="2261"/>
      <c r="S19" s="1604">
        <f>S15+S16-S17-S18</f>
        <v>2</v>
      </c>
      <c r="T19" s="2256" t="s">
        <v>48</v>
      </c>
      <c r="U19" s="49" t="s">
        <v>58</v>
      </c>
      <c r="V19" s="2262">
        <v>100000</v>
      </c>
      <c r="W19" s="2262"/>
      <c r="X19" s="2262"/>
      <c r="Y19" s="2269"/>
    </row>
    <row r="20" spans="1:25" ht="23.25" customHeight="1" x14ac:dyDescent="0.25">
      <c r="A20" s="289" t="s">
        <v>187</v>
      </c>
      <c r="B20" s="2286">
        <f>B19*0.9625</f>
        <v>299670.52500000002</v>
      </c>
      <c r="C20" s="2287"/>
      <c r="D20" s="290">
        <f>D19*66.41</f>
        <v>0</v>
      </c>
      <c r="E20" s="290">
        <f>27.9368*E19</f>
        <v>0</v>
      </c>
      <c r="F20" s="290">
        <f>18.31*F19</f>
        <v>213128.4</v>
      </c>
      <c r="G20" s="290">
        <f>27.9368*G19</f>
        <v>0</v>
      </c>
      <c r="H20" s="290">
        <f>241*H19</f>
        <v>17352</v>
      </c>
      <c r="I20" s="290">
        <f>323*I19</f>
        <v>5814</v>
      </c>
      <c r="J20" s="290">
        <f>241*J19</f>
        <v>964</v>
      </c>
      <c r="K20" s="290">
        <f>K19*100</f>
        <v>6900</v>
      </c>
      <c r="L20" s="290">
        <f>241*L19</f>
        <v>0</v>
      </c>
      <c r="M20" s="290">
        <f>47.1625*M19</f>
        <v>0</v>
      </c>
      <c r="N20" s="290">
        <f>N19*8.81</f>
        <v>0</v>
      </c>
      <c r="O20" s="290">
        <f>241*O19</f>
        <v>0</v>
      </c>
      <c r="P20" s="290">
        <f>P19*48.2</f>
        <v>4820</v>
      </c>
      <c r="Q20" s="2286">
        <f>470*Q19</f>
        <v>4700</v>
      </c>
      <c r="R20" s="2287"/>
      <c r="S20" s="290">
        <f>341*S19</f>
        <v>682</v>
      </c>
      <c r="T20" s="2257"/>
      <c r="U20" s="49" t="s">
        <v>59</v>
      </c>
      <c r="V20" s="2262"/>
      <c r="W20" s="2262"/>
      <c r="X20" s="2262"/>
      <c r="Y20" s="2269"/>
    </row>
    <row r="21" spans="1:25" ht="32.25" customHeight="1" x14ac:dyDescent="0.25">
      <c r="A21" s="291" t="s">
        <v>186</v>
      </c>
      <c r="B21" s="2293">
        <f>SUM(B20:S20)</f>
        <v>554030.92500000005</v>
      </c>
      <c r="C21" s="2293"/>
      <c r="O21" s="1613"/>
      <c r="P21" s="1613"/>
      <c r="Q21" s="1613"/>
      <c r="R21" s="1613"/>
      <c r="T21" s="2294" t="s">
        <v>487</v>
      </c>
      <c r="U21" s="2295"/>
      <c r="V21" s="2297"/>
      <c r="W21" s="2298"/>
      <c r="X21" s="2299"/>
      <c r="Y21" s="2269"/>
    </row>
    <row r="22" spans="1:25" ht="35.25" customHeight="1" x14ac:dyDescent="0.25">
      <c r="A22" s="15"/>
      <c r="B22" s="2288" t="s">
        <v>49</v>
      </c>
      <c r="C22" s="2291">
        <v>100000</v>
      </c>
      <c r="D22" s="2291">
        <v>100000</v>
      </c>
      <c r="E22" s="2291">
        <v>178550</v>
      </c>
      <c r="F22" s="2291">
        <f>C22-D22+E22</f>
        <v>178550</v>
      </c>
      <c r="G22" s="1613"/>
      <c r="Q22" s="1613"/>
      <c r="R22" s="1613"/>
      <c r="T22" s="2251" t="s">
        <v>83</v>
      </c>
      <c r="U22" s="50" t="s">
        <v>60</v>
      </c>
      <c r="V22" s="2262">
        <v>187900</v>
      </c>
      <c r="W22" s="2262"/>
      <c r="X22" s="2262"/>
      <c r="Y22" s="2269"/>
    </row>
    <row r="23" spans="1:25" ht="39.75" customHeight="1" x14ac:dyDescent="0.25">
      <c r="A23" s="1613"/>
      <c r="B23" s="2289"/>
      <c r="C23" s="2292"/>
      <c r="D23" s="2292"/>
      <c r="E23" s="2292"/>
      <c r="F23" s="2292"/>
      <c r="G23" s="1613"/>
      <c r="Q23" s="1613"/>
      <c r="R23" s="1613"/>
      <c r="T23" s="2252"/>
      <c r="U23" s="50" t="s">
        <v>61</v>
      </c>
      <c r="V23" s="2262">
        <v>100000</v>
      </c>
      <c r="W23" s="2262"/>
      <c r="X23" s="2262"/>
      <c r="Y23" s="2269"/>
    </row>
    <row r="24" spans="1:25" ht="48" customHeight="1" x14ac:dyDescent="0.25">
      <c r="A24" s="1613"/>
      <c r="B24" s="2290"/>
      <c r="C24" s="290" t="s">
        <v>46</v>
      </c>
      <c r="D24" s="290" t="s">
        <v>50</v>
      </c>
      <c r="E24" s="290" t="s">
        <v>51</v>
      </c>
      <c r="F24" s="290" t="s">
        <v>52</v>
      </c>
      <c r="G24" s="1613"/>
      <c r="Q24" s="1613"/>
      <c r="R24" s="1613"/>
      <c r="T24" s="2235" t="s">
        <v>47</v>
      </c>
      <c r="U24" s="51" t="s">
        <v>62</v>
      </c>
      <c r="V24" s="2263">
        <f>V14+V16+V17-V18-V19-V20-V22+V23-V21</f>
        <v>31366.059999999998</v>
      </c>
      <c r="W24" s="2263"/>
      <c r="X24" s="2263"/>
      <c r="Y24" s="2269"/>
    </row>
    <row r="25" spans="1:25" ht="40.5" customHeight="1" x14ac:dyDescent="0.25">
      <c r="T25" s="2235"/>
      <c r="U25" s="51" t="s">
        <v>63</v>
      </c>
      <c r="V25" s="2262">
        <f>V15+V22-V23</f>
        <v>110922</v>
      </c>
      <c r="W25" s="2262"/>
      <c r="X25" s="2262"/>
    </row>
    <row r="26" spans="1:25" ht="36" customHeight="1" x14ac:dyDescent="0.25">
      <c r="K26" s="314"/>
    </row>
    <row r="28" spans="1:25" x14ac:dyDescent="0.25">
      <c r="J28" s="14" t="s">
        <v>139</v>
      </c>
    </row>
    <row r="32" spans="1:25" x14ac:dyDescent="0.25">
      <c r="I32" s="2280"/>
      <c r="J32" s="2280"/>
      <c r="K32" s="2280"/>
      <c r="L32" s="2280"/>
    </row>
    <row r="33" spans="9:12" x14ac:dyDescent="0.25">
      <c r="I33" s="1613"/>
      <c r="J33" s="1613"/>
      <c r="K33" s="2280"/>
      <c r="L33" s="2280"/>
    </row>
  </sheetData>
  <mergeCells count="62">
    <mergeCell ref="I32:J32"/>
    <mergeCell ref="K32:L32"/>
    <mergeCell ref="K33:L33"/>
    <mergeCell ref="T22:T23"/>
    <mergeCell ref="V22:X22"/>
    <mergeCell ref="V23:X23"/>
    <mergeCell ref="T24:T25"/>
    <mergeCell ref="V24:X24"/>
    <mergeCell ref="V25:X25"/>
    <mergeCell ref="Y18:Y24"/>
    <mergeCell ref="B19:C19"/>
    <mergeCell ref="Q19:R19"/>
    <mergeCell ref="T19:T20"/>
    <mergeCell ref="V19:X19"/>
    <mergeCell ref="B20:C20"/>
    <mergeCell ref="B22:B24"/>
    <mergeCell ref="C22:C23"/>
    <mergeCell ref="D22:D23"/>
    <mergeCell ref="E22:E23"/>
    <mergeCell ref="F22:F23"/>
    <mergeCell ref="Q20:R20"/>
    <mergeCell ref="V20:X20"/>
    <mergeCell ref="B21:C21"/>
    <mergeCell ref="T21:U21"/>
    <mergeCell ref="V21:X21"/>
    <mergeCell ref="B17:C17"/>
    <mergeCell ref="Q17:R17"/>
    <mergeCell ref="T17:U17"/>
    <mergeCell ref="V17:X17"/>
    <mergeCell ref="B18:C18"/>
    <mergeCell ref="Q18:R18"/>
    <mergeCell ref="T18:U18"/>
    <mergeCell ref="V18:X18"/>
    <mergeCell ref="W4:X4"/>
    <mergeCell ref="B16:C16"/>
    <mergeCell ref="Q16:R16"/>
    <mergeCell ref="T16:U16"/>
    <mergeCell ref="V16:X16"/>
    <mergeCell ref="A12:B12"/>
    <mergeCell ref="B14:C14"/>
    <mergeCell ref="Q14:R14"/>
    <mergeCell ref="T14:T15"/>
    <mergeCell ref="V14:X14"/>
    <mergeCell ref="B15:C15"/>
    <mergeCell ref="Q15:R15"/>
    <mergeCell ref="V15:X15"/>
    <mergeCell ref="A1:Y1"/>
    <mergeCell ref="A2:Y2"/>
    <mergeCell ref="T3:Y3"/>
    <mergeCell ref="A4:A5"/>
    <mergeCell ref="B4:B5"/>
    <mergeCell ref="C4:D4"/>
    <mergeCell ref="E4:F4"/>
    <mergeCell ref="G4:H4"/>
    <mergeCell ref="I4:J4"/>
    <mergeCell ref="K4:L4"/>
    <mergeCell ref="Y4:Y5"/>
    <mergeCell ref="M4:N4"/>
    <mergeCell ref="O4:P4"/>
    <mergeCell ref="Q4:R4"/>
    <mergeCell ref="S4:T4"/>
    <mergeCell ref="U4:V4"/>
  </mergeCells>
  <pageMargins left="0.15748031496063" right="0.15748031496063" top="0" bottom="0" header="0" footer="0"/>
  <pageSetup paperSize="9" scale="46" orientation="landscape" r:id="rId1"/>
</worksheet>
</file>

<file path=xl/worksheets/sheet26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0EE62F1-AD41-457E-935E-60EB36F474E7}">
  <sheetPr>
    <pageSetUpPr fitToPage="1"/>
  </sheetPr>
  <dimension ref="A1:Y33"/>
  <sheetViews>
    <sheetView topLeftCell="A4" zoomScale="70" zoomScaleNormal="70" zoomScaleSheetLayoutView="100" zoomScalePageLayoutView="68" workbookViewId="0">
      <selection activeCell="K23" sqref="K23"/>
    </sheetView>
  </sheetViews>
  <sheetFormatPr defaultColWidth="9.140625" defaultRowHeight="15" x14ac:dyDescent="0.25"/>
  <cols>
    <col min="1" max="1" width="18.28515625" style="14" customWidth="1"/>
    <col min="2" max="2" width="10.7109375" style="14" customWidth="1"/>
    <col min="3" max="3" width="12.28515625" style="14" customWidth="1"/>
    <col min="4" max="4" width="13.140625" style="14" bestFit="1" customWidth="1"/>
    <col min="5" max="5" width="12" style="14" customWidth="1"/>
    <col min="6" max="6" width="14" style="14" bestFit="1" customWidth="1"/>
    <col min="7" max="7" width="16" style="14" bestFit="1" customWidth="1"/>
    <col min="8" max="8" width="10.140625" style="14" bestFit="1" customWidth="1"/>
    <col min="9" max="9" width="10.5703125" style="14" bestFit="1" customWidth="1"/>
    <col min="10" max="10" width="10.5703125" style="14" customWidth="1"/>
    <col min="11" max="11" width="10.28515625" style="14" bestFit="1" customWidth="1"/>
    <col min="12" max="12" width="10.42578125" style="14" bestFit="1" customWidth="1"/>
    <col min="13" max="14" width="12" style="14" bestFit="1" customWidth="1"/>
    <col min="15" max="15" width="11" style="14" customWidth="1"/>
    <col min="16" max="16" width="12.85546875" style="14" bestFit="1" customWidth="1"/>
    <col min="17" max="18" width="9.42578125" style="14" customWidth="1"/>
    <col min="19" max="19" width="13.7109375" style="14" customWidth="1"/>
    <col min="20" max="20" width="12.140625" style="14" customWidth="1"/>
    <col min="21" max="21" width="21.7109375" style="14" customWidth="1"/>
    <col min="22" max="22" width="9.85546875" style="14" customWidth="1"/>
    <col min="23" max="23" width="10.140625" style="14" bestFit="1" customWidth="1"/>
    <col min="24" max="24" width="10.28515625" style="14" customWidth="1"/>
    <col min="25" max="25" width="15.7109375" style="14" customWidth="1"/>
    <col min="26" max="16384" width="9.140625" style="14"/>
  </cols>
  <sheetData>
    <row r="1" spans="1:25" ht="46.15" customHeight="1" x14ac:dyDescent="0.25">
      <c r="A1" s="2240" t="s">
        <v>148</v>
      </c>
      <c r="B1" s="2240"/>
      <c r="C1" s="2240"/>
      <c r="D1" s="2240"/>
      <c r="E1" s="2240"/>
      <c r="F1" s="2240"/>
      <c r="G1" s="2240"/>
      <c r="H1" s="2240"/>
      <c r="I1" s="2240"/>
      <c r="J1" s="2240"/>
      <c r="K1" s="2240"/>
      <c r="L1" s="2240"/>
      <c r="M1" s="2240"/>
      <c r="N1" s="2240"/>
      <c r="O1" s="2240"/>
      <c r="P1" s="2240"/>
      <c r="Q1" s="2240"/>
      <c r="R1" s="2240"/>
      <c r="S1" s="2240"/>
      <c r="T1" s="2240"/>
      <c r="U1" s="2240"/>
      <c r="V1" s="2240"/>
      <c r="W1" s="2240"/>
      <c r="X1" s="2240"/>
      <c r="Y1" s="2240"/>
    </row>
    <row r="2" spans="1:25" ht="21.6" customHeight="1" x14ac:dyDescent="0.25">
      <c r="A2" s="2241" t="s">
        <v>383</v>
      </c>
      <c r="B2" s="2241"/>
      <c r="C2" s="2241"/>
      <c r="D2" s="2241"/>
      <c r="E2" s="2241"/>
      <c r="F2" s="2241"/>
      <c r="G2" s="2241"/>
      <c r="H2" s="2241"/>
      <c r="I2" s="2241"/>
      <c r="J2" s="2241"/>
      <c r="K2" s="2241"/>
      <c r="L2" s="2241"/>
      <c r="M2" s="2241"/>
      <c r="N2" s="2241"/>
      <c r="O2" s="2241"/>
      <c r="P2" s="2241"/>
      <c r="Q2" s="2241"/>
      <c r="R2" s="2241"/>
      <c r="S2" s="2241"/>
      <c r="T2" s="2241"/>
      <c r="U2" s="2241"/>
      <c r="V2" s="2241"/>
      <c r="W2" s="2241"/>
      <c r="X2" s="2241"/>
      <c r="Y2" s="2241"/>
    </row>
    <row r="3" spans="1:25" ht="21" customHeight="1" x14ac:dyDescent="0.25">
      <c r="A3" s="1619"/>
      <c r="B3" s="1619"/>
      <c r="C3" s="1619"/>
      <c r="D3" s="1619"/>
      <c r="E3" s="1619"/>
      <c r="F3" s="1619"/>
      <c r="G3" s="1619"/>
      <c r="H3" s="1619"/>
      <c r="I3" s="1619"/>
      <c r="J3" s="1619"/>
      <c r="K3" s="1619"/>
      <c r="L3" s="1619"/>
      <c r="M3" s="1619"/>
      <c r="N3" s="1619"/>
      <c r="O3" s="1619"/>
      <c r="P3" s="1619"/>
      <c r="Q3" s="1619"/>
      <c r="R3" s="1619"/>
      <c r="S3" s="1619"/>
      <c r="T3" s="2242" t="s">
        <v>512</v>
      </c>
      <c r="U3" s="2242"/>
      <c r="V3" s="2242"/>
      <c r="W3" s="2242"/>
      <c r="X3" s="2242"/>
      <c r="Y3" s="2242"/>
    </row>
    <row r="4" spans="1:25" s="1619" customFormat="1" ht="18" customHeight="1" x14ac:dyDescent="0.25">
      <c r="A4" s="2243" t="s">
        <v>25</v>
      </c>
      <c r="B4" s="2243" t="s">
        <v>26</v>
      </c>
      <c r="C4" s="2244" t="s">
        <v>27</v>
      </c>
      <c r="D4" s="2244"/>
      <c r="E4" s="2244" t="s">
        <v>342</v>
      </c>
      <c r="F4" s="2244"/>
      <c r="G4" s="2244" t="s">
        <v>65</v>
      </c>
      <c r="H4" s="2244"/>
      <c r="I4" s="2244" t="s">
        <v>29</v>
      </c>
      <c r="J4" s="2244"/>
      <c r="K4" s="2245" t="s">
        <v>14</v>
      </c>
      <c r="L4" s="2246"/>
      <c r="M4" s="2245" t="s">
        <v>429</v>
      </c>
      <c r="N4" s="2246"/>
      <c r="O4" s="2245" t="s">
        <v>441</v>
      </c>
      <c r="P4" s="2246"/>
      <c r="Q4" s="2245" t="s">
        <v>114</v>
      </c>
      <c r="R4" s="2246"/>
      <c r="S4" s="2244" t="s">
        <v>35</v>
      </c>
      <c r="T4" s="2244"/>
      <c r="U4" s="2245" t="s">
        <v>17</v>
      </c>
      <c r="V4" s="2246"/>
      <c r="W4" s="2247" t="s">
        <v>36</v>
      </c>
      <c r="X4" s="2248"/>
      <c r="Y4" s="2238" t="s">
        <v>30</v>
      </c>
    </row>
    <row r="5" spans="1:25" s="1619" customFormat="1" ht="25.5" customHeight="1" x14ac:dyDescent="0.25">
      <c r="A5" s="2243"/>
      <c r="B5" s="2243"/>
      <c r="C5" s="1618" t="s">
        <v>42</v>
      </c>
      <c r="D5" s="1618" t="s">
        <v>43</v>
      </c>
      <c r="E5" s="1618" t="s">
        <v>42</v>
      </c>
      <c r="F5" s="1618" t="s">
        <v>43</v>
      </c>
      <c r="G5" s="1618" t="s">
        <v>42</v>
      </c>
      <c r="H5" s="1618" t="s">
        <v>43</v>
      </c>
      <c r="I5" s="1618" t="s">
        <v>42</v>
      </c>
      <c r="J5" s="1618" t="s">
        <v>43</v>
      </c>
      <c r="K5" s="1618" t="s">
        <v>42</v>
      </c>
      <c r="L5" s="1618" t="s">
        <v>43</v>
      </c>
      <c r="M5" s="1618" t="s">
        <v>42</v>
      </c>
      <c r="N5" s="1618" t="s">
        <v>43</v>
      </c>
      <c r="O5" s="1618" t="s">
        <v>42</v>
      </c>
      <c r="P5" s="1618" t="s">
        <v>43</v>
      </c>
      <c r="Q5" s="1618" t="s">
        <v>42</v>
      </c>
      <c r="R5" s="1618" t="s">
        <v>43</v>
      </c>
      <c r="S5" s="33" t="s">
        <v>42</v>
      </c>
      <c r="T5" s="33" t="s">
        <v>43</v>
      </c>
      <c r="U5" s="30" t="s">
        <v>42</v>
      </c>
      <c r="V5" s="30" t="s">
        <v>43</v>
      </c>
      <c r="W5" s="30" t="s">
        <v>42</v>
      </c>
      <c r="X5" s="30" t="s">
        <v>43</v>
      </c>
      <c r="Y5" s="2239"/>
    </row>
    <row r="6" spans="1:25" ht="34.5" customHeight="1" x14ac:dyDescent="0.25">
      <c r="A6" s="12">
        <v>1409935200</v>
      </c>
      <c r="B6" s="1617" t="s">
        <v>71</v>
      </c>
      <c r="C6" s="1615">
        <v>44538</v>
      </c>
      <c r="D6" s="1614">
        <f t="shared" ref="D6:D11" si="0">0.9725*C6</f>
        <v>43313.205000000002</v>
      </c>
      <c r="E6" s="1615"/>
      <c r="F6" s="1614">
        <f>67.1*E6</f>
        <v>0</v>
      </c>
      <c r="G6" s="1615"/>
      <c r="H6" s="1615">
        <f>28.2*G6</f>
        <v>0</v>
      </c>
      <c r="I6" s="1615">
        <v>380</v>
      </c>
      <c r="J6" s="1615">
        <f>18.5*I6</f>
        <v>7030</v>
      </c>
      <c r="K6" s="1615"/>
      <c r="L6" s="1614">
        <f>28.2368*K6</f>
        <v>0</v>
      </c>
      <c r="M6" s="1615"/>
      <c r="N6" s="1614">
        <f>M6*47.6525</f>
        <v>0</v>
      </c>
      <c r="O6" s="1615"/>
      <c r="P6" s="1614">
        <f>O6*8.9</f>
        <v>0</v>
      </c>
      <c r="Q6" s="1614"/>
      <c r="R6" s="1614">
        <f>241*Q6</f>
        <v>0</v>
      </c>
      <c r="S6" s="1615"/>
      <c r="T6" s="1615">
        <f>241*S6</f>
        <v>0</v>
      </c>
      <c r="U6" s="1615"/>
      <c r="V6" s="1615">
        <f>332*U6</f>
        <v>0</v>
      </c>
      <c r="W6" s="1615"/>
      <c r="X6" s="19">
        <f>W6*100</f>
        <v>0</v>
      </c>
      <c r="Y6" s="20">
        <f t="shared" ref="Y6:Y12" si="1">D6+F6+H6+J6+L6+N6+P6+R6+T6+V6+X6</f>
        <v>50343.205000000002</v>
      </c>
    </row>
    <row r="7" spans="1:25" ht="31.5" customHeight="1" x14ac:dyDescent="0.25">
      <c r="A7" s="12">
        <v>1984225578</v>
      </c>
      <c r="B7" s="1617" t="s">
        <v>509</v>
      </c>
      <c r="C7" s="1615">
        <v>18393</v>
      </c>
      <c r="D7" s="1614">
        <f t="shared" si="0"/>
        <v>17887.192500000001</v>
      </c>
      <c r="E7" s="1615"/>
      <c r="F7" s="1615">
        <f t="shared" ref="F7:F11" si="2">67.1*E7</f>
        <v>0</v>
      </c>
      <c r="G7" s="1615"/>
      <c r="H7" s="1615">
        <f t="shared" ref="H7:H11" si="3">28.2*G7</f>
        <v>0</v>
      </c>
      <c r="I7" s="1615">
        <v>30</v>
      </c>
      <c r="J7" s="1615">
        <f t="shared" ref="J7:J11" si="4">18.5*I7</f>
        <v>555</v>
      </c>
      <c r="K7" s="1615"/>
      <c r="L7" s="1614">
        <f t="shared" ref="L7:L11" si="5">28.2368*K7</f>
        <v>0</v>
      </c>
      <c r="M7" s="1615"/>
      <c r="N7" s="1614">
        <f t="shared" ref="N7:N11" si="6">M7*47.6525</f>
        <v>0</v>
      </c>
      <c r="O7" s="1615"/>
      <c r="P7" s="1614">
        <f t="shared" ref="P7:P11" si="7">O7*8.9</f>
        <v>0</v>
      </c>
      <c r="Q7" s="1614"/>
      <c r="R7" s="1614">
        <f t="shared" ref="R7:R11" si="8">241*Q7</f>
        <v>0</v>
      </c>
      <c r="S7" s="1615"/>
      <c r="T7" s="1615">
        <f t="shared" ref="T7:T10" si="9">241*S7</f>
        <v>0</v>
      </c>
      <c r="U7" s="1615"/>
      <c r="V7" s="1615">
        <f t="shared" ref="V7:V11" si="10">332*U7</f>
        <v>0</v>
      </c>
      <c r="W7" s="1615"/>
      <c r="X7" s="19">
        <f t="shared" ref="X7:X11" si="11">W7*100</f>
        <v>0</v>
      </c>
      <c r="Y7" s="20">
        <f t="shared" si="1"/>
        <v>18442.192500000001</v>
      </c>
    </row>
    <row r="8" spans="1:25" ht="35.25" customHeight="1" x14ac:dyDescent="0.25">
      <c r="A8" s="12">
        <v>1967020280</v>
      </c>
      <c r="B8" s="1617" t="s">
        <v>427</v>
      </c>
      <c r="C8" s="1615">
        <v>29033</v>
      </c>
      <c r="D8" s="1614">
        <f t="shared" si="0"/>
        <v>28234.592500000002</v>
      </c>
      <c r="E8" s="1615"/>
      <c r="F8" s="1615">
        <f t="shared" si="2"/>
        <v>0</v>
      </c>
      <c r="G8" s="1615"/>
      <c r="H8" s="1614">
        <f t="shared" si="3"/>
        <v>0</v>
      </c>
      <c r="I8" s="1615">
        <v>330</v>
      </c>
      <c r="J8" s="1615">
        <f t="shared" si="4"/>
        <v>6105</v>
      </c>
      <c r="K8" s="1615"/>
      <c r="L8" s="1614">
        <f t="shared" si="5"/>
        <v>0</v>
      </c>
      <c r="M8" s="1615"/>
      <c r="N8" s="1614">
        <f t="shared" si="6"/>
        <v>0</v>
      </c>
      <c r="O8" s="1615"/>
      <c r="P8" s="1614">
        <f t="shared" si="7"/>
        <v>0</v>
      </c>
      <c r="Q8" s="1614"/>
      <c r="R8" s="1614">
        <f t="shared" si="8"/>
        <v>0</v>
      </c>
      <c r="S8" s="1615"/>
      <c r="T8" s="1615">
        <f t="shared" si="9"/>
        <v>0</v>
      </c>
      <c r="U8" s="1615"/>
      <c r="V8" s="1615">
        <f t="shared" si="10"/>
        <v>0</v>
      </c>
      <c r="W8" s="1615"/>
      <c r="X8" s="19">
        <f t="shared" si="11"/>
        <v>0</v>
      </c>
      <c r="Y8" s="20">
        <f t="shared" si="1"/>
        <v>34339.592499999999</v>
      </c>
    </row>
    <row r="9" spans="1:25" ht="38.25" customHeight="1" x14ac:dyDescent="0.25">
      <c r="A9" s="12">
        <v>1984225580</v>
      </c>
      <c r="B9" s="1617" t="s">
        <v>75</v>
      </c>
      <c r="C9" s="1615">
        <v>30398</v>
      </c>
      <c r="D9" s="1614">
        <f t="shared" si="0"/>
        <v>29562.055</v>
      </c>
      <c r="E9" s="1615"/>
      <c r="F9" s="1615">
        <f t="shared" si="2"/>
        <v>0</v>
      </c>
      <c r="G9" s="1615"/>
      <c r="H9" s="1615">
        <f t="shared" si="3"/>
        <v>0</v>
      </c>
      <c r="I9" s="1615">
        <v>440</v>
      </c>
      <c r="J9" s="1615">
        <f t="shared" si="4"/>
        <v>8140</v>
      </c>
      <c r="K9" s="1615"/>
      <c r="L9" s="1614">
        <f t="shared" si="5"/>
        <v>0</v>
      </c>
      <c r="M9" s="1615"/>
      <c r="N9" s="1614">
        <f t="shared" si="6"/>
        <v>0</v>
      </c>
      <c r="O9" s="1615"/>
      <c r="P9" s="1614">
        <f t="shared" si="7"/>
        <v>0</v>
      </c>
      <c r="Q9" s="1614"/>
      <c r="R9" s="1614">
        <f t="shared" si="8"/>
        <v>0</v>
      </c>
      <c r="S9" s="1615"/>
      <c r="T9" s="1615">
        <f t="shared" si="9"/>
        <v>0</v>
      </c>
      <c r="U9" s="1615"/>
      <c r="V9" s="1615">
        <f t="shared" si="10"/>
        <v>0</v>
      </c>
      <c r="W9" s="1615"/>
      <c r="X9" s="19">
        <f t="shared" si="11"/>
        <v>0</v>
      </c>
      <c r="Y9" s="20">
        <f t="shared" si="1"/>
        <v>37702.055</v>
      </c>
    </row>
    <row r="10" spans="1:25" ht="35.25" customHeight="1" x14ac:dyDescent="0.25">
      <c r="A10" s="12">
        <v>1409935199</v>
      </c>
      <c r="C10" s="1615"/>
      <c r="D10" s="1614">
        <f t="shared" si="0"/>
        <v>0</v>
      </c>
      <c r="E10" s="1615"/>
      <c r="F10" s="1615">
        <f t="shared" si="2"/>
        <v>0</v>
      </c>
      <c r="G10" s="1615"/>
      <c r="H10" s="1615">
        <f t="shared" si="3"/>
        <v>0</v>
      </c>
      <c r="I10" s="1615"/>
      <c r="J10" s="1615">
        <f t="shared" si="4"/>
        <v>0</v>
      </c>
      <c r="K10" s="1615"/>
      <c r="L10" s="1614">
        <f t="shared" si="5"/>
        <v>0</v>
      </c>
      <c r="M10" s="1615"/>
      <c r="N10" s="1614">
        <f t="shared" si="6"/>
        <v>0</v>
      </c>
      <c r="O10" s="1615"/>
      <c r="P10" s="1614">
        <f t="shared" si="7"/>
        <v>0</v>
      </c>
      <c r="Q10" s="1614"/>
      <c r="R10" s="1614">
        <f t="shared" si="8"/>
        <v>0</v>
      </c>
      <c r="S10" s="1615"/>
      <c r="T10" s="1615">
        <f t="shared" si="9"/>
        <v>0</v>
      </c>
      <c r="U10" s="1615"/>
      <c r="V10" s="1615">
        <f t="shared" si="10"/>
        <v>0</v>
      </c>
      <c r="W10" s="1615"/>
      <c r="X10" s="19">
        <f t="shared" si="11"/>
        <v>0</v>
      </c>
      <c r="Y10" s="20">
        <f t="shared" si="1"/>
        <v>0</v>
      </c>
    </row>
    <row r="11" spans="1:25" ht="37.5" customHeight="1" x14ac:dyDescent="0.25">
      <c r="A11" s="12"/>
      <c r="B11" s="1616"/>
      <c r="C11" s="1615"/>
      <c r="D11" s="1614">
        <f t="shared" si="0"/>
        <v>0</v>
      </c>
      <c r="E11" s="1615"/>
      <c r="F11" s="1615">
        <f t="shared" si="2"/>
        <v>0</v>
      </c>
      <c r="G11" s="1615"/>
      <c r="H11" s="1615">
        <f t="shared" si="3"/>
        <v>0</v>
      </c>
      <c r="I11" s="1615"/>
      <c r="J11" s="1615">
        <f t="shared" si="4"/>
        <v>0</v>
      </c>
      <c r="K11" s="1615"/>
      <c r="L11" s="1614">
        <f t="shared" si="5"/>
        <v>0</v>
      </c>
      <c r="M11" s="1615"/>
      <c r="N11" s="1614">
        <f t="shared" si="6"/>
        <v>0</v>
      </c>
      <c r="O11" s="1615"/>
      <c r="P11" s="1614">
        <f t="shared" si="7"/>
        <v>0</v>
      </c>
      <c r="Q11" s="1614"/>
      <c r="R11" s="1614">
        <f t="shared" si="8"/>
        <v>0</v>
      </c>
      <c r="S11" s="1615"/>
      <c r="T11" s="1615">
        <f>341*S11</f>
        <v>0</v>
      </c>
      <c r="U11" s="1615"/>
      <c r="V11" s="1615">
        <f t="shared" si="10"/>
        <v>0</v>
      </c>
      <c r="W11" s="1615"/>
      <c r="X11" s="19">
        <f t="shared" si="11"/>
        <v>0</v>
      </c>
      <c r="Y11" s="20">
        <f t="shared" si="1"/>
        <v>0</v>
      </c>
    </row>
    <row r="12" spans="1:25" ht="29.25" customHeight="1" x14ac:dyDescent="0.25">
      <c r="A12" s="2235" t="s">
        <v>31</v>
      </c>
      <c r="B12" s="2235"/>
      <c r="C12" s="18">
        <f t="shared" ref="C12:X12" si="12">SUM(C6:C11)</f>
        <v>122362</v>
      </c>
      <c r="D12" s="18">
        <f t="shared" si="12"/>
        <v>118997.04500000001</v>
      </c>
      <c r="E12" s="18">
        <f t="shared" si="12"/>
        <v>0</v>
      </c>
      <c r="F12" s="18">
        <f t="shared" si="12"/>
        <v>0</v>
      </c>
      <c r="G12" s="18">
        <f t="shared" si="12"/>
        <v>0</v>
      </c>
      <c r="H12" s="18">
        <f t="shared" si="12"/>
        <v>0</v>
      </c>
      <c r="I12" s="18">
        <f t="shared" si="12"/>
        <v>1180</v>
      </c>
      <c r="J12" s="18">
        <f t="shared" si="12"/>
        <v>21830</v>
      </c>
      <c r="K12" s="18">
        <f t="shared" si="12"/>
        <v>0</v>
      </c>
      <c r="L12" s="18">
        <f t="shared" si="12"/>
        <v>0</v>
      </c>
      <c r="M12" s="18">
        <f t="shared" si="12"/>
        <v>0</v>
      </c>
      <c r="N12" s="23">
        <f t="shared" si="12"/>
        <v>0</v>
      </c>
      <c r="O12" s="18">
        <f t="shared" si="12"/>
        <v>0</v>
      </c>
      <c r="P12" s="23">
        <f t="shared" si="12"/>
        <v>0</v>
      </c>
      <c r="Q12" s="23">
        <f t="shared" si="12"/>
        <v>0</v>
      </c>
      <c r="R12" s="23">
        <f>SUM(R6:R11)</f>
        <v>0</v>
      </c>
      <c r="S12" s="23">
        <f>SUM(S6:S11)</f>
        <v>0</v>
      </c>
      <c r="T12" s="18">
        <f t="shared" si="12"/>
        <v>0</v>
      </c>
      <c r="U12" s="18">
        <f t="shared" si="12"/>
        <v>0</v>
      </c>
      <c r="V12" s="18">
        <f t="shared" si="12"/>
        <v>0</v>
      </c>
      <c r="W12" s="18">
        <f t="shared" si="12"/>
        <v>0</v>
      </c>
      <c r="X12" s="18">
        <f t="shared" si="12"/>
        <v>0</v>
      </c>
      <c r="Y12" s="20">
        <f t="shared" si="1"/>
        <v>140827.04500000001</v>
      </c>
    </row>
    <row r="14" spans="1:25" ht="43.5" customHeight="1" x14ac:dyDescent="0.25">
      <c r="A14" s="30" t="s">
        <v>32</v>
      </c>
      <c r="B14" s="2236" t="s">
        <v>27</v>
      </c>
      <c r="C14" s="2236"/>
      <c r="D14" s="30" t="s">
        <v>333</v>
      </c>
      <c r="E14" s="30" t="s">
        <v>65</v>
      </c>
      <c r="F14" s="30" t="s">
        <v>34</v>
      </c>
      <c r="G14" s="30" t="s">
        <v>14</v>
      </c>
      <c r="H14" s="469" t="s">
        <v>173</v>
      </c>
      <c r="I14" s="30" t="s">
        <v>17</v>
      </c>
      <c r="J14" s="1623" t="s">
        <v>174</v>
      </c>
      <c r="K14" s="30" t="s">
        <v>36</v>
      </c>
      <c r="L14" s="1623" t="s">
        <v>403</v>
      </c>
      <c r="M14" s="30" t="s">
        <v>429</v>
      </c>
      <c r="N14" s="30" t="s">
        <v>442</v>
      </c>
      <c r="O14" s="1623" t="s">
        <v>114</v>
      </c>
      <c r="P14" s="30" t="s">
        <v>70</v>
      </c>
      <c r="Q14" s="2300" t="s">
        <v>479</v>
      </c>
      <c r="R14" s="2301"/>
      <c r="S14" s="1623" t="s">
        <v>401</v>
      </c>
      <c r="T14" s="2235" t="s">
        <v>46</v>
      </c>
      <c r="U14" s="1617" t="s">
        <v>176</v>
      </c>
      <c r="V14" s="2260">
        <v>31366</v>
      </c>
      <c r="W14" s="2268"/>
      <c r="X14" s="2261"/>
    </row>
    <row r="15" spans="1:25" ht="22.5" customHeight="1" x14ac:dyDescent="0.25">
      <c r="A15" s="100" t="s">
        <v>38</v>
      </c>
      <c r="B15" s="2260">
        <v>311346</v>
      </c>
      <c r="C15" s="2261"/>
      <c r="D15" s="1620">
        <v>0</v>
      </c>
      <c r="E15" s="1620">
        <v>0</v>
      </c>
      <c r="F15" s="1620">
        <v>11640</v>
      </c>
      <c r="G15" s="1620">
        <v>0</v>
      </c>
      <c r="H15" s="1620">
        <v>72</v>
      </c>
      <c r="I15" s="1620">
        <v>18</v>
      </c>
      <c r="J15" s="1620">
        <v>4</v>
      </c>
      <c r="K15" s="1620">
        <v>69</v>
      </c>
      <c r="L15" s="1620">
        <v>0</v>
      </c>
      <c r="M15" s="1620">
        <v>0</v>
      </c>
      <c r="N15" s="1620">
        <v>0</v>
      </c>
      <c r="O15" s="1620">
        <v>0</v>
      </c>
      <c r="P15" s="1620">
        <v>100</v>
      </c>
      <c r="Q15" s="2260">
        <v>10</v>
      </c>
      <c r="R15" s="2261"/>
      <c r="S15" s="1617">
        <v>2</v>
      </c>
      <c r="T15" s="2235"/>
      <c r="U15" s="1617" t="s">
        <v>64</v>
      </c>
      <c r="V15" s="2262">
        <v>110922</v>
      </c>
      <c r="W15" s="2262"/>
      <c r="X15" s="2262"/>
    </row>
    <row r="16" spans="1:25" ht="24.75" customHeight="1" x14ac:dyDescent="0.25">
      <c r="A16" s="100" t="s">
        <v>39</v>
      </c>
      <c r="B16" s="2260">
        <v>121558</v>
      </c>
      <c r="C16" s="2261"/>
      <c r="D16" s="1620"/>
      <c r="E16" s="1620"/>
      <c r="F16" s="1620"/>
      <c r="G16" s="1620"/>
      <c r="H16" s="1620"/>
      <c r="I16" s="1620"/>
      <c r="J16" s="1620"/>
      <c r="K16" s="1620"/>
      <c r="L16" s="1620"/>
      <c r="M16" s="1620"/>
      <c r="N16" s="1620"/>
      <c r="O16" s="1620"/>
      <c r="P16" s="1620"/>
      <c r="Q16" s="2262"/>
      <c r="R16" s="2262"/>
      <c r="S16" s="1620"/>
      <c r="T16" s="2254" t="s">
        <v>55</v>
      </c>
      <c r="U16" s="2254"/>
      <c r="V16" s="2267">
        <f>Y12</f>
        <v>140827.04500000001</v>
      </c>
      <c r="W16" s="2267"/>
      <c r="X16" s="2262"/>
    </row>
    <row r="17" spans="1:25" ht="28.5" customHeight="1" x14ac:dyDescent="0.25">
      <c r="A17" s="101" t="s">
        <v>44</v>
      </c>
      <c r="B17" s="2260"/>
      <c r="C17" s="2261"/>
      <c r="D17" s="1620"/>
      <c r="E17" s="1620"/>
      <c r="F17" s="1620"/>
      <c r="G17" s="1620"/>
      <c r="H17" s="1620"/>
      <c r="I17" s="1620"/>
      <c r="J17" s="1620"/>
      <c r="K17" s="1620"/>
      <c r="L17" s="1620"/>
      <c r="M17" s="1620"/>
      <c r="N17" s="1620"/>
      <c r="O17" s="1620"/>
      <c r="P17" s="1620"/>
      <c r="Q17" s="2225"/>
      <c r="R17" s="2225"/>
      <c r="S17" s="1616"/>
      <c r="T17" s="2294" t="s">
        <v>473</v>
      </c>
      <c r="U17" s="2295"/>
      <c r="V17" s="2296"/>
      <c r="W17" s="2296"/>
      <c r="X17" s="2296"/>
    </row>
    <row r="18" spans="1:25" ht="27" customHeight="1" x14ac:dyDescent="0.25">
      <c r="A18" s="100" t="s">
        <v>40</v>
      </c>
      <c r="B18" s="2264">
        <f>C12</f>
        <v>122362</v>
      </c>
      <c r="C18" s="2261"/>
      <c r="D18" s="1622">
        <f>E12</f>
        <v>0</v>
      </c>
      <c r="E18" s="1622">
        <f>G12</f>
        <v>0</v>
      </c>
      <c r="F18" s="1622">
        <f>I12</f>
        <v>1180</v>
      </c>
      <c r="G18" s="1622">
        <f>K12</f>
        <v>0</v>
      </c>
      <c r="H18" s="1620"/>
      <c r="I18" s="1622">
        <f>U12</f>
        <v>0</v>
      </c>
      <c r="J18" s="1620"/>
      <c r="K18" s="1622">
        <f>W12</f>
        <v>0</v>
      </c>
      <c r="L18" s="1620"/>
      <c r="M18" s="1622">
        <f>M12</f>
        <v>0</v>
      </c>
      <c r="N18" s="1622">
        <f>O12</f>
        <v>0</v>
      </c>
      <c r="O18" s="1621">
        <f>Q12</f>
        <v>0</v>
      </c>
      <c r="P18" s="1622"/>
      <c r="Q18" s="2262"/>
      <c r="R18" s="2262"/>
      <c r="S18" s="1617"/>
      <c r="T18" s="2254" t="s">
        <v>57</v>
      </c>
      <c r="U18" s="2254"/>
      <c r="V18" s="2262">
        <v>520</v>
      </c>
      <c r="W18" s="2262"/>
      <c r="X18" s="2262"/>
      <c r="Y18" s="2269"/>
    </row>
    <row r="19" spans="1:25" ht="25.5" customHeight="1" x14ac:dyDescent="0.25">
      <c r="A19" s="100" t="s">
        <v>41</v>
      </c>
      <c r="B19" s="2260">
        <f>B15+B16+B17-B18</f>
        <v>310542</v>
      </c>
      <c r="C19" s="2261"/>
      <c r="D19" s="1620">
        <f>D15+D16+D17-D18</f>
        <v>0</v>
      </c>
      <c r="E19" s="1620">
        <f t="shared" ref="E19:N19" si="13">E15+E16+E17-E18</f>
        <v>0</v>
      </c>
      <c r="F19" s="1620">
        <f t="shared" si="13"/>
        <v>10460</v>
      </c>
      <c r="G19" s="1620">
        <f t="shared" si="13"/>
        <v>0</v>
      </c>
      <c r="H19" s="1620">
        <f t="shared" si="13"/>
        <v>72</v>
      </c>
      <c r="I19" s="1620">
        <f t="shared" si="13"/>
        <v>18</v>
      </c>
      <c r="J19" s="1620">
        <f t="shared" si="13"/>
        <v>4</v>
      </c>
      <c r="K19" s="1620">
        <f t="shared" si="13"/>
        <v>69</v>
      </c>
      <c r="L19" s="1620">
        <f t="shared" si="13"/>
        <v>0</v>
      </c>
      <c r="M19" s="1620">
        <f t="shared" si="13"/>
        <v>0</v>
      </c>
      <c r="N19" s="1620">
        <f t="shared" si="13"/>
        <v>0</v>
      </c>
      <c r="O19" s="1620">
        <f>O15+O16+O17-O18</f>
        <v>0</v>
      </c>
      <c r="P19" s="1620">
        <f t="shared" ref="P19:Q19" si="14">P15+P16+P17-P18</f>
        <v>100</v>
      </c>
      <c r="Q19" s="2260">
        <f t="shared" si="14"/>
        <v>10</v>
      </c>
      <c r="R19" s="2261"/>
      <c r="S19" s="1617">
        <f>S15+S16-S17-S18</f>
        <v>2</v>
      </c>
      <c r="T19" s="2256" t="s">
        <v>48</v>
      </c>
      <c r="U19" s="49" t="s">
        <v>58</v>
      </c>
      <c r="V19" s="2262">
        <v>178550</v>
      </c>
      <c r="W19" s="2262"/>
      <c r="X19" s="2262"/>
      <c r="Y19" s="2269"/>
    </row>
    <row r="20" spans="1:25" ht="23.25" customHeight="1" x14ac:dyDescent="0.25">
      <c r="A20" s="289" t="s">
        <v>187</v>
      </c>
      <c r="B20" s="2286">
        <f>B19*0.9625</f>
        <v>298896.67499999999</v>
      </c>
      <c r="C20" s="2287"/>
      <c r="D20" s="290">
        <f>D19*66.41</f>
        <v>0</v>
      </c>
      <c r="E20" s="290">
        <f>27.9368*E19</f>
        <v>0</v>
      </c>
      <c r="F20" s="290">
        <f>18.31*F19</f>
        <v>191522.59999999998</v>
      </c>
      <c r="G20" s="290">
        <f>27.9368*G19</f>
        <v>0</v>
      </c>
      <c r="H20" s="290">
        <f>241*H19</f>
        <v>17352</v>
      </c>
      <c r="I20" s="290">
        <f>323*I19</f>
        <v>5814</v>
      </c>
      <c r="J20" s="290">
        <f>241*J19</f>
        <v>964</v>
      </c>
      <c r="K20" s="290">
        <f>K19*100</f>
        <v>6900</v>
      </c>
      <c r="L20" s="290">
        <f>241*L19</f>
        <v>0</v>
      </c>
      <c r="M20" s="290">
        <f>47.1625*M19</f>
        <v>0</v>
      </c>
      <c r="N20" s="290">
        <f>N19*8.81</f>
        <v>0</v>
      </c>
      <c r="O20" s="290">
        <f>241*O19</f>
        <v>0</v>
      </c>
      <c r="P20" s="290">
        <f>P19*48.2</f>
        <v>4820</v>
      </c>
      <c r="Q20" s="2286">
        <f>470*Q19</f>
        <v>4700</v>
      </c>
      <c r="R20" s="2287"/>
      <c r="S20" s="290">
        <f>341*S19</f>
        <v>682</v>
      </c>
      <c r="T20" s="2257"/>
      <c r="U20" s="49" t="s">
        <v>59</v>
      </c>
      <c r="V20" s="2262"/>
      <c r="W20" s="2262"/>
      <c r="X20" s="2262"/>
      <c r="Y20" s="2269"/>
    </row>
    <row r="21" spans="1:25" ht="32.25" customHeight="1" x14ac:dyDescent="0.25">
      <c r="A21" s="291" t="s">
        <v>186</v>
      </c>
      <c r="B21" s="2293">
        <f>SUM(B20:S20)</f>
        <v>531651.27499999991</v>
      </c>
      <c r="C21" s="2293"/>
      <c r="O21" s="1624"/>
      <c r="P21" s="1624"/>
      <c r="Q21" s="1624"/>
      <c r="R21" s="1624"/>
      <c r="T21" s="2294" t="s">
        <v>487</v>
      </c>
      <c r="U21" s="2295"/>
      <c r="V21" s="2297"/>
      <c r="W21" s="2298"/>
      <c r="X21" s="2299"/>
      <c r="Y21" s="2269"/>
    </row>
    <row r="22" spans="1:25" ht="35.25" customHeight="1" x14ac:dyDescent="0.25">
      <c r="A22" s="15"/>
      <c r="B22" s="2288" t="s">
        <v>49</v>
      </c>
      <c r="C22" s="2291">
        <v>178550</v>
      </c>
      <c r="D22" s="2291">
        <v>178550</v>
      </c>
      <c r="E22" s="2291">
        <v>118000</v>
      </c>
      <c r="F22" s="2291">
        <f>C22-D22+E22</f>
        <v>118000</v>
      </c>
      <c r="G22" s="1624"/>
      <c r="Q22" s="1624"/>
      <c r="R22" s="1624"/>
      <c r="T22" s="2251" t="s">
        <v>83</v>
      </c>
      <c r="U22" s="50" t="s">
        <v>60</v>
      </c>
      <c r="V22" s="2262">
        <v>141690</v>
      </c>
      <c r="W22" s="2262"/>
      <c r="X22" s="2262"/>
      <c r="Y22" s="2269"/>
    </row>
    <row r="23" spans="1:25" ht="39.75" customHeight="1" x14ac:dyDescent="0.25">
      <c r="A23" s="1624"/>
      <c r="B23" s="2289"/>
      <c r="C23" s="2292"/>
      <c r="D23" s="2292"/>
      <c r="E23" s="2292"/>
      <c r="F23" s="2292"/>
      <c r="G23" s="1624"/>
      <c r="Q23" s="1624"/>
      <c r="R23" s="1624"/>
      <c r="T23" s="2252"/>
      <c r="U23" s="50" t="s">
        <v>61</v>
      </c>
      <c r="V23" s="2262">
        <v>178550</v>
      </c>
      <c r="W23" s="2262"/>
      <c r="X23" s="2262"/>
      <c r="Y23" s="2269"/>
    </row>
    <row r="24" spans="1:25" ht="48" customHeight="1" x14ac:dyDescent="0.25">
      <c r="A24" s="1624"/>
      <c r="B24" s="2290"/>
      <c r="C24" s="290" t="s">
        <v>46</v>
      </c>
      <c r="D24" s="290" t="s">
        <v>50</v>
      </c>
      <c r="E24" s="290" t="s">
        <v>51</v>
      </c>
      <c r="F24" s="290" t="s">
        <v>52</v>
      </c>
      <c r="G24" s="1624"/>
      <c r="Q24" s="1624"/>
      <c r="R24" s="1624"/>
      <c r="T24" s="2235" t="s">
        <v>47</v>
      </c>
      <c r="U24" s="51" t="s">
        <v>62</v>
      </c>
      <c r="V24" s="2263">
        <f>V14+V16+V17-V18-V19-V20-V22+V23-V21</f>
        <v>29983.045000000013</v>
      </c>
      <c r="W24" s="2263"/>
      <c r="X24" s="2263"/>
      <c r="Y24" s="2269"/>
    </row>
    <row r="25" spans="1:25" ht="40.5" customHeight="1" x14ac:dyDescent="0.25">
      <c r="T25" s="2235"/>
      <c r="U25" s="51" t="s">
        <v>63</v>
      </c>
      <c r="V25" s="2262">
        <f>V15+V22-V23</f>
        <v>74062</v>
      </c>
      <c r="W25" s="2262"/>
      <c r="X25" s="2262"/>
    </row>
    <row r="26" spans="1:25" ht="36" customHeight="1" x14ac:dyDescent="0.25">
      <c r="K26" s="314"/>
    </row>
    <row r="28" spans="1:25" x14ac:dyDescent="0.25">
      <c r="J28" s="14" t="s">
        <v>139</v>
      </c>
    </row>
    <row r="32" spans="1:25" x14ac:dyDescent="0.25">
      <c r="I32" s="2280"/>
      <c r="J32" s="2280"/>
      <c r="K32" s="2280"/>
      <c r="L32" s="2280"/>
    </row>
    <row r="33" spans="9:12" x14ac:dyDescent="0.25">
      <c r="I33" s="1624"/>
      <c r="J33" s="1624"/>
      <c r="K33" s="2280"/>
      <c r="L33" s="2280"/>
    </row>
  </sheetData>
  <mergeCells count="62">
    <mergeCell ref="A1:Y1"/>
    <mergeCell ref="A2:Y2"/>
    <mergeCell ref="T3:Y3"/>
    <mergeCell ref="A4:A5"/>
    <mergeCell ref="B4:B5"/>
    <mergeCell ref="C4:D4"/>
    <mergeCell ref="E4:F4"/>
    <mergeCell ref="G4:H4"/>
    <mergeCell ref="I4:J4"/>
    <mergeCell ref="K4:L4"/>
    <mergeCell ref="Y4:Y5"/>
    <mergeCell ref="M4:N4"/>
    <mergeCell ref="O4:P4"/>
    <mergeCell ref="Q4:R4"/>
    <mergeCell ref="S4:T4"/>
    <mergeCell ref="U4:V4"/>
    <mergeCell ref="W4:X4"/>
    <mergeCell ref="B16:C16"/>
    <mergeCell ref="Q16:R16"/>
    <mergeCell ref="T16:U16"/>
    <mergeCell ref="V16:X16"/>
    <mergeCell ref="A12:B12"/>
    <mergeCell ref="B14:C14"/>
    <mergeCell ref="Q14:R14"/>
    <mergeCell ref="T14:T15"/>
    <mergeCell ref="V14:X14"/>
    <mergeCell ref="B15:C15"/>
    <mergeCell ref="Q15:R15"/>
    <mergeCell ref="V15:X15"/>
    <mergeCell ref="B17:C17"/>
    <mergeCell ref="Q17:R17"/>
    <mergeCell ref="T17:U17"/>
    <mergeCell ref="V17:X17"/>
    <mergeCell ref="B18:C18"/>
    <mergeCell ref="Q18:R18"/>
    <mergeCell ref="T18:U18"/>
    <mergeCell ref="V18:X18"/>
    <mergeCell ref="Y18:Y24"/>
    <mergeCell ref="B19:C19"/>
    <mergeCell ref="Q19:R19"/>
    <mergeCell ref="T19:T20"/>
    <mergeCell ref="V19:X19"/>
    <mergeCell ref="B20:C20"/>
    <mergeCell ref="B22:B24"/>
    <mergeCell ref="C22:C23"/>
    <mergeCell ref="D22:D23"/>
    <mergeCell ref="E22:E23"/>
    <mergeCell ref="F22:F23"/>
    <mergeCell ref="Q20:R20"/>
    <mergeCell ref="V20:X20"/>
    <mergeCell ref="B21:C21"/>
    <mergeCell ref="T21:U21"/>
    <mergeCell ref="V21:X21"/>
    <mergeCell ref="I32:J32"/>
    <mergeCell ref="K32:L32"/>
    <mergeCell ref="K33:L33"/>
    <mergeCell ref="T22:T23"/>
    <mergeCell ref="V22:X22"/>
    <mergeCell ref="V23:X23"/>
    <mergeCell ref="T24:T25"/>
    <mergeCell ref="V24:X24"/>
    <mergeCell ref="V25:X25"/>
  </mergeCells>
  <pageMargins left="0.15748031496063" right="0.15748031496063" top="0" bottom="0" header="0" footer="0"/>
  <pageSetup paperSize="9" scale="46" orientation="landscape" r:id="rId1"/>
</worksheet>
</file>

<file path=xl/worksheets/sheet26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21B6E53-76A8-4315-86A8-88C7CCE7CC15}">
  <sheetPr>
    <pageSetUpPr fitToPage="1"/>
  </sheetPr>
  <dimension ref="A1:Y33"/>
  <sheetViews>
    <sheetView topLeftCell="A4" zoomScale="70" zoomScaleNormal="70" zoomScaleSheetLayoutView="100" zoomScalePageLayoutView="68" workbookViewId="0">
      <selection activeCell="K23" sqref="K23"/>
    </sheetView>
  </sheetViews>
  <sheetFormatPr defaultColWidth="9.140625" defaultRowHeight="15" x14ac:dyDescent="0.25"/>
  <cols>
    <col min="1" max="1" width="18.28515625" style="14" customWidth="1"/>
    <col min="2" max="2" width="10.7109375" style="14" customWidth="1"/>
    <col min="3" max="3" width="12.28515625" style="14" customWidth="1"/>
    <col min="4" max="4" width="13.140625" style="14" bestFit="1" customWidth="1"/>
    <col min="5" max="5" width="12" style="14" customWidth="1"/>
    <col min="6" max="6" width="14" style="14" bestFit="1" customWidth="1"/>
    <col min="7" max="7" width="16" style="14" bestFit="1" customWidth="1"/>
    <col min="8" max="8" width="10.140625" style="14" bestFit="1" customWidth="1"/>
    <col min="9" max="9" width="10.5703125" style="14" bestFit="1" customWidth="1"/>
    <col min="10" max="10" width="10.5703125" style="14" customWidth="1"/>
    <col min="11" max="11" width="10.28515625" style="14" bestFit="1" customWidth="1"/>
    <col min="12" max="12" width="10.42578125" style="14" bestFit="1" customWidth="1"/>
    <col min="13" max="14" width="12" style="14" bestFit="1" customWidth="1"/>
    <col min="15" max="15" width="11" style="14" customWidth="1"/>
    <col min="16" max="16" width="12.85546875" style="14" bestFit="1" customWidth="1"/>
    <col min="17" max="18" width="9.42578125" style="14" customWidth="1"/>
    <col min="19" max="19" width="13.7109375" style="14" customWidth="1"/>
    <col min="20" max="20" width="12.140625" style="14" customWidth="1"/>
    <col min="21" max="21" width="21.7109375" style="14" customWidth="1"/>
    <col min="22" max="22" width="9.85546875" style="14" customWidth="1"/>
    <col min="23" max="23" width="10.140625" style="14" bestFit="1" customWidth="1"/>
    <col min="24" max="24" width="10.28515625" style="14" customWidth="1"/>
    <col min="25" max="25" width="15.7109375" style="14" customWidth="1"/>
    <col min="26" max="16384" width="9.140625" style="14"/>
  </cols>
  <sheetData>
    <row r="1" spans="1:25" ht="46.15" customHeight="1" x14ac:dyDescent="0.25">
      <c r="A1" s="2240" t="s">
        <v>148</v>
      </c>
      <c r="B1" s="2240"/>
      <c r="C1" s="2240"/>
      <c r="D1" s="2240"/>
      <c r="E1" s="2240"/>
      <c r="F1" s="2240"/>
      <c r="G1" s="2240"/>
      <c r="H1" s="2240"/>
      <c r="I1" s="2240"/>
      <c r="J1" s="2240"/>
      <c r="K1" s="2240"/>
      <c r="L1" s="2240"/>
      <c r="M1" s="2240"/>
      <c r="N1" s="2240"/>
      <c r="O1" s="2240"/>
      <c r="P1" s="2240"/>
      <c r="Q1" s="2240"/>
      <c r="R1" s="2240"/>
      <c r="S1" s="2240"/>
      <c r="T1" s="2240"/>
      <c r="U1" s="2240"/>
      <c r="V1" s="2240"/>
      <c r="W1" s="2240"/>
      <c r="X1" s="2240"/>
      <c r="Y1" s="2240"/>
    </row>
    <row r="2" spans="1:25" ht="21.6" customHeight="1" x14ac:dyDescent="0.25">
      <c r="A2" s="2241" t="s">
        <v>383</v>
      </c>
      <c r="B2" s="2241"/>
      <c r="C2" s="2241"/>
      <c r="D2" s="2241"/>
      <c r="E2" s="2241"/>
      <c r="F2" s="2241"/>
      <c r="G2" s="2241"/>
      <c r="H2" s="2241"/>
      <c r="I2" s="2241"/>
      <c r="J2" s="2241"/>
      <c r="K2" s="2241"/>
      <c r="L2" s="2241"/>
      <c r="M2" s="2241"/>
      <c r="N2" s="2241"/>
      <c r="O2" s="2241"/>
      <c r="P2" s="2241"/>
      <c r="Q2" s="2241"/>
      <c r="R2" s="2241"/>
      <c r="S2" s="2241"/>
      <c r="T2" s="2241"/>
      <c r="U2" s="2241"/>
      <c r="V2" s="2241"/>
      <c r="W2" s="2241"/>
      <c r="X2" s="2241"/>
      <c r="Y2" s="2241"/>
    </row>
    <row r="3" spans="1:25" ht="21" customHeight="1" x14ac:dyDescent="0.25">
      <c r="A3" s="1619"/>
      <c r="B3" s="1619"/>
      <c r="C3" s="1619"/>
      <c r="D3" s="1619"/>
      <c r="E3" s="1619"/>
      <c r="F3" s="1619"/>
      <c r="G3" s="1619"/>
      <c r="H3" s="1619"/>
      <c r="I3" s="1619"/>
      <c r="J3" s="1619"/>
      <c r="K3" s="1619"/>
      <c r="L3" s="1619"/>
      <c r="M3" s="1619"/>
      <c r="N3" s="1619"/>
      <c r="O3" s="1619"/>
      <c r="P3" s="1619"/>
      <c r="Q3" s="1619"/>
      <c r="R3" s="1619"/>
      <c r="S3" s="1619"/>
      <c r="T3" s="2242" t="s">
        <v>513</v>
      </c>
      <c r="U3" s="2242"/>
      <c r="V3" s="2242"/>
      <c r="W3" s="2242"/>
      <c r="X3" s="2242"/>
      <c r="Y3" s="2242"/>
    </row>
    <row r="4" spans="1:25" s="1619" customFormat="1" ht="18" customHeight="1" x14ac:dyDescent="0.25">
      <c r="A4" s="2243" t="s">
        <v>25</v>
      </c>
      <c r="B4" s="2243" t="s">
        <v>26</v>
      </c>
      <c r="C4" s="2244" t="s">
        <v>27</v>
      </c>
      <c r="D4" s="2244"/>
      <c r="E4" s="2244" t="s">
        <v>342</v>
      </c>
      <c r="F4" s="2244"/>
      <c r="G4" s="2244" t="s">
        <v>65</v>
      </c>
      <c r="H4" s="2244"/>
      <c r="I4" s="2244" t="s">
        <v>29</v>
      </c>
      <c r="J4" s="2244"/>
      <c r="K4" s="2245" t="s">
        <v>14</v>
      </c>
      <c r="L4" s="2246"/>
      <c r="M4" s="2245" t="s">
        <v>429</v>
      </c>
      <c r="N4" s="2246"/>
      <c r="O4" s="2245" t="s">
        <v>441</v>
      </c>
      <c r="P4" s="2246"/>
      <c r="Q4" s="2245" t="s">
        <v>114</v>
      </c>
      <c r="R4" s="2246"/>
      <c r="S4" s="2244" t="s">
        <v>35</v>
      </c>
      <c r="T4" s="2244"/>
      <c r="U4" s="2245" t="s">
        <v>17</v>
      </c>
      <c r="V4" s="2246"/>
      <c r="W4" s="2247" t="s">
        <v>36</v>
      </c>
      <c r="X4" s="2248"/>
      <c r="Y4" s="2238" t="s">
        <v>30</v>
      </c>
    </row>
    <row r="5" spans="1:25" s="1619" customFormat="1" ht="25.5" customHeight="1" x14ac:dyDescent="0.25">
      <c r="A5" s="2243"/>
      <c r="B5" s="2243"/>
      <c r="C5" s="1618" t="s">
        <v>42</v>
      </c>
      <c r="D5" s="1618" t="s">
        <v>43</v>
      </c>
      <c r="E5" s="1618" t="s">
        <v>42</v>
      </c>
      <c r="F5" s="1618" t="s">
        <v>43</v>
      </c>
      <c r="G5" s="1618" t="s">
        <v>42</v>
      </c>
      <c r="H5" s="1618" t="s">
        <v>43</v>
      </c>
      <c r="I5" s="1618" t="s">
        <v>42</v>
      </c>
      <c r="J5" s="1618" t="s">
        <v>43</v>
      </c>
      <c r="K5" s="1618" t="s">
        <v>42</v>
      </c>
      <c r="L5" s="1618" t="s">
        <v>43</v>
      </c>
      <c r="M5" s="1618" t="s">
        <v>42</v>
      </c>
      <c r="N5" s="1618" t="s">
        <v>43</v>
      </c>
      <c r="O5" s="1618" t="s">
        <v>42</v>
      </c>
      <c r="P5" s="1618" t="s">
        <v>43</v>
      </c>
      <c r="Q5" s="1618" t="s">
        <v>42</v>
      </c>
      <c r="R5" s="1618" t="s">
        <v>43</v>
      </c>
      <c r="S5" s="33" t="s">
        <v>42</v>
      </c>
      <c r="T5" s="33" t="s">
        <v>43</v>
      </c>
      <c r="U5" s="30" t="s">
        <v>42</v>
      </c>
      <c r="V5" s="30" t="s">
        <v>43</v>
      </c>
      <c r="W5" s="30" t="s">
        <v>42</v>
      </c>
      <c r="X5" s="30" t="s">
        <v>43</v>
      </c>
      <c r="Y5" s="2239"/>
    </row>
    <row r="6" spans="1:25" ht="34.5" customHeight="1" x14ac:dyDescent="0.25">
      <c r="A6" s="12">
        <v>1409935200</v>
      </c>
      <c r="B6" s="1617" t="s">
        <v>71</v>
      </c>
      <c r="C6" s="1615">
        <v>53209</v>
      </c>
      <c r="D6" s="1614">
        <f t="shared" ref="D6:D11" si="0">0.9725*C6</f>
        <v>51745.752500000002</v>
      </c>
      <c r="E6" s="1615"/>
      <c r="F6" s="1614">
        <f>67.1*E6</f>
        <v>0</v>
      </c>
      <c r="G6" s="1615"/>
      <c r="H6" s="1615">
        <f>28.2*G6</f>
        <v>0</v>
      </c>
      <c r="I6" s="1615">
        <v>220</v>
      </c>
      <c r="J6" s="1615">
        <f>18.5*I6</f>
        <v>4070</v>
      </c>
      <c r="K6" s="1615"/>
      <c r="L6" s="1614">
        <f>28.2368*K6</f>
        <v>0</v>
      </c>
      <c r="M6" s="1615"/>
      <c r="N6" s="1614">
        <f>M6*47.6525</f>
        <v>0</v>
      </c>
      <c r="O6" s="1615"/>
      <c r="P6" s="1614">
        <f>O6*8.9</f>
        <v>0</v>
      </c>
      <c r="Q6" s="1614"/>
      <c r="R6" s="1614">
        <f>241*Q6</f>
        <v>0</v>
      </c>
      <c r="S6" s="1615"/>
      <c r="T6" s="1615">
        <f>241*S6</f>
        <v>0</v>
      </c>
      <c r="U6" s="1615">
        <v>3</v>
      </c>
      <c r="V6" s="1615">
        <f>332*U6</f>
        <v>996</v>
      </c>
      <c r="W6" s="1615"/>
      <c r="X6" s="19">
        <f>W6*100</f>
        <v>0</v>
      </c>
      <c r="Y6" s="20">
        <f t="shared" ref="Y6:Y12" si="1">D6+F6+H6+J6+L6+N6+P6+R6+T6+V6+X6</f>
        <v>56811.752500000002</v>
      </c>
    </row>
    <row r="7" spans="1:25" ht="31.5" customHeight="1" x14ac:dyDescent="0.25">
      <c r="A7" s="12">
        <v>1984225578</v>
      </c>
      <c r="B7" s="1617" t="s">
        <v>509</v>
      </c>
      <c r="C7" s="1615">
        <v>44431</v>
      </c>
      <c r="D7" s="1614">
        <f t="shared" si="0"/>
        <v>43209.147499999999</v>
      </c>
      <c r="E7" s="1615"/>
      <c r="F7" s="1615">
        <f t="shared" ref="F7:F11" si="2">67.1*E7</f>
        <v>0</v>
      </c>
      <c r="G7" s="1615"/>
      <c r="H7" s="1615">
        <f t="shared" ref="H7:H11" si="3">28.2*G7</f>
        <v>0</v>
      </c>
      <c r="I7" s="1615">
        <v>560</v>
      </c>
      <c r="J7" s="1615">
        <f t="shared" ref="J7:J11" si="4">18.5*I7</f>
        <v>10360</v>
      </c>
      <c r="K7" s="1615"/>
      <c r="L7" s="1614">
        <f t="shared" ref="L7:L11" si="5">28.2368*K7</f>
        <v>0</v>
      </c>
      <c r="M7" s="1615"/>
      <c r="N7" s="1614">
        <f t="shared" ref="N7:N11" si="6">M7*47.6525</f>
        <v>0</v>
      </c>
      <c r="O7" s="1615"/>
      <c r="P7" s="1614">
        <f t="shared" ref="P7:P11" si="7">O7*8.9</f>
        <v>0</v>
      </c>
      <c r="Q7" s="1614"/>
      <c r="R7" s="1614">
        <f t="shared" ref="R7:R11" si="8">241*Q7</f>
        <v>0</v>
      </c>
      <c r="S7" s="1615"/>
      <c r="T7" s="1615">
        <f t="shared" ref="T7:T10" si="9">241*S7</f>
        <v>0</v>
      </c>
      <c r="U7" s="1615">
        <v>12</v>
      </c>
      <c r="V7" s="1615">
        <f t="shared" ref="V7:V11" si="10">332*U7</f>
        <v>3984</v>
      </c>
      <c r="W7" s="1615"/>
      <c r="X7" s="19">
        <f t="shared" ref="X7:X11" si="11">W7*100</f>
        <v>0</v>
      </c>
      <c r="Y7" s="20">
        <f t="shared" si="1"/>
        <v>57553.147499999999</v>
      </c>
    </row>
    <row r="8" spans="1:25" ht="35.25" customHeight="1" x14ac:dyDescent="0.25">
      <c r="A8" s="12">
        <v>1967020280</v>
      </c>
      <c r="B8" s="1617" t="s">
        <v>427</v>
      </c>
      <c r="C8" s="1615">
        <v>56040</v>
      </c>
      <c r="D8" s="1614">
        <f t="shared" si="0"/>
        <v>54498.9</v>
      </c>
      <c r="E8" s="1615"/>
      <c r="F8" s="1615">
        <f t="shared" si="2"/>
        <v>0</v>
      </c>
      <c r="G8" s="1615"/>
      <c r="H8" s="1614">
        <f t="shared" si="3"/>
        <v>0</v>
      </c>
      <c r="I8" s="1615">
        <v>530</v>
      </c>
      <c r="J8" s="1615">
        <f t="shared" si="4"/>
        <v>9805</v>
      </c>
      <c r="K8" s="1615"/>
      <c r="L8" s="1614">
        <f t="shared" si="5"/>
        <v>0</v>
      </c>
      <c r="M8" s="1615"/>
      <c r="N8" s="1614">
        <f t="shared" si="6"/>
        <v>0</v>
      </c>
      <c r="O8" s="1615"/>
      <c r="P8" s="1614">
        <f t="shared" si="7"/>
        <v>0</v>
      </c>
      <c r="Q8" s="1614"/>
      <c r="R8" s="1614">
        <f t="shared" si="8"/>
        <v>0</v>
      </c>
      <c r="S8" s="1615"/>
      <c r="T8" s="1615">
        <f t="shared" si="9"/>
        <v>0</v>
      </c>
      <c r="U8" s="1615"/>
      <c r="V8" s="1615">
        <f t="shared" si="10"/>
        <v>0</v>
      </c>
      <c r="W8" s="1615"/>
      <c r="X8" s="19">
        <f t="shared" si="11"/>
        <v>0</v>
      </c>
      <c r="Y8" s="20">
        <f t="shared" si="1"/>
        <v>64303.9</v>
      </c>
    </row>
    <row r="9" spans="1:25" ht="38.25" customHeight="1" x14ac:dyDescent="0.25">
      <c r="A9" s="12">
        <v>1984225580</v>
      </c>
      <c r="B9" s="1617" t="s">
        <v>75</v>
      </c>
      <c r="C9" s="1615">
        <v>39667</v>
      </c>
      <c r="D9" s="1614">
        <f t="shared" si="0"/>
        <v>38576.157500000001</v>
      </c>
      <c r="E9" s="1615"/>
      <c r="F9" s="1615">
        <f t="shared" si="2"/>
        <v>0</v>
      </c>
      <c r="G9" s="1615"/>
      <c r="H9" s="1615">
        <f t="shared" si="3"/>
        <v>0</v>
      </c>
      <c r="I9" s="1615">
        <v>490</v>
      </c>
      <c r="J9" s="1615">
        <f t="shared" si="4"/>
        <v>9065</v>
      </c>
      <c r="K9" s="1615"/>
      <c r="L9" s="1614">
        <f t="shared" si="5"/>
        <v>0</v>
      </c>
      <c r="M9" s="1615"/>
      <c r="N9" s="1614">
        <f t="shared" si="6"/>
        <v>0</v>
      </c>
      <c r="O9" s="1615"/>
      <c r="P9" s="1614">
        <f t="shared" si="7"/>
        <v>0</v>
      </c>
      <c r="Q9" s="1614"/>
      <c r="R9" s="1614">
        <f t="shared" si="8"/>
        <v>0</v>
      </c>
      <c r="S9" s="1615"/>
      <c r="T9" s="1615">
        <f t="shared" si="9"/>
        <v>0</v>
      </c>
      <c r="U9" s="1615"/>
      <c r="V9" s="1615">
        <f t="shared" si="10"/>
        <v>0</v>
      </c>
      <c r="W9" s="1615"/>
      <c r="X9" s="19">
        <f t="shared" si="11"/>
        <v>0</v>
      </c>
      <c r="Y9" s="20">
        <f t="shared" si="1"/>
        <v>47641.157500000001</v>
      </c>
    </row>
    <row r="10" spans="1:25" ht="35.25" customHeight="1" x14ac:dyDescent="0.25">
      <c r="A10" s="12">
        <v>1409935199</v>
      </c>
      <c r="C10" s="1615"/>
      <c r="D10" s="1614">
        <f t="shared" si="0"/>
        <v>0</v>
      </c>
      <c r="E10" s="1615"/>
      <c r="F10" s="1615">
        <f t="shared" si="2"/>
        <v>0</v>
      </c>
      <c r="G10" s="1615"/>
      <c r="H10" s="1615">
        <f t="shared" si="3"/>
        <v>0</v>
      </c>
      <c r="I10" s="1615"/>
      <c r="J10" s="1615">
        <f t="shared" si="4"/>
        <v>0</v>
      </c>
      <c r="K10" s="1615"/>
      <c r="L10" s="1614">
        <f t="shared" si="5"/>
        <v>0</v>
      </c>
      <c r="M10" s="1615"/>
      <c r="N10" s="1614">
        <f t="shared" si="6"/>
        <v>0</v>
      </c>
      <c r="O10" s="1615"/>
      <c r="P10" s="1614">
        <f t="shared" si="7"/>
        <v>0</v>
      </c>
      <c r="Q10" s="1614"/>
      <c r="R10" s="1614">
        <f t="shared" si="8"/>
        <v>0</v>
      </c>
      <c r="S10" s="1615"/>
      <c r="T10" s="1615">
        <f t="shared" si="9"/>
        <v>0</v>
      </c>
      <c r="U10" s="1615"/>
      <c r="V10" s="1615">
        <f t="shared" si="10"/>
        <v>0</v>
      </c>
      <c r="W10" s="1615"/>
      <c r="X10" s="19">
        <f t="shared" si="11"/>
        <v>0</v>
      </c>
      <c r="Y10" s="20">
        <f t="shared" si="1"/>
        <v>0</v>
      </c>
    </row>
    <row r="11" spans="1:25" ht="37.5" customHeight="1" x14ac:dyDescent="0.25">
      <c r="A11" s="12"/>
      <c r="B11" s="1616"/>
      <c r="C11" s="1615"/>
      <c r="D11" s="1614">
        <f t="shared" si="0"/>
        <v>0</v>
      </c>
      <c r="E11" s="1615"/>
      <c r="F11" s="1615">
        <f t="shared" si="2"/>
        <v>0</v>
      </c>
      <c r="G11" s="1615"/>
      <c r="H11" s="1615">
        <f t="shared" si="3"/>
        <v>0</v>
      </c>
      <c r="I11" s="1615"/>
      <c r="J11" s="1615">
        <f t="shared" si="4"/>
        <v>0</v>
      </c>
      <c r="K11" s="1615"/>
      <c r="L11" s="1614">
        <f t="shared" si="5"/>
        <v>0</v>
      </c>
      <c r="M11" s="1615"/>
      <c r="N11" s="1614">
        <f t="shared" si="6"/>
        <v>0</v>
      </c>
      <c r="O11" s="1615"/>
      <c r="P11" s="1614">
        <f t="shared" si="7"/>
        <v>0</v>
      </c>
      <c r="Q11" s="1614"/>
      <c r="R11" s="1614">
        <f t="shared" si="8"/>
        <v>0</v>
      </c>
      <c r="S11" s="1615"/>
      <c r="T11" s="1615">
        <f>341*S11</f>
        <v>0</v>
      </c>
      <c r="U11" s="1615"/>
      <c r="V11" s="1615">
        <f t="shared" si="10"/>
        <v>0</v>
      </c>
      <c r="W11" s="1615"/>
      <c r="X11" s="19">
        <f t="shared" si="11"/>
        <v>0</v>
      </c>
      <c r="Y11" s="20">
        <f t="shared" si="1"/>
        <v>0</v>
      </c>
    </row>
    <row r="12" spans="1:25" ht="29.25" customHeight="1" x14ac:dyDescent="0.25">
      <c r="A12" s="2235" t="s">
        <v>31</v>
      </c>
      <c r="B12" s="2235"/>
      <c r="C12" s="18">
        <f t="shared" ref="C12:X12" si="12">SUM(C6:C11)</f>
        <v>193347</v>
      </c>
      <c r="D12" s="18">
        <f t="shared" si="12"/>
        <v>188029.95749999999</v>
      </c>
      <c r="E12" s="18">
        <f t="shared" si="12"/>
        <v>0</v>
      </c>
      <c r="F12" s="18">
        <f t="shared" si="12"/>
        <v>0</v>
      </c>
      <c r="G12" s="18">
        <f t="shared" si="12"/>
        <v>0</v>
      </c>
      <c r="H12" s="18">
        <f t="shared" si="12"/>
        <v>0</v>
      </c>
      <c r="I12" s="18">
        <f t="shared" si="12"/>
        <v>1800</v>
      </c>
      <c r="J12" s="18">
        <f t="shared" si="12"/>
        <v>33300</v>
      </c>
      <c r="K12" s="18">
        <f t="shared" si="12"/>
        <v>0</v>
      </c>
      <c r="L12" s="18">
        <f t="shared" si="12"/>
        <v>0</v>
      </c>
      <c r="M12" s="18">
        <f t="shared" si="12"/>
        <v>0</v>
      </c>
      <c r="N12" s="23">
        <f t="shared" si="12"/>
        <v>0</v>
      </c>
      <c r="O12" s="18">
        <f t="shared" si="12"/>
        <v>0</v>
      </c>
      <c r="P12" s="23">
        <f t="shared" si="12"/>
        <v>0</v>
      </c>
      <c r="Q12" s="23">
        <f t="shared" si="12"/>
        <v>0</v>
      </c>
      <c r="R12" s="23">
        <f>SUM(R6:R11)</f>
        <v>0</v>
      </c>
      <c r="S12" s="23">
        <f>SUM(S6:S11)</f>
        <v>0</v>
      </c>
      <c r="T12" s="18">
        <f t="shared" si="12"/>
        <v>0</v>
      </c>
      <c r="U12" s="18">
        <f t="shared" si="12"/>
        <v>15</v>
      </c>
      <c r="V12" s="18">
        <f t="shared" si="12"/>
        <v>4980</v>
      </c>
      <c r="W12" s="18">
        <f t="shared" si="12"/>
        <v>0</v>
      </c>
      <c r="X12" s="18">
        <f t="shared" si="12"/>
        <v>0</v>
      </c>
      <c r="Y12" s="20">
        <f t="shared" si="1"/>
        <v>226309.95749999999</v>
      </c>
    </row>
    <row r="14" spans="1:25" ht="43.5" customHeight="1" x14ac:dyDescent="0.25">
      <c r="A14" s="30" t="s">
        <v>32</v>
      </c>
      <c r="B14" s="2236" t="s">
        <v>27</v>
      </c>
      <c r="C14" s="2236"/>
      <c r="D14" s="30" t="s">
        <v>333</v>
      </c>
      <c r="E14" s="30" t="s">
        <v>65</v>
      </c>
      <c r="F14" s="30" t="s">
        <v>34</v>
      </c>
      <c r="G14" s="30" t="s">
        <v>14</v>
      </c>
      <c r="H14" s="469" t="s">
        <v>173</v>
      </c>
      <c r="I14" s="30" t="s">
        <v>17</v>
      </c>
      <c r="J14" s="1623" t="s">
        <v>174</v>
      </c>
      <c r="K14" s="30" t="s">
        <v>36</v>
      </c>
      <c r="L14" s="1623" t="s">
        <v>403</v>
      </c>
      <c r="M14" s="30" t="s">
        <v>429</v>
      </c>
      <c r="N14" s="30" t="s">
        <v>442</v>
      </c>
      <c r="O14" s="1623" t="s">
        <v>114</v>
      </c>
      <c r="P14" s="30" t="s">
        <v>70</v>
      </c>
      <c r="Q14" s="2300" t="s">
        <v>479</v>
      </c>
      <c r="R14" s="2301"/>
      <c r="S14" s="1623" t="s">
        <v>401</v>
      </c>
      <c r="T14" s="2235" t="s">
        <v>46</v>
      </c>
      <c r="U14" s="1617" t="s">
        <v>176</v>
      </c>
      <c r="V14" s="2260">
        <v>29983</v>
      </c>
      <c r="W14" s="2268"/>
      <c r="X14" s="2261"/>
    </row>
    <row r="15" spans="1:25" ht="22.5" customHeight="1" x14ac:dyDescent="0.25">
      <c r="A15" s="100" t="s">
        <v>38</v>
      </c>
      <c r="B15" s="2260">
        <v>310542</v>
      </c>
      <c r="C15" s="2261"/>
      <c r="D15" s="1620">
        <v>0</v>
      </c>
      <c r="E15" s="1620">
        <v>0</v>
      </c>
      <c r="F15" s="1620">
        <v>10460</v>
      </c>
      <c r="G15" s="1620">
        <v>0</v>
      </c>
      <c r="H15" s="1620">
        <v>72</v>
      </c>
      <c r="I15" s="1620">
        <v>18</v>
      </c>
      <c r="J15" s="1620">
        <v>4</v>
      </c>
      <c r="K15" s="1620">
        <v>69</v>
      </c>
      <c r="L15" s="1620">
        <v>0</v>
      </c>
      <c r="M15" s="1620">
        <v>0</v>
      </c>
      <c r="N15" s="1620">
        <v>0</v>
      </c>
      <c r="O15" s="1620">
        <v>0</v>
      </c>
      <c r="P15" s="1620">
        <v>100</v>
      </c>
      <c r="Q15" s="2260">
        <v>10</v>
      </c>
      <c r="R15" s="2261"/>
      <c r="S15" s="1617">
        <v>2</v>
      </c>
      <c r="T15" s="2235"/>
      <c r="U15" s="1617" t="s">
        <v>64</v>
      </c>
      <c r="V15" s="2262">
        <v>74062</v>
      </c>
      <c r="W15" s="2262"/>
      <c r="X15" s="2262"/>
    </row>
    <row r="16" spans="1:25" ht="24.75" customHeight="1" x14ac:dyDescent="0.25">
      <c r="A16" s="100" t="s">
        <v>39</v>
      </c>
      <c r="B16" s="2260">
        <v>192208</v>
      </c>
      <c r="C16" s="2261"/>
      <c r="D16" s="1620"/>
      <c r="E16" s="1620"/>
      <c r="F16" s="1620"/>
      <c r="G16" s="1620"/>
      <c r="H16" s="1620"/>
      <c r="I16" s="1620"/>
      <c r="J16" s="1620"/>
      <c r="K16" s="1620"/>
      <c r="L16" s="1620"/>
      <c r="M16" s="1620"/>
      <c r="N16" s="1620"/>
      <c r="O16" s="1620"/>
      <c r="P16" s="1620"/>
      <c r="Q16" s="2262"/>
      <c r="R16" s="2262"/>
      <c r="S16" s="1620"/>
      <c r="T16" s="2254" t="s">
        <v>55</v>
      </c>
      <c r="U16" s="2254"/>
      <c r="V16" s="2267">
        <f>Y12</f>
        <v>226309.95749999999</v>
      </c>
      <c r="W16" s="2267"/>
      <c r="X16" s="2262"/>
    </row>
    <row r="17" spans="1:25" ht="28.5" customHeight="1" x14ac:dyDescent="0.25">
      <c r="A17" s="101" t="s">
        <v>44</v>
      </c>
      <c r="B17" s="2260"/>
      <c r="C17" s="2261"/>
      <c r="D17" s="1620"/>
      <c r="E17" s="1620"/>
      <c r="F17" s="1620"/>
      <c r="G17" s="1620"/>
      <c r="H17" s="1620"/>
      <c r="I17" s="1620"/>
      <c r="J17" s="1620"/>
      <c r="K17" s="1620"/>
      <c r="L17" s="1620"/>
      <c r="M17" s="1620"/>
      <c r="N17" s="1620"/>
      <c r="O17" s="1620"/>
      <c r="P17" s="1620"/>
      <c r="Q17" s="2225"/>
      <c r="R17" s="2225"/>
      <c r="S17" s="1616"/>
      <c r="T17" s="2294" t="s">
        <v>473</v>
      </c>
      <c r="U17" s="2295"/>
      <c r="V17" s="2296"/>
      <c r="W17" s="2296"/>
      <c r="X17" s="2296"/>
    </row>
    <row r="18" spans="1:25" ht="27" customHeight="1" x14ac:dyDescent="0.25">
      <c r="A18" s="100" t="s">
        <v>40</v>
      </c>
      <c r="B18" s="2264">
        <f>C12</f>
        <v>193347</v>
      </c>
      <c r="C18" s="2261"/>
      <c r="D18" s="1622">
        <f>E12</f>
        <v>0</v>
      </c>
      <c r="E18" s="1622">
        <f>G12</f>
        <v>0</v>
      </c>
      <c r="F18" s="1622">
        <f>I12</f>
        <v>1800</v>
      </c>
      <c r="G18" s="1622">
        <f>K12</f>
        <v>0</v>
      </c>
      <c r="H18" s="1620"/>
      <c r="I18" s="1622">
        <f>U12</f>
        <v>15</v>
      </c>
      <c r="J18" s="1620"/>
      <c r="K18" s="1622">
        <f>W12</f>
        <v>0</v>
      </c>
      <c r="L18" s="1620"/>
      <c r="M18" s="1622">
        <f>M12</f>
        <v>0</v>
      </c>
      <c r="N18" s="1622">
        <f>O12</f>
        <v>0</v>
      </c>
      <c r="O18" s="1621">
        <f>Q12</f>
        <v>0</v>
      </c>
      <c r="P18" s="1622"/>
      <c r="Q18" s="2262"/>
      <c r="R18" s="2262"/>
      <c r="S18" s="1617"/>
      <c r="T18" s="2254" t="s">
        <v>57</v>
      </c>
      <c r="U18" s="2254"/>
      <c r="V18" s="2262">
        <v>1540</v>
      </c>
      <c r="W18" s="2262"/>
      <c r="X18" s="2262"/>
      <c r="Y18" s="2269"/>
    </row>
    <row r="19" spans="1:25" ht="25.5" customHeight="1" x14ac:dyDescent="0.25">
      <c r="A19" s="100" t="s">
        <v>41</v>
      </c>
      <c r="B19" s="2260">
        <f>B15+B16+B17-B18</f>
        <v>309403</v>
      </c>
      <c r="C19" s="2261"/>
      <c r="D19" s="1620">
        <f>D15+D16+D17-D18</f>
        <v>0</v>
      </c>
      <c r="E19" s="1620">
        <f t="shared" ref="E19:N19" si="13">E15+E16+E17-E18</f>
        <v>0</v>
      </c>
      <c r="F19" s="1620">
        <f t="shared" si="13"/>
        <v>8660</v>
      </c>
      <c r="G19" s="1620">
        <f t="shared" si="13"/>
        <v>0</v>
      </c>
      <c r="H19" s="1620">
        <f t="shared" si="13"/>
        <v>72</v>
      </c>
      <c r="I19" s="1620">
        <f t="shared" si="13"/>
        <v>3</v>
      </c>
      <c r="J19" s="1620">
        <f t="shared" si="13"/>
        <v>4</v>
      </c>
      <c r="K19" s="1620">
        <f t="shared" si="13"/>
        <v>69</v>
      </c>
      <c r="L19" s="1620">
        <f t="shared" si="13"/>
        <v>0</v>
      </c>
      <c r="M19" s="1620">
        <f t="shared" si="13"/>
        <v>0</v>
      </c>
      <c r="N19" s="1620">
        <f t="shared" si="13"/>
        <v>0</v>
      </c>
      <c r="O19" s="1620">
        <f>O15+O16+O17-O18</f>
        <v>0</v>
      </c>
      <c r="P19" s="1620">
        <f t="shared" ref="P19:Q19" si="14">P15+P16+P17-P18</f>
        <v>100</v>
      </c>
      <c r="Q19" s="2260">
        <f t="shared" si="14"/>
        <v>10</v>
      </c>
      <c r="R19" s="2261"/>
      <c r="S19" s="1617">
        <f>S15+S16-S17-S18</f>
        <v>2</v>
      </c>
      <c r="T19" s="2256" t="s">
        <v>48</v>
      </c>
      <c r="U19" s="49" t="s">
        <v>58</v>
      </c>
      <c r="V19" s="2262">
        <v>118000</v>
      </c>
      <c r="W19" s="2262"/>
      <c r="X19" s="2262"/>
      <c r="Y19" s="2269"/>
    </row>
    <row r="20" spans="1:25" ht="23.25" customHeight="1" x14ac:dyDescent="0.25">
      <c r="A20" s="289" t="s">
        <v>187</v>
      </c>
      <c r="B20" s="2286">
        <f>B19*0.9625</f>
        <v>297800.38750000001</v>
      </c>
      <c r="C20" s="2287"/>
      <c r="D20" s="290">
        <f>D19*66.41</f>
        <v>0</v>
      </c>
      <c r="E20" s="290">
        <f>27.9368*E19</f>
        <v>0</v>
      </c>
      <c r="F20" s="290">
        <f>18.31*F19</f>
        <v>158564.59999999998</v>
      </c>
      <c r="G20" s="290">
        <f>27.9368*G19</f>
        <v>0</v>
      </c>
      <c r="H20" s="290">
        <f>241*H19</f>
        <v>17352</v>
      </c>
      <c r="I20" s="290">
        <f>323*I19</f>
        <v>969</v>
      </c>
      <c r="J20" s="290">
        <f>241*J19</f>
        <v>964</v>
      </c>
      <c r="K20" s="290">
        <f>K19*100</f>
        <v>6900</v>
      </c>
      <c r="L20" s="290">
        <f>241*L19</f>
        <v>0</v>
      </c>
      <c r="M20" s="290">
        <f>47.1625*M19</f>
        <v>0</v>
      </c>
      <c r="N20" s="290">
        <f>N19*8.81</f>
        <v>0</v>
      </c>
      <c r="O20" s="290">
        <f>241*O19</f>
        <v>0</v>
      </c>
      <c r="P20" s="290">
        <f>P19*48.2</f>
        <v>4820</v>
      </c>
      <c r="Q20" s="2286">
        <f>470*Q19</f>
        <v>4700</v>
      </c>
      <c r="R20" s="2287"/>
      <c r="S20" s="290">
        <f>341*S19</f>
        <v>682</v>
      </c>
      <c r="T20" s="2257"/>
      <c r="U20" s="49" t="s">
        <v>59</v>
      </c>
      <c r="V20" s="2262"/>
      <c r="W20" s="2262"/>
      <c r="X20" s="2262"/>
      <c r="Y20" s="2269"/>
    </row>
    <row r="21" spans="1:25" ht="32.25" customHeight="1" x14ac:dyDescent="0.25">
      <c r="A21" s="291" t="s">
        <v>186</v>
      </c>
      <c r="B21" s="2293">
        <f>SUM(B20:S20)</f>
        <v>492751.98749999999</v>
      </c>
      <c r="C21" s="2293"/>
      <c r="O21" s="1624"/>
      <c r="P21" s="1624"/>
      <c r="Q21" s="1624"/>
      <c r="R21" s="1624"/>
      <c r="T21" s="2294" t="s">
        <v>487</v>
      </c>
      <c r="U21" s="2295"/>
      <c r="V21" s="2297"/>
      <c r="W21" s="2298"/>
      <c r="X21" s="2299"/>
      <c r="Y21" s="2269"/>
    </row>
    <row r="22" spans="1:25" ht="35.25" customHeight="1" x14ac:dyDescent="0.25">
      <c r="A22" s="15"/>
      <c r="B22" s="2288" t="s">
        <v>49</v>
      </c>
      <c r="C22" s="2291">
        <v>118000</v>
      </c>
      <c r="D22" s="2291">
        <v>118000</v>
      </c>
      <c r="E22" s="2291">
        <v>185000</v>
      </c>
      <c r="F22" s="2291">
        <f>C22-D22+E22</f>
        <v>185000</v>
      </c>
      <c r="G22" s="1624"/>
      <c r="Q22" s="1624"/>
      <c r="R22" s="1624"/>
      <c r="T22" s="2251" t="s">
        <v>83</v>
      </c>
      <c r="U22" s="50" t="s">
        <v>60</v>
      </c>
      <c r="V22" s="2262">
        <v>219170</v>
      </c>
      <c r="W22" s="2262"/>
      <c r="X22" s="2262"/>
      <c r="Y22" s="2269"/>
    </row>
    <row r="23" spans="1:25" ht="39.75" customHeight="1" x14ac:dyDescent="0.25">
      <c r="A23" s="1624"/>
      <c r="B23" s="2289"/>
      <c r="C23" s="2292"/>
      <c r="D23" s="2292"/>
      <c r="E23" s="2292"/>
      <c r="F23" s="2292"/>
      <c r="G23" s="1624"/>
      <c r="Q23" s="1624"/>
      <c r="R23" s="1624"/>
      <c r="T23" s="2252"/>
      <c r="U23" s="50" t="s">
        <v>61</v>
      </c>
      <c r="V23" s="2262">
        <v>118000</v>
      </c>
      <c r="W23" s="2262"/>
      <c r="X23" s="2262"/>
      <c r="Y23" s="2269"/>
    </row>
    <row r="24" spans="1:25" ht="48" customHeight="1" x14ac:dyDescent="0.25">
      <c r="A24" s="1624"/>
      <c r="B24" s="2290"/>
      <c r="C24" s="290" t="s">
        <v>46</v>
      </c>
      <c r="D24" s="290" t="s">
        <v>50</v>
      </c>
      <c r="E24" s="290" t="s">
        <v>51</v>
      </c>
      <c r="F24" s="290" t="s">
        <v>52</v>
      </c>
      <c r="G24" s="1624"/>
      <c r="Q24" s="1624"/>
      <c r="R24" s="1624"/>
      <c r="T24" s="2235" t="s">
        <v>47</v>
      </c>
      <c r="U24" s="51" t="s">
        <v>62</v>
      </c>
      <c r="V24" s="2263">
        <f>V14+V16+V17-V18-V19-V20-V22+V23-V21</f>
        <v>35582.95749999999</v>
      </c>
      <c r="W24" s="2263"/>
      <c r="X24" s="2263"/>
      <c r="Y24" s="2269"/>
    </row>
    <row r="25" spans="1:25" ht="40.5" customHeight="1" x14ac:dyDescent="0.25">
      <c r="T25" s="2235"/>
      <c r="U25" s="51" t="s">
        <v>63</v>
      </c>
      <c r="V25" s="2262">
        <f>V15+V22-V23</f>
        <v>175232</v>
      </c>
      <c r="W25" s="2262"/>
      <c r="X25" s="2262"/>
    </row>
    <row r="26" spans="1:25" ht="36" customHeight="1" x14ac:dyDescent="0.25">
      <c r="K26" s="314"/>
    </row>
    <row r="28" spans="1:25" x14ac:dyDescent="0.25">
      <c r="J28" s="14" t="s">
        <v>139</v>
      </c>
    </row>
    <row r="32" spans="1:25" x14ac:dyDescent="0.25">
      <c r="I32" s="2280"/>
      <c r="J32" s="2280"/>
      <c r="K32" s="2280"/>
      <c r="L32" s="2280"/>
    </row>
    <row r="33" spans="9:12" x14ac:dyDescent="0.25">
      <c r="I33" s="1624"/>
      <c r="J33" s="1624"/>
      <c r="K33" s="2280"/>
      <c r="L33" s="2280"/>
    </row>
  </sheetData>
  <mergeCells count="62">
    <mergeCell ref="A1:Y1"/>
    <mergeCell ref="A2:Y2"/>
    <mergeCell ref="T3:Y3"/>
    <mergeCell ref="A4:A5"/>
    <mergeCell ref="B4:B5"/>
    <mergeCell ref="C4:D4"/>
    <mergeCell ref="E4:F4"/>
    <mergeCell ref="G4:H4"/>
    <mergeCell ref="I4:J4"/>
    <mergeCell ref="K4:L4"/>
    <mergeCell ref="Y4:Y5"/>
    <mergeCell ref="M4:N4"/>
    <mergeCell ref="O4:P4"/>
    <mergeCell ref="Q4:R4"/>
    <mergeCell ref="S4:T4"/>
    <mergeCell ref="U4:V4"/>
    <mergeCell ref="W4:X4"/>
    <mergeCell ref="B16:C16"/>
    <mergeCell ref="Q16:R16"/>
    <mergeCell ref="T16:U16"/>
    <mergeCell ref="V16:X16"/>
    <mergeCell ref="A12:B12"/>
    <mergeCell ref="B14:C14"/>
    <mergeCell ref="Q14:R14"/>
    <mergeCell ref="T14:T15"/>
    <mergeCell ref="V14:X14"/>
    <mergeCell ref="B15:C15"/>
    <mergeCell ref="Q15:R15"/>
    <mergeCell ref="V15:X15"/>
    <mergeCell ref="B17:C17"/>
    <mergeCell ref="Q17:R17"/>
    <mergeCell ref="T17:U17"/>
    <mergeCell ref="V17:X17"/>
    <mergeCell ref="B18:C18"/>
    <mergeCell ref="Q18:R18"/>
    <mergeCell ref="T18:U18"/>
    <mergeCell ref="V18:X18"/>
    <mergeCell ref="Y18:Y24"/>
    <mergeCell ref="B19:C19"/>
    <mergeCell ref="Q19:R19"/>
    <mergeCell ref="T19:T20"/>
    <mergeCell ref="V19:X19"/>
    <mergeCell ref="B20:C20"/>
    <mergeCell ref="B22:B24"/>
    <mergeCell ref="C22:C23"/>
    <mergeCell ref="D22:D23"/>
    <mergeCell ref="E22:E23"/>
    <mergeCell ref="F22:F23"/>
    <mergeCell ref="Q20:R20"/>
    <mergeCell ref="V20:X20"/>
    <mergeCell ref="B21:C21"/>
    <mergeCell ref="T21:U21"/>
    <mergeCell ref="V21:X21"/>
    <mergeCell ref="I32:J32"/>
    <mergeCell ref="K32:L32"/>
    <mergeCell ref="K33:L33"/>
    <mergeCell ref="T22:T23"/>
    <mergeCell ref="V22:X22"/>
    <mergeCell ref="V23:X23"/>
    <mergeCell ref="T24:T25"/>
    <mergeCell ref="V24:X24"/>
    <mergeCell ref="V25:X25"/>
  </mergeCells>
  <pageMargins left="0.15748031496063" right="0.15748031496063" top="0" bottom="0" header="0" footer="0"/>
  <pageSetup paperSize="9" scale="46" orientation="landscape" r:id="rId1"/>
</worksheet>
</file>

<file path=xl/worksheets/sheet26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3B35F4F-AE3D-4D3A-9F2A-476486712475}">
  <sheetPr>
    <pageSetUpPr fitToPage="1"/>
  </sheetPr>
  <dimension ref="A1:Y33"/>
  <sheetViews>
    <sheetView topLeftCell="A10" zoomScale="70" zoomScaleNormal="70" zoomScaleSheetLayoutView="100" zoomScalePageLayoutView="68" workbookViewId="0">
      <selection activeCell="L24" sqref="L24"/>
    </sheetView>
  </sheetViews>
  <sheetFormatPr defaultColWidth="9.140625" defaultRowHeight="15" x14ac:dyDescent="0.25"/>
  <cols>
    <col min="1" max="1" width="18.28515625" style="14" customWidth="1"/>
    <col min="2" max="2" width="10.7109375" style="14" customWidth="1"/>
    <col min="3" max="3" width="12.28515625" style="14" customWidth="1"/>
    <col min="4" max="4" width="13.140625" style="14" bestFit="1" customWidth="1"/>
    <col min="5" max="5" width="12" style="14" customWidth="1"/>
    <col min="6" max="6" width="14" style="14" bestFit="1" customWidth="1"/>
    <col min="7" max="7" width="16" style="14" bestFit="1" customWidth="1"/>
    <col min="8" max="8" width="10.140625" style="14" bestFit="1" customWidth="1"/>
    <col min="9" max="9" width="10.5703125" style="14" bestFit="1" customWidth="1"/>
    <col min="10" max="10" width="10.5703125" style="14" customWidth="1"/>
    <col min="11" max="11" width="10.28515625" style="14" bestFit="1" customWidth="1"/>
    <col min="12" max="12" width="10.42578125" style="14" bestFit="1" customWidth="1"/>
    <col min="13" max="14" width="12" style="14" bestFit="1" customWidth="1"/>
    <col min="15" max="15" width="11" style="14" customWidth="1"/>
    <col min="16" max="16" width="12.85546875" style="14" bestFit="1" customWidth="1"/>
    <col min="17" max="18" width="9.42578125" style="14" customWidth="1"/>
    <col min="19" max="19" width="13.7109375" style="14" customWidth="1"/>
    <col min="20" max="20" width="12.140625" style="14" customWidth="1"/>
    <col min="21" max="21" width="21.7109375" style="14" customWidth="1"/>
    <col min="22" max="22" width="9.85546875" style="14" customWidth="1"/>
    <col min="23" max="23" width="10.140625" style="14" bestFit="1" customWidth="1"/>
    <col min="24" max="24" width="10.28515625" style="14" customWidth="1"/>
    <col min="25" max="25" width="15.7109375" style="14" customWidth="1"/>
    <col min="26" max="16384" width="9.140625" style="14"/>
  </cols>
  <sheetData>
    <row r="1" spans="1:25" ht="46.15" customHeight="1" x14ac:dyDescent="0.25">
      <c r="A1" s="2240" t="s">
        <v>148</v>
      </c>
      <c r="B1" s="2240"/>
      <c r="C1" s="2240"/>
      <c r="D1" s="2240"/>
      <c r="E1" s="2240"/>
      <c r="F1" s="2240"/>
      <c r="G1" s="2240"/>
      <c r="H1" s="2240"/>
      <c r="I1" s="2240"/>
      <c r="J1" s="2240"/>
      <c r="K1" s="2240"/>
      <c r="L1" s="2240"/>
      <c r="M1" s="2240"/>
      <c r="N1" s="2240"/>
      <c r="O1" s="2240"/>
      <c r="P1" s="2240"/>
      <c r="Q1" s="2240"/>
      <c r="R1" s="2240"/>
      <c r="S1" s="2240"/>
      <c r="T1" s="2240"/>
      <c r="U1" s="2240"/>
      <c r="V1" s="2240"/>
      <c r="W1" s="2240"/>
      <c r="X1" s="2240"/>
      <c r="Y1" s="2240"/>
    </row>
    <row r="2" spans="1:25" ht="21.6" customHeight="1" x14ac:dyDescent="0.25">
      <c r="A2" s="2241" t="s">
        <v>383</v>
      </c>
      <c r="B2" s="2241"/>
      <c r="C2" s="2241"/>
      <c r="D2" s="2241"/>
      <c r="E2" s="2241"/>
      <c r="F2" s="2241"/>
      <c r="G2" s="2241"/>
      <c r="H2" s="2241"/>
      <c r="I2" s="2241"/>
      <c r="J2" s="2241"/>
      <c r="K2" s="2241"/>
      <c r="L2" s="2241"/>
      <c r="M2" s="2241"/>
      <c r="N2" s="2241"/>
      <c r="O2" s="2241"/>
      <c r="P2" s="2241"/>
      <c r="Q2" s="2241"/>
      <c r="R2" s="2241"/>
      <c r="S2" s="2241"/>
      <c r="T2" s="2241"/>
      <c r="U2" s="2241"/>
      <c r="V2" s="2241"/>
      <c r="W2" s="2241"/>
      <c r="X2" s="2241"/>
      <c r="Y2" s="2241"/>
    </row>
    <row r="3" spans="1:25" ht="21" customHeight="1" x14ac:dyDescent="0.25">
      <c r="A3" s="1625"/>
      <c r="B3" s="1625"/>
      <c r="C3" s="1625"/>
      <c r="D3" s="1625"/>
      <c r="E3" s="1625"/>
      <c r="F3" s="1625"/>
      <c r="G3" s="1625"/>
      <c r="H3" s="1625"/>
      <c r="I3" s="1625"/>
      <c r="J3" s="1625"/>
      <c r="K3" s="1625"/>
      <c r="L3" s="1625"/>
      <c r="M3" s="1625"/>
      <c r="N3" s="1625"/>
      <c r="O3" s="1625"/>
      <c r="P3" s="1625"/>
      <c r="Q3" s="1625"/>
      <c r="R3" s="1625"/>
      <c r="S3" s="1625"/>
      <c r="T3" s="2242" t="s">
        <v>514</v>
      </c>
      <c r="U3" s="2242"/>
      <c r="V3" s="2242"/>
      <c r="W3" s="2242"/>
      <c r="X3" s="2242"/>
      <c r="Y3" s="2242"/>
    </row>
    <row r="4" spans="1:25" s="1625" customFormat="1" ht="18" customHeight="1" x14ac:dyDescent="0.25">
      <c r="A4" s="2243" t="s">
        <v>25</v>
      </c>
      <c r="B4" s="2243" t="s">
        <v>26</v>
      </c>
      <c r="C4" s="2244" t="s">
        <v>27</v>
      </c>
      <c r="D4" s="2244"/>
      <c r="E4" s="2244" t="s">
        <v>342</v>
      </c>
      <c r="F4" s="2244"/>
      <c r="G4" s="2244" t="s">
        <v>65</v>
      </c>
      <c r="H4" s="2244"/>
      <c r="I4" s="2244" t="s">
        <v>29</v>
      </c>
      <c r="J4" s="2244"/>
      <c r="K4" s="2245" t="s">
        <v>14</v>
      </c>
      <c r="L4" s="2246"/>
      <c r="M4" s="2245" t="s">
        <v>429</v>
      </c>
      <c r="N4" s="2246"/>
      <c r="O4" s="2245" t="s">
        <v>441</v>
      </c>
      <c r="P4" s="2246"/>
      <c r="Q4" s="2245" t="s">
        <v>114</v>
      </c>
      <c r="R4" s="2246"/>
      <c r="S4" s="2244" t="s">
        <v>35</v>
      </c>
      <c r="T4" s="2244"/>
      <c r="U4" s="2245" t="s">
        <v>17</v>
      </c>
      <c r="V4" s="2246"/>
      <c r="W4" s="2247" t="s">
        <v>36</v>
      </c>
      <c r="X4" s="2248"/>
      <c r="Y4" s="2238" t="s">
        <v>30</v>
      </c>
    </row>
    <row r="5" spans="1:25" s="1625" customFormat="1" ht="25.5" customHeight="1" x14ac:dyDescent="0.25">
      <c r="A5" s="2243"/>
      <c r="B5" s="2243"/>
      <c r="C5" s="1627" t="s">
        <v>42</v>
      </c>
      <c r="D5" s="1627" t="s">
        <v>43</v>
      </c>
      <c r="E5" s="1627" t="s">
        <v>42</v>
      </c>
      <c r="F5" s="1627" t="s">
        <v>43</v>
      </c>
      <c r="G5" s="1627" t="s">
        <v>42</v>
      </c>
      <c r="H5" s="1627" t="s">
        <v>43</v>
      </c>
      <c r="I5" s="1627" t="s">
        <v>42</v>
      </c>
      <c r="J5" s="1627" t="s">
        <v>43</v>
      </c>
      <c r="K5" s="1627" t="s">
        <v>42</v>
      </c>
      <c r="L5" s="1627" t="s">
        <v>43</v>
      </c>
      <c r="M5" s="1627" t="s">
        <v>42</v>
      </c>
      <c r="N5" s="1627" t="s">
        <v>43</v>
      </c>
      <c r="O5" s="1627" t="s">
        <v>42</v>
      </c>
      <c r="P5" s="1627" t="s">
        <v>43</v>
      </c>
      <c r="Q5" s="1627" t="s">
        <v>42</v>
      </c>
      <c r="R5" s="1627" t="s">
        <v>43</v>
      </c>
      <c r="S5" s="33" t="s">
        <v>42</v>
      </c>
      <c r="T5" s="33" t="s">
        <v>43</v>
      </c>
      <c r="U5" s="30" t="s">
        <v>42</v>
      </c>
      <c r="V5" s="30" t="s">
        <v>43</v>
      </c>
      <c r="W5" s="30" t="s">
        <v>42</v>
      </c>
      <c r="X5" s="30" t="s">
        <v>43</v>
      </c>
      <c r="Y5" s="2239"/>
    </row>
    <row r="6" spans="1:25" ht="34.5" customHeight="1" x14ac:dyDescent="0.25">
      <c r="A6" s="12">
        <v>1409935200</v>
      </c>
      <c r="B6" s="1626" t="s">
        <v>71</v>
      </c>
      <c r="C6" s="1629">
        <v>20648</v>
      </c>
      <c r="D6" s="1630">
        <f t="shared" ref="D6:D11" si="0">0.9725*C6</f>
        <v>20080.18</v>
      </c>
      <c r="E6" s="1629"/>
      <c r="F6" s="1630">
        <f>67.1*E6</f>
        <v>0</v>
      </c>
      <c r="G6" s="1629"/>
      <c r="H6" s="1629">
        <f>28.2*G6</f>
        <v>0</v>
      </c>
      <c r="I6" s="1629">
        <v>120</v>
      </c>
      <c r="J6" s="1629">
        <f>18.5*I6</f>
        <v>2220</v>
      </c>
      <c r="K6" s="1629"/>
      <c r="L6" s="1630">
        <f>28.2368*K6</f>
        <v>0</v>
      </c>
      <c r="M6" s="1629"/>
      <c r="N6" s="1630">
        <f>M6*47.6525</f>
        <v>0</v>
      </c>
      <c r="O6" s="1629"/>
      <c r="P6" s="1630">
        <f>O6*8.9</f>
        <v>0</v>
      </c>
      <c r="Q6" s="1630"/>
      <c r="R6" s="1630">
        <f>241*Q6</f>
        <v>0</v>
      </c>
      <c r="S6" s="1629"/>
      <c r="T6" s="1629">
        <f>241*S6</f>
        <v>0</v>
      </c>
      <c r="U6" s="1629">
        <v>3</v>
      </c>
      <c r="V6" s="1629">
        <f>332*U6</f>
        <v>996</v>
      </c>
      <c r="W6" s="1629"/>
      <c r="X6" s="19">
        <f>W6*100</f>
        <v>0</v>
      </c>
      <c r="Y6" s="20">
        <f t="shared" ref="Y6:Y12" si="1">D6+F6+H6+J6+L6+N6+P6+R6+T6+V6+X6</f>
        <v>23296.18</v>
      </c>
    </row>
    <row r="7" spans="1:25" ht="31.5" customHeight="1" x14ac:dyDescent="0.25">
      <c r="A7" s="12">
        <v>1984225578</v>
      </c>
      <c r="B7" s="1626" t="s">
        <v>509</v>
      </c>
      <c r="C7" s="1629">
        <v>37317</v>
      </c>
      <c r="D7" s="1630">
        <f t="shared" si="0"/>
        <v>36290.782500000001</v>
      </c>
      <c r="E7" s="1629"/>
      <c r="F7" s="1629">
        <f t="shared" ref="F7:F11" si="2">67.1*E7</f>
        <v>0</v>
      </c>
      <c r="G7" s="1629"/>
      <c r="H7" s="1629">
        <f t="shared" ref="H7:H11" si="3">28.2*G7</f>
        <v>0</v>
      </c>
      <c r="I7" s="1629">
        <v>90</v>
      </c>
      <c r="J7" s="1629">
        <f t="shared" ref="J7:J11" si="4">18.5*I7</f>
        <v>1665</v>
      </c>
      <c r="K7" s="1629"/>
      <c r="L7" s="1630">
        <f t="shared" ref="L7:L11" si="5">28.2368*K7</f>
        <v>0</v>
      </c>
      <c r="M7" s="1629"/>
      <c r="N7" s="1630">
        <f t="shared" ref="N7:N11" si="6">M7*47.6525</f>
        <v>0</v>
      </c>
      <c r="O7" s="1629"/>
      <c r="P7" s="1630">
        <f t="shared" ref="P7:P11" si="7">O7*8.9</f>
        <v>0</v>
      </c>
      <c r="Q7" s="1630"/>
      <c r="R7" s="1630">
        <f t="shared" ref="R7:R11" si="8">241*Q7</f>
        <v>0</v>
      </c>
      <c r="S7" s="1629"/>
      <c r="T7" s="1629">
        <f t="shared" ref="T7:T10" si="9">241*S7</f>
        <v>0</v>
      </c>
      <c r="U7" s="1629"/>
      <c r="V7" s="1629">
        <f t="shared" ref="V7:V11" si="10">332*U7</f>
        <v>0</v>
      </c>
      <c r="W7" s="1629"/>
      <c r="X7" s="19">
        <f t="shared" ref="X7:X11" si="11">W7*100</f>
        <v>0</v>
      </c>
      <c r="Y7" s="20">
        <f t="shared" si="1"/>
        <v>37955.782500000001</v>
      </c>
    </row>
    <row r="8" spans="1:25" ht="35.25" customHeight="1" x14ac:dyDescent="0.25">
      <c r="A8" s="12">
        <v>1967020280</v>
      </c>
      <c r="B8" s="1626" t="s">
        <v>427</v>
      </c>
      <c r="C8" s="1629">
        <v>31095</v>
      </c>
      <c r="D8" s="1630">
        <f t="shared" si="0"/>
        <v>30239.887500000001</v>
      </c>
      <c r="E8" s="1629"/>
      <c r="F8" s="1629">
        <f t="shared" si="2"/>
        <v>0</v>
      </c>
      <c r="G8" s="1629"/>
      <c r="H8" s="1630">
        <f t="shared" si="3"/>
        <v>0</v>
      </c>
      <c r="I8" s="1629">
        <v>450</v>
      </c>
      <c r="J8" s="1629">
        <f t="shared" si="4"/>
        <v>8325</v>
      </c>
      <c r="K8" s="1629"/>
      <c r="L8" s="1630">
        <f t="shared" si="5"/>
        <v>0</v>
      </c>
      <c r="M8" s="1629"/>
      <c r="N8" s="1630">
        <f t="shared" si="6"/>
        <v>0</v>
      </c>
      <c r="O8" s="1629"/>
      <c r="P8" s="1630">
        <f t="shared" si="7"/>
        <v>0</v>
      </c>
      <c r="Q8" s="1630"/>
      <c r="R8" s="1630">
        <f t="shared" si="8"/>
        <v>0</v>
      </c>
      <c r="S8" s="1629"/>
      <c r="T8" s="1629">
        <f t="shared" si="9"/>
        <v>0</v>
      </c>
      <c r="U8" s="1629"/>
      <c r="V8" s="1629">
        <f t="shared" si="10"/>
        <v>0</v>
      </c>
      <c r="W8" s="1629"/>
      <c r="X8" s="19">
        <f t="shared" si="11"/>
        <v>0</v>
      </c>
      <c r="Y8" s="20">
        <f t="shared" si="1"/>
        <v>38564.887499999997</v>
      </c>
    </row>
    <row r="9" spans="1:25" ht="38.25" customHeight="1" x14ac:dyDescent="0.25">
      <c r="A9" s="12">
        <v>1984225580</v>
      </c>
      <c r="B9" s="1626" t="s">
        <v>75</v>
      </c>
      <c r="C9" s="1629">
        <v>61742</v>
      </c>
      <c r="D9" s="1630">
        <f t="shared" si="0"/>
        <v>60044.095000000001</v>
      </c>
      <c r="E9" s="1629"/>
      <c r="F9" s="1629">
        <f t="shared" si="2"/>
        <v>0</v>
      </c>
      <c r="G9" s="1629"/>
      <c r="H9" s="1629">
        <f t="shared" si="3"/>
        <v>0</v>
      </c>
      <c r="I9" s="1629"/>
      <c r="J9" s="1629">
        <f t="shared" si="4"/>
        <v>0</v>
      </c>
      <c r="K9" s="1629"/>
      <c r="L9" s="1630">
        <f t="shared" si="5"/>
        <v>0</v>
      </c>
      <c r="M9" s="1629"/>
      <c r="N9" s="1630">
        <f t="shared" si="6"/>
        <v>0</v>
      </c>
      <c r="O9" s="1629"/>
      <c r="P9" s="1630">
        <f t="shared" si="7"/>
        <v>0</v>
      </c>
      <c r="Q9" s="1630"/>
      <c r="R9" s="1630">
        <f t="shared" si="8"/>
        <v>0</v>
      </c>
      <c r="S9" s="1629"/>
      <c r="T9" s="1629">
        <f t="shared" si="9"/>
        <v>0</v>
      </c>
      <c r="U9" s="1629"/>
      <c r="V9" s="1629">
        <f t="shared" si="10"/>
        <v>0</v>
      </c>
      <c r="W9" s="1629"/>
      <c r="X9" s="19">
        <f t="shared" si="11"/>
        <v>0</v>
      </c>
      <c r="Y9" s="20">
        <f t="shared" si="1"/>
        <v>60044.095000000001</v>
      </c>
    </row>
    <row r="10" spans="1:25" ht="35.25" customHeight="1" x14ac:dyDescent="0.25">
      <c r="A10" s="12">
        <v>1409935199</v>
      </c>
      <c r="C10" s="1629"/>
      <c r="D10" s="1630">
        <f t="shared" si="0"/>
        <v>0</v>
      </c>
      <c r="E10" s="1629"/>
      <c r="F10" s="1629">
        <f t="shared" si="2"/>
        <v>0</v>
      </c>
      <c r="G10" s="1629"/>
      <c r="H10" s="1629">
        <f t="shared" si="3"/>
        <v>0</v>
      </c>
      <c r="I10" s="1629"/>
      <c r="J10" s="1629">
        <f t="shared" si="4"/>
        <v>0</v>
      </c>
      <c r="K10" s="1629"/>
      <c r="L10" s="1630">
        <f t="shared" si="5"/>
        <v>0</v>
      </c>
      <c r="M10" s="1629"/>
      <c r="N10" s="1630">
        <f t="shared" si="6"/>
        <v>0</v>
      </c>
      <c r="O10" s="1629"/>
      <c r="P10" s="1630">
        <f t="shared" si="7"/>
        <v>0</v>
      </c>
      <c r="Q10" s="1630"/>
      <c r="R10" s="1630">
        <f t="shared" si="8"/>
        <v>0</v>
      </c>
      <c r="S10" s="1629"/>
      <c r="T10" s="1629">
        <f t="shared" si="9"/>
        <v>0</v>
      </c>
      <c r="U10" s="1629"/>
      <c r="V10" s="1629">
        <f t="shared" si="10"/>
        <v>0</v>
      </c>
      <c r="W10" s="1629"/>
      <c r="X10" s="19">
        <f t="shared" si="11"/>
        <v>0</v>
      </c>
      <c r="Y10" s="20">
        <f t="shared" si="1"/>
        <v>0</v>
      </c>
    </row>
    <row r="11" spans="1:25" ht="37.5" customHeight="1" x14ac:dyDescent="0.25">
      <c r="A11" s="12"/>
      <c r="B11" s="1628"/>
      <c r="C11" s="1629"/>
      <c r="D11" s="1630">
        <f t="shared" si="0"/>
        <v>0</v>
      </c>
      <c r="E11" s="1629"/>
      <c r="F11" s="1629">
        <f t="shared" si="2"/>
        <v>0</v>
      </c>
      <c r="G11" s="1629"/>
      <c r="H11" s="1629">
        <f t="shared" si="3"/>
        <v>0</v>
      </c>
      <c r="I11" s="1629"/>
      <c r="J11" s="1629">
        <f t="shared" si="4"/>
        <v>0</v>
      </c>
      <c r="K11" s="1629"/>
      <c r="L11" s="1630">
        <f t="shared" si="5"/>
        <v>0</v>
      </c>
      <c r="M11" s="1629"/>
      <c r="N11" s="1630">
        <f t="shared" si="6"/>
        <v>0</v>
      </c>
      <c r="O11" s="1629"/>
      <c r="P11" s="1630">
        <f t="shared" si="7"/>
        <v>0</v>
      </c>
      <c r="Q11" s="1630"/>
      <c r="R11" s="1630">
        <f t="shared" si="8"/>
        <v>0</v>
      </c>
      <c r="S11" s="1629"/>
      <c r="T11" s="1629">
        <f>341*S11</f>
        <v>0</v>
      </c>
      <c r="U11" s="1629"/>
      <c r="V11" s="1629">
        <f t="shared" si="10"/>
        <v>0</v>
      </c>
      <c r="W11" s="1629"/>
      <c r="X11" s="19">
        <f t="shared" si="11"/>
        <v>0</v>
      </c>
      <c r="Y11" s="20">
        <f t="shared" si="1"/>
        <v>0</v>
      </c>
    </row>
    <row r="12" spans="1:25" ht="29.25" customHeight="1" x14ac:dyDescent="0.25">
      <c r="A12" s="2235" t="s">
        <v>31</v>
      </c>
      <c r="B12" s="2235"/>
      <c r="C12" s="18">
        <f t="shared" ref="C12:X12" si="12">SUM(C6:C11)</f>
        <v>150802</v>
      </c>
      <c r="D12" s="18">
        <f t="shared" si="12"/>
        <v>146654.94500000001</v>
      </c>
      <c r="E12" s="18">
        <f t="shared" si="12"/>
        <v>0</v>
      </c>
      <c r="F12" s="18">
        <f t="shared" si="12"/>
        <v>0</v>
      </c>
      <c r="G12" s="18">
        <f t="shared" si="12"/>
        <v>0</v>
      </c>
      <c r="H12" s="18">
        <f t="shared" si="12"/>
        <v>0</v>
      </c>
      <c r="I12" s="18">
        <f t="shared" si="12"/>
        <v>660</v>
      </c>
      <c r="J12" s="18">
        <f t="shared" si="12"/>
        <v>12210</v>
      </c>
      <c r="K12" s="18">
        <f t="shared" si="12"/>
        <v>0</v>
      </c>
      <c r="L12" s="18">
        <f t="shared" si="12"/>
        <v>0</v>
      </c>
      <c r="M12" s="18">
        <f t="shared" si="12"/>
        <v>0</v>
      </c>
      <c r="N12" s="23">
        <f t="shared" si="12"/>
        <v>0</v>
      </c>
      <c r="O12" s="18">
        <f t="shared" si="12"/>
        <v>0</v>
      </c>
      <c r="P12" s="23">
        <f t="shared" si="12"/>
        <v>0</v>
      </c>
      <c r="Q12" s="23">
        <f t="shared" si="12"/>
        <v>0</v>
      </c>
      <c r="R12" s="23">
        <f>SUM(R6:R11)</f>
        <v>0</v>
      </c>
      <c r="S12" s="23">
        <f>SUM(S6:S11)</f>
        <v>0</v>
      </c>
      <c r="T12" s="18">
        <f t="shared" si="12"/>
        <v>0</v>
      </c>
      <c r="U12" s="18">
        <f t="shared" si="12"/>
        <v>3</v>
      </c>
      <c r="V12" s="18">
        <f t="shared" si="12"/>
        <v>996</v>
      </c>
      <c r="W12" s="18">
        <f t="shared" si="12"/>
        <v>0</v>
      </c>
      <c r="X12" s="18">
        <f t="shared" si="12"/>
        <v>0</v>
      </c>
      <c r="Y12" s="20">
        <f t="shared" si="1"/>
        <v>159860.94500000001</v>
      </c>
    </row>
    <row r="14" spans="1:25" ht="43.5" customHeight="1" x14ac:dyDescent="0.25">
      <c r="A14" s="30" t="s">
        <v>32</v>
      </c>
      <c r="B14" s="2236" t="s">
        <v>27</v>
      </c>
      <c r="C14" s="2236"/>
      <c r="D14" s="30" t="s">
        <v>333</v>
      </c>
      <c r="E14" s="30" t="s">
        <v>65</v>
      </c>
      <c r="F14" s="30" t="s">
        <v>34</v>
      </c>
      <c r="G14" s="30" t="s">
        <v>14</v>
      </c>
      <c r="H14" s="469" t="s">
        <v>173</v>
      </c>
      <c r="I14" s="30" t="s">
        <v>17</v>
      </c>
      <c r="J14" s="1634" t="s">
        <v>174</v>
      </c>
      <c r="K14" s="30" t="s">
        <v>36</v>
      </c>
      <c r="L14" s="1634" t="s">
        <v>403</v>
      </c>
      <c r="M14" s="30" t="s">
        <v>429</v>
      </c>
      <c r="N14" s="30" t="s">
        <v>442</v>
      </c>
      <c r="O14" s="1634" t="s">
        <v>114</v>
      </c>
      <c r="P14" s="30" t="s">
        <v>70</v>
      </c>
      <c r="Q14" s="2300" t="s">
        <v>479</v>
      </c>
      <c r="R14" s="2301"/>
      <c r="S14" s="1634" t="s">
        <v>401</v>
      </c>
      <c r="T14" s="2235" t="s">
        <v>46</v>
      </c>
      <c r="U14" s="1626" t="s">
        <v>176</v>
      </c>
      <c r="V14" s="2260">
        <v>35583</v>
      </c>
      <c r="W14" s="2268"/>
      <c r="X14" s="2261"/>
    </row>
    <row r="15" spans="1:25" ht="22.5" customHeight="1" x14ac:dyDescent="0.25">
      <c r="A15" s="100" t="s">
        <v>38</v>
      </c>
      <c r="B15" s="2260">
        <v>309403</v>
      </c>
      <c r="C15" s="2261"/>
      <c r="D15" s="1631">
        <v>0</v>
      </c>
      <c r="E15" s="1631">
        <v>0</v>
      </c>
      <c r="F15" s="1631">
        <v>8660</v>
      </c>
      <c r="G15" s="1631">
        <v>0</v>
      </c>
      <c r="H15" s="1631">
        <v>72</v>
      </c>
      <c r="I15" s="1631">
        <v>3</v>
      </c>
      <c r="J15" s="1631">
        <v>4</v>
      </c>
      <c r="K15" s="1631">
        <v>69</v>
      </c>
      <c r="L15" s="1631">
        <v>0</v>
      </c>
      <c r="M15" s="1631">
        <v>0</v>
      </c>
      <c r="N15" s="1631">
        <v>0</v>
      </c>
      <c r="O15" s="1631">
        <v>0</v>
      </c>
      <c r="P15" s="1631">
        <v>100</v>
      </c>
      <c r="Q15" s="2260">
        <v>10</v>
      </c>
      <c r="R15" s="2261"/>
      <c r="S15" s="1626">
        <v>2</v>
      </c>
      <c r="T15" s="2235"/>
      <c r="U15" s="1626" t="s">
        <v>64</v>
      </c>
      <c r="V15" s="2262">
        <v>175232</v>
      </c>
      <c r="W15" s="2262"/>
      <c r="X15" s="2262"/>
    </row>
    <row r="16" spans="1:25" ht="24.75" customHeight="1" x14ac:dyDescent="0.25">
      <c r="A16" s="100" t="s">
        <v>39</v>
      </c>
      <c r="B16" s="2260">
        <v>243909</v>
      </c>
      <c r="C16" s="2261"/>
      <c r="D16" s="1631"/>
      <c r="E16" s="1631">
        <v>1000</v>
      </c>
      <c r="F16" s="1631">
        <v>10000</v>
      </c>
      <c r="G16" s="1631"/>
      <c r="H16" s="1631"/>
      <c r="I16" s="1631">
        <v>75</v>
      </c>
      <c r="J16" s="1631"/>
      <c r="K16" s="1631"/>
      <c r="L16" s="1631"/>
      <c r="M16" s="1631"/>
      <c r="N16" s="1631"/>
      <c r="O16" s="1631"/>
      <c r="P16" s="1631"/>
      <c r="Q16" s="2262"/>
      <c r="R16" s="2262"/>
      <c r="S16" s="1631"/>
      <c r="T16" s="2254" t="s">
        <v>55</v>
      </c>
      <c r="U16" s="2254"/>
      <c r="V16" s="2267">
        <f>Y12</f>
        <v>159860.94500000001</v>
      </c>
      <c r="W16" s="2267"/>
      <c r="X16" s="2262"/>
    </row>
    <row r="17" spans="1:25" ht="28.5" customHeight="1" x14ac:dyDescent="0.25">
      <c r="A17" s="101" t="s">
        <v>44</v>
      </c>
      <c r="B17" s="2260"/>
      <c r="C17" s="2261"/>
      <c r="D17" s="1631"/>
      <c r="E17" s="1631"/>
      <c r="F17" s="1631"/>
      <c r="G17" s="1631"/>
      <c r="H17" s="1631"/>
      <c r="I17" s="1631"/>
      <c r="J17" s="1631"/>
      <c r="K17" s="1631"/>
      <c r="L17" s="1631"/>
      <c r="M17" s="1631"/>
      <c r="N17" s="1631"/>
      <c r="O17" s="1631"/>
      <c r="P17" s="1631"/>
      <c r="Q17" s="2225"/>
      <c r="R17" s="2225"/>
      <c r="S17" s="1628"/>
      <c r="T17" s="2294" t="s">
        <v>463</v>
      </c>
      <c r="U17" s="2295"/>
      <c r="V17" s="2296"/>
      <c r="W17" s="2296"/>
      <c r="X17" s="2296"/>
    </row>
    <row r="18" spans="1:25" ht="27" customHeight="1" x14ac:dyDescent="0.25">
      <c r="A18" s="100" t="s">
        <v>40</v>
      </c>
      <c r="B18" s="2264">
        <f>C12</f>
        <v>150802</v>
      </c>
      <c r="C18" s="2261"/>
      <c r="D18" s="1632">
        <f>E12</f>
        <v>0</v>
      </c>
      <c r="E18" s="1632">
        <f>G12</f>
        <v>0</v>
      </c>
      <c r="F18" s="1632">
        <f>I12</f>
        <v>660</v>
      </c>
      <c r="G18" s="1632">
        <f>K12</f>
        <v>0</v>
      </c>
      <c r="H18" s="1631"/>
      <c r="I18" s="1632">
        <f>U12</f>
        <v>3</v>
      </c>
      <c r="J18" s="1631"/>
      <c r="K18" s="1632">
        <f>W12</f>
        <v>0</v>
      </c>
      <c r="L18" s="1631"/>
      <c r="M18" s="1632">
        <f>M12</f>
        <v>0</v>
      </c>
      <c r="N18" s="1632">
        <f>O12</f>
        <v>0</v>
      </c>
      <c r="O18" s="1633">
        <f>Q12</f>
        <v>0</v>
      </c>
      <c r="P18" s="1632"/>
      <c r="Q18" s="2262"/>
      <c r="R18" s="2262"/>
      <c r="S18" s="1626"/>
      <c r="T18" s="2254" t="s">
        <v>57</v>
      </c>
      <c r="U18" s="2254"/>
      <c r="V18" s="2262">
        <v>910</v>
      </c>
      <c r="W18" s="2262"/>
      <c r="X18" s="2262"/>
      <c r="Y18" s="2269"/>
    </row>
    <row r="19" spans="1:25" ht="25.5" customHeight="1" x14ac:dyDescent="0.25">
      <c r="A19" s="100" t="s">
        <v>41</v>
      </c>
      <c r="B19" s="2260">
        <f>B15+B16+B17-B18</f>
        <v>402510</v>
      </c>
      <c r="C19" s="2261"/>
      <c r="D19" s="1631">
        <f>D15+D16+D17-D18</f>
        <v>0</v>
      </c>
      <c r="E19" s="1631">
        <f t="shared" ref="E19:N19" si="13">E15+E16+E17-E18</f>
        <v>1000</v>
      </c>
      <c r="F19" s="1631">
        <f t="shared" si="13"/>
        <v>18000</v>
      </c>
      <c r="G19" s="1631">
        <f t="shared" si="13"/>
        <v>0</v>
      </c>
      <c r="H19" s="1631">
        <f t="shared" si="13"/>
        <v>72</v>
      </c>
      <c r="I19" s="1631">
        <f t="shared" si="13"/>
        <v>75</v>
      </c>
      <c r="J19" s="1631">
        <f t="shared" si="13"/>
        <v>4</v>
      </c>
      <c r="K19" s="1631">
        <f t="shared" si="13"/>
        <v>69</v>
      </c>
      <c r="L19" s="1631">
        <f t="shared" si="13"/>
        <v>0</v>
      </c>
      <c r="M19" s="1631">
        <f t="shared" si="13"/>
        <v>0</v>
      </c>
      <c r="N19" s="1631">
        <f t="shared" si="13"/>
        <v>0</v>
      </c>
      <c r="O19" s="1631">
        <f>O15+O16+O17-O18</f>
        <v>0</v>
      </c>
      <c r="P19" s="1631">
        <f t="shared" ref="P19:Q19" si="14">P15+P16+P17-P18</f>
        <v>100</v>
      </c>
      <c r="Q19" s="2260">
        <f t="shared" si="14"/>
        <v>10</v>
      </c>
      <c r="R19" s="2261"/>
      <c r="S19" s="1626">
        <f>S15+S16-S17-S18</f>
        <v>2</v>
      </c>
      <c r="T19" s="2256" t="s">
        <v>48</v>
      </c>
      <c r="U19" s="49" t="s">
        <v>58</v>
      </c>
      <c r="V19" s="2262">
        <v>185000</v>
      </c>
      <c r="W19" s="2262"/>
      <c r="X19" s="2262"/>
      <c r="Y19" s="2269"/>
    </row>
    <row r="20" spans="1:25" ht="23.25" customHeight="1" x14ac:dyDescent="0.25">
      <c r="A20" s="289" t="s">
        <v>187</v>
      </c>
      <c r="B20" s="2286">
        <f>B19*0.9625</f>
        <v>387415.875</v>
      </c>
      <c r="C20" s="2287"/>
      <c r="D20" s="290">
        <f>D19*66.41</f>
        <v>0</v>
      </c>
      <c r="E20" s="290">
        <f>27.9368*E19</f>
        <v>27936.800000000003</v>
      </c>
      <c r="F20" s="290">
        <f>18.31*F19</f>
        <v>329580</v>
      </c>
      <c r="G20" s="290">
        <f>27.9368*G19</f>
        <v>0</v>
      </c>
      <c r="H20" s="290">
        <f>241*H19</f>
        <v>17352</v>
      </c>
      <c r="I20" s="290">
        <f>323*I19</f>
        <v>24225</v>
      </c>
      <c r="J20" s="290">
        <f>241*J19</f>
        <v>964</v>
      </c>
      <c r="K20" s="290">
        <f>K19*100</f>
        <v>6900</v>
      </c>
      <c r="L20" s="290">
        <f>241*L19</f>
        <v>0</v>
      </c>
      <c r="M20" s="290">
        <f>47.1625*M19</f>
        <v>0</v>
      </c>
      <c r="N20" s="290">
        <f>N19*8.81</f>
        <v>0</v>
      </c>
      <c r="O20" s="290">
        <f>241*O19</f>
        <v>0</v>
      </c>
      <c r="P20" s="290">
        <f>P19*48.2</f>
        <v>4820</v>
      </c>
      <c r="Q20" s="2286">
        <f>470*Q19</f>
        <v>4700</v>
      </c>
      <c r="R20" s="2287"/>
      <c r="S20" s="290">
        <f>341*S19</f>
        <v>682</v>
      </c>
      <c r="T20" s="2257"/>
      <c r="U20" s="49" t="s">
        <v>59</v>
      </c>
      <c r="V20" s="2262">
        <v>70000</v>
      </c>
      <c r="W20" s="2262"/>
      <c r="X20" s="2262"/>
      <c r="Y20" s="2269"/>
    </row>
    <row r="21" spans="1:25" ht="32.25" customHeight="1" x14ac:dyDescent="0.25">
      <c r="A21" s="291" t="s">
        <v>186</v>
      </c>
      <c r="B21" s="2293">
        <f>SUM(B20:S20)</f>
        <v>804575.67500000005</v>
      </c>
      <c r="C21" s="2293"/>
      <c r="O21" s="1635"/>
      <c r="P21" s="1635"/>
      <c r="Q21" s="1635"/>
      <c r="R21" s="1635"/>
      <c r="T21" s="2294" t="s">
        <v>515</v>
      </c>
      <c r="U21" s="2295"/>
      <c r="V21" s="2297">
        <v>70000</v>
      </c>
      <c r="W21" s="2298"/>
      <c r="X21" s="2299"/>
      <c r="Y21" s="2269"/>
    </row>
    <row r="22" spans="1:25" ht="35.25" customHeight="1" x14ac:dyDescent="0.25">
      <c r="A22" s="15"/>
      <c r="B22" s="2288" t="s">
        <v>49</v>
      </c>
      <c r="C22" s="2291">
        <v>185000</v>
      </c>
      <c r="D22" s="2291">
        <v>185000</v>
      </c>
      <c r="E22" s="2291">
        <v>400000</v>
      </c>
      <c r="F22" s="2291">
        <f>C22-D22+E22</f>
        <v>400000</v>
      </c>
      <c r="G22" s="1635"/>
      <c r="Q22" s="1635"/>
      <c r="R22" s="1635"/>
      <c r="T22" s="2251" t="s">
        <v>83</v>
      </c>
      <c r="U22" s="50" t="s">
        <v>60</v>
      </c>
      <c r="V22" s="2262">
        <v>91980</v>
      </c>
      <c r="W22" s="2262"/>
      <c r="X22" s="2262"/>
      <c r="Y22" s="2269"/>
    </row>
    <row r="23" spans="1:25" ht="39.75" customHeight="1" x14ac:dyDescent="0.25">
      <c r="A23" s="1635"/>
      <c r="B23" s="2289"/>
      <c r="C23" s="2292"/>
      <c r="D23" s="2292"/>
      <c r="E23" s="2292"/>
      <c r="F23" s="2292"/>
      <c r="G23" s="1635"/>
      <c r="Q23" s="1635"/>
      <c r="R23" s="1635"/>
      <c r="T23" s="2252"/>
      <c r="U23" s="50" t="s">
        <v>61</v>
      </c>
      <c r="V23" s="2262">
        <v>255000</v>
      </c>
      <c r="W23" s="2262"/>
      <c r="X23" s="2262"/>
      <c r="Y23" s="2269"/>
    </row>
    <row r="24" spans="1:25" ht="48" customHeight="1" x14ac:dyDescent="0.25">
      <c r="A24" s="1635"/>
      <c r="B24" s="2290"/>
      <c r="C24" s="290" t="s">
        <v>46</v>
      </c>
      <c r="D24" s="290" t="s">
        <v>50</v>
      </c>
      <c r="E24" s="290" t="s">
        <v>51</v>
      </c>
      <c r="F24" s="290" t="s">
        <v>52</v>
      </c>
      <c r="G24" s="1635"/>
      <c r="Q24" s="1635"/>
      <c r="R24" s="1635"/>
      <c r="T24" s="2235" t="s">
        <v>47</v>
      </c>
      <c r="U24" s="51" t="s">
        <v>62</v>
      </c>
      <c r="V24" s="2263">
        <f>V14+V16+V17-V18-V19-V20-V22+V23-V21</f>
        <v>32553.945000000007</v>
      </c>
      <c r="W24" s="2263"/>
      <c r="X24" s="2263"/>
      <c r="Y24" s="2269"/>
    </row>
    <row r="25" spans="1:25" ht="40.5" customHeight="1" x14ac:dyDescent="0.25">
      <c r="T25" s="2235"/>
      <c r="U25" s="51" t="s">
        <v>63</v>
      </c>
      <c r="V25" s="2262">
        <f>V15+V22-V23</f>
        <v>12212</v>
      </c>
      <c r="W25" s="2262"/>
      <c r="X25" s="2262"/>
    </row>
    <row r="26" spans="1:25" ht="36" customHeight="1" x14ac:dyDescent="0.25">
      <c r="K26" s="314"/>
    </row>
    <row r="28" spans="1:25" x14ac:dyDescent="0.25">
      <c r="J28" s="14" t="s">
        <v>139</v>
      </c>
    </row>
    <row r="32" spans="1:25" x14ac:dyDescent="0.25">
      <c r="I32" s="2280"/>
      <c r="J32" s="2280"/>
      <c r="K32" s="2280"/>
      <c r="L32" s="2280"/>
    </row>
    <row r="33" spans="9:12" x14ac:dyDescent="0.25">
      <c r="I33" s="1635"/>
      <c r="J33" s="1635"/>
      <c r="K33" s="2280"/>
      <c r="L33" s="2280"/>
    </row>
  </sheetData>
  <mergeCells count="62">
    <mergeCell ref="I32:J32"/>
    <mergeCell ref="K32:L32"/>
    <mergeCell ref="K33:L33"/>
    <mergeCell ref="T22:T23"/>
    <mergeCell ref="V22:X22"/>
    <mergeCell ref="V23:X23"/>
    <mergeCell ref="T24:T25"/>
    <mergeCell ref="V24:X24"/>
    <mergeCell ref="V25:X25"/>
    <mergeCell ref="Y18:Y24"/>
    <mergeCell ref="B19:C19"/>
    <mergeCell ref="Q19:R19"/>
    <mergeCell ref="T19:T20"/>
    <mergeCell ref="V19:X19"/>
    <mergeCell ref="B20:C20"/>
    <mergeCell ref="B22:B24"/>
    <mergeCell ref="C22:C23"/>
    <mergeCell ref="D22:D23"/>
    <mergeCell ref="E22:E23"/>
    <mergeCell ref="F22:F23"/>
    <mergeCell ref="Q20:R20"/>
    <mergeCell ref="V20:X20"/>
    <mergeCell ref="B21:C21"/>
    <mergeCell ref="T21:U21"/>
    <mergeCell ref="V21:X21"/>
    <mergeCell ref="B17:C17"/>
    <mergeCell ref="Q17:R17"/>
    <mergeCell ref="T17:U17"/>
    <mergeCell ref="V17:X17"/>
    <mergeCell ref="B18:C18"/>
    <mergeCell ref="Q18:R18"/>
    <mergeCell ref="T18:U18"/>
    <mergeCell ref="V18:X18"/>
    <mergeCell ref="W4:X4"/>
    <mergeCell ref="B16:C16"/>
    <mergeCell ref="Q16:R16"/>
    <mergeCell ref="T16:U16"/>
    <mergeCell ref="V16:X16"/>
    <mergeCell ref="A12:B12"/>
    <mergeCell ref="B14:C14"/>
    <mergeCell ref="Q14:R14"/>
    <mergeCell ref="T14:T15"/>
    <mergeCell ref="V14:X14"/>
    <mergeCell ref="B15:C15"/>
    <mergeCell ref="Q15:R15"/>
    <mergeCell ref="V15:X15"/>
    <mergeCell ref="A1:Y1"/>
    <mergeCell ref="A2:Y2"/>
    <mergeCell ref="T3:Y3"/>
    <mergeCell ref="A4:A5"/>
    <mergeCell ref="B4:B5"/>
    <mergeCell ref="C4:D4"/>
    <mergeCell ref="E4:F4"/>
    <mergeCell ref="G4:H4"/>
    <mergeCell ref="I4:J4"/>
    <mergeCell ref="K4:L4"/>
    <mergeCell ref="Y4:Y5"/>
    <mergeCell ref="M4:N4"/>
    <mergeCell ref="O4:P4"/>
    <mergeCell ref="Q4:R4"/>
    <mergeCell ref="S4:T4"/>
    <mergeCell ref="U4:V4"/>
  </mergeCells>
  <pageMargins left="0.15748031496063" right="0.15748031496063" top="0" bottom="0" header="0" footer="0"/>
  <pageSetup paperSize="9" scale="46" orientation="landscape" r:id="rId1"/>
</worksheet>
</file>

<file path=xl/worksheets/sheet26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64E6810-AA93-478F-B68C-3C861F7FFF8B}">
  <sheetPr>
    <pageSetUpPr fitToPage="1"/>
  </sheetPr>
  <dimension ref="A1:Y33"/>
  <sheetViews>
    <sheetView topLeftCell="D5" zoomScale="70" zoomScaleNormal="70" zoomScaleSheetLayoutView="100" zoomScalePageLayoutView="68" workbookViewId="0">
      <selection activeCell="J23" sqref="J23"/>
    </sheetView>
  </sheetViews>
  <sheetFormatPr defaultColWidth="9.140625" defaultRowHeight="15" x14ac:dyDescent="0.25"/>
  <cols>
    <col min="1" max="1" width="18.28515625" style="14" customWidth="1"/>
    <col min="2" max="2" width="10.7109375" style="14" customWidth="1"/>
    <col min="3" max="3" width="12.28515625" style="14" customWidth="1"/>
    <col min="4" max="4" width="13.140625" style="14" bestFit="1" customWidth="1"/>
    <col min="5" max="5" width="12" style="14" customWidth="1"/>
    <col min="6" max="6" width="14" style="14" bestFit="1" customWidth="1"/>
    <col min="7" max="7" width="16" style="14" bestFit="1" customWidth="1"/>
    <col min="8" max="8" width="10.140625" style="14" bestFit="1" customWidth="1"/>
    <col min="9" max="9" width="10.5703125" style="14" bestFit="1" customWidth="1"/>
    <col min="10" max="10" width="10.5703125" style="14" customWidth="1"/>
    <col min="11" max="11" width="10.28515625" style="14" bestFit="1" customWidth="1"/>
    <col min="12" max="12" width="10.42578125" style="14" bestFit="1" customWidth="1"/>
    <col min="13" max="14" width="12" style="14" bestFit="1" customWidth="1"/>
    <col min="15" max="15" width="11" style="14" customWidth="1"/>
    <col min="16" max="16" width="12.85546875" style="14" bestFit="1" customWidth="1"/>
    <col min="17" max="18" width="9.42578125" style="14" customWidth="1"/>
    <col min="19" max="19" width="13.7109375" style="14" customWidth="1"/>
    <col min="20" max="20" width="12.140625" style="14" customWidth="1"/>
    <col min="21" max="21" width="21.7109375" style="14" customWidth="1"/>
    <col min="22" max="22" width="9.85546875" style="14" customWidth="1"/>
    <col min="23" max="23" width="10.140625" style="14" bestFit="1" customWidth="1"/>
    <col min="24" max="24" width="10.28515625" style="14" customWidth="1"/>
    <col min="25" max="25" width="15.7109375" style="14" customWidth="1"/>
    <col min="26" max="16384" width="9.140625" style="14"/>
  </cols>
  <sheetData>
    <row r="1" spans="1:25" ht="46.15" customHeight="1" x14ac:dyDescent="0.25">
      <c r="A1" s="2240" t="s">
        <v>148</v>
      </c>
      <c r="B1" s="2240"/>
      <c r="C1" s="2240"/>
      <c r="D1" s="2240"/>
      <c r="E1" s="2240"/>
      <c r="F1" s="2240"/>
      <c r="G1" s="2240"/>
      <c r="H1" s="2240"/>
      <c r="I1" s="2240"/>
      <c r="J1" s="2240"/>
      <c r="K1" s="2240"/>
      <c r="L1" s="2240"/>
      <c r="M1" s="2240"/>
      <c r="N1" s="2240"/>
      <c r="O1" s="2240"/>
      <c r="P1" s="2240"/>
      <c r="Q1" s="2240"/>
      <c r="R1" s="2240"/>
      <c r="S1" s="2240"/>
      <c r="T1" s="2240"/>
      <c r="U1" s="2240"/>
      <c r="V1" s="2240"/>
      <c r="W1" s="2240"/>
      <c r="X1" s="2240"/>
      <c r="Y1" s="2240"/>
    </row>
    <row r="2" spans="1:25" ht="21.6" customHeight="1" x14ac:dyDescent="0.25">
      <c r="A2" s="2241" t="s">
        <v>383</v>
      </c>
      <c r="B2" s="2241"/>
      <c r="C2" s="2241"/>
      <c r="D2" s="2241"/>
      <c r="E2" s="2241"/>
      <c r="F2" s="2241"/>
      <c r="G2" s="2241"/>
      <c r="H2" s="2241"/>
      <c r="I2" s="2241"/>
      <c r="J2" s="2241"/>
      <c r="K2" s="2241"/>
      <c r="L2" s="2241"/>
      <c r="M2" s="2241"/>
      <c r="N2" s="2241"/>
      <c r="O2" s="2241"/>
      <c r="P2" s="2241"/>
      <c r="Q2" s="2241"/>
      <c r="R2" s="2241"/>
      <c r="S2" s="2241"/>
      <c r="T2" s="2241"/>
      <c r="U2" s="2241"/>
      <c r="V2" s="2241"/>
      <c r="W2" s="2241"/>
      <c r="X2" s="2241"/>
      <c r="Y2" s="2241"/>
    </row>
    <row r="3" spans="1:25" ht="21" customHeight="1" x14ac:dyDescent="0.25">
      <c r="A3" s="1641"/>
      <c r="B3" s="1641"/>
      <c r="C3" s="1641"/>
      <c r="D3" s="1641"/>
      <c r="E3" s="1641"/>
      <c r="F3" s="1641"/>
      <c r="G3" s="1641"/>
      <c r="H3" s="1641"/>
      <c r="I3" s="1641"/>
      <c r="J3" s="1641"/>
      <c r="K3" s="1641"/>
      <c r="L3" s="1641"/>
      <c r="M3" s="1641"/>
      <c r="N3" s="1641"/>
      <c r="O3" s="1641"/>
      <c r="P3" s="1641"/>
      <c r="Q3" s="1641"/>
      <c r="R3" s="1641"/>
      <c r="S3" s="1641"/>
      <c r="T3" s="2242" t="s">
        <v>516</v>
      </c>
      <c r="U3" s="2242"/>
      <c r="V3" s="2242"/>
      <c r="W3" s="2242"/>
      <c r="X3" s="2242"/>
      <c r="Y3" s="2242"/>
    </row>
    <row r="4" spans="1:25" s="1641" customFormat="1" ht="18" customHeight="1" x14ac:dyDescent="0.25">
      <c r="A4" s="2243" t="s">
        <v>25</v>
      </c>
      <c r="B4" s="2243" t="s">
        <v>26</v>
      </c>
      <c r="C4" s="2244" t="s">
        <v>27</v>
      </c>
      <c r="D4" s="2244"/>
      <c r="E4" s="2244" t="s">
        <v>342</v>
      </c>
      <c r="F4" s="2244"/>
      <c r="G4" s="2244" t="s">
        <v>65</v>
      </c>
      <c r="H4" s="2244"/>
      <c r="I4" s="2244" t="s">
        <v>29</v>
      </c>
      <c r="J4" s="2244"/>
      <c r="K4" s="2245" t="s">
        <v>14</v>
      </c>
      <c r="L4" s="2246"/>
      <c r="M4" s="2245" t="s">
        <v>429</v>
      </c>
      <c r="N4" s="2246"/>
      <c r="O4" s="2245" t="s">
        <v>441</v>
      </c>
      <c r="P4" s="2246"/>
      <c r="Q4" s="2245" t="s">
        <v>114</v>
      </c>
      <c r="R4" s="2246"/>
      <c r="S4" s="2244" t="s">
        <v>35</v>
      </c>
      <c r="T4" s="2244"/>
      <c r="U4" s="2245" t="s">
        <v>17</v>
      </c>
      <c r="V4" s="2246"/>
      <c r="W4" s="2247" t="s">
        <v>36</v>
      </c>
      <c r="X4" s="2248"/>
      <c r="Y4" s="2238" t="s">
        <v>30</v>
      </c>
    </row>
    <row r="5" spans="1:25" s="1641" customFormat="1" ht="25.5" customHeight="1" x14ac:dyDescent="0.25">
      <c r="A5" s="2243"/>
      <c r="B5" s="2243"/>
      <c r="C5" s="1640" t="s">
        <v>42</v>
      </c>
      <c r="D5" s="1640" t="s">
        <v>43</v>
      </c>
      <c r="E5" s="1640" t="s">
        <v>42</v>
      </c>
      <c r="F5" s="1640" t="s">
        <v>43</v>
      </c>
      <c r="G5" s="1640" t="s">
        <v>42</v>
      </c>
      <c r="H5" s="1640" t="s">
        <v>43</v>
      </c>
      <c r="I5" s="1640" t="s">
        <v>42</v>
      </c>
      <c r="J5" s="1640" t="s">
        <v>43</v>
      </c>
      <c r="K5" s="1640" t="s">
        <v>42</v>
      </c>
      <c r="L5" s="1640" t="s">
        <v>43</v>
      </c>
      <c r="M5" s="1640" t="s">
        <v>42</v>
      </c>
      <c r="N5" s="1640" t="s">
        <v>43</v>
      </c>
      <c r="O5" s="1640" t="s">
        <v>42</v>
      </c>
      <c r="P5" s="1640" t="s">
        <v>43</v>
      </c>
      <c r="Q5" s="1640" t="s">
        <v>42</v>
      </c>
      <c r="R5" s="1640" t="s">
        <v>43</v>
      </c>
      <c r="S5" s="33" t="s">
        <v>42</v>
      </c>
      <c r="T5" s="33" t="s">
        <v>43</v>
      </c>
      <c r="U5" s="30" t="s">
        <v>42</v>
      </c>
      <c r="V5" s="30" t="s">
        <v>43</v>
      </c>
      <c r="W5" s="30" t="s">
        <v>42</v>
      </c>
      <c r="X5" s="30" t="s">
        <v>43</v>
      </c>
      <c r="Y5" s="2239"/>
    </row>
    <row r="6" spans="1:25" ht="34.5" customHeight="1" x14ac:dyDescent="0.25">
      <c r="A6" s="12">
        <v>1409935200</v>
      </c>
      <c r="B6" s="1639" t="s">
        <v>71</v>
      </c>
      <c r="C6" s="1637">
        <v>24386</v>
      </c>
      <c r="D6" s="1636">
        <f t="shared" ref="D6:D11" si="0">0.9725*C6</f>
        <v>23715.385000000002</v>
      </c>
      <c r="E6" s="1637"/>
      <c r="F6" s="1636">
        <f>67.1*E6</f>
        <v>0</v>
      </c>
      <c r="G6" s="1637"/>
      <c r="H6" s="1637">
        <f>28.2*G6</f>
        <v>0</v>
      </c>
      <c r="I6" s="1637">
        <v>480</v>
      </c>
      <c r="J6" s="1637">
        <f>18.5*I6</f>
        <v>8880</v>
      </c>
      <c r="K6" s="1637"/>
      <c r="L6" s="1636">
        <f>28.2368*K6</f>
        <v>0</v>
      </c>
      <c r="M6" s="1637"/>
      <c r="N6" s="1636">
        <f>M6*47.6525</f>
        <v>0</v>
      </c>
      <c r="O6" s="1637"/>
      <c r="P6" s="1636">
        <f>O6*8.9</f>
        <v>0</v>
      </c>
      <c r="Q6" s="1636"/>
      <c r="R6" s="1636">
        <f>241*Q6</f>
        <v>0</v>
      </c>
      <c r="S6" s="1637"/>
      <c r="T6" s="1637">
        <f>241*S6</f>
        <v>0</v>
      </c>
      <c r="U6" s="1637"/>
      <c r="V6" s="1637">
        <f>332*U6</f>
        <v>0</v>
      </c>
      <c r="W6" s="1637"/>
      <c r="X6" s="19">
        <f>W6*100</f>
        <v>0</v>
      </c>
      <c r="Y6" s="20">
        <f t="shared" ref="Y6:Y12" si="1">D6+F6+H6+J6+L6+N6+P6+R6+T6+V6+X6</f>
        <v>32595.385000000002</v>
      </c>
    </row>
    <row r="7" spans="1:25" ht="31.5" customHeight="1" x14ac:dyDescent="0.25">
      <c r="A7" s="12">
        <v>1984225578</v>
      </c>
      <c r="B7" s="1639" t="s">
        <v>509</v>
      </c>
      <c r="C7" s="1637">
        <v>32314</v>
      </c>
      <c r="D7" s="1636">
        <f t="shared" si="0"/>
        <v>31425.365000000002</v>
      </c>
      <c r="E7" s="1637"/>
      <c r="F7" s="1637">
        <f t="shared" ref="F7:F11" si="2">67.1*E7</f>
        <v>0</v>
      </c>
      <c r="G7" s="1637"/>
      <c r="H7" s="1637">
        <f t="shared" ref="H7:H11" si="3">28.2*G7</f>
        <v>0</v>
      </c>
      <c r="I7" s="1637">
        <v>490</v>
      </c>
      <c r="J7" s="1637">
        <f t="shared" ref="J7:J11" si="4">18.5*I7</f>
        <v>9065</v>
      </c>
      <c r="K7" s="1637"/>
      <c r="L7" s="1636">
        <f t="shared" ref="L7:L11" si="5">28.2368*K7</f>
        <v>0</v>
      </c>
      <c r="M7" s="1637"/>
      <c r="N7" s="1636">
        <f t="shared" ref="N7:N11" si="6">M7*47.6525</f>
        <v>0</v>
      </c>
      <c r="O7" s="1637"/>
      <c r="P7" s="1636">
        <f t="shared" ref="P7:P11" si="7">O7*8.9</f>
        <v>0</v>
      </c>
      <c r="Q7" s="1636"/>
      <c r="R7" s="1636">
        <f t="shared" ref="R7:R11" si="8">241*Q7</f>
        <v>0</v>
      </c>
      <c r="S7" s="1637"/>
      <c r="T7" s="1637">
        <f t="shared" ref="T7:T10" si="9">241*S7</f>
        <v>0</v>
      </c>
      <c r="U7" s="1637"/>
      <c r="V7" s="1637">
        <f t="shared" ref="V7:V11" si="10">332*U7</f>
        <v>0</v>
      </c>
      <c r="W7" s="1637"/>
      <c r="X7" s="19">
        <f t="shared" ref="X7:X11" si="11">W7*100</f>
        <v>0</v>
      </c>
      <c r="Y7" s="20">
        <f t="shared" si="1"/>
        <v>40490.365000000005</v>
      </c>
    </row>
    <row r="8" spans="1:25" ht="35.25" customHeight="1" x14ac:dyDescent="0.25">
      <c r="A8" s="12">
        <v>1967020280</v>
      </c>
      <c r="B8" s="1639" t="s">
        <v>427</v>
      </c>
      <c r="C8" s="1637">
        <v>17691</v>
      </c>
      <c r="D8" s="1636">
        <f t="shared" si="0"/>
        <v>17204.497500000001</v>
      </c>
      <c r="E8" s="1637"/>
      <c r="F8" s="1637">
        <f t="shared" si="2"/>
        <v>0</v>
      </c>
      <c r="G8" s="1637"/>
      <c r="H8" s="1636">
        <f t="shared" si="3"/>
        <v>0</v>
      </c>
      <c r="I8" s="1637">
        <v>500</v>
      </c>
      <c r="J8" s="1637">
        <f t="shared" si="4"/>
        <v>9250</v>
      </c>
      <c r="K8" s="1637"/>
      <c r="L8" s="1636">
        <f t="shared" si="5"/>
        <v>0</v>
      </c>
      <c r="M8" s="1637"/>
      <c r="N8" s="1636">
        <f t="shared" si="6"/>
        <v>0</v>
      </c>
      <c r="O8" s="1637"/>
      <c r="P8" s="1636">
        <f t="shared" si="7"/>
        <v>0</v>
      </c>
      <c r="Q8" s="1636"/>
      <c r="R8" s="1636">
        <f t="shared" si="8"/>
        <v>0</v>
      </c>
      <c r="S8" s="1637"/>
      <c r="T8" s="1637">
        <f t="shared" si="9"/>
        <v>0</v>
      </c>
      <c r="U8" s="1637"/>
      <c r="V8" s="1637">
        <f t="shared" si="10"/>
        <v>0</v>
      </c>
      <c r="W8" s="1637"/>
      <c r="X8" s="19">
        <f t="shared" si="11"/>
        <v>0</v>
      </c>
      <c r="Y8" s="20">
        <f t="shared" si="1"/>
        <v>26454.497500000001</v>
      </c>
    </row>
    <row r="9" spans="1:25" ht="38.25" customHeight="1" x14ac:dyDescent="0.25">
      <c r="A9" s="12">
        <v>1984225580</v>
      </c>
      <c r="B9" s="1639" t="s">
        <v>75</v>
      </c>
      <c r="C9" s="1637">
        <v>16847</v>
      </c>
      <c r="D9" s="1636">
        <f t="shared" si="0"/>
        <v>16383.7075</v>
      </c>
      <c r="E9" s="1637"/>
      <c r="F9" s="1637">
        <f t="shared" si="2"/>
        <v>0</v>
      </c>
      <c r="G9" s="1637"/>
      <c r="H9" s="1637">
        <f t="shared" si="3"/>
        <v>0</v>
      </c>
      <c r="I9" s="1637">
        <v>1210</v>
      </c>
      <c r="J9" s="1637">
        <f t="shared" si="4"/>
        <v>22385</v>
      </c>
      <c r="K9" s="1637"/>
      <c r="L9" s="1636">
        <f t="shared" si="5"/>
        <v>0</v>
      </c>
      <c r="M9" s="1637"/>
      <c r="N9" s="1636">
        <f t="shared" si="6"/>
        <v>0</v>
      </c>
      <c r="O9" s="1637"/>
      <c r="P9" s="1636">
        <f t="shared" si="7"/>
        <v>0</v>
      </c>
      <c r="Q9" s="1636"/>
      <c r="R9" s="1636">
        <f t="shared" si="8"/>
        <v>0</v>
      </c>
      <c r="S9" s="1637"/>
      <c r="T9" s="1637">
        <f t="shared" si="9"/>
        <v>0</v>
      </c>
      <c r="U9" s="1637"/>
      <c r="V9" s="1637">
        <f t="shared" si="10"/>
        <v>0</v>
      </c>
      <c r="W9" s="1637"/>
      <c r="X9" s="19">
        <f t="shared" si="11"/>
        <v>0</v>
      </c>
      <c r="Y9" s="20">
        <f t="shared" si="1"/>
        <v>38768.707500000004</v>
      </c>
    </row>
    <row r="10" spans="1:25" ht="35.25" customHeight="1" x14ac:dyDescent="0.25">
      <c r="A10" s="12">
        <v>1409935199</v>
      </c>
      <c r="C10" s="1637"/>
      <c r="D10" s="1636">
        <f t="shared" si="0"/>
        <v>0</v>
      </c>
      <c r="E10" s="1637"/>
      <c r="F10" s="1637">
        <f t="shared" si="2"/>
        <v>0</v>
      </c>
      <c r="G10" s="1637"/>
      <c r="H10" s="1637">
        <f t="shared" si="3"/>
        <v>0</v>
      </c>
      <c r="I10" s="1637"/>
      <c r="J10" s="1637">
        <f t="shared" si="4"/>
        <v>0</v>
      </c>
      <c r="K10" s="1637"/>
      <c r="L10" s="1636">
        <f t="shared" si="5"/>
        <v>0</v>
      </c>
      <c r="M10" s="1637"/>
      <c r="N10" s="1636">
        <f t="shared" si="6"/>
        <v>0</v>
      </c>
      <c r="O10" s="1637"/>
      <c r="P10" s="1636">
        <f t="shared" si="7"/>
        <v>0</v>
      </c>
      <c r="Q10" s="1636"/>
      <c r="R10" s="1636">
        <f t="shared" si="8"/>
        <v>0</v>
      </c>
      <c r="S10" s="1637"/>
      <c r="T10" s="1637">
        <f t="shared" si="9"/>
        <v>0</v>
      </c>
      <c r="U10" s="1637"/>
      <c r="V10" s="1637">
        <f t="shared" si="10"/>
        <v>0</v>
      </c>
      <c r="W10" s="1637"/>
      <c r="X10" s="19">
        <f t="shared" si="11"/>
        <v>0</v>
      </c>
      <c r="Y10" s="20">
        <f t="shared" si="1"/>
        <v>0</v>
      </c>
    </row>
    <row r="11" spans="1:25" ht="37.5" customHeight="1" x14ac:dyDescent="0.25">
      <c r="A11" s="12"/>
      <c r="B11" s="1638"/>
      <c r="C11" s="1637"/>
      <c r="D11" s="1636">
        <f t="shared" si="0"/>
        <v>0</v>
      </c>
      <c r="E11" s="1637"/>
      <c r="F11" s="1637">
        <f t="shared" si="2"/>
        <v>0</v>
      </c>
      <c r="G11" s="1637"/>
      <c r="H11" s="1637">
        <f t="shared" si="3"/>
        <v>0</v>
      </c>
      <c r="I11" s="1637"/>
      <c r="J11" s="1637">
        <f t="shared" si="4"/>
        <v>0</v>
      </c>
      <c r="K11" s="1637"/>
      <c r="L11" s="1636">
        <f t="shared" si="5"/>
        <v>0</v>
      </c>
      <c r="M11" s="1637"/>
      <c r="N11" s="1636">
        <f t="shared" si="6"/>
        <v>0</v>
      </c>
      <c r="O11" s="1637"/>
      <c r="P11" s="1636">
        <f t="shared" si="7"/>
        <v>0</v>
      </c>
      <c r="Q11" s="1636"/>
      <c r="R11" s="1636">
        <f t="shared" si="8"/>
        <v>0</v>
      </c>
      <c r="S11" s="1637"/>
      <c r="T11" s="1637">
        <f>341*S11</f>
        <v>0</v>
      </c>
      <c r="U11" s="1637"/>
      <c r="V11" s="1637">
        <f t="shared" si="10"/>
        <v>0</v>
      </c>
      <c r="W11" s="1637"/>
      <c r="X11" s="19">
        <f t="shared" si="11"/>
        <v>0</v>
      </c>
      <c r="Y11" s="20">
        <f t="shared" si="1"/>
        <v>0</v>
      </c>
    </row>
    <row r="12" spans="1:25" ht="29.25" customHeight="1" x14ac:dyDescent="0.25">
      <c r="A12" s="2235" t="s">
        <v>31</v>
      </c>
      <c r="B12" s="2235"/>
      <c r="C12" s="18">
        <f t="shared" ref="C12:X12" si="12">SUM(C6:C11)</f>
        <v>91238</v>
      </c>
      <c r="D12" s="18">
        <f t="shared" si="12"/>
        <v>88728.955000000002</v>
      </c>
      <c r="E12" s="18">
        <f t="shared" si="12"/>
        <v>0</v>
      </c>
      <c r="F12" s="18">
        <f t="shared" si="12"/>
        <v>0</v>
      </c>
      <c r="G12" s="18">
        <f t="shared" si="12"/>
        <v>0</v>
      </c>
      <c r="H12" s="18">
        <f t="shared" si="12"/>
        <v>0</v>
      </c>
      <c r="I12" s="18">
        <f t="shared" si="12"/>
        <v>2680</v>
      </c>
      <c r="J12" s="18">
        <f t="shared" si="12"/>
        <v>49580</v>
      </c>
      <c r="K12" s="18">
        <f t="shared" si="12"/>
        <v>0</v>
      </c>
      <c r="L12" s="18">
        <f t="shared" si="12"/>
        <v>0</v>
      </c>
      <c r="M12" s="18">
        <f t="shared" si="12"/>
        <v>0</v>
      </c>
      <c r="N12" s="23">
        <f t="shared" si="12"/>
        <v>0</v>
      </c>
      <c r="O12" s="18">
        <f t="shared" si="12"/>
        <v>0</v>
      </c>
      <c r="P12" s="23">
        <f t="shared" si="12"/>
        <v>0</v>
      </c>
      <c r="Q12" s="23">
        <f t="shared" si="12"/>
        <v>0</v>
      </c>
      <c r="R12" s="23">
        <f>SUM(R6:R11)</f>
        <v>0</v>
      </c>
      <c r="S12" s="23">
        <f>SUM(S6:S11)</f>
        <v>0</v>
      </c>
      <c r="T12" s="18">
        <f t="shared" si="12"/>
        <v>0</v>
      </c>
      <c r="U12" s="18">
        <f t="shared" si="12"/>
        <v>0</v>
      </c>
      <c r="V12" s="18">
        <f t="shared" si="12"/>
        <v>0</v>
      </c>
      <c r="W12" s="18">
        <f t="shared" si="12"/>
        <v>0</v>
      </c>
      <c r="X12" s="18">
        <f t="shared" si="12"/>
        <v>0</v>
      </c>
      <c r="Y12" s="20">
        <f t="shared" si="1"/>
        <v>138308.95500000002</v>
      </c>
    </row>
    <row r="14" spans="1:25" ht="43.5" customHeight="1" x14ac:dyDescent="0.25">
      <c r="A14" s="30" t="s">
        <v>32</v>
      </c>
      <c r="B14" s="2236" t="s">
        <v>27</v>
      </c>
      <c r="C14" s="2236"/>
      <c r="D14" s="30" t="s">
        <v>333</v>
      </c>
      <c r="E14" s="30" t="s">
        <v>65</v>
      </c>
      <c r="F14" s="30" t="s">
        <v>34</v>
      </c>
      <c r="G14" s="30" t="s">
        <v>14</v>
      </c>
      <c r="H14" s="469" t="s">
        <v>173</v>
      </c>
      <c r="I14" s="30" t="s">
        <v>17</v>
      </c>
      <c r="J14" s="1645" t="s">
        <v>174</v>
      </c>
      <c r="K14" s="30" t="s">
        <v>36</v>
      </c>
      <c r="L14" s="1645" t="s">
        <v>403</v>
      </c>
      <c r="M14" s="30" t="s">
        <v>429</v>
      </c>
      <c r="N14" s="30" t="s">
        <v>442</v>
      </c>
      <c r="O14" s="1645" t="s">
        <v>114</v>
      </c>
      <c r="P14" s="30" t="s">
        <v>70</v>
      </c>
      <c r="Q14" s="2300" t="s">
        <v>479</v>
      </c>
      <c r="R14" s="2301"/>
      <c r="S14" s="1645" t="s">
        <v>401</v>
      </c>
      <c r="T14" s="2235" t="s">
        <v>46</v>
      </c>
      <c r="U14" s="1639" t="s">
        <v>176</v>
      </c>
      <c r="V14" s="2260">
        <v>32554</v>
      </c>
      <c r="W14" s="2268"/>
      <c r="X14" s="2261"/>
    </row>
    <row r="15" spans="1:25" ht="22.5" customHeight="1" x14ac:dyDescent="0.25">
      <c r="A15" s="100" t="s">
        <v>38</v>
      </c>
      <c r="B15" s="2260">
        <v>402510</v>
      </c>
      <c r="C15" s="2261"/>
      <c r="D15" s="1642">
        <v>0</v>
      </c>
      <c r="E15" s="1642">
        <v>1000</v>
      </c>
      <c r="F15" s="1642">
        <v>18000</v>
      </c>
      <c r="G15" s="1642">
        <v>0</v>
      </c>
      <c r="H15" s="1642">
        <v>72</v>
      </c>
      <c r="I15" s="1642">
        <v>75</v>
      </c>
      <c r="J15" s="1642">
        <v>4</v>
      </c>
      <c r="K15" s="1642">
        <v>69</v>
      </c>
      <c r="L15" s="1642">
        <v>0</v>
      </c>
      <c r="M15" s="1642">
        <v>0</v>
      </c>
      <c r="N15" s="1642">
        <v>0</v>
      </c>
      <c r="O15" s="1642">
        <v>0</v>
      </c>
      <c r="P15" s="1642">
        <v>100</v>
      </c>
      <c r="Q15" s="2260">
        <v>10</v>
      </c>
      <c r="R15" s="2261"/>
      <c r="S15" s="1639">
        <v>2</v>
      </c>
      <c r="T15" s="2235"/>
      <c r="U15" s="1639" t="s">
        <v>64</v>
      </c>
      <c r="V15" s="2262">
        <v>12212</v>
      </c>
      <c r="W15" s="2262"/>
      <c r="X15" s="2262"/>
    </row>
    <row r="16" spans="1:25" ht="24.75" customHeight="1" x14ac:dyDescent="0.25">
      <c r="A16" s="100" t="s">
        <v>39</v>
      </c>
      <c r="B16" s="2260"/>
      <c r="C16" s="2261"/>
      <c r="D16" s="1642"/>
      <c r="E16" s="1642"/>
      <c r="F16" s="1642"/>
      <c r="G16" s="1642"/>
      <c r="H16" s="1642"/>
      <c r="I16" s="1642"/>
      <c r="J16" s="1642"/>
      <c r="K16" s="1642"/>
      <c r="L16" s="1642"/>
      <c r="M16" s="1642"/>
      <c r="N16" s="1642"/>
      <c r="O16" s="1642"/>
      <c r="P16" s="1642"/>
      <c r="Q16" s="2262"/>
      <c r="R16" s="2262"/>
      <c r="S16" s="1642"/>
      <c r="T16" s="2254" t="s">
        <v>55</v>
      </c>
      <c r="U16" s="2254"/>
      <c r="V16" s="2267">
        <f>Y12</f>
        <v>138308.95500000002</v>
      </c>
      <c r="W16" s="2267"/>
      <c r="X16" s="2262"/>
    </row>
    <row r="17" spans="1:25" ht="28.5" customHeight="1" x14ac:dyDescent="0.25">
      <c r="A17" s="101" t="s">
        <v>44</v>
      </c>
      <c r="B17" s="2260"/>
      <c r="C17" s="2261"/>
      <c r="D17" s="1642"/>
      <c r="E17" s="1642"/>
      <c r="F17" s="1642"/>
      <c r="G17" s="1642"/>
      <c r="H17" s="1642"/>
      <c r="I17" s="1642"/>
      <c r="J17" s="1642"/>
      <c r="K17" s="1642"/>
      <c r="L17" s="1642"/>
      <c r="M17" s="1642"/>
      <c r="N17" s="1642"/>
      <c r="O17" s="1642"/>
      <c r="P17" s="1642"/>
      <c r="Q17" s="2225"/>
      <c r="R17" s="2225"/>
      <c r="S17" s="1638"/>
      <c r="T17" s="2294" t="s">
        <v>463</v>
      </c>
      <c r="U17" s="2295"/>
      <c r="V17" s="2296"/>
      <c r="W17" s="2296"/>
      <c r="X17" s="2296"/>
    </row>
    <row r="18" spans="1:25" ht="27" customHeight="1" x14ac:dyDescent="0.25">
      <c r="A18" s="100" t="s">
        <v>40</v>
      </c>
      <c r="B18" s="2264">
        <f>C12</f>
        <v>91238</v>
      </c>
      <c r="C18" s="2261"/>
      <c r="D18" s="1644">
        <f>E12</f>
        <v>0</v>
      </c>
      <c r="E18" s="1644">
        <f>G12</f>
        <v>0</v>
      </c>
      <c r="F18" s="1644">
        <f>I12</f>
        <v>2680</v>
      </c>
      <c r="G18" s="1644">
        <f>K12</f>
        <v>0</v>
      </c>
      <c r="H18" s="1642"/>
      <c r="I18" s="1644">
        <f>U12</f>
        <v>0</v>
      </c>
      <c r="J18" s="1642"/>
      <c r="K18" s="1644">
        <f>W12</f>
        <v>0</v>
      </c>
      <c r="L18" s="1642"/>
      <c r="M18" s="1644">
        <f>M12</f>
        <v>0</v>
      </c>
      <c r="N18" s="1644">
        <f>O12</f>
        <v>0</v>
      </c>
      <c r="O18" s="1643">
        <f>Q12</f>
        <v>0</v>
      </c>
      <c r="P18" s="1644"/>
      <c r="Q18" s="2262"/>
      <c r="R18" s="2262"/>
      <c r="S18" s="1639"/>
      <c r="T18" s="2254" t="s">
        <v>57</v>
      </c>
      <c r="U18" s="2254"/>
      <c r="V18" s="2262">
        <v>620</v>
      </c>
      <c r="W18" s="2262"/>
      <c r="X18" s="2262"/>
      <c r="Y18" s="2269"/>
    </row>
    <row r="19" spans="1:25" ht="25.5" customHeight="1" x14ac:dyDescent="0.25">
      <c r="A19" s="100" t="s">
        <v>41</v>
      </c>
      <c r="B19" s="2260">
        <f>B15+B16+B17-B18</f>
        <v>311272</v>
      </c>
      <c r="C19" s="2261"/>
      <c r="D19" s="1642">
        <f>D15+D16+D17-D18</f>
        <v>0</v>
      </c>
      <c r="E19" s="1642">
        <f t="shared" ref="E19:N19" si="13">E15+E16+E17-E18</f>
        <v>1000</v>
      </c>
      <c r="F19" s="1642">
        <f t="shared" si="13"/>
        <v>15320</v>
      </c>
      <c r="G19" s="1642">
        <f t="shared" si="13"/>
        <v>0</v>
      </c>
      <c r="H19" s="1642">
        <f t="shared" si="13"/>
        <v>72</v>
      </c>
      <c r="I19" s="1642">
        <f t="shared" si="13"/>
        <v>75</v>
      </c>
      <c r="J19" s="1642">
        <f t="shared" si="13"/>
        <v>4</v>
      </c>
      <c r="K19" s="1642">
        <f t="shared" si="13"/>
        <v>69</v>
      </c>
      <c r="L19" s="1642">
        <f t="shared" si="13"/>
        <v>0</v>
      </c>
      <c r="M19" s="1642">
        <f t="shared" si="13"/>
        <v>0</v>
      </c>
      <c r="N19" s="1642">
        <f t="shared" si="13"/>
        <v>0</v>
      </c>
      <c r="O19" s="1642">
        <f>O15+O16+O17-O18</f>
        <v>0</v>
      </c>
      <c r="P19" s="1642">
        <f t="shared" ref="P19:Q19" si="14">P15+P16+P17-P18</f>
        <v>100</v>
      </c>
      <c r="Q19" s="2260">
        <f t="shared" si="14"/>
        <v>10</v>
      </c>
      <c r="R19" s="2261"/>
      <c r="S19" s="1639">
        <f>S15+S16-S17-S18</f>
        <v>2</v>
      </c>
      <c r="T19" s="2256" t="s">
        <v>48</v>
      </c>
      <c r="U19" s="49" t="s">
        <v>58</v>
      </c>
      <c r="V19" s="2262"/>
      <c r="W19" s="2262"/>
      <c r="X19" s="2262"/>
      <c r="Y19" s="2269"/>
    </row>
    <row r="20" spans="1:25" ht="23.25" customHeight="1" x14ac:dyDescent="0.25">
      <c r="A20" s="289" t="s">
        <v>187</v>
      </c>
      <c r="B20" s="2286">
        <f>B19*0.9625</f>
        <v>299599.3</v>
      </c>
      <c r="C20" s="2287"/>
      <c r="D20" s="290">
        <f>D19*66.41</f>
        <v>0</v>
      </c>
      <c r="E20" s="290">
        <f>27.9368*E19</f>
        <v>27936.800000000003</v>
      </c>
      <c r="F20" s="290">
        <f>18.31*F19</f>
        <v>280509.19999999995</v>
      </c>
      <c r="G20" s="290">
        <f>27.9368*G19</f>
        <v>0</v>
      </c>
      <c r="H20" s="290">
        <f>241*H19</f>
        <v>17352</v>
      </c>
      <c r="I20" s="290">
        <f>323*I19</f>
        <v>24225</v>
      </c>
      <c r="J20" s="290">
        <f>241*J19</f>
        <v>964</v>
      </c>
      <c r="K20" s="290">
        <f>K19*100</f>
        <v>6900</v>
      </c>
      <c r="L20" s="290">
        <f>241*L19</f>
        <v>0</v>
      </c>
      <c r="M20" s="290">
        <f>47.1625*M19</f>
        <v>0</v>
      </c>
      <c r="N20" s="290">
        <f>N19*8.81</f>
        <v>0</v>
      </c>
      <c r="O20" s="290">
        <f>241*O19</f>
        <v>0</v>
      </c>
      <c r="P20" s="290">
        <f>P19*48.2</f>
        <v>4820</v>
      </c>
      <c r="Q20" s="2286">
        <f>470*Q19</f>
        <v>4700</v>
      </c>
      <c r="R20" s="2287"/>
      <c r="S20" s="290">
        <f>341*S19</f>
        <v>682</v>
      </c>
      <c r="T20" s="2257"/>
      <c r="U20" s="49" t="s">
        <v>59</v>
      </c>
      <c r="V20" s="2262"/>
      <c r="W20" s="2262"/>
      <c r="X20" s="2262"/>
      <c r="Y20" s="2269"/>
    </row>
    <row r="21" spans="1:25" ht="32.25" customHeight="1" x14ac:dyDescent="0.25">
      <c r="A21" s="291" t="s">
        <v>186</v>
      </c>
      <c r="B21" s="2293">
        <f>SUM(B20:S20)</f>
        <v>667688.29999999993</v>
      </c>
      <c r="C21" s="2293"/>
      <c r="O21" s="1646"/>
      <c r="P21" s="1646"/>
      <c r="Q21" s="1646"/>
      <c r="R21" s="1646"/>
      <c r="T21" s="2294" t="s">
        <v>515</v>
      </c>
      <c r="U21" s="2295"/>
      <c r="V21" s="2297"/>
      <c r="W21" s="2298"/>
      <c r="X21" s="2299"/>
      <c r="Y21" s="2269"/>
    </row>
    <row r="22" spans="1:25" ht="35.25" customHeight="1" x14ac:dyDescent="0.25">
      <c r="A22" s="15"/>
      <c r="B22" s="2288" t="s">
        <v>49</v>
      </c>
      <c r="C22" s="2291">
        <v>400000</v>
      </c>
      <c r="D22" s="2291"/>
      <c r="E22" s="2291"/>
      <c r="F22" s="2291">
        <f>C22-D22+E22</f>
        <v>400000</v>
      </c>
      <c r="G22" s="1646"/>
      <c r="Q22" s="1646"/>
      <c r="R22" s="1646"/>
      <c r="T22" s="2251" t="s">
        <v>83</v>
      </c>
      <c r="U22" s="50" t="s">
        <v>60</v>
      </c>
      <c r="V22" s="2262"/>
      <c r="W22" s="2262"/>
      <c r="X22" s="2262"/>
      <c r="Y22" s="2269"/>
    </row>
    <row r="23" spans="1:25" ht="39.75" customHeight="1" x14ac:dyDescent="0.25">
      <c r="A23" s="1646"/>
      <c r="B23" s="2289"/>
      <c r="C23" s="2292"/>
      <c r="D23" s="2292"/>
      <c r="E23" s="2292"/>
      <c r="F23" s="2292"/>
      <c r="G23" s="1646"/>
      <c r="Q23" s="1646"/>
      <c r="R23" s="1646"/>
      <c r="T23" s="2252"/>
      <c r="U23" s="50" t="s">
        <v>61</v>
      </c>
      <c r="V23" s="2262"/>
      <c r="W23" s="2262"/>
      <c r="X23" s="2262"/>
      <c r="Y23" s="2269"/>
    </row>
    <row r="24" spans="1:25" ht="48" customHeight="1" x14ac:dyDescent="0.25">
      <c r="A24" s="1646"/>
      <c r="B24" s="2290"/>
      <c r="C24" s="290" t="s">
        <v>46</v>
      </c>
      <c r="D24" s="290" t="s">
        <v>50</v>
      </c>
      <c r="E24" s="290" t="s">
        <v>51</v>
      </c>
      <c r="F24" s="290" t="s">
        <v>52</v>
      </c>
      <c r="G24" s="1646"/>
      <c r="Q24" s="1646"/>
      <c r="R24" s="1646"/>
      <c r="T24" s="2235" t="s">
        <v>47</v>
      </c>
      <c r="U24" s="51" t="s">
        <v>62</v>
      </c>
      <c r="V24" s="2263">
        <f>V14+V16+V17-V18-V19-V20-V22+V23-V21</f>
        <v>170242.95500000002</v>
      </c>
      <c r="W24" s="2263"/>
      <c r="X24" s="2263"/>
      <c r="Y24" s="2269"/>
    </row>
    <row r="25" spans="1:25" ht="40.5" customHeight="1" x14ac:dyDescent="0.25">
      <c r="T25" s="2235"/>
      <c r="U25" s="51" t="s">
        <v>63</v>
      </c>
      <c r="V25" s="2262">
        <f>V15+V22-V23</f>
        <v>12212</v>
      </c>
      <c r="W25" s="2262"/>
      <c r="X25" s="2262"/>
    </row>
    <row r="26" spans="1:25" ht="36" customHeight="1" x14ac:dyDescent="0.25">
      <c r="K26" s="314"/>
    </row>
    <row r="28" spans="1:25" x14ac:dyDescent="0.25">
      <c r="J28" s="14" t="s">
        <v>139</v>
      </c>
    </row>
    <row r="32" spans="1:25" x14ac:dyDescent="0.25">
      <c r="I32" s="2280"/>
      <c r="J32" s="2280"/>
      <c r="K32" s="2280"/>
      <c r="L32" s="2280"/>
    </row>
    <row r="33" spans="9:12" x14ac:dyDescent="0.25">
      <c r="I33" s="1646"/>
      <c r="J33" s="1646"/>
      <c r="K33" s="2280"/>
      <c r="L33" s="2280"/>
    </row>
  </sheetData>
  <mergeCells count="62">
    <mergeCell ref="A1:Y1"/>
    <mergeCell ref="A2:Y2"/>
    <mergeCell ref="T3:Y3"/>
    <mergeCell ref="A4:A5"/>
    <mergeCell ref="B4:B5"/>
    <mergeCell ref="C4:D4"/>
    <mergeCell ref="E4:F4"/>
    <mergeCell ref="G4:H4"/>
    <mergeCell ref="I4:J4"/>
    <mergeCell ref="K4:L4"/>
    <mergeCell ref="Y4:Y5"/>
    <mergeCell ref="M4:N4"/>
    <mergeCell ref="O4:P4"/>
    <mergeCell ref="Q4:R4"/>
    <mergeCell ref="S4:T4"/>
    <mergeCell ref="U4:V4"/>
    <mergeCell ref="W4:X4"/>
    <mergeCell ref="B16:C16"/>
    <mergeCell ref="Q16:R16"/>
    <mergeCell ref="T16:U16"/>
    <mergeCell ref="V16:X16"/>
    <mergeCell ref="A12:B12"/>
    <mergeCell ref="B14:C14"/>
    <mergeCell ref="Q14:R14"/>
    <mergeCell ref="T14:T15"/>
    <mergeCell ref="V14:X14"/>
    <mergeCell ref="B15:C15"/>
    <mergeCell ref="Q15:R15"/>
    <mergeCell ref="V15:X15"/>
    <mergeCell ref="B17:C17"/>
    <mergeCell ref="Q17:R17"/>
    <mergeCell ref="T17:U17"/>
    <mergeCell ref="V17:X17"/>
    <mergeCell ref="B18:C18"/>
    <mergeCell ref="Q18:R18"/>
    <mergeCell ref="T18:U18"/>
    <mergeCell ref="V18:X18"/>
    <mergeCell ref="Y18:Y24"/>
    <mergeCell ref="B19:C19"/>
    <mergeCell ref="Q19:R19"/>
    <mergeCell ref="T19:T20"/>
    <mergeCell ref="V19:X19"/>
    <mergeCell ref="B20:C20"/>
    <mergeCell ref="B22:B24"/>
    <mergeCell ref="C22:C23"/>
    <mergeCell ref="D22:D23"/>
    <mergeCell ref="E22:E23"/>
    <mergeCell ref="F22:F23"/>
    <mergeCell ref="Q20:R20"/>
    <mergeCell ref="V20:X20"/>
    <mergeCell ref="B21:C21"/>
    <mergeCell ref="T21:U21"/>
    <mergeCell ref="V21:X21"/>
    <mergeCell ref="I32:J32"/>
    <mergeCell ref="K32:L32"/>
    <mergeCell ref="K33:L33"/>
    <mergeCell ref="T22:T23"/>
    <mergeCell ref="V22:X22"/>
    <mergeCell ref="V23:X23"/>
    <mergeCell ref="T24:T25"/>
    <mergeCell ref="V24:X24"/>
    <mergeCell ref="V25:X25"/>
  </mergeCells>
  <pageMargins left="0.15748031496063" right="0.15748031496063" top="0" bottom="0" header="0" footer="0"/>
  <pageSetup paperSize="9" scale="46" orientation="landscape" r:id="rId1"/>
</worksheet>
</file>

<file path=xl/worksheets/sheet27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689935C-9F12-451E-AD4B-A62F08AFAD47}">
  <sheetPr>
    <pageSetUpPr fitToPage="1"/>
  </sheetPr>
  <dimension ref="A1:Y33"/>
  <sheetViews>
    <sheetView topLeftCell="A7" zoomScale="70" zoomScaleNormal="70" zoomScaleSheetLayoutView="100" zoomScalePageLayoutView="68" workbookViewId="0">
      <selection activeCell="M24" sqref="M24"/>
    </sheetView>
  </sheetViews>
  <sheetFormatPr defaultColWidth="9.140625" defaultRowHeight="15" x14ac:dyDescent="0.25"/>
  <cols>
    <col min="1" max="1" width="18.28515625" style="14" customWidth="1"/>
    <col min="2" max="2" width="10.7109375" style="14" customWidth="1"/>
    <col min="3" max="3" width="12.28515625" style="14" customWidth="1"/>
    <col min="4" max="4" width="13.140625" style="14" bestFit="1" customWidth="1"/>
    <col min="5" max="5" width="12" style="14" customWidth="1"/>
    <col min="6" max="6" width="14" style="14" bestFit="1" customWidth="1"/>
    <col min="7" max="7" width="16" style="14" bestFit="1" customWidth="1"/>
    <col min="8" max="8" width="10.140625" style="14" bestFit="1" customWidth="1"/>
    <col min="9" max="9" width="10.5703125" style="14" bestFit="1" customWidth="1"/>
    <col min="10" max="10" width="10.5703125" style="14" customWidth="1"/>
    <col min="11" max="11" width="10.28515625" style="14" bestFit="1" customWidth="1"/>
    <col min="12" max="12" width="10.42578125" style="14" bestFit="1" customWidth="1"/>
    <col min="13" max="14" width="12" style="14" bestFit="1" customWidth="1"/>
    <col min="15" max="15" width="11" style="14" customWidth="1"/>
    <col min="16" max="16" width="12.85546875" style="14" bestFit="1" customWidth="1"/>
    <col min="17" max="18" width="9.42578125" style="14" customWidth="1"/>
    <col min="19" max="19" width="13.7109375" style="14" customWidth="1"/>
    <col min="20" max="20" width="12.140625" style="14" customWidth="1"/>
    <col min="21" max="21" width="21.7109375" style="14" customWidth="1"/>
    <col min="22" max="22" width="9.85546875" style="14" customWidth="1"/>
    <col min="23" max="23" width="10.140625" style="14" bestFit="1" customWidth="1"/>
    <col min="24" max="24" width="10.28515625" style="14" customWidth="1"/>
    <col min="25" max="25" width="15.7109375" style="14" customWidth="1"/>
    <col min="26" max="16384" width="9.140625" style="14"/>
  </cols>
  <sheetData>
    <row r="1" spans="1:25" ht="46.15" customHeight="1" x14ac:dyDescent="0.25">
      <c r="A1" s="2240" t="s">
        <v>148</v>
      </c>
      <c r="B1" s="2240"/>
      <c r="C1" s="2240"/>
      <c r="D1" s="2240"/>
      <c r="E1" s="2240"/>
      <c r="F1" s="2240"/>
      <c r="G1" s="2240"/>
      <c r="H1" s="2240"/>
      <c r="I1" s="2240"/>
      <c r="J1" s="2240"/>
      <c r="K1" s="2240"/>
      <c r="L1" s="2240"/>
      <c r="M1" s="2240"/>
      <c r="N1" s="2240"/>
      <c r="O1" s="2240"/>
      <c r="P1" s="2240"/>
      <c r="Q1" s="2240"/>
      <c r="R1" s="2240"/>
      <c r="S1" s="2240"/>
      <c r="T1" s="2240"/>
      <c r="U1" s="2240"/>
      <c r="V1" s="2240"/>
      <c r="W1" s="2240"/>
      <c r="X1" s="2240"/>
      <c r="Y1" s="2240"/>
    </row>
    <row r="2" spans="1:25" ht="21.6" customHeight="1" x14ac:dyDescent="0.25">
      <c r="A2" s="2241" t="s">
        <v>383</v>
      </c>
      <c r="B2" s="2241"/>
      <c r="C2" s="2241"/>
      <c r="D2" s="2241"/>
      <c r="E2" s="2241"/>
      <c r="F2" s="2241"/>
      <c r="G2" s="2241"/>
      <c r="H2" s="2241"/>
      <c r="I2" s="2241"/>
      <c r="J2" s="2241"/>
      <c r="K2" s="2241"/>
      <c r="L2" s="2241"/>
      <c r="M2" s="2241"/>
      <c r="N2" s="2241"/>
      <c r="O2" s="2241"/>
      <c r="P2" s="2241"/>
      <c r="Q2" s="2241"/>
      <c r="R2" s="2241"/>
      <c r="S2" s="2241"/>
      <c r="T2" s="2241"/>
      <c r="U2" s="2241"/>
      <c r="V2" s="2241"/>
      <c r="W2" s="2241"/>
      <c r="X2" s="2241"/>
      <c r="Y2" s="2241"/>
    </row>
    <row r="3" spans="1:25" ht="21" customHeight="1" x14ac:dyDescent="0.25">
      <c r="A3" s="1652"/>
      <c r="B3" s="1652"/>
      <c r="C3" s="1652"/>
      <c r="D3" s="1652"/>
      <c r="E3" s="1652"/>
      <c r="F3" s="1652"/>
      <c r="G3" s="1652"/>
      <c r="H3" s="1652"/>
      <c r="I3" s="1652"/>
      <c r="J3" s="1652"/>
      <c r="K3" s="1652"/>
      <c r="L3" s="1652"/>
      <c r="M3" s="1652"/>
      <c r="N3" s="1652"/>
      <c r="O3" s="1652"/>
      <c r="P3" s="1652"/>
      <c r="Q3" s="1652"/>
      <c r="R3" s="1652"/>
      <c r="S3" s="1652"/>
      <c r="T3" s="2242" t="s">
        <v>517</v>
      </c>
      <c r="U3" s="2242"/>
      <c r="V3" s="2242"/>
      <c r="W3" s="2242"/>
      <c r="X3" s="2242"/>
      <c r="Y3" s="2242"/>
    </row>
    <row r="4" spans="1:25" s="1652" customFormat="1" ht="18" customHeight="1" x14ac:dyDescent="0.25">
      <c r="A4" s="2243" t="s">
        <v>25</v>
      </c>
      <c r="B4" s="2243" t="s">
        <v>26</v>
      </c>
      <c r="C4" s="2244" t="s">
        <v>27</v>
      </c>
      <c r="D4" s="2244"/>
      <c r="E4" s="2244" t="s">
        <v>342</v>
      </c>
      <c r="F4" s="2244"/>
      <c r="G4" s="2244" t="s">
        <v>65</v>
      </c>
      <c r="H4" s="2244"/>
      <c r="I4" s="2244" t="s">
        <v>29</v>
      </c>
      <c r="J4" s="2244"/>
      <c r="K4" s="2245" t="s">
        <v>14</v>
      </c>
      <c r="L4" s="2246"/>
      <c r="M4" s="2245" t="s">
        <v>429</v>
      </c>
      <c r="N4" s="2246"/>
      <c r="O4" s="2245" t="s">
        <v>441</v>
      </c>
      <c r="P4" s="2246"/>
      <c r="Q4" s="2245" t="s">
        <v>114</v>
      </c>
      <c r="R4" s="2246"/>
      <c r="S4" s="2244" t="s">
        <v>35</v>
      </c>
      <c r="T4" s="2244"/>
      <c r="U4" s="2245" t="s">
        <v>17</v>
      </c>
      <c r="V4" s="2246"/>
      <c r="W4" s="2247" t="s">
        <v>36</v>
      </c>
      <c r="X4" s="2248"/>
      <c r="Y4" s="2238" t="s">
        <v>30</v>
      </c>
    </row>
    <row r="5" spans="1:25" s="1652" customFormat="1" ht="25.5" customHeight="1" x14ac:dyDescent="0.25">
      <c r="A5" s="2243"/>
      <c r="B5" s="2243"/>
      <c r="C5" s="1651" t="s">
        <v>42</v>
      </c>
      <c r="D5" s="1651" t="s">
        <v>43</v>
      </c>
      <c r="E5" s="1651" t="s">
        <v>42</v>
      </c>
      <c r="F5" s="1651" t="s">
        <v>43</v>
      </c>
      <c r="G5" s="1651" t="s">
        <v>42</v>
      </c>
      <c r="H5" s="1651" t="s">
        <v>43</v>
      </c>
      <c r="I5" s="1651" t="s">
        <v>42</v>
      </c>
      <c r="J5" s="1651" t="s">
        <v>43</v>
      </c>
      <c r="K5" s="1651" t="s">
        <v>42</v>
      </c>
      <c r="L5" s="1651" t="s">
        <v>43</v>
      </c>
      <c r="M5" s="1651" t="s">
        <v>42</v>
      </c>
      <c r="N5" s="1651" t="s">
        <v>43</v>
      </c>
      <c r="O5" s="1651" t="s">
        <v>42</v>
      </c>
      <c r="P5" s="1651" t="s">
        <v>43</v>
      </c>
      <c r="Q5" s="1651" t="s">
        <v>42</v>
      </c>
      <c r="R5" s="1651" t="s">
        <v>43</v>
      </c>
      <c r="S5" s="33" t="s">
        <v>42</v>
      </c>
      <c r="T5" s="33" t="s">
        <v>43</v>
      </c>
      <c r="U5" s="30" t="s">
        <v>42</v>
      </c>
      <c r="V5" s="30" t="s">
        <v>43</v>
      </c>
      <c r="W5" s="30" t="s">
        <v>42</v>
      </c>
      <c r="X5" s="30" t="s">
        <v>43</v>
      </c>
      <c r="Y5" s="2239"/>
    </row>
    <row r="6" spans="1:25" ht="34.5" customHeight="1" x14ac:dyDescent="0.25">
      <c r="A6" s="12">
        <v>1409935200</v>
      </c>
      <c r="B6" s="1650" t="s">
        <v>71</v>
      </c>
      <c r="C6" s="1648">
        <v>19923</v>
      </c>
      <c r="D6" s="1647">
        <f t="shared" ref="D6:D11" si="0">0.9725*C6</f>
        <v>19375.1175</v>
      </c>
      <c r="E6" s="1648"/>
      <c r="F6" s="1647">
        <f>67.1*E6</f>
        <v>0</v>
      </c>
      <c r="G6" s="1648"/>
      <c r="H6" s="1648">
        <f>28.2*G6</f>
        <v>0</v>
      </c>
      <c r="I6" s="1648">
        <v>280</v>
      </c>
      <c r="J6" s="1648">
        <f>18.5*I6</f>
        <v>5180</v>
      </c>
      <c r="K6" s="1648"/>
      <c r="L6" s="1647">
        <f>28.2368*K6</f>
        <v>0</v>
      </c>
      <c r="M6" s="1648"/>
      <c r="N6" s="1647">
        <f>M6*47.6525</f>
        <v>0</v>
      </c>
      <c r="O6" s="1648"/>
      <c r="P6" s="1647">
        <f>O6*8.9</f>
        <v>0</v>
      </c>
      <c r="Q6" s="1647"/>
      <c r="R6" s="1647">
        <f>241*Q6</f>
        <v>0</v>
      </c>
      <c r="S6" s="1648"/>
      <c r="T6" s="1648">
        <f>241*S6</f>
        <v>0</v>
      </c>
      <c r="U6" s="1648">
        <v>10</v>
      </c>
      <c r="V6" s="1648">
        <f>332*U6</f>
        <v>3320</v>
      </c>
      <c r="W6" s="1648"/>
      <c r="X6" s="19">
        <f>W6*100</f>
        <v>0</v>
      </c>
      <c r="Y6" s="20">
        <f t="shared" ref="Y6:Y12" si="1">D6+F6+H6+J6+L6+N6+P6+R6+T6+V6+X6</f>
        <v>27875.1175</v>
      </c>
    </row>
    <row r="7" spans="1:25" ht="31.5" customHeight="1" x14ac:dyDescent="0.25">
      <c r="A7" s="12">
        <v>1984225578</v>
      </c>
      <c r="B7" s="1650" t="s">
        <v>509</v>
      </c>
      <c r="C7" s="1648">
        <v>24770</v>
      </c>
      <c r="D7" s="1647">
        <f t="shared" si="0"/>
        <v>24088.825000000001</v>
      </c>
      <c r="E7" s="1648"/>
      <c r="F7" s="1648">
        <f t="shared" ref="F7:F11" si="2">67.1*E7</f>
        <v>0</v>
      </c>
      <c r="G7" s="1648">
        <v>250</v>
      </c>
      <c r="H7" s="1648">
        <f t="shared" ref="H7:H11" si="3">28.2*G7</f>
        <v>7050</v>
      </c>
      <c r="I7" s="1648">
        <v>1020</v>
      </c>
      <c r="J7" s="1648">
        <f t="shared" ref="J7:J11" si="4">18.5*I7</f>
        <v>18870</v>
      </c>
      <c r="K7" s="1648"/>
      <c r="L7" s="1647">
        <f t="shared" ref="L7:L11" si="5">28.2368*K7</f>
        <v>0</v>
      </c>
      <c r="M7" s="1648"/>
      <c r="N7" s="1647">
        <f t="shared" ref="N7:N11" si="6">M7*47.6525</f>
        <v>0</v>
      </c>
      <c r="O7" s="1648"/>
      <c r="P7" s="1647">
        <f t="shared" ref="P7:P11" si="7">O7*8.9</f>
        <v>0</v>
      </c>
      <c r="Q7" s="1647"/>
      <c r="R7" s="1647">
        <f t="shared" ref="R7:R11" si="8">241*Q7</f>
        <v>0</v>
      </c>
      <c r="S7" s="1648"/>
      <c r="T7" s="1648">
        <f t="shared" ref="T7:T10" si="9">241*S7</f>
        <v>0</v>
      </c>
      <c r="U7" s="1648"/>
      <c r="V7" s="1648">
        <f t="shared" ref="V7:V11" si="10">332*U7</f>
        <v>0</v>
      </c>
      <c r="W7" s="1648"/>
      <c r="X7" s="19">
        <f t="shared" ref="X7:X11" si="11">W7*100</f>
        <v>0</v>
      </c>
      <c r="Y7" s="20">
        <f t="shared" si="1"/>
        <v>50008.824999999997</v>
      </c>
    </row>
    <row r="8" spans="1:25" ht="35.25" customHeight="1" x14ac:dyDescent="0.25">
      <c r="A8" s="12">
        <v>1967020280</v>
      </c>
      <c r="B8" s="1650" t="s">
        <v>427</v>
      </c>
      <c r="C8" s="1648">
        <v>23870</v>
      </c>
      <c r="D8" s="1647">
        <f t="shared" si="0"/>
        <v>23213.575000000001</v>
      </c>
      <c r="E8" s="1648"/>
      <c r="F8" s="1648">
        <f t="shared" si="2"/>
        <v>0</v>
      </c>
      <c r="G8" s="1648">
        <v>100</v>
      </c>
      <c r="H8" s="1647">
        <f t="shared" si="3"/>
        <v>2820</v>
      </c>
      <c r="I8" s="1648">
        <v>420</v>
      </c>
      <c r="J8" s="1648">
        <f t="shared" si="4"/>
        <v>7770</v>
      </c>
      <c r="K8" s="1648"/>
      <c r="L8" s="1647">
        <f t="shared" si="5"/>
        <v>0</v>
      </c>
      <c r="M8" s="1648"/>
      <c r="N8" s="1647">
        <f t="shared" si="6"/>
        <v>0</v>
      </c>
      <c r="O8" s="1648"/>
      <c r="P8" s="1647">
        <f t="shared" si="7"/>
        <v>0</v>
      </c>
      <c r="Q8" s="1647"/>
      <c r="R8" s="1647">
        <f t="shared" si="8"/>
        <v>0</v>
      </c>
      <c r="S8" s="1648"/>
      <c r="T8" s="1648">
        <f t="shared" si="9"/>
        <v>0</v>
      </c>
      <c r="U8" s="1648"/>
      <c r="V8" s="1648">
        <f t="shared" si="10"/>
        <v>0</v>
      </c>
      <c r="W8" s="1648"/>
      <c r="X8" s="19">
        <f t="shared" si="11"/>
        <v>0</v>
      </c>
      <c r="Y8" s="20">
        <f t="shared" si="1"/>
        <v>33803.574999999997</v>
      </c>
    </row>
    <row r="9" spans="1:25" ht="38.25" customHeight="1" x14ac:dyDescent="0.25">
      <c r="A9" s="12">
        <v>1984225580</v>
      </c>
      <c r="B9" s="1650" t="s">
        <v>75</v>
      </c>
      <c r="C9" s="1648">
        <v>35764</v>
      </c>
      <c r="D9" s="1647">
        <f t="shared" si="0"/>
        <v>34780.49</v>
      </c>
      <c r="E9" s="1648"/>
      <c r="F9" s="1648">
        <f t="shared" si="2"/>
        <v>0</v>
      </c>
      <c r="G9" s="1648"/>
      <c r="H9" s="1648">
        <f t="shared" si="3"/>
        <v>0</v>
      </c>
      <c r="I9" s="1648">
        <v>940</v>
      </c>
      <c r="J9" s="1648">
        <f t="shared" si="4"/>
        <v>17390</v>
      </c>
      <c r="K9" s="1648"/>
      <c r="L9" s="1647">
        <f t="shared" si="5"/>
        <v>0</v>
      </c>
      <c r="M9" s="1648"/>
      <c r="N9" s="1647">
        <f t="shared" si="6"/>
        <v>0</v>
      </c>
      <c r="O9" s="1648"/>
      <c r="P9" s="1647">
        <f t="shared" si="7"/>
        <v>0</v>
      </c>
      <c r="Q9" s="1647"/>
      <c r="R9" s="1647">
        <f t="shared" si="8"/>
        <v>0</v>
      </c>
      <c r="S9" s="1648"/>
      <c r="T9" s="1648">
        <f t="shared" si="9"/>
        <v>0</v>
      </c>
      <c r="U9" s="1648">
        <v>25</v>
      </c>
      <c r="V9" s="1648">
        <f t="shared" si="10"/>
        <v>8300</v>
      </c>
      <c r="W9" s="1648"/>
      <c r="X9" s="19">
        <f t="shared" si="11"/>
        <v>0</v>
      </c>
      <c r="Y9" s="20">
        <f t="shared" si="1"/>
        <v>60470.49</v>
      </c>
    </row>
    <row r="10" spans="1:25" ht="35.25" customHeight="1" x14ac:dyDescent="0.25">
      <c r="A10" s="12">
        <v>1409935199</v>
      </c>
      <c r="C10" s="1648"/>
      <c r="D10" s="1647">
        <f t="shared" si="0"/>
        <v>0</v>
      </c>
      <c r="E10" s="1648"/>
      <c r="F10" s="1648">
        <f t="shared" si="2"/>
        <v>0</v>
      </c>
      <c r="G10" s="1648">
        <v>500</v>
      </c>
      <c r="H10" s="1648">
        <f t="shared" si="3"/>
        <v>14100</v>
      </c>
      <c r="I10" s="1648">
        <v>1000</v>
      </c>
      <c r="J10" s="1648">
        <f t="shared" si="4"/>
        <v>18500</v>
      </c>
      <c r="K10" s="1648"/>
      <c r="L10" s="1647">
        <f t="shared" si="5"/>
        <v>0</v>
      </c>
      <c r="M10" s="1648"/>
      <c r="N10" s="1647">
        <f t="shared" si="6"/>
        <v>0</v>
      </c>
      <c r="O10" s="1648"/>
      <c r="P10" s="1647">
        <f t="shared" si="7"/>
        <v>0</v>
      </c>
      <c r="Q10" s="1647"/>
      <c r="R10" s="1647">
        <f t="shared" si="8"/>
        <v>0</v>
      </c>
      <c r="S10" s="1648"/>
      <c r="T10" s="1648">
        <f t="shared" si="9"/>
        <v>0</v>
      </c>
      <c r="U10" s="1648"/>
      <c r="V10" s="1648">
        <f t="shared" si="10"/>
        <v>0</v>
      </c>
      <c r="W10" s="1648"/>
      <c r="X10" s="19">
        <f t="shared" si="11"/>
        <v>0</v>
      </c>
      <c r="Y10" s="20">
        <f t="shared" si="1"/>
        <v>32600</v>
      </c>
    </row>
    <row r="11" spans="1:25" ht="37.5" customHeight="1" x14ac:dyDescent="0.25">
      <c r="A11" s="12"/>
      <c r="B11" s="1649"/>
      <c r="C11" s="1648"/>
      <c r="D11" s="1647">
        <f t="shared" si="0"/>
        <v>0</v>
      </c>
      <c r="E11" s="1648"/>
      <c r="F11" s="1648">
        <f t="shared" si="2"/>
        <v>0</v>
      </c>
      <c r="G11" s="1648"/>
      <c r="H11" s="1648">
        <f t="shared" si="3"/>
        <v>0</v>
      </c>
      <c r="I11" s="1648"/>
      <c r="J11" s="1648">
        <f t="shared" si="4"/>
        <v>0</v>
      </c>
      <c r="K11" s="1648"/>
      <c r="L11" s="1647">
        <f t="shared" si="5"/>
        <v>0</v>
      </c>
      <c r="M11" s="1648"/>
      <c r="N11" s="1647">
        <f t="shared" si="6"/>
        <v>0</v>
      </c>
      <c r="O11" s="1648"/>
      <c r="P11" s="1647">
        <f t="shared" si="7"/>
        <v>0</v>
      </c>
      <c r="Q11" s="1647"/>
      <c r="R11" s="1647">
        <f t="shared" si="8"/>
        <v>0</v>
      </c>
      <c r="S11" s="1648"/>
      <c r="T11" s="1648">
        <f>341*S11</f>
        <v>0</v>
      </c>
      <c r="U11" s="1648"/>
      <c r="V11" s="1648">
        <f t="shared" si="10"/>
        <v>0</v>
      </c>
      <c r="W11" s="1648"/>
      <c r="X11" s="19">
        <f t="shared" si="11"/>
        <v>0</v>
      </c>
      <c r="Y11" s="20">
        <f t="shared" si="1"/>
        <v>0</v>
      </c>
    </row>
    <row r="12" spans="1:25" ht="29.25" customHeight="1" x14ac:dyDescent="0.25">
      <c r="A12" s="2235" t="s">
        <v>31</v>
      </c>
      <c r="B12" s="2235"/>
      <c r="C12" s="18">
        <f t="shared" ref="C12:X12" si="12">SUM(C6:C11)</f>
        <v>104327</v>
      </c>
      <c r="D12" s="18">
        <f t="shared" si="12"/>
        <v>101458.00750000001</v>
      </c>
      <c r="E12" s="18">
        <f t="shared" si="12"/>
        <v>0</v>
      </c>
      <c r="F12" s="18">
        <f t="shared" si="12"/>
        <v>0</v>
      </c>
      <c r="G12" s="18">
        <f t="shared" si="12"/>
        <v>850</v>
      </c>
      <c r="H12" s="18">
        <f t="shared" si="12"/>
        <v>23970</v>
      </c>
      <c r="I12" s="18">
        <f t="shared" si="12"/>
        <v>3660</v>
      </c>
      <c r="J12" s="18">
        <f t="shared" si="12"/>
        <v>67710</v>
      </c>
      <c r="K12" s="18">
        <f t="shared" si="12"/>
        <v>0</v>
      </c>
      <c r="L12" s="18">
        <f t="shared" si="12"/>
        <v>0</v>
      </c>
      <c r="M12" s="18">
        <f t="shared" si="12"/>
        <v>0</v>
      </c>
      <c r="N12" s="23">
        <f t="shared" si="12"/>
        <v>0</v>
      </c>
      <c r="O12" s="18">
        <f t="shared" si="12"/>
        <v>0</v>
      </c>
      <c r="P12" s="23">
        <f t="shared" si="12"/>
        <v>0</v>
      </c>
      <c r="Q12" s="23">
        <f t="shared" si="12"/>
        <v>0</v>
      </c>
      <c r="R12" s="23">
        <f>SUM(R6:R11)</f>
        <v>0</v>
      </c>
      <c r="S12" s="23">
        <f>SUM(S6:S11)</f>
        <v>0</v>
      </c>
      <c r="T12" s="18">
        <f t="shared" si="12"/>
        <v>0</v>
      </c>
      <c r="U12" s="18">
        <f t="shared" si="12"/>
        <v>35</v>
      </c>
      <c r="V12" s="18">
        <f t="shared" si="12"/>
        <v>11620</v>
      </c>
      <c r="W12" s="18">
        <f t="shared" si="12"/>
        <v>0</v>
      </c>
      <c r="X12" s="18">
        <f t="shared" si="12"/>
        <v>0</v>
      </c>
      <c r="Y12" s="20">
        <f t="shared" si="1"/>
        <v>204758.00750000001</v>
      </c>
    </row>
    <row r="14" spans="1:25" ht="43.5" customHeight="1" x14ac:dyDescent="0.25">
      <c r="A14" s="30" t="s">
        <v>32</v>
      </c>
      <c r="B14" s="2236" t="s">
        <v>27</v>
      </c>
      <c r="C14" s="2236"/>
      <c r="D14" s="30" t="s">
        <v>333</v>
      </c>
      <c r="E14" s="30" t="s">
        <v>65</v>
      </c>
      <c r="F14" s="30" t="s">
        <v>34</v>
      </c>
      <c r="G14" s="30" t="s">
        <v>14</v>
      </c>
      <c r="H14" s="469" t="s">
        <v>173</v>
      </c>
      <c r="I14" s="30" t="s">
        <v>17</v>
      </c>
      <c r="J14" s="1656" t="s">
        <v>174</v>
      </c>
      <c r="K14" s="30" t="s">
        <v>36</v>
      </c>
      <c r="L14" s="1656" t="s">
        <v>403</v>
      </c>
      <c r="M14" s="30" t="s">
        <v>429</v>
      </c>
      <c r="N14" s="30" t="s">
        <v>442</v>
      </c>
      <c r="O14" s="1656" t="s">
        <v>114</v>
      </c>
      <c r="P14" s="30" t="s">
        <v>70</v>
      </c>
      <c r="Q14" s="2300" t="s">
        <v>479</v>
      </c>
      <c r="R14" s="2301"/>
      <c r="S14" s="1656" t="s">
        <v>401</v>
      </c>
      <c r="T14" s="2235" t="s">
        <v>46</v>
      </c>
      <c r="U14" s="1650" t="s">
        <v>176</v>
      </c>
      <c r="V14" s="2260">
        <v>170243</v>
      </c>
      <c r="W14" s="2268"/>
      <c r="X14" s="2261"/>
    </row>
    <row r="15" spans="1:25" ht="22.5" customHeight="1" x14ac:dyDescent="0.25">
      <c r="A15" s="100" t="s">
        <v>38</v>
      </c>
      <c r="B15" s="2260">
        <v>311272</v>
      </c>
      <c r="C15" s="2261"/>
      <c r="D15" s="1653">
        <v>0</v>
      </c>
      <c r="E15" s="1653">
        <v>1000</v>
      </c>
      <c r="F15" s="1653">
        <v>15320</v>
      </c>
      <c r="G15" s="1653">
        <v>0</v>
      </c>
      <c r="H15" s="1653">
        <v>72</v>
      </c>
      <c r="I15" s="1653">
        <v>75</v>
      </c>
      <c r="J15" s="1653">
        <v>4</v>
      </c>
      <c r="K15" s="1653">
        <v>69</v>
      </c>
      <c r="L15" s="1653">
        <v>0</v>
      </c>
      <c r="M15" s="1653">
        <v>0</v>
      </c>
      <c r="N15" s="1653">
        <v>0</v>
      </c>
      <c r="O15" s="1653">
        <v>0</v>
      </c>
      <c r="P15" s="1653">
        <v>100</v>
      </c>
      <c r="Q15" s="2260">
        <v>10</v>
      </c>
      <c r="R15" s="2261"/>
      <c r="S15" s="1650">
        <v>2</v>
      </c>
      <c r="T15" s="2235"/>
      <c r="U15" s="1650" t="s">
        <v>64</v>
      </c>
      <c r="V15" s="2262">
        <v>12212</v>
      </c>
      <c r="W15" s="2262"/>
      <c r="X15" s="2262"/>
    </row>
    <row r="16" spans="1:25" ht="24.75" customHeight="1" x14ac:dyDescent="0.25">
      <c r="A16" s="100" t="s">
        <v>39</v>
      </c>
      <c r="B16" s="2260">
        <v>103896</v>
      </c>
      <c r="C16" s="2261"/>
      <c r="D16" s="1653"/>
      <c r="E16" s="1653"/>
      <c r="F16" s="1653"/>
      <c r="G16" s="1653"/>
      <c r="H16" s="1653"/>
      <c r="I16" s="1653"/>
      <c r="J16" s="1653"/>
      <c r="K16" s="1653"/>
      <c r="L16" s="1653"/>
      <c r="M16" s="1653"/>
      <c r="N16" s="1653"/>
      <c r="O16" s="1653"/>
      <c r="P16" s="1653"/>
      <c r="Q16" s="2262"/>
      <c r="R16" s="2262"/>
      <c r="S16" s="1653"/>
      <c r="T16" s="2254" t="s">
        <v>55</v>
      </c>
      <c r="U16" s="2254"/>
      <c r="V16" s="2267">
        <f>Y12</f>
        <v>204758.00750000001</v>
      </c>
      <c r="W16" s="2267"/>
      <c r="X16" s="2262"/>
    </row>
    <row r="17" spans="1:25" ht="28.5" customHeight="1" x14ac:dyDescent="0.25">
      <c r="A17" s="101" t="s">
        <v>44</v>
      </c>
      <c r="B17" s="2260"/>
      <c r="C17" s="2261"/>
      <c r="D17" s="1653"/>
      <c r="E17" s="1653"/>
      <c r="F17" s="1653"/>
      <c r="G17" s="1653"/>
      <c r="H17" s="1653"/>
      <c r="I17" s="1653"/>
      <c r="J17" s="1653"/>
      <c r="K17" s="1653"/>
      <c r="L17" s="1653"/>
      <c r="M17" s="1653"/>
      <c r="N17" s="1653"/>
      <c r="O17" s="1653"/>
      <c r="P17" s="1653"/>
      <c r="Q17" s="2225"/>
      <c r="R17" s="2225"/>
      <c r="S17" s="1649"/>
      <c r="T17" s="2294" t="s">
        <v>519</v>
      </c>
      <c r="U17" s="2295"/>
      <c r="V17" s="2296">
        <v>70000</v>
      </c>
      <c r="W17" s="2296"/>
      <c r="X17" s="2296"/>
    </row>
    <row r="18" spans="1:25" ht="27" customHeight="1" x14ac:dyDescent="0.25">
      <c r="A18" s="100" t="s">
        <v>40</v>
      </c>
      <c r="B18" s="2264">
        <f>C12</f>
        <v>104327</v>
      </c>
      <c r="C18" s="2261"/>
      <c r="D18" s="1655">
        <f>E12</f>
        <v>0</v>
      </c>
      <c r="E18" s="1655">
        <f>G12</f>
        <v>850</v>
      </c>
      <c r="F18" s="1655">
        <f>I12</f>
        <v>3660</v>
      </c>
      <c r="G18" s="1655">
        <f>K12</f>
        <v>0</v>
      </c>
      <c r="H18" s="1653"/>
      <c r="I18" s="1655">
        <f>U12</f>
        <v>35</v>
      </c>
      <c r="J18" s="1653"/>
      <c r="K18" s="1655">
        <f>W12</f>
        <v>0</v>
      </c>
      <c r="L18" s="1653"/>
      <c r="M18" s="1655">
        <f>M12</f>
        <v>0</v>
      </c>
      <c r="N18" s="1655">
        <f>O12</f>
        <v>0</v>
      </c>
      <c r="O18" s="1654">
        <f>Q12</f>
        <v>0</v>
      </c>
      <c r="P18" s="1655"/>
      <c r="Q18" s="2262"/>
      <c r="R18" s="2262"/>
      <c r="S18" s="1650"/>
      <c r="T18" s="2254" t="s">
        <v>57</v>
      </c>
      <c r="U18" s="2254"/>
      <c r="V18" s="2262">
        <v>520</v>
      </c>
      <c r="W18" s="2262"/>
      <c r="X18" s="2262"/>
      <c r="Y18" s="2269"/>
    </row>
    <row r="19" spans="1:25" ht="25.5" customHeight="1" x14ac:dyDescent="0.25">
      <c r="A19" s="100" t="s">
        <v>41</v>
      </c>
      <c r="B19" s="2260">
        <f>B15+B16+B17-B18</f>
        <v>310841</v>
      </c>
      <c r="C19" s="2261"/>
      <c r="D19" s="1653">
        <f>D15+D16+D17-D18</f>
        <v>0</v>
      </c>
      <c r="E19" s="1653">
        <f t="shared" ref="E19:N19" si="13">E15+E16+E17-E18</f>
        <v>150</v>
      </c>
      <c r="F19" s="1653">
        <f t="shared" si="13"/>
        <v>11660</v>
      </c>
      <c r="G19" s="1653">
        <f t="shared" si="13"/>
        <v>0</v>
      </c>
      <c r="H19" s="1653">
        <f t="shared" si="13"/>
        <v>72</v>
      </c>
      <c r="I19" s="1653">
        <f t="shared" si="13"/>
        <v>40</v>
      </c>
      <c r="J19" s="1653">
        <f t="shared" si="13"/>
        <v>4</v>
      </c>
      <c r="K19" s="1653">
        <f t="shared" si="13"/>
        <v>69</v>
      </c>
      <c r="L19" s="1653">
        <f t="shared" si="13"/>
        <v>0</v>
      </c>
      <c r="M19" s="1653">
        <f t="shared" si="13"/>
        <v>0</v>
      </c>
      <c r="N19" s="1653">
        <f t="shared" si="13"/>
        <v>0</v>
      </c>
      <c r="O19" s="1653">
        <f>O15+O16+O17-O18</f>
        <v>0</v>
      </c>
      <c r="P19" s="1653">
        <f t="shared" ref="P19:Q19" si="14">P15+P16+P17-P18</f>
        <v>100</v>
      </c>
      <c r="Q19" s="2260">
        <f t="shared" si="14"/>
        <v>10</v>
      </c>
      <c r="R19" s="2261"/>
      <c r="S19" s="1650">
        <f>S15+S16-S17-S18</f>
        <v>2</v>
      </c>
      <c r="T19" s="2256" t="s">
        <v>48</v>
      </c>
      <c r="U19" s="49" t="s">
        <v>58</v>
      </c>
      <c r="V19" s="2262">
        <v>400000</v>
      </c>
      <c r="W19" s="2262"/>
      <c r="X19" s="2262"/>
      <c r="Y19" s="2269"/>
    </row>
    <row r="20" spans="1:25" ht="23.25" customHeight="1" x14ac:dyDescent="0.25">
      <c r="A20" s="289" t="s">
        <v>187</v>
      </c>
      <c r="B20" s="2286">
        <f>B19*0.9625</f>
        <v>299184.46250000002</v>
      </c>
      <c r="C20" s="2287"/>
      <c r="D20" s="290">
        <f>D19*66.41</f>
        <v>0</v>
      </c>
      <c r="E20" s="290">
        <f>27.9368*E19</f>
        <v>4190.5200000000004</v>
      </c>
      <c r="F20" s="290">
        <f>18.31*F19</f>
        <v>213494.59999999998</v>
      </c>
      <c r="G20" s="290">
        <f>27.9368*G19</f>
        <v>0</v>
      </c>
      <c r="H20" s="290">
        <f>241*H19</f>
        <v>17352</v>
      </c>
      <c r="I20" s="290">
        <f>323*I19</f>
        <v>12920</v>
      </c>
      <c r="J20" s="290">
        <f>241*J19</f>
        <v>964</v>
      </c>
      <c r="K20" s="290">
        <f>K19*100</f>
        <v>6900</v>
      </c>
      <c r="L20" s="290">
        <f>241*L19</f>
        <v>0</v>
      </c>
      <c r="M20" s="290">
        <f>47.1625*M19</f>
        <v>0</v>
      </c>
      <c r="N20" s="290">
        <f>N19*8.81</f>
        <v>0</v>
      </c>
      <c r="O20" s="290">
        <f>241*O19</f>
        <v>0</v>
      </c>
      <c r="P20" s="290">
        <f>P19*48.2</f>
        <v>4820</v>
      </c>
      <c r="Q20" s="2286">
        <f>470*Q19</f>
        <v>4700</v>
      </c>
      <c r="R20" s="2287"/>
      <c r="S20" s="290">
        <f>341*S19</f>
        <v>682</v>
      </c>
      <c r="T20" s="2257"/>
      <c r="U20" s="49" t="s">
        <v>59</v>
      </c>
      <c r="V20" s="2262"/>
      <c r="W20" s="2262"/>
      <c r="X20" s="2262"/>
      <c r="Y20" s="2269"/>
    </row>
    <row r="21" spans="1:25" ht="32.25" customHeight="1" x14ac:dyDescent="0.25">
      <c r="A21" s="291" t="s">
        <v>186</v>
      </c>
      <c r="B21" s="2293">
        <f>SUM(B20:S20)</f>
        <v>565207.58250000002</v>
      </c>
      <c r="C21" s="2293"/>
      <c r="O21" s="1657"/>
      <c r="P21" s="1657"/>
      <c r="Q21" s="1657"/>
      <c r="R21" s="1657"/>
      <c r="T21" s="2294" t="s">
        <v>518</v>
      </c>
      <c r="U21" s="2295"/>
      <c r="V21" s="2297"/>
      <c r="W21" s="2298"/>
      <c r="X21" s="2299"/>
      <c r="Y21" s="2269"/>
    </row>
    <row r="22" spans="1:25" ht="35.25" customHeight="1" x14ac:dyDescent="0.25">
      <c r="A22" s="15"/>
      <c r="B22" s="2288" t="s">
        <v>49</v>
      </c>
      <c r="C22" s="2291">
        <v>400000</v>
      </c>
      <c r="D22" s="2291">
        <v>400000</v>
      </c>
      <c r="E22" s="2291">
        <v>100000</v>
      </c>
      <c r="F22" s="2291">
        <f>C22-D22+E22</f>
        <v>100000</v>
      </c>
      <c r="G22" s="1657"/>
      <c r="Q22" s="1657"/>
      <c r="R22" s="1657"/>
      <c r="T22" s="2251" t="s">
        <v>83</v>
      </c>
      <c r="U22" s="50" t="s">
        <v>60</v>
      </c>
      <c r="V22" s="2262">
        <v>422710</v>
      </c>
      <c r="W22" s="2262"/>
      <c r="X22" s="2262"/>
      <c r="Y22" s="2269"/>
    </row>
    <row r="23" spans="1:25" ht="39.75" customHeight="1" x14ac:dyDescent="0.25">
      <c r="A23" s="1657"/>
      <c r="B23" s="2289"/>
      <c r="C23" s="2292"/>
      <c r="D23" s="2292"/>
      <c r="E23" s="2292"/>
      <c r="F23" s="2292"/>
      <c r="G23" s="1657"/>
      <c r="Q23" s="1657"/>
      <c r="R23" s="1657"/>
      <c r="T23" s="2252"/>
      <c r="U23" s="50" t="s">
        <v>61</v>
      </c>
      <c r="V23" s="2262">
        <v>400000</v>
      </c>
      <c r="W23" s="2262"/>
      <c r="X23" s="2262"/>
      <c r="Y23" s="2269"/>
    </row>
    <row r="24" spans="1:25" ht="48" customHeight="1" x14ac:dyDescent="0.25">
      <c r="A24" s="1657"/>
      <c r="B24" s="2290"/>
      <c r="C24" s="290" t="s">
        <v>46</v>
      </c>
      <c r="D24" s="290" t="s">
        <v>50</v>
      </c>
      <c r="E24" s="290" t="s">
        <v>51</v>
      </c>
      <c r="F24" s="290" t="s">
        <v>52</v>
      </c>
      <c r="G24" s="1657"/>
      <c r="Q24" s="1657"/>
      <c r="R24" s="1657"/>
      <c r="T24" s="2235" t="s">
        <v>47</v>
      </c>
      <c r="U24" s="51" t="s">
        <v>62</v>
      </c>
      <c r="V24" s="2263">
        <f>V14+V16+V17-V18-V19-V20-V22+V23-V21</f>
        <v>21771.007500000007</v>
      </c>
      <c r="W24" s="2263"/>
      <c r="X24" s="2263"/>
      <c r="Y24" s="2269"/>
    </row>
    <row r="25" spans="1:25" ht="40.5" customHeight="1" x14ac:dyDescent="0.25">
      <c r="T25" s="2235"/>
      <c r="U25" s="51" t="s">
        <v>63</v>
      </c>
      <c r="V25" s="2262">
        <f>V15+V22-V23</f>
        <v>34922</v>
      </c>
      <c r="W25" s="2262"/>
      <c r="X25" s="2262"/>
    </row>
    <row r="26" spans="1:25" ht="36" customHeight="1" x14ac:dyDescent="0.25">
      <c r="K26" s="314"/>
    </row>
    <row r="28" spans="1:25" x14ac:dyDescent="0.25">
      <c r="J28" s="14" t="s">
        <v>139</v>
      </c>
    </row>
    <row r="32" spans="1:25" x14ac:dyDescent="0.25">
      <c r="I32" s="2280"/>
      <c r="J32" s="2280"/>
      <c r="K32" s="2280"/>
      <c r="L32" s="2280"/>
    </row>
    <row r="33" spans="9:12" x14ac:dyDescent="0.25">
      <c r="I33" s="1657"/>
      <c r="J33" s="1657"/>
      <c r="K33" s="2280"/>
      <c r="L33" s="2280"/>
    </row>
  </sheetData>
  <mergeCells count="62">
    <mergeCell ref="A1:Y1"/>
    <mergeCell ref="A2:Y2"/>
    <mergeCell ref="T3:Y3"/>
    <mergeCell ref="A4:A5"/>
    <mergeCell ref="B4:B5"/>
    <mergeCell ref="C4:D4"/>
    <mergeCell ref="E4:F4"/>
    <mergeCell ref="G4:H4"/>
    <mergeCell ref="I4:J4"/>
    <mergeCell ref="K4:L4"/>
    <mergeCell ref="Y4:Y5"/>
    <mergeCell ref="M4:N4"/>
    <mergeCell ref="O4:P4"/>
    <mergeCell ref="Q4:R4"/>
    <mergeCell ref="S4:T4"/>
    <mergeCell ref="U4:V4"/>
    <mergeCell ref="W4:X4"/>
    <mergeCell ref="B16:C16"/>
    <mergeCell ref="Q16:R16"/>
    <mergeCell ref="T16:U16"/>
    <mergeCell ref="V16:X16"/>
    <mergeCell ref="A12:B12"/>
    <mergeCell ref="B14:C14"/>
    <mergeCell ref="Q14:R14"/>
    <mergeCell ref="T14:T15"/>
    <mergeCell ref="V14:X14"/>
    <mergeCell ref="B15:C15"/>
    <mergeCell ref="Q15:R15"/>
    <mergeCell ref="V15:X15"/>
    <mergeCell ref="B17:C17"/>
    <mergeCell ref="Q17:R17"/>
    <mergeCell ref="T17:U17"/>
    <mergeCell ref="V17:X17"/>
    <mergeCell ref="B18:C18"/>
    <mergeCell ref="Q18:R18"/>
    <mergeCell ref="T18:U18"/>
    <mergeCell ref="V18:X18"/>
    <mergeCell ref="Y18:Y24"/>
    <mergeCell ref="B19:C19"/>
    <mergeCell ref="Q19:R19"/>
    <mergeCell ref="T19:T20"/>
    <mergeCell ref="V19:X19"/>
    <mergeCell ref="B20:C20"/>
    <mergeCell ref="B22:B24"/>
    <mergeCell ref="C22:C23"/>
    <mergeCell ref="D22:D23"/>
    <mergeCell ref="E22:E23"/>
    <mergeCell ref="F22:F23"/>
    <mergeCell ref="Q20:R20"/>
    <mergeCell ref="V20:X20"/>
    <mergeCell ref="B21:C21"/>
    <mergeCell ref="T21:U21"/>
    <mergeCell ref="V21:X21"/>
    <mergeCell ref="I32:J32"/>
    <mergeCell ref="K32:L32"/>
    <mergeCell ref="K33:L33"/>
    <mergeCell ref="T22:T23"/>
    <mergeCell ref="V22:X22"/>
    <mergeCell ref="V23:X23"/>
    <mergeCell ref="T24:T25"/>
    <mergeCell ref="V24:X24"/>
    <mergeCell ref="V25:X25"/>
  </mergeCells>
  <pageMargins left="0.15748031496063" right="0.15748031496063" top="0" bottom="0" header="0" footer="0"/>
  <pageSetup paperSize="9" scale="46" orientation="landscape" r:id="rId1"/>
</worksheet>
</file>

<file path=xl/worksheets/sheet27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D89D535-A6B1-4AC6-9991-3E6FF95BFF1C}">
  <sheetPr>
    <pageSetUpPr fitToPage="1"/>
  </sheetPr>
  <dimension ref="A1:Y33"/>
  <sheetViews>
    <sheetView topLeftCell="D5" zoomScale="70" zoomScaleNormal="70" zoomScaleSheetLayoutView="100" zoomScalePageLayoutView="68" workbookViewId="0">
      <selection activeCell="N23" sqref="N23"/>
    </sheetView>
  </sheetViews>
  <sheetFormatPr defaultColWidth="9.140625" defaultRowHeight="15" x14ac:dyDescent="0.25"/>
  <cols>
    <col min="1" max="1" width="18.28515625" style="14" customWidth="1"/>
    <col min="2" max="2" width="10.7109375" style="14" customWidth="1"/>
    <col min="3" max="3" width="12.28515625" style="14" customWidth="1"/>
    <col min="4" max="4" width="13.140625" style="14" bestFit="1" customWidth="1"/>
    <col min="5" max="5" width="12" style="14" customWidth="1"/>
    <col min="6" max="6" width="14" style="14" bestFit="1" customWidth="1"/>
    <col min="7" max="7" width="16" style="14" bestFit="1" customWidth="1"/>
    <col min="8" max="8" width="10.140625" style="14" bestFit="1" customWidth="1"/>
    <col min="9" max="9" width="10.5703125" style="14" bestFit="1" customWidth="1"/>
    <col min="10" max="10" width="10.5703125" style="14" customWidth="1"/>
    <col min="11" max="11" width="10.28515625" style="14" bestFit="1" customWidth="1"/>
    <col min="12" max="12" width="10.42578125" style="14" bestFit="1" customWidth="1"/>
    <col min="13" max="14" width="12" style="14" bestFit="1" customWidth="1"/>
    <col min="15" max="15" width="11" style="14" customWidth="1"/>
    <col min="16" max="16" width="12.85546875" style="14" bestFit="1" customWidth="1"/>
    <col min="17" max="18" width="9.42578125" style="14" customWidth="1"/>
    <col min="19" max="19" width="13.7109375" style="14" customWidth="1"/>
    <col min="20" max="20" width="12.140625" style="14" customWidth="1"/>
    <col min="21" max="21" width="21.7109375" style="14" customWidth="1"/>
    <col min="22" max="22" width="9.85546875" style="14" customWidth="1"/>
    <col min="23" max="23" width="10.140625" style="14" bestFit="1" customWidth="1"/>
    <col min="24" max="24" width="10.28515625" style="14" customWidth="1"/>
    <col min="25" max="25" width="15.7109375" style="14" customWidth="1"/>
    <col min="26" max="16384" width="9.140625" style="14"/>
  </cols>
  <sheetData>
    <row r="1" spans="1:25" ht="46.15" customHeight="1" x14ac:dyDescent="0.25">
      <c r="A1" s="2240" t="s">
        <v>148</v>
      </c>
      <c r="B1" s="2240"/>
      <c r="C1" s="2240"/>
      <c r="D1" s="2240"/>
      <c r="E1" s="2240"/>
      <c r="F1" s="2240"/>
      <c r="G1" s="2240"/>
      <c r="H1" s="2240"/>
      <c r="I1" s="2240"/>
      <c r="J1" s="2240"/>
      <c r="K1" s="2240"/>
      <c r="L1" s="2240"/>
      <c r="M1" s="2240"/>
      <c r="N1" s="2240"/>
      <c r="O1" s="2240"/>
      <c r="P1" s="2240"/>
      <c r="Q1" s="2240"/>
      <c r="R1" s="2240"/>
      <c r="S1" s="2240"/>
      <c r="T1" s="2240"/>
      <c r="U1" s="2240"/>
      <c r="V1" s="2240"/>
      <c r="W1" s="2240"/>
      <c r="X1" s="2240"/>
      <c r="Y1" s="2240"/>
    </row>
    <row r="2" spans="1:25" ht="21.6" customHeight="1" x14ac:dyDescent="0.25">
      <c r="A2" s="2241" t="s">
        <v>383</v>
      </c>
      <c r="B2" s="2241"/>
      <c r="C2" s="2241"/>
      <c r="D2" s="2241"/>
      <c r="E2" s="2241"/>
      <c r="F2" s="2241"/>
      <c r="G2" s="2241"/>
      <c r="H2" s="2241"/>
      <c r="I2" s="2241"/>
      <c r="J2" s="2241"/>
      <c r="K2" s="2241"/>
      <c r="L2" s="2241"/>
      <c r="M2" s="2241"/>
      <c r="N2" s="2241"/>
      <c r="O2" s="2241"/>
      <c r="P2" s="2241"/>
      <c r="Q2" s="2241"/>
      <c r="R2" s="2241"/>
      <c r="S2" s="2241"/>
      <c r="T2" s="2241"/>
      <c r="U2" s="2241"/>
      <c r="V2" s="2241"/>
      <c r="W2" s="2241"/>
      <c r="X2" s="2241"/>
      <c r="Y2" s="2241"/>
    </row>
    <row r="3" spans="1:25" ht="21" customHeight="1" x14ac:dyDescent="0.25">
      <c r="A3" s="1652"/>
      <c r="B3" s="1652"/>
      <c r="C3" s="1652"/>
      <c r="D3" s="1652"/>
      <c r="E3" s="1652"/>
      <c r="F3" s="1652"/>
      <c r="G3" s="1652"/>
      <c r="H3" s="1652"/>
      <c r="I3" s="1652"/>
      <c r="J3" s="1652"/>
      <c r="K3" s="1652"/>
      <c r="L3" s="1652"/>
      <c r="M3" s="1652"/>
      <c r="N3" s="1652"/>
      <c r="O3" s="1652"/>
      <c r="P3" s="1652"/>
      <c r="Q3" s="1652"/>
      <c r="R3" s="1652"/>
      <c r="S3" s="1652"/>
      <c r="T3" s="2242" t="s">
        <v>520</v>
      </c>
      <c r="U3" s="2242"/>
      <c r="V3" s="2242"/>
      <c r="W3" s="2242"/>
      <c r="X3" s="2242"/>
      <c r="Y3" s="2242"/>
    </row>
    <row r="4" spans="1:25" s="1652" customFormat="1" ht="18" customHeight="1" x14ac:dyDescent="0.25">
      <c r="A4" s="2243" t="s">
        <v>25</v>
      </c>
      <c r="B4" s="2243" t="s">
        <v>26</v>
      </c>
      <c r="C4" s="2244" t="s">
        <v>27</v>
      </c>
      <c r="D4" s="2244"/>
      <c r="E4" s="2244" t="s">
        <v>342</v>
      </c>
      <c r="F4" s="2244"/>
      <c r="G4" s="2244" t="s">
        <v>65</v>
      </c>
      <c r="H4" s="2244"/>
      <c r="I4" s="2244" t="s">
        <v>29</v>
      </c>
      <c r="J4" s="2244"/>
      <c r="K4" s="2245" t="s">
        <v>14</v>
      </c>
      <c r="L4" s="2246"/>
      <c r="M4" s="2245" t="s">
        <v>429</v>
      </c>
      <c r="N4" s="2246"/>
      <c r="O4" s="2245" t="s">
        <v>441</v>
      </c>
      <c r="P4" s="2246"/>
      <c r="Q4" s="2245" t="s">
        <v>114</v>
      </c>
      <c r="R4" s="2246"/>
      <c r="S4" s="2244" t="s">
        <v>35</v>
      </c>
      <c r="T4" s="2244"/>
      <c r="U4" s="2245" t="s">
        <v>17</v>
      </c>
      <c r="V4" s="2246"/>
      <c r="W4" s="2247" t="s">
        <v>36</v>
      </c>
      <c r="X4" s="2248"/>
      <c r="Y4" s="2238" t="s">
        <v>30</v>
      </c>
    </row>
    <row r="5" spans="1:25" s="1652" customFormat="1" ht="25.5" customHeight="1" x14ac:dyDescent="0.25">
      <c r="A5" s="2243"/>
      <c r="B5" s="2243"/>
      <c r="C5" s="1651" t="s">
        <v>42</v>
      </c>
      <c r="D5" s="1651" t="s">
        <v>43</v>
      </c>
      <c r="E5" s="1651" t="s">
        <v>42</v>
      </c>
      <c r="F5" s="1651" t="s">
        <v>43</v>
      </c>
      <c r="G5" s="1651" t="s">
        <v>42</v>
      </c>
      <c r="H5" s="1651" t="s">
        <v>43</v>
      </c>
      <c r="I5" s="1651" t="s">
        <v>42</v>
      </c>
      <c r="J5" s="1651" t="s">
        <v>43</v>
      </c>
      <c r="K5" s="1651" t="s">
        <v>42</v>
      </c>
      <c r="L5" s="1651" t="s">
        <v>43</v>
      </c>
      <c r="M5" s="1651" t="s">
        <v>42</v>
      </c>
      <c r="N5" s="1651" t="s">
        <v>43</v>
      </c>
      <c r="O5" s="1651" t="s">
        <v>42</v>
      </c>
      <c r="P5" s="1651" t="s">
        <v>43</v>
      </c>
      <c r="Q5" s="1651" t="s">
        <v>42</v>
      </c>
      <c r="R5" s="1651" t="s">
        <v>43</v>
      </c>
      <c r="S5" s="33" t="s">
        <v>42</v>
      </c>
      <c r="T5" s="33" t="s">
        <v>43</v>
      </c>
      <c r="U5" s="30" t="s">
        <v>42</v>
      </c>
      <c r="V5" s="30" t="s">
        <v>43</v>
      </c>
      <c r="W5" s="30" t="s">
        <v>42</v>
      </c>
      <c r="X5" s="30" t="s">
        <v>43</v>
      </c>
      <c r="Y5" s="2239"/>
    </row>
    <row r="6" spans="1:25" ht="34.5" customHeight="1" x14ac:dyDescent="0.25">
      <c r="A6" s="12">
        <v>1409935200</v>
      </c>
      <c r="B6" s="1650" t="s">
        <v>71</v>
      </c>
      <c r="C6" s="1648">
        <v>20168</v>
      </c>
      <c r="D6" s="1647">
        <f t="shared" ref="D6:D11" si="0">0.9725*C6</f>
        <v>19613.38</v>
      </c>
      <c r="E6" s="1648"/>
      <c r="F6" s="1647">
        <f>67.1*E6</f>
        <v>0</v>
      </c>
      <c r="G6" s="1648"/>
      <c r="H6" s="1648">
        <f>28.2*G6</f>
        <v>0</v>
      </c>
      <c r="I6" s="1648">
        <v>520</v>
      </c>
      <c r="J6" s="1648">
        <f>18.5*I6</f>
        <v>9620</v>
      </c>
      <c r="K6" s="1648"/>
      <c r="L6" s="1647">
        <f>28.2368*K6</f>
        <v>0</v>
      </c>
      <c r="M6" s="1648"/>
      <c r="N6" s="1647">
        <f>M6*47.6525</f>
        <v>0</v>
      </c>
      <c r="O6" s="1648"/>
      <c r="P6" s="1647">
        <f>O6*8.9</f>
        <v>0</v>
      </c>
      <c r="Q6" s="1647"/>
      <c r="R6" s="1647">
        <f>241*Q6</f>
        <v>0</v>
      </c>
      <c r="S6" s="1648"/>
      <c r="T6" s="1648">
        <f>241*S6</f>
        <v>0</v>
      </c>
      <c r="U6" s="1648">
        <v>10</v>
      </c>
      <c r="V6" s="1648">
        <f>332*U6</f>
        <v>3320</v>
      </c>
      <c r="W6" s="1648"/>
      <c r="X6" s="19">
        <f>W6*100</f>
        <v>0</v>
      </c>
      <c r="Y6" s="20">
        <f t="shared" ref="Y6:Y12" si="1">D6+F6+H6+J6+L6+N6+P6+R6+T6+V6+X6</f>
        <v>32553.38</v>
      </c>
    </row>
    <row r="7" spans="1:25" ht="31.5" customHeight="1" x14ac:dyDescent="0.25">
      <c r="A7" s="12">
        <v>1984225578</v>
      </c>
      <c r="B7" s="1650" t="s">
        <v>509</v>
      </c>
      <c r="C7" s="1648">
        <v>21093</v>
      </c>
      <c r="D7" s="1647">
        <f t="shared" si="0"/>
        <v>20512.942500000001</v>
      </c>
      <c r="E7" s="1648"/>
      <c r="F7" s="1648">
        <f t="shared" ref="F7:F11" si="2">67.1*E7</f>
        <v>0</v>
      </c>
      <c r="G7" s="1648">
        <v>50</v>
      </c>
      <c r="H7" s="1648">
        <f t="shared" ref="H7:H11" si="3">28.2*G7</f>
        <v>1410</v>
      </c>
      <c r="I7" s="1648">
        <v>180</v>
      </c>
      <c r="J7" s="1648">
        <f t="shared" ref="J7:J11" si="4">18.5*I7</f>
        <v>3330</v>
      </c>
      <c r="K7" s="1648"/>
      <c r="L7" s="1647">
        <f t="shared" ref="L7:L11" si="5">28.2368*K7</f>
        <v>0</v>
      </c>
      <c r="M7" s="1648"/>
      <c r="N7" s="1647">
        <f t="shared" ref="N7:N11" si="6">M7*47.6525</f>
        <v>0</v>
      </c>
      <c r="O7" s="1648"/>
      <c r="P7" s="1647">
        <f t="shared" ref="P7:P11" si="7">O7*8.9</f>
        <v>0</v>
      </c>
      <c r="Q7" s="1647"/>
      <c r="R7" s="1647">
        <f t="shared" ref="R7:R11" si="8">241*Q7</f>
        <v>0</v>
      </c>
      <c r="S7" s="1648"/>
      <c r="T7" s="1648">
        <f t="shared" ref="T7:T10" si="9">241*S7</f>
        <v>0</v>
      </c>
      <c r="U7" s="1648"/>
      <c r="V7" s="1648">
        <f t="shared" ref="V7:V11" si="10">332*U7</f>
        <v>0</v>
      </c>
      <c r="W7" s="1648"/>
      <c r="X7" s="19">
        <f t="shared" ref="X7:X11" si="11">W7*100</f>
        <v>0</v>
      </c>
      <c r="Y7" s="20">
        <f t="shared" si="1"/>
        <v>25252.942500000001</v>
      </c>
    </row>
    <row r="8" spans="1:25" ht="35.25" customHeight="1" x14ac:dyDescent="0.25">
      <c r="A8" s="12">
        <v>1967020280</v>
      </c>
      <c r="B8" s="1650" t="s">
        <v>427</v>
      </c>
      <c r="C8" s="1648">
        <v>13196</v>
      </c>
      <c r="D8" s="1647">
        <f t="shared" si="0"/>
        <v>12833.11</v>
      </c>
      <c r="E8" s="1648"/>
      <c r="F8" s="1648">
        <f t="shared" si="2"/>
        <v>0</v>
      </c>
      <c r="G8" s="1648">
        <v>60</v>
      </c>
      <c r="H8" s="1647">
        <f t="shared" si="3"/>
        <v>1692</v>
      </c>
      <c r="I8" s="1648">
        <v>500</v>
      </c>
      <c r="J8" s="1648">
        <f t="shared" si="4"/>
        <v>9250</v>
      </c>
      <c r="K8" s="1648"/>
      <c r="L8" s="1647">
        <f t="shared" si="5"/>
        <v>0</v>
      </c>
      <c r="M8" s="1648"/>
      <c r="N8" s="1647">
        <f t="shared" si="6"/>
        <v>0</v>
      </c>
      <c r="O8" s="1648"/>
      <c r="P8" s="1647">
        <f t="shared" si="7"/>
        <v>0</v>
      </c>
      <c r="Q8" s="1647"/>
      <c r="R8" s="1647">
        <f t="shared" si="8"/>
        <v>0</v>
      </c>
      <c r="S8" s="1648"/>
      <c r="T8" s="1648">
        <f t="shared" si="9"/>
        <v>0</v>
      </c>
      <c r="U8" s="1648"/>
      <c r="V8" s="1648">
        <f t="shared" si="10"/>
        <v>0</v>
      </c>
      <c r="W8" s="1648"/>
      <c r="X8" s="19">
        <f t="shared" si="11"/>
        <v>0</v>
      </c>
      <c r="Y8" s="20">
        <f t="shared" si="1"/>
        <v>23775.11</v>
      </c>
    </row>
    <row r="9" spans="1:25" ht="38.25" customHeight="1" x14ac:dyDescent="0.25">
      <c r="A9" s="12">
        <v>1984225580</v>
      </c>
      <c r="B9" s="1650" t="s">
        <v>75</v>
      </c>
      <c r="C9" s="1648">
        <v>29290</v>
      </c>
      <c r="D9" s="1647">
        <f t="shared" si="0"/>
        <v>28484.525000000001</v>
      </c>
      <c r="E9" s="1648"/>
      <c r="F9" s="1648">
        <f t="shared" si="2"/>
        <v>0</v>
      </c>
      <c r="G9" s="1648"/>
      <c r="H9" s="1648">
        <f t="shared" si="3"/>
        <v>0</v>
      </c>
      <c r="I9" s="1648">
        <v>270</v>
      </c>
      <c r="J9" s="1648">
        <f t="shared" si="4"/>
        <v>4995</v>
      </c>
      <c r="K9" s="1648"/>
      <c r="L9" s="1647">
        <f t="shared" si="5"/>
        <v>0</v>
      </c>
      <c r="M9" s="1648"/>
      <c r="N9" s="1647">
        <f t="shared" si="6"/>
        <v>0</v>
      </c>
      <c r="O9" s="1648"/>
      <c r="P9" s="1647">
        <f t="shared" si="7"/>
        <v>0</v>
      </c>
      <c r="Q9" s="1647"/>
      <c r="R9" s="1647">
        <f t="shared" si="8"/>
        <v>0</v>
      </c>
      <c r="S9" s="1648"/>
      <c r="T9" s="1648">
        <f t="shared" si="9"/>
        <v>0</v>
      </c>
      <c r="U9" s="1648"/>
      <c r="V9" s="1648">
        <f t="shared" si="10"/>
        <v>0</v>
      </c>
      <c r="W9" s="1648"/>
      <c r="X9" s="19">
        <f t="shared" si="11"/>
        <v>0</v>
      </c>
      <c r="Y9" s="20">
        <f t="shared" si="1"/>
        <v>33479.525000000001</v>
      </c>
    </row>
    <row r="10" spans="1:25" ht="35.25" customHeight="1" x14ac:dyDescent="0.25">
      <c r="A10" s="12">
        <v>1409935199</v>
      </c>
      <c r="C10" s="1648"/>
      <c r="D10" s="1647">
        <f t="shared" si="0"/>
        <v>0</v>
      </c>
      <c r="E10" s="1648"/>
      <c r="F10" s="1648">
        <f t="shared" si="2"/>
        <v>0</v>
      </c>
      <c r="G10" s="1648"/>
      <c r="H10" s="1648">
        <f t="shared" si="3"/>
        <v>0</v>
      </c>
      <c r="I10" s="1648">
        <v>3000</v>
      </c>
      <c r="J10" s="1648">
        <f t="shared" si="4"/>
        <v>55500</v>
      </c>
      <c r="K10" s="1648"/>
      <c r="L10" s="1647">
        <f t="shared" si="5"/>
        <v>0</v>
      </c>
      <c r="M10" s="1648"/>
      <c r="N10" s="1647">
        <f t="shared" si="6"/>
        <v>0</v>
      </c>
      <c r="O10" s="1648"/>
      <c r="P10" s="1647">
        <f t="shared" si="7"/>
        <v>0</v>
      </c>
      <c r="Q10" s="1647"/>
      <c r="R10" s="1647">
        <f t="shared" si="8"/>
        <v>0</v>
      </c>
      <c r="S10" s="1648"/>
      <c r="T10" s="1648">
        <f t="shared" si="9"/>
        <v>0</v>
      </c>
      <c r="U10" s="1648"/>
      <c r="V10" s="1648">
        <f t="shared" si="10"/>
        <v>0</v>
      </c>
      <c r="W10" s="1648"/>
      <c r="X10" s="19">
        <f t="shared" si="11"/>
        <v>0</v>
      </c>
      <c r="Y10" s="20">
        <f t="shared" si="1"/>
        <v>55500</v>
      </c>
    </row>
    <row r="11" spans="1:25" ht="37.5" customHeight="1" x14ac:dyDescent="0.25">
      <c r="A11" s="12"/>
      <c r="B11" s="1649"/>
      <c r="C11" s="1648"/>
      <c r="D11" s="1647">
        <f t="shared" si="0"/>
        <v>0</v>
      </c>
      <c r="E11" s="1648"/>
      <c r="F11" s="1648">
        <f t="shared" si="2"/>
        <v>0</v>
      </c>
      <c r="G11" s="1648"/>
      <c r="H11" s="1648">
        <f t="shared" si="3"/>
        <v>0</v>
      </c>
      <c r="I11" s="1648"/>
      <c r="J11" s="1648">
        <f t="shared" si="4"/>
        <v>0</v>
      </c>
      <c r="K11" s="1648"/>
      <c r="L11" s="1647">
        <f t="shared" si="5"/>
        <v>0</v>
      </c>
      <c r="M11" s="1648"/>
      <c r="N11" s="1647">
        <f t="shared" si="6"/>
        <v>0</v>
      </c>
      <c r="O11" s="1648"/>
      <c r="P11" s="1647">
        <f t="shared" si="7"/>
        <v>0</v>
      </c>
      <c r="Q11" s="1647"/>
      <c r="R11" s="1647">
        <f t="shared" si="8"/>
        <v>0</v>
      </c>
      <c r="S11" s="1648"/>
      <c r="T11" s="1648">
        <f>341*S11</f>
        <v>0</v>
      </c>
      <c r="U11" s="1648"/>
      <c r="V11" s="1648">
        <f t="shared" si="10"/>
        <v>0</v>
      </c>
      <c r="W11" s="1648"/>
      <c r="X11" s="19">
        <f t="shared" si="11"/>
        <v>0</v>
      </c>
      <c r="Y11" s="20">
        <f t="shared" si="1"/>
        <v>0</v>
      </c>
    </row>
    <row r="12" spans="1:25" ht="29.25" customHeight="1" x14ac:dyDescent="0.25">
      <c r="A12" s="2235" t="s">
        <v>31</v>
      </c>
      <c r="B12" s="2235"/>
      <c r="C12" s="18">
        <f t="shared" ref="C12:X12" si="12">SUM(C6:C11)</f>
        <v>83747</v>
      </c>
      <c r="D12" s="18">
        <f t="shared" si="12"/>
        <v>81443.957500000004</v>
      </c>
      <c r="E12" s="18">
        <f t="shared" si="12"/>
        <v>0</v>
      </c>
      <c r="F12" s="18">
        <f t="shared" si="12"/>
        <v>0</v>
      </c>
      <c r="G12" s="18">
        <f t="shared" si="12"/>
        <v>110</v>
      </c>
      <c r="H12" s="18">
        <f t="shared" si="12"/>
        <v>3102</v>
      </c>
      <c r="I12" s="18">
        <f t="shared" si="12"/>
        <v>4470</v>
      </c>
      <c r="J12" s="18">
        <f t="shared" si="12"/>
        <v>82695</v>
      </c>
      <c r="K12" s="18">
        <f t="shared" si="12"/>
        <v>0</v>
      </c>
      <c r="L12" s="18">
        <f t="shared" si="12"/>
        <v>0</v>
      </c>
      <c r="M12" s="18">
        <f t="shared" si="12"/>
        <v>0</v>
      </c>
      <c r="N12" s="23">
        <f t="shared" si="12"/>
        <v>0</v>
      </c>
      <c r="O12" s="18">
        <f t="shared" si="12"/>
        <v>0</v>
      </c>
      <c r="P12" s="23">
        <f t="shared" si="12"/>
        <v>0</v>
      </c>
      <c r="Q12" s="23">
        <f t="shared" si="12"/>
        <v>0</v>
      </c>
      <c r="R12" s="23">
        <f>SUM(R6:R11)</f>
        <v>0</v>
      </c>
      <c r="S12" s="23">
        <f>SUM(S6:S11)</f>
        <v>0</v>
      </c>
      <c r="T12" s="18">
        <f t="shared" si="12"/>
        <v>0</v>
      </c>
      <c r="U12" s="18">
        <f t="shared" si="12"/>
        <v>10</v>
      </c>
      <c r="V12" s="18">
        <f t="shared" si="12"/>
        <v>3320</v>
      </c>
      <c r="W12" s="18">
        <f t="shared" si="12"/>
        <v>0</v>
      </c>
      <c r="X12" s="18">
        <f t="shared" si="12"/>
        <v>0</v>
      </c>
      <c r="Y12" s="20">
        <f t="shared" si="1"/>
        <v>170560.95750000002</v>
      </c>
    </row>
    <row r="14" spans="1:25" ht="43.5" customHeight="1" x14ac:dyDescent="0.25">
      <c r="A14" s="30" t="s">
        <v>32</v>
      </c>
      <c r="B14" s="2236" t="s">
        <v>27</v>
      </c>
      <c r="C14" s="2236"/>
      <c r="D14" s="30" t="s">
        <v>333</v>
      </c>
      <c r="E14" s="30" t="s">
        <v>65</v>
      </c>
      <c r="F14" s="30" t="s">
        <v>34</v>
      </c>
      <c r="G14" s="30" t="s">
        <v>14</v>
      </c>
      <c r="H14" s="469" t="s">
        <v>173</v>
      </c>
      <c r="I14" s="30" t="s">
        <v>17</v>
      </c>
      <c r="J14" s="1656" t="s">
        <v>174</v>
      </c>
      <c r="K14" s="30" t="s">
        <v>36</v>
      </c>
      <c r="L14" s="1656" t="s">
        <v>403</v>
      </c>
      <c r="M14" s="30" t="s">
        <v>429</v>
      </c>
      <c r="N14" s="30" t="s">
        <v>442</v>
      </c>
      <c r="O14" s="1656" t="s">
        <v>114</v>
      </c>
      <c r="P14" s="30" t="s">
        <v>70</v>
      </c>
      <c r="Q14" s="2300" t="s">
        <v>479</v>
      </c>
      <c r="R14" s="2301"/>
      <c r="S14" s="1656" t="s">
        <v>401</v>
      </c>
      <c r="T14" s="2235" t="s">
        <v>46</v>
      </c>
      <c r="U14" s="1650" t="s">
        <v>176</v>
      </c>
      <c r="V14" s="2260">
        <v>21771</v>
      </c>
      <c r="W14" s="2268"/>
      <c r="X14" s="2261"/>
    </row>
    <row r="15" spans="1:25" ht="22.5" customHeight="1" x14ac:dyDescent="0.25">
      <c r="A15" s="100" t="s">
        <v>38</v>
      </c>
      <c r="B15" s="2260">
        <v>310841</v>
      </c>
      <c r="C15" s="2261"/>
      <c r="D15" s="1653">
        <v>0</v>
      </c>
      <c r="E15" s="1653">
        <v>150</v>
      </c>
      <c r="F15" s="1653">
        <v>11660</v>
      </c>
      <c r="G15" s="1653">
        <v>0</v>
      </c>
      <c r="H15" s="1653">
        <v>72</v>
      </c>
      <c r="I15" s="1653">
        <v>40</v>
      </c>
      <c r="J15" s="1653">
        <v>4</v>
      </c>
      <c r="K15" s="1653">
        <v>69</v>
      </c>
      <c r="L15" s="1653">
        <v>0</v>
      </c>
      <c r="M15" s="1653">
        <v>0</v>
      </c>
      <c r="N15" s="1653">
        <v>0</v>
      </c>
      <c r="O15" s="1653">
        <v>0</v>
      </c>
      <c r="P15" s="1653">
        <v>100</v>
      </c>
      <c r="Q15" s="2260">
        <v>10</v>
      </c>
      <c r="R15" s="2261"/>
      <c r="S15" s="1650">
        <v>2</v>
      </c>
      <c r="T15" s="2235"/>
      <c r="U15" s="1650" t="s">
        <v>64</v>
      </c>
      <c r="V15" s="2262">
        <v>34922</v>
      </c>
      <c r="W15" s="2262"/>
      <c r="X15" s="2262"/>
    </row>
    <row r="16" spans="1:25" ht="24.75" customHeight="1" x14ac:dyDescent="0.25">
      <c r="A16" s="100" t="s">
        <v>39</v>
      </c>
      <c r="B16" s="2260">
        <v>84603</v>
      </c>
      <c r="C16" s="2261"/>
      <c r="D16" s="1653"/>
      <c r="E16" s="1653"/>
      <c r="F16" s="1653">
        <v>7500</v>
      </c>
      <c r="G16" s="1653"/>
      <c r="H16" s="1653"/>
      <c r="I16" s="1653"/>
      <c r="J16" s="1653"/>
      <c r="K16" s="1653"/>
      <c r="L16" s="1653"/>
      <c r="M16" s="1653"/>
      <c r="N16" s="1653"/>
      <c r="O16" s="1653"/>
      <c r="P16" s="1653"/>
      <c r="Q16" s="2262"/>
      <c r="R16" s="2262"/>
      <c r="S16" s="1653"/>
      <c r="T16" s="2254" t="s">
        <v>55</v>
      </c>
      <c r="U16" s="2254"/>
      <c r="V16" s="2267">
        <f>Y12</f>
        <v>170560.95750000002</v>
      </c>
      <c r="W16" s="2267"/>
      <c r="X16" s="2262"/>
    </row>
    <row r="17" spans="1:25" ht="28.5" customHeight="1" x14ac:dyDescent="0.25">
      <c r="A17" s="101" t="s">
        <v>44</v>
      </c>
      <c r="B17" s="2260"/>
      <c r="C17" s="2261"/>
      <c r="D17" s="1653"/>
      <c r="E17" s="1653"/>
      <c r="F17" s="1653"/>
      <c r="G17" s="1653"/>
      <c r="H17" s="1653"/>
      <c r="I17" s="1653"/>
      <c r="J17" s="1653"/>
      <c r="K17" s="1653"/>
      <c r="L17" s="1653"/>
      <c r="M17" s="1653"/>
      <c r="N17" s="1653"/>
      <c r="O17" s="1653"/>
      <c r="P17" s="1653"/>
      <c r="Q17" s="2225"/>
      <c r="R17" s="2225"/>
      <c r="S17" s="1649"/>
      <c r="T17" s="2294" t="s">
        <v>521</v>
      </c>
      <c r="U17" s="2295"/>
      <c r="V17" s="2296"/>
      <c r="W17" s="2296"/>
      <c r="X17" s="2296"/>
    </row>
    <row r="18" spans="1:25" ht="27" customHeight="1" x14ac:dyDescent="0.25">
      <c r="A18" s="100" t="s">
        <v>40</v>
      </c>
      <c r="B18" s="2264">
        <f>C12</f>
        <v>83747</v>
      </c>
      <c r="C18" s="2261"/>
      <c r="D18" s="1655">
        <f>E12</f>
        <v>0</v>
      </c>
      <c r="E18" s="1655">
        <f>G12</f>
        <v>110</v>
      </c>
      <c r="F18" s="1655">
        <f>I12</f>
        <v>4470</v>
      </c>
      <c r="G18" s="1655">
        <f>K12</f>
        <v>0</v>
      </c>
      <c r="H18" s="1653"/>
      <c r="I18" s="1655">
        <f>U12</f>
        <v>10</v>
      </c>
      <c r="J18" s="1653"/>
      <c r="K18" s="1655">
        <f>W12</f>
        <v>0</v>
      </c>
      <c r="L18" s="1653"/>
      <c r="M18" s="1655">
        <f>M12</f>
        <v>0</v>
      </c>
      <c r="N18" s="1655">
        <f>O12</f>
        <v>0</v>
      </c>
      <c r="O18" s="1654">
        <f>Q12</f>
        <v>0</v>
      </c>
      <c r="P18" s="1655"/>
      <c r="Q18" s="2262"/>
      <c r="R18" s="2262"/>
      <c r="S18" s="1650"/>
      <c r="T18" s="2254" t="s">
        <v>57</v>
      </c>
      <c r="U18" s="2254"/>
      <c r="V18" s="2262">
        <v>620</v>
      </c>
      <c r="W18" s="2262"/>
      <c r="X18" s="2262"/>
      <c r="Y18" s="2269"/>
    </row>
    <row r="19" spans="1:25" ht="25.5" customHeight="1" x14ac:dyDescent="0.25">
      <c r="A19" s="100" t="s">
        <v>41</v>
      </c>
      <c r="B19" s="2260">
        <f>B15+B16+B17-B18</f>
        <v>311697</v>
      </c>
      <c r="C19" s="2261"/>
      <c r="D19" s="1653">
        <f>D15+D16+D17-D18</f>
        <v>0</v>
      </c>
      <c r="E19" s="1653">
        <f t="shared" ref="E19:N19" si="13">E15+E16+E17-E18</f>
        <v>40</v>
      </c>
      <c r="F19" s="1653">
        <f t="shared" si="13"/>
        <v>14690</v>
      </c>
      <c r="G19" s="1653">
        <f t="shared" si="13"/>
        <v>0</v>
      </c>
      <c r="H19" s="1653">
        <f t="shared" si="13"/>
        <v>72</v>
      </c>
      <c r="I19" s="1653">
        <f t="shared" si="13"/>
        <v>30</v>
      </c>
      <c r="J19" s="1653">
        <f t="shared" si="13"/>
        <v>4</v>
      </c>
      <c r="K19" s="1653">
        <f t="shared" si="13"/>
        <v>69</v>
      </c>
      <c r="L19" s="1653">
        <f t="shared" si="13"/>
        <v>0</v>
      </c>
      <c r="M19" s="1653">
        <f t="shared" si="13"/>
        <v>0</v>
      </c>
      <c r="N19" s="1653">
        <f t="shared" si="13"/>
        <v>0</v>
      </c>
      <c r="O19" s="1653">
        <f>O15+O16+O17-O18</f>
        <v>0</v>
      </c>
      <c r="P19" s="1653">
        <f t="shared" ref="P19:Q19" si="14">P15+P16+P17-P18</f>
        <v>100</v>
      </c>
      <c r="Q19" s="2260">
        <f t="shared" si="14"/>
        <v>10</v>
      </c>
      <c r="R19" s="2261"/>
      <c r="S19" s="1650">
        <f>S15+S16-S17-S18</f>
        <v>2</v>
      </c>
      <c r="T19" s="2256" t="s">
        <v>48</v>
      </c>
      <c r="U19" s="49" t="s">
        <v>58</v>
      </c>
      <c r="V19" s="2262">
        <v>100000</v>
      </c>
      <c r="W19" s="2262"/>
      <c r="X19" s="2262"/>
      <c r="Y19" s="2269"/>
    </row>
    <row r="20" spans="1:25" ht="23.25" customHeight="1" x14ac:dyDescent="0.25">
      <c r="A20" s="289" t="s">
        <v>187</v>
      </c>
      <c r="B20" s="2286">
        <f>B19*0.9625</f>
        <v>300008.36249999999</v>
      </c>
      <c r="C20" s="2287"/>
      <c r="D20" s="290">
        <f>D19*66.41</f>
        <v>0</v>
      </c>
      <c r="E20" s="290">
        <f>27.9368*E19</f>
        <v>1117.472</v>
      </c>
      <c r="F20" s="290">
        <f>18.31*F19</f>
        <v>268973.89999999997</v>
      </c>
      <c r="G20" s="290">
        <f>27.9368*G19</f>
        <v>0</v>
      </c>
      <c r="H20" s="290">
        <f>241*H19</f>
        <v>17352</v>
      </c>
      <c r="I20" s="290">
        <f>323*I19</f>
        <v>9690</v>
      </c>
      <c r="J20" s="290">
        <f>241*J19</f>
        <v>964</v>
      </c>
      <c r="K20" s="290">
        <f>K19*100</f>
        <v>6900</v>
      </c>
      <c r="L20" s="290">
        <f>241*L19</f>
        <v>0</v>
      </c>
      <c r="M20" s="290">
        <f>47.1625*M19</f>
        <v>0</v>
      </c>
      <c r="N20" s="290">
        <f>N19*8.81</f>
        <v>0</v>
      </c>
      <c r="O20" s="290">
        <f>241*O19</f>
        <v>0</v>
      </c>
      <c r="P20" s="290">
        <f>P19*48.2</f>
        <v>4820</v>
      </c>
      <c r="Q20" s="2286">
        <f>470*Q19</f>
        <v>4700</v>
      </c>
      <c r="R20" s="2287"/>
      <c r="S20" s="290">
        <f>341*S19</f>
        <v>682</v>
      </c>
      <c r="T20" s="2257"/>
      <c r="U20" s="49" t="s">
        <v>59</v>
      </c>
      <c r="V20" s="2262"/>
      <c r="W20" s="2262"/>
      <c r="X20" s="2262"/>
      <c r="Y20" s="2269"/>
    </row>
    <row r="21" spans="1:25" ht="32.25" customHeight="1" x14ac:dyDescent="0.25">
      <c r="A21" s="291" t="s">
        <v>186</v>
      </c>
      <c r="B21" s="2293">
        <f>SUM(B20:S20)</f>
        <v>615207.73450000002</v>
      </c>
      <c r="C21" s="2293"/>
      <c r="O21" s="1657"/>
      <c r="P21" s="1657"/>
      <c r="Q21" s="1657"/>
      <c r="R21" s="1657"/>
      <c r="T21" s="2294" t="s">
        <v>518</v>
      </c>
      <c r="U21" s="2295"/>
      <c r="V21" s="2297"/>
      <c r="W21" s="2298"/>
      <c r="X21" s="2299"/>
      <c r="Y21" s="2269"/>
    </row>
    <row r="22" spans="1:25" ht="35.25" customHeight="1" x14ac:dyDescent="0.25">
      <c r="A22" s="15"/>
      <c r="B22" s="2288" t="s">
        <v>49</v>
      </c>
      <c r="C22" s="2291">
        <v>100000</v>
      </c>
      <c r="D22" s="2291">
        <v>100000</v>
      </c>
      <c r="E22" s="2291">
        <v>218755</v>
      </c>
      <c r="F22" s="2291">
        <f>C22-D22+E22</f>
        <v>218755</v>
      </c>
      <c r="G22" s="1657"/>
      <c r="Q22" s="1657"/>
      <c r="R22" s="1657"/>
      <c r="T22" s="2251" t="s">
        <v>83</v>
      </c>
      <c r="U22" s="50" t="s">
        <v>60</v>
      </c>
      <c r="V22" s="2262">
        <v>184530</v>
      </c>
      <c r="W22" s="2262"/>
      <c r="X22" s="2262"/>
      <c r="Y22" s="2269"/>
    </row>
    <row r="23" spans="1:25" ht="39.75" customHeight="1" x14ac:dyDescent="0.25">
      <c r="A23" s="1657"/>
      <c r="B23" s="2289"/>
      <c r="C23" s="2292"/>
      <c r="D23" s="2292"/>
      <c r="E23" s="2292"/>
      <c r="F23" s="2292"/>
      <c r="G23" s="1657"/>
      <c r="Q23" s="1657"/>
      <c r="R23" s="1657"/>
      <c r="T23" s="2252"/>
      <c r="U23" s="50" t="s">
        <v>61</v>
      </c>
      <c r="V23" s="2262">
        <v>100000</v>
      </c>
      <c r="W23" s="2262"/>
      <c r="X23" s="2262"/>
      <c r="Y23" s="2269"/>
    </row>
    <row r="24" spans="1:25" ht="48" customHeight="1" x14ac:dyDescent="0.25">
      <c r="A24" s="1657"/>
      <c r="B24" s="2290"/>
      <c r="C24" s="290" t="s">
        <v>46</v>
      </c>
      <c r="D24" s="290" t="s">
        <v>50</v>
      </c>
      <c r="E24" s="290" t="s">
        <v>51</v>
      </c>
      <c r="F24" s="290" t="s">
        <v>52</v>
      </c>
      <c r="G24" s="1657"/>
      <c r="Q24" s="1657"/>
      <c r="R24" s="1657"/>
      <c r="T24" s="2235" t="s">
        <v>47</v>
      </c>
      <c r="U24" s="51" t="s">
        <v>62</v>
      </c>
      <c r="V24" s="2263">
        <f>V14+V16+V17-V18-V19-V20-V22+V23-V21</f>
        <v>7181.9575000000186</v>
      </c>
      <c r="W24" s="2263"/>
      <c r="X24" s="2263"/>
      <c r="Y24" s="2269"/>
    </row>
    <row r="25" spans="1:25" ht="40.5" customHeight="1" x14ac:dyDescent="0.25">
      <c r="T25" s="2235"/>
      <c r="U25" s="51" t="s">
        <v>63</v>
      </c>
      <c r="V25" s="2262">
        <f>V15+V22-V23</f>
        <v>119452</v>
      </c>
      <c r="W25" s="2262"/>
      <c r="X25" s="2262"/>
    </row>
    <row r="26" spans="1:25" ht="36" customHeight="1" x14ac:dyDescent="0.25">
      <c r="K26" s="314"/>
    </row>
    <row r="28" spans="1:25" x14ac:dyDescent="0.25">
      <c r="J28" s="14" t="s">
        <v>139</v>
      </c>
    </row>
    <row r="32" spans="1:25" x14ac:dyDescent="0.25">
      <c r="I32" s="2280"/>
      <c r="J32" s="2280"/>
      <c r="K32" s="2280"/>
      <c r="L32" s="2280"/>
    </row>
    <row r="33" spans="9:12" x14ac:dyDescent="0.25">
      <c r="I33" s="1657"/>
      <c r="J33" s="1657"/>
      <c r="K33" s="2280"/>
      <c r="L33" s="2280"/>
    </row>
  </sheetData>
  <mergeCells count="62">
    <mergeCell ref="A1:Y1"/>
    <mergeCell ref="A2:Y2"/>
    <mergeCell ref="T3:Y3"/>
    <mergeCell ref="A4:A5"/>
    <mergeCell ref="B4:B5"/>
    <mergeCell ref="C4:D4"/>
    <mergeCell ref="E4:F4"/>
    <mergeCell ref="G4:H4"/>
    <mergeCell ref="I4:J4"/>
    <mergeCell ref="K4:L4"/>
    <mergeCell ref="Y4:Y5"/>
    <mergeCell ref="M4:N4"/>
    <mergeCell ref="O4:P4"/>
    <mergeCell ref="Q4:R4"/>
    <mergeCell ref="S4:T4"/>
    <mergeCell ref="U4:V4"/>
    <mergeCell ref="W4:X4"/>
    <mergeCell ref="B16:C16"/>
    <mergeCell ref="Q16:R16"/>
    <mergeCell ref="T16:U16"/>
    <mergeCell ref="V16:X16"/>
    <mergeCell ref="A12:B12"/>
    <mergeCell ref="B14:C14"/>
    <mergeCell ref="Q14:R14"/>
    <mergeCell ref="T14:T15"/>
    <mergeCell ref="V14:X14"/>
    <mergeCell ref="B15:C15"/>
    <mergeCell ref="Q15:R15"/>
    <mergeCell ref="V15:X15"/>
    <mergeCell ref="B17:C17"/>
    <mergeCell ref="Q17:R17"/>
    <mergeCell ref="T17:U17"/>
    <mergeCell ref="V17:X17"/>
    <mergeCell ref="B18:C18"/>
    <mergeCell ref="Q18:R18"/>
    <mergeCell ref="T18:U18"/>
    <mergeCell ref="V18:X18"/>
    <mergeCell ref="Y18:Y24"/>
    <mergeCell ref="B19:C19"/>
    <mergeCell ref="Q19:R19"/>
    <mergeCell ref="T19:T20"/>
    <mergeCell ref="V19:X19"/>
    <mergeCell ref="B20:C20"/>
    <mergeCell ref="B22:B24"/>
    <mergeCell ref="C22:C23"/>
    <mergeCell ref="D22:D23"/>
    <mergeCell ref="E22:E23"/>
    <mergeCell ref="F22:F23"/>
    <mergeCell ref="Q20:R20"/>
    <mergeCell ref="V20:X20"/>
    <mergeCell ref="B21:C21"/>
    <mergeCell ref="T21:U21"/>
    <mergeCell ref="V21:X21"/>
    <mergeCell ref="I32:J32"/>
    <mergeCell ref="K32:L32"/>
    <mergeCell ref="K33:L33"/>
    <mergeCell ref="T22:T23"/>
    <mergeCell ref="V22:X22"/>
    <mergeCell ref="V23:X23"/>
    <mergeCell ref="T24:T25"/>
    <mergeCell ref="V24:X24"/>
    <mergeCell ref="V25:X25"/>
  </mergeCells>
  <pageMargins left="0.15748031496063" right="0.15748031496063" top="0" bottom="0" header="0" footer="0"/>
  <pageSetup paperSize="9" scale="46" orientation="landscape" r:id="rId1"/>
</worksheet>
</file>

<file path=xl/worksheets/sheet27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5D7FC4B-8F42-4753-957E-D9AE7EF67E38}">
  <sheetPr>
    <pageSetUpPr fitToPage="1"/>
  </sheetPr>
  <dimension ref="A1:Y33"/>
  <sheetViews>
    <sheetView topLeftCell="D1" zoomScale="70" zoomScaleNormal="70" zoomScaleSheetLayoutView="100" zoomScalePageLayoutView="68" workbookViewId="0">
      <selection activeCell="L24" sqref="L24"/>
    </sheetView>
  </sheetViews>
  <sheetFormatPr defaultColWidth="9.140625" defaultRowHeight="15" x14ac:dyDescent="0.25"/>
  <cols>
    <col min="1" max="1" width="18.28515625" style="14" customWidth="1"/>
    <col min="2" max="2" width="10.7109375" style="14" customWidth="1"/>
    <col min="3" max="3" width="12.28515625" style="14" customWidth="1"/>
    <col min="4" max="4" width="13.140625" style="14" bestFit="1" customWidth="1"/>
    <col min="5" max="5" width="12" style="14" customWidth="1"/>
    <col min="6" max="6" width="14" style="14" bestFit="1" customWidth="1"/>
    <col min="7" max="7" width="16" style="14" bestFit="1" customWidth="1"/>
    <col min="8" max="8" width="10.140625" style="14" bestFit="1" customWidth="1"/>
    <col min="9" max="9" width="10.5703125" style="14" bestFit="1" customWidth="1"/>
    <col min="10" max="10" width="10.5703125" style="14" customWidth="1"/>
    <col min="11" max="11" width="10.28515625" style="14" bestFit="1" customWidth="1"/>
    <col min="12" max="12" width="10.42578125" style="14" bestFit="1" customWidth="1"/>
    <col min="13" max="14" width="12" style="14" bestFit="1" customWidth="1"/>
    <col min="15" max="15" width="11" style="14" customWidth="1"/>
    <col min="16" max="16" width="12.85546875" style="14" bestFit="1" customWidth="1"/>
    <col min="17" max="18" width="9.42578125" style="14" customWidth="1"/>
    <col min="19" max="19" width="13.7109375" style="14" customWidth="1"/>
    <col min="20" max="20" width="12.140625" style="14" customWidth="1"/>
    <col min="21" max="21" width="21.7109375" style="14" customWidth="1"/>
    <col min="22" max="22" width="9.85546875" style="14" customWidth="1"/>
    <col min="23" max="23" width="10.140625" style="14" bestFit="1" customWidth="1"/>
    <col min="24" max="24" width="10.28515625" style="14" customWidth="1"/>
    <col min="25" max="25" width="15.7109375" style="14" customWidth="1"/>
    <col min="26" max="16384" width="9.140625" style="14"/>
  </cols>
  <sheetData>
    <row r="1" spans="1:25" ht="46.15" customHeight="1" x14ac:dyDescent="0.25">
      <c r="A1" s="2240" t="s">
        <v>148</v>
      </c>
      <c r="B1" s="2240"/>
      <c r="C1" s="2240"/>
      <c r="D1" s="2240"/>
      <c r="E1" s="2240"/>
      <c r="F1" s="2240"/>
      <c r="G1" s="2240"/>
      <c r="H1" s="2240"/>
      <c r="I1" s="2240"/>
      <c r="J1" s="2240"/>
      <c r="K1" s="2240"/>
      <c r="L1" s="2240"/>
      <c r="M1" s="2240"/>
      <c r="N1" s="2240"/>
      <c r="O1" s="2240"/>
      <c r="P1" s="2240"/>
      <c r="Q1" s="2240"/>
      <c r="R1" s="2240"/>
      <c r="S1" s="2240"/>
      <c r="T1" s="2240"/>
      <c r="U1" s="2240"/>
      <c r="V1" s="2240"/>
      <c r="W1" s="2240"/>
      <c r="X1" s="2240"/>
      <c r="Y1" s="2240"/>
    </row>
    <row r="2" spans="1:25" ht="21.6" customHeight="1" x14ac:dyDescent="0.25">
      <c r="A2" s="2241" t="s">
        <v>383</v>
      </c>
      <c r="B2" s="2241"/>
      <c r="C2" s="2241"/>
      <c r="D2" s="2241"/>
      <c r="E2" s="2241"/>
      <c r="F2" s="2241"/>
      <c r="G2" s="2241"/>
      <c r="H2" s="2241"/>
      <c r="I2" s="2241"/>
      <c r="J2" s="2241"/>
      <c r="K2" s="2241"/>
      <c r="L2" s="2241"/>
      <c r="M2" s="2241"/>
      <c r="N2" s="2241"/>
      <c r="O2" s="2241"/>
      <c r="P2" s="2241"/>
      <c r="Q2" s="2241"/>
      <c r="R2" s="2241"/>
      <c r="S2" s="2241"/>
      <c r="T2" s="2241"/>
      <c r="U2" s="2241"/>
      <c r="V2" s="2241"/>
      <c r="W2" s="2241"/>
      <c r="X2" s="2241"/>
      <c r="Y2" s="2241"/>
    </row>
    <row r="3" spans="1:25" ht="21" customHeight="1" x14ac:dyDescent="0.25">
      <c r="A3" s="1658"/>
      <c r="B3" s="1658"/>
      <c r="C3" s="1658"/>
      <c r="D3" s="1658"/>
      <c r="E3" s="1658"/>
      <c r="F3" s="1658"/>
      <c r="G3" s="1658"/>
      <c r="H3" s="1658"/>
      <c r="I3" s="1658"/>
      <c r="J3" s="1658"/>
      <c r="K3" s="1658"/>
      <c r="L3" s="1658"/>
      <c r="M3" s="1658"/>
      <c r="N3" s="1658"/>
      <c r="O3" s="1658"/>
      <c r="P3" s="1658"/>
      <c r="Q3" s="1658"/>
      <c r="R3" s="1658"/>
      <c r="S3" s="1658"/>
      <c r="T3" s="2242" t="s">
        <v>522</v>
      </c>
      <c r="U3" s="2242"/>
      <c r="V3" s="2242"/>
      <c r="W3" s="2242"/>
      <c r="X3" s="2242"/>
      <c r="Y3" s="2242"/>
    </row>
    <row r="4" spans="1:25" s="1658" customFormat="1" ht="18" customHeight="1" x14ac:dyDescent="0.25">
      <c r="A4" s="2243" t="s">
        <v>25</v>
      </c>
      <c r="B4" s="2243" t="s">
        <v>26</v>
      </c>
      <c r="C4" s="2244" t="s">
        <v>27</v>
      </c>
      <c r="D4" s="2244"/>
      <c r="E4" s="2244" t="s">
        <v>342</v>
      </c>
      <c r="F4" s="2244"/>
      <c r="G4" s="2244" t="s">
        <v>65</v>
      </c>
      <c r="H4" s="2244"/>
      <c r="I4" s="2244" t="s">
        <v>29</v>
      </c>
      <c r="J4" s="2244"/>
      <c r="K4" s="2245" t="s">
        <v>14</v>
      </c>
      <c r="L4" s="2246"/>
      <c r="M4" s="2245" t="s">
        <v>429</v>
      </c>
      <c r="N4" s="2246"/>
      <c r="O4" s="2245" t="s">
        <v>441</v>
      </c>
      <c r="P4" s="2246"/>
      <c r="Q4" s="2245" t="s">
        <v>114</v>
      </c>
      <c r="R4" s="2246"/>
      <c r="S4" s="2244" t="s">
        <v>35</v>
      </c>
      <c r="T4" s="2244"/>
      <c r="U4" s="2245" t="s">
        <v>17</v>
      </c>
      <c r="V4" s="2246"/>
      <c r="W4" s="2247" t="s">
        <v>36</v>
      </c>
      <c r="X4" s="2248"/>
      <c r="Y4" s="2238" t="s">
        <v>30</v>
      </c>
    </row>
    <row r="5" spans="1:25" s="1658" customFormat="1" ht="25.5" customHeight="1" x14ac:dyDescent="0.25">
      <c r="A5" s="2243"/>
      <c r="B5" s="2243"/>
      <c r="C5" s="1660" t="s">
        <v>42</v>
      </c>
      <c r="D5" s="1660" t="s">
        <v>43</v>
      </c>
      <c r="E5" s="1660" t="s">
        <v>42</v>
      </c>
      <c r="F5" s="1660" t="s">
        <v>43</v>
      </c>
      <c r="G5" s="1660" t="s">
        <v>42</v>
      </c>
      <c r="H5" s="1660" t="s">
        <v>43</v>
      </c>
      <c r="I5" s="1660" t="s">
        <v>42</v>
      </c>
      <c r="J5" s="1660" t="s">
        <v>43</v>
      </c>
      <c r="K5" s="1660" t="s">
        <v>42</v>
      </c>
      <c r="L5" s="1660" t="s">
        <v>43</v>
      </c>
      <c r="M5" s="1660" t="s">
        <v>42</v>
      </c>
      <c r="N5" s="1660" t="s">
        <v>43</v>
      </c>
      <c r="O5" s="1660" t="s">
        <v>42</v>
      </c>
      <c r="P5" s="1660" t="s">
        <v>43</v>
      </c>
      <c r="Q5" s="1660" t="s">
        <v>42</v>
      </c>
      <c r="R5" s="1660" t="s">
        <v>43</v>
      </c>
      <c r="S5" s="33" t="s">
        <v>42</v>
      </c>
      <c r="T5" s="33" t="s">
        <v>43</v>
      </c>
      <c r="U5" s="30" t="s">
        <v>42</v>
      </c>
      <c r="V5" s="30" t="s">
        <v>43</v>
      </c>
      <c r="W5" s="30" t="s">
        <v>42</v>
      </c>
      <c r="X5" s="30" t="s">
        <v>43</v>
      </c>
      <c r="Y5" s="2239"/>
    </row>
    <row r="6" spans="1:25" ht="34.5" customHeight="1" x14ac:dyDescent="0.25">
      <c r="A6" s="12">
        <v>1409935200</v>
      </c>
      <c r="B6" s="1659" t="s">
        <v>71</v>
      </c>
      <c r="C6" s="1662">
        <v>20172</v>
      </c>
      <c r="D6" s="1663">
        <f t="shared" ref="D6:D11" si="0">0.9725*C6</f>
        <v>19617.27</v>
      </c>
      <c r="E6" s="1662"/>
      <c r="F6" s="1663">
        <f>67.1*E6</f>
        <v>0</v>
      </c>
      <c r="G6" s="1662"/>
      <c r="H6" s="1662">
        <f>28.2*G6</f>
        <v>0</v>
      </c>
      <c r="I6" s="1662">
        <v>130</v>
      </c>
      <c r="J6" s="1662">
        <f>18.5*I6</f>
        <v>2405</v>
      </c>
      <c r="K6" s="1662"/>
      <c r="L6" s="1663">
        <f>28.2368*K6</f>
        <v>0</v>
      </c>
      <c r="M6" s="1662"/>
      <c r="N6" s="1663">
        <f>M6*47.6525</f>
        <v>0</v>
      </c>
      <c r="O6" s="1662"/>
      <c r="P6" s="1663">
        <f>O6*8.9</f>
        <v>0</v>
      </c>
      <c r="Q6" s="1663"/>
      <c r="R6" s="1663">
        <f>241*Q6</f>
        <v>0</v>
      </c>
      <c r="S6" s="1662"/>
      <c r="T6" s="1662">
        <f>241*S6</f>
        <v>0</v>
      </c>
      <c r="U6" s="1662">
        <v>4</v>
      </c>
      <c r="V6" s="1662">
        <f>332*U6</f>
        <v>1328</v>
      </c>
      <c r="W6" s="1662"/>
      <c r="X6" s="19">
        <f>W6*100</f>
        <v>0</v>
      </c>
      <c r="Y6" s="20">
        <f t="shared" ref="Y6:Y12" si="1">D6+F6+H6+J6+L6+N6+P6+R6+T6+V6+X6</f>
        <v>23350.27</v>
      </c>
    </row>
    <row r="7" spans="1:25" ht="31.5" customHeight="1" x14ac:dyDescent="0.25">
      <c r="A7" s="12">
        <v>1984225578</v>
      </c>
      <c r="B7" s="1659" t="s">
        <v>509</v>
      </c>
      <c r="C7" s="1662">
        <v>36108</v>
      </c>
      <c r="D7" s="1663">
        <f t="shared" si="0"/>
        <v>35115.03</v>
      </c>
      <c r="E7" s="1662"/>
      <c r="F7" s="1662">
        <f t="shared" ref="F7:F11" si="2">67.1*E7</f>
        <v>0</v>
      </c>
      <c r="G7" s="1662">
        <v>40</v>
      </c>
      <c r="H7" s="1662">
        <f t="shared" ref="H7:H11" si="3">28.2*G7</f>
        <v>1128</v>
      </c>
      <c r="I7" s="1662">
        <v>450</v>
      </c>
      <c r="J7" s="1662">
        <f t="shared" ref="J7:J11" si="4">18.5*I7</f>
        <v>8325</v>
      </c>
      <c r="K7" s="1662"/>
      <c r="L7" s="1663">
        <f t="shared" ref="L7:L11" si="5">28.2368*K7</f>
        <v>0</v>
      </c>
      <c r="M7" s="1662"/>
      <c r="N7" s="1663">
        <f t="shared" ref="N7:N11" si="6">M7*47.6525</f>
        <v>0</v>
      </c>
      <c r="O7" s="1662"/>
      <c r="P7" s="1663">
        <f t="shared" ref="P7:P11" si="7">O7*8.9</f>
        <v>0</v>
      </c>
      <c r="Q7" s="1663"/>
      <c r="R7" s="1663">
        <f t="shared" ref="R7:R11" si="8">241*Q7</f>
        <v>0</v>
      </c>
      <c r="S7" s="1662"/>
      <c r="T7" s="1662">
        <f t="shared" ref="T7:T10" si="9">241*S7</f>
        <v>0</v>
      </c>
      <c r="U7" s="1662">
        <v>14</v>
      </c>
      <c r="V7" s="1662">
        <f t="shared" ref="V7:V11" si="10">332*U7</f>
        <v>4648</v>
      </c>
      <c r="W7" s="1662"/>
      <c r="X7" s="19">
        <f t="shared" ref="X7:X11" si="11">W7*100</f>
        <v>0</v>
      </c>
      <c r="Y7" s="20">
        <f t="shared" si="1"/>
        <v>49216.03</v>
      </c>
    </row>
    <row r="8" spans="1:25" ht="35.25" customHeight="1" x14ac:dyDescent="0.25">
      <c r="A8" s="12">
        <v>1967020280</v>
      </c>
      <c r="B8" s="1659" t="s">
        <v>427</v>
      </c>
      <c r="C8" s="1662">
        <v>20863</v>
      </c>
      <c r="D8" s="1663">
        <f t="shared" si="0"/>
        <v>20289.267500000002</v>
      </c>
      <c r="E8" s="1662"/>
      <c r="F8" s="1662">
        <f t="shared" si="2"/>
        <v>0</v>
      </c>
      <c r="G8" s="1662"/>
      <c r="H8" s="1663">
        <f t="shared" si="3"/>
        <v>0</v>
      </c>
      <c r="I8" s="1662">
        <v>80</v>
      </c>
      <c r="J8" s="1662">
        <f t="shared" si="4"/>
        <v>1480</v>
      </c>
      <c r="K8" s="1662"/>
      <c r="L8" s="1663">
        <f t="shared" si="5"/>
        <v>0</v>
      </c>
      <c r="M8" s="1662"/>
      <c r="N8" s="1663">
        <f t="shared" si="6"/>
        <v>0</v>
      </c>
      <c r="O8" s="1662"/>
      <c r="P8" s="1663">
        <f t="shared" si="7"/>
        <v>0</v>
      </c>
      <c r="Q8" s="1663"/>
      <c r="R8" s="1663">
        <f t="shared" si="8"/>
        <v>0</v>
      </c>
      <c r="S8" s="1662"/>
      <c r="T8" s="1662">
        <f t="shared" si="9"/>
        <v>0</v>
      </c>
      <c r="U8" s="1662"/>
      <c r="V8" s="1662">
        <f t="shared" si="10"/>
        <v>0</v>
      </c>
      <c r="W8" s="1662"/>
      <c r="X8" s="19">
        <f t="shared" si="11"/>
        <v>0</v>
      </c>
      <c r="Y8" s="20">
        <f t="shared" si="1"/>
        <v>21769.267500000002</v>
      </c>
    </row>
    <row r="9" spans="1:25" ht="38.25" customHeight="1" x14ac:dyDescent="0.25">
      <c r="A9" s="12">
        <v>1984225580</v>
      </c>
      <c r="B9" s="1659" t="s">
        <v>75</v>
      </c>
      <c r="C9" s="1662">
        <v>23116</v>
      </c>
      <c r="D9" s="1663">
        <f t="shared" si="0"/>
        <v>22480.31</v>
      </c>
      <c r="E9" s="1662"/>
      <c r="F9" s="1662">
        <f t="shared" si="2"/>
        <v>0</v>
      </c>
      <c r="G9" s="1662"/>
      <c r="H9" s="1662">
        <f t="shared" si="3"/>
        <v>0</v>
      </c>
      <c r="I9" s="1662">
        <v>730</v>
      </c>
      <c r="J9" s="1662">
        <f t="shared" si="4"/>
        <v>13505</v>
      </c>
      <c r="K9" s="1662"/>
      <c r="L9" s="1663">
        <f t="shared" si="5"/>
        <v>0</v>
      </c>
      <c r="M9" s="1662"/>
      <c r="N9" s="1663">
        <f t="shared" si="6"/>
        <v>0</v>
      </c>
      <c r="O9" s="1662"/>
      <c r="P9" s="1663">
        <f t="shared" si="7"/>
        <v>0</v>
      </c>
      <c r="Q9" s="1663"/>
      <c r="R9" s="1663">
        <f t="shared" si="8"/>
        <v>0</v>
      </c>
      <c r="S9" s="1662"/>
      <c r="T9" s="1662">
        <f t="shared" si="9"/>
        <v>0</v>
      </c>
      <c r="U9" s="1662"/>
      <c r="V9" s="1662">
        <f t="shared" si="10"/>
        <v>0</v>
      </c>
      <c r="W9" s="1662"/>
      <c r="X9" s="19">
        <f t="shared" si="11"/>
        <v>0</v>
      </c>
      <c r="Y9" s="20">
        <f t="shared" si="1"/>
        <v>35985.31</v>
      </c>
    </row>
    <row r="10" spans="1:25" ht="35.25" customHeight="1" x14ac:dyDescent="0.25">
      <c r="A10" s="12">
        <v>1409935199</v>
      </c>
      <c r="C10" s="1662"/>
      <c r="D10" s="1663">
        <f t="shared" si="0"/>
        <v>0</v>
      </c>
      <c r="E10" s="1662"/>
      <c r="F10" s="1662">
        <f t="shared" si="2"/>
        <v>0</v>
      </c>
      <c r="G10" s="1662"/>
      <c r="H10" s="1662">
        <f t="shared" si="3"/>
        <v>0</v>
      </c>
      <c r="I10" s="1662"/>
      <c r="J10" s="1662">
        <f t="shared" si="4"/>
        <v>0</v>
      </c>
      <c r="K10" s="1662"/>
      <c r="L10" s="1663">
        <f t="shared" si="5"/>
        <v>0</v>
      </c>
      <c r="M10" s="1662"/>
      <c r="N10" s="1663">
        <f t="shared" si="6"/>
        <v>0</v>
      </c>
      <c r="O10" s="1662"/>
      <c r="P10" s="1663">
        <f t="shared" si="7"/>
        <v>0</v>
      </c>
      <c r="Q10" s="1663"/>
      <c r="R10" s="1663">
        <f t="shared" si="8"/>
        <v>0</v>
      </c>
      <c r="S10" s="1662"/>
      <c r="T10" s="1662">
        <f t="shared" si="9"/>
        <v>0</v>
      </c>
      <c r="U10" s="1662"/>
      <c r="V10" s="1662">
        <f t="shared" si="10"/>
        <v>0</v>
      </c>
      <c r="W10" s="1662"/>
      <c r="X10" s="19">
        <f t="shared" si="11"/>
        <v>0</v>
      </c>
      <c r="Y10" s="20">
        <f t="shared" si="1"/>
        <v>0</v>
      </c>
    </row>
    <row r="11" spans="1:25" ht="37.5" customHeight="1" x14ac:dyDescent="0.25">
      <c r="A11" s="12"/>
      <c r="B11" s="1661"/>
      <c r="C11" s="1662"/>
      <c r="D11" s="1663">
        <f t="shared" si="0"/>
        <v>0</v>
      </c>
      <c r="E11" s="1662"/>
      <c r="F11" s="1662">
        <f t="shared" si="2"/>
        <v>0</v>
      </c>
      <c r="G11" s="1662"/>
      <c r="H11" s="1662">
        <f t="shared" si="3"/>
        <v>0</v>
      </c>
      <c r="I11" s="1662"/>
      <c r="J11" s="1662">
        <f t="shared" si="4"/>
        <v>0</v>
      </c>
      <c r="K11" s="1662"/>
      <c r="L11" s="1663">
        <f t="shared" si="5"/>
        <v>0</v>
      </c>
      <c r="M11" s="1662"/>
      <c r="N11" s="1663">
        <f t="shared" si="6"/>
        <v>0</v>
      </c>
      <c r="O11" s="1662"/>
      <c r="P11" s="1663">
        <f t="shared" si="7"/>
        <v>0</v>
      </c>
      <c r="Q11" s="1663"/>
      <c r="R11" s="1663">
        <f t="shared" si="8"/>
        <v>0</v>
      </c>
      <c r="S11" s="1662"/>
      <c r="T11" s="1662">
        <f>341*S11</f>
        <v>0</v>
      </c>
      <c r="U11" s="1662"/>
      <c r="V11" s="1662">
        <f t="shared" si="10"/>
        <v>0</v>
      </c>
      <c r="W11" s="1662"/>
      <c r="X11" s="19">
        <f t="shared" si="11"/>
        <v>0</v>
      </c>
      <c r="Y11" s="20">
        <f t="shared" si="1"/>
        <v>0</v>
      </c>
    </row>
    <row r="12" spans="1:25" ht="29.25" customHeight="1" x14ac:dyDescent="0.25">
      <c r="A12" s="2235" t="s">
        <v>31</v>
      </c>
      <c r="B12" s="2235"/>
      <c r="C12" s="18">
        <f t="shared" ref="C12:X12" si="12">SUM(C6:C11)</f>
        <v>100259</v>
      </c>
      <c r="D12" s="18">
        <f t="shared" si="12"/>
        <v>97501.877500000002</v>
      </c>
      <c r="E12" s="18">
        <f t="shared" si="12"/>
        <v>0</v>
      </c>
      <c r="F12" s="18">
        <f t="shared" si="12"/>
        <v>0</v>
      </c>
      <c r="G12" s="18">
        <f t="shared" si="12"/>
        <v>40</v>
      </c>
      <c r="H12" s="18">
        <f t="shared" si="12"/>
        <v>1128</v>
      </c>
      <c r="I12" s="18">
        <f t="shared" si="12"/>
        <v>1390</v>
      </c>
      <c r="J12" s="18">
        <f t="shared" si="12"/>
        <v>25715</v>
      </c>
      <c r="K12" s="18">
        <f t="shared" si="12"/>
        <v>0</v>
      </c>
      <c r="L12" s="18">
        <f t="shared" si="12"/>
        <v>0</v>
      </c>
      <c r="M12" s="18">
        <f t="shared" si="12"/>
        <v>0</v>
      </c>
      <c r="N12" s="23">
        <f t="shared" si="12"/>
        <v>0</v>
      </c>
      <c r="O12" s="18">
        <f t="shared" si="12"/>
        <v>0</v>
      </c>
      <c r="P12" s="23">
        <f t="shared" si="12"/>
        <v>0</v>
      </c>
      <c r="Q12" s="23">
        <f t="shared" si="12"/>
        <v>0</v>
      </c>
      <c r="R12" s="23">
        <f>SUM(R6:R11)</f>
        <v>0</v>
      </c>
      <c r="S12" s="23">
        <f>SUM(S6:S11)</f>
        <v>0</v>
      </c>
      <c r="T12" s="18">
        <f t="shared" si="12"/>
        <v>0</v>
      </c>
      <c r="U12" s="18">
        <f t="shared" si="12"/>
        <v>18</v>
      </c>
      <c r="V12" s="18">
        <f t="shared" si="12"/>
        <v>5976</v>
      </c>
      <c r="W12" s="18">
        <f t="shared" si="12"/>
        <v>0</v>
      </c>
      <c r="X12" s="18">
        <f t="shared" si="12"/>
        <v>0</v>
      </c>
      <c r="Y12" s="20">
        <f t="shared" si="1"/>
        <v>130320.8775</v>
      </c>
    </row>
    <row r="14" spans="1:25" ht="43.5" customHeight="1" x14ac:dyDescent="0.25">
      <c r="A14" s="30" t="s">
        <v>32</v>
      </c>
      <c r="B14" s="2236" t="s">
        <v>27</v>
      </c>
      <c r="C14" s="2236"/>
      <c r="D14" s="30" t="s">
        <v>333</v>
      </c>
      <c r="E14" s="30" t="s">
        <v>65</v>
      </c>
      <c r="F14" s="30" t="s">
        <v>34</v>
      </c>
      <c r="G14" s="30" t="s">
        <v>14</v>
      </c>
      <c r="H14" s="469" t="s">
        <v>173</v>
      </c>
      <c r="I14" s="30" t="s">
        <v>17</v>
      </c>
      <c r="J14" s="1667" t="s">
        <v>174</v>
      </c>
      <c r="K14" s="30" t="s">
        <v>36</v>
      </c>
      <c r="L14" s="1667" t="s">
        <v>403</v>
      </c>
      <c r="M14" s="30" t="s">
        <v>429</v>
      </c>
      <c r="N14" s="30" t="s">
        <v>442</v>
      </c>
      <c r="O14" s="1667" t="s">
        <v>114</v>
      </c>
      <c r="P14" s="30" t="s">
        <v>70</v>
      </c>
      <c r="Q14" s="2300" t="s">
        <v>479</v>
      </c>
      <c r="R14" s="2301"/>
      <c r="S14" s="1667" t="s">
        <v>401</v>
      </c>
      <c r="T14" s="2235" t="s">
        <v>46</v>
      </c>
      <c r="U14" s="1659" t="s">
        <v>176</v>
      </c>
      <c r="V14" s="2260">
        <v>7182</v>
      </c>
      <c r="W14" s="2268"/>
      <c r="X14" s="2261"/>
    </row>
    <row r="15" spans="1:25" ht="22.5" customHeight="1" x14ac:dyDescent="0.25">
      <c r="A15" s="100" t="s">
        <v>38</v>
      </c>
      <c r="B15" s="2260">
        <v>311697</v>
      </c>
      <c r="C15" s="2261"/>
      <c r="D15" s="1664">
        <v>0</v>
      </c>
      <c r="E15" s="1664">
        <v>40</v>
      </c>
      <c r="F15" s="1664">
        <v>14690</v>
      </c>
      <c r="G15" s="1664">
        <v>0</v>
      </c>
      <c r="H15" s="1664">
        <v>72</v>
      </c>
      <c r="I15" s="1664">
        <v>30</v>
      </c>
      <c r="J15" s="1664">
        <v>4</v>
      </c>
      <c r="K15" s="1664">
        <v>69</v>
      </c>
      <c r="L15" s="1664">
        <v>0</v>
      </c>
      <c r="M15" s="1664">
        <v>0</v>
      </c>
      <c r="N15" s="1664">
        <v>0</v>
      </c>
      <c r="O15" s="1664">
        <v>0</v>
      </c>
      <c r="P15" s="1664">
        <v>100</v>
      </c>
      <c r="Q15" s="2260">
        <v>10</v>
      </c>
      <c r="R15" s="2261"/>
      <c r="S15" s="1659">
        <v>2</v>
      </c>
      <c r="T15" s="2235"/>
      <c r="U15" s="1659" t="s">
        <v>64</v>
      </c>
      <c r="V15" s="2262">
        <v>119452</v>
      </c>
      <c r="W15" s="2262"/>
      <c r="X15" s="2262"/>
    </row>
    <row r="16" spans="1:25" ht="24.75" customHeight="1" x14ac:dyDescent="0.25">
      <c r="A16" s="100" t="s">
        <v>39</v>
      </c>
      <c r="B16" s="2260">
        <v>103896</v>
      </c>
      <c r="C16" s="2261"/>
      <c r="D16" s="1664"/>
      <c r="E16" s="1664"/>
      <c r="F16" s="1664"/>
      <c r="G16" s="1664"/>
      <c r="H16" s="1664"/>
      <c r="I16" s="1664"/>
      <c r="J16" s="1664"/>
      <c r="K16" s="1664"/>
      <c r="L16" s="1664"/>
      <c r="M16" s="1664"/>
      <c r="N16" s="1664"/>
      <c r="O16" s="1664"/>
      <c r="P16" s="1664"/>
      <c r="Q16" s="2262"/>
      <c r="R16" s="2262"/>
      <c r="S16" s="1664"/>
      <c r="T16" s="2254" t="s">
        <v>55</v>
      </c>
      <c r="U16" s="2254"/>
      <c r="V16" s="2267">
        <f>Y12</f>
        <v>130320.8775</v>
      </c>
      <c r="W16" s="2267"/>
      <c r="X16" s="2262"/>
    </row>
    <row r="17" spans="1:25" ht="28.5" customHeight="1" x14ac:dyDescent="0.25">
      <c r="A17" s="101" t="s">
        <v>44</v>
      </c>
      <c r="B17" s="2260"/>
      <c r="C17" s="2261"/>
      <c r="D17" s="1664"/>
      <c r="E17" s="1664"/>
      <c r="F17" s="1664"/>
      <c r="G17" s="1664"/>
      <c r="H17" s="1664"/>
      <c r="I17" s="1664"/>
      <c r="J17" s="1664"/>
      <c r="K17" s="1664"/>
      <c r="L17" s="1664"/>
      <c r="M17" s="1664"/>
      <c r="N17" s="1664"/>
      <c r="O17" s="1664"/>
      <c r="P17" s="1664"/>
      <c r="Q17" s="2225"/>
      <c r="R17" s="2225"/>
      <c r="S17" s="1661"/>
      <c r="T17" s="2294" t="s">
        <v>521</v>
      </c>
      <c r="U17" s="2295"/>
      <c r="V17" s="2296"/>
      <c r="W17" s="2296"/>
      <c r="X17" s="2296"/>
    </row>
    <row r="18" spans="1:25" ht="27" customHeight="1" x14ac:dyDescent="0.25">
      <c r="A18" s="100" t="s">
        <v>40</v>
      </c>
      <c r="B18" s="2264">
        <f>C12</f>
        <v>100259</v>
      </c>
      <c r="C18" s="2261"/>
      <c r="D18" s="1665">
        <f>E12</f>
        <v>0</v>
      </c>
      <c r="E18" s="1665">
        <f>G12</f>
        <v>40</v>
      </c>
      <c r="F18" s="1665">
        <f>I12</f>
        <v>1390</v>
      </c>
      <c r="G18" s="1665">
        <f>K12</f>
        <v>0</v>
      </c>
      <c r="H18" s="1664"/>
      <c r="I18" s="1665">
        <f>U12</f>
        <v>18</v>
      </c>
      <c r="J18" s="1664"/>
      <c r="K18" s="1665">
        <f>W12</f>
        <v>0</v>
      </c>
      <c r="L18" s="1664"/>
      <c r="M18" s="1665">
        <f>M12</f>
        <v>0</v>
      </c>
      <c r="N18" s="1665">
        <f>O12</f>
        <v>0</v>
      </c>
      <c r="O18" s="1666">
        <f>Q12</f>
        <v>0</v>
      </c>
      <c r="P18" s="1665"/>
      <c r="Q18" s="2262"/>
      <c r="R18" s="2262"/>
      <c r="S18" s="1659"/>
      <c r="T18" s="2254" t="s">
        <v>57</v>
      </c>
      <c r="U18" s="2254"/>
      <c r="V18" s="2262">
        <v>5220</v>
      </c>
      <c r="W18" s="2262"/>
      <c r="X18" s="2262"/>
      <c r="Y18" s="2269"/>
    </row>
    <row r="19" spans="1:25" ht="25.5" customHeight="1" x14ac:dyDescent="0.25">
      <c r="A19" s="100" t="s">
        <v>41</v>
      </c>
      <c r="B19" s="2260">
        <f>B15+B16+B17-B18</f>
        <v>315334</v>
      </c>
      <c r="C19" s="2261"/>
      <c r="D19" s="1664">
        <f>D15+D16+D17-D18</f>
        <v>0</v>
      </c>
      <c r="E19" s="1664">
        <f t="shared" ref="E19:N19" si="13">E15+E16+E17-E18</f>
        <v>0</v>
      </c>
      <c r="F19" s="1664">
        <f t="shared" si="13"/>
        <v>13300</v>
      </c>
      <c r="G19" s="1664">
        <f t="shared" si="13"/>
        <v>0</v>
      </c>
      <c r="H19" s="1664">
        <f t="shared" si="13"/>
        <v>72</v>
      </c>
      <c r="I19" s="1664">
        <f t="shared" si="13"/>
        <v>12</v>
      </c>
      <c r="J19" s="1664">
        <f t="shared" si="13"/>
        <v>4</v>
      </c>
      <c r="K19" s="1664">
        <f t="shared" si="13"/>
        <v>69</v>
      </c>
      <c r="L19" s="1664">
        <f t="shared" si="13"/>
        <v>0</v>
      </c>
      <c r="M19" s="1664">
        <f t="shared" si="13"/>
        <v>0</v>
      </c>
      <c r="N19" s="1664">
        <f t="shared" si="13"/>
        <v>0</v>
      </c>
      <c r="O19" s="1664">
        <f>O15+O16+O17-O18</f>
        <v>0</v>
      </c>
      <c r="P19" s="1664">
        <f t="shared" ref="P19:Q19" si="14">P15+P16+P17-P18</f>
        <v>100</v>
      </c>
      <c r="Q19" s="2260">
        <f t="shared" si="14"/>
        <v>10</v>
      </c>
      <c r="R19" s="2261"/>
      <c r="S19" s="1659">
        <f>S15+S16-S17-S18</f>
        <v>2</v>
      </c>
      <c r="T19" s="2256" t="s">
        <v>48</v>
      </c>
      <c r="U19" s="49" t="s">
        <v>58</v>
      </c>
      <c r="V19" s="2262">
        <v>218755</v>
      </c>
      <c r="W19" s="2262"/>
      <c r="X19" s="2262"/>
      <c r="Y19" s="2269"/>
    </row>
    <row r="20" spans="1:25" ht="23.25" customHeight="1" x14ac:dyDescent="0.25">
      <c r="A20" s="289" t="s">
        <v>187</v>
      </c>
      <c r="B20" s="2286">
        <f>B19*0.9625</f>
        <v>303508.97500000003</v>
      </c>
      <c r="C20" s="2287"/>
      <c r="D20" s="290">
        <f>D19*66.41</f>
        <v>0</v>
      </c>
      <c r="E20" s="290">
        <f>27.9368*E19</f>
        <v>0</v>
      </c>
      <c r="F20" s="290">
        <f>18.31*F19</f>
        <v>243522.99999999997</v>
      </c>
      <c r="G20" s="290">
        <f>27.9368*G19</f>
        <v>0</v>
      </c>
      <c r="H20" s="290">
        <f>241*H19</f>
        <v>17352</v>
      </c>
      <c r="I20" s="290">
        <f>323*I19</f>
        <v>3876</v>
      </c>
      <c r="J20" s="290">
        <f>241*J19</f>
        <v>964</v>
      </c>
      <c r="K20" s="290">
        <f>K19*100</f>
        <v>6900</v>
      </c>
      <c r="L20" s="290">
        <f>241*L19</f>
        <v>0</v>
      </c>
      <c r="M20" s="290">
        <f>47.1625*M19</f>
        <v>0</v>
      </c>
      <c r="N20" s="290">
        <f>N19*8.81</f>
        <v>0</v>
      </c>
      <c r="O20" s="290">
        <f>241*O19</f>
        <v>0</v>
      </c>
      <c r="P20" s="290">
        <f>P19*48.2</f>
        <v>4820</v>
      </c>
      <c r="Q20" s="2286">
        <f>470*Q19</f>
        <v>4700</v>
      </c>
      <c r="R20" s="2287"/>
      <c r="S20" s="290">
        <f>341*S19</f>
        <v>682</v>
      </c>
      <c r="T20" s="2257"/>
      <c r="U20" s="49" t="s">
        <v>59</v>
      </c>
      <c r="V20" s="2262"/>
      <c r="W20" s="2262"/>
      <c r="X20" s="2262"/>
      <c r="Y20" s="2269"/>
    </row>
    <row r="21" spans="1:25" ht="32.25" customHeight="1" x14ac:dyDescent="0.25">
      <c r="A21" s="291" t="s">
        <v>186</v>
      </c>
      <c r="B21" s="2293">
        <f>SUM(B20:S20)</f>
        <v>586325.97499999998</v>
      </c>
      <c r="C21" s="2293"/>
      <c r="O21" s="1668"/>
      <c r="P21" s="1668"/>
      <c r="Q21" s="1668"/>
      <c r="R21" s="1668"/>
      <c r="T21" s="2294" t="s">
        <v>518</v>
      </c>
      <c r="U21" s="2295"/>
      <c r="V21" s="2297"/>
      <c r="W21" s="2298"/>
      <c r="X21" s="2299"/>
      <c r="Y21" s="2269"/>
    </row>
    <row r="22" spans="1:25" ht="35.25" customHeight="1" x14ac:dyDescent="0.25">
      <c r="A22" s="15"/>
      <c r="B22" s="2288" t="s">
        <v>49</v>
      </c>
      <c r="C22" s="2291">
        <v>218755</v>
      </c>
      <c r="D22" s="2291">
        <v>218755</v>
      </c>
      <c r="E22" s="2291">
        <v>100000</v>
      </c>
      <c r="F22" s="2291">
        <f>C22-D22+E22</f>
        <v>100000</v>
      </c>
      <c r="G22" s="1668"/>
      <c r="Q22" s="1668"/>
      <c r="R22" s="1668"/>
      <c r="T22" s="2251" t="s">
        <v>83</v>
      </c>
      <c r="U22" s="50" t="s">
        <v>60</v>
      </c>
      <c r="V22" s="2262">
        <v>124030</v>
      </c>
      <c r="W22" s="2262"/>
      <c r="X22" s="2262"/>
      <c r="Y22" s="2269"/>
    </row>
    <row r="23" spans="1:25" ht="39.75" customHeight="1" x14ac:dyDescent="0.25">
      <c r="A23" s="1668"/>
      <c r="B23" s="2289"/>
      <c r="C23" s="2292"/>
      <c r="D23" s="2292"/>
      <c r="E23" s="2292"/>
      <c r="F23" s="2292"/>
      <c r="G23" s="1668"/>
      <c r="Q23" s="1668"/>
      <c r="R23" s="1668"/>
      <c r="T23" s="2252"/>
      <c r="U23" s="50" t="s">
        <v>61</v>
      </c>
      <c r="V23" s="2262">
        <v>218755</v>
      </c>
      <c r="W23" s="2262"/>
      <c r="X23" s="2262"/>
      <c r="Y23" s="2269"/>
    </row>
    <row r="24" spans="1:25" ht="48" customHeight="1" x14ac:dyDescent="0.25">
      <c r="A24" s="1668"/>
      <c r="B24" s="2290"/>
      <c r="C24" s="290" t="s">
        <v>46</v>
      </c>
      <c r="D24" s="290" t="s">
        <v>50</v>
      </c>
      <c r="E24" s="290" t="s">
        <v>51</v>
      </c>
      <c r="F24" s="290" t="s">
        <v>52</v>
      </c>
      <c r="G24" s="1668"/>
      <c r="Q24" s="1668"/>
      <c r="R24" s="1668"/>
      <c r="T24" s="2235" t="s">
        <v>47</v>
      </c>
      <c r="U24" s="51" t="s">
        <v>62</v>
      </c>
      <c r="V24" s="2263">
        <f>V14+V16+V17-V18-V19-V20-V22+V23-V21</f>
        <v>8252.8775000000023</v>
      </c>
      <c r="W24" s="2263"/>
      <c r="X24" s="2263"/>
      <c r="Y24" s="2269"/>
    </row>
    <row r="25" spans="1:25" ht="40.5" customHeight="1" x14ac:dyDescent="0.25">
      <c r="T25" s="2235"/>
      <c r="U25" s="51" t="s">
        <v>63</v>
      </c>
      <c r="V25" s="2262">
        <f>V15+V22-V23</f>
        <v>24727</v>
      </c>
      <c r="W25" s="2262"/>
      <c r="X25" s="2262"/>
    </row>
    <row r="26" spans="1:25" ht="36" customHeight="1" x14ac:dyDescent="0.25">
      <c r="K26" s="314"/>
    </row>
    <row r="28" spans="1:25" x14ac:dyDescent="0.25">
      <c r="J28" s="14" t="s">
        <v>139</v>
      </c>
    </row>
    <row r="32" spans="1:25" x14ac:dyDescent="0.25">
      <c r="I32" s="2280"/>
      <c r="J32" s="2280"/>
      <c r="K32" s="2280"/>
      <c r="L32" s="2280"/>
    </row>
    <row r="33" spans="9:12" x14ac:dyDescent="0.25">
      <c r="I33" s="1668"/>
      <c r="J33" s="1668"/>
      <c r="K33" s="2280"/>
      <c r="L33" s="2280"/>
    </row>
  </sheetData>
  <mergeCells count="62">
    <mergeCell ref="I32:J32"/>
    <mergeCell ref="K32:L32"/>
    <mergeCell ref="K33:L33"/>
    <mergeCell ref="T22:T23"/>
    <mergeCell ref="V22:X22"/>
    <mergeCell ref="V23:X23"/>
    <mergeCell ref="T24:T25"/>
    <mergeCell ref="V24:X24"/>
    <mergeCell ref="V25:X25"/>
    <mergeCell ref="Y18:Y24"/>
    <mergeCell ref="B19:C19"/>
    <mergeCell ref="Q19:R19"/>
    <mergeCell ref="T19:T20"/>
    <mergeCell ref="V19:X19"/>
    <mergeCell ref="B20:C20"/>
    <mergeCell ref="B22:B24"/>
    <mergeCell ref="C22:C23"/>
    <mergeCell ref="D22:D23"/>
    <mergeCell ref="E22:E23"/>
    <mergeCell ref="F22:F23"/>
    <mergeCell ref="Q20:R20"/>
    <mergeCell ref="V20:X20"/>
    <mergeCell ref="B21:C21"/>
    <mergeCell ref="T21:U21"/>
    <mergeCell ref="V21:X21"/>
    <mergeCell ref="B17:C17"/>
    <mergeCell ref="Q17:R17"/>
    <mergeCell ref="T17:U17"/>
    <mergeCell ref="V17:X17"/>
    <mergeCell ref="B18:C18"/>
    <mergeCell ref="Q18:R18"/>
    <mergeCell ref="T18:U18"/>
    <mergeCell ref="V18:X18"/>
    <mergeCell ref="W4:X4"/>
    <mergeCell ref="B16:C16"/>
    <mergeCell ref="Q16:R16"/>
    <mergeCell ref="T16:U16"/>
    <mergeCell ref="V16:X16"/>
    <mergeCell ref="A12:B12"/>
    <mergeCell ref="B14:C14"/>
    <mergeCell ref="Q14:R14"/>
    <mergeCell ref="T14:T15"/>
    <mergeCell ref="V14:X14"/>
    <mergeCell ref="B15:C15"/>
    <mergeCell ref="Q15:R15"/>
    <mergeCell ref="V15:X15"/>
    <mergeCell ref="A1:Y1"/>
    <mergeCell ref="A2:Y2"/>
    <mergeCell ref="T3:Y3"/>
    <mergeCell ref="A4:A5"/>
    <mergeCell ref="B4:B5"/>
    <mergeCell ref="C4:D4"/>
    <mergeCell ref="E4:F4"/>
    <mergeCell ref="G4:H4"/>
    <mergeCell ref="I4:J4"/>
    <mergeCell ref="K4:L4"/>
    <mergeCell ref="Y4:Y5"/>
    <mergeCell ref="M4:N4"/>
    <mergeCell ref="O4:P4"/>
    <mergeCell ref="Q4:R4"/>
    <mergeCell ref="S4:T4"/>
    <mergeCell ref="U4:V4"/>
  </mergeCells>
  <pageMargins left="0.15748031496063" right="0.15748031496063" top="0" bottom="0" header="0" footer="0"/>
  <pageSetup paperSize="9" scale="46" orientation="landscape" r:id="rId1"/>
</worksheet>
</file>

<file path=xl/worksheets/sheet27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ACAE198-55D2-468B-9282-E367546F140B}">
  <sheetPr>
    <pageSetUpPr fitToPage="1"/>
  </sheetPr>
  <dimension ref="A1:Y33"/>
  <sheetViews>
    <sheetView topLeftCell="D2" zoomScale="70" zoomScaleNormal="70" zoomScaleSheetLayoutView="100" zoomScalePageLayoutView="68" workbookViewId="0">
      <selection activeCell="N23" sqref="N23"/>
    </sheetView>
  </sheetViews>
  <sheetFormatPr defaultColWidth="9.140625" defaultRowHeight="15" x14ac:dyDescent="0.25"/>
  <cols>
    <col min="1" max="1" width="18.28515625" style="14" customWidth="1"/>
    <col min="2" max="2" width="10.7109375" style="14" customWidth="1"/>
    <col min="3" max="3" width="12.28515625" style="14" customWidth="1"/>
    <col min="4" max="4" width="13.140625" style="14" bestFit="1" customWidth="1"/>
    <col min="5" max="5" width="12" style="14" customWidth="1"/>
    <col min="6" max="6" width="14" style="14" bestFit="1" customWidth="1"/>
    <col min="7" max="7" width="16" style="14" bestFit="1" customWidth="1"/>
    <col min="8" max="8" width="10.140625" style="14" bestFit="1" customWidth="1"/>
    <col min="9" max="9" width="10.5703125" style="14" bestFit="1" customWidth="1"/>
    <col min="10" max="10" width="10.5703125" style="14" customWidth="1"/>
    <col min="11" max="11" width="10.28515625" style="14" bestFit="1" customWidth="1"/>
    <col min="12" max="12" width="10.42578125" style="14" bestFit="1" customWidth="1"/>
    <col min="13" max="14" width="12" style="14" bestFit="1" customWidth="1"/>
    <col min="15" max="15" width="11" style="14" customWidth="1"/>
    <col min="16" max="16" width="12.85546875" style="14" bestFit="1" customWidth="1"/>
    <col min="17" max="18" width="9.42578125" style="14" customWidth="1"/>
    <col min="19" max="19" width="13.7109375" style="14" customWidth="1"/>
    <col min="20" max="20" width="12.140625" style="14" customWidth="1"/>
    <col min="21" max="21" width="21.7109375" style="14" customWidth="1"/>
    <col min="22" max="22" width="9.85546875" style="14" customWidth="1"/>
    <col min="23" max="23" width="10.140625" style="14" bestFit="1" customWidth="1"/>
    <col min="24" max="24" width="10.28515625" style="14" customWidth="1"/>
    <col min="25" max="25" width="15.7109375" style="14" customWidth="1"/>
    <col min="26" max="16384" width="9.140625" style="14"/>
  </cols>
  <sheetData>
    <row r="1" spans="1:25" ht="46.15" customHeight="1" x14ac:dyDescent="0.25">
      <c r="A1" s="2240" t="s">
        <v>148</v>
      </c>
      <c r="B1" s="2240"/>
      <c r="C1" s="2240"/>
      <c r="D1" s="2240"/>
      <c r="E1" s="2240"/>
      <c r="F1" s="2240"/>
      <c r="G1" s="2240"/>
      <c r="H1" s="2240"/>
      <c r="I1" s="2240"/>
      <c r="J1" s="2240"/>
      <c r="K1" s="2240"/>
      <c r="L1" s="2240"/>
      <c r="M1" s="2240"/>
      <c r="N1" s="2240"/>
      <c r="O1" s="2240"/>
      <c r="P1" s="2240"/>
      <c r="Q1" s="2240"/>
      <c r="R1" s="2240"/>
      <c r="S1" s="2240"/>
      <c r="T1" s="2240"/>
      <c r="U1" s="2240"/>
      <c r="V1" s="2240"/>
      <c r="W1" s="2240"/>
      <c r="X1" s="2240"/>
      <c r="Y1" s="2240"/>
    </row>
    <row r="2" spans="1:25" ht="21.6" customHeight="1" x14ac:dyDescent="0.25">
      <c r="A2" s="2241" t="s">
        <v>383</v>
      </c>
      <c r="B2" s="2241"/>
      <c r="C2" s="2241"/>
      <c r="D2" s="2241"/>
      <c r="E2" s="2241"/>
      <c r="F2" s="2241"/>
      <c r="G2" s="2241"/>
      <c r="H2" s="2241"/>
      <c r="I2" s="2241"/>
      <c r="J2" s="2241"/>
      <c r="K2" s="2241"/>
      <c r="L2" s="2241"/>
      <c r="M2" s="2241"/>
      <c r="N2" s="2241"/>
      <c r="O2" s="2241"/>
      <c r="P2" s="2241"/>
      <c r="Q2" s="2241"/>
      <c r="R2" s="2241"/>
      <c r="S2" s="2241"/>
      <c r="T2" s="2241"/>
      <c r="U2" s="2241"/>
      <c r="V2" s="2241"/>
      <c r="W2" s="2241"/>
      <c r="X2" s="2241"/>
      <c r="Y2" s="2241"/>
    </row>
    <row r="3" spans="1:25" ht="21" customHeight="1" x14ac:dyDescent="0.25">
      <c r="A3" s="1669"/>
      <c r="B3" s="1669"/>
      <c r="C3" s="1669"/>
      <c r="D3" s="1669"/>
      <c r="E3" s="1669"/>
      <c r="F3" s="1669"/>
      <c r="G3" s="1669"/>
      <c r="H3" s="1669"/>
      <c r="I3" s="1669"/>
      <c r="J3" s="1669"/>
      <c r="K3" s="1669"/>
      <c r="L3" s="1669"/>
      <c r="M3" s="1669"/>
      <c r="N3" s="1669"/>
      <c r="O3" s="1669"/>
      <c r="P3" s="1669"/>
      <c r="Q3" s="1669"/>
      <c r="R3" s="1669"/>
      <c r="S3" s="1669"/>
      <c r="T3" s="2242" t="s">
        <v>523</v>
      </c>
      <c r="U3" s="2242"/>
      <c r="V3" s="2242"/>
      <c r="W3" s="2242"/>
      <c r="X3" s="2242"/>
      <c r="Y3" s="2242"/>
    </row>
    <row r="4" spans="1:25" s="1669" customFormat="1" ht="18" customHeight="1" x14ac:dyDescent="0.25">
      <c r="A4" s="2243" t="s">
        <v>25</v>
      </c>
      <c r="B4" s="2243" t="s">
        <v>26</v>
      </c>
      <c r="C4" s="2244" t="s">
        <v>27</v>
      </c>
      <c r="D4" s="2244"/>
      <c r="E4" s="2244" t="s">
        <v>342</v>
      </c>
      <c r="F4" s="2244"/>
      <c r="G4" s="2244" t="s">
        <v>65</v>
      </c>
      <c r="H4" s="2244"/>
      <c r="I4" s="2244" t="s">
        <v>29</v>
      </c>
      <c r="J4" s="2244"/>
      <c r="K4" s="2245" t="s">
        <v>14</v>
      </c>
      <c r="L4" s="2246"/>
      <c r="M4" s="2245" t="s">
        <v>429</v>
      </c>
      <c r="N4" s="2246"/>
      <c r="O4" s="2245" t="s">
        <v>441</v>
      </c>
      <c r="P4" s="2246"/>
      <c r="Q4" s="2245" t="s">
        <v>114</v>
      </c>
      <c r="R4" s="2246"/>
      <c r="S4" s="2244" t="s">
        <v>35</v>
      </c>
      <c r="T4" s="2244"/>
      <c r="U4" s="2245" t="s">
        <v>17</v>
      </c>
      <c r="V4" s="2246"/>
      <c r="W4" s="2247" t="s">
        <v>36</v>
      </c>
      <c r="X4" s="2248"/>
      <c r="Y4" s="2238" t="s">
        <v>30</v>
      </c>
    </row>
    <row r="5" spans="1:25" s="1669" customFormat="1" ht="25.5" customHeight="1" x14ac:dyDescent="0.25">
      <c r="A5" s="2243"/>
      <c r="B5" s="2243"/>
      <c r="C5" s="1671" t="s">
        <v>42</v>
      </c>
      <c r="D5" s="1671" t="s">
        <v>43</v>
      </c>
      <c r="E5" s="1671" t="s">
        <v>42</v>
      </c>
      <c r="F5" s="1671" t="s">
        <v>43</v>
      </c>
      <c r="G5" s="1671" t="s">
        <v>42</v>
      </c>
      <c r="H5" s="1671" t="s">
        <v>43</v>
      </c>
      <c r="I5" s="1671" t="s">
        <v>42</v>
      </c>
      <c r="J5" s="1671" t="s">
        <v>43</v>
      </c>
      <c r="K5" s="1671" t="s">
        <v>42</v>
      </c>
      <c r="L5" s="1671" t="s">
        <v>43</v>
      </c>
      <c r="M5" s="1671" t="s">
        <v>42</v>
      </c>
      <c r="N5" s="1671" t="s">
        <v>43</v>
      </c>
      <c r="O5" s="1671" t="s">
        <v>42</v>
      </c>
      <c r="P5" s="1671" t="s">
        <v>43</v>
      </c>
      <c r="Q5" s="1671" t="s">
        <v>42</v>
      </c>
      <c r="R5" s="1671" t="s">
        <v>43</v>
      </c>
      <c r="S5" s="33" t="s">
        <v>42</v>
      </c>
      <c r="T5" s="33" t="s">
        <v>43</v>
      </c>
      <c r="U5" s="30" t="s">
        <v>42</v>
      </c>
      <c r="V5" s="30" t="s">
        <v>43</v>
      </c>
      <c r="W5" s="30" t="s">
        <v>42</v>
      </c>
      <c r="X5" s="30" t="s">
        <v>43</v>
      </c>
      <c r="Y5" s="2239"/>
    </row>
    <row r="6" spans="1:25" ht="34.5" customHeight="1" x14ac:dyDescent="0.25">
      <c r="A6" s="12">
        <v>1409935200</v>
      </c>
      <c r="B6" s="1670" t="s">
        <v>71</v>
      </c>
      <c r="C6" s="1673">
        <v>45759</v>
      </c>
      <c r="D6" s="1674">
        <f t="shared" ref="D6:D11" si="0">0.9725*C6</f>
        <v>44500.627500000002</v>
      </c>
      <c r="E6" s="1673"/>
      <c r="F6" s="1674">
        <f>67.1*E6</f>
        <v>0</v>
      </c>
      <c r="G6" s="1673"/>
      <c r="H6" s="1673">
        <f>28.2*G6</f>
        <v>0</v>
      </c>
      <c r="I6" s="1673">
        <v>40</v>
      </c>
      <c r="J6" s="1673">
        <f>18.5*I6</f>
        <v>740</v>
      </c>
      <c r="K6" s="1673"/>
      <c r="L6" s="1674">
        <f>28.2368*K6</f>
        <v>0</v>
      </c>
      <c r="M6" s="1673"/>
      <c r="N6" s="1674">
        <f>M6*47.6525</f>
        <v>0</v>
      </c>
      <c r="O6" s="1673"/>
      <c r="P6" s="1674">
        <f>O6*8.9</f>
        <v>0</v>
      </c>
      <c r="Q6" s="1674"/>
      <c r="R6" s="1674">
        <f>241*Q6</f>
        <v>0</v>
      </c>
      <c r="S6" s="1673"/>
      <c r="T6" s="1673">
        <f>241*S6</f>
        <v>0</v>
      </c>
      <c r="U6" s="1673"/>
      <c r="V6" s="1673">
        <f>332*U6</f>
        <v>0</v>
      </c>
      <c r="W6" s="1673">
        <v>1</v>
      </c>
      <c r="X6" s="19">
        <f>W6*100</f>
        <v>100</v>
      </c>
      <c r="Y6" s="20">
        <f t="shared" ref="Y6:Y12" si="1">D6+F6+H6+J6+L6+N6+P6+R6+T6+V6+X6</f>
        <v>45340.627500000002</v>
      </c>
    </row>
    <row r="7" spans="1:25" ht="31.5" customHeight="1" x14ac:dyDescent="0.25">
      <c r="A7" s="12">
        <v>1984225578</v>
      </c>
      <c r="B7" s="1670" t="s">
        <v>509</v>
      </c>
      <c r="C7" s="1673">
        <v>52509</v>
      </c>
      <c r="D7" s="1674">
        <f t="shared" si="0"/>
        <v>51065.002500000002</v>
      </c>
      <c r="E7" s="1673"/>
      <c r="F7" s="1673">
        <f t="shared" ref="F7:F11" si="2">67.1*E7</f>
        <v>0</v>
      </c>
      <c r="G7" s="1673"/>
      <c r="H7" s="1673">
        <f t="shared" ref="H7:H11" si="3">28.2*G7</f>
        <v>0</v>
      </c>
      <c r="I7" s="1673"/>
      <c r="J7" s="1673">
        <f t="shared" ref="J7:J11" si="4">18.5*I7</f>
        <v>0</v>
      </c>
      <c r="K7" s="1673"/>
      <c r="L7" s="1674">
        <f t="shared" ref="L7:L11" si="5">28.2368*K7</f>
        <v>0</v>
      </c>
      <c r="M7" s="1673"/>
      <c r="N7" s="1674">
        <f t="shared" ref="N7:N11" si="6">M7*47.6525</f>
        <v>0</v>
      </c>
      <c r="O7" s="1673"/>
      <c r="P7" s="1674">
        <f t="shared" ref="P7:P11" si="7">O7*8.9</f>
        <v>0</v>
      </c>
      <c r="Q7" s="1674"/>
      <c r="R7" s="1674">
        <f t="shared" ref="R7:R11" si="8">241*Q7</f>
        <v>0</v>
      </c>
      <c r="S7" s="1673"/>
      <c r="T7" s="1673">
        <f t="shared" ref="T7:T10" si="9">241*S7</f>
        <v>0</v>
      </c>
      <c r="U7" s="1673"/>
      <c r="V7" s="1673">
        <f t="shared" ref="V7:V11" si="10">332*U7</f>
        <v>0</v>
      </c>
      <c r="W7" s="1673"/>
      <c r="X7" s="19">
        <f t="shared" ref="X7:X11" si="11">W7*100</f>
        <v>0</v>
      </c>
      <c r="Y7" s="20">
        <f t="shared" si="1"/>
        <v>51065.002500000002</v>
      </c>
    </row>
    <row r="8" spans="1:25" ht="35.25" customHeight="1" x14ac:dyDescent="0.25">
      <c r="A8" s="12">
        <v>1967020280</v>
      </c>
      <c r="B8" s="1670" t="s">
        <v>427</v>
      </c>
      <c r="C8" s="1673">
        <v>32023</v>
      </c>
      <c r="D8" s="1674">
        <f t="shared" si="0"/>
        <v>31142.3675</v>
      </c>
      <c r="E8" s="1673"/>
      <c r="F8" s="1673">
        <f t="shared" si="2"/>
        <v>0</v>
      </c>
      <c r="G8" s="1673"/>
      <c r="H8" s="1674">
        <f t="shared" si="3"/>
        <v>0</v>
      </c>
      <c r="I8" s="1673"/>
      <c r="J8" s="1673">
        <f t="shared" si="4"/>
        <v>0</v>
      </c>
      <c r="K8" s="1673"/>
      <c r="L8" s="1674">
        <f t="shared" si="5"/>
        <v>0</v>
      </c>
      <c r="M8" s="1673"/>
      <c r="N8" s="1674">
        <f t="shared" si="6"/>
        <v>0</v>
      </c>
      <c r="O8" s="1673"/>
      <c r="P8" s="1674">
        <f t="shared" si="7"/>
        <v>0</v>
      </c>
      <c r="Q8" s="1674"/>
      <c r="R8" s="1674">
        <f t="shared" si="8"/>
        <v>0</v>
      </c>
      <c r="S8" s="1673"/>
      <c r="T8" s="1673">
        <f t="shared" si="9"/>
        <v>0</v>
      </c>
      <c r="U8" s="1673"/>
      <c r="V8" s="1673">
        <f t="shared" si="10"/>
        <v>0</v>
      </c>
      <c r="W8" s="1673"/>
      <c r="X8" s="19">
        <f t="shared" si="11"/>
        <v>0</v>
      </c>
      <c r="Y8" s="20">
        <f t="shared" si="1"/>
        <v>31142.3675</v>
      </c>
    </row>
    <row r="9" spans="1:25" ht="38.25" customHeight="1" x14ac:dyDescent="0.25">
      <c r="A9" s="12">
        <v>1984225580</v>
      </c>
      <c r="B9" s="1670" t="s">
        <v>75</v>
      </c>
      <c r="C9" s="1673">
        <v>24824</v>
      </c>
      <c r="D9" s="1674">
        <f t="shared" si="0"/>
        <v>24141.34</v>
      </c>
      <c r="E9" s="1673"/>
      <c r="F9" s="1673">
        <f t="shared" si="2"/>
        <v>0</v>
      </c>
      <c r="G9" s="1673"/>
      <c r="H9" s="1673">
        <f t="shared" si="3"/>
        <v>0</v>
      </c>
      <c r="I9" s="1673"/>
      <c r="J9" s="1673">
        <f t="shared" si="4"/>
        <v>0</v>
      </c>
      <c r="K9" s="1673"/>
      <c r="L9" s="1674">
        <f t="shared" si="5"/>
        <v>0</v>
      </c>
      <c r="M9" s="1673"/>
      <c r="N9" s="1674">
        <f t="shared" si="6"/>
        <v>0</v>
      </c>
      <c r="O9" s="1673"/>
      <c r="P9" s="1674">
        <f t="shared" si="7"/>
        <v>0</v>
      </c>
      <c r="Q9" s="1674"/>
      <c r="R9" s="1674">
        <f t="shared" si="8"/>
        <v>0</v>
      </c>
      <c r="S9" s="1673"/>
      <c r="T9" s="1673">
        <f t="shared" si="9"/>
        <v>0</v>
      </c>
      <c r="U9" s="1673"/>
      <c r="V9" s="1673">
        <f t="shared" si="10"/>
        <v>0</v>
      </c>
      <c r="W9" s="1673"/>
      <c r="X9" s="19">
        <f t="shared" si="11"/>
        <v>0</v>
      </c>
      <c r="Y9" s="20">
        <f t="shared" si="1"/>
        <v>24141.34</v>
      </c>
    </row>
    <row r="10" spans="1:25" ht="35.25" customHeight="1" x14ac:dyDescent="0.25">
      <c r="A10" s="12">
        <v>1409935199</v>
      </c>
      <c r="C10" s="1673"/>
      <c r="D10" s="1674">
        <f t="shared" si="0"/>
        <v>0</v>
      </c>
      <c r="E10" s="1673"/>
      <c r="F10" s="1673">
        <f t="shared" si="2"/>
        <v>0</v>
      </c>
      <c r="G10" s="1673"/>
      <c r="H10" s="1673">
        <f t="shared" si="3"/>
        <v>0</v>
      </c>
      <c r="I10" s="1673"/>
      <c r="J10" s="1673">
        <f t="shared" si="4"/>
        <v>0</v>
      </c>
      <c r="K10" s="1673"/>
      <c r="L10" s="1674">
        <f t="shared" si="5"/>
        <v>0</v>
      </c>
      <c r="M10" s="1673"/>
      <c r="N10" s="1674">
        <f t="shared" si="6"/>
        <v>0</v>
      </c>
      <c r="O10" s="1673"/>
      <c r="P10" s="1674">
        <f t="shared" si="7"/>
        <v>0</v>
      </c>
      <c r="Q10" s="1674"/>
      <c r="R10" s="1674">
        <f t="shared" si="8"/>
        <v>0</v>
      </c>
      <c r="S10" s="1673"/>
      <c r="T10" s="1673">
        <f t="shared" si="9"/>
        <v>0</v>
      </c>
      <c r="U10" s="1673"/>
      <c r="V10" s="1673">
        <f t="shared" si="10"/>
        <v>0</v>
      </c>
      <c r="W10" s="1673"/>
      <c r="X10" s="19">
        <f t="shared" si="11"/>
        <v>0</v>
      </c>
      <c r="Y10" s="20">
        <f t="shared" si="1"/>
        <v>0</v>
      </c>
    </row>
    <row r="11" spans="1:25" ht="37.5" customHeight="1" x14ac:dyDescent="0.25">
      <c r="A11" s="12"/>
      <c r="B11" s="1672"/>
      <c r="C11" s="1673"/>
      <c r="D11" s="1674">
        <f t="shared" si="0"/>
        <v>0</v>
      </c>
      <c r="E11" s="1673"/>
      <c r="F11" s="1673">
        <f t="shared" si="2"/>
        <v>0</v>
      </c>
      <c r="G11" s="1673"/>
      <c r="H11" s="1673">
        <f t="shared" si="3"/>
        <v>0</v>
      </c>
      <c r="I11" s="1673"/>
      <c r="J11" s="1673">
        <f t="shared" si="4"/>
        <v>0</v>
      </c>
      <c r="K11" s="1673"/>
      <c r="L11" s="1674">
        <f t="shared" si="5"/>
        <v>0</v>
      </c>
      <c r="M11" s="1673"/>
      <c r="N11" s="1674">
        <f t="shared" si="6"/>
        <v>0</v>
      </c>
      <c r="O11" s="1673"/>
      <c r="P11" s="1674">
        <f t="shared" si="7"/>
        <v>0</v>
      </c>
      <c r="Q11" s="1674"/>
      <c r="R11" s="1674">
        <f t="shared" si="8"/>
        <v>0</v>
      </c>
      <c r="S11" s="1673"/>
      <c r="T11" s="1673">
        <f>341*S11</f>
        <v>0</v>
      </c>
      <c r="U11" s="1673"/>
      <c r="V11" s="1673">
        <f t="shared" si="10"/>
        <v>0</v>
      </c>
      <c r="W11" s="1673"/>
      <c r="X11" s="19">
        <f t="shared" si="11"/>
        <v>0</v>
      </c>
      <c r="Y11" s="20">
        <f t="shared" si="1"/>
        <v>0</v>
      </c>
    </row>
    <row r="12" spans="1:25" ht="29.25" customHeight="1" x14ac:dyDescent="0.25">
      <c r="A12" s="2235" t="s">
        <v>31</v>
      </c>
      <c r="B12" s="2235"/>
      <c r="C12" s="18">
        <f t="shared" ref="C12:X12" si="12">SUM(C6:C11)</f>
        <v>155115</v>
      </c>
      <c r="D12" s="18">
        <f t="shared" si="12"/>
        <v>150849.33749999999</v>
      </c>
      <c r="E12" s="18">
        <f t="shared" si="12"/>
        <v>0</v>
      </c>
      <c r="F12" s="18">
        <f t="shared" si="12"/>
        <v>0</v>
      </c>
      <c r="G12" s="18">
        <f t="shared" si="12"/>
        <v>0</v>
      </c>
      <c r="H12" s="18">
        <f t="shared" si="12"/>
        <v>0</v>
      </c>
      <c r="I12" s="18">
        <f t="shared" si="12"/>
        <v>40</v>
      </c>
      <c r="J12" s="18">
        <f t="shared" si="12"/>
        <v>740</v>
      </c>
      <c r="K12" s="18">
        <f t="shared" si="12"/>
        <v>0</v>
      </c>
      <c r="L12" s="18">
        <f t="shared" si="12"/>
        <v>0</v>
      </c>
      <c r="M12" s="18">
        <f t="shared" si="12"/>
        <v>0</v>
      </c>
      <c r="N12" s="23">
        <f t="shared" si="12"/>
        <v>0</v>
      </c>
      <c r="O12" s="18">
        <f t="shared" si="12"/>
        <v>0</v>
      </c>
      <c r="P12" s="23">
        <f t="shared" si="12"/>
        <v>0</v>
      </c>
      <c r="Q12" s="23">
        <f t="shared" si="12"/>
        <v>0</v>
      </c>
      <c r="R12" s="23">
        <f>SUM(R6:R11)</f>
        <v>0</v>
      </c>
      <c r="S12" s="23">
        <f>SUM(S6:S11)</f>
        <v>0</v>
      </c>
      <c r="T12" s="18">
        <f t="shared" si="12"/>
        <v>0</v>
      </c>
      <c r="U12" s="18">
        <f t="shared" si="12"/>
        <v>0</v>
      </c>
      <c r="V12" s="18">
        <f t="shared" si="12"/>
        <v>0</v>
      </c>
      <c r="W12" s="18">
        <f t="shared" si="12"/>
        <v>1</v>
      </c>
      <c r="X12" s="18">
        <f t="shared" si="12"/>
        <v>100</v>
      </c>
      <c r="Y12" s="20">
        <f t="shared" si="1"/>
        <v>151689.33749999999</v>
      </c>
    </row>
    <row r="14" spans="1:25" ht="43.5" customHeight="1" x14ac:dyDescent="0.25">
      <c r="A14" s="30" t="s">
        <v>32</v>
      </c>
      <c r="B14" s="2236" t="s">
        <v>27</v>
      </c>
      <c r="C14" s="2236"/>
      <c r="D14" s="30" t="s">
        <v>333</v>
      </c>
      <c r="E14" s="30" t="s">
        <v>65</v>
      </c>
      <c r="F14" s="30" t="s">
        <v>34</v>
      </c>
      <c r="G14" s="30" t="s">
        <v>14</v>
      </c>
      <c r="H14" s="469" t="s">
        <v>173</v>
      </c>
      <c r="I14" s="30" t="s">
        <v>17</v>
      </c>
      <c r="J14" s="1678" t="s">
        <v>174</v>
      </c>
      <c r="K14" s="30" t="s">
        <v>36</v>
      </c>
      <c r="L14" s="1678" t="s">
        <v>403</v>
      </c>
      <c r="M14" s="30" t="s">
        <v>429</v>
      </c>
      <c r="N14" s="30" t="s">
        <v>442</v>
      </c>
      <c r="O14" s="1678" t="s">
        <v>114</v>
      </c>
      <c r="P14" s="30" t="s">
        <v>70</v>
      </c>
      <c r="Q14" s="2300" t="s">
        <v>479</v>
      </c>
      <c r="R14" s="2301"/>
      <c r="S14" s="1678" t="s">
        <v>401</v>
      </c>
      <c r="T14" s="2235" t="s">
        <v>46</v>
      </c>
      <c r="U14" s="1670" t="s">
        <v>176</v>
      </c>
      <c r="V14" s="2260">
        <v>8253</v>
      </c>
      <c r="W14" s="2268"/>
      <c r="X14" s="2261"/>
    </row>
    <row r="15" spans="1:25" ht="22.5" customHeight="1" x14ac:dyDescent="0.25">
      <c r="A15" s="100" t="s">
        <v>38</v>
      </c>
      <c r="B15" s="2260">
        <v>315334</v>
      </c>
      <c r="C15" s="2261"/>
      <c r="D15" s="1675">
        <v>0</v>
      </c>
      <c r="E15" s="1675">
        <v>0</v>
      </c>
      <c r="F15" s="1675">
        <v>13300</v>
      </c>
      <c r="G15" s="1675">
        <v>0</v>
      </c>
      <c r="H15" s="1675">
        <v>72</v>
      </c>
      <c r="I15" s="1675">
        <v>12</v>
      </c>
      <c r="J15" s="1675">
        <v>4</v>
      </c>
      <c r="K15" s="1675">
        <v>69</v>
      </c>
      <c r="L15" s="1675">
        <v>0</v>
      </c>
      <c r="M15" s="1675">
        <v>0</v>
      </c>
      <c r="N15" s="1675">
        <v>0</v>
      </c>
      <c r="O15" s="1675">
        <v>0</v>
      </c>
      <c r="P15" s="1675">
        <v>100</v>
      </c>
      <c r="Q15" s="2260">
        <v>10</v>
      </c>
      <c r="R15" s="2261"/>
      <c r="S15" s="1670">
        <v>2</v>
      </c>
      <c r="T15" s="2235"/>
      <c r="U15" s="1670" t="s">
        <v>64</v>
      </c>
      <c r="V15" s="2262">
        <v>24727</v>
      </c>
      <c r="W15" s="2262"/>
      <c r="X15" s="2262"/>
    </row>
    <row r="16" spans="1:25" ht="24.75" customHeight="1" x14ac:dyDescent="0.25">
      <c r="A16" s="100" t="s">
        <v>39</v>
      </c>
      <c r="B16" s="2260">
        <v>363636</v>
      </c>
      <c r="C16" s="2261"/>
      <c r="D16" s="1675"/>
      <c r="E16" s="1675"/>
      <c r="F16" s="1675"/>
      <c r="G16" s="1675"/>
      <c r="H16" s="1675"/>
      <c r="I16" s="1675"/>
      <c r="J16" s="1675"/>
      <c r="K16" s="1675"/>
      <c r="L16" s="1675"/>
      <c r="M16" s="1675"/>
      <c r="N16" s="1675"/>
      <c r="O16" s="1675"/>
      <c r="P16" s="1675"/>
      <c r="Q16" s="2262"/>
      <c r="R16" s="2262"/>
      <c r="S16" s="1675"/>
      <c r="T16" s="2254" t="s">
        <v>55</v>
      </c>
      <c r="U16" s="2254"/>
      <c r="V16" s="2267">
        <f>Y12</f>
        <v>151689.33749999999</v>
      </c>
      <c r="W16" s="2267"/>
      <c r="X16" s="2262"/>
    </row>
    <row r="17" spans="1:25" ht="28.5" customHeight="1" x14ac:dyDescent="0.25">
      <c r="A17" s="101" t="s">
        <v>44</v>
      </c>
      <c r="B17" s="2260"/>
      <c r="C17" s="2261"/>
      <c r="D17" s="1675"/>
      <c r="E17" s="1675"/>
      <c r="F17" s="1675"/>
      <c r="G17" s="1675"/>
      <c r="H17" s="1675"/>
      <c r="I17" s="1675"/>
      <c r="J17" s="1675"/>
      <c r="K17" s="1675"/>
      <c r="L17" s="1675"/>
      <c r="M17" s="1675"/>
      <c r="N17" s="1675"/>
      <c r="O17" s="1675"/>
      <c r="P17" s="1675"/>
      <c r="Q17" s="2225"/>
      <c r="R17" s="2225"/>
      <c r="S17" s="1672"/>
      <c r="T17" s="2294" t="s">
        <v>521</v>
      </c>
      <c r="U17" s="2295"/>
      <c r="V17" s="2296"/>
      <c r="W17" s="2296"/>
      <c r="X17" s="2296"/>
    </row>
    <row r="18" spans="1:25" ht="27" customHeight="1" x14ac:dyDescent="0.25">
      <c r="A18" s="100" t="s">
        <v>40</v>
      </c>
      <c r="B18" s="2264">
        <f>C12</f>
        <v>155115</v>
      </c>
      <c r="C18" s="2261"/>
      <c r="D18" s="1676">
        <f>E12</f>
        <v>0</v>
      </c>
      <c r="E18" s="1676">
        <f>G12</f>
        <v>0</v>
      </c>
      <c r="F18" s="1676">
        <f>I12</f>
        <v>40</v>
      </c>
      <c r="G18" s="1676">
        <f>K12</f>
        <v>0</v>
      </c>
      <c r="H18" s="1675"/>
      <c r="I18" s="1676">
        <f>U12</f>
        <v>0</v>
      </c>
      <c r="J18" s="1675"/>
      <c r="K18" s="1676">
        <f>W12</f>
        <v>1</v>
      </c>
      <c r="L18" s="1675"/>
      <c r="M18" s="1676">
        <f>M12</f>
        <v>0</v>
      </c>
      <c r="N18" s="1676">
        <f>O12</f>
        <v>0</v>
      </c>
      <c r="O18" s="1677">
        <f>Q12</f>
        <v>0</v>
      </c>
      <c r="P18" s="1676"/>
      <c r="Q18" s="2262"/>
      <c r="R18" s="2262"/>
      <c r="S18" s="1670"/>
      <c r="T18" s="2254" t="s">
        <v>57</v>
      </c>
      <c r="U18" s="2254"/>
      <c r="V18" s="2262">
        <v>770</v>
      </c>
      <c r="W18" s="2262"/>
      <c r="X18" s="2262"/>
      <c r="Y18" s="2269"/>
    </row>
    <row r="19" spans="1:25" ht="25.5" customHeight="1" x14ac:dyDescent="0.25">
      <c r="A19" s="100" t="s">
        <v>41</v>
      </c>
      <c r="B19" s="2260">
        <f>B15+B16+B17-B18</f>
        <v>523855</v>
      </c>
      <c r="C19" s="2261"/>
      <c r="D19" s="1675">
        <f>D15+D16+D17-D18</f>
        <v>0</v>
      </c>
      <c r="E19" s="1675">
        <f t="shared" ref="E19:N19" si="13">E15+E16+E17-E18</f>
        <v>0</v>
      </c>
      <c r="F19" s="1675">
        <f t="shared" si="13"/>
        <v>13260</v>
      </c>
      <c r="G19" s="1675">
        <f t="shared" si="13"/>
        <v>0</v>
      </c>
      <c r="H19" s="1675">
        <f t="shared" si="13"/>
        <v>72</v>
      </c>
      <c r="I19" s="1675">
        <f t="shared" si="13"/>
        <v>12</v>
      </c>
      <c r="J19" s="1675">
        <f t="shared" si="13"/>
        <v>4</v>
      </c>
      <c r="K19" s="1675">
        <f t="shared" si="13"/>
        <v>68</v>
      </c>
      <c r="L19" s="1675">
        <f t="shared" si="13"/>
        <v>0</v>
      </c>
      <c r="M19" s="1675">
        <f t="shared" si="13"/>
        <v>0</v>
      </c>
      <c r="N19" s="1675">
        <f t="shared" si="13"/>
        <v>0</v>
      </c>
      <c r="O19" s="1675">
        <f>O15+O16+O17-O18</f>
        <v>0</v>
      </c>
      <c r="P19" s="1675">
        <f t="shared" ref="P19:Q19" si="14">P15+P16+P17-P18</f>
        <v>100</v>
      </c>
      <c r="Q19" s="2260">
        <f t="shared" si="14"/>
        <v>10</v>
      </c>
      <c r="R19" s="2261"/>
      <c r="S19" s="1670">
        <f>S15+S16-S17-S18</f>
        <v>2</v>
      </c>
      <c r="T19" s="2256" t="s">
        <v>48</v>
      </c>
      <c r="U19" s="49" t="s">
        <v>58</v>
      </c>
      <c r="V19" s="2262">
        <v>100000</v>
      </c>
      <c r="W19" s="2262"/>
      <c r="X19" s="2262"/>
      <c r="Y19" s="2269"/>
    </row>
    <row r="20" spans="1:25" ht="23.25" customHeight="1" x14ac:dyDescent="0.25">
      <c r="A20" s="289" t="s">
        <v>187</v>
      </c>
      <c r="B20" s="2286">
        <f>B19*0.9625</f>
        <v>504210.4375</v>
      </c>
      <c r="C20" s="2287"/>
      <c r="D20" s="290">
        <f>D19*66.41</f>
        <v>0</v>
      </c>
      <c r="E20" s="290">
        <f>27.9368*E19</f>
        <v>0</v>
      </c>
      <c r="F20" s="290">
        <f>18.31*F19</f>
        <v>242790.59999999998</v>
      </c>
      <c r="G20" s="290">
        <f>27.9368*G19</f>
        <v>0</v>
      </c>
      <c r="H20" s="290">
        <f>241*H19</f>
        <v>17352</v>
      </c>
      <c r="I20" s="290">
        <f>323*I19</f>
        <v>3876</v>
      </c>
      <c r="J20" s="290">
        <f>241*J19</f>
        <v>964</v>
      </c>
      <c r="K20" s="290">
        <f>K19*100</f>
        <v>6800</v>
      </c>
      <c r="L20" s="290">
        <f>241*L19</f>
        <v>0</v>
      </c>
      <c r="M20" s="290">
        <f>47.1625*M19</f>
        <v>0</v>
      </c>
      <c r="N20" s="290">
        <f>N19*8.81</f>
        <v>0</v>
      </c>
      <c r="O20" s="290">
        <f>241*O19</f>
        <v>0</v>
      </c>
      <c r="P20" s="290">
        <f>P19*48.2</f>
        <v>4820</v>
      </c>
      <c r="Q20" s="2286">
        <f>470*Q19</f>
        <v>4700</v>
      </c>
      <c r="R20" s="2287"/>
      <c r="S20" s="290">
        <f>341*S19</f>
        <v>682</v>
      </c>
      <c r="T20" s="2257"/>
      <c r="U20" s="49" t="s">
        <v>59</v>
      </c>
      <c r="V20" s="2262"/>
      <c r="W20" s="2262"/>
      <c r="X20" s="2262"/>
      <c r="Y20" s="2269"/>
    </row>
    <row r="21" spans="1:25" ht="32.25" customHeight="1" x14ac:dyDescent="0.25">
      <c r="A21" s="291" t="s">
        <v>186</v>
      </c>
      <c r="B21" s="2293">
        <f>SUM(B20:S20)</f>
        <v>786195.03749999998</v>
      </c>
      <c r="C21" s="2293"/>
      <c r="O21" s="1679"/>
      <c r="P21" s="1679"/>
      <c r="Q21" s="1679"/>
      <c r="R21" s="1679"/>
      <c r="T21" s="2294" t="s">
        <v>518</v>
      </c>
      <c r="U21" s="2295"/>
      <c r="V21" s="2297"/>
      <c r="W21" s="2298"/>
      <c r="X21" s="2299"/>
      <c r="Y21" s="2269"/>
    </row>
    <row r="22" spans="1:25" ht="35.25" customHeight="1" x14ac:dyDescent="0.25">
      <c r="A22" s="15"/>
      <c r="B22" s="2288" t="s">
        <v>49</v>
      </c>
      <c r="C22" s="2291">
        <v>100000</v>
      </c>
      <c r="D22" s="2291">
        <v>100000</v>
      </c>
      <c r="E22" s="2291">
        <v>350000</v>
      </c>
      <c r="F22" s="2291">
        <f>C22-D22+E22</f>
        <v>350000</v>
      </c>
      <c r="G22" s="1679"/>
      <c r="Q22" s="1679"/>
      <c r="R22" s="1679"/>
      <c r="T22" s="2251" t="s">
        <v>83</v>
      </c>
      <c r="U22" s="50" t="s">
        <v>60</v>
      </c>
      <c r="V22" s="2262">
        <v>89300</v>
      </c>
      <c r="W22" s="2262"/>
      <c r="X22" s="2262"/>
      <c r="Y22" s="2269"/>
    </row>
    <row r="23" spans="1:25" ht="39.75" customHeight="1" x14ac:dyDescent="0.25">
      <c r="A23" s="1679"/>
      <c r="B23" s="2289"/>
      <c r="C23" s="2292"/>
      <c r="D23" s="2292"/>
      <c r="E23" s="2292"/>
      <c r="F23" s="2292"/>
      <c r="G23" s="1679"/>
      <c r="Q23" s="1679"/>
      <c r="R23" s="1679"/>
      <c r="T23" s="2252"/>
      <c r="U23" s="50" t="s">
        <v>61</v>
      </c>
      <c r="V23" s="2262">
        <v>100000</v>
      </c>
      <c r="W23" s="2262"/>
      <c r="X23" s="2262"/>
      <c r="Y23" s="2269"/>
    </row>
    <row r="24" spans="1:25" ht="48" customHeight="1" x14ac:dyDescent="0.25">
      <c r="A24" s="1679"/>
      <c r="B24" s="2290"/>
      <c r="C24" s="290" t="s">
        <v>46</v>
      </c>
      <c r="D24" s="290" t="s">
        <v>50</v>
      </c>
      <c r="E24" s="290" t="s">
        <v>51</v>
      </c>
      <c r="F24" s="290" t="s">
        <v>52</v>
      </c>
      <c r="G24" s="1679"/>
      <c r="Q24" s="1679"/>
      <c r="R24" s="1679"/>
      <c r="T24" s="2235" t="s">
        <v>47</v>
      </c>
      <c r="U24" s="51" t="s">
        <v>62</v>
      </c>
      <c r="V24" s="2263">
        <f>V14+V16+V17-V18-V19-V20-V22+V23-V21</f>
        <v>69872.337499999994</v>
      </c>
      <c r="W24" s="2263"/>
      <c r="X24" s="2263"/>
      <c r="Y24" s="2269"/>
    </row>
    <row r="25" spans="1:25" ht="40.5" customHeight="1" x14ac:dyDescent="0.25">
      <c r="T25" s="2235"/>
      <c r="U25" s="51" t="s">
        <v>63</v>
      </c>
      <c r="V25" s="2262">
        <f>V15+V22-V23</f>
        <v>14027</v>
      </c>
      <c r="W25" s="2262"/>
      <c r="X25" s="2262"/>
    </row>
    <row r="26" spans="1:25" ht="36" customHeight="1" x14ac:dyDescent="0.25">
      <c r="K26" s="314"/>
    </row>
    <row r="28" spans="1:25" x14ac:dyDescent="0.25">
      <c r="J28" s="14" t="s">
        <v>139</v>
      </c>
    </row>
    <row r="32" spans="1:25" x14ac:dyDescent="0.25">
      <c r="I32" s="2280"/>
      <c r="J32" s="2280"/>
      <c r="K32" s="2280"/>
      <c r="L32" s="2280"/>
    </row>
    <row r="33" spans="9:12" x14ac:dyDescent="0.25">
      <c r="I33" s="1679"/>
      <c r="J33" s="1679"/>
      <c r="K33" s="2280"/>
      <c r="L33" s="2280"/>
    </row>
  </sheetData>
  <mergeCells count="62">
    <mergeCell ref="I32:J32"/>
    <mergeCell ref="K32:L32"/>
    <mergeCell ref="K33:L33"/>
    <mergeCell ref="T22:T23"/>
    <mergeCell ref="V22:X22"/>
    <mergeCell ref="V23:X23"/>
    <mergeCell ref="T24:T25"/>
    <mergeCell ref="V24:X24"/>
    <mergeCell ref="V25:X25"/>
    <mergeCell ref="Y18:Y24"/>
    <mergeCell ref="B19:C19"/>
    <mergeCell ref="Q19:R19"/>
    <mergeCell ref="T19:T20"/>
    <mergeCell ref="V19:X19"/>
    <mergeCell ref="B20:C20"/>
    <mergeCell ref="B22:B24"/>
    <mergeCell ref="C22:C23"/>
    <mergeCell ref="D22:D23"/>
    <mergeCell ref="E22:E23"/>
    <mergeCell ref="F22:F23"/>
    <mergeCell ref="Q20:R20"/>
    <mergeCell ref="V20:X20"/>
    <mergeCell ref="B21:C21"/>
    <mergeCell ref="T21:U21"/>
    <mergeCell ref="V21:X21"/>
    <mergeCell ref="B17:C17"/>
    <mergeCell ref="Q17:R17"/>
    <mergeCell ref="T17:U17"/>
    <mergeCell ref="V17:X17"/>
    <mergeCell ref="B18:C18"/>
    <mergeCell ref="Q18:R18"/>
    <mergeCell ref="T18:U18"/>
    <mergeCell ref="V18:X18"/>
    <mergeCell ref="W4:X4"/>
    <mergeCell ref="B16:C16"/>
    <mergeCell ref="Q16:R16"/>
    <mergeCell ref="T16:U16"/>
    <mergeCell ref="V16:X16"/>
    <mergeCell ref="A12:B12"/>
    <mergeCell ref="B14:C14"/>
    <mergeCell ref="Q14:R14"/>
    <mergeCell ref="T14:T15"/>
    <mergeCell ref="V14:X14"/>
    <mergeCell ref="B15:C15"/>
    <mergeCell ref="Q15:R15"/>
    <mergeCell ref="V15:X15"/>
    <mergeCell ref="A1:Y1"/>
    <mergeCell ref="A2:Y2"/>
    <mergeCell ref="T3:Y3"/>
    <mergeCell ref="A4:A5"/>
    <mergeCell ref="B4:B5"/>
    <mergeCell ref="C4:D4"/>
    <mergeCell ref="E4:F4"/>
    <mergeCell ref="G4:H4"/>
    <mergeCell ref="I4:J4"/>
    <mergeCell ref="K4:L4"/>
    <mergeCell ref="Y4:Y5"/>
    <mergeCell ref="M4:N4"/>
    <mergeCell ref="O4:P4"/>
    <mergeCell ref="Q4:R4"/>
    <mergeCell ref="S4:T4"/>
    <mergeCell ref="U4:V4"/>
  </mergeCells>
  <pageMargins left="0.15748031496063" right="0.15748031496063" top="0" bottom="0" header="0" footer="0"/>
  <pageSetup paperSize="9" scale="46" orientation="landscape" r:id="rId1"/>
</worksheet>
</file>

<file path=xl/worksheets/sheet27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A48BDEA-41AB-4AF1-A63B-63E095D5EE95}">
  <sheetPr>
    <pageSetUpPr fitToPage="1"/>
  </sheetPr>
  <dimension ref="A1:Y33"/>
  <sheetViews>
    <sheetView topLeftCell="A8" zoomScale="70" zoomScaleNormal="70" zoomScaleSheetLayoutView="100" zoomScalePageLayoutView="68" workbookViewId="0">
      <selection activeCell="L25" sqref="L25"/>
    </sheetView>
  </sheetViews>
  <sheetFormatPr defaultColWidth="9.140625" defaultRowHeight="15" x14ac:dyDescent="0.25"/>
  <cols>
    <col min="1" max="1" width="18.28515625" style="14" customWidth="1"/>
    <col min="2" max="2" width="10.7109375" style="14" customWidth="1"/>
    <col min="3" max="3" width="12.28515625" style="14" customWidth="1"/>
    <col min="4" max="4" width="13.140625" style="14" bestFit="1" customWidth="1"/>
    <col min="5" max="5" width="12" style="14" customWidth="1"/>
    <col min="6" max="6" width="14" style="14" bestFit="1" customWidth="1"/>
    <col min="7" max="7" width="16" style="14" bestFit="1" customWidth="1"/>
    <col min="8" max="8" width="10.140625" style="14" bestFit="1" customWidth="1"/>
    <col min="9" max="9" width="10.5703125" style="14" bestFit="1" customWidth="1"/>
    <col min="10" max="10" width="10.5703125" style="14" customWidth="1"/>
    <col min="11" max="11" width="10.28515625" style="14" bestFit="1" customWidth="1"/>
    <col min="12" max="12" width="10.42578125" style="14" bestFit="1" customWidth="1"/>
    <col min="13" max="14" width="12" style="14" bestFit="1" customWidth="1"/>
    <col min="15" max="15" width="11" style="14" customWidth="1"/>
    <col min="16" max="16" width="12.85546875" style="14" bestFit="1" customWidth="1"/>
    <col min="17" max="18" width="9.42578125" style="14" customWidth="1"/>
    <col min="19" max="19" width="13.7109375" style="14" customWidth="1"/>
    <col min="20" max="20" width="12.140625" style="14" customWidth="1"/>
    <col min="21" max="21" width="21.7109375" style="14" customWidth="1"/>
    <col min="22" max="22" width="9.85546875" style="14" customWidth="1"/>
    <col min="23" max="23" width="10.140625" style="14" bestFit="1" customWidth="1"/>
    <col min="24" max="24" width="10.28515625" style="14" customWidth="1"/>
    <col min="25" max="25" width="15.7109375" style="14" customWidth="1"/>
    <col min="26" max="16384" width="9.140625" style="14"/>
  </cols>
  <sheetData>
    <row r="1" spans="1:25" ht="46.15" customHeight="1" x14ac:dyDescent="0.25">
      <c r="A1" s="2240" t="s">
        <v>148</v>
      </c>
      <c r="B1" s="2240"/>
      <c r="C1" s="2240"/>
      <c r="D1" s="2240"/>
      <c r="E1" s="2240"/>
      <c r="F1" s="2240"/>
      <c r="G1" s="2240"/>
      <c r="H1" s="2240"/>
      <c r="I1" s="2240"/>
      <c r="J1" s="2240"/>
      <c r="K1" s="2240"/>
      <c r="L1" s="2240"/>
      <c r="M1" s="2240"/>
      <c r="N1" s="2240"/>
      <c r="O1" s="2240"/>
      <c r="P1" s="2240"/>
      <c r="Q1" s="2240"/>
      <c r="R1" s="2240"/>
      <c r="S1" s="2240"/>
      <c r="T1" s="2240"/>
      <c r="U1" s="2240"/>
      <c r="V1" s="2240"/>
      <c r="W1" s="2240"/>
      <c r="X1" s="2240"/>
      <c r="Y1" s="2240"/>
    </row>
    <row r="2" spans="1:25" ht="21.6" customHeight="1" x14ac:dyDescent="0.25">
      <c r="A2" s="2241" t="s">
        <v>383</v>
      </c>
      <c r="B2" s="2241"/>
      <c r="C2" s="2241"/>
      <c r="D2" s="2241"/>
      <c r="E2" s="2241"/>
      <c r="F2" s="2241"/>
      <c r="G2" s="2241"/>
      <c r="H2" s="2241"/>
      <c r="I2" s="2241"/>
      <c r="J2" s="2241"/>
      <c r="K2" s="2241"/>
      <c r="L2" s="2241"/>
      <c r="M2" s="2241"/>
      <c r="N2" s="2241"/>
      <c r="O2" s="2241"/>
      <c r="P2" s="2241"/>
      <c r="Q2" s="2241"/>
      <c r="R2" s="2241"/>
      <c r="S2" s="2241"/>
      <c r="T2" s="2241"/>
      <c r="U2" s="2241"/>
      <c r="V2" s="2241"/>
      <c r="W2" s="2241"/>
      <c r="X2" s="2241"/>
      <c r="Y2" s="2241"/>
    </row>
    <row r="3" spans="1:25" ht="21" customHeight="1" x14ac:dyDescent="0.25">
      <c r="A3" s="1685"/>
      <c r="B3" s="1685"/>
      <c r="C3" s="1685"/>
      <c r="D3" s="1685"/>
      <c r="E3" s="1685"/>
      <c r="F3" s="1685"/>
      <c r="G3" s="1685"/>
      <c r="H3" s="1685"/>
      <c r="I3" s="1685"/>
      <c r="J3" s="1685"/>
      <c r="K3" s="1685"/>
      <c r="L3" s="1685"/>
      <c r="M3" s="1685"/>
      <c r="N3" s="1685"/>
      <c r="O3" s="1685"/>
      <c r="P3" s="1685"/>
      <c r="Q3" s="1685"/>
      <c r="R3" s="1685"/>
      <c r="S3" s="1685"/>
      <c r="T3" s="2242" t="s">
        <v>524</v>
      </c>
      <c r="U3" s="2242"/>
      <c r="V3" s="2242"/>
      <c r="W3" s="2242"/>
      <c r="X3" s="2242"/>
      <c r="Y3" s="2242"/>
    </row>
    <row r="4" spans="1:25" s="1685" customFormat="1" ht="18" customHeight="1" x14ac:dyDescent="0.25">
      <c r="A4" s="2243" t="s">
        <v>25</v>
      </c>
      <c r="B4" s="2243" t="s">
        <v>26</v>
      </c>
      <c r="C4" s="2244" t="s">
        <v>27</v>
      </c>
      <c r="D4" s="2244"/>
      <c r="E4" s="2244" t="s">
        <v>342</v>
      </c>
      <c r="F4" s="2244"/>
      <c r="G4" s="2244" t="s">
        <v>65</v>
      </c>
      <c r="H4" s="2244"/>
      <c r="I4" s="2244" t="s">
        <v>29</v>
      </c>
      <c r="J4" s="2244"/>
      <c r="K4" s="2245" t="s">
        <v>14</v>
      </c>
      <c r="L4" s="2246"/>
      <c r="M4" s="2245" t="s">
        <v>429</v>
      </c>
      <c r="N4" s="2246"/>
      <c r="O4" s="2245" t="s">
        <v>441</v>
      </c>
      <c r="P4" s="2246"/>
      <c r="Q4" s="2245" t="s">
        <v>114</v>
      </c>
      <c r="R4" s="2246"/>
      <c r="S4" s="2244" t="s">
        <v>35</v>
      </c>
      <c r="T4" s="2244"/>
      <c r="U4" s="2245" t="s">
        <v>17</v>
      </c>
      <c r="V4" s="2246"/>
      <c r="W4" s="2247" t="s">
        <v>36</v>
      </c>
      <c r="X4" s="2248"/>
      <c r="Y4" s="2238" t="s">
        <v>30</v>
      </c>
    </row>
    <row r="5" spans="1:25" s="1685" customFormat="1" ht="25.5" customHeight="1" x14ac:dyDescent="0.25">
      <c r="A5" s="2243"/>
      <c r="B5" s="2243"/>
      <c r="C5" s="1684" t="s">
        <v>42</v>
      </c>
      <c r="D5" s="1684" t="s">
        <v>43</v>
      </c>
      <c r="E5" s="1684" t="s">
        <v>42</v>
      </c>
      <c r="F5" s="1684" t="s">
        <v>43</v>
      </c>
      <c r="G5" s="1684" t="s">
        <v>42</v>
      </c>
      <c r="H5" s="1684" t="s">
        <v>43</v>
      </c>
      <c r="I5" s="1684" t="s">
        <v>42</v>
      </c>
      <c r="J5" s="1684" t="s">
        <v>43</v>
      </c>
      <c r="K5" s="1684" t="s">
        <v>42</v>
      </c>
      <c r="L5" s="1684" t="s">
        <v>43</v>
      </c>
      <c r="M5" s="1684" t="s">
        <v>42</v>
      </c>
      <c r="N5" s="1684" t="s">
        <v>43</v>
      </c>
      <c r="O5" s="1684" t="s">
        <v>42</v>
      </c>
      <c r="P5" s="1684" t="s">
        <v>43</v>
      </c>
      <c r="Q5" s="1684" t="s">
        <v>42</v>
      </c>
      <c r="R5" s="1684" t="s">
        <v>43</v>
      </c>
      <c r="S5" s="33" t="s">
        <v>42</v>
      </c>
      <c r="T5" s="33" t="s">
        <v>43</v>
      </c>
      <c r="U5" s="30" t="s">
        <v>42</v>
      </c>
      <c r="V5" s="30" t="s">
        <v>43</v>
      </c>
      <c r="W5" s="30" t="s">
        <v>42</v>
      </c>
      <c r="X5" s="30" t="s">
        <v>43</v>
      </c>
      <c r="Y5" s="2239"/>
    </row>
    <row r="6" spans="1:25" ht="34.5" customHeight="1" x14ac:dyDescent="0.25">
      <c r="A6" s="12">
        <v>1409935200</v>
      </c>
      <c r="B6" s="1683" t="s">
        <v>71</v>
      </c>
      <c r="C6" s="1681">
        <v>99892</v>
      </c>
      <c r="D6" s="1680">
        <f t="shared" ref="D6:D11" si="0">0.9725*C6</f>
        <v>97144.97</v>
      </c>
      <c r="E6" s="1681"/>
      <c r="F6" s="1680">
        <f>67.1*E6</f>
        <v>0</v>
      </c>
      <c r="G6" s="1681"/>
      <c r="H6" s="1681">
        <f>28.2*G6</f>
        <v>0</v>
      </c>
      <c r="I6" s="1681">
        <v>240</v>
      </c>
      <c r="J6" s="1681">
        <f>18.5*I6</f>
        <v>4440</v>
      </c>
      <c r="K6" s="1681"/>
      <c r="L6" s="1680">
        <f>28.2368*K6</f>
        <v>0</v>
      </c>
      <c r="M6" s="1681"/>
      <c r="N6" s="1680">
        <f>M6*47.6525</f>
        <v>0</v>
      </c>
      <c r="O6" s="1681"/>
      <c r="P6" s="1680">
        <f>O6*8.9</f>
        <v>0</v>
      </c>
      <c r="Q6" s="1680"/>
      <c r="R6" s="1680">
        <f>241*Q6</f>
        <v>0</v>
      </c>
      <c r="S6" s="1681"/>
      <c r="T6" s="1681">
        <f>241*S6</f>
        <v>0</v>
      </c>
      <c r="U6" s="1681">
        <v>2</v>
      </c>
      <c r="V6" s="1681">
        <f>332*U6</f>
        <v>664</v>
      </c>
      <c r="W6" s="1681"/>
      <c r="X6" s="19">
        <f>W6*100</f>
        <v>0</v>
      </c>
      <c r="Y6" s="20">
        <f t="shared" ref="Y6:Y12" si="1">D6+F6+H6+J6+L6+N6+P6+R6+T6+V6+X6</f>
        <v>102248.97</v>
      </c>
    </row>
    <row r="7" spans="1:25" ht="31.5" customHeight="1" x14ac:dyDescent="0.25">
      <c r="A7" s="12">
        <v>1984225578</v>
      </c>
      <c r="B7" s="1683" t="s">
        <v>509</v>
      </c>
      <c r="C7" s="1681">
        <v>85200</v>
      </c>
      <c r="D7" s="1680">
        <f t="shared" si="0"/>
        <v>82857</v>
      </c>
      <c r="E7" s="1681"/>
      <c r="F7" s="1681">
        <f t="shared" ref="F7:F11" si="2">67.1*E7</f>
        <v>0</v>
      </c>
      <c r="G7" s="1681"/>
      <c r="H7" s="1681">
        <f t="shared" ref="H7:H11" si="3">28.2*G7</f>
        <v>0</v>
      </c>
      <c r="I7" s="1681">
        <v>500</v>
      </c>
      <c r="J7" s="1681">
        <f t="shared" ref="J7:J11" si="4">18.5*I7</f>
        <v>9250</v>
      </c>
      <c r="K7" s="1681"/>
      <c r="L7" s="1680">
        <f t="shared" ref="L7:L11" si="5">28.2368*K7</f>
        <v>0</v>
      </c>
      <c r="M7" s="1681"/>
      <c r="N7" s="1680">
        <f t="shared" ref="N7:N11" si="6">M7*47.6525</f>
        <v>0</v>
      </c>
      <c r="O7" s="1681"/>
      <c r="P7" s="1680">
        <f t="shared" ref="P7:P11" si="7">O7*8.9</f>
        <v>0</v>
      </c>
      <c r="Q7" s="1680"/>
      <c r="R7" s="1680">
        <f t="shared" ref="R7:R11" si="8">241*Q7</f>
        <v>0</v>
      </c>
      <c r="S7" s="1681"/>
      <c r="T7" s="1681">
        <f t="shared" ref="T7:T10" si="9">241*S7</f>
        <v>0</v>
      </c>
      <c r="U7" s="1681"/>
      <c r="V7" s="1681">
        <f t="shared" ref="V7:V11" si="10">332*U7</f>
        <v>0</v>
      </c>
      <c r="W7" s="1681">
        <v>1</v>
      </c>
      <c r="X7" s="19">
        <f t="shared" ref="X7:X11" si="11">W7*100</f>
        <v>100</v>
      </c>
      <c r="Y7" s="20">
        <f t="shared" si="1"/>
        <v>92207</v>
      </c>
    </row>
    <row r="8" spans="1:25" ht="35.25" customHeight="1" x14ac:dyDescent="0.25">
      <c r="A8" s="12">
        <v>1967020280</v>
      </c>
      <c r="B8" s="1683" t="s">
        <v>427</v>
      </c>
      <c r="C8" s="1681">
        <v>95179</v>
      </c>
      <c r="D8" s="1680">
        <f t="shared" si="0"/>
        <v>92561.577499999999</v>
      </c>
      <c r="E8" s="1681"/>
      <c r="F8" s="1681">
        <f t="shared" si="2"/>
        <v>0</v>
      </c>
      <c r="G8" s="1681"/>
      <c r="H8" s="1680">
        <f t="shared" si="3"/>
        <v>0</v>
      </c>
      <c r="I8" s="1681">
        <v>200</v>
      </c>
      <c r="J8" s="1681">
        <f t="shared" si="4"/>
        <v>3700</v>
      </c>
      <c r="K8" s="1681"/>
      <c r="L8" s="1680">
        <f t="shared" si="5"/>
        <v>0</v>
      </c>
      <c r="M8" s="1681"/>
      <c r="N8" s="1680">
        <f t="shared" si="6"/>
        <v>0</v>
      </c>
      <c r="O8" s="1681"/>
      <c r="P8" s="1680">
        <f t="shared" si="7"/>
        <v>0</v>
      </c>
      <c r="Q8" s="1680"/>
      <c r="R8" s="1680">
        <f t="shared" si="8"/>
        <v>0</v>
      </c>
      <c r="S8" s="1681"/>
      <c r="T8" s="1681">
        <f t="shared" si="9"/>
        <v>0</v>
      </c>
      <c r="U8" s="1681"/>
      <c r="V8" s="1681">
        <f t="shared" si="10"/>
        <v>0</v>
      </c>
      <c r="W8" s="1681"/>
      <c r="X8" s="19">
        <f t="shared" si="11"/>
        <v>0</v>
      </c>
      <c r="Y8" s="20">
        <f t="shared" si="1"/>
        <v>96261.577499999999</v>
      </c>
    </row>
    <row r="9" spans="1:25" ht="38.25" customHeight="1" x14ac:dyDescent="0.25">
      <c r="A9" s="12">
        <v>1984225580</v>
      </c>
      <c r="B9" s="1683" t="s">
        <v>75</v>
      </c>
      <c r="C9" s="1681">
        <v>96095</v>
      </c>
      <c r="D9" s="1680">
        <f t="shared" si="0"/>
        <v>93452.387499999997</v>
      </c>
      <c r="E9" s="1681"/>
      <c r="F9" s="1681">
        <f t="shared" si="2"/>
        <v>0</v>
      </c>
      <c r="G9" s="1681"/>
      <c r="H9" s="1681">
        <f t="shared" si="3"/>
        <v>0</v>
      </c>
      <c r="I9" s="1681">
        <v>750</v>
      </c>
      <c r="J9" s="1681">
        <f t="shared" si="4"/>
        <v>13875</v>
      </c>
      <c r="K9" s="1681"/>
      <c r="L9" s="1680">
        <f t="shared" si="5"/>
        <v>0</v>
      </c>
      <c r="M9" s="1681"/>
      <c r="N9" s="1680">
        <f t="shared" si="6"/>
        <v>0</v>
      </c>
      <c r="O9" s="1681"/>
      <c r="P9" s="1680">
        <f t="shared" si="7"/>
        <v>0</v>
      </c>
      <c r="Q9" s="1680"/>
      <c r="R9" s="1680">
        <f t="shared" si="8"/>
        <v>0</v>
      </c>
      <c r="S9" s="1681"/>
      <c r="T9" s="1681">
        <f t="shared" si="9"/>
        <v>0</v>
      </c>
      <c r="U9" s="1681"/>
      <c r="V9" s="1681">
        <f t="shared" si="10"/>
        <v>0</v>
      </c>
      <c r="W9" s="1681"/>
      <c r="X9" s="19">
        <f t="shared" si="11"/>
        <v>0</v>
      </c>
      <c r="Y9" s="20">
        <f t="shared" si="1"/>
        <v>107327.3875</v>
      </c>
    </row>
    <row r="10" spans="1:25" ht="35.25" customHeight="1" x14ac:dyDescent="0.25">
      <c r="A10" s="12">
        <v>1409935199</v>
      </c>
      <c r="C10" s="1681"/>
      <c r="D10" s="1680">
        <f t="shared" si="0"/>
        <v>0</v>
      </c>
      <c r="E10" s="1681"/>
      <c r="F10" s="1681">
        <f t="shared" si="2"/>
        <v>0</v>
      </c>
      <c r="G10" s="1681"/>
      <c r="H10" s="1681">
        <f t="shared" si="3"/>
        <v>0</v>
      </c>
      <c r="I10" s="1681"/>
      <c r="J10" s="1681">
        <f t="shared" si="4"/>
        <v>0</v>
      </c>
      <c r="K10" s="1681"/>
      <c r="L10" s="1680">
        <f t="shared" si="5"/>
        <v>0</v>
      </c>
      <c r="M10" s="1681"/>
      <c r="N10" s="1680">
        <f t="shared" si="6"/>
        <v>0</v>
      </c>
      <c r="O10" s="1681"/>
      <c r="P10" s="1680">
        <f t="shared" si="7"/>
        <v>0</v>
      </c>
      <c r="Q10" s="1680"/>
      <c r="R10" s="1680">
        <f t="shared" si="8"/>
        <v>0</v>
      </c>
      <c r="S10" s="1681"/>
      <c r="T10" s="1681">
        <f t="shared" si="9"/>
        <v>0</v>
      </c>
      <c r="U10" s="1681"/>
      <c r="V10" s="1681">
        <f t="shared" si="10"/>
        <v>0</v>
      </c>
      <c r="W10" s="1681"/>
      <c r="X10" s="19">
        <f t="shared" si="11"/>
        <v>0</v>
      </c>
      <c r="Y10" s="20">
        <f t="shared" si="1"/>
        <v>0</v>
      </c>
    </row>
    <row r="11" spans="1:25" ht="37.5" customHeight="1" x14ac:dyDescent="0.25">
      <c r="A11" s="12"/>
      <c r="B11" s="1682"/>
      <c r="C11" s="1681"/>
      <c r="D11" s="1680">
        <f t="shared" si="0"/>
        <v>0</v>
      </c>
      <c r="E11" s="1681"/>
      <c r="F11" s="1681">
        <f t="shared" si="2"/>
        <v>0</v>
      </c>
      <c r="G11" s="1681"/>
      <c r="H11" s="1681">
        <f t="shared" si="3"/>
        <v>0</v>
      </c>
      <c r="I11" s="1681"/>
      <c r="J11" s="1681">
        <f t="shared" si="4"/>
        <v>0</v>
      </c>
      <c r="K11" s="1681"/>
      <c r="L11" s="1680">
        <f t="shared" si="5"/>
        <v>0</v>
      </c>
      <c r="M11" s="1681"/>
      <c r="N11" s="1680">
        <f t="shared" si="6"/>
        <v>0</v>
      </c>
      <c r="O11" s="1681"/>
      <c r="P11" s="1680">
        <f t="shared" si="7"/>
        <v>0</v>
      </c>
      <c r="Q11" s="1680"/>
      <c r="R11" s="1680">
        <f t="shared" si="8"/>
        <v>0</v>
      </c>
      <c r="S11" s="1681"/>
      <c r="T11" s="1681">
        <f>341*S11</f>
        <v>0</v>
      </c>
      <c r="U11" s="1681"/>
      <c r="V11" s="1681">
        <f t="shared" si="10"/>
        <v>0</v>
      </c>
      <c r="W11" s="1681"/>
      <c r="X11" s="19">
        <f t="shared" si="11"/>
        <v>0</v>
      </c>
      <c r="Y11" s="20">
        <f t="shared" si="1"/>
        <v>0</v>
      </c>
    </row>
    <row r="12" spans="1:25" ht="29.25" customHeight="1" x14ac:dyDescent="0.25">
      <c r="A12" s="2235" t="s">
        <v>31</v>
      </c>
      <c r="B12" s="2235"/>
      <c r="C12" s="18">
        <f t="shared" ref="C12:X12" si="12">SUM(C6:C11)</f>
        <v>376366</v>
      </c>
      <c r="D12" s="18">
        <f t="shared" si="12"/>
        <v>366015.935</v>
      </c>
      <c r="E12" s="18">
        <f t="shared" si="12"/>
        <v>0</v>
      </c>
      <c r="F12" s="18">
        <f t="shared" si="12"/>
        <v>0</v>
      </c>
      <c r="G12" s="18">
        <f t="shared" si="12"/>
        <v>0</v>
      </c>
      <c r="H12" s="18">
        <f t="shared" si="12"/>
        <v>0</v>
      </c>
      <c r="I12" s="18">
        <f t="shared" si="12"/>
        <v>1690</v>
      </c>
      <c r="J12" s="18">
        <f t="shared" si="12"/>
        <v>31265</v>
      </c>
      <c r="K12" s="18">
        <f t="shared" si="12"/>
        <v>0</v>
      </c>
      <c r="L12" s="18">
        <f t="shared" si="12"/>
        <v>0</v>
      </c>
      <c r="M12" s="18">
        <f t="shared" si="12"/>
        <v>0</v>
      </c>
      <c r="N12" s="23">
        <f t="shared" si="12"/>
        <v>0</v>
      </c>
      <c r="O12" s="18">
        <f t="shared" si="12"/>
        <v>0</v>
      </c>
      <c r="P12" s="23">
        <f t="shared" si="12"/>
        <v>0</v>
      </c>
      <c r="Q12" s="23">
        <f t="shared" si="12"/>
        <v>0</v>
      </c>
      <c r="R12" s="23">
        <f>SUM(R6:R11)</f>
        <v>0</v>
      </c>
      <c r="S12" s="23">
        <f>SUM(S6:S11)</f>
        <v>0</v>
      </c>
      <c r="T12" s="18">
        <f t="shared" si="12"/>
        <v>0</v>
      </c>
      <c r="U12" s="18">
        <f t="shared" si="12"/>
        <v>2</v>
      </c>
      <c r="V12" s="18">
        <f t="shared" si="12"/>
        <v>664</v>
      </c>
      <c r="W12" s="18">
        <f t="shared" si="12"/>
        <v>1</v>
      </c>
      <c r="X12" s="18">
        <f t="shared" si="12"/>
        <v>100</v>
      </c>
      <c r="Y12" s="20">
        <f t="shared" si="1"/>
        <v>398044.935</v>
      </c>
    </row>
    <row r="14" spans="1:25" ht="43.5" customHeight="1" x14ac:dyDescent="0.25">
      <c r="A14" s="30" t="s">
        <v>32</v>
      </c>
      <c r="B14" s="2236" t="s">
        <v>27</v>
      </c>
      <c r="C14" s="2236"/>
      <c r="D14" s="30" t="s">
        <v>333</v>
      </c>
      <c r="E14" s="30" t="s">
        <v>65</v>
      </c>
      <c r="F14" s="30" t="s">
        <v>34</v>
      </c>
      <c r="G14" s="30" t="s">
        <v>14</v>
      </c>
      <c r="H14" s="469" t="s">
        <v>173</v>
      </c>
      <c r="I14" s="30" t="s">
        <v>17</v>
      </c>
      <c r="J14" s="1689" t="s">
        <v>174</v>
      </c>
      <c r="K14" s="30" t="s">
        <v>36</v>
      </c>
      <c r="L14" s="1689" t="s">
        <v>403</v>
      </c>
      <c r="M14" s="30" t="s">
        <v>429</v>
      </c>
      <c r="N14" s="30" t="s">
        <v>442</v>
      </c>
      <c r="O14" s="1689" t="s">
        <v>114</v>
      </c>
      <c r="P14" s="30" t="s">
        <v>70</v>
      </c>
      <c r="Q14" s="2300" t="s">
        <v>479</v>
      </c>
      <c r="R14" s="2301"/>
      <c r="S14" s="1689" t="s">
        <v>401</v>
      </c>
      <c r="T14" s="2235" t="s">
        <v>46</v>
      </c>
      <c r="U14" s="1683" t="s">
        <v>176</v>
      </c>
      <c r="V14" s="2260">
        <v>69872</v>
      </c>
      <c r="W14" s="2268"/>
      <c r="X14" s="2261"/>
    </row>
    <row r="15" spans="1:25" ht="22.5" customHeight="1" x14ac:dyDescent="0.25">
      <c r="A15" s="100" t="s">
        <v>38</v>
      </c>
      <c r="B15" s="2260">
        <v>523855</v>
      </c>
      <c r="C15" s="2261"/>
      <c r="D15" s="1686">
        <v>0</v>
      </c>
      <c r="E15" s="1686">
        <v>0</v>
      </c>
      <c r="F15" s="1686">
        <v>13260</v>
      </c>
      <c r="G15" s="1686">
        <v>0</v>
      </c>
      <c r="H15" s="1686">
        <v>72</v>
      </c>
      <c r="I15" s="1686">
        <v>12</v>
      </c>
      <c r="J15" s="1686">
        <v>4</v>
      </c>
      <c r="K15" s="1686">
        <v>68</v>
      </c>
      <c r="L15" s="1686">
        <v>0</v>
      </c>
      <c r="M15" s="1686">
        <v>0</v>
      </c>
      <c r="N15" s="1686">
        <v>0</v>
      </c>
      <c r="O15" s="1686">
        <v>0</v>
      </c>
      <c r="P15" s="1686">
        <v>100</v>
      </c>
      <c r="Q15" s="2260">
        <v>10</v>
      </c>
      <c r="R15" s="2261"/>
      <c r="S15" s="1683">
        <v>2</v>
      </c>
      <c r="T15" s="2235"/>
      <c r="U15" s="1683" t="s">
        <v>64</v>
      </c>
      <c r="V15" s="2262">
        <v>14027</v>
      </c>
      <c r="W15" s="2262"/>
      <c r="X15" s="2262"/>
    </row>
    <row r="16" spans="1:25" ht="24.75" customHeight="1" x14ac:dyDescent="0.25">
      <c r="A16" s="100" t="s">
        <v>39</v>
      </c>
      <c r="B16" s="2260">
        <v>480072</v>
      </c>
      <c r="C16" s="2261"/>
      <c r="D16" s="1686"/>
      <c r="E16" s="1686"/>
      <c r="F16" s="1686">
        <v>2000</v>
      </c>
      <c r="G16" s="1686"/>
      <c r="H16" s="1686"/>
      <c r="I16" s="1686"/>
      <c r="J16" s="1686"/>
      <c r="K16" s="1686"/>
      <c r="L16" s="1686"/>
      <c r="M16" s="1686"/>
      <c r="N16" s="1686"/>
      <c r="O16" s="1686"/>
      <c r="P16" s="1686"/>
      <c r="Q16" s="2262"/>
      <c r="R16" s="2262"/>
      <c r="S16" s="1686"/>
      <c r="T16" s="2254" t="s">
        <v>55</v>
      </c>
      <c r="U16" s="2254"/>
      <c r="V16" s="2267">
        <f>Y12</f>
        <v>398044.935</v>
      </c>
      <c r="W16" s="2267"/>
      <c r="X16" s="2262"/>
    </row>
    <row r="17" spans="1:25" ht="28.5" customHeight="1" x14ac:dyDescent="0.25">
      <c r="A17" s="101" t="s">
        <v>44</v>
      </c>
      <c r="B17" s="2260">
        <v>2029</v>
      </c>
      <c r="C17" s="2261"/>
      <c r="D17" s="1686"/>
      <c r="E17" s="1686"/>
      <c r="F17" s="1686"/>
      <c r="G17" s="1686"/>
      <c r="H17" s="1686"/>
      <c r="I17" s="1686"/>
      <c r="J17" s="1686"/>
      <c r="K17" s="1686"/>
      <c r="L17" s="1686"/>
      <c r="M17" s="1686"/>
      <c r="N17" s="1686"/>
      <c r="O17" s="1686"/>
      <c r="P17" s="1686"/>
      <c r="Q17" s="2225"/>
      <c r="R17" s="2225"/>
      <c r="S17" s="1682"/>
      <c r="T17" s="2294" t="s">
        <v>521</v>
      </c>
      <c r="U17" s="2295"/>
      <c r="V17" s="2296"/>
      <c r="W17" s="2296"/>
      <c r="X17" s="2296"/>
    </row>
    <row r="18" spans="1:25" ht="27" customHeight="1" x14ac:dyDescent="0.25">
      <c r="A18" s="100" t="s">
        <v>40</v>
      </c>
      <c r="B18" s="2264">
        <f>C12</f>
        <v>376366</v>
      </c>
      <c r="C18" s="2261"/>
      <c r="D18" s="1688">
        <f>E12</f>
        <v>0</v>
      </c>
      <c r="E18" s="1688">
        <f>G12</f>
        <v>0</v>
      </c>
      <c r="F18" s="1688">
        <f>I12</f>
        <v>1690</v>
      </c>
      <c r="G18" s="1688">
        <f>K12</f>
        <v>0</v>
      </c>
      <c r="H18" s="1686"/>
      <c r="I18" s="1688">
        <f>U12</f>
        <v>2</v>
      </c>
      <c r="J18" s="1686"/>
      <c r="K18" s="1688">
        <f>W12</f>
        <v>1</v>
      </c>
      <c r="L18" s="1686"/>
      <c r="M18" s="1688">
        <f>M12</f>
        <v>0</v>
      </c>
      <c r="N18" s="1688">
        <f>O12</f>
        <v>0</v>
      </c>
      <c r="O18" s="1687">
        <f>Q12</f>
        <v>0</v>
      </c>
      <c r="P18" s="1688"/>
      <c r="Q18" s="2262"/>
      <c r="R18" s="2262"/>
      <c r="S18" s="1683"/>
      <c r="T18" s="2254" t="s">
        <v>57</v>
      </c>
      <c r="U18" s="2254"/>
      <c r="V18" s="2262">
        <v>520</v>
      </c>
      <c r="W18" s="2262"/>
      <c r="X18" s="2262"/>
      <c r="Y18" s="2269"/>
    </row>
    <row r="19" spans="1:25" ht="25.5" customHeight="1" x14ac:dyDescent="0.25">
      <c r="A19" s="100" t="s">
        <v>41</v>
      </c>
      <c r="B19" s="2260">
        <f>B15+B16+B17-B18</f>
        <v>629590</v>
      </c>
      <c r="C19" s="2261"/>
      <c r="D19" s="1686">
        <f>D15+D16+D17-D18</f>
        <v>0</v>
      </c>
      <c r="E19" s="1686">
        <f t="shared" ref="E19:N19" si="13">E15+E16+E17-E18</f>
        <v>0</v>
      </c>
      <c r="F19" s="1686">
        <f t="shared" si="13"/>
        <v>13570</v>
      </c>
      <c r="G19" s="1686">
        <f t="shared" si="13"/>
        <v>0</v>
      </c>
      <c r="H19" s="1686">
        <f t="shared" si="13"/>
        <v>72</v>
      </c>
      <c r="I19" s="1686">
        <f t="shared" si="13"/>
        <v>10</v>
      </c>
      <c r="J19" s="1686">
        <f t="shared" si="13"/>
        <v>4</v>
      </c>
      <c r="K19" s="1686">
        <f t="shared" si="13"/>
        <v>67</v>
      </c>
      <c r="L19" s="1686">
        <f t="shared" si="13"/>
        <v>0</v>
      </c>
      <c r="M19" s="1686">
        <f t="shared" si="13"/>
        <v>0</v>
      </c>
      <c r="N19" s="1686">
        <f t="shared" si="13"/>
        <v>0</v>
      </c>
      <c r="O19" s="1686">
        <f>O15+O16+O17-O18</f>
        <v>0</v>
      </c>
      <c r="P19" s="1686">
        <f t="shared" ref="P19:Q19" si="14">P15+P16+P17-P18</f>
        <v>100</v>
      </c>
      <c r="Q19" s="2260">
        <f t="shared" si="14"/>
        <v>10</v>
      </c>
      <c r="R19" s="2261"/>
      <c r="S19" s="1683">
        <f>S15+S16-S17-S18</f>
        <v>2</v>
      </c>
      <c r="T19" s="2256" t="s">
        <v>48</v>
      </c>
      <c r="U19" s="49" t="s">
        <v>58</v>
      </c>
      <c r="V19" s="2262">
        <v>350000</v>
      </c>
      <c r="W19" s="2262"/>
      <c r="X19" s="2262"/>
      <c r="Y19" s="2269"/>
    </row>
    <row r="20" spans="1:25" ht="23.25" customHeight="1" x14ac:dyDescent="0.25">
      <c r="A20" s="289" t="s">
        <v>187</v>
      </c>
      <c r="B20" s="2286">
        <f>B19*0.9625</f>
        <v>605980.375</v>
      </c>
      <c r="C20" s="2287"/>
      <c r="D20" s="290">
        <f>D19*66.41</f>
        <v>0</v>
      </c>
      <c r="E20" s="290">
        <f>27.9368*E19</f>
        <v>0</v>
      </c>
      <c r="F20" s="290">
        <f>18.31*F19</f>
        <v>248466.69999999998</v>
      </c>
      <c r="G20" s="290">
        <f>27.9368*G19</f>
        <v>0</v>
      </c>
      <c r="H20" s="290">
        <f>241*H19</f>
        <v>17352</v>
      </c>
      <c r="I20" s="290">
        <f>323*I19</f>
        <v>3230</v>
      </c>
      <c r="J20" s="290">
        <f>241*J19</f>
        <v>964</v>
      </c>
      <c r="K20" s="290">
        <f>K19*100</f>
        <v>6700</v>
      </c>
      <c r="L20" s="290">
        <f>241*L19</f>
        <v>0</v>
      </c>
      <c r="M20" s="290">
        <f>47.1625*M19</f>
        <v>0</v>
      </c>
      <c r="N20" s="290">
        <f>N19*8.81</f>
        <v>0</v>
      </c>
      <c r="O20" s="290">
        <f>241*O19</f>
        <v>0</v>
      </c>
      <c r="P20" s="290">
        <f>P19*48.2</f>
        <v>4820</v>
      </c>
      <c r="Q20" s="2286">
        <f>470*Q19</f>
        <v>4700</v>
      </c>
      <c r="R20" s="2287"/>
      <c r="S20" s="290">
        <f>341*S19</f>
        <v>682</v>
      </c>
      <c r="T20" s="2257"/>
      <c r="U20" s="49" t="s">
        <v>59</v>
      </c>
      <c r="V20" s="2262">
        <v>98710</v>
      </c>
      <c r="W20" s="2262"/>
      <c r="X20" s="2262"/>
      <c r="Y20" s="2269"/>
    </row>
    <row r="21" spans="1:25" ht="32.25" customHeight="1" x14ac:dyDescent="0.25">
      <c r="A21" s="291" t="s">
        <v>186</v>
      </c>
      <c r="B21" s="2293">
        <f>SUM(B20:S20)</f>
        <v>892895.07499999995</v>
      </c>
      <c r="C21" s="2293"/>
      <c r="O21" s="1690"/>
      <c r="P21" s="1690"/>
      <c r="Q21" s="1690"/>
      <c r="R21" s="1690"/>
      <c r="T21" s="2294" t="s">
        <v>518</v>
      </c>
      <c r="U21" s="2295"/>
      <c r="V21" s="2297"/>
      <c r="W21" s="2298"/>
      <c r="X21" s="2299"/>
      <c r="Y21" s="2269"/>
    </row>
    <row r="22" spans="1:25" ht="35.25" customHeight="1" x14ac:dyDescent="0.25">
      <c r="A22" s="15"/>
      <c r="B22" s="2288" t="s">
        <v>49</v>
      </c>
      <c r="C22" s="2291">
        <v>350000</v>
      </c>
      <c r="D22" s="2291">
        <v>350000</v>
      </c>
      <c r="E22" s="2291">
        <v>400000</v>
      </c>
      <c r="F22" s="2291">
        <f>C22-D22+E22</f>
        <v>400000</v>
      </c>
      <c r="G22" s="1690"/>
      <c r="Q22" s="1690"/>
      <c r="R22" s="1690"/>
      <c r="T22" s="2251" t="s">
        <v>83</v>
      </c>
      <c r="U22" s="50" t="s">
        <v>60</v>
      </c>
      <c r="V22" s="2262">
        <v>445060</v>
      </c>
      <c r="W22" s="2262"/>
      <c r="X22" s="2262"/>
      <c r="Y22" s="2269"/>
    </row>
    <row r="23" spans="1:25" ht="39.75" customHeight="1" x14ac:dyDescent="0.25">
      <c r="A23" s="1690"/>
      <c r="B23" s="2289"/>
      <c r="C23" s="2292"/>
      <c r="D23" s="2292"/>
      <c r="E23" s="2292"/>
      <c r="F23" s="2292"/>
      <c r="G23" s="1690"/>
      <c r="Q23" s="1690"/>
      <c r="R23" s="1690"/>
      <c r="T23" s="2252"/>
      <c r="U23" s="50" t="s">
        <v>61</v>
      </c>
      <c r="V23" s="2262">
        <v>448710</v>
      </c>
      <c r="W23" s="2262"/>
      <c r="X23" s="2262"/>
      <c r="Y23" s="2269"/>
    </row>
    <row r="24" spans="1:25" ht="48" customHeight="1" x14ac:dyDescent="0.25">
      <c r="A24" s="1690"/>
      <c r="B24" s="2290"/>
      <c r="C24" s="290" t="s">
        <v>46</v>
      </c>
      <c r="D24" s="290" t="s">
        <v>50</v>
      </c>
      <c r="E24" s="290" t="s">
        <v>51</v>
      </c>
      <c r="F24" s="290" t="s">
        <v>52</v>
      </c>
      <c r="G24" s="1690"/>
      <c r="Q24" s="1690"/>
      <c r="R24" s="1690"/>
      <c r="T24" s="2235" t="s">
        <v>47</v>
      </c>
      <c r="U24" s="51" t="s">
        <v>62</v>
      </c>
      <c r="V24" s="2263">
        <f>V14+V16+V17-V18-V19-V20-V22+V23-V21</f>
        <v>22336.934999999998</v>
      </c>
      <c r="W24" s="2263"/>
      <c r="X24" s="2263"/>
      <c r="Y24" s="2269"/>
    </row>
    <row r="25" spans="1:25" ht="40.5" customHeight="1" x14ac:dyDescent="0.25">
      <c r="T25" s="2235"/>
      <c r="U25" s="51" t="s">
        <v>63</v>
      </c>
      <c r="V25" s="2262">
        <f>V15+V22-V23</f>
        <v>10377</v>
      </c>
      <c r="W25" s="2262"/>
      <c r="X25" s="2262"/>
    </row>
    <row r="26" spans="1:25" ht="36" customHeight="1" x14ac:dyDescent="0.25">
      <c r="K26" s="314"/>
    </row>
    <row r="28" spans="1:25" x14ac:dyDescent="0.25">
      <c r="J28" s="14" t="s">
        <v>139</v>
      </c>
    </row>
    <row r="32" spans="1:25" x14ac:dyDescent="0.25">
      <c r="I32" s="2280"/>
      <c r="J32" s="2280"/>
      <c r="K32" s="2280"/>
      <c r="L32" s="2280"/>
    </row>
    <row r="33" spans="9:12" x14ac:dyDescent="0.25">
      <c r="I33" s="1690"/>
      <c r="J33" s="1690"/>
      <c r="K33" s="2280"/>
      <c r="L33" s="2280"/>
    </row>
  </sheetData>
  <mergeCells count="62">
    <mergeCell ref="A1:Y1"/>
    <mergeCell ref="A2:Y2"/>
    <mergeCell ref="T3:Y3"/>
    <mergeCell ref="A4:A5"/>
    <mergeCell ref="B4:B5"/>
    <mergeCell ref="C4:D4"/>
    <mergeCell ref="E4:F4"/>
    <mergeCell ref="G4:H4"/>
    <mergeCell ref="I4:J4"/>
    <mergeCell ref="K4:L4"/>
    <mergeCell ref="Y4:Y5"/>
    <mergeCell ref="M4:N4"/>
    <mergeCell ref="O4:P4"/>
    <mergeCell ref="Q4:R4"/>
    <mergeCell ref="S4:T4"/>
    <mergeCell ref="U4:V4"/>
    <mergeCell ref="W4:X4"/>
    <mergeCell ref="B16:C16"/>
    <mergeCell ref="Q16:R16"/>
    <mergeCell ref="T16:U16"/>
    <mergeCell ref="V16:X16"/>
    <mergeCell ref="A12:B12"/>
    <mergeCell ref="B14:C14"/>
    <mergeCell ref="Q14:R14"/>
    <mergeCell ref="T14:T15"/>
    <mergeCell ref="V14:X14"/>
    <mergeCell ref="B15:C15"/>
    <mergeCell ref="Q15:R15"/>
    <mergeCell ref="V15:X15"/>
    <mergeCell ref="B17:C17"/>
    <mergeCell ref="Q17:R17"/>
    <mergeCell ref="T17:U17"/>
    <mergeCell ref="V17:X17"/>
    <mergeCell ref="B18:C18"/>
    <mergeCell ref="Q18:R18"/>
    <mergeCell ref="T18:U18"/>
    <mergeCell ref="V18:X18"/>
    <mergeCell ref="Y18:Y24"/>
    <mergeCell ref="B19:C19"/>
    <mergeCell ref="Q19:R19"/>
    <mergeCell ref="T19:T20"/>
    <mergeCell ref="V19:X19"/>
    <mergeCell ref="B20:C20"/>
    <mergeCell ref="B22:B24"/>
    <mergeCell ref="C22:C23"/>
    <mergeCell ref="D22:D23"/>
    <mergeCell ref="E22:E23"/>
    <mergeCell ref="F22:F23"/>
    <mergeCell ref="Q20:R20"/>
    <mergeCell ref="V20:X20"/>
    <mergeCell ref="B21:C21"/>
    <mergeCell ref="T21:U21"/>
    <mergeCell ref="V21:X21"/>
    <mergeCell ref="I32:J32"/>
    <mergeCell ref="K32:L32"/>
    <mergeCell ref="K33:L33"/>
    <mergeCell ref="T22:T23"/>
    <mergeCell ref="V22:X22"/>
    <mergeCell ref="V23:X23"/>
    <mergeCell ref="T24:T25"/>
    <mergeCell ref="V24:X24"/>
    <mergeCell ref="V25:X25"/>
  </mergeCells>
  <pageMargins left="0.15748031496063" right="0.15748031496063" top="0" bottom="0" header="0" footer="0"/>
  <pageSetup paperSize="9" scale="46" orientation="landscape" r:id="rId1"/>
</worksheet>
</file>

<file path=xl/worksheets/sheet27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076E095-AC56-4A76-82B0-9876C596CEAF}">
  <sheetPr>
    <pageSetUpPr fitToPage="1"/>
  </sheetPr>
  <dimension ref="A1:Y33"/>
  <sheetViews>
    <sheetView topLeftCell="A4" zoomScale="70" zoomScaleNormal="70" zoomScaleSheetLayoutView="100" zoomScalePageLayoutView="68" workbookViewId="0">
      <selection activeCell="E8" sqref="E8"/>
    </sheetView>
  </sheetViews>
  <sheetFormatPr defaultColWidth="9.140625" defaultRowHeight="15" x14ac:dyDescent="0.25"/>
  <cols>
    <col min="1" max="1" width="18.28515625" style="14" customWidth="1"/>
    <col min="2" max="2" width="10.7109375" style="14" customWidth="1"/>
    <col min="3" max="3" width="12.28515625" style="14" customWidth="1"/>
    <col min="4" max="4" width="13.140625" style="14" bestFit="1" customWidth="1"/>
    <col min="5" max="5" width="12" style="14" customWidth="1"/>
    <col min="6" max="6" width="14" style="14" bestFit="1" customWidth="1"/>
    <col min="7" max="7" width="16" style="14" bestFit="1" customWidth="1"/>
    <col min="8" max="8" width="10.140625" style="14" bestFit="1" customWidth="1"/>
    <col min="9" max="9" width="10.5703125" style="14" bestFit="1" customWidth="1"/>
    <col min="10" max="10" width="10.5703125" style="14" customWidth="1"/>
    <col min="11" max="11" width="10.28515625" style="14" bestFit="1" customWidth="1"/>
    <col min="12" max="12" width="10.42578125" style="14" bestFit="1" customWidth="1"/>
    <col min="13" max="14" width="12" style="14" bestFit="1" customWidth="1"/>
    <col min="15" max="15" width="11" style="14" customWidth="1"/>
    <col min="16" max="16" width="12.85546875" style="14" bestFit="1" customWidth="1"/>
    <col min="17" max="18" width="9.42578125" style="14" customWidth="1"/>
    <col min="19" max="19" width="13.7109375" style="14" customWidth="1"/>
    <col min="20" max="20" width="12.140625" style="14" customWidth="1"/>
    <col min="21" max="21" width="21.7109375" style="14" customWidth="1"/>
    <col min="22" max="22" width="9.85546875" style="14" customWidth="1"/>
    <col min="23" max="23" width="10.140625" style="14" bestFit="1" customWidth="1"/>
    <col min="24" max="24" width="10.28515625" style="14" customWidth="1"/>
    <col min="25" max="25" width="15.7109375" style="14" customWidth="1"/>
    <col min="26" max="16384" width="9.140625" style="14"/>
  </cols>
  <sheetData>
    <row r="1" spans="1:25" ht="46.15" customHeight="1" x14ac:dyDescent="0.25">
      <c r="A1" s="2240" t="s">
        <v>148</v>
      </c>
      <c r="B1" s="2240"/>
      <c r="C1" s="2240"/>
      <c r="D1" s="2240"/>
      <c r="E1" s="2240"/>
      <c r="F1" s="2240"/>
      <c r="G1" s="2240"/>
      <c r="H1" s="2240"/>
      <c r="I1" s="2240"/>
      <c r="J1" s="2240"/>
      <c r="K1" s="2240"/>
      <c r="L1" s="2240"/>
      <c r="M1" s="2240"/>
      <c r="N1" s="2240"/>
      <c r="O1" s="2240"/>
      <c r="P1" s="2240"/>
      <c r="Q1" s="2240"/>
      <c r="R1" s="2240"/>
      <c r="S1" s="2240"/>
      <c r="T1" s="2240"/>
      <c r="U1" s="2240"/>
      <c r="V1" s="2240"/>
      <c r="W1" s="2240"/>
      <c r="X1" s="2240"/>
      <c r="Y1" s="2240"/>
    </row>
    <row r="2" spans="1:25" ht="21.6" customHeight="1" x14ac:dyDescent="0.25">
      <c r="A2" s="2241" t="s">
        <v>383</v>
      </c>
      <c r="B2" s="2241"/>
      <c r="C2" s="2241"/>
      <c r="D2" s="2241"/>
      <c r="E2" s="2241"/>
      <c r="F2" s="2241"/>
      <c r="G2" s="2241"/>
      <c r="H2" s="2241"/>
      <c r="I2" s="2241"/>
      <c r="J2" s="2241"/>
      <c r="K2" s="2241"/>
      <c r="L2" s="2241"/>
      <c r="M2" s="2241"/>
      <c r="N2" s="2241"/>
      <c r="O2" s="2241"/>
      <c r="P2" s="2241"/>
      <c r="Q2" s="2241"/>
      <c r="R2" s="2241"/>
      <c r="S2" s="2241"/>
      <c r="T2" s="2241"/>
      <c r="U2" s="2241"/>
      <c r="V2" s="2241"/>
      <c r="W2" s="2241"/>
      <c r="X2" s="2241"/>
      <c r="Y2" s="2241"/>
    </row>
    <row r="3" spans="1:25" ht="21" customHeight="1" x14ac:dyDescent="0.25">
      <c r="A3" s="1691"/>
      <c r="B3" s="1691"/>
      <c r="C3" s="1691"/>
      <c r="D3" s="1691"/>
      <c r="E3" s="1691"/>
      <c r="F3" s="1691"/>
      <c r="G3" s="1691"/>
      <c r="H3" s="1691"/>
      <c r="I3" s="1691"/>
      <c r="J3" s="1691"/>
      <c r="K3" s="1691"/>
      <c r="L3" s="1691"/>
      <c r="M3" s="1691"/>
      <c r="N3" s="1691"/>
      <c r="O3" s="1691"/>
      <c r="P3" s="1691"/>
      <c r="Q3" s="1691"/>
      <c r="R3" s="1691"/>
      <c r="S3" s="1691"/>
      <c r="T3" s="2242" t="s">
        <v>525</v>
      </c>
      <c r="U3" s="2242"/>
      <c r="V3" s="2242"/>
      <c r="W3" s="2242"/>
      <c r="X3" s="2242"/>
      <c r="Y3" s="2242"/>
    </row>
    <row r="4" spans="1:25" s="1691" customFormat="1" ht="18" customHeight="1" x14ac:dyDescent="0.25">
      <c r="A4" s="2243" t="s">
        <v>25</v>
      </c>
      <c r="B4" s="2243" t="s">
        <v>26</v>
      </c>
      <c r="C4" s="2244" t="s">
        <v>27</v>
      </c>
      <c r="D4" s="2244"/>
      <c r="E4" s="2244" t="s">
        <v>342</v>
      </c>
      <c r="F4" s="2244"/>
      <c r="G4" s="2244" t="s">
        <v>65</v>
      </c>
      <c r="H4" s="2244"/>
      <c r="I4" s="2244" t="s">
        <v>29</v>
      </c>
      <c r="J4" s="2244"/>
      <c r="K4" s="2245" t="s">
        <v>14</v>
      </c>
      <c r="L4" s="2246"/>
      <c r="M4" s="2245" t="s">
        <v>429</v>
      </c>
      <c r="N4" s="2246"/>
      <c r="O4" s="2245" t="s">
        <v>441</v>
      </c>
      <c r="P4" s="2246"/>
      <c r="Q4" s="2245" t="s">
        <v>114</v>
      </c>
      <c r="R4" s="2246"/>
      <c r="S4" s="2244" t="s">
        <v>35</v>
      </c>
      <c r="T4" s="2244"/>
      <c r="U4" s="2245" t="s">
        <v>17</v>
      </c>
      <c r="V4" s="2246"/>
      <c r="W4" s="2247" t="s">
        <v>36</v>
      </c>
      <c r="X4" s="2248"/>
      <c r="Y4" s="2238" t="s">
        <v>30</v>
      </c>
    </row>
    <row r="5" spans="1:25" s="1691" customFormat="1" ht="25.5" customHeight="1" x14ac:dyDescent="0.25">
      <c r="A5" s="2243"/>
      <c r="B5" s="2243"/>
      <c r="C5" s="1693" t="s">
        <v>42</v>
      </c>
      <c r="D5" s="1693" t="s">
        <v>43</v>
      </c>
      <c r="E5" s="1693" t="s">
        <v>42</v>
      </c>
      <c r="F5" s="1693" t="s">
        <v>43</v>
      </c>
      <c r="G5" s="1693" t="s">
        <v>42</v>
      </c>
      <c r="H5" s="1693" t="s">
        <v>43</v>
      </c>
      <c r="I5" s="1693" t="s">
        <v>42</v>
      </c>
      <c r="J5" s="1693" t="s">
        <v>43</v>
      </c>
      <c r="K5" s="1693" t="s">
        <v>42</v>
      </c>
      <c r="L5" s="1693" t="s">
        <v>43</v>
      </c>
      <c r="M5" s="1693" t="s">
        <v>42</v>
      </c>
      <c r="N5" s="1693" t="s">
        <v>43</v>
      </c>
      <c r="O5" s="1693" t="s">
        <v>42</v>
      </c>
      <c r="P5" s="1693" t="s">
        <v>43</v>
      </c>
      <c r="Q5" s="1693" t="s">
        <v>42</v>
      </c>
      <c r="R5" s="1693" t="s">
        <v>43</v>
      </c>
      <c r="S5" s="33" t="s">
        <v>42</v>
      </c>
      <c r="T5" s="33" t="s">
        <v>43</v>
      </c>
      <c r="U5" s="30" t="s">
        <v>42</v>
      </c>
      <c r="V5" s="30" t="s">
        <v>43</v>
      </c>
      <c r="W5" s="30" t="s">
        <v>42</v>
      </c>
      <c r="X5" s="30" t="s">
        <v>43</v>
      </c>
      <c r="Y5" s="2239"/>
    </row>
    <row r="6" spans="1:25" ht="34.5" customHeight="1" x14ac:dyDescent="0.25">
      <c r="A6" s="12">
        <v>1409935200</v>
      </c>
      <c r="B6" s="1692" t="s">
        <v>71</v>
      </c>
      <c r="C6" s="1695">
        <v>85642</v>
      </c>
      <c r="D6" s="1696">
        <f t="shared" ref="D6:D11" si="0">0.9725*C6</f>
        <v>83286.845000000001</v>
      </c>
      <c r="E6" s="1695"/>
      <c r="F6" s="1696">
        <f>67.1*E6</f>
        <v>0</v>
      </c>
      <c r="G6" s="1695"/>
      <c r="H6" s="1695">
        <f>28.2*G6</f>
        <v>0</v>
      </c>
      <c r="I6" s="1695">
        <v>260</v>
      </c>
      <c r="J6" s="1695">
        <f>18.5*I6</f>
        <v>4810</v>
      </c>
      <c r="K6" s="1695"/>
      <c r="L6" s="1696">
        <f>28.2368*K6</f>
        <v>0</v>
      </c>
      <c r="M6" s="1695"/>
      <c r="N6" s="1696">
        <f>M6*47.6525</f>
        <v>0</v>
      </c>
      <c r="O6" s="1695"/>
      <c r="P6" s="1696">
        <f>O6*8.9</f>
        <v>0</v>
      </c>
      <c r="Q6" s="1696"/>
      <c r="R6" s="1696">
        <f>241*Q6</f>
        <v>0</v>
      </c>
      <c r="S6" s="1695"/>
      <c r="T6" s="1695">
        <f>241*S6</f>
        <v>0</v>
      </c>
      <c r="U6" s="1695"/>
      <c r="V6" s="1695">
        <f>332*U6</f>
        <v>0</v>
      </c>
      <c r="W6" s="1695"/>
      <c r="X6" s="19">
        <f>W6*100</f>
        <v>0</v>
      </c>
      <c r="Y6" s="20">
        <f t="shared" ref="Y6:Y12" si="1">D6+F6+H6+J6+L6+N6+P6+R6+T6+V6+X6</f>
        <v>88096.845000000001</v>
      </c>
    </row>
    <row r="7" spans="1:25" ht="31.5" customHeight="1" x14ac:dyDescent="0.25">
      <c r="A7" s="12">
        <v>1984225578</v>
      </c>
      <c r="B7" s="1692" t="s">
        <v>509</v>
      </c>
      <c r="C7" s="1695">
        <v>103523</v>
      </c>
      <c r="D7" s="1696">
        <f t="shared" si="0"/>
        <v>100676.11750000001</v>
      </c>
      <c r="E7" s="1695"/>
      <c r="F7" s="1695">
        <f t="shared" ref="F7:F11" si="2">67.1*E7</f>
        <v>0</v>
      </c>
      <c r="G7" s="1695"/>
      <c r="H7" s="1695">
        <f t="shared" ref="H7:H11" si="3">28.2*G7</f>
        <v>0</v>
      </c>
      <c r="I7" s="1695"/>
      <c r="J7" s="1695">
        <f t="shared" ref="J7:J11" si="4">18.5*I7</f>
        <v>0</v>
      </c>
      <c r="K7" s="1695"/>
      <c r="L7" s="1696">
        <f t="shared" ref="L7:L11" si="5">28.2368*K7</f>
        <v>0</v>
      </c>
      <c r="M7" s="1695"/>
      <c r="N7" s="1696">
        <f t="shared" ref="N7:N11" si="6">M7*47.6525</f>
        <v>0</v>
      </c>
      <c r="O7" s="1695"/>
      <c r="P7" s="1696">
        <f t="shared" ref="P7:P11" si="7">O7*8.9</f>
        <v>0</v>
      </c>
      <c r="Q7" s="1696"/>
      <c r="R7" s="1696">
        <f t="shared" ref="R7:R11" si="8">241*Q7</f>
        <v>0</v>
      </c>
      <c r="S7" s="1695"/>
      <c r="T7" s="1695">
        <f t="shared" ref="T7:T10" si="9">241*S7</f>
        <v>0</v>
      </c>
      <c r="U7" s="1695"/>
      <c r="V7" s="1695">
        <f t="shared" ref="V7:V11" si="10">332*U7</f>
        <v>0</v>
      </c>
      <c r="W7" s="1695"/>
      <c r="X7" s="19">
        <f t="shared" ref="X7:X11" si="11">W7*100</f>
        <v>0</v>
      </c>
      <c r="Y7" s="20">
        <f t="shared" si="1"/>
        <v>100676.11750000001</v>
      </c>
    </row>
    <row r="8" spans="1:25" ht="35.25" customHeight="1" x14ac:dyDescent="0.25">
      <c r="A8" s="12">
        <v>1967020280</v>
      </c>
      <c r="B8" s="1692" t="s">
        <v>427</v>
      </c>
      <c r="C8" s="1695">
        <v>93245</v>
      </c>
      <c r="D8" s="1696">
        <f t="shared" si="0"/>
        <v>90680.762499999997</v>
      </c>
      <c r="E8" s="1695"/>
      <c r="F8" s="1695">
        <f t="shared" si="2"/>
        <v>0</v>
      </c>
      <c r="G8" s="1695"/>
      <c r="H8" s="1696">
        <f t="shared" si="3"/>
        <v>0</v>
      </c>
      <c r="I8" s="1695">
        <v>550</v>
      </c>
      <c r="J8" s="1695">
        <f t="shared" si="4"/>
        <v>10175</v>
      </c>
      <c r="K8" s="1695"/>
      <c r="L8" s="1696">
        <f t="shared" si="5"/>
        <v>0</v>
      </c>
      <c r="M8" s="1695"/>
      <c r="N8" s="1696">
        <f t="shared" si="6"/>
        <v>0</v>
      </c>
      <c r="O8" s="1695"/>
      <c r="P8" s="1696">
        <f t="shared" si="7"/>
        <v>0</v>
      </c>
      <c r="Q8" s="1696"/>
      <c r="R8" s="1696">
        <f t="shared" si="8"/>
        <v>0</v>
      </c>
      <c r="S8" s="1695"/>
      <c r="T8" s="1695">
        <f t="shared" si="9"/>
        <v>0</v>
      </c>
      <c r="U8" s="1695"/>
      <c r="V8" s="1695">
        <f t="shared" si="10"/>
        <v>0</v>
      </c>
      <c r="W8" s="1695"/>
      <c r="X8" s="19">
        <f t="shared" si="11"/>
        <v>0</v>
      </c>
      <c r="Y8" s="20">
        <f t="shared" si="1"/>
        <v>100855.7625</v>
      </c>
    </row>
    <row r="9" spans="1:25" ht="38.25" customHeight="1" x14ac:dyDescent="0.25">
      <c r="A9" s="12">
        <v>1984225580</v>
      </c>
      <c r="B9" s="1692" t="s">
        <v>75</v>
      </c>
      <c r="C9" s="1695">
        <v>21269</v>
      </c>
      <c r="D9" s="1696">
        <f t="shared" si="0"/>
        <v>20684.102500000001</v>
      </c>
      <c r="E9" s="1695"/>
      <c r="F9" s="1695">
        <f t="shared" si="2"/>
        <v>0</v>
      </c>
      <c r="G9" s="1695"/>
      <c r="H9" s="1695">
        <f t="shared" si="3"/>
        <v>0</v>
      </c>
      <c r="I9" s="1695">
        <v>1150</v>
      </c>
      <c r="J9" s="1695">
        <f t="shared" si="4"/>
        <v>21275</v>
      </c>
      <c r="K9" s="1695"/>
      <c r="L9" s="1696">
        <f t="shared" si="5"/>
        <v>0</v>
      </c>
      <c r="M9" s="1695"/>
      <c r="N9" s="1696">
        <f t="shared" si="6"/>
        <v>0</v>
      </c>
      <c r="O9" s="1695"/>
      <c r="P9" s="1696">
        <f t="shared" si="7"/>
        <v>0</v>
      </c>
      <c r="Q9" s="1696"/>
      <c r="R9" s="1696">
        <f t="shared" si="8"/>
        <v>0</v>
      </c>
      <c r="S9" s="1695"/>
      <c r="T9" s="1695">
        <f t="shared" si="9"/>
        <v>0</v>
      </c>
      <c r="U9" s="1695"/>
      <c r="V9" s="1695">
        <f t="shared" si="10"/>
        <v>0</v>
      </c>
      <c r="W9" s="1695"/>
      <c r="X9" s="19">
        <f t="shared" si="11"/>
        <v>0</v>
      </c>
      <c r="Y9" s="20">
        <f t="shared" si="1"/>
        <v>41959.102500000001</v>
      </c>
    </row>
    <row r="10" spans="1:25" ht="35.25" customHeight="1" x14ac:dyDescent="0.25">
      <c r="A10" s="12">
        <v>1409935199</v>
      </c>
      <c r="C10" s="1695"/>
      <c r="D10" s="1696">
        <f t="shared" si="0"/>
        <v>0</v>
      </c>
      <c r="E10" s="1695"/>
      <c r="F10" s="1695">
        <f t="shared" si="2"/>
        <v>0</v>
      </c>
      <c r="G10" s="1695"/>
      <c r="H10" s="1695">
        <f t="shared" si="3"/>
        <v>0</v>
      </c>
      <c r="I10" s="1695"/>
      <c r="J10" s="1695">
        <f t="shared" si="4"/>
        <v>0</v>
      </c>
      <c r="K10" s="1695"/>
      <c r="L10" s="1696">
        <f t="shared" si="5"/>
        <v>0</v>
      </c>
      <c r="M10" s="1695"/>
      <c r="N10" s="1696">
        <f t="shared" si="6"/>
        <v>0</v>
      </c>
      <c r="O10" s="1695"/>
      <c r="P10" s="1696">
        <f t="shared" si="7"/>
        <v>0</v>
      </c>
      <c r="Q10" s="1696"/>
      <c r="R10" s="1696">
        <f t="shared" si="8"/>
        <v>0</v>
      </c>
      <c r="S10" s="1695"/>
      <c r="T10" s="1695">
        <f t="shared" si="9"/>
        <v>0</v>
      </c>
      <c r="U10" s="1695"/>
      <c r="V10" s="1695">
        <f t="shared" si="10"/>
        <v>0</v>
      </c>
      <c r="W10" s="1695"/>
      <c r="X10" s="19">
        <f t="shared" si="11"/>
        <v>0</v>
      </c>
      <c r="Y10" s="20">
        <f t="shared" si="1"/>
        <v>0</v>
      </c>
    </row>
    <row r="11" spans="1:25" ht="37.5" customHeight="1" x14ac:dyDescent="0.25">
      <c r="A11" s="12"/>
      <c r="B11" s="1694"/>
      <c r="C11" s="1695"/>
      <c r="D11" s="1696">
        <f t="shared" si="0"/>
        <v>0</v>
      </c>
      <c r="E11" s="1695"/>
      <c r="F11" s="1695">
        <f t="shared" si="2"/>
        <v>0</v>
      </c>
      <c r="G11" s="1695"/>
      <c r="H11" s="1695">
        <f t="shared" si="3"/>
        <v>0</v>
      </c>
      <c r="I11" s="1695"/>
      <c r="J11" s="1695">
        <f t="shared" si="4"/>
        <v>0</v>
      </c>
      <c r="K11" s="1695"/>
      <c r="L11" s="1696">
        <f t="shared" si="5"/>
        <v>0</v>
      </c>
      <c r="M11" s="1695"/>
      <c r="N11" s="1696">
        <f t="shared" si="6"/>
        <v>0</v>
      </c>
      <c r="O11" s="1695"/>
      <c r="P11" s="1696">
        <f t="shared" si="7"/>
        <v>0</v>
      </c>
      <c r="Q11" s="1696"/>
      <c r="R11" s="1696">
        <f t="shared" si="8"/>
        <v>0</v>
      </c>
      <c r="S11" s="1695"/>
      <c r="T11" s="1695">
        <f>341*S11</f>
        <v>0</v>
      </c>
      <c r="U11" s="1695"/>
      <c r="V11" s="1695">
        <f t="shared" si="10"/>
        <v>0</v>
      </c>
      <c r="W11" s="1695"/>
      <c r="X11" s="19">
        <f t="shared" si="11"/>
        <v>0</v>
      </c>
      <c r="Y11" s="20">
        <f t="shared" si="1"/>
        <v>0</v>
      </c>
    </row>
    <row r="12" spans="1:25" ht="29.25" customHeight="1" x14ac:dyDescent="0.25">
      <c r="A12" s="2235" t="s">
        <v>31</v>
      </c>
      <c r="B12" s="2235"/>
      <c r="C12" s="18">
        <f t="shared" ref="C12:X12" si="12">SUM(C6:C11)</f>
        <v>303679</v>
      </c>
      <c r="D12" s="18">
        <f t="shared" si="12"/>
        <v>295327.82750000001</v>
      </c>
      <c r="E12" s="18">
        <f t="shared" si="12"/>
        <v>0</v>
      </c>
      <c r="F12" s="18">
        <f t="shared" si="12"/>
        <v>0</v>
      </c>
      <c r="G12" s="18">
        <f t="shared" si="12"/>
        <v>0</v>
      </c>
      <c r="H12" s="18">
        <f t="shared" si="12"/>
        <v>0</v>
      </c>
      <c r="I12" s="18">
        <f t="shared" si="12"/>
        <v>1960</v>
      </c>
      <c r="J12" s="18">
        <f t="shared" si="12"/>
        <v>36260</v>
      </c>
      <c r="K12" s="18">
        <f t="shared" si="12"/>
        <v>0</v>
      </c>
      <c r="L12" s="18">
        <f t="shared" si="12"/>
        <v>0</v>
      </c>
      <c r="M12" s="18">
        <f t="shared" si="12"/>
        <v>0</v>
      </c>
      <c r="N12" s="23">
        <f t="shared" si="12"/>
        <v>0</v>
      </c>
      <c r="O12" s="18">
        <f t="shared" si="12"/>
        <v>0</v>
      </c>
      <c r="P12" s="23">
        <f t="shared" si="12"/>
        <v>0</v>
      </c>
      <c r="Q12" s="23">
        <f t="shared" si="12"/>
        <v>0</v>
      </c>
      <c r="R12" s="23">
        <f>SUM(R6:R11)</f>
        <v>0</v>
      </c>
      <c r="S12" s="23">
        <f>SUM(S6:S11)</f>
        <v>0</v>
      </c>
      <c r="T12" s="18">
        <f t="shared" si="12"/>
        <v>0</v>
      </c>
      <c r="U12" s="18">
        <f t="shared" si="12"/>
        <v>0</v>
      </c>
      <c r="V12" s="18">
        <f t="shared" si="12"/>
        <v>0</v>
      </c>
      <c r="W12" s="18">
        <f t="shared" si="12"/>
        <v>0</v>
      </c>
      <c r="X12" s="18">
        <f t="shared" si="12"/>
        <v>0</v>
      </c>
      <c r="Y12" s="20">
        <f t="shared" si="1"/>
        <v>331587.82750000001</v>
      </c>
    </row>
    <row r="14" spans="1:25" ht="43.5" customHeight="1" x14ac:dyDescent="0.25">
      <c r="A14" s="30" t="s">
        <v>32</v>
      </c>
      <c r="B14" s="2236" t="s">
        <v>27</v>
      </c>
      <c r="C14" s="2236"/>
      <c r="D14" s="30" t="s">
        <v>333</v>
      </c>
      <c r="E14" s="30" t="s">
        <v>65</v>
      </c>
      <c r="F14" s="30" t="s">
        <v>34</v>
      </c>
      <c r="G14" s="30" t="s">
        <v>14</v>
      </c>
      <c r="H14" s="469" t="s">
        <v>173</v>
      </c>
      <c r="I14" s="30" t="s">
        <v>17</v>
      </c>
      <c r="J14" s="1700" t="s">
        <v>174</v>
      </c>
      <c r="K14" s="30" t="s">
        <v>36</v>
      </c>
      <c r="L14" s="1700" t="s">
        <v>403</v>
      </c>
      <c r="M14" s="30" t="s">
        <v>429</v>
      </c>
      <c r="N14" s="30" t="s">
        <v>442</v>
      </c>
      <c r="O14" s="1700" t="s">
        <v>114</v>
      </c>
      <c r="P14" s="30" t="s">
        <v>70</v>
      </c>
      <c r="Q14" s="2300" t="s">
        <v>479</v>
      </c>
      <c r="R14" s="2301"/>
      <c r="S14" s="1700" t="s">
        <v>401</v>
      </c>
      <c r="T14" s="2235" t="s">
        <v>46</v>
      </c>
      <c r="U14" s="1692" t="s">
        <v>176</v>
      </c>
      <c r="V14" s="2260">
        <v>22337</v>
      </c>
      <c r="W14" s="2268"/>
      <c r="X14" s="2261"/>
    </row>
    <row r="15" spans="1:25" ht="22.5" customHeight="1" x14ac:dyDescent="0.25">
      <c r="A15" s="100" t="s">
        <v>38</v>
      </c>
      <c r="B15" s="2260">
        <v>629590</v>
      </c>
      <c r="C15" s="2261"/>
      <c r="D15" s="1697">
        <v>0</v>
      </c>
      <c r="E15" s="1697">
        <v>0</v>
      </c>
      <c r="F15" s="1697">
        <v>13570</v>
      </c>
      <c r="G15" s="1697">
        <v>0</v>
      </c>
      <c r="H15" s="1697">
        <v>72</v>
      </c>
      <c r="I15" s="1697">
        <v>10</v>
      </c>
      <c r="J15" s="1697">
        <v>4</v>
      </c>
      <c r="K15" s="1697">
        <v>67</v>
      </c>
      <c r="L15" s="1697">
        <v>0</v>
      </c>
      <c r="M15" s="1697">
        <v>0</v>
      </c>
      <c r="N15" s="1697">
        <v>0</v>
      </c>
      <c r="O15" s="1697">
        <v>0</v>
      </c>
      <c r="P15" s="1697">
        <v>100</v>
      </c>
      <c r="Q15" s="2260">
        <v>10</v>
      </c>
      <c r="R15" s="2261"/>
      <c r="S15" s="1692">
        <v>2</v>
      </c>
      <c r="T15" s="2235"/>
      <c r="U15" s="1692" t="s">
        <v>64</v>
      </c>
      <c r="V15" s="2262">
        <v>10377</v>
      </c>
      <c r="W15" s="2262"/>
      <c r="X15" s="2262"/>
    </row>
    <row r="16" spans="1:25" ht="24.75" customHeight="1" x14ac:dyDescent="0.25">
      <c r="A16" s="100" t="s">
        <v>39</v>
      </c>
      <c r="B16" s="2260">
        <v>335064</v>
      </c>
      <c r="C16" s="2261"/>
      <c r="D16" s="1697"/>
      <c r="E16" s="1697"/>
      <c r="F16" s="1697"/>
      <c r="G16" s="1697"/>
      <c r="H16" s="1697"/>
      <c r="I16" s="1697"/>
      <c r="J16" s="1697"/>
      <c r="K16" s="1697"/>
      <c r="L16" s="1697"/>
      <c r="M16" s="1697"/>
      <c r="N16" s="1697"/>
      <c r="O16" s="1697"/>
      <c r="P16" s="1697"/>
      <c r="Q16" s="2262"/>
      <c r="R16" s="2262"/>
      <c r="S16" s="1697"/>
      <c r="T16" s="2254" t="s">
        <v>55</v>
      </c>
      <c r="U16" s="2254"/>
      <c r="V16" s="2267">
        <f>Y12</f>
        <v>331587.82750000001</v>
      </c>
      <c r="W16" s="2267"/>
      <c r="X16" s="2262"/>
    </row>
    <row r="17" spans="1:25" ht="28.5" customHeight="1" x14ac:dyDescent="0.25">
      <c r="A17" s="101" t="s">
        <v>44</v>
      </c>
      <c r="B17" s="2260"/>
      <c r="C17" s="2261"/>
      <c r="D17" s="1697"/>
      <c r="E17" s="1697"/>
      <c r="F17" s="1697"/>
      <c r="G17" s="1697"/>
      <c r="H17" s="1697"/>
      <c r="I17" s="1697"/>
      <c r="J17" s="1697"/>
      <c r="K17" s="1697"/>
      <c r="L17" s="1697"/>
      <c r="M17" s="1697"/>
      <c r="N17" s="1697"/>
      <c r="O17" s="1697"/>
      <c r="P17" s="1697"/>
      <c r="Q17" s="2225"/>
      <c r="R17" s="2225"/>
      <c r="S17" s="1694"/>
      <c r="T17" s="2294" t="s">
        <v>521</v>
      </c>
      <c r="U17" s="2295"/>
      <c r="V17" s="2296"/>
      <c r="W17" s="2296"/>
      <c r="X17" s="2296"/>
    </row>
    <row r="18" spans="1:25" ht="27" customHeight="1" x14ac:dyDescent="0.25">
      <c r="A18" s="100" t="s">
        <v>40</v>
      </c>
      <c r="B18" s="2264">
        <f>C12</f>
        <v>303679</v>
      </c>
      <c r="C18" s="2261"/>
      <c r="D18" s="1698">
        <f>E12</f>
        <v>0</v>
      </c>
      <c r="E18" s="1698">
        <f>G12</f>
        <v>0</v>
      </c>
      <c r="F18" s="1698">
        <f>I12</f>
        <v>1960</v>
      </c>
      <c r="G18" s="1698">
        <f>K12</f>
        <v>0</v>
      </c>
      <c r="H18" s="1697"/>
      <c r="I18" s="1698">
        <f>U12</f>
        <v>0</v>
      </c>
      <c r="J18" s="1697"/>
      <c r="K18" s="1698">
        <f>W12</f>
        <v>0</v>
      </c>
      <c r="L18" s="1697"/>
      <c r="M18" s="1698">
        <f>M12</f>
        <v>0</v>
      </c>
      <c r="N18" s="1698">
        <f>O12</f>
        <v>0</v>
      </c>
      <c r="O18" s="1699">
        <f>Q12</f>
        <v>0</v>
      </c>
      <c r="P18" s="1698"/>
      <c r="Q18" s="2262"/>
      <c r="R18" s="2262"/>
      <c r="S18" s="1692"/>
      <c r="T18" s="2254" t="s">
        <v>57</v>
      </c>
      <c r="U18" s="2254"/>
      <c r="V18" s="2262">
        <v>11783</v>
      </c>
      <c r="W18" s="2262"/>
      <c r="X18" s="2262"/>
      <c r="Y18" s="2269"/>
    </row>
    <row r="19" spans="1:25" ht="25.5" customHeight="1" x14ac:dyDescent="0.25">
      <c r="A19" s="100" t="s">
        <v>41</v>
      </c>
      <c r="B19" s="2260">
        <f>B15+B16+B17-B18</f>
        <v>660975</v>
      </c>
      <c r="C19" s="2261"/>
      <c r="D19" s="1697">
        <f>D15+D16+D17-D18</f>
        <v>0</v>
      </c>
      <c r="E19" s="1697">
        <f t="shared" ref="E19:N19" si="13">E15+E16+E17-E18</f>
        <v>0</v>
      </c>
      <c r="F19" s="1697">
        <f t="shared" si="13"/>
        <v>11610</v>
      </c>
      <c r="G19" s="1697">
        <f t="shared" si="13"/>
        <v>0</v>
      </c>
      <c r="H19" s="1697">
        <f t="shared" si="13"/>
        <v>72</v>
      </c>
      <c r="I19" s="1697">
        <f t="shared" si="13"/>
        <v>10</v>
      </c>
      <c r="J19" s="1697">
        <f t="shared" si="13"/>
        <v>4</v>
      </c>
      <c r="K19" s="1697">
        <f t="shared" si="13"/>
        <v>67</v>
      </c>
      <c r="L19" s="1697">
        <f t="shared" si="13"/>
        <v>0</v>
      </c>
      <c r="M19" s="1697">
        <f t="shared" si="13"/>
        <v>0</v>
      </c>
      <c r="N19" s="1697">
        <f t="shared" si="13"/>
        <v>0</v>
      </c>
      <c r="O19" s="1697">
        <f>O15+O16+O17-O18</f>
        <v>0</v>
      </c>
      <c r="P19" s="1697">
        <f t="shared" ref="P19:Q19" si="14">P15+P16+P17-P18</f>
        <v>100</v>
      </c>
      <c r="Q19" s="2260">
        <f t="shared" si="14"/>
        <v>10</v>
      </c>
      <c r="R19" s="2261"/>
      <c r="S19" s="1692">
        <f>S15+S16-S17-S18</f>
        <v>2</v>
      </c>
      <c r="T19" s="2256" t="s">
        <v>48</v>
      </c>
      <c r="U19" s="49" t="s">
        <v>58</v>
      </c>
      <c r="V19" s="2262"/>
      <c r="W19" s="2262"/>
      <c r="X19" s="2262"/>
      <c r="Y19" s="2269"/>
    </row>
    <row r="20" spans="1:25" ht="23.25" customHeight="1" x14ac:dyDescent="0.25">
      <c r="A20" s="289" t="s">
        <v>187</v>
      </c>
      <c r="B20" s="2286">
        <f>B19*0.9625</f>
        <v>636188.4375</v>
      </c>
      <c r="C20" s="2287"/>
      <c r="D20" s="290">
        <f>D19*66.41</f>
        <v>0</v>
      </c>
      <c r="E20" s="290">
        <f>27.9368*E19</f>
        <v>0</v>
      </c>
      <c r="F20" s="290">
        <f>18.31*F19</f>
        <v>212579.09999999998</v>
      </c>
      <c r="G20" s="290">
        <f>27.9368*G19</f>
        <v>0</v>
      </c>
      <c r="H20" s="290">
        <f>241*H19</f>
        <v>17352</v>
      </c>
      <c r="I20" s="290">
        <f>323*I19</f>
        <v>3230</v>
      </c>
      <c r="J20" s="290">
        <f>241*J19</f>
        <v>964</v>
      </c>
      <c r="K20" s="290">
        <f>K19*100</f>
        <v>6700</v>
      </c>
      <c r="L20" s="290">
        <f>241*L19</f>
        <v>0</v>
      </c>
      <c r="M20" s="290">
        <f>47.1625*M19</f>
        <v>0</v>
      </c>
      <c r="N20" s="290">
        <f>N19*8.81</f>
        <v>0</v>
      </c>
      <c r="O20" s="290">
        <f>241*O19</f>
        <v>0</v>
      </c>
      <c r="P20" s="290">
        <f>P19*48.2</f>
        <v>4820</v>
      </c>
      <c r="Q20" s="2286">
        <f>470*Q19</f>
        <v>4700</v>
      </c>
      <c r="R20" s="2287"/>
      <c r="S20" s="290">
        <f>341*S19</f>
        <v>682</v>
      </c>
      <c r="T20" s="2257"/>
      <c r="U20" s="49" t="s">
        <v>59</v>
      </c>
      <c r="V20" s="2262">
        <v>322500</v>
      </c>
      <c r="W20" s="2262"/>
      <c r="X20" s="2262"/>
      <c r="Y20" s="2269"/>
    </row>
    <row r="21" spans="1:25" ht="32.25" customHeight="1" x14ac:dyDescent="0.25">
      <c r="A21" s="291" t="s">
        <v>186</v>
      </c>
      <c r="B21" s="2293">
        <f>SUM(B20:S20)</f>
        <v>887215.53749999998</v>
      </c>
      <c r="C21" s="2293"/>
      <c r="O21" s="1701"/>
      <c r="P21" s="1701"/>
      <c r="Q21" s="1701"/>
      <c r="R21" s="1701"/>
      <c r="T21" s="2294" t="s">
        <v>518</v>
      </c>
      <c r="U21" s="2295"/>
      <c r="V21" s="2297"/>
      <c r="W21" s="2298"/>
      <c r="X21" s="2299"/>
      <c r="Y21" s="2269"/>
    </row>
    <row r="22" spans="1:25" ht="35.25" customHeight="1" x14ac:dyDescent="0.25">
      <c r="A22" s="15"/>
      <c r="B22" s="2288" t="s">
        <v>49</v>
      </c>
      <c r="C22" s="2291">
        <v>400000</v>
      </c>
      <c r="D22" s="2291"/>
      <c r="E22" s="2291"/>
      <c r="F22" s="2291">
        <f>C22-D22+E22</f>
        <v>400000</v>
      </c>
      <c r="G22" s="1701"/>
      <c r="Q22" s="1701"/>
      <c r="R22" s="1701"/>
      <c r="T22" s="2251" t="s">
        <v>83</v>
      </c>
      <c r="U22" s="50" t="s">
        <v>60</v>
      </c>
      <c r="V22" s="2262"/>
      <c r="W22" s="2262"/>
      <c r="X22" s="2262"/>
      <c r="Y22" s="2269"/>
    </row>
    <row r="23" spans="1:25" ht="39.75" customHeight="1" x14ac:dyDescent="0.25">
      <c r="A23" s="1701"/>
      <c r="B23" s="2289"/>
      <c r="C23" s="2292"/>
      <c r="D23" s="2292"/>
      <c r="E23" s="2292"/>
      <c r="F23" s="2292"/>
      <c r="G23" s="1701"/>
      <c r="Q23" s="1701"/>
      <c r="R23" s="1701"/>
      <c r="T23" s="2252"/>
      <c r="U23" s="50" t="s">
        <v>61</v>
      </c>
      <c r="V23" s="2262"/>
      <c r="W23" s="2262"/>
      <c r="X23" s="2262"/>
      <c r="Y23" s="2269"/>
    </row>
    <row r="24" spans="1:25" ht="48" customHeight="1" x14ac:dyDescent="0.25">
      <c r="A24" s="1701"/>
      <c r="B24" s="2290"/>
      <c r="C24" s="290" t="s">
        <v>46</v>
      </c>
      <c r="D24" s="290" t="s">
        <v>50</v>
      </c>
      <c r="E24" s="290" t="s">
        <v>51</v>
      </c>
      <c r="F24" s="290" t="s">
        <v>52</v>
      </c>
      <c r="G24" s="1701"/>
      <c r="Q24" s="1701"/>
      <c r="R24" s="1701"/>
      <c r="T24" s="2235" t="s">
        <v>47</v>
      </c>
      <c r="U24" s="51" t="s">
        <v>62</v>
      </c>
      <c r="V24" s="2263">
        <f>V14+V16+V17-V18-V19-V20-V22+V23-V21</f>
        <v>19641.827500000014</v>
      </c>
      <c r="W24" s="2263"/>
      <c r="X24" s="2263"/>
      <c r="Y24" s="2269"/>
    </row>
    <row r="25" spans="1:25" ht="40.5" customHeight="1" x14ac:dyDescent="0.25">
      <c r="T25" s="2235"/>
      <c r="U25" s="51" t="s">
        <v>63</v>
      </c>
      <c r="V25" s="2262">
        <f>V15+V22-V23</f>
        <v>10377</v>
      </c>
      <c r="W25" s="2262"/>
      <c r="X25" s="2262"/>
    </row>
    <row r="26" spans="1:25" ht="36" customHeight="1" x14ac:dyDescent="0.25">
      <c r="K26" s="314"/>
    </row>
    <row r="28" spans="1:25" x14ac:dyDescent="0.25">
      <c r="J28" s="14" t="s">
        <v>139</v>
      </c>
    </row>
    <row r="32" spans="1:25" x14ac:dyDescent="0.25">
      <c r="I32" s="2280"/>
      <c r="J32" s="2280"/>
      <c r="K32" s="2280"/>
      <c r="L32" s="2280"/>
    </row>
    <row r="33" spans="9:12" x14ac:dyDescent="0.25">
      <c r="I33" s="1701"/>
      <c r="J33" s="1701"/>
      <c r="K33" s="2280"/>
      <c r="L33" s="2280"/>
    </row>
  </sheetData>
  <mergeCells count="62">
    <mergeCell ref="I32:J32"/>
    <mergeCell ref="K32:L32"/>
    <mergeCell ref="K33:L33"/>
    <mergeCell ref="T22:T23"/>
    <mergeCell ref="V22:X22"/>
    <mergeCell ref="V23:X23"/>
    <mergeCell ref="T24:T25"/>
    <mergeCell ref="V24:X24"/>
    <mergeCell ref="V25:X25"/>
    <mergeCell ref="Y18:Y24"/>
    <mergeCell ref="B19:C19"/>
    <mergeCell ref="Q19:R19"/>
    <mergeCell ref="T19:T20"/>
    <mergeCell ref="V19:X19"/>
    <mergeCell ref="B20:C20"/>
    <mergeCell ref="B22:B24"/>
    <mergeCell ref="C22:C23"/>
    <mergeCell ref="D22:D23"/>
    <mergeCell ref="E22:E23"/>
    <mergeCell ref="F22:F23"/>
    <mergeCell ref="Q20:R20"/>
    <mergeCell ref="V20:X20"/>
    <mergeCell ref="B21:C21"/>
    <mergeCell ref="T21:U21"/>
    <mergeCell ref="V21:X21"/>
    <mergeCell ref="B17:C17"/>
    <mergeCell ref="Q17:R17"/>
    <mergeCell ref="T17:U17"/>
    <mergeCell ref="V17:X17"/>
    <mergeCell ref="B18:C18"/>
    <mergeCell ref="Q18:R18"/>
    <mergeCell ref="T18:U18"/>
    <mergeCell ref="V18:X18"/>
    <mergeCell ref="W4:X4"/>
    <mergeCell ref="B16:C16"/>
    <mergeCell ref="Q16:R16"/>
    <mergeCell ref="T16:U16"/>
    <mergeCell ref="V16:X16"/>
    <mergeCell ref="A12:B12"/>
    <mergeCell ref="B14:C14"/>
    <mergeCell ref="Q14:R14"/>
    <mergeCell ref="T14:T15"/>
    <mergeCell ref="V14:X14"/>
    <mergeCell ref="B15:C15"/>
    <mergeCell ref="Q15:R15"/>
    <mergeCell ref="V15:X15"/>
    <mergeCell ref="A1:Y1"/>
    <mergeCell ref="A2:Y2"/>
    <mergeCell ref="T3:Y3"/>
    <mergeCell ref="A4:A5"/>
    <mergeCell ref="B4:B5"/>
    <mergeCell ref="C4:D4"/>
    <mergeCell ref="E4:F4"/>
    <mergeCell ref="G4:H4"/>
    <mergeCell ref="I4:J4"/>
    <mergeCell ref="K4:L4"/>
    <mergeCell ref="Y4:Y5"/>
    <mergeCell ref="M4:N4"/>
    <mergeCell ref="O4:P4"/>
    <mergeCell ref="Q4:R4"/>
    <mergeCell ref="S4:T4"/>
    <mergeCell ref="U4:V4"/>
  </mergeCells>
  <pageMargins left="0.15748031496063" right="0.15748031496063" top="0" bottom="0" header="0" footer="0"/>
  <pageSetup paperSize="9" scale="46" orientation="landscape" r:id="rId1"/>
</worksheet>
</file>

<file path=xl/worksheets/sheet27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7CC6137-E3F2-45D6-8BD9-8BA14B8A937A}">
  <sheetPr>
    <pageSetUpPr fitToPage="1"/>
  </sheetPr>
  <dimension ref="A1:Y33"/>
  <sheetViews>
    <sheetView topLeftCell="D5" zoomScale="70" zoomScaleNormal="70" zoomScaleSheetLayoutView="100" zoomScalePageLayoutView="68" workbookViewId="0">
      <selection activeCell="N23" sqref="N23"/>
    </sheetView>
  </sheetViews>
  <sheetFormatPr defaultColWidth="9.140625" defaultRowHeight="15" x14ac:dyDescent="0.25"/>
  <cols>
    <col min="1" max="1" width="18.28515625" style="14" customWidth="1"/>
    <col min="2" max="2" width="10.7109375" style="14" customWidth="1"/>
    <col min="3" max="3" width="12.28515625" style="14" customWidth="1"/>
    <col min="4" max="4" width="13.140625" style="14" bestFit="1" customWidth="1"/>
    <col min="5" max="5" width="12" style="14" customWidth="1"/>
    <col min="6" max="6" width="14" style="14" bestFit="1" customWidth="1"/>
    <col min="7" max="7" width="16" style="14" bestFit="1" customWidth="1"/>
    <col min="8" max="8" width="10.140625" style="14" bestFit="1" customWidth="1"/>
    <col min="9" max="9" width="10.5703125" style="14" bestFit="1" customWidth="1"/>
    <col min="10" max="10" width="10.5703125" style="14" customWidth="1"/>
    <col min="11" max="11" width="10.28515625" style="14" bestFit="1" customWidth="1"/>
    <col min="12" max="12" width="10.42578125" style="14" bestFit="1" customWidth="1"/>
    <col min="13" max="14" width="12" style="14" bestFit="1" customWidth="1"/>
    <col min="15" max="15" width="11" style="14" customWidth="1"/>
    <col min="16" max="16" width="12.85546875" style="14" bestFit="1" customWidth="1"/>
    <col min="17" max="18" width="9.42578125" style="14" customWidth="1"/>
    <col min="19" max="19" width="13.7109375" style="14" customWidth="1"/>
    <col min="20" max="20" width="12.140625" style="14" customWidth="1"/>
    <col min="21" max="21" width="21.7109375" style="14" customWidth="1"/>
    <col min="22" max="22" width="9.85546875" style="14" customWidth="1"/>
    <col min="23" max="23" width="10.140625" style="14" bestFit="1" customWidth="1"/>
    <col min="24" max="24" width="10.28515625" style="14" customWidth="1"/>
    <col min="25" max="25" width="15.7109375" style="14" customWidth="1"/>
    <col min="26" max="16384" width="9.140625" style="14"/>
  </cols>
  <sheetData>
    <row r="1" spans="1:25" ht="46.15" customHeight="1" x14ac:dyDescent="0.25">
      <c r="A1" s="2240" t="s">
        <v>148</v>
      </c>
      <c r="B1" s="2240"/>
      <c r="C1" s="2240"/>
      <c r="D1" s="2240"/>
      <c r="E1" s="2240"/>
      <c r="F1" s="2240"/>
      <c r="G1" s="2240"/>
      <c r="H1" s="2240"/>
      <c r="I1" s="2240"/>
      <c r="J1" s="2240"/>
      <c r="K1" s="2240"/>
      <c r="L1" s="2240"/>
      <c r="M1" s="2240"/>
      <c r="N1" s="2240"/>
      <c r="O1" s="2240"/>
      <c r="P1" s="2240"/>
      <c r="Q1" s="2240"/>
      <c r="R1" s="2240"/>
      <c r="S1" s="2240"/>
      <c r="T1" s="2240"/>
      <c r="U1" s="2240"/>
      <c r="V1" s="2240"/>
      <c r="W1" s="2240"/>
      <c r="X1" s="2240"/>
      <c r="Y1" s="2240"/>
    </row>
    <row r="2" spans="1:25" ht="21.6" customHeight="1" x14ac:dyDescent="0.25">
      <c r="A2" s="2241" t="s">
        <v>383</v>
      </c>
      <c r="B2" s="2241"/>
      <c r="C2" s="2241"/>
      <c r="D2" s="2241"/>
      <c r="E2" s="2241"/>
      <c r="F2" s="2241"/>
      <c r="G2" s="2241"/>
      <c r="H2" s="2241"/>
      <c r="I2" s="2241"/>
      <c r="J2" s="2241"/>
      <c r="K2" s="2241"/>
      <c r="L2" s="2241"/>
      <c r="M2" s="2241"/>
      <c r="N2" s="2241"/>
      <c r="O2" s="2241"/>
      <c r="P2" s="2241"/>
      <c r="Q2" s="2241"/>
      <c r="R2" s="2241"/>
      <c r="S2" s="2241"/>
      <c r="T2" s="2241"/>
      <c r="U2" s="2241"/>
      <c r="V2" s="2241"/>
      <c r="W2" s="2241"/>
      <c r="X2" s="2241"/>
      <c r="Y2" s="2241"/>
    </row>
    <row r="3" spans="1:25" ht="21" customHeight="1" x14ac:dyDescent="0.25">
      <c r="A3" s="1707"/>
      <c r="B3" s="1707"/>
      <c r="C3" s="1707"/>
      <c r="D3" s="1707"/>
      <c r="E3" s="1707"/>
      <c r="F3" s="1707"/>
      <c r="G3" s="1707"/>
      <c r="H3" s="1707"/>
      <c r="I3" s="1707"/>
      <c r="J3" s="1707"/>
      <c r="K3" s="1707"/>
      <c r="L3" s="1707"/>
      <c r="M3" s="1707"/>
      <c r="N3" s="1707"/>
      <c r="O3" s="1707"/>
      <c r="P3" s="1707"/>
      <c r="Q3" s="1707"/>
      <c r="R3" s="1707"/>
      <c r="S3" s="1707"/>
      <c r="T3" s="2242" t="s">
        <v>526</v>
      </c>
      <c r="U3" s="2242"/>
      <c r="V3" s="2242"/>
      <c r="W3" s="2242"/>
      <c r="X3" s="2242"/>
      <c r="Y3" s="2242"/>
    </row>
    <row r="4" spans="1:25" s="1707" customFormat="1" ht="18" customHeight="1" x14ac:dyDescent="0.25">
      <c r="A4" s="2243" t="s">
        <v>25</v>
      </c>
      <c r="B4" s="2243" t="s">
        <v>26</v>
      </c>
      <c r="C4" s="2244" t="s">
        <v>27</v>
      </c>
      <c r="D4" s="2244"/>
      <c r="E4" s="2244" t="s">
        <v>342</v>
      </c>
      <c r="F4" s="2244"/>
      <c r="G4" s="2244" t="s">
        <v>65</v>
      </c>
      <c r="H4" s="2244"/>
      <c r="I4" s="2244" t="s">
        <v>29</v>
      </c>
      <c r="J4" s="2244"/>
      <c r="K4" s="2245" t="s">
        <v>14</v>
      </c>
      <c r="L4" s="2246"/>
      <c r="M4" s="2245" t="s">
        <v>429</v>
      </c>
      <c r="N4" s="2246"/>
      <c r="O4" s="2245" t="s">
        <v>441</v>
      </c>
      <c r="P4" s="2246"/>
      <c r="Q4" s="2245" t="s">
        <v>114</v>
      </c>
      <c r="R4" s="2246"/>
      <c r="S4" s="2244" t="s">
        <v>35</v>
      </c>
      <c r="T4" s="2244"/>
      <c r="U4" s="2245" t="s">
        <v>17</v>
      </c>
      <c r="V4" s="2246"/>
      <c r="W4" s="2247" t="s">
        <v>36</v>
      </c>
      <c r="X4" s="2248"/>
      <c r="Y4" s="2238" t="s">
        <v>30</v>
      </c>
    </row>
    <row r="5" spans="1:25" s="1707" customFormat="1" ht="25.5" customHeight="1" x14ac:dyDescent="0.25">
      <c r="A5" s="2243"/>
      <c r="B5" s="2243"/>
      <c r="C5" s="1706" t="s">
        <v>42</v>
      </c>
      <c r="D5" s="1706" t="s">
        <v>43</v>
      </c>
      <c r="E5" s="1706" t="s">
        <v>42</v>
      </c>
      <c r="F5" s="1706" t="s">
        <v>43</v>
      </c>
      <c r="G5" s="1706" t="s">
        <v>42</v>
      </c>
      <c r="H5" s="1706" t="s">
        <v>43</v>
      </c>
      <c r="I5" s="1706" t="s">
        <v>42</v>
      </c>
      <c r="J5" s="1706" t="s">
        <v>43</v>
      </c>
      <c r="K5" s="1706" t="s">
        <v>42</v>
      </c>
      <c r="L5" s="1706" t="s">
        <v>43</v>
      </c>
      <c r="M5" s="1706" t="s">
        <v>42</v>
      </c>
      <c r="N5" s="1706" t="s">
        <v>43</v>
      </c>
      <c r="O5" s="1706" t="s">
        <v>42</v>
      </c>
      <c r="P5" s="1706" t="s">
        <v>43</v>
      </c>
      <c r="Q5" s="1706" t="s">
        <v>42</v>
      </c>
      <c r="R5" s="1706" t="s">
        <v>43</v>
      </c>
      <c r="S5" s="33" t="s">
        <v>42</v>
      </c>
      <c r="T5" s="33" t="s">
        <v>43</v>
      </c>
      <c r="U5" s="30" t="s">
        <v>42</v>
      </c>
      <c r="V5" s="30" t="s">
        <v>43</v>
      </c>
      <c r="W5" s="30" t="s">
        <v>42</v>
      </c>
      <c r="X5" s="30" t="s">
        <v>43</v>
      </c>
      <c r="Y5" s="2239"/>
    </row>
    <row r="6" spans="1:25" ht="34.5" customHeight="1" x14ac:dyDescent="0.25">
      <c r="A6" s="12">
        <v>1409935200</v>
      </c>
      <c r="B6" s="1705" t="s">
        <v>71</v>
      </c>
      <c r="C6" s="1703">
        <v>15212</v>
      </c>
      <c r="D6" s="1702">
        <f t="shared" ref="D6:D11" si="0">0.9725*C6</f>
        <v>14793.67</v>
      </c>
      <c r="E6" s="1703"/>
      <c r="F6" s="1702">
        <f>67.1*E6</f>
        <v>0</v>
      </c>
      <c r="G6" s="1703"/>
      <c r="H6" s="1703">
        <f>28.2*G6</f>
        <v>0</v>
      </c>
      <c r="I6" s="1703">
        <v>500</v>
      </c>
      <c r="J6" s="1703">
        <f>18.5*I6</f>
        <v>9250</v>
      </c>
      <c r="K6" s="1703"/>
      <c r="L6" s="1702">
        <f>28.2368*K6</f>
        <v>0</v>
      </c>
      <c r="M6" s="1703"/>
      <c r="N6" s="1702">
        <f>M6*47.6525</f>
        <v>0</v>
      </c>
      <c r="O6" s="1703"/>
      <c r="P6" s="1702">
        <f>O6*8.9</f>
        <v>0</v>
      </c>
      <c r="Q6" s="1702"/>
      <c r="R6" s="1702">
        <f>241*Q6</f>
        <v>0</v>
      </c>
      <c r="S6" s="1703"/>
      <c r="T6" s="1703">
        <f>241*S6</f>
        <v>0</v>
      </c>
      <c r="U6" s="1703"/>
      <c r="V6" s="1703">
        <f>332*U6</f>
        <v>0</v>
      </c>
      <c r="W6" s="1703"/>
      <c r="X6" s="19">
        <f>W6*100</f>
        <v>0</v>
      </c>
      <c r="Y6" s="20">
        <f t="shared" ref="Y6:Y12" si="1">D6+F6+H6+J6+L6+N6+P6+R6+T6+V6+X6</f>
        <v>24043.67</v>
      </c>
    </row>
    <row r="7" spans="1:25" ht="31.5" customHeight="1" x14ac:dyDescent="0.25">
      <c r="A7" s="12">
        <v>1984225578</v>
      </c>
      <c r="B7" s="1705" t="s">
        <v>509</v>
      </c>
      <c r="C7" s="1703">
        <v>28204</v>
      </c>
      <c r="D7" s="1702">
        <f t="shared" si="0"/>
        <v>27428.39</v>
      </c>
      <c r="E7" s="1703"/>
      <c r="F7" s="1703">
        <f t="shared" ref="F7:F11" si="2">67.1*E7</f>
        <v>0</v>
      </c>
      <c r="G7" s="1703"/>
      <c r="H7" s="1703">
        <f t="shared" ref="H7:H11" si="3">28.2*G7</f>
        <v>0</v>
      </c>
      <c r="I7" s="1703">
        <v>1270</v>
      </c>
      <c r="J7" s="1703">
        <f t="shared" ref="J7:J11" si="4">18.5*I7</f>
        <v>23495</v>
      </c>
      <c r="K7" s="1703"/>
      <c r="L7" s="1702">
        <f t="shared" ref="L7:L11" si="5">28.2368*K7</f>
        <v>0</v>
      </c>
      <c r="M7" s="1703"/>
      <c r="N7" s="1702">
        <f t="shared" ref="N7:N11" si="6">M7*47.6525</f>
        <v>0</v>
      </c>
      <c r="O7" s="1703"/>
      <c r="P7" s="1702">
        <f t="shared" ref="P7:P11" si="7">O7*8.9</f>
        <v>0</v>
      </c>
      <c r="Q7" s="1702"/>
      <c r="R7" s="1702">
        <f t="shared" ref="R7:R11" si="8">241*Q7</f>
        <v>0</v>
      </c>
      <c r="S7" s="1703"/>
      <c r="T7" s="1703">
        <f t="shared" ref="T7:T10" si="9">241*S7</f>
        <v>0</v>
      </c>
      <c r="U7" s="1703"/>
      <c r="V7" s="1703">
        <f t="shared" ref="V7:V11" si="10">332*U7</f>
        <v>0</v>
      </c>
      <c r="W7" s="1703"/>
      <c r="X7" s="19">
        <f t="shared" ref="X7:X11" si="11">W7*100</f>
        <v>0</v>
      </c>
      <c r="Y7" s="20">
        <f t="shared" si="1"/>
        <v>50923.39</v>
      </c>
    </row>
    <row r="8" spans="1:25" ht="35.25" customHeight="1" x14ac:dyDescent="0.25">
      <c r="A8" s="12">
        <v>1967020280</v>
      </c>
      <c r="B8" s="1705" t="s">
        <v>427</v>
      </c>
      <c r="C8" s="1703">
        <v>8874</v>
      </c>
      <c r="D8" s="1702">
        <f t="shared" si="0"/>
        <v>8629.9650000000001</v>
      </c>
      <c r="E8" s="1703"/>
      <c r="F8" s="1703">
        <f t="shared" si="2"/>
        <v>0</v>
      </c>
      <c r="G8" s="1703"/>
      <c r="H8" s="1702">
        <f t="shared" si="3"/>
        <v>0</v>
      </c>
      <c r="I8" s="1703">
        <v>730</v>
      </c>
      <c r="J8" s="1703">
        <f t="shared" si="4"/>
        <v>13505</v>
      </c>
      <c r="K8" s="1703"/>
      <c r="L8" s="1702">
        <f t="shared" si="5"/>
        <v>0</v>
      </c>
      <c r="M8" s="1703"/>
      <c r="N8" s="1702">
        <f t="shared" si="6"/>
        <v>0</v>
      </c>
      <c r="O8" s="1703"/>
      <c r="P8" s="1702">
        <f t="shared" si="7"/>
        <v>0</v>
      </c>
      <c r="Q8" s="1702"/>
      <c r="R8" s="1702">
        <f t="shared" si="8"/>
        <v>0</v>
      </c>
      <c r="S8" s="1703"/>
      <c r="T8" s="1703">
        <f t="shared" si="9"/>
        <v>0</v>
      </c>
      <c r="U8" s="1703"/>
      <c r="V8" s="1703">
        <f t="shared" si="10"/>
        <v>0</v>
      </c>
      <c r="W8" s="1703"/>
      <c r="X8" s="19">
        <f t="shared" si="11"/>
        <v>0</v>
      </c>
      <c r="Y8" s="20">
        <f t="shared" si="1"/>
        <v>22134.965</v>
      </c>
    </row>
    <row r="9" spans="1:25" ht="38.25" customHeight="1" x14ac:dyDescent="0.25">
      <c r="A9" s="12">
        <v>1984225580</v>
      </c>
      <c r="B9" s="1705" t="s">
        <v>75</v>
      </c>
      <c r="C9" s="1703">
        <v>49835</v>
      </c>
      <c r="D9" s="1702">
        <f t="shared" si="0"/>
        <v>48464.537499999999</v>
      </c>
      <c r="E9" s="1703"/>
      <c r="F9" s="1703">
        <f t="shared" si="2"/>
        <v>0</v>
      </c>
      <c r="G9" s="1703"/>
      <c r="H9" s="1703">
        <f t="shared" si="3"/>
        <v>0</v>
      </c>
      <c r="I9" s="1703">
        <v>470</v>
      </c>
      <c r="J9" s="1703">
        <f t="shared" si="4"/>
        <v>8695</v>
      </c>
      <c r="K9" s="1703"/>
      <c r="L9" s="1702">
        <f t="shared" si="5"/>
        <v>0</v>
      </c>
      <c r="M9" s="1703"/>
      <c r="N9" s="1702">
        <f t="shared" si="6"/>
        <v>0</v>
      </c>
      <c r="O9" s="1703"/>
      <c r="P9" s="1702">
        <f t="shared" si="7"/>
        <v>0</v>
      </c>
      <c r="Q9" s="1702"/>
      <c r="R9" s="1702">
        <f t="shared" si="8"/>
        <v>0</v>
      </c>
      <c r="S9" s="1703"/>
      <c r="T9" s="1703">
        <f t="shared" si="9"/>
        <v>0</v>
      </c>
      <c r="U9" s="1703"/>
      <c r="V9" s="1703">
        <f t="shared" si="10"/>
        <v>0</v>
      </c>
      <c r="W9" s="1703"/>
      <c r="X9" s="19">
        <f t="shared" si="11"/>
        <v>0</v>
      </c>
      <c r="Y9" s="20">
        <f t="shared" si="1"/>
        <v>57159.537499999999</v>
      </c>
    </row>
    <row r="10" spans="1:25" ht="35.25" customHeight="1" x14ac:dyDescent="0.25">
      <c r="A10" s="12">
        <v>1409935199</v>
      </c>
      <c r="C10" s="1703"/>
      <c r="D10" s="1702">
        <f t="shared" si="0"/>
        <v>0</v>
      </c>
      <c r="E10" s="1703"/>
      <c r="F10" s="1703">
        <f t="shared" si="2"/>
        <v>0</v>
      </c>
      <c r="G10" s="1703"/>
      <c r="H10" s="1703">
        <f t="shared" si="3"/>
        <v>0</v>
      </c>
      <c r="I10" s="1703">
        <v>5000</v>
      </c>
      <c r="J10" s="1703">
        <f t="shared" si="4"/>
        <v>92500</v>
      </c>
      <c r="K10" s="1703"/>
      <c r="L10" s="1702">
        <f t="shared" si="5"/>
        <v>0</v>
      </c>
      <c r="M10" s="1703"/>
      <c r="N10" s="1702">
        <f t="shared" si="6"/>
        <v>0</v>
      </c>
      <c r="O10" s="1703"/>
      <c r="P10" s="1702">
        <f t="shared" si="7"/>
        <v>0</v>
      </c>
      <c r="Q10" s="1702"/>
      <c r="R10" s="1702">
        <f t="shared" si="8"/>
        <v>0</v>
      </c>
      <c r="S10" s="1703"/>
      <c r="T10" s="1703">
        <f t="shared" si="9"/>
        <v>0</v>
      </c>
      <c r="U10" s="1703"/>
      <c r="V10" s="1703">
        <f t="shared" si="10"/>
        <v>0</v>
      </c>
      <c r="W10" s="1703"/>
      <c r="X10" s="19">
        <f t="shared" si="11"/>
        <v>0</v>
      </c>
      <c r="Y10" s="20">
        <f t="shared" si="1"/>
        <v>92500</v>
      </c>
    </row>
    <row r="11" spans="1:25" ht="37.5" customHeight="1" x14ac:dyDescent="0.25">
      <c r="A11" s="12"/>
      <c r="B11" s="1704"/>
      <c r="C11" s="1703"/>
      <c r="D11" s="1702">
        <f t="shared" si="0"/>
        <v>0</v>
      </c>
      <c r="E11" s="1703"/>
      <c r="F11" s="1703">
        <f t="shared" si="2"/>
        <v>0</v>
      </c>
      <c r="G11" s="1703"/>
      <c r="H11" s="1703">
        <f t="shared" si="3"/>
        <v>0</v>
      </c>
      <c r="I11" s="1703"/>
      <c r="J11" s="1703">
        <f t="shared" si="4"/>
        <v>0</v>
      </c>
      <c r="K11" s="1703"/>
      <c r="L11" s="1702">
        <f t="shared" si="5"/>
        <v>0</v>
      </c>
      <c r="M11" s="1703"/>
      <c r="N11" s="1702">
        <f t="shared" si="6"/>
        <v>0</v>
      </c>
      <c r="O11" s="1703"/>
      <c r="P11" s="1702">
        <f t="shared" si="7"/>
        <v>0</v>
      </c>
      <c r="Q11" s="1702"/>
      <c r="R11" s="1702">
        <f t="shared" si="8"/>
        <v>0</v>
      </c>
      <c r="S11" s="1703">
        <v>4</v>
      </c>
      <c r="T11" s="1703">
        <f>341*S11</f>
        <v>1364</v>
      </c>
      <c r="U11" s="1703"/>
      <c r="V11" s="1703">
        <f t="shared" si="10"/>
        <v>0</v>
      </c>
      <c r="W11" s="1703"/>
      <c r="X11" s="19">
        <f t="shared" si="11"/>
        <v>0</v>
      </c>
      <c r="Y11" s="20">
        <f t="shared" si="1"/>
        <v>1364</v>
      </c>
    </row>
    <row r="12" spans="1:25" ht="29.25" customHeight="1" x14ac:dyDescent="0.25">
      <c r="A12" s="2235" t="s">
        <v>31</v>
      </c>
      <c r="B12" s="2235"/>
      <c r="C12" s="18">
        <f t="shared" ref="C12:X12" si="12">SUM(C6:C11)</f>
        <v>102125</v>
      </c>
      <c r="D12" s="18">
        <f t="shared" si="12"/>
        <v>99316.5625</v>
      </c>
      <c r="E12" s="18">
        <f t="shared" si="12"/>
        <v>0</v>
      </c>
      <c r="F12" s="18">
        <f t="shared" si="12"/>
        <v>0</v>
      </c>
      <c r="G12" s="18">
        <f t="shared" si="12"/>
        <v>0</v>
      </c>
      <c r="H12" s="18">
        <f t="shared" si="12"/>
        <v>0</v>
      </c>
      <c r="I12" s="18">
        <f t="shared" si="12"/>
        <v>7970</v>
      </c>
      <c r="J12" s="18">
        <f t="shared" si="12"/>
        <v>147445</v>
      </c>
      <c r="K12" s="18">
        <f t="shared" si="12"/>
        <v>0</v>
      </c>
      <c r="L12" s="18">
        <f t="shared" si="12"/>
        <v>0</v>
      </c>
      <c r="M12" s="18">
        <f t="shared" si="12"/>
        <v>0</v>
      </c>
      <c r="N12" s="23">
        <f t="shared" si="12"/>
        <v>0</v>
      </c>
      <c r="O12" s="18">
        <f t="shared" si="12"/>
        <v>0</v>
      </c>
      <c r="P12" s="23">
        <f t="shared" si="12"/>
        <v>0</v>
      </c>
      <c r="Q12" s="23">
        <f t="shared" si="12"/>
        <v>0</v>
      </c>
      <c r="R12" s="23">
        <f>SUM(R6:R11)</f>
        <v>0</v>
      </c>
      <c r="S12" s="23">
        <f>SUM(S6:S11)</f>
        <v>4</v>
      </c>
      <c r="T12" s="18">
        <f t="shared" si="12"/>
        <v>1364</v>
      </c>
      <c r="U12" s="18">
        <f t="shared" si="12"/>
        <v>0</v>
      </c>
      <c r="V12" s="18">
        <f t="shared" si="12"/>
        <v>0</v>
      </c>
      <c r="W12" s="18">
        <f t="shared" si="12"/>
        <v>0</v>
      </c>
      <c r="X12" s="18">
        <f t="shared" si="12"/>
        <v>0</v>
      </c>
      <c r="Y12" s="20">
        <f t="shared" si="1"/>
        <v>248125.5625</v>
      </c>
    </row>
    <row r="14" spans="1:25" ht="43.5" customHeight="1" x14ac:dyDescent="0.25">
      <c r="A14" s="30" t="s">
        <v>32</v>
      </c>
      <c r="B14" s="2236" t="s">
        <v>27</v>
      </c>
      <c r="C14" s="2236"/>
      <c r="D14" s="30" t="s">
        <v>333</v>
      </c>
      <c r="E14" s="30" t="s">
        <v>65</v>
      </c>
      <c r="F14" s="30" t="s">
        <v>34</v>
      </c>
      <c r="G14" s="30" t="s">
        <v>14</v>
      </c>
      <c r="H14" s="469" t="s">
        <v>173</v>
      </c>
      <c r="I14" s="30" t="s">
        <v>17</v>
      </c>
      <c r="J14" s="1711" t="s">
        <v>174</v>
      </c>
      <c r="K14" s="30" t="s">
        <v>36</v>
      </c>
      <c r="L14" s="1711" t="s">
        <v>403</v>
      </c>
      <c r="M14" s="30" t="s">
        <v>429</v>
      </c>
      <c r="N14" s="30" t="s">
        <v>442</v>
      </c>
      <c r="O14" s="1711" t="s">
        <v>114</v>
      </c>
      <c r="P14" s="30" t="s">
        <v>70</v>
      </c>
      <c r="Q14" s="2300" t="s">
        <v>479</v>
      </c>
      <c r="R14" s="2301"/>
      <c r="S14" s="1711" t="s">
        <v>401</v>
      </c>
      <c r="T14" s="2235" t="s">
        <v>46</v>
      </c>
      <c r="U14" s="1705" t="s">
        <v>176</v>
      </c>
      <c r="V14" s="2260">
        <v>19642</v>
      </c>
      <c r="W14" s="2268"/>
      <c r="X14" s="2261"/>
    </row>
    <row r="15" spans="1:25" ht="22.5" customHeight="1" x14ac:dyDescent="0.25">
      <c r="A15" s="100" t="s">
        <v>38</v>
      </c>
      <c r="B15" s="2260">
        <v>660975</v>
      </c>
      <c r="C15" s="2261"/>
      <c r="D15" s="1708">
        <v>0</v>
      </c>
      <c r="E15" s="1708">
        <v>0</v>
      </c>
      <c r="F15" s="1708">
        <v>11610</v>
      </c>
      <c r="G15" s="1708">
        <v>0</v>
      </c>
      <c r="H15" s="1708">
        <v>72</v>
      </c>
      <c r="I15" s="1708">
        <v>10</v>
      </c>
      <c r="J15" s="1708">
        <v>4</v>
      </c>
      <c r="K15" s="1708">
        <v>67</v>
      </c>
      <c r="L15" s="1708">
        <v>0</v>
      </c>
      <c r="M15" s="1708">
        <v>0</v>
      </c>
      <c r="N15" s="1708">
        <v>0</v>
      </c>
      <c r="O15" s="1708">
        <v>0</v>
      </c>
      <c r="P15" s="1708">
        <v>100</v>
      </c>
      <c r="Q15" s="2260">
        <v>10</v>
      </c>
      <c r="R15" s="2261"/>
      <c r="S15" s="1705">
        <v>2</v>
      </c>
      <c r="T15" s="2235"/>
      <c r="U15" s="1705" t="s">
        <v>64</v>
      </c>
      <c r="V15" s="2262">
        <v>10377</v>
      </c>
      <c r="W15" s="2262"/>
      <c r="X15" s="2262"/>
    </row>
    <row r="16" spans="1:25" ht="24.75" customHeight="1" x14ac:dyDescent="0.25">
      <c r="A16" s="100" t="s">
        <v>39</v>
      </c>
      <c r="B16" s="2260">
        <v>267012</v>
      </c>
      <c r="C16" s="2261"/>
      <c r="D16" s="1708"/>
      <c r="E16" s="1708"/>
      <c r="F16" s="1708"/>
      <c r="G16" s="1708"/>
      <c r="H16" s="1708"/>
      <c r="I16" s="1708"/>
      <c r="J16" s="1708"/>
      <c r="K16" s="1708"/>
      <c r="L16" s="1708"/>
      <c r="M16" s="1708"/>
      <c r="N16" s="1708"/>
      <c r="O16" s="1708"/>
      <c r="P16" s="1708"/>
      <c r="Q16" s="2262"/>
      <c r="R16" s="2262"/>
      <c r="S16" s="1708"/>
      <c r="T16" s="2254" t="s">
        <v>55</v>
      </c>
      <c r="U16" s="2254"/>
      <c r="V16" s="2267">
        <f>Y12</f>
        <v>248125.5625</v>
      </c>
      <c r="W16" s="2267"/>
      <c r="X16" s="2262"/>
    </row>
    <row r="17" spans="1:25" ht="28.5" customHeight="1" x14ac:dyDescent="0.25">
      <c r="A17" s="101" t="s">
        <v>44</v>
      </c>
      <c r="B17" s="2260"/>
      <c r="C17" s="2261"/>
      <c r="D17" s="1708"/>
      <c r="E17" s="1708"/>
      <c r="F17" s="1708"/>
      <c r="G17" s="1708"/>
      <c r="H17" s="1708"/>
      <c r="I17" s="1708"/>
      <c r="J17" s="1708"/>
      <c r="K17" s="1708"/>
      <c r="L17" s="1708"/>
      <c r="M17" s="1708"/>
      <c r="N17" s="1708"/>
      <c r="O17" s="1708"/>
      <c r="P17" s="1708"/>
      <c r="Q17" s="2225"/>
      <c r="R17" s="2225"/>
      <c r="S17" s="1704"/>
      <c r="T17" s="2294" t="s">
        <v>521</v>
      </c>
      <c r="U17" s="2295"/>
      <c r="V17" s="2296"/>
      <c r="W17" s="2296"/>
      <c r="X17" s="2296"/>
    </row>
    <row r="18" spans="1:25" ht="27" customHeight="1" x14ac:dyDescent="0.25">
      <c r="A18" s="100" t="s">
        <v>40</v>
      </c>
      <c r="B18" s="2264">
        <f>C12</f>
        <v>102125</v>
      </c>
      <c r="C18" s="2261"/>
      <c r="D18" s="1710">
        <f>E12</f>
        <v>0</v>
      </c>
      <c r="E18" s="1710">
        <f>G12</f>
        <v>0</v>
      </c>
      <c r="F18" s="1710">
        <f>I12</f>
        <v>7970</v>
      </c>
      <c r="G18" s="1710">
        <f>K12</f>
        <v>0</v>
      </c>
      <c r="H18" s="1708">
        <v>4</v>
      </c>
      <c r="I18" s="1710">
        <f>U12</f>
        <v>0</v>
      </c>
      <c r="J18" s="1708"/>
      <c r="K18" s="1710">
        <f>W12</f>
        <v>0</v>
      </c>
      <c r="L18" s="1708"/>
      <c r="M18" s="1710">
        <f>M12</f>
        <v>0</v>
      </c>
      <c r="N18" s="1710">
        <f>O12</f>
        <v>0</v>
      </c>
      <c r="O18" s="1709">
        <f>Q12</f>
        <v>0</v>
      </c>
      <c r="P18" s="1710"/>
      <c r="Q18" s="2262"/>
      <c r="R18" s="2262"/>
      <c r="S18" s="1705"/>
      <c r="T18" s="2254" t="s">
        <v>57</v>
      </c>
      <c r="U18" s="2254"/>
      <c r="V18" s="2262">
        <v>520</v>
      </c>
      <c r="W18" s="2262"/>
      <c r="X18" s="2262"/>
      <c r="Y18" s="2269"/>
    </row>
    <row r="19" spans="1:25" ht="25.5" customHeight="1" x14ac:dyDescent="0.25">
      <c r="A19" s="100" t="s">
        <v>41</v>
      </c>
      <c r="B19" s="2260">
        <f>B15+B16+B17-B18</f>
        <v>825862</v>
      </c>
      <c r="C19" s="2261"/>
      <c r="D19" s="1708">
        <f>D15+D16+D17-D18</f>
        <v>0</v>
      </c>
      <c r="E19" s="1708">
        <f t="shared" ref="E19:N19" si="13">E15+E16+E17-E18</f>
        <v>0</v>
      </c>
      <c r="F19" s="1708">
        <f t="shared" si="13"/>
        <v>3640</v>
      </c>
      <c r="G19" s="1708">
        <f t="shared" si="13"/>
        <v>0</v>
      </c>
      <c r="H19" s="1708">
        <f t="shared" si="13"/>
        <v>68</v>
      </c>
      <c r="I19" s="1708">
        <f t="shared" si="13"/>
        <v>10</v>
      </c>
      <c r="J19" s="1708">
        <f t="shared" si="13"/>
        <v>4</v>
      </c>
      <c r="K19" s="1708">
        <f t="shared" si="13"/>
        <v>67</v>
      </c>
      <c r="L19" s="1708">
        <f t="shared" si="13"/>
        <v>0</v>
      </c>
      <c r="M19" s="1708">
        <f t="shared" si="13"/>
        <v>0</v>
      </c>
      <c r="N19" s="1708">
        <f t="shared" si="13"/>
        <v>0</v>
      </c>
      <c r="O19" s="1708">
        <f>O15+O16+O17-O18</f>
        <v>0</v>
      </c>
      <c r="P19" s="1708">
        <f t="shared" ref="P19:Q19" si="14">P15+P16+P17-P18</f>
        <v>100</v>
      </c>
      <c r="Q19" s="2260">
        <f t="shared" si="14"/>
        <v>10</v>
      </c>
      <c r="R19" s="2261"/>
      <c r="S19" s="1705">
        <f>S15+S16-S17-S18</f>
        <v>2</v>
      </c>
      <c r="T19" s="2256" t="s">
        <v>48</v>
      </c>
      <c r="U19" s="49" t="s">
        <v>58</v>
      </c>
      <c r="V19" s="2262"/>
      <c r="W19" s="2262"/>
      <c r="X19" s="2262"/>
      <c r="Y19" s="2269"/>
    </row>
    <row r="20" spans="1:25" ht="23.25" customHeight="1" x14ac:dyDescent="0.25">
      <c r="A20" s="289" t="s">
        <v>187</v>
      </c>
      <c r="B20" s="2286">
        <f>B19*0.9625</f>
        <v>794892.17500000005</v>
      </c>
      <c r="C20" s="2287"/>
      <c r="D20" s="290">
        <f>D19*66.41</f>
        <v>0</v>
      </c>
      <c r="E20" s="290">
        <f>27.9368*E19</f>
        <v>0</v>
      </c>
      <c r="F20" s="290">
        <f>18.31*F19</f>
        <v>66648.399999999994</v>
      </c>
      <c r="G20" s="290">
        <f>27.9368*G19</f>
        <v>0</v>
      </c>
      <c r="H20" s="290">
        <f>241*H19</f>
        <v>16388</v>
      </c>
      <c r="I20" s="290">
        <f>323*I19</f>
        <v>3230</v>
      </c>
      <c r="J20" s="290">
        <f>241*J19</f>
        <v>964</v>
      </c>
      <c r="K20" s="290">
        <f>K19*100</f>
        <v>6700</v>
      </c>
      <c r="L20" s="290">
        <f>241*L19</f>
        <v>0</v>
      </c>
      <c r="M20" s="290">
        <f>47.1625*M19</f>
        <v>0</v>
      </c>
      <c r="N20" s="290">
        <f>N19*8.81</f>
        <v>0</v>
      </c>
      <c r="O20" s="290">
        <f>241*O19</f>
        <v>0</v>
      </c>
      <c r="P20" s="290">
        <f>P19*48.2</f>
        <v>4820</v>
      </c>
      <c r="Q20" s="2286">
        <f>470*Q19</f>
        <v>4700</v>
      </c>
      <c r="R20" s="2287"/>
      <c r="S20" s="290">
        <f>341*S19</f>
        <v>682</v>
      </c>
      <c r="T20" s="2257"/>
      <c r="U20" s="49" t="s">
        <v>59</v>
      </c>
      <c r="V20" s="2262">
        <v>257000</v>
      </c>
      <c r="W20" s="2262"/>
      <c r="X20" s="2262"/>
      <c r="Y20" s="2269"/>
    </row>
    <row r="21" spans="1:25" ht="32.25" customHeight="1" x14ac:dyDescent="0.25">
      <c r="A21" s="291" t="s">
        <v>186</v>
      </c>
      <c r="B21" s="2293">
        <f>SUM(B20:S20)</f>
        <v>899024.57500000007</v>
      </c>
      <c r="C21" s="2293"/>
      <c r="O21" s="1712"/>
      <c r="P21" s="1712"/>
      <c r="Q21" s="1712"/>
      <c r="R21" s="1712"/>
      <c r="T21" s="2294" t="s">
        <v>518</v>
      </c>
      <c r="U21" s="2295"/>
      <c r="V21" s="2297"/>
      <c r="W21" s="2298"/>
      <c r="X21" s="2299"/>
      <c r="Y21" s="2269"/>
    </row>
    <row r="22" spans="1:25" ht="35.25" customHeight="1" x14ac:dyDescent="0.25">
      <c r="A22" s="15"/>
      <c r="B22" s="2288" t="s">
        <v>49</v>
      </c>
      <c r="C22" s="2291">
        <v>400000</v>
      </c>
      <c r="D22" s="2291"/>
      <c r="E22" s="2291"/>
      <c r="F22" s="2291">
        <f>C22-D22+E22</f>
        <v>400000</v>
      </c>
      <c r="G22" s="1712"/>
      <c r="Q22" s="1712"/>
      <c r="R22" s="1712"/>
      <c r="T22" s="2251" t="s">
        <v>83</v>
      </c>
      <c r="U22" s="50" t="s">
        <v>60</v>
      </c>
      <c r="V22" s="2262">
        <v>257600</v>
      </c>
      <c r="W22" s="2262"/>
      <c r="X22" s="2262"/>
      <c r="Y22" s="2269"/>
    </row>
    <row r="23" spans="1:25" ht="39.75" customHeight="1" x14ac:dyDescent="0.25">
      <c r="A23" s="1712"/>
      <c r="B23" s="2289"/>
      <c r="C23" s="2292"/>
      <c r="D23" s="2292"/>
      <c r="E23" s="2292"/>
      <c r="F23" s="2292"/>
      <c r="G23" s="1712"/>
      <c r="Q23" s="1712"/>
      <c r="R23" s="1712"/>
      <c r="T23" s="2252"/>
      <c r="U23" s="50" t="s">
        <v>61</v>
      </c>
      <c r="V23" s="2262">
        <v>257000</v>
      </c>
      <c r="W23" s="2262"/>
      <c r="X23" s="2262"/>
      <c r="Y23" s="2269"/>
    </row>
    <row r="24" spans="1:25" ht="48" customHeight="1" x14ac:dyDescent="0.25">
      <c r="A24" s="1712"/>
      <c r="B24" s="2290"/>
      <c r="C24" s="290" t="s">
        <v>46</v>
      </c>
      <c r="D24" s="290" t="s">
        <v>50</v>
      </c>
      <c r="E24" s="290" t="s">
        <v>51</v>
      </c>
      <c r="F24" s="290" t="s">
        <v>52</v>
      </c>
      <c r="G24" s="1712"/>
      <c r="Q24" s="1712"/>
      <c r="R24" s="1712"/>
      <c r="T24" s="2235" t="s">
        <v>47</v>
      </c>
      <c r="U24" s="51" t="s">
        <v>62</v>
      </c>
      <c r="V24" s="2263">
        <f>V14+V16+V17-V18-V19-V20-V22+V23-V21</f>
        <v>9647.5625</v>
      </c>
      <c r="W24" s="2263"/>
      <c r="X24" s="2263"/>
      <c r="Y24" s="2269"/>
    </row>
    <row r="25" spans="1:25" ht="40.5" customHeight="1" x14ac:dyDescent="0.25">
      <c r="T25" s="2235"/>
      <c r="U25" s="51" t="s">
        <v>63</v>
      </c>
      <c r="V25" s="2262">
        <f>V15+V22-V23</f>
        <v>10977</v>
      </c>
      <c r="W25" s="2262"/>
      <c r="X25" s="2262"/>
    </row>
    <row r="26" spans="1:25" ht="36" customHeight="1" x14ac:dyDescent="0.25">
      <c r="K26" s="314"/>
    </row>
    <row r="28" spans="1:25" x14ac:dyDescent="0.25">
      <c r="J28" s="14" t="s">
        <v>139</v>
      </c>
    </row>
    <row r="32" spans="1:25" x14ac:dyDescent="0.25">
      <c r="I32" s="2280"/>
      <c r="J32" s="2280"/>
      <c r="K32" s="2280"/>
      <c r="L32" s="2280"/>
    </row>
    <row r="33" spans="9:12" x14ac:dyDescent="0.25">
      <c r="I33" s="1712"/>
      <c r="J33" s="1712"/>
      <c r="K33" s="2280"/>
      <c r="L33" s="2280"/>
    </row>
  </sheetData>
  <mergeCells count="62">
    <mergeCell ref="A1:Y1"/>
    <mergeCell ref="A2:Y2"/>
    <mergeCell ref="T3:Y3"/>
    <mergeCell ref="A4:A5"/>
    <mergeCell ref="B4:B5"/>
    <mergeCell ref="C4:D4"/>
    <mergeCell ref="E4:F4"/>
    <mergeCell ref="G4:H4"/>
    <mergeCell ref="I4:J4"/>
    <mergeCell ref="K4:L4"/>
    <mergeCell ref="Y4:Y5"/>
    <mergeCell ref="M4:N4"/>
    <mergeCell ref="O4:P4"/>
    <mergeCell ref="Q4:R4"/>
    <mergeCell ref="S4:T4"/>
    <mergeCell ref="U4:V4"/>
    <mergeCell ref="W4:X4"/>
    <mergeCell ref="B16:C16"/>
    <mergeCell ref="Q16:R16"/>
    <mergeCell ref="T16:U16"/>
    <mergeCell ref="V16:X16"/>
    <mergeCell ref="A12:B12"/>
    <mergeCell ref="B14:C14"/>
    <mergeCell ref="Q14:R14"/>
    <mergeCell ref="T14:T15"/>
    <mergeCell ref="V14:X14"/>
    <mergeCell ref="B15:C15"/>
    <mergeCell ref="Q15:R15"/>
    <mergeCell ref="V15:X15"/>
    <mergeCell ref="B17:C17"/>
    <mergeCell ref="Q17:R17"/>
    <mergeCell ref="T17:U17"/>
    <mergeCell ref="V17:X17"/>
    <mergeCell ref="B18:C18"/>
    <mergeCell ref="Q18:R18"/>
    <mergeCell ref="T18:U18"/>
    <mergeCell ref="V18:X18"/>
    <mergeCell ref="Y18:Y24"/>
    <mergeCell ref="B19:C19"/>
    <mergeCell ref="Q19:R19"/>
    <mergeCell ref="T19:T20"/>
    <mergeCell ref="V19:X19"/>
    <mergeCell ref="B20:C20"/>
    <mergeCell ref="B22:B24"/>
    <mergeCell ref="C22:C23"/>
    <mergeCell ref="D22:D23"/>
    <mergeCell ref="E22:E23"/>
    <mergeCell ref="F22:F23"/>
    <mergeCell ref="Q20:R20"/>
    <mergeCell ref="V20:X20"/>
    <mergeCell ref="B21:C21"/>
    <mergeCell ref="T21:U21"/>
    <mergeCell ref="V21:X21"/>
    <mergeCell ref="I32:J32"/>
    <mergeCell ref="K32:L32"/>
    <mergeCell ref="K33:L33"/>
    <mergeCell ref="T22:T23"/>
    <mergeCell ref="V22:X22"/>
    <mergeCell ref="V23:X23"/>
    <mergeCell ref="T24:T25"/>
    <mergeCell ref="V24:X24"/>
    <mergeCell ref="V25:X25"/>
  </mergeCells>
  <pageMargins left="0.15748031496063" right="0.15748031496063" top="0" bottom="0" header="0" footer="0"/>
  <pageSetup paperSize="9" scale="46" orientation="landscape" r:id="rId1"/>
</worksheet>
</file>

<file path=xl/worksheets/sheet27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871616E-3C43-447E-912B-EE16225A86E0}">
  <sheetPr>
    <pageSetUpPr fitToPage="1"/>
  </sheetPr>
  <dimension ref="A1:Y33"/>
  <sheetViews>
    <sheetView topLeftCell="D2" zoomScale="70" zoomScaleNormal="70" zoomScaleSheetLayoutView="100" zoomScalePageLayoutView="68" workbookViewId="0">
      <selection activeCell="Y9" sqref="Y9:Y10"/>
    </sheetView>
  </sheetViews>
  <sheetFormatPr defaultColWidth="9.140625" defaultRowHeight="15" x14ac:dyDescent="0.25"/>
  <cols>
    <col min="1" max="1" width="18.28515625" style="14" customWidth="1"/>
    <col min="2" max="2" width="10.7109375" style="14" customWidth="1"/>
    <col min="3" max="3" width="12.28515625" style="14" customWidth="1"/>
    <col min="4" max="4" width="13.140625" style="14" bestFit="1" customWidth="1"/>
    <col min="5" max="5" width="12" style="14" customWidth="1"/>
    <col min="6" max="6" width="14" style="14" bestFit="1" customWidth="1"/>
    <col min="7" max="7" width="16" style="14" bestFit="1" customWidth="1"/>
    <col min="8" max="8" width="10.140625" style="14" bestFit="1" customWidth="1"/>
    <col min="9" max="9" width="10.5703125" style="14" bestFit="1" customWidth="1"/>
    <col min="10" max="10" width="10.5703125" style="14" customWidth="1"/>
    <col min="11" max="11" width="10.28515625" style="14" bestFit="1" customWidth="1"/>
    <col min="12" max="12" width="10.42578125" style="14" bestFit="1" customWidth="1"/>
    <col min="13" max="14" width="12" style="14" bestFit="1" customWidth="1"/>
    <col min="15" max="15" width="11" style="14" customWidth="1"/>
    <col min="16" max="16" width="12.85546875" style="14" bestFit="1" customWidth="1"/>
    <col min="17" max="18" width="9.42578125" style="14" customWidth="1"/>
    <col min="19" max="19" width="13.7109375" style="14" customWidth="1"/>
    <col min="20" max="20" width="12.140625" style="14" customWidth="1"/>
    <col min="21" max="21" width="21.7109375" style="14" customWidth="1"/>
    <col min="22" max="22" width="9.85546875" style="14" customWidth="1"/>
    <col min="23" max="23" width="10.140625" style="14" bestFit="1" customWidth="1"/>
    <col min="24" max="24" width="10.28515625" style="14" customWidth="1"/>
    <col min="25" max="25" width="15.7109375" style="14" customWidth="1"/>
    <col min="26" max="16384" width="9.140625" style="14"/>
  </cols>
  <sheetData>
    <row r="1" spans="1:25" ht="46.15" customHeight="1" x14ac:dyDescent="0.25">
      <c r="A1" s="2240" t="s">
        <v>148</v>
      </c>
      <c r="B1" s="2240"/>
      <c r="C1" s="2240"/>
      <c r="D1" s="2240"/>
      <c r="E1" s="2240"/>
      <c r="F1" s="2240"/>
      <c r="G1" s="2240"/>
      <c r="H1" s="2240"/>
      <c r="I1" s="2240"/>
      <c r="J1" s="2240"/>
      <c r="K1" s="2240"/>
      <c r="L1" s="2240"/>
      <c r="M1" s="2240"/>
      <c r="N1" s="2240"/>
      <c r="O1" s="2240"/>
      <c r="P1" s="2240"/>
      <c r="Q1" s="2240"/>
      <c r="R1" s="2240"/>
      <c r="S1" s="2240"/>
      <c r="T1" s="2240"/>
      <c r="U1" s="2240"/>
      <c r="V1" s="2240"/>
      <c r="W1" s="2240"/>
      <c r="X1" s="2240"/>
      <c r="Y1" s="2240"/>
    </row>
    <row r="2" spans="1:25" ht="21.6" customHeight="1" x14ac:dyDescent="0.25">
      <c r="A2" s="2241" t="s">
        <v>383</v>
      </c>
      <c r="B2" s="2241"/>
      <c r="C2" s="2241"/>
      <c r="D2" s="2241"/>
      <c r="E2" s="2241"/>
      <c r="F2" s="2241"/>
      <c r="G2" s="2241"/>
      <c r="H2" s="2241"/>
      <c r="I2" s="2241"/>
      <c r="J2" s="2241"/>
      <c r="K2" s="2241"/>
      <c r="L2" s="2241"/>
      <c r="M2" s="2241"/>
      <c r="N2" s="2241"/>
      <c r="O2" s="2241"/>
      <c r="P2" s="2241"/>
      <c r="Q2" s="2241"/>
      <c r="R2" s="2241"/>
      <c r="S2" s="2241"/>
      <c r="T2" s="2241"/>
      <c r="U2" s="2241"/>
      <c r="V2" s="2241"/>
      <c r="W2" s="2241"/>
      <c r="X2" s="2241"/>
      <c r="Y2" s="2241"/>
    </row>
    <row r="3" spans="1:25" ht="21" customHeight="1" x14ac:dyDescent="0.25">
      <c r="A3" s="1707"/>
      <c r="B3" s="1707"/>
      <c r="C3" s="1707"/>
      <c r="D3" s="1707"/>
      <c r="E3" s="1707"/>
      <c r="F3" s="1707"/>
      <c r="G3" s="1707"/>
      <c r="H3" s="1707"/>
      <c r="I3" s="1707"/>
      <c r="J3" s="1707"/>
      <c r="K3" s="1707"/>
      <c r="L3" s="1707"/>
      <c r="M3" s="1707"/>
      <c r="N3" s="1707"/>
      <c r="O3" s="1707"/>
      <c r="P3" s="1707"/>
      <c r="Q3" s="1707"/>
      <c r="R3" s="1707"/>
      <c r="S3" s="1707"/>
      <c r="T3" s="2242" t="s">
        <v>527</v>
      </c>
      <c r="U3" s="2242"/>
      <c r="V3" s="2242"/>
      <c r="W3" s="2242"/>
      <c r="X3" s="2242"/>
      <c r="Y3" s="2242"/>
    </row>
    <row r="4" spans="1:25" s="1707" customFormat="1" ht="18" customHeight="1" x14ac:dyDescent="0.25">
      <c r="A4" s="2243" t="s">
        <v>25</v>
      </c>
      <c r="B4" s="2243" t="s">
        <v>26</v>
      </c>
      <c r="C4" s="2244" t="s">
        <v>27</v>
      </c>
      <c r="D4" s="2244"/>
      <c r="E4" s="2244" t="s">
        <v>342</v>
      </c>
      <c r="F4" s="2244"/>
      <c r="G4" s="2244" t="s">
        <v>65</v>
      </c>
      <c r="H4" s="2244"/>
      <c r="I4" s="2244" t="s">
        <v>29</v>
      </c>
      <c r="J4" s="2244"/>
      <c r="K4" s="2245" t="s">
        <v>14</v>
      </c>
      <c r="L4" s="2246"/>
      <c r="M4" s="2245" t="s">
        <v>429</v>
      </c>
      <c r="N4" s="2246"/>
      <c r="O4" s="2245" t="s">
        <v>441</v>
      </c>
      <c r="P4" s="2246"/>
      <c r="Q4" s="2245" t="s">
        <v>114</v>
      </c>
      <c r="R4" s="2246"/>
      <c r="S4" s="2244" t="s">
        <v>35</v>
      </c>
      <c r="T4" s="2244"/>
      <c r="U4" s="2245" t="s">
        <v>17</v>
      </c>
      <c r="V4" s="2246"/>
      <c r="W4" s="2247" t="s">
        <v>36</v>
      </c>
      <c r="X4" s="2248"/>
      <c r="Y4" s="2238" t="s">
        <v>30</v>
      </c>
    </row>
    <row r="5" spans="1:25" s="1707" customFormat="1" ht="25.5" customHeight="1" x14ac:dyDescent="0.25">
      <c r="A5" s="2243"/>
      <c r="B5" s="2243"/>
      <c r="C5" s="1706" t="s">
        <v>42</v>
      </c>
      <c r="D5" s="1706" t="s">
        <v>43</v>
      </c>
      <c r="E5" s="1706" t="s">
        <v>42</v>
      </c>
      <c r="F5" s="1706" t="s">
        <v>43</v>
      </c>
      <c r="G5" s="1706" t="s">
        <v>42</v>
      </c>
      <c r="H5" s="1706" t="s">
        <v>43</v>
      </c>
      <c r="I5" s="1706" t="s">
        <v>42</v>
      </c>
      <c r="J5" s="1706" t="s">
        <v>43</v>
      </c>
      <c r="K5" s="1706" t="s">
        <v>42</v>
      </c>
      <c r="L5" s="1706" t="s">
        <v>43</v>
      </c>
      <c r="M5" s="1706" t="s">
        <v>42</v>
      </c>
      <c r="N5" s="1706" t="s">
        <v>43</v>
      </c>
      <c r="O5" s="1706" t="s">
        <v>42</v>
      </c>
      <c r="P5" s="1706" t="s">
        <v>43</v>
      </c>
      <c r="Q5" s="1706" t="s">
        <v>42</v>
      </c>
      <c r="R5" s="1706" t="s">
        <v>43</v>
      </c>
      <c r="S5" s="33" t="s">
        <v>42</v>
      </c>
      <c r="T5" s="33" t="s">
        <v>43</v>
      </c>
      <c r="U5" s="30" t="s">
        <v>42</v>
      </c>
      <c r="V5" s="30" t="s">
        <v>43</v>
      </c>
      <c r="W5" s="30" t="s">
        <v>42</v>
      </c>
      <c r="X5" s="30" t="s">
        <v>43</v>
      </c>
      <c r="Y5" s="2239"/>
    </row>
    <row r="6" spans="1:25" ht="34.5" customHeight="1" x14ac:dyDescent="0.25">
      <c r="A6" s="12">
        <v>1409935200</v>
      </c>
      <c r="B6" s="1705" t="s">
        <v>71</v>
      </c>
      <c r="C6" s="1703">
        <v>11998</v>
      </c>
      <c r="D6" s="1702">
        <f t="shared" ref="D6:D11" si="0">0.9725*C6</f>
        <v>11668.055</v>
      </c>
      <c r="E6" s="1703"/>
      <c r="F6" s="1702">
        <f>67.1*E6</f>
        <v>0</v>
      </c>
      <c r="G6" s="1703"/>
      <c r="H6" s="1703">
        <f>28.2*G6</f>
        <v>0</v>
      </c>
      <c r="I6" s="1703"/>
      <c r="J6" s="1703">
        <f>18.5*I6</f>
        <v>0</v>
      </c>
      <c r="K6" s="1703"/>
      <c r="L6" s="1702">
        <f>28.2368*K6</f>
        <v>0</v>
      </c>
      <c r="M6" s="1703"/>
      <c r="N6" s="1702">
        <f>M6*47.6525</f>
        <v>0</v>
      </c>
      <c r="O6" s="1703"/>
      <c r="P6" s="1702">
        <f>O6*8.9</f>
        <v>0</v>
      </c>
      <c r="Q6" s="1702"/>
      <c r="R6" s="1702">
        <f>241*Q6</f>
        <v>0</v>
      </c>
      <c r="S6" s="1703"/>
      <c r="T6" s="1703">
        <f>241*S6</f>
        <v>0</v>
      </c>
      <c r="U6" s="1703"/>
      <c r="V6" s="1703">
        <f>332*U6</f>
        <v>0</v>
      </c>
      <c r="W6" s="1703"/>
      <c r="X6" s="19">
        <f>W6*100</f>
        <v>0</v>
      </c>
      <c r="Y6" s="20">
        <f t="shared" ref="Y6:Y12" si="1">D6+F6+H6+J6+L6+N6+P6+R6+T6+V6+X6</f>
        <v>11668.055</v>
      </c>
    </row>
    <row r="7" spans="1:25" ht="31.5" customHeight="1" x14ac:dyDescent="0.25">
      <c r="A7" s="12">
        <v>1984225578</v>
      </c>
      <c r="B7" s="1705" t="s">
        <v>509</v>
      </c>
      <c r="C7" s="1703">
        <v>9856</v>
      </c>
      <c r="D7" s="1702">
        <f t="shared" si="0"/>
        <v>9584.9600000000009</v>
      </c>
      <c r="E7" s="1703"/>
      <c r="F7" s="1703">
        <f t="shared" ref="F7:F11" si="2">67.1*E7</f>
        <v>0</v>
      </c>
      <c r="G7" s="1703"/>
      <c r="H7" s="1703">
        <f t="shared" ref="H7:H11" si="3">28.2*G7</f>
        <v>0</v>
      </c>
      <c r="I7" s="1703"/>
      <c r="J7" s="1703">
        <f t="shared" ref="J7:J11" si="4">18.5*I7</f>
        <v>0</v>
      </c>
      <c r="K7" s="1703"/>
      <c r="L7" s="1702">
        <f t="shared" ref="L7:L11" si="5">28.2368*K7</f>
        <v>0</v>
      </c>
      <c r="M7" s="1703"/>
      <c r="N7" s="1702">
        <f t="shared" ref="N7:N11" si="6">M7*47.6525</f>
        <v>0</v>
      </c>
      <c r="O7" s="1703"/>
      <c r="P7" s="1702">
        <f t="shared" ref="P7:P11" si="7">O7*8.9</f>
        <v>0</v>
      </c>
      <c r="Q7" s="1702"/>
      <c r="R7" s="1702">
        <f t="shared" ref="R7:R11" si="8">241*Q7</f>
        <v>0</v>
      </c>
      <c r="S7" s="1703"/>
      <c r="T7" s="1703">
        <f t="shared" ref="T7:T10" si="9">241*S7</f>
        <v>0</v>
      </c>
      <c r="U7" s="1703"/>
      <c r="V7" s="1703">
        <f t="shared" ref="V7:V11" si="10">332*U7</f>
        <v>0</v>
      </c>
      <c r="W7" s="1703"/>
      <c r="X7" s="19">
        <f t="shared" ref="X7:X11" si="11">W7*100</f>
        <v>0</v>
      </c>
      <c r="Y7" s="20">
        <f t="shared" si="1"/>
        <v>9584.9600000000009</v>
      </c>
    </row>
    <row r="8" spans="1:25" ht="35.25" customHeight="1" x14ac:dyDescent="0.25">
      <c r="A8" s="12">
        <v>1967020280</v>
      </c>
      <c r="B8" s="1705" t="s">
        <v>427</v>
      </c>
      <c r="C8" s="1703">
        <v>11948</v>
      </c>
      <c r="D8" s="1702">
        <f t="shared" si="0"/>
        <v>11619.43</v>
      </c>
      <c r="E8" s="1703"/>
      <c r="F8" s="1703">
        <f t="shared" si="2"/>
        <v>0</v>
      </c>
      <c r="G8" s="1703"/>
      <c r="H8" s="1702">
        <f t="shared" si="3"/>
        <v>0</v>
      </c>
      <c r="I8" s="1703"/>
      <c r="J8" s="1703">
        <f t="shared" si="4"/>
        <v>0</v>
      </c>
      <c r="K8" s="1703"/>
      <c r="L8" s="1702">
        <f t="shared" si="5"/>
        <v>0</v>
      </c>
      <c r="M8" s="1703"/>
      <c r="N8" s="1702">
        <f t="shared" si="6"/>
        <v>0</v>
      </c>
      <c r="O8" s="1703"/>
      <c r="P8" s="1702">
        <f t="shared" si="7"/>
        <v>0</v>
      </c>
      <c r="Q8" s="1702"/>
      <c r="R8" s="1702">
        <f t="shared" si="8"/>
        <v>0</v>
      </c>
      <c r="S8" s="1703"/>
      <c r="T8" s="1703">
        <f t="shared" si="9"/>
        <v>0</v>
      </c>
      <c r="U8" s="1703"/>
      <c r="V8" s="1703">
        <f t="shared" si="10"/>
        <v>0</v>
      </c>
      <c r="W8" s="1703"/>
      <c r="X8" s="19">
        <f t="shared" si="11"/>
        <v>0</v>
      </c>
      <c r="Y8" s="20">
        <f t="shared" si="1"/>
        <v>11619.43</v>
      </c>
    </row>
    <row r="9" spans="1:25" ht="38.25" customHeight="1" x14ac:dyDescent="0.25">
      <c r="A9" s="12">
        <v>1984225580</v>
      </c>
      <c r="B9" s="1705" t="s">
        <v>75</v>
      </c>
      <c r="C9" s="1703">
        <v>12919</v>
      </c>
      <c r="D9" s="1702">
        <f t="shared" si="0"/>
        <v>12563.727500000001</v>
      </c>
      <c r="E9" s="1703"/>
      <c r="F9" s="1703">
        <f t="shared" si="2"/>
        <v>0</v>
      </c>
      <c r="G9" s="1703"/>
      <c r="H9" s="1703">
        <f t="shared" si="3"/>
        <v>0</v>
      </c>
      <c r="I9" s="1703">
        <v>30</v>
      </c>
      <c r="J9" s="1703">
        <f t="shared" si="4"/>
        <v>555</v>
      </c>
      <c r="K9" s="1703"/>
      <c r="L9" s="1702">
        <f t="shared" si="5"/>
        <v>0</v>
      </c>
      <c r="M9" s="1703"/>
      <c r="N9" s="1702">
        <f t="shared" si="6"/>
        <v>0</v>
      </c>
      <c r="O9" s="1703"/>
      <c r="P9" s="1702">
        <f t="shared" si="7"/>
        <v>0</v>
      </c>
      <c r="Q9" s="1702"/>
      <c r="R9" s="1702">
        <f t="shared" si="8"/>
        <v>0</v>
      </c>
      <c r="S9" s="1703"/>
      <c r="T9" s="1703">
        <f t="shared" si="9"/>
        <v>0</v>
      </c>
      <c r="U9" s="1703"/>
      <c r="V9" s="1703">
        <f t="shared" si="10"/>
        <v>0</v>
      </c>
      <c r="W9" s="1703"/>
      <c r="X9" s="19">
        <f t="shared" si="11"/>
        <v>0</v>
      </c>
      <c r="Y9" s="20">
        <f t="shared" si="1"/>
        <v>13118.727500000001</v>
      </c>
    </row>
    <row r="10" spans="1:25" ht="35.25" customHeight="1" x14ac:dyDescent="0.25">
      <c r="A10" s="12">
        <v>1409935199</v>
      </c>
      <c r="C10" s="1703"/>
      <c r="D10" s="1702">
        <f t="shared" si="0"/>
        <v>0</v>
      </c>
      <c r="E10" s="1703"/>
      <c r="F10" s="1703">
        <f t="shared" si="2"/>
        <v>0</v>
      </c>
      <c r="G10" s="1703"/>
      <c r="H10" s="1703">
        <f t="shared" si="3"/>
        <v>0</v>
      </c>
      <c r="I10" s="1703"/>
      <c r="J10" s="1703">
        <f t="shared" si="4"/>
        <v>0</v>
      </c>
      <c r="K10" s="1703"/>
      <c r="L10" s="1702">
        <f t="shared" si="5"/>
        <v>0</v>
      </c>
      <c r="M10" s="1703"/>
      <c r="N10" s="1702">
        <f t="shared" si="6"/>
        <v>0</v>
      </c>
      <c r="O10" s="1703"/>
      <c r="P10" s="1702">
        <f t="shared" si="7"/>
        <v>0</v>
      </c>
      <c r="Q10" s="1702"/>
      <c r="R10" s="1702">
        <f t="shared" si="8"/>
        <v>0</v>
      </c>
      <c r="S10" s="1703">
        <v>30</v>
      </c>
      <c r="T10" s="1703">
        <f t="shared" si="9"/>
        <v>7230</v>
      </c>
      <c r="U10" s="1703"/>
      <c r="V10" s="1703">
        <f t="shared" si="10"/>
        <v>0</v>
      </c>
      <c r="W10" s="1703"/>
      <c r="X10" s="19">
        <f t="shared" si="11"/>
        <v>0</v>
      </c>
      <c r="Y10" s="20">
        <f t="shared" si="1"/>
        <v>7230</v>
      </c>
    </row>
    <row r="11" spans="1:25" ht="37.5" customHeight="1" x14ac:dyDescent="0.25">
      <c r="A11" s="12"/>
      <c r="B11" s="1704"/>
      <c r="C11" s="1703"/>
      <c r="D11" s="1702">
        <f t="shared" si="0"/>
        <v>0</v>
      </c>
      <c r="E11" s="1703"/>
      <c r="F11" s="1703">
        <f t="shared" si="2"/>
        <v>0</v>
      </c>
      <c r="G11" s="1703"/>
      <c r="H11" s="1703">
        <f t="shared" si="3"/>
        <v>0</v>
      </c>
      <c r="I11" s="1703"/>
      <c r="J11" s="1703">
        <f t="shared" si="4"/>
        <v>0</v>
      </c>
      <c r="K11" s="1703"/>
      <c r="L11" s="1702">
        <f t="shared" si="5"/>
        <v>0</v>
      </c>
      <c r="M11" s="1703"/>
      <c r="N11" s="1702">
        <f t="shared" si="6"/>
        <v>0</v>
      </c>
      <c r="O11" s="1703"/>
      <c r="P11" s="1702">
        <f t="shared" si="7"/>
        <v>0</v>
      </c>
      <c r="Q11" s="1702"/>
      <c r="R11" s="1702">
        <f t="shared" si="8"/>
        <v>0</v>
      </c>
      <c r="S11" s="1703"/>
      <c r="T11" s="1703">
        <f>341*S11</f>
        <v>0</v>
      </c>
      <c r="U11" s="1703"/>
      <c r="V11" s="1703">
        <f t="shared" si="10"/>
        <v>0</v>
      </c>
      <c r="W11" s="1703"/>
      <c r="X11" s="19">
        <f t="shared" si="11"/>
        <v>0</v>
      </c>
      <c r="Y11" s="20">
        <f t="shared" si="1"/>
        <v>0</v>
      </c>
    </row>
    <row r="12" spans="1:25" ht="29.25" customHeight="1" x14ac:dyDescent="0.25">
      <c r="A12" s="2235" t="s">
        <v>31</v>
      </c>
      <c r="B12" s="2235"/>
      <c r="C12" s="18">
        <f t="shared" ref="C12:X12" si="12">SUM(C6:C11)</f>
        <v>46721</v>
      </c>
      <c r="D12" s="18">
        <f t="shared" si="12"/>
        <v>45436.172500000001</v>
      </c>
      <c r="E12" s="18">
        <f t="shared" si="12"/>
        <v>0</v>
      </c>
      <c r="F12" s="18">
        <f t="shared" si="12"/>
        <v>0</v>
      </c>
      <c r="G12" s="18">
        <f t="shared" si="12"/>
        <v>0</v>
      </c>
      <c r="H12" s="18">
        <f t="shared" si="12"/>
        <v>0</v>
      </c>
      <c r="I12" s="18">
        <f t="shared" si="12"/>
        <v>30</v>
      </c>
      <c r="J12" s="18">
        <f t="shared" si="12"/>
        <v>555</v>
      </c>
      <c r="K12" s="18">
        <f t="shared" si="12"/>
        <v>0</v>
      </c>
      <c r="L12" s="18">
        <f t="shared" si="12"/>
        <v>0</v>
      </c>
      <c r="M12" s="18">
        <f t="shared" si="12"/>
        <v>0</v>
      </c>
      <c r="N12" s="23">
        <f t="shared" si="12"/>
        <v>0</v>
      </c>
      <c r="O12" s="18">
        <f t="shared" si="12"/>
        <v>0</v>
      </c>
      <c r="P12" s="23">
        <f t="shared" si="12"/>
        <v>0</v>
      </c>
      <c r="Q12" s="23">
        <f t="shared" si="12"/>
        <v>0</v>
      </c>
      <c r="R12" s="23">
        <f>SUM(R6:R11)</f>
        <v>0</v>
      </c>
      <c r="S12" s="23">
        <f>SUM(S6:S11)</f>
        <v>30</v>
      </c>
      <c r="T12" s="18">
        <f t="shared" si="12"/>
        <v>7230</v>
      </c>
      <c r="U12" s="18">
        <f t="shared" si="12"/>
        <v>0</v>
      </c>
      <c r="V12" s="18">
        <f t="shared" si="12"/>
        <v>0</v>
      </c>
      <c r="W12" s="18">
        <f t="shared" si="12"/>
        <v>0</v>
      </c>
      <c r="X12" s="18">
        <f t="shared" si="12"/>
        <v>0</v>
      </c>
      <c r="Y12" s="20">
        <f t="shared" si="1"/>
        <v>53221.172500000001</v>
      </c>
    </row>
    <row r="14" spans="1:25" ht="43.5" customHeight="1" x14ac:dyDescent="0.25">
      <c r="A14" s="30" t="s">
        <v>32</v>
      </c>
      <c r="B14" s="2236" t="s">
        <v>27</v>
      </c>
      <c r="C14" s="2236"/>
      <c r="D14" s="30" t="s">
        <v>333</v>
      </c>
      <c r="E14" s="30" t="s">
        <v>65</v>
      </c>
      <c r="F14" s="30" t="s">
        <v>34</v>
      </c>
      <c r="G14" s="30" t="s">
        <v>14</v>
      </c>
      <c r="H14" s="469" t="s">
        <v>173</v>
      </c>
      <c r="I14" s="30" t="s">
        <v>17</v>
      </c>
      <c r="J14" s="1711" t="s">
        <v>174</v>
      </c>
      <c r="K14" s="30" t="s">
        <v>36</v>
      </c>
      <c r="L14" s="1711" t="s">
        <v>403</v>
      </c>
      <c r="M14" s="30" t="s">
        <v>429</v>
      </c>
      <c r="N14" s="30" t="s">
        <v>442</v>
      </c>
      <c r="O14" s="1711" t="s">
        <v>114</v>
      </c>
      <c r="P14" s="30" t="s">
        <v>70</v>
      </c>
      <c r="Q14" s="2300" t="s">
        <v>479</v>
      </c>
      <c r="R14" s="2301"/>
      <c r="S14" s="1711" t="s">
        <v>401</v>
      </c>
      <c r="T14" s="2235" t="s">
        <v>46</v>
      </c>
      <c r="U14" s="1705" t="s">
        <v>176</v>
      </c>
      <c r="V14" s="2260">
        <v>9648</v>
      </c>
      <c r="W14" s="2268"/>
      <c r="X14" s="2261"/>
    </row>
    <row r="15" spans="1:25" ht="22.5" customHeight="1" x14ac:dyDescent="0.25">
      <c r="A15" s="100" t="s">
        <v>38</v>
      </c>
      <c r="B15" s="2260">
        <v>825862</v>
      </c>
      <c r="C15" s="2261"/>
      <c r="D15" s="1708">
        <v>0</v>
      </c>
      <c r="E15" s="1708">
        <v>0</v>
      </c>
      <c r="F15" s="1708">
        <v>3640</v>
      </c>
      <c r="G15" s="1708">
        <v>0</v>
      </c>
      <c r="H15" s="1708">
        <v>68</v>
      </c>
      <c r="I15" s="1708">
        <v>10</v>
      </c>
      <c r="J15" s="1708">
        <v>4</v>
      </c>
      <c r="K15" s="1708">
        <v>67</v>
      </c>
      <c r="L15" s="1708">
        <v>0</v>
      </c>
      <c r="M15" s="1708">
        <v>0</v>
      </c>
      <c r="N15" s="1708">
        <v>0</v>
      </c>
      <c r="O15" s="1708">
        <v>0</v>
      </c>
      <c r="P15" s="1708">
        <v>100</v>
      </c>
      <c r="Q15" s="2260">
        <v>10</v>
      </c>
      <c r="R15" s="2261"/>
      <c r="S15" s="1705">
        <v>2</v>
      </c>
      <c r="T15" s="2235"/>
      <c r="U15" s="1705" t="s">
        <v>64</v>
      </c>
      <c r="V15" s="2262">
        <v>10977</v>
      </c>
      <c r="W15" s="2262"/>
      <c r="X15" s="2262"/>
    </row>
    <row r="16" spans="1:25" ht="24.75" customHeight="1" x14ac:dyDescent="0.25">
      <c r="A16" s="100" t="s">
        <v>39</v>
      </c>
      <c r="B16" s="2260"/>
      <c r="C16" s="2261"/>
      <c r="D16" s="1708"/>
      <c r="E16" s="1708"/>
      <c r="F16" s="1708"/>
      <c r="G16" s="1708"/>
      <c r="H16" s="1708"/>
      <c r="I16" s="1708"/>
      <c r="J16" s="1708"/>
      <c r="K16" s="1708"/>
      <c r="L16" s="1708"/>
      <c r="M16" s="1708"/>
      <c r="N16" s="1708"/>
      <c r="O16" s="1708"/>
      <c r="P16" s="1708"/>
      <c r="Q16" s="2262"/>
      <c r="R16" s="2262"/>
      <c r="S16" s="1708"/>
      <c r="T16" s="2254" t="s">
        <v>55</v>
      </c>
      <c r="U16" s="2254"/>
      <c r="V16" s="2267">
        <f>Y12</f>
        <v>53221.172500000001</v>
      </c>
      <c r="W16" s="2267"/>
      <c r="X16" s="2262"/>
    </row>
    <row r="17" spans="1:25" ht="28.5" customHeight="1" x14ac:dyDescent="0.25">
      <c r="A17" s="101" t="s">
        <v>44</v>
      </c>
      <c r="B17" s="2260"/>
      <c r="C17" s="2261"/>
      <c r="D17" s="1708"/>
      <c r="E17" s="1708"/>
      <c r="F17" s="1708"/>
      <c r="G17" s="1708"/>
      <c r="H17" s="1708"/>
      <c r="I17" s="1708"/>
      <c r="J17" s="1708"/>
      <c r="K17" s="1708"/>
      <c r="L17" s="1708"/>
      <c r="M17" s="1708"/>
      <c r="N17" s="1708"/>
      <c r="O17" s="1708"/>
      <c r="P17" s="1708"/>
      <c r="Q17" s="2225"/>
      <c r="R17" s="2225"/>
      <c r="S17" s="1704"/>
      <c r="T17" s="2294" t="s">
        <v>521</v>
      </c>
      <c r="U17" s="2295"/>
      <c r="V17" s="2296"/>
      <c r="W17" s="2296"/>
      <c r="X17" s="2296"/>
    </row>
    <row r="18" spans="1:25" ht="27" customHeight="1" x14ac:dyDescent="0.25">
      <c r="A18" s="100" t="s">
        <v>40</v>
      </c>
      <c r="B18" s="2264">
        <f>C12</f>
        <v>46721</v>
      </c>
      <c r="C18" s="2261"/>
      <c r="D18" s="1710">
        <f>E12</f>
        <v>0</v>
      </c>
      <c r="E18" s="1710">
        <f>G12</f>
        <v>0</v>
      </c>
      <c r="F18" s="1710">
        <f>I12</f>
        <v>30</v>
      </c>
      <c r="G18" s="1710">
        <f>K12</f>
        <v>0</v>
      </c>
      <c r="H18" s="1708">
        <v>30</v>
      </c>
      <c r="I18" s="1710">
        <f>U12</f>
        <v>0</v>
      </c>
      <c r="J18" s="1708"/>
      <c r="K18" s="1710">
        <f>W12</f>
        <v>0</v>
      </c>
      <c r="L18" s="1708"/>
      <c r="M18" s="1710">
        <f>M12</f>
        <v>0</v>
      </c>
      <c r="N18" s="1710">
        <f>O12</f>
        <v>0</v>
      </c>
      <c r="O18" s="1709">
        <f>Q12</f>
        <v>0</v>
      </c>
      <c r="P18" s="1710"/>
      <c r="Q18" s="2262"/>
      <c r="R18" s="2262"/>
      <c r="S18" s="1705"/>
      <c r="T18" s="2254" t="s">
        <v>57</v>
      </c>
      <c r="U18" s="2254"/>
      <c r="V18" s="2262">
        <v>995</v>
      </c>
      <c r="W18" s="2262"/>
      <c r="X18" s="2262"/>
      <c r="Y18" s="2269"/>
    </row>
    <row r="19" spans="1:25" ht="25.5" customHeight="1" x14ac:dyDescent="0.25">
      <c r="A19" s="100" t="s">
        <v>41</v>
      </c>
      <c r="B19" s="2260">
        <f>B15+B16+B17-B18</f>
        <v>779141</v>
      </c>
      <c r="C19" s="2261"/>
      <c r="D19" s="1708">
        <f>D15+D16+D17-D18</f>
        <v>0</v>
      </c>
      <c r="E19" s="1708">
        <f t="shared" ref="E19:N19" si="13">E15+E16+E17-E18</f>
        <v>0</v>
      </c>
      <c r="F19" s="1708">
        <f t="shared" si="13"/>
        <v>3610</v>
      </c>
      <c r="G19" s="1708">
        <f t="shared" si="13"/>
        <v>0</v>
      </c>
      <c r="H19" s="1708">
        <f t="shared" si="13"/>
        <v>38</v>
      </c>
      <c r="I19" s="1708">
        <f t="shared" si="13"/>
        <v>10</v>
      </c>
      <c r="J19" s="1708">
        <f t="shared" si="13"/>
        <v>4</v>
      </c>
      <c r="K19" s="1708">
        <f t="shared" si="13"/>
        <v>67</v>
      </c>
      <c r="L19" s="1708">
        <f t="shared" si="13"/>
        <v>0</v>
      </c>
      <c r="M19" s="1708">
        <f t="shared" si="13"/>
        <v>0</v>
      </c>
      <c r="N19" s="1708">
        <f t="shared" si="13"/>
        <v>0</v>
      </c>
      <c r="O19" s="1708">
        <f>O15+O16+O17-O18</f>
        <v>0</v>
      </c>
      <c r="P19" s="1708">
        <f t="shared" ref="P19:Q19" si="14">P15+P16+P17-P18</f>
        <v>100</v>
      </c>
      <c r="Q19" s="2260">
        <f t="shared" si="14"/>
        <v>10</v>
      </c>
      <c r="R19" s="2261"/>
      <c r="S19" s="1705">
        <f>S15+S16-S17-S18</f>
        <v>2</v>
      </c>
      <c r="T19" s="2256" t="s">
        <v>48</v>
      </c>
      <c r="U19" s="49" t="s">
        <v>58</v>
      </c>
      <c r="V19" s="2262"/>
      <c r="W19" s="2262"/>
      <c r="X19" s="2262"/>
      <c r="Y19" s="2269"/>
    </row>
    <row r="20" spans="1:25" ht="23.25" customHeight="1" x14ac:dyDescent="0.25">
      <c r="A20" s="289" t="s">
        <v>187</v>
      </c>
      <c r="B20" s="2286">
        <f>B19*0.9625</f>
        <v>749923.21250000002</v>
      </c>
      <c r="C20" s="2287"/>
      <c r="D20" s="290">
        <f>D19*66.41</f>
        <v>0</v>
      </c>
      <c r="E20" s="290">
        <f>27.9368*E19</f>
        <v>0</v>
      </c>
      <c r="F20" s="290">
        <f>18.31*F19</f>
        <v>66099.099999999991</v>
      </c>
      <c r="G20" s="290">
        <f>27.9368*G19</f>
        <v>0</v>
      </c>
      <c r="H20" s="290">
        <f>241*H19</f>
        <v>9158</v>
      </c>
      <c r="I20" s="290">
        <f>323*I19</f>
        <v>3230</v>
      </c>
      <c r="J20" s="290">
        <f>241*J19</f>
        <v>964</v>
      </c>
      <c r="K20" s="290">
        <f>K19*100</f>
        <v>6700</v>
      </c>
      <c r="L20" s="290">
        <f>241*L19</f>
        <v>0</v>
      </c>
      <c r="M20" s="290">
        <f>47.1625*M19</f>
        <v>0</v>
      </c>
      <c r="N20" s="290">
        <f>N19*8.81</f>
        <v>0</v>
      </c>
      <c r="O20" s="290">
        <f>241*O19</f>
        <v>0</v>
      </c>
      <c r="P20" s="290">
        <f>P19*48.2</f>
        <v>4820</v>
      </c>
      <c r="Q20" s="2286">
        <f>470*Q19</f>
        <v>4700</v>
      </c>
      <c r="R20" s="2287"/>
      <c r="S20" s="290">
        <f>341*S19</f>
        <v>682</v>
      </c>
      <c r="T20" s="2257"/>
      <c r="U20" s="49" t="s">
        <v>59</v>
      </c>
      <c r="V20" s="2262"/>
      <c r="W20" s="2262"/>
      <c r="X20" s="2262"/>
      <c r="Y20" s="2269"/>
    </row>
    <row r="21" spans="1:25" ht="32.25" customHeight="1" x14ac:dyDescent="0.25">
      <c r="A21" s="291" t="s">
        <v>186</v>
      </c>
      <c r="B21" s="2293">
        <f>SUM(B20:S20)</f>
        <v>846276.3125</v>
      </c>
      <c r="C21" s="2293"/>
      <c r="O21" s="1712"/>
      <c r="P21" s="1712"/>
      <c r="Q21" s="1712"/>
      <c r="R21" s="1712"/>
      <c r="T21" s="2294" t="s">
        <v>518</v>
      </c>
      <c r="U21" s="2295"/>
      <c r="V21" s="2297"/>
      <c r="W21" s="2298"/>
      <c r="X21" s="2299"/>
      <c r="Y21" s="2269"/>
    </row>
    <row r="22" spans="1:25" ht="35.25" customHeight="1" x14ac:dyDescent="0.25">
      <c r="A22" s="15"/>
      <c r="B22" s="2288" t="s">
        <v>49</v>
      </c>
      <c r="C22" s="2291">
        <v>400000</v>
      </c>
      <c r="D22" s="2291"/>
      <c r="E22" s="2291"/>
      <c r="F22" s="2291">
        <f>C22-D22+E22</f>
        <v>400000</v>
      </c>
      <c r="G22" s="1712"/>
      <c r="Q22" s="1712"/>
      <c r="R22" s="1712"/>
      <c r="T22" s="2251" t="s">
        <v>83</v>
      </c>
      <c r="U22" s="50" t="s">
        <v>60</v>
      </c>
      <c r="V22" s="2262">
        <v>1000</v>
      </c>
      <c r="W22" s="2262"/>
      <c r="X22" s="2262"/>
      <c r="Y22" s="2269"/>
    </row>
    <row r="23" spans="1:25" ht="39.75" customHeight="1" x14ac:dyDescent="0.25">
      <c r="A23" s="1712"/>
      <c r="B23" s="2289"/>
      <c r="C23" s="2292"/>
      <c r="D23" s="2292"/>
      <c r="E23" s="2292"/>
      <c r="F23" s="2292"/>
      <c r="G23" s="1712"/>
      <c r="Q23" s="1712"/>
      <c r="R23" s="1712"/>
      <c r="T23" s="2252"/>
      <c r="U23" s="50" t="s">
        <v>61</v>
      </c>
      <c r="V23" s="2262"/>
      <c r="W23" s="2262"/>
      <c r="X23" s="2262"/>
      <c r="Y23" s="2269"/>
    </row>
    <row r="24" spans="1:25" ht="48" customHeight="1" x14ac:dyDescent="0.25">
      <c r="A24" s="1712"/>
      <c r="B24" s="2290"/>
      <c r="C24" s="290" t="s">
        <v>46</v>
      </c>
      <c r="D24" s="290" t="s">
        <v>50</v>
      </c>
      <c r="E24" s="290" t="s">
        <v>51</v>
      </c>
      <c r="F24" s="290" t="s">
        <v>52</v>
      </c>
      <c r="G24" s="1712"/>
      <c r="Q24" s="1712"/>
      <c r="R24" s="1712"/>
      <c r="T24" s="2235" t="s">
        <v>47</v>
      </c>
      <c r="U24" s="51" t="s">
        <v>62</v>
      </c>
      <c r="V24" s="2263">
        <f>V14+V16+V17-V18-V19-V20-V22+V23-V21</f>
        <v>60874.172500000001</v>
      </c>
      <c r="W24" s="2263"/>
      <c r="X24" s="2263"/>
      <c r="Y24" s="2269"/>
    </row>
    <row r="25" spans="1:25" ht="40.5" customHeight="1" x14ac:dyDescent="0.25">
      <c r="T25" s="2235"/>
      <c r="U25" s="51" t="s">
        <v>63</v>
      </c>
      <c r="V25" s="2262">
        <f>V15+V22-V23</f>
        <v>11977</v>
      </c>
      <c r="W25" s="2262"/>
      <c r="X25" s="2262"/>
    </row>
    <row r="26" spans="1:25" ht="36" customHeight="1" x14ac:dyDescent="0.25">
      <c r="K26" s="314"/>
    </row>
    <row r="28" spans="1:25" x14ac:dyDescent="0.25">
      <c r="J28" s="14" t="s">
        <v>139</v>
      </c>
    </row>
    <row r="32" spans="1:25" x14ac:dyDescent="0.25">
      <c r="I32" s="2280"/>
      <c r="J32" s="2280"/>
      <c r="K32" s="2280"/>
      <c r="L32" s="2280"/>
    </row>
    <row r="33" spans="9:12" x14ac:dyDescent="0.25">
      <c r="I33" s="1712"/>
      <c r="J33" s="1712"/>
      <c r="K33" s="2280"/>
      <c r="L33" s="2280"/>
    </row>
  </sheetData>
  <mergeCells count="62">
    <mergeCell ref="A1:Y1"/>
    <mergeCell ref="A2:Y2"/>
    <mergeCell ref="T3:Y3"/>
    <mergeCell ref="A4:A5"/>
    <mergeCell ref="B4:B5"/>
    <mergeCell ref="C4:D4"/>
    <mergeCell ref="E4:F4"/>
    <mergeCell ref="G4:H4"/>
    <mergeCell ref="I4:J4"/>
    <mergeCell ref="K4:L4"/>
    <mergeCell ref="Y4:Y5"/>
    <mergeCell ref="M4:N4"/>
    <mergeCell ref="O4:P4"/>
    <mergeCell ref="Q4:R4"/>
    <mergeCell ref="S4:T4"/>
    <mergeCell ref="U4:V4"/>
    <mergeCell ref="W4:X4"/>
    <mergeCell ref="B16:C16"/>
    <mergeCell ref="Q16:R16"/>
    <mergeCell ref="T16:U16"/>
    <mergeCell ref="V16:X16"/>
    <mergeCell ref="A12:B12"/>
    <mergeCell ref="B14:C14"/>
    <mergeCell ref="Q14:R14"/>
    <mergeCell ref="T14:T15"/>
    <mergeCell ref="V14:X14"/>
    <mergeCell ref="B15:C15"/>
    <mergeCell ref="Q15:R15"/>
    <mergeCell ref="V15:X15"/>
    <mergeCell ref="B17:C17"/>
    <mergeCell ref="Q17:R17"/>
    <mergeCell ref="T17:U17"/>
    <mergeCell ref="V17:X17"/>
    <mergeCell ref="B18:C18"/>
    <mergeCell ref="Q18:R18"/>
    <mergeCell ref="T18:U18"/>
    <mergeCell ref="V18:X18"/>
    <mergeCell ref="Y18:Y24"/>
    <mergeCell ref="B19:C19"/>
    <mergeCell ref="Q19:R19"/>
    <mergeCell ref="T19:T20"/>
    <mergeCell ref="V19:X19"/>
    <mergeCell ref="B20:C20"/>
    <mergeCell ref="B22:B24"/>
    <mergeCell ref="C22:C23"/>
    <mergeCell ref="D22:D23"/>
    <mergeCell ref="E22:E23"/>
    <mergeCell ref="F22:F23"/>
    <mergeCell ref="Q20:R20"/>
    <mergeCell ref="V20:X20"/>
    <mergeCell ref="B21:C21"/>
    <mergeCell ref="T21:U21"/>
    <mergeCell ref="V21:X21"/>
    <mergeCell ref="I32:J32"/>
    <mergeCell ref="K32:L32"/>
    <mergeCell ref="K33:L33"/>
    <mergeCell ref="T22:T23"/>
    <mergeCell ref="V22:X22"/>
    <mergeCell ref="V23:X23"/>
    <mergeCell ref="T24:T25"/>
    <mergeCell ref="V24:X24"/>
    <mergeCell ref="V25:X25"/>
  </mergeCells>
  <pageMargins left="0.15748031496063" right="0.15748031496063" top="0" bottom="0" header="0" footer="0"/>
  <pageSetup paperSize="9" scale="46" orientation="landscape" r:id="rId1"/>
</worksheet>
</file>

<file path=xl/worksheets/sheet27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ED5FE2C-CDB3-4B7D-A15D-533133C91000}">
  <sheetPr>
    <pageSetUpPr fitToPage="1"/>
  </sheetPr>
  <dimension ref="A1:Y33"/>
  <sheetViews>
    <sheetView topLeftCell="A4" zoomScale="70" zoomScaleNormal="70" zoomScaleSheetLayoutView="100" zoomScalePageLayoutView="68" workbookViewId="0">
      <selection activeCell="L23" sqref="L23"/>
    </sheetView>
  </sheetViews>
  <sheetFormatPr defaultColWidth="9.140625" defaultRowHeight="15" x14ac:dyDescent="0.25"/>
  <cols>
    <col min="1" max="1" width="18.28515625" style="14" customWidth="1"/>
    <col min="2" max="2" width="10.7109375" style="14" customWidth="1"/>
    <col min="3" max="3" width="12.28515625" style="14" customWidth="1"/>
    <col min="4" max="4" width="13.140625" style="14" bestFit="1" customWidth="1"/>
    <col min="5" max="5" width="12" style="14" customWidth="1"/>
    <col min="6" max="6" width="14" style="14" bestFit="1" customWidth="1"/>
    <col min="7" max="7" width="16" style="14" bestFit="1" customWidth="1"/>
    <col min="8" max="8" width="10.140625" style="14" bestFit="1" customWidth="1"/>
    <col min="9" max="9" width="10.5703125" style="14" bestFit="1" customWidth="1"/>
    <col min="10" max="10" width="10.5703125" style="14" customWidth="1"/>
    <col min="11" max="11" width="10.28515625" style="14" bestFit="1" customWidth="1"/>
    <col min="12" max="12" width="10.42578125" style="14" bestFit="1" customWidth="1"/>
    <col min="13" max="14" width="12" style="14" bestFit="1" customWidth="1"/>
    <col min="15" max="15" width="11" style="14" customWidth="1"/>
    <col min="16" max="16" width="12.85546875" style="14" bestFit="1" customWidth="1"/>
    <col min="17" max="18" width="9.42578125" style="14" customWidth="1"/>
    <col min="19" max="19" width="13.7109375" style="14" customWidth="1"/>
    <col min="20" max="20" width="12.140625" style="14" customWidth="1"/>
    <col min="21" max="21" width="21.7109375" style="14" customWidth="1"/>
    <col min="22" max="22" width="9.85546875" style="14" customWidth="1"/>
    <col min="23" max="23" width="10.140625" style="14" bestFit="1" customWidth="1"/>
    <col min="24" max="24" width="10.28515625" style="14" customWidth="1"/>
    <col min="25" max="25" width="15.7109375" style="14" customWidth="1"/>
    <col min="26" max="16384" width="9.140625" style="14"/>
  </cols>
  <sheetData>
    <row r="1" spans="1:25" ht="46.15" customHeight="1" x14ac:dyDescent="0.25">
      <c r="A1" s="2240" t="s">
        <v>148</v>
      </c>
      <c r="B1" s="2240"/>
      <c r="C1" s="2240"/>
      <c r="D1" s="2240"/>
      <c r="E1" s="2240"/>
      <c r="F1" s="2240"/>
      <c r="G1" s="2240"/>
      <c r="H1" s="2240"/>
      <c r="I1" s="2240"/>
      <c r="J1" s="2240"/>
      <c r="K1" s="2240"/>
      <c r="L1" s="2240"/>
      <c r="M1" s="2240"/>
      <c r="N1" s="2240"/>
      <c r="O1" s="2240"/>
      <c r="P1" s="2240"/>
      <c r="Q1" s="2240"/>
      <c r="R1" s="2240"/>
      <c r="S1" s="2240"/>
      <c r="T1" s="2240"/>
      <c r="U1" s="2240"/>
      <c r="V1" s="2240"/>
      <c r="W1" s="2240"/>
      <c r="X1" s="2240"/>
      <c r="Y1" s="2240"/>
    </row>
    <row r="2" spans="1:25" ht="21.6" customHeight="1" x14ac:dyDescent="0.25">
      <c r="A2" s="2241" t="s">
        <v>383</v>
      </c>
      <c r="B2" s="2241"/>
      <c r="C2" s="2241"/>
      <c r="D2" s="2241"/>
      <c r="E2" s="2241"/>
      <c r="F2" s="2241"/>
      <c r="G2" s="2241"/>
      <c r="H2" s="2241"/>
      <c r="I2" s="2241"/>
      <c r="J2" s="2241"/>
      <c r="K2" s="2241"/>
      <c r="L2" s="2241"/>
      <c r="M2" s="2241"/>
      <c r="N2" s="2241"/>
      <c r="O2" s="2241"/>
      <c r="P2" s="2241"/>
      <c r="Q2" s="2241"/>
      <c r="R2" s="2241"/>
      <c r="S2" s="2241"/>
      <c r="T2" s="2241"/>
      <c r="U2" s="2241"/>
      <c r="V2" s="2241"/>
      <c r="W2" s="2241"/>
      <c r="X2" s="2241"/>
      <c r="Y2" s="2241"/>
    </row>
    <row r="3" spans="1:25" ht="21" customHeight="1" x14ac:dyDescent="0.25">
      <c r="A3" s="1707"/>
      <c r="B3" s="1707"/>
      <c r="C3" s="1707"/>
      <c r="D3" s="1707"/>
      <c r="E3" s="1707"/>
      <c r="F3" s="1707"/>
      <c r="G3" s="1707"/>
      <c r="H3" s="1707"/>
      <c r="I3" s="1707"/>
      <c r="J3" s="1707"/>
      <c r="K3" s="1707"/>
      <c r="L3" s="1707"/>
      <c r="M3" s="1707"/>
      <c r="N3" s="1707"/>
      <c r="O3" s="1707"/>
      <c r="P3" s="1707"/>
      <c r="Q3" s="1707"/>
      <c r="R3" s="1707"/>
      <c r="S3" s="1707"/>
      <c r="T3" s="2242" t="s">
        <v>528</v>
      </c>
      <c r="U3" s="2242"/>
      <c r="V3" s="2242"/>
      <c r="W3" s="2242"/>
      <c r="X3" s="2242"/>
      <c r="Y3" s="2242"/>
    </row>
    <row r="4" spans="1:25" s="1707" customFormat="1" ht="18" customHeight="1" x14ac:dyDescent="0.25">
      <c r="A4" s="2243" t="s">
        <v>25</v>
      </c>
      <c r="B4" s="2243" t="s">
        <v>26</v>
      </c>
      <c r="C4" s="2244" t="s">
        <v>27</v>
      </c>
      <c r="D4" s="2244"/>
      <c r="E4" s="2244" t="s">
        <v>342</v>
      </c>
      <c r="F4" s="2244"/>
      <c r="G4" s="2244" t="s">
        <v>65</v>
      </c>
      <c r="H4" s="2244"/>
      <c r="I4" s="2244" t="s">
        <v>29</v>
      </c>
      <c r="J4" s="2244"/>
      <c r="K4" s="2245" t="s">
        <v>14</v>
      </c>
      <c r="L4" s="2246"/>
      <c r="M4" s="2245" t="s">
        <v>429</v>
      </c>
      <c r="N4" s="2246"/>
      <c r="O4" s="2245" t="s">
        <v>441</v>
      </c>
      <c r="P4" s="2246"/>
      <c r="Q4" s="2245" t="s">
        <v>114</v>
      </c>
      <c r="R4" s="2246"/>
      <c r="S4" s="2244" t="s">
        <v>35</v>
      </c>
      <c r="T4" s="2244"/>
      <c r="U4" s="2245" t="s">
        <v>17</v>
      </c>
      <c r="V4" s="2246"/>
      <c r="W4" s="2247" t="s">
        <v>36</v>
      </c>
      <c r="X4" s="2248"/>
      <c r="Y4" s="2238" t="s">
        <v>30</v>
      </c>
    </row>
    <row r="5" spans="1:25" s="1707" customFormat="1" ht="25.5" customHeight="1" x14ac:dyDescent="0.25">
      <c r="A5" s="2243"/>
      <c r="B5" s="2243"/>
      <c r="C5" s="1706" t="s">
        <v>42</v>
      </c>
      <c r="D5" s="1706" t="s">
        <v>43</v>
      </c>
      <c r="E5" s="1706" t="s">
        <v>42</v>
      </c>
      <c r="F5" s="1706" t="s">
        <v>43</v>
      </c>
      <c r="G5" s="1706" t="s">
        <v>42</v>
      </c>
      <c r="H5" s="1706" t="s">
        <v>43</v>
      </c>
      <c r="I5" s="1706" t="s">
        <v>42</v>
      </c>
      <c r="J5" s="1706" t="s">
        <v>43</v>
      </c>
      <c r="K5" s="1706" t="s">
        <v>42</v>
      </c>
      <c r="L5" s="1706" t="s">
        <v>43</v>
      </c>
      <c r="M5" s="1706" t="s">
        <v>42</v>
      </c>
      <c r="N5" s="1706" t="s">
        <v>43</v>
      </c>
      <c r="O5" s="1706" t="s">
        <v>42</v>
      </c>
      <c r="P5" s="1706" t="s">
        <v>43</v>
      </c>
      <c r="Q5" s="1706" t="s">
        <v>42</v>
      </c>
      <c r="R5" s="1706" t="s">
        <v>43</v>
      </c>
      <c r="S5" s="33" t="s">
        <v>42</v>
      </c>
      <c r="T5" s="33" t="s">
        <v>43</v>
      </c>
      <c r="U5" s="30" t="s">
        <v>42</v>
      </c>
      <c r="V5" s="30" t="s">
        <v>43</v>
      </c>
      <c r="W5" s="30" t="s">
        <v>42</v>
      </c>
      <c r="X5" s="30" t="s">
        <v>43</v>
      </c>
      <c r="Y5" s="2239"/>
    </row>
    <row r="6" spans="1:25" ht="34.5" customHeight="1" x14ac:dyDescent="0.25">
      <c r="A6" s="12">
        <v>1409935200</v>
      </c>
      <c r="B6" s="1705" t="s">
        <v>71</v>
      </c>
      <c r="C6" s="1703">
        <v>14113</v>
      </c>
      <c r="D6" s="1702">
        <f t="shared" ref="D6:D11" si="0">0.9725*C6</f>
        <v>13724.8925</v>
      </c>
      <c r="E6" s="1703"/>
      <c r="F6" s="1702">
        <f>67.1*E6</f>
        <v>0</v>
      </c>
      <c r="G6" s="1703"/>
      <c r="H6" s="1703">
        <f>28.2*G6</f>
        <v>0</v>
      </c>
      <c r="I6" s="1703"/>
      <c r="J6" s="1703">
        <f>18.5*I6</f>
        <v>0</v>
      </c>
      <c r="K6" s="1703"/>
      <c r="L6" s="1702">
        <f>28.2368*K6</f>
        <v>0</v>
      </c>
      <c r="M6" s="1703"/>
      <c r="N6" s="1702">
        <f>M6*47.6525</f>
        <v>0</v>
      </c>
      <c r="O6" s="1703"/>
      <c r="P6" s="1702">
        <f>O6*8.9</f>
        <v>0</v>
      </c>
      <c r="Q6" s="1702"/>
      <c r="R6" s="1702">
        <f>241*Q6</f>
        <v>0</v>
      </c>
      <c r="S6" s="1703"/>
      <c r="T6" s="1703">
        <f>241*S6</f>
        <v>0</v>
      </c>
      <c r="U6" s="1703"/>
      <c r="V6" s="1703">
        <f>332*U6</f>
        <v>0</v>
      </c>
      <c r="W6" s="1703"/>
      <c r="X6" s="19">
        <f>W6*100</f>
        <v>0</v>
      </c>
      <c r="Y6" s="20">
        <f t="shared" ref="Y6:Y12" si="1">D6+F6+H6+J6+L6+N6+P6+R6+T6+V6+X6</f>
        <v>13724.8925</v>
      </c>
    </row>
    <row r="7" spans="1:25" ht="31.5" customHeight="1" x14ac:dyDescent="0.25">
      <c r="A7" s="12">
        <v>1984225578</v>
      </c>
      <c r="B7" s="1705" t="s">
        <v>509</v>
      </c>
      <c r="C7" s="1703">
        <v>19982</v>
      </c>
      <c r="D7" s="1702">
        <f t="shared" si="0"/>
        <v>19432.494999999999</v>
      </c>
      <c r="E7" s="1703"/>
      <c r="F7" s="1703">
        <f t="shared" ref="F7:F11" si="2">67.1*E7</f>
        <v>0</v>
      </c>
      <c r="G7" s="1703"/>
      <c r="H7" s="1703">
        <f t="shared" ref="H7:H11" si="3">28.2*G7</f>
        <v>0</v>
      </c>
      <c r="I7" s="1703"/>
      <c r="J7" s="1703">
        <f t="shared" ref="J7:J11" si="4">18.5*I7</f>
        <v>0</v>
      </c>
      <c r="K7" s="1703"/>
      <c r="L7" s="1702">
        <f t="shared" ref="L7:L11" si="5">28.2368*K7</f>
        <v>0</v>
      </c>
      <c r="M7" s="1703"/>
      <c r="N7" s="1702">
        <f t="shared" ref="N7:N11" si="6">M7*47.6525</f>
        <v>0</v>
      </c>
      <c r="O7" s="1703"/>
      <c r="P7" s="1702">
        <f t="shared" ref="P7:P11" si="7">O7*8.9</f>
        <v>0</v>
      </c>
      <c r="Q7" s="1702"/>
      <c r="R7" s="1702">
        <f t="shared" ref="R7:R11" si="8">241*Q7</f>
        <v>0</v>
      </c>
      <c r="S7" s="1703"/>
      <c r="T7" s="1703">
        <f t="shared" ref="T7:T10" si="9">241*S7</f>
        <v>0</v>
      </c>
      <c r="U7" s="1703"/>
      <c r="V7" s="1703">
        <f t="shared" ref="V7:V11" si="10">332*U7</f>
        <v>0</v>
      </c>
      <c r="W7" s="1703">
        <v>1</v>
      </c>
      <c r="X7" s="19">
        <f t="shared" ref="X7:X11" si="11">W7*100</f>
        <v>100</v>
      </c>
      <c r="Y7" s="20">
        <f t="shared" si="1"/>
        <v>19532.494999999999</v>
      </c>
    </row>
    <row r="8" spans="1:25" ht="35.25" customHeight="1" x14ac:dyDescent="0.25">
      <c r="A8" s="12">
        <v>1967020280</v>
      </c>
      <c r="B8" s="1705" t="s">
        <v>427</v>
      </c>
      <c r="C8" s="1703">
        <v>14827</v>
      </c>
      <c r="D8" s="1702">
        <f t="shared" si="0"/>
        <v>14419.2575</v>
      </c>
      <c r="E8" s="1703"/>
      <c r="F8" s="1703">
        <f t="shared" si="2"/>
        <v>0</v>
      </c>
      <c r="G8" s="1703"/>
      <c r="H8" s="1702">
        <f t="shared" si="3"/>
        <v>0</v>
      </c>
      <c r="I8" s="1703"/>
      <c r="J8" s="1703">
        <f t="shared" si="4"/>
        <v>0</v>
      </c>
      <c r="K8" s="1703"/>
      <c r="L8" s="1702">
        <f t="shared" si="5"/>
        <v>0</v>
      </c>
      <c r="M8" s="1703"/>
      <c r="N8" s="1702">
        <f t="shared" si="6"/>
        <v>0</v>
      </c>
      <c r="O8" s="1703"/>
      <c r="P8" s="1702">
        <f t="shared" si="7"/>
        <v>0</v>
      </c>
      <c r="Q8" s="1702"/>
      <c r="R8" s="1702">
        <f t="shared" si="8"/>
        <v>0</v>
      </c>
      <c r="S8" s="1703"/>
      <c r="T8" s="1703">
        <f t="shared" si="9"/>
        <v>0</v>
      </c>
      <c r="U8" s="1703"/>
      <c r="V8" s="1703">
        <f t="shared" si="10"/>
        <v>0</v>
      </c>
      <c r="W8" s="1703"/>
      <c r="X8" s="19">
        <f t="shared" si="11"/>
        <v>0</v>
      </c>
      <c r="Y8" s="20">
        <f t="shared" si="1"/>
        <v>14419.2575</v>
      </c>
    </row>
    <row r="9" spans="1:25" ht="38.25" customHeight="1" x14ac:dyDescent="0.25">
      <c r="A9" s="12">
        <v>1984225580</v>
      </c>
      <c r="B9" s="1705" t="s">
        <v>75</v>
      </c>
      <c r="C9" s="1703">
        <v>16227</v>
      </c>
      <c r="D9" s="1702">
        <f t="shared" si="0"/>
        <v>15780.7575</v>
      </c>
      <c r="E9" s="1703"/>
      <c r="F9" s="1703">
        <f t="shared" si="2"/>
        <v>0</v>
      </c>
      <c r="G9" s="1703"/>
      <c r="H9" s="1703">
        <f t="shared" si="3"/>
        <v>0</v>
      </c>
      <c r="I9" s="1703"/>
      <c r="J9" s="1703">
        <f t="shared" si="4"/>
        <v>0</v>
      </c>
      <c r="K9" s="1703"/>
      <c r="L9" s="1702">
        <f t="shared" si="5"/>
        <v>0</v>
      </c>
      <c r="M9" s="1703"/>
      <c r="N9" s="1702">
        <f t="shared" si="6"/>
        <v>0</v>
      </c>
      <c r="O9" s="1703"/>
      <c r="P9" s="1702">
        <f t="shared" si="7"/>
        <v>0</v>
      </c>
      <c r="Q9" s="1702"/>
      <c r="R9" s="1702">
        <f t="shared" si="8"/>
        <v>0</v>
      </c>
      <c r="S9" s="1703"/>
      <c r="T9" s="1703">
        <f t="shared" si="9"/>
        <v>0</v>
      </c>
      <c r="U9" s="1703"/>
      <c r="V9" s="1703">
        <f t="shared" si="10"/>
        <v>0</v>
      </c>
      <c r="W9" s="1703"/>
      <c r="X9" s="19">
        <f t="shared" si="11"/>
        <v>0</v>
      </c>
      <c r="Y9" s="20">
        <f t="shared" si="1"/>
        <v>15780.7575</v>
      </c>
    </row>
    <row r="10" spans="1:25" ht="35.25" customHeight="1" x14ac:dyDescent="0.25">
      <c r="A10" s="12">
        <v>1409935199</v>
      </c>
      <c r="C10" s="1703"/>
      <c r="D10" s="1702">
        <f t="shared" si="0"/>
        <v>0</v>
      </c>
      <c r="E10" s="1703"/>
      <c r="F10" s="1703">
        <f t="shared" si="2"/>
        <v>0</v>
      </c>
      <c r="G10" s="1703"/>
      <c r="H10" s="1703">
        <f t="shared" si="3"/>
        <v>0</v>
      </c>
      <c r="I10" s="1703"/>
      <c r="J10" s="1703">
        <f t="shared" si="4"/>
        <v>0</v>
      </c>
      <c r="K10" s="1703"/>
      <c r="L10" s="1702">
        <f t="shared" si="5"/>
        <v>0</v>
      </c>
      <c r="M10" s="1703"/>
      <c r="N10" s="1702">
        <f t="shared" si="6"/>
        <v>0</v>
      </c>
      <c r="O10" s="1703"/>
      <c r="P10" s="1702">
        <f t="shared" si="7"/>
        <v>0</v>
      </c>
      <c r="Q10" s="1702"/>
      <c r="R10" s="1702">
        <f t="shared" si="8"/>
        <v>0</v>
      </c>
      <c r="S10" s="1703"/>
      <c r="T10" s="1703">
        <f t="shared" si="9"/>
        <v>0</v>
      </c>
      <c r="U10" s="1703"/>
      <c r="V10" s="1703">
        <f t="shared" si="10"/>
        <v>0</v>
      </c>
      <c r="W10" s="1703"/>
      <c r="X10" s="19">
        <f t="shared" si="11"/>
        <v>0</v>
      </c>
      <c r="Y10" s="20">
        <f t="shared" si="1"/>
        <v>0</v>
      </c>
    </row>
    <row r="11" spans="1:25" ht="37.5" customHeight="1" x14ac:dyDescent="0.25">
      <c r="A11" s="12"/>
      <c r="B11" s="1704"/>
      <c r="C11" s="1703"/>
      <c r="D11" s="1702">
        <f t="shared" si="0"/>
        <v>0</v>
      </c>
      <c r="E11" s="1703"/>
      <c r="F11" s="1703">
        <f t="shared" si="2"/>
        <v>0</v>
      </c>
      <c r="G11" s="1703"/>
      <c r="H11" s="1703">
        <f t="shared" si="3"/>
        <v>0</v>
      </c>
      <c r="I11" s="1703"/>
      <c r="J11" s="1703">
        <f t="shared" si="4"/>
        <v>0</v>
      </c>
      <c r="K11" s="1703"/>
      <c r="L11" s="1702">
        <f t="shared" si="5"/>
        <v>0</v>
      </c>
      <c r="M11" s="1703"/>
      <c r="N11" s="1702">
        <f t="shared" si="6"/>
        <v>0</v>
      </c>
      <c r="O11" s="1703"/>
      <c r="P11" s="1702">
        <f t="shared" si="7"/>
        <v>0</v>
      </c>
      <c r="Q11" s="1702"/>
      <c r="R11" s="1702">
        <f t="shared" si="8"/>
        <v>0</v>
      </c>
      <c r="S11" s="1703"/>
      <c r="T11" s="1703">
        <f>341*S11</f>
        <v>0</v>
      </c>
      <c r="U11" s="1703"/>
      <c r="V11" s="1703">
        <f t="shared" si="10"/>
        <v>0</v>
      </c>
      <c r="W11" s="1703"/>
      <c r="X11" s="19">
        <f t="shared" si="11"/>
        <v>0</v>
      </c>
      <c r="Y11" s="20">
        <f t="shared" si="1"/>
        <v>0</v>
      </c>
    </row>
    <row r="12" spans="1:25" ht="29.25" customHeight="1" x14ac:dyDescent="0.25">
      <c r="A12" s="2235" t="s">
        <v>31</v>
      </c>
      <c r="B12" s="2235"/>
      <c r="C12" s="18">
        <f t="shared" ref="C12:X12" si="12">SUM(C6:C11)</f>
        <v>65149</v>
      </c>
      <c r="D12" s="18">
        <f t="shared" si="12"/>
        <v>63357.402499999997</v>
      </c>
      <c r="E12" s="18">
        <f t="shared" si="12"/>
        <v>0</v>
      </c>
      <c r="F12" s="18">
        <f t="shared" si="12"/>
        <v>0</v>
      </c>
      <c r="G12" s="18">
        <f t="shared" si="12"/>
        <v>0</v>
      </c>
      <c r="H12" s="18">
        <f t="shared" si="12"/>
        <v>0</v>
      </c>
      <c r="I12" s="18">
        <f t="shared" si="12"/>
        <v>0</v>
      </c>
      <c r="J12" s="18">
        <f t="shared" si="12"/>
        <v>0</v>
      </c>
      <c r="K12" s="18">
        <f t="shared" si="12"/>
        <v>0</v>
      </c>
      <c r="L12" s="18">
        <f t="shared" si="12"/>
        <v>0</v>
      </c>
      <c r="M12" s="18">
        <f t="shared" si="12"/>
        <v>0</v>
      </c>
      <c r="N12" s="23">
        <f t="shared" si="12"/>
        <v>0</v>
      </c>
      <c r="O12" s="18">
        <f t="shared" si="12"/>
        <v>0</v>
      </c>
      <c r="P12" s="23">
        <f t="shared" si="12"/>
        <v>0</v>
      </c>
      <c r="Q12" s="23">
        <f t="shared" si="12"/>
        <v>0</v>
      </c>
      <c r="R12" s="23">
        <f>SUM(R6:R11)</f>
        <v>0</v>
      </c>
      <c r="S12" s="23">
        <f>SUM(S6:S11)</f>
        <v>0</v>
      </c>
      <c r="T12" s="18">
        <f t="shared" si="12"/>
        <v>0</v>
      </c>
      <c r="U12" s="18">
        <f t="shared" si="12"/>
        <v>0</v>
      </c>
      <c r="V12" s="18">
        <f t="shared" si="12"/>
        <v>0</v>
      </c>
      <c r="W12" s="18">
        <f t="shared" si="12"/>
        <v>1</v>
      </c>
      <c r="X12" s="18">
        <f t="shared" si="12"/>
        <v>100</v>
      </c>
      <c r="Y12" s="20">
        <f t="shared" si="1"/>
        <v>63457.402499999997</v>
      </c>
    </row>
    <row r="14" spans="1:25" ht="43.5" customHeight="1" x14ac:dyDescent="0.25">
      <c r="A14" s="30" t="s">
        <v>32</v>
      </c>
      <c r="B14" s="2236" t="s">
        <v>27</v>
      </c>
      <c r="C14" s="2236"/>
      <c r="D14" s="30" t="s">
        <v>333</v>
      </c>
      <c r="E14" s="30" t="s">
        <v>65</v>
      </c>
      <c r="F14" s="30" t="s">
        <v>34</v>
      </c>
      <c r="G14" s="30" t="s">
        <v>14</v>
      </c>
      <c r="H14" s="469" t="s">
        <v>173</v>
      </c>
      <c r="I14" s="30" t="s">
        <v>17</v>
      </c>
      <c r="J14" s="1711" t="s">
        <v>174</v>
      </c>
      <c r="K14" s="30" t="s">
        <v>36</v>
      </c>
      <c r="L14" s="1711" t="s">
        <v>403</v>
      </c>
      <c r="M14" s="30" t="s">
        <v>429</v>
      </c>
      <c r="N14" s="30" t="s">
        <v>442</v>
      </c>
      <c r="O14" s="1711" t="s">
        <v>114</v>
      </c>
      <c r="P14" s="30" t="s">
        <v>70</v>
      </c>
      <c r="Q14" s="2300" t="s">
        <v>479</v>
      </c>
      <c r="R14" s="2301"/>
      <c r="S14" s="1711" t="s">
        <v>401</v>
      </c>
      <c r="T14" s="2235" t="s">
        <v>46</v>
      </c>
      <c r="U14" s="1705" t="s">
        <v>176</v>
      </c>
      <c r="V14" s="2260">
        <v>60874</v>
      </c>
      <c r="W14" s="2268"/>
      <c r="X14" s="2261"/>
    </row>
    <row r="15" spans="1:25" ht="22.5" customHeight="1" x14ac:dyDescent="0.25">
      <c r="A15" s="100" t="s">
        <v>38</v>
      </c>
      <c r="B15" s="2260">
        <v>779141</v>
      </c>
      <c r="C15" s="2261"/>
      <c r="D15" s="1708">
        <v>0</v>
      </c>
      <c r="E15" s="1708">
        <v>0</v>
      </c>
      <c r="F15" s="1708">
        <v>3610</v>
      </c>
      <c r="G15" s="1708">
        <v>0</v>
      </c>
      <c r="H15" s="1708">
        <v>38</v>
      </c>
      <c r="I15" s="1708">
        <v>10</v>
      </c>
      <c r="J15" s="1708">
        <v>4</v>
      </c>
      <c r="K15" s="1708">
        <v>67</v>
      </c>
      <c r="L15" s="1708">
        <v>0</v>
      </c>
      <c r="M15" s="1708">
        <v>0</v>
      </c>
      <c r="N15" s="1708">
        <v>0</v>
      </c>
      <c r="O15" s="1708">
        <v>0</v>
      </c>
      <c r="P15" s="1708">
        <v>100</v>
      </c>
      <c r="Q15" s="2260">
        <v>10</v>
      </c>
      <c r="R15" s="2261"/>
      <c r="S15" s="1705">
        <v>2</v>
      </c>
      <c r="T15" s="2235"/>
      <c r="U15" s="1705" t="s">
        <v>64</v>
      </c>
      <c r="V15" s="2262">
        <v>11977</v>
      </c>
      <c r="W15" s="2262"/>
      <c r="X15" s="2262"/>
    </row>
    <row r="16" spans="1:25" ht="24.75" customHeight="1" x14ac:dyDescent="0.25">
      <c r="A16" s="100" t="s">
        <v>39</v>
      </c>
      <c r="B16" s="2260"/>
      <c r="C16" s="2261"/>
      <c r="D16" s="1708"/>
      <c r="E16" s="1708"/>
      <c r="F16" s="1708"/>
      <c r="G16" s="1708"/>
      <c r="H16" s="1708"/>
      <c r="I16" s="1708"/>
      <c r="J16" s="1708"/>
      <c r="K16" s="1708"/>
      <c r="L16" s="1708"/>
      <c r="M16" s="1708"/>
      <c r="N16" s="1708"/>
      <c r="O16" s="1708"/>
      <c r="P16" s="1708"/>
      <c r="Q16" s="2262"/>
      <c r="R16" s="2262"/>
      <c r="S16" s="1708"/>
      <c r="T16" s="2254" t="s">
        <v>55</v>
      </c>
      <c r="U16" s="2254"/>
      <c r="V16" s="2267">
        <f>Y12</f>
        <v>63457.402499999997</v>
      </c>
      <c r="W16" s="2267"/>
      <c r="X16" s="2262"/>
    </row>
    <row r="17" spans="1:25" ht="28.5" customHeight="1" x14ac:dyDescent="0.25">
      <c r="A17" s="101" t="s">
        <v>44</v>
      </c>
      <c r="B17" s="2260"/>
      <c r="C17" s="2261"/>
      <c r="D17" s="1708"/>
      <c r="E17" s="1708"/>
      <c r="F17" s="1708"/>
      <c r="G17" s="1708"/>
      <c r="H17" s="1708"/>
      <c r="I17" s="1708"/>
      <c r="J17" s="1708"/>
      <c r="K17" s="1708"/>
      <c r="L17" s="1708"/>
      <c r="M17" s="1708"/>
      <c r="N17" s="1708"/>
      <c r="O17" s="1708"/>
      <c r="P17" s="1708"/>
      <c r="Q17" s="2225"/>
      <c r="R17" s="2225"/>
      <c r="S17" s="1704"/>
      <c r="T17" s="2294" t="s">
        <v>521</v>
      </c>
      <c r="U17" s="2295"/>
      <c r="V17" s="2296"/>
      <c r="W17" s="2296"/>
      <c r="X17" s="2296"/>
    </row>
    <row r="18" spans="1:25" ht="27" customHeight="1" x14ac:dyDescent="0.25">
      <c r="A18" s="100" t="s">
        <v>40</v>
      </c>
      <c r="B18" s="2264">
        <f>C12</f>
        <v>65149</v>
      </c>
      <c r="C18" s="2261"/>
      <c r="D18" s="1710">
        <f>E12</f>
        <v>0</v>
      </c>
      <c r="E18" s="1710">
        <f>G12</f>
        <v>0</v>
      </c>
      <c r="F18" s="1710">
        <f>I12</f>
        <v>0</v>
      </c>
      <c r="G18" s="1710">
        <f>K12</f>
        <v>0</v>
      </c>
      <c r="H18" s="1708"/>
      <c r="I18" s="1710">
        <f>U12</f>
        <v>0</v>
      </c>
      <c r="J18" s="1708"/>
      <c r="K18" s="1710">
        <f>W12</f>
        <v>1</v>
      </c>
      <c r="L18" s="1708"/>
      <c r="M18" s="1710">
        <f>M12</f>
        <v>0</v>
      </c>
      <c r="N18" s="1710">
        <f>O12</f>
        <v>0</v>
      </c>
      <c r="O18" s="1709">
        <f>Q12</f>
        <v>0</v>
      </c>
      <c r="P18" s="1710"/>
      <c r="Q18" s="2262"/>
      <c r="R18" s="2262"/>
      <c r="S18" s="1705"/>
      <c r="T18" s="2254" t="s">
        <v>57</v>
      </c>
      <c r="U18" s="2254"/>
      <c r="V18" s="2262">
        <v>520</v>
      </c>
      <c r="W18" s="2262"/>
      <c r="X18" s="2262"/>
      <c r="Y18" s="2269"/>
    </row>
    <row r="19" spans="1:25" ht="25.5" customHeight="1" x14ac:dyDescent="0.25">
      <c r="A19" s="100" t="s">
        <v>41</v>
      </c>
      <c r="B19" s="2260">
        <f>B15+B16+B17-B18</f>
        <v>713992</v>
      </c>
      <c r="C19" s="2261"/>
      <c r="D19" s="1708">
        <f>D15+D16+D17-D18</f>
        <v>0</v>
      </c>
      <c r="E19" s="1708">
        <f t="shared" ref="E19:N19" si="13">E15+E16+E17-E18</f>
        <v>0</v>
      </c>
      <c r="F19" s="1708">
        <f t="shared" si="13"/>
        <v>3610</v>
      </c>
      <c r="G19" s="1708">
        <f t="shared" si="13"/>
        <v>0</v>
      </c>
      <c r="H19" s="1708">
        <f t="shared" si="13"/>
        <v>38</v>
      </c>
      <c r="I19" s="1708">
        <f t="shared" si="13"/>
        <v>10</v>
      </c>
      <c r="J19" s="1708">
        <f t="shared" si="13"/>
        <v>4</v>
      </c>
      <c r="K19" s="1708">
        <f t="shared" si="13"/>
        <v>66</v>
      </c>
      <c r="L19" s="1708">
        <f t="shared" si="13"/>
        <v>0</v>
      </c>
      <c r="M19" s="1708">
        <f t="shared" si="13"/>
        <v>0</v>
      </c>
      <c r="N19" s="1708">
        <f t="shared" si="13"/>
        <v>0</v>
      </c>
      <c r="O19" s="1708">
        <f>O15+O16+O17-O18</f>
        <v>0</v>
      </c>
      <c r="P19" s="1708">
        <f t="shared" ref="P19:Q19" si="14">P15+P16+P17-P18</f>
        <v>100</v>
      </c>
      <c r="Q19" s="2260">
        <f t="shared" si="14"/>
        <v>10</v>
      </c>
      <c r="R19" s="2261"/>
      <c r="S19" s="1705">
        <f>S15+S16-S17-S18</f>
        <v>2</v>
      </c>
      <c r="T19" s="2256" t="s">
        <v>48</v>
      </c>
      <c r="U19" s="49" t="s">
        <v>58</v>
      </c>
      <c r="V19" s="2262">
        <v>100000</v>
      </c>
      <c r="W19" s="2262"/>
      <c r="X19" s="2262"/>
      <c r="Y19" s="2269"/>
    </row>
    <row r="20" spans="1:25" ht="23.25" customHeight="1" x14ac:dyDescent="0.25">
      <c r="A20" s="289" t="s">
        <v>187</v>
      </c>
      <c r="B20" s="2286">
        <f>B19*0.9625</f>
        <v>687217.3</v>
      </c>
      <c r="C20" s="2287"/>
      <c r="D20" s="290">
        <f>D19*66.41</f>
        <v>0</v>
      </c>
      <c r="E20" s="290">
        <f>27.9368*E19</f>
        <v>0</v>
      </c>
      <c r="F20" s="290">
        <f>18.31*F19</f>
        <v>66099.099999999991</v>
      </c>
      <c r="G20" s="290">
        <f>27.9368*G19</f>
        <v>0</v>
      </c>
      <c r="H20" s="290">
        <f>241*H19</f>
        <v>9158</v>
      </c>
      <c r="I20" s="290">
        <f>323*I19</f>
        <v>3230</v>
      </c>
      <c r="J20" s="290">
        <f>241*J19</f>
        <v>964</v>
      </c>
      <c r="K20" s="290">
        <f>K19*100</f>
        <v>6600</v>
      </c>
      <c r="L20" s="290">
        <f>241*L19</f>
        <v>0</v>
      </c>
      <c r="M20" s="290">
        <f>47.1625*M19</f>
        <v>0</v>
      </c>
      <c r="N20" s="290">
        <f>N19*8.81</f>
        <v>0</v>
      </c>
      <c r="O20" s="290">
        <f>241*O19</f>
        <v>0</v>
      </c>
      <c r="P20" s="290">
        <f>P19*48.2</f>
        <v>4820</v>
      </c>
      <c r="Q20" s="2286">
        <f>470*Q19</f>
        <v>4700</v>
      </c>
      <c r="R20" s="2287"/>
      <c r="S20" s="290">
        <f>341*S19</f>
        <v>682</v>
      </c>
      <c r="T20" s="2257"/>
      <c r="U20" s="49" t="s">
        <v>59</v>
      </c>
      <c r="V20" s="2262"/>
      <c r="W20" s="2262"/>
      <c r="X20" s="2262"/>
      <c r="Y20" s="2269"/>
    </row>
    <row r="21" spans="1:25" ht="32.25" customHeight="1" x14ac:dyDescent="0.25">
      <c r="A21" s="291" t="s">
        <v>186</v>
      </c>
      <c r="B21" s="2293">
        <f>SUM(B20:S20)</f>
        <v>783470.4</v>
      </c>
      <c r="C21" s="2293"/>
      <c r="O21" s="1712"/>
      <c r="P21" s="1712"/>
      <c r="Q21" s="1712"/>
      <c r="R21" s="1712"/>
      <c r="T21" s="2294" t="s">
        <v>518</v>
      </c>
      <c r="U21" s="2295"/>
      <c r="V21" s="2297"/>
      <c r="W21" s="2298"/>
      <c r="X21" s="2299"/>
      <c r="Y21" s="2269"/>
    </row>
    <row r="22" spans="1:25" ht="35.25" customHeight="1" x14ac:dyDescent="0.25">
      <c r="A22" s="15"/>
      <c r="B22" s="2288" t="s">
        <v>49</v>
      </c>
      <c r="C22" s="2291">
        <v>400000</v>
      </c>
      <c r="D22" s="2291">
        <v>100000</v>
      </c>
      <c r="E22" s="2291"/>
      <c r="F22" s="2291">
        <f>C22-D22+E22</f>
        <v>300000</v>
      </c>
      <c r="G22" s="1712"/>
      <c r="Q22" s="1712"/>
      <c r="R22" s="1712"/>
      <c r="T22" s="2251" t="s">
        <v>83</v>
      </c>
      <c r="U22" s="50" t="s">
        <v>60</v>
      </c>
      <c r="V22" s="2262">
        <v>99700</v>
      </c>
      <c r="W22" s="2262"/>
      <c r="X22" s="2262"/>
      <c r="Y22" s="2269"/>
    </row>
    <row r="23" spans="1:25" ht="39.75" customHeight="1" x14ac:dyDescent="0.25">
      <c r="A23" s="1712"/>
      <c r="B23" s="2289"/>
      <c r="C23" s="2292"/>
      <c r="D23" s="2292"/>
      <c r="E23" s="2292"/>
      <c r="F23" s="2292"/>
      <c r="G23" s="1712"/>
      <c r="Q23" s="1712"/>
      <c r="R23" s="1712"/>
      <c r="T23" s="2252"/>
      <c r="U23" s="50" t="s">
        <v>61</v>
      </c>
      <c r="V23" s="2262">
        <v>100000</v>
      </c>
      <c r="W23" s="2262"/>
      <c r="X23" s="2262"/>
      <c r="Y23" s="2269"/>
    </row>
    <row r="24" spans="1:25" ht="48" customHeight="1" x14ac:dyDescent="0.25">
      <c r="A24" s="1712"/>
      <c r="B24" s="2290"/>
      <c r="C24" s="290" t="s">
        <v>46</v>
      </c>
      <c r="D24" s="290" t="s">
        <v>50</v>
      </c>
      <c r="E24" s="290" t="s">
        <v>51</v>
      </c>
      <c r="F24" s="290" t="s">
        <v>52</v>
      </c>
      <c r="G24" s="1712"/>
      <c r="Q24" s="1712"/>
      <c r="R24" s="1712"/>
      <c r="T24" s="2235" t="s">
        <v>47</v>
      </c>
      <c r="U24" s="51" t="s">
        <v>62</v>
      </c>
      <c r="V24" s="2263">
        <f>V14+V16+V17-V18-V19-V20-V22+V23-V21</f>
        <v>24111.402499999997</v>
      </c>
      <c r="W24" s="2263"/>
      <c r="X24" s="2263"/>
      <c r="Y24" s="2269"/>
    </row>
    <row r="25" spans="1:25" ht="40.5" customHeight="1" x14ac:dyDescent="0.25">
      <c r="T25" s="2235"/>
      <c r="U25" s="51" t="s">
        <v>63</v>
      </c>
      <c r="V25" s="2262">
        <f>V15+V22-V23</f>
        <v>11677</v>
      </c>
      <c r="W25" s="2262"/>
      <c r="X25" s="2262"/>
    </row>
    <row r="26" spans="1:25" ht="36" customHeight="1" x14ac:dyDescent="0.25">
      <c r="K26" s="314"/>
    </row>
    <row r="28" spans="1:25" x14ac:dyDescent="0.25">
      <c r="J28" s="14" t="s">
        <v>139</v>
      </c>
    </row>
    <row r="32" spans="1:25" x14ac:dyDescent="0.25">
      <c r="I32" s="2280"/>
      <c r="J32" s="2280"/>
      <c r="K32" s="2280"/>
      <c r="L32" s="2280"/>
    </row>
    <row r="33" spans="9:12" x14ac:dyDescent="0.25">
      <c r="I33" s="1712"/>
      <c r="J33" s="1712"/>
      <c r="K33" s="2280"/>
      <c r="L33" s="2280"/>
    </row>
  </sheetData>
  <mergeCells count="62">
    <mergeCell ref="A1:Y1"/>
    <mergeCell ref="A2:Y2"/>
    <mergeCell ref="T3:Y3"/>
    <mergeCell ref="A4:A5"/>
    <mergeCell ref="B4:B5"/>
    <mergeCell ref="C4:D4"/>
    <mergeCell ref="E4:F4"/>
    <mergeCell ref="G4:H4"/>
    <mergeCell ref="I4:J4"/>
    <mergeCell ref="K4:L4"/>
    <mergeCell ref="Y4:Y5"/>
    <mergeCell ref="M4:N4"/>
    <mergeCell ref="O4:P4"/>
    <mergeCell ref="Q4:R4"/>
    <mergeCell ref="S4:T4"/>
    <mergeCell ref="U4:V4"/>
    <mergeCell ref="W4:X4"/>
    <mergeCell ref="B16:C16"/>
    <mergeCell ref="Q16:R16"/>
    <mergeCell ref="T16:U16"/>
    <mergeCell ref="V16:X16"/>
    <mergeCell ref="A12:B12"/>
    <mergeCell ref="B14:C14"/>
    <mergeCell ref="Q14:R14"/>
    <mergeCell ref="T14:T15"/>
    <mergeCell ref="V14:X14"/>
    <mergeCell ref="B15:C15"/>
    <mergeCell ref="Q15:R15"/>
    <mergeCell ref="V15:X15"/>
    <mergeCell ref="B17:C17"/>
    <mergeCell ref="Q17:R17"/>
    <mergeCell ref="T17:U17"/>
    <mergeCell ref="V17:X17"/>
    <mergeCell ref="B18:C18"/>
    <mergeCell ref="Q18:R18"/>
    <mergeCell ref="T18:U18"/>
    <mergeCell ref="V18:X18"/>
    <mergeCell ref="Y18:Y24"/>
    <mergeCell ref="B19:C19"/>
    <mergeCell ref="Q19:R19"/>
    <mergeCell ref="T19:T20"/>
    <mergeCell ref="V19:X19"/>
    <mergeCell ref="B20:C20"/>
    <mergeCell ref="B22:B24"/>
    <mergeCell ref="C22:C23"/>
    <mergeCell ref="D22:D23"/>
    <mergeCell ref="E22:E23"/>
    <mergeCell ref="F22:F23"/>
    <mergeCell ref="Q20:R20"/>
    <mergeCell ref="V20:X20"/>
    <mergeCell ref="B21:C21"/>
    <mergeCell ref="T21:U21"/>
    <mergeCell ref="V21:X21"/>
    <mergeCell ref="I32:J32"/>
    <mergeCell ref="K32:L32"/>
    <mergeCell ref="K33:L33"/>
    <mergeCell ref="T22:T23"/>
    <mergeCell ref="V22:X22"/>
    <mergeCell ref="V23:X23"/>
    <mergeCell ref="T24:T25"/>
    <mergeCell ref="V24:X24"/>
    <mergeCell ref="V25:X25"/>
  </mergeCells>
  <pageMargins left="0.15748031496063" right="0.15748031496063" top="0" bottom="0" header="0" footer="0"/>
  <pageSetup paperSize="9" scale="46" orientation="landscape" r:id="rId1"/>
</worksheet>
</file>

<file path=xl/worksheets/sheet27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6690793-7BE4-4AC9-B0BF-31DC483649F7}">
  <sheetPr>
    <pageSetUpPr fitToPage="1"/>
  </sheetPr>
  <dimension ref="A1:Y33"/>
  <sheetViews>
    <sheetView topLeftCell="A4" zoomScale="70" zoomScaleNormal="70" zoomScaleSheetLayoutView="100" zoomScalePageLayoutView="68" workbookViewId="0">
      <selection activeCell="J24" sqref="J24"/>
    </sheetView>
  </sheetViews>
  <sheetFormatPr defaultColWidth="9.140625" defaultRowHeight="15" x14ac:dyDescent="0.25"/>
  <cols>
    <col min="1" max="1" width="18.28515625" style="14" customWidth="1"/>
    <col min="2" max="2" width="10.7109375" style="14" customWidth="1"/>
    <col min="3" max="3" width="12.28515625" style="14" customWidth="1"/>
    <col min="4" max="4" width="13.140625" style="14" bestFit="1" customWidth="1"/>
    <col min="5" max="5" width="12" style="14" customWidth="1"/>
    <col min="6" max="6" width="14" style="14" bestFit="1" customWidth="1"/>
    <col min="7" max="7" width="16" style="14" bestFit="1" customWidth="1"/>
    <col min="8" max="8" width="10.140625" style="14" bestFit="1" customWidth="1"/>
    <col min="9" max="9" width="10.5703125" style="14" bestFit="1" customWidth="1"/>
    <col min="10" max="10" width="10.5703125" style="14" customWidth="1"/>
    <col min="11" max="11" width="10.28515625" style="14" bestFit="1" customWidth="1"/>
    <col min="12" max="12" width="10.42578125" style="14" bestFit="1" customWidth="1"/>
    <col min="13" max="14" width="12" style="14" bestFit="1" customWidth="1"/>
    <col min="15" max="15" width="11" style="14" customWidth="1"/>
    <col min="16" max="16" width="12.85546875" style="14" bestFit="1" customWidth="1"/>
    <col min="17" max="18" width="9.42578125" style="14" customWidth="1"/>
    <col min="19" max="19" width="13.7109375" style="14" customWidth="1"/>
    <col min="20" max="20" width="12.140625" style="14" customWidth="1"/>
    <col min="21" max="21" width="21.7109375" style="14" customWidth="1"/>
    <col min="22" max="22" width="9.85546875" style="14" customWidth="1"/>
    <col min="23" max="23" width="10.140625" style="14" bestFit="1" customWidth="1"/>
    <col min="24" max="24" width="10.28515625" style="14" customWidth="1"/>
    <col min="25" max="25" width="15.7109375" style="14" customWidth="1"/>
    <col min="26" max="16384" width="9.140625" style="14"/>
  </cols>
  <sheetData>
    <row r="1" spans="1:25" ht="46.15" customHeight="1" x14ac:dyDescent="0.25">
      <c r="A1" s="2240" t="s">
        <v>148</v>
      </c>
      <c r="B1" s="2240"/>
      <c r="C1" s="2240"/>
      <c r="D1" s="2240"/>
      <c r="E1" s="2240"/>
      <c r="F1" s="2240"/>
      <c r="G1" s="2240"/>
      <c r="H1" s="2240"/>
      <c r="I1" s="2240"/>
      <c r="J1" s="2240"/>
      <c r="K1" s="2240"/>
      <c r="L1" s="2240"/>
      <c r="M1" s="2240"/>
      <c r="N1" s="2240"/>
      <c r="O1" s="2240"/>
      <c r="P1" s="2240"/>
      <c r="Q1" s="2240"/>
      <c r="R1" s="2240"/>
      <c r="S1" s="2240"/>
      <c r="T1" s="2240"/>
      <c r="U1" s="2240"/>
      <c r="V1" s="2240"/>
      <c r="W1" s="2240"/>
      <c r="X1" s="2240"/>
      <c r="Y1" s="2240"/>
    </row>
    <row r="2" spans="1:25" ht="21.6" customHeight="1" x14ac:dyDescent="0.25">
      <c r="A2" s="2241" t="s">
        <v>383</v>
      </c>
      <c r="B2" s="2241"/>
      <c r="C2" s="2241"/>
      <c r="D2" s="2241"/>
      <c r="E2" s="2241"/>
      <c r="F2" s="2241"/>
      <c r="G2" s="2241"/>
      <c r="H2" s="2241"/>
      <c r="I2" s="2241"/>
      <c r="J2" s="2241"/>
      <c r="K2" s="2241"/>
      <c r="L2" s="2241"/>
      <c r="M2" s="2241"/>
      <c r="N2" s="2241"/>
      <c r="O2" s="2241"/>
      <c r="P2" s="2241"/>
      <c r="Q2" s="2241"/>
      <c r="R2" s="2241"/>
      <c r="S2" s="2241"/>
      <c r="T2" s="2241"/>
      <c r="U2" s="2241"/>
      <c r="V2" s="2241"/>
      <c r="W2" s="2241"/>
      <c r="X2" s="2241"/>
      <c r="Y2" s="2241"/>
    </row>
    <row r="3" spans="1:25" ht="21" customHeight="1" x14ac:dyDescent="0.25">
      <c r="A3" s="1713"/>
      <c r="B3" s="1713"/>
      <c r="C3" s="1713"/>
      <c r="D3" s="1713"/>
      <c r="E3" s="1713"/>
      <c r="F3" s="1713"/>
      <c r="G3" s="1713"/>
      <c r="H3" s="1713"/>
      <c r="I3" s="1713"/>
      <c r="J3" s="1713"/>
      <c r="K3" s="1713"/>
      <c r="L3" s="1713"/>
      <c r="M3" s="1713"/>
      <c r="N3" s="1713"/>
      <c r="O3" s="1713"/>
      <c r="P3" s="1713"/>
      <c r="Q3" s="1713"/>
      <c r="R3" s="1713"/>
      <c r="S3" s="1713"/>
      <c r="T3" s="2242" t="s">
        <v>529</v>
      </c>
      <c r="U3" s="2242"/>
      <c r="V3" s="2242"/>
      <c r="W3" s="2242"/>
      <c r="X3" s="2242"/>
      <c r="Y3" s="2242"/>
    </row>
    <row r="4" spans="1:25" s="1713" customFormat="1" ht="18" customHeight="1" x14ac:dyDescent="0.25">
      <c r="A4" s="2243" t="s">
        <v>25</v>
      </c>
      <c r="B4" s="2243" t="s">
        <v>26</v>
      </c>
      <c r="C4" s="2244" t="s">
        <v>27</v>
      </c>
      <c r="D4" s="2244"/>
      <c r="E4" s="2244" t="s">
        <v>342</v>
      </c>
      <c r="F4" s="2244"/>
      <c r="G4" s="2244" t="s">
        <v>65</v>
      </c>
      <c r="H4" s="2244"/>
      <c r="I4" s="2244" t="s">
        <v>29</v>
      </c>
      <c r="J4" s="2244"/>
      <c r="K4" s="2245" t="s">
        <v>14</v>
      </c>
      <c r="L4" s="2246"/>
      <c r="M4" s="2245" t="s">
        <v>429</v>
      </c>
      <c r="N4" s="2246"/>
      <c r="O4" s="2245" t="s">
        <v>441</v>
      </c>
      <c r="P4" s="2246"/>
      <c r="Q4" s="2245" t="s">
        <v>114</v>
      </c>
      <c r="R4" s="2246"/>
      <c r="S4" s="2244" t="s">
        <v>35</v>
      </c>
      <c r="T4" s="2244"/>
      <c r="U4" s="2245" t="s">
        <v>17</v>
      </c>
      <c r="V4" s="2246"/>
      <c r="W4" s="2247" t="s">
        <v>36</v>
      </c>
      <c r="X4" s="2248"/>
      <c r="Y4" s="2238" t="s">
        <v>30</v>
      </c>
    </row>
    <row r="5" spans="1:25" s="1713" customFormat="1" ht="25.5" customHeight="1" x14ac:dyDescent="0.25">
      <c r="A5" s="2243"/>
      <c r="B5" s="2243"/>
      <c r="C5" s="1715" t="s">
        <v>42</v>
      </c>
      <c r="D5" s="1715" t="s">
        <v>43</v>
      </c>
      <c r="E5" s="1715" t="s">
        <v>42</v>
      </c>
      <c r="F5" s="1715" t="s">
        <v>43</v>
      </c>
      <c r="G5" s="1715" t="s">
        <v>42</v>
      </c>
      <c r="H5" s="1715" t="s">
        <v>43</v>
      </c>
      <c r="I5" s="1715" t="s">
        <v>42</v>
      </c>
      <c r="J5" s="1715" t="s">
        <v>43</v>
      </c>
      <c r="K5" s="1715" t="s">
        <v>42</v>
      </c>
      <c r="L5" s="1715" t="s">
        <v>43</v>
      </c>
      <c r="M5" s="1715" t="s">
        <v>42</v>
      </c>
      <c r="N5" s="1715" t="s">
        <v>43</v>
      </c>
      <c r="O5" s="1715" t="s">
        <v>42</v>
      </c>
      <c r="P5" s="1715" t="s">
        <v>43</v>
      </c>
      <c r="Q5" s="1715" t="s">
        <v>42</v>
      </c>
      <c r="R5" s="1715" t="s">
        <v>43</v>
      </c>
      <c r="S5" s="33" t="s">
        <v>42</v>
      </c>
      <c r="T5" s="33" t="s">
        <v>43</v>
      </c>
      <c r="U5" s="30" t="s">
        <v>42</v>
      </c>
      <c r="V5" s="30" t="s">
        <v>43</v>
      </c>
      <c r="W5" s="30" t="s">
        <v>42</v>
      </c>
      <c r="X5" s="30" t="s">
        <v>43</v>
      </c>
      <c r="Y5" s="2239"/>
    </row>
    <row r="6" spans="1:25" ht="34.5" customHeight="1" x14ac:dyDescent="0.25">
      <c r="A6" s="12">
        <v>1409935200</v>
      </c>
      <c r="B6" s="1714" t="s">
        <v>71</v>
      </c>
      <c r="C6" s="1717">
        <v>34360</v>
      </c>
      <c r="D6" s="1718">
        <f t="shared" ref="D6:D11" si="0">0.9725*C6</f>
        <v>33415.1</v>
      </c>
      <c r="E6" s="1717"/>
      <c r="F6" s="1718">
        <f>67.1*E6</f>
        <v>0</v>
      </c>
      <c r="G6" s="1717"/>
      <c r="H6" s="1717">
        <f>28.2*G6</f>
        <v>0</v>
      </c>
      <c r="I6" s="1717">
        <v>390</v>
      </c>
      <c r="J6" s="1717">
        <f>18.5*I6</f>
        <v>7215</v>
      </c>
      <c r="K6" s="1717"/>
      <c r="L6" s="1718">
        <f>28.2368*K6</f>
        <v>0</v>
      </c>
      <c r="M6" s="1717"/>
      <c r="N6" s="1718">
        <f>M6*47.6525</f>
        <v>0</v>
      </c>
      <c r="O6" s="1717"/>
      <c r="P6" s="1718">
        <f>O6*8.9</f>
        <v>0</v>
      </c>
      <c r="Q6" s="1718"/>
      <c r="R6" s="1718">
        <f>241*Q6</f>
        <v>0</v>
      </c>
      <c r="S6" s="1717"/>
      <c r="T6" s="1717">
        <f>241*S6</f>
        <v>0</v>
      </c>
      <c r="U6" s="1717"/>
      <c r="V6" s="1717">
        <f>332*U6</f>
        <v>0</v>
      </c>
      <c r="W6" s="1717"/>
      <c r="X6" s="19">
        <f>W6*100</f>
        <v>0</v>
      </c>
      <c r="Y6" s="20">
        <f t="shared" ref="Y6:Y12" si="1">D6+F6+H6+J6+L6+N6+P6+R6+T6+V6+X6</f>
        <v>40630.1</v>
      </c>
    </row>
    <row r="7" spans="1:25" ht="31.5" customHeight="1" x14ac:dyDescent="0.25">
      <c r="A7" s="12">
        <v>1984225578</v>
      </c>
      <c r="B7" s="1714" t="s">
        <v>509</v>
      </c>
      <c r="C7" s="1717">
        <v>26911</v>
      </c>
      <c r="D7" s="1718">
        <f t="shared" si="0"/>
        <v>26170.947500000002</v>
      </c>
      <c r="E7" s="1717"/>
      <c r="F7" s="1717">
        <f t="shared" ref="F7:F11" si="2">67.1*E7</f>
        <v>0</v>
      </c>
      <c r="G7" s="1717"/>
      <c r="H7" s="1717">
        <f t="shared" ref="H7:H11" si="3">28.2*G7</f>
        <v>0</v>
      </c>
      <c r="I7" s="1717">
        <v>90</v>
      </c>
      <c r="J7" s="1717">
        <f t="shared" ref="J7:J11" si="4">18.5*I7</f>
        <v>1665</v>
      </c>
      <c r="K7" s="1717"/>
      <c r="L7" s="1718">
        <f t="shared" ref="L7:L11" si="5">28.2368*K7</f>
        <v>0</v>
      </c>
      <c r="M7" s="1717"/>
      <c r="N7" s="1718">
        <f t="shared" ref="N7:N11" si="6">M7*47.6525</f>
        <v>0</v>
      </c>
      <c r="O7" s="1717"/>
      <c r="P7" s="1718">
        <f t="shared" ref="P7:P11" si="7">O7*8.9</f>
        <v>0</v>
      </c>
      <c r="Q7" s="1718"/>
      <c r="R7" s="1718">
        <f t="shared" ref="R7:R11" si="8">241*Q7</f>
        <v>0</v>
      </c>
      <c r="S7" s="1717"/>
      <c r="T7" s="1717">
        <f t="shared" ref="T7:T10" si="9">241*S7</f>
        <v>0</v>
      </c>
      <c r="U7" s="1717">
        <v>5</v>
      </c>
      <c r="V7" s="1717">
        <f t="shared" ref="V7:V11" si="10">332*U7</f>
        <v>1660</v>
      </c>
      <c r="W7" s="1717"/>
      <c r="X7" s="19">
        <f t="shared" ref="X7:X11" si="11">W7*100</f>
        <v>0</v>
      </c>
      <c r="Y7" s="20">
        <f t="shared" si="1"/>
        <v>29495.947500000002</v>
      </c>
    </row>
    <row r="8" spans="1:25" ht="35.25" customHeight="1" x14ac:dyDescent="0.25">
      <c r="A8" s="12">
        <v>1967020280</v>
      </c>
      <c r="B8" s="1714" t="s">
        <v>427</v>
      </c>
      <c r="C8" s="1717">
        <v>27657</v>
      </c>
      <c r="D8" s="1718">
        <f t="shared" si="0"/>
        <v>26896.432500000003</v>
      </c>
      <c r="E8" s="1717"/>
      <c r="F8" s="1717">
        <f t="shared" si="2"/>
        <v>0</v>
      </c>
      <c r="G8" s="1717"/>
      <c r="H8" s="1718">
        <f t="shared" si="3"/>
        <v>0</v>
      </c>
      <c r="I8" s="1717">
        <v>410</v>
      </c>
      <c r="J8" s="1717">
        <f t="shared" si="4"/>
        <v>7585</v>
      </c>
      <c r="K8" s="1717"/>
      <c r="L8" s="1718">
        <f t="shared" si="5"/>
        <v>0</v>
      </c>
      <c r="M8" s="1717"/>
      <c r="N8" s="1718">
        <f t="shared" si="6"/>
        <v>0</v>
      </c>
      <c r="O8" s="1717"/>
      <c r="P8" s="1718">
        <f t="shared" si="7"/>
        <v>0</v>
      </c>
      <c r="Q8" s="1718"/>
      <c r="R8" s="1718">
        <f t="shared" si="8"/>
        <v>0</v>
      </c>
      <c r="S8" s="1717"/>
      <c r="T8" s="1717">
        <f t="shared" si="9"/>
        <v>0</v>
      </c>
      <c r="U8" s="1717"/>
      <c r="V8" s="1717">
        <f t="shared" si="10"/>
        <v>0</v>
      </c>
      <c r="W8" s="1717"/>
      <c r="X8" s="19">
        <f t="shared" si="11"/>
        <v>0</v>
      </c>
      <c r="Y8" s="20">
        <f t="shared" si="1"/>
        <v>34481.432500000003</v>
      </c>
    </row>
    <row r="9" spans="1:25" ht="38.25" customHeight="1" x14ac:dyDescent="0.25">
      <c r="A9" s="12">
        <v>1984225580</v>
      </c>
      <c r="B9" s="1714" t="s">
        <v>75</v>
      </c>
      <c r="C9" s="1717">
        <v>23069</v>
      </c>
      <c r="D9" s="1718">
        <f t="shared" si="0"/>
        <v>22434.602500000001</v>
      </c>
      <c r="E9" s="1717"/>
      <c r="F9" s="1717">
        <f t="shared" si="2"/>
        <v>0</v>
      </c>
      <c r="G9" s="1717"/>
      <c r="H9" s="1717">
        <f t="shared" si="3"/>
        <v>0</v>
      </c>
      <c r="I9" s="1717">
        <v>270</v>
      </c>
      <c r="J9" s="1717">
        <f t="shared" si="4"/>
        <v>4995</v>
      </c>
      <c r="K9" s="1717"/>
      <c r="L9" s="1718">
        <f t="shared" si="5"/>
        <v>0</v>
      </c>
      <c r="M9" s="1717"/>
      <c r="N9" s="1718">
        <f t="shared" si="6"/>
        <v>0</v>
      </c>
      <c r="O9" s="1717"/>
      <c r="P9" s="1718">
        <f t="shared" si="7"/>
        <v>0</v>
      </c>
      <c r="Q9" s="1718"/>
      <c r="R9" s="1718">
        <f t="shared" si="8"/>
        <v>0</v>
      </c>
      <c r="S9" s="1717"/>
      <c r="T9" s="1717">
        <f t="shared" si="9"/>
        <v>0</v>
      </c>
      <c r="U9" s="1717"/>
      <c r="V9" s="1717">
        <f t="shared" si="10"/>
        <v>0</v>
      </c>
      <c r="W9" s="1717"/>
      <c r="X9" s="19">
        <f t="shared" si="11"/>
        <v>0</v>
      </c>
      <c r="Y9" s="20">
        <f t="shared" si="1"/>
        <v>27429.602500000001</v>
      </c>
    </row>
    <row r="10" spans="1:25" ht="35.25" customHeight="1" x14ac:dyDescent="0.25">
      <c r="A10" s="12">
        <v>1409935199</v>
      </c>
      <c r="C10" s="1717"/>
      <c r="D10" s="1718">
        <f t="shared" si="0"/>
        <v>0</v>
      </c>
      <c r="E10" s="1717"/>
      <c r="F10" s="1717">
        <f t="shared" si="2"/>
        <v>0</v>
      </c>
      <c r="G10" s="1717"/>
      <c r="H10" s="1717">
        <f t="shared" si="3"/>
        <v>0</v>
      </c>
      <c r="I10" s="1717"/>
      <c r="J10" s="1717">
        <f t="shared" si="4"/>
        <v>0</v>
      </c>
      <c r="K10" s="1717"/>
      <c r="L10" s="1718">
        <f t="shared" si="5"/>
        <v>0</v>
      </c>
      <c r="M10" s="1717"/>
      <c r="N10" s="1718">
        <f t="shared" si="6"/>
        <v>0</v>
      </c>
      <c r="O10" s="1717"/>
      <c r="P10" s="1718">
        <f t="shared" si="7"/>
        <v>0</v>
      </c>
      <c r="Q10" s="1718"/>
      <c r="R10" s="1718">
        <f t="shared" si="8"/>
        <v>0</v>
      </c>
      <c r="S10" s="1717"/>
      <c r="T10" s="1717">
        <f t="shared" si="9"/>
        <v>0</v>
      </c>
      <c r="U10" s="1717"/>
      <c r="V10" s="1717">
        <f t="shared" si="10"/>
        <v>0</v>
      </c>
      <c r="W10" s="1717"/>
      <c r="X10" s="19">
        <f t="shared" si="11"/>
        <v>0</v>
      </c>
      <c r="Y10" s="20">
        <f t="shared" si="1"/>
        <v>0</v>
      </c>
    </row>
    <row r="11" spans="1:25" ht="37.5" customHeight="1" x14ac:dyDescent="0.25">
      <c r="A11" s="12"/>
      <c r="B11" s="1716"/>
      <c r="C11" s="1717"/>
      <c r="D11" s="1718">
        <f t="shared" si="0"/>
        <v>0</v>
      </c>
      <c r="E11" s="1717"/>
      <c r="F11" s="1717">
        <f t="shared" si="2"/>
        <v>0</v>
      </c>
      <c r="G11" s="1717"/>
      <c r="H11" s="1717">
        <f t="shared" si="3"/>
        <v>0</v>
      </c>
      <c r="I11" s="1717"/>
      <c r="J11" s="1717">
        <f t="shared" si="4"/>
        <v>0</v>
      </c>
      <c r="K11" s="1717"/>
      <c r="L11" s="1718">
        <f t="shared" si="5"/>
        <v>0</v>
      </c>
      <c r="M11" s="1717"/>
      <c r="N11" s="1718">
        <f t="shared" si="6"/>
        <v>0</v>
      </c>
      <c r="O11" s="1717"/>
      <c r="P11" s="1718">
        <f t="shared" si="7"/>
        <v>0</v>
      </c>
      <c r="Q11" s="1718"/>
      <c r="R11" s="1718">
        <f t="shared" si="8"/>
        <v>0</v>
      </c>
      <c r="S11" s="1717"/>
      <c r="T11" s="1717">
        <f>341*S11</f>
        <v>0</v>
      </c>
      <c r="U11" s="1717"/>
      <c r="V11" s="1717">
        <f t="shared" si="10"/>
        <v>0</v>
      </c>
      <c r="W11" s="1717"/>
      <c r="X11" s="19">
        <f t="shared" si="11"/>
        <v>0</v>
      </c>
      <c r="Y11" s="20">
        <f t="shared" si="1"/>
        <v>0</v>
      </c>
    </row>
    <row r="12" spans="1:25" ht="29.25" customHeight="1" x14ac:dyDescent="0.25">
      <c r="A12" s="2235" t="s">
        <v>31</v>
      </c>
      <c r="B12" s="2235"/>
      <c r="C12" s="18">
        <f t="shared" ref="C12:X12" si="12">SUM(C6:C11)</f>
        <v>111997</v>
      </c>
      <c r="D12" s="18">
        <f t="shared" si="12"/>
        <v>108917.08250000002</v>
      </c>
      <c r="E12" s="18">
        <f t="shared" si="12"/>
        <v>0</v>
      </c>
      <c r="F12" s="18">
        <f t="shared" si="12"/>
        <v>0</v>
      </c>
      <c r="G12" s="18">
        <f t="shared" si="12"/>
        <v>0</v>
      </c>
      <c r="H12" s="18">
        <f t="shared" si="12"/>
        <v>0</v>
      </c>
      <c r="I12" s="18">
        <f t="shared" si="12"/>
        <v>1160</v>
      </c>
      <c r="J12" s="18">
        <f t="shared" si="12"/>
        <v>21460</v>
      </c>
      <c r="K12" s="18">
        <f t="shared" si="12"/>
        <v>0</v>
      </c>
      <c r="L12" s="18">
        <f t="shared" si="12"/>
        <v>0</v>
      </c>
      <c r="M12" s="18">
        <f t="shared" si="12"/>
        <v>0</v>
      </c>
      <c r="N12" s="23">
        <f t="shared" si="12"/>
        <v>0</v>
      </c>
      <c r="O12" s="18">
        <f t="shared" si="12"/>
        <v>0</v>
      </c>
      <c r="P12" s="23">
        <f t="shared" si="12"/>
        <v>0</v>
      </c>
      <c r="Q12" s="23">
        <f t="shared" si="12"/>
        <v>0</v>
      </c>
      <c r="R12" s="23">
        <f>SUM(R6:R11)</f>
        <v>0</v>
      </c>
      <c r="S12" s="23">
        <f>SUM(S6:S11)</f>
        <v>0</v>
      </c>
      <c r="T12" s="18">
        <f t="shared" si="12"/>
        <v>0</v>
      </c>
      <c r="U12" s="18">
        <f t="shared" si="12"/>
        <v>5</v>
      </c>
      <c r="V12" s="18">
        <f t="shared" si="12"/>
        <v>1660</v>
      </c>
      <c r="W12" s="18">
        <f t="shared" si="12"/>
        <v>0</v>
      </c>
      <c r="X12" s="18">
        <f t="shared" si="12"/>
        <v>0</v>
      </c>
      <c r="Y12" s="20">
        <f t="shared" si="1"/>
        <v>132037.08250000002</v>
      </c>
    </row>
    <row r="14" spans="1:25" ht="43.5" customHeight="1" x14ac:dyDescent="0.25">
      <c r="A14" s="30" t="s">
        <v>32</v>
      </c>
      <c r="B14" s="2236" t="s">
        <v>27</v>
      </c>
      <c r="C14" s="2236"/>
      <c r="D14" s="30" t="s">
        <v>333</v>
      </c>
      <c r="E14" s="30" t="s">
        <v>65</v>
      </c>
      <c r="F14" s="30" t="s">
        <v>34</v>
      </c>
      <c r="G14" s="30" t="s">
        <v>14</v>
      </c>
      <c r="H14" s="469" t="s">
        <v>173</v>
      </c>
      <c r="I14" s="30" t="s">
        <v>17</v>
      </c>
      <c r="J14" s="1722" t="s">
        <v>174</v>
      </c>
      <c r="K14" s="30" t="s">
        <v>36</v>
      </c>
      <c r="L14" s="1722" t="s">
        <v>403</v>
      </c>
      <c r="M14" s="30" t="s">
        <v>429</v>
      </c>
      <c r="N14" s="30" t="s">
        <v>442</v>
      </c>
      <c r="O14" s="1722" t="s">
        <v>114</v>
      </c>
      <c r="P14" s="30" t="s">
        <v>70</v>
      </c>
      <c r="Q14" s="2300" t="s">
        <v>479</v>
      </c>
      <c r="R14" s="2301"/>
      <c r="S14" s="1722" t="s">
        <v>401</v>
      </c>
      <c r="T14" s="2235" t="s">
        <v>46</v>
      </c>
      <c r="U14" s="1714" t="s">
        <v>176</v>
      </c>
      <c r="V14" s="2260">
        <v>24111</v>
      </c>
      <c r="W14" s="2268"/>
      <c r="X14" s="2261"/>
    </row>
    <row r="15" spans="1:25" ht="22.5" customHeight="1" x14ac:dyDescent="0.25">
      <c r="A15" s="100" t="s">
        <v>38</v>
      </c>
      <c r="B15" s="2260">
        <v>713992</v>
      </c>
      <c r="C15" s="2261"/>
      <c r="D15" s="1719">
        <v>0</v>
      </c>
      <c r="E15" s="1719">
        <v>0</v>
      </c>
      <c r="F15" s="1719">
        <v>3610</v>
      </c>
      <c r="G15" s="1719">
        <v>0</v>
      </c>
      <c r="H15" s="1719">
        <v>38</v>
      </c>
      <c r="I15" s="1719">
        <v>10</v>
      </c>
      <c r="J15" s="1719">
        <v>4</v>
      </c>
      <c r="K15" s="1719">
        <v>66</v>
      </c>
      <c r="L15" s="1719">
        <v>0</v>
      </c>
      <c r="M15" s="1719">
        <v>0</v>
      </c>
      <c r="N15" s="1719">
        <v>0</v>
      </c>
      <c r="O15" s="1719">
        <v>0</v>
      </c>
      <c r="P15" s="1719">
        <v>100</v>
      </c>
      <c r="Q15" s="2260">
        <v>10</v>
      </c>
      <c r="R15" s="2261"/>
      <c r="S15" s="1714">
        <v>2</v>
      </c>
      <c r="T15" s="2235"/>
      <c r="U15" s="1714" t="s">
        <v>64</v>
      </c>
      <c r="V15" s="2262">
        <v>11677</v>
      </c>
      <c r="W15" s="2262"/>
      <c r="X15" s="2262"/>
    </row>
    <row r="16" spans="1:25" ht="24.75" customHeight="1" x14ac:dyDescent="0.25">
      <c r="A16" s="100" t="s">
        <v>39</v>
      </c>
      <c r="B16" s="2260"/>
      <c r="C16" s="2261"/>
      <c r="D16" s="1719"/>
      <c r="E16" s="1719"/>
      <c r="F16" s="1719"/>
      <c r="G16" s="1719"/>
      <c r="H16" s="1719"/>
      <c r="I16" s="1719"/>
      <c r="J16" s="1719"/>
      <c r="K16" s="1719"/>
      <c r="L16" s="1719"/>
      <c r="M16" s="1719"/>
      <c r="N16" s="1719"/>
      <c r="O16" s="1719"/>
      <c r="P16" s="1719"/>
      <c r="Q16" s="2262"/>
      <c r="R16" s="2262"/>
      <c r="S16" s="1719"/>
      <c r="T16" s="2254" t="s">
        <v>55</v>
      </c>
      <c r="U16" s="2254"/>
      <c r="V16" s="2267">
        <f>Y12</f>
        <v>132037.08250000002</v>
      </c>
      <c r="W16" s="2267"/>
      <c r="X16" s="2262"/>
    </row>
    <row r="17" spans="1:25" ht="28.5" customHeight="1" x14ac:dyDescent="0.25">
      <c r="A17" s="101" t="s">
        <v>44</v>
      </c>
      <c r="B17" s="2260"/>
      <c r="C17" s="2261"/>
      <c r="D17" s="1719"/>
      <c r="E17" s="1719"/>
      <c r="F17" s="1719"/>
      <c r="G17" s="1719"/>
      <c r="H17" s="1719"/>
      <c r="I17" s="1719"/>
      <c r="J17" s="1719"/>
      <c r="K17" s="1719"/>
      <c r="L17" s="1719"/>
      <c r="M17" s="1719"/>
      <c r="N17" s="1719"/>
      <c r="O17" s="1719"/>
      <c r="P17" s="1719"/>
      <c r="Q17" s="2225"/>
      <c r="R17" s="2225"/>
      <c r="S17" s="1716"/>
      <c r="T17" s="2294" t="s">
        <v>521</v>
      </c>
      <c r="U17" s="2295"/>
      <c r="V17" s="2296"/>
      <c r="W17" s="2296"/>
      <c r="X17" s="2296"/>
    </row>
    <row r="18" spans="1:25" ht="27" customHeight="1" x14ac:dyDescent="0.25">
      <c r="A18" s="100" t="s">
        <v>40</v>
      </c>
      <c r="B18" s="2264">
        <f>C12</f>
        <v>111997</v>
      </c>
      <c r="C18" s="2261"/>
      <c r="D18" s="1720">
        <f>E12</f>
        <v>0</v>
      </c>
      <c r="E18" s="1720">
        <f>G12</f>
        <v>0</v>
      </c>
      <c r="F18" s="1720">
        <f>I12</f>
        <v>1160</v>
      </c>
      <c r="G18" s="1720">
        <f>K12</f>
        <v>0</v>
      </c>
      <c r="H18" s="1719"/>
      <c r="I18" s="1720">
        <f>U12</f>
        <v>5</v>
      </c>
      <c r="J18" s="1719"/>
      <c r="K18" s="1720">
        <f>W12</f>
        <v>0</v>
      </c>
      <c r="L18" s="1719"/>
      <c r="M18" s="1720">
        <f>M12</f>
        <v>0</v>
      </c>
      <c r="N18" s="1720">
        <f>O12</f>
        <v>0</v>
      </c>
      <c r="O18" s="1721">
        <f>Q12</f>
        <v>0</v>
      </c>
      <c r="P18" s="1720"/>
      <c r="Q18" s="2262"/>
      <c r="R18" s="2262"/>
      <c r="S18" s="1714"/>
      <c r="T18" s="2254" t="s">
        <v>57</v>
      </c>
      <c r="U18" s="2254"/>
      <c r="V18" s="2262">
        <v>5020</v>
      </c>
      <c r="W18" s="2262"/>
      <c r="X18" s="2262"/>
      <c r="Y18" s="2269"/>
    </row>
    <row r="19" spans="1:25" ht="25.5" customHeight="1" x14ac:dyDescent="0.25">
      <c r="A19" s="100" t="s">
        <v>41</v>
      </c>
      <c r="B19" s="2260">
        <f>B15+B16+B17-B18</f>
        <v>601995</v>
      </c>
      <c r="C19" s="2261"/>
      <c r="D19" s="1719">
        <f>D15+D16+D17-D18</f>
        <v>0</v>
      </c>
      <c r="E19" s="1719">
        <f t="shared" ref="E19:N19" si="13">E15+E16+E17-E18</f>
        <v>0</v>
      </c>
      <c r="F19" s="1719">
        <f t="shared" si="13"/>
        <v>2450</v>
      </c>
      <c r="G19" s="1719">
        <f t="shared" si="13"/>
        <v>0</v>
      </c>
      <c r="H19" s="1719">
        <f t="shared" si="13"/>
        <v>38</v>
      </c>
      <c r="I19" s="1719">
        <f t="shared" si="13"/>
        <v>5</v>
      </c>
      <c r="J19" s="1719">
        <f t="shared" si="13"/>
        <v>4</v>
      </c>
      <c r="K19" s="1719">
        <f t="shared" si="13"/>
        <v>66</v>
      </c>
      <c r="L19" s="1719">
        <f t="shared" si="13"/>
        <v>0</v>
      </c>
      <c r="M19" s="1719">
        <f t="shared" si="13"/>
        <v>0</v>
      </c>
      <c r="N19" s="1719">
        <f t="shared" si="13"/>
        <v>0</v>
      </c>
      <c r="O19" s="1719">
        <f>O15+O16+O17-O18</f>
        <v>0</v>
      </c>
      <c r="P19" s="1719">
        <f t="shared" ref="P19:Q19" si="14">P15+P16+P17-P18</f>
        <v>100</v>
      </c>
      <c r="Q19" s="2260">
        <f t="shared" si="14"/>
        <v>10</v>
      </c>
      <c r="R19" s="2261"/>
      <c r="S19" s="1714">
        <f>S15+S16-S17-S18</f>
        <v>2</v>
      </c>
      <c r="T19" s="2256" t="s">
        <v>48</v>
      </c>
      <c r="U19" s="49" t="s">
        <v>58</v>
      </c>
      <c r="V19" s="2262">
        <v>135000</v>
      </c>
      <c r="W19" s="2262"/>
      <c r="X19" s="2262"/>
      <c r="Y19" s="2269"/>
    </row>
    <row r="20" spans="1:25" ht="23.25" customHeight="1" x14ac:dyDescent="0.25">
      <c r="A20" s="289" t="s">
        <v>187</v>
      </c>
      <c r="B20" s="2286">
        <f>B19*0.9625</f>
        <v>579420.1875</v>
      </c>
      <c r="C20" s="2287"/>
      <c r="D20" s="290">
        <f>D19*66.41</f>
        <v>0</v>
      </c>
      <c r="E20" s="290">
        <f>27.9368*E19</f>
        <v>0</v>
      </c>
      <c r="F20" s="290">
        <f>18.31*F19</f>
        <v>44859.5</v>
      </c>
      <c r="G20" s="290">
        <f>27.9368*G19</f>
        <v>0</v>
      </c>
      <c r="H20" s="290">
        <f>241*H19</f>
        <v>9158</v>
      </c>
      <c r="I20" s="290">
        <f>323*I19</f>
        <v>1615</v>
      </c>
      <c r="J20" s="290">
        <f>241*J19</f>
        <v>964</v>
      </c>
      <c r="K20" s="290">
        <f>K19*100</f>
        <v>6600</v>
      </c>
      <c r="L20" s="290">
        <f>241*L19</f>
        <v>0</v>
      </c>
      <c r="M20" s="290">
        <f>47.1625*M19</f>
        <v>0</v>
      </c>
      <c r="N20" s="290">
        <f>N19*8.81</f>
        <v>0</v>
      </c>
      <c r="O20" s="290">
        <f>241*O19</f>
        <v>0</v>
      </c>
      <c r="P20" s="290">
        <f>P19*48.2</f>
        <v>4820</v>
      </c>
      <c r="Q20" s="2286">
        <f>470*Q19</f>
        <v>4700</v>
      </c>
      <c r="R20" s="2287"/>
      <c r="S20" s="290">
        <f>341*S19</f>
        <v>682</v>
      </c>
      <c r="T20" s="2257"/>
      <c r="U20" s="49" t="s">
        <v>59</v>
      </c>
      <c r="V20" s="2262"/>
      <c r="W20" s="2262"/>
      <c r="X20" s="2262"/>
      <c r="Y20" s="2269"/>
    </row>
    <row r="21" spans="1:25" ht="32.25" customHeight="1" x14ac:dyDescent="0.25">
      <c r="A21" s="291" t="s">
        <v>186</v>
      </c>
      <c r="B21" s="2293">
        <f>SUM(B20:S20)</f>
        <v>652818.6875</v>
      </c>
      <c r="C21" s="2293"/>
      <c r="O21" s="1723"/>
      <c r="P21" s="1723"/>
      <c r="Q21" s="1723"/>
      <c r="R21" s="1723"/>
      <c r="T21" s="2294" t="s">
        <v>518</v>
      </c>
      <c r="U21" s="2295"/>
      <c r="V21" s="2297"/>
      <c r="W21" s="2298"/>
      <c r="X21" s="2299"/>
      <c r="Y21" s="2269"/>
    </row>
    <row r="22" spans="1:25" ht="35.25" customHeight="1" x14ac:dyDescent="0.25">
      <c r="A22" s="15"/>
      <c r="B22" s="2288" t="s">
        <v>49</v>
      </c>
      <c r="C22" s="2291">
        <v>300000</v>
      </c>
      <c r="D22" s="2291">
        <v>135000</v>
      </c>
      <c r="E22" s="2291"/>
      <c r="F22" s="2291">
        <f>C22-D22+E22</f>
        <v>165000</v>
      </c>
      <c r="G22" s="1723"/>
      <c r="Q22" s="1723"/>
      <c r="R22" s="1723"/>
      <c r="T22" s="2251" t="s">
        <v>83</v>
      </c>
      <c r="U22" s="50" t="s">
        <v>60</v>
      </c>
      <c r="V22" s="2262">
        <v>136020</v>
      </c>
      <c r="W22" s="2262"/>
      <c r="X22" s="2262"/>
      <c r="Y22" s="2269"/>
    </row>
    <row r="23" spans="1:25" ht="39.75" customHeight="1" x14ac:dyDescent="0.25">
      <c r="A23" s="1723"/>
      <c r="B23" s="2289"/>
      <c r="C23" s="2292"/>
      <c r="D23" s="2292"/>
      <c r="E23" s="2292"/>
      <c r="F23" s="2292"/>
      <c r="G23" s="1723"/>
      <c r="Q23" s="1723"/>
      <c r="R23" s="1723"/>
      <c r="T23" s="2252"/>
      <c r="U23" s="50" t="s">
        <v>61</v>
      </c>
      <c r="V23" s="2262">
        <v>135000</v>
      </c>
      <c r="W23" s="2262"/>
      <c r="X23" s="2262"/>
      <c r="Y23" s="2269"/>
    </row>
    <row r="24" spans="1:25" ht="48" customHeight="1" x14ac:dyDescent="0.25">
      <c r="A24" s="1723"/>
      <c r="B24" s="2290"/>
      <c r="C24" s="290" t="s">
        <v>46</v>
      </c>
      <c r="D24" s="290" t="s">
        <v>50</v>
      </c>
      <c r="E24" s="290" t="s">
        <v>51</v>
      </c>
      <c r="F24" s="290" t="s">
        <v>52</v>
      </c>
      <c r="G24" s="1723"/>
      <c r="Q24" s="1723"/>
      <c r="R24" s="1723"/>
      <c r="T24" s="2235" t="s">
        <v>47</v>
      </c>
      <c r="U24" s="51" t="s">
        <v>62</v>
      </c>
      <c r="V24" s="2263">
        <f>V14+V16+V17-V18-V19-V20-V22+V23-V21</f>
        <v>15108.082500000019</v>
      </c>
      <c r="W24" s="2263"/>
      <c r="X24" s="2263"/>
      <c r="Y24" s="2269"/>
    </row>
    <row r="25" spans="1:25" ht="40.5" customHeight="1" x14ac:dyDescent="0.25">
      <c r="T25" s="2235"/>
      <c r="U25" s="51" t="s">
        <v>63</v>
      </c>
      <c r="V25" s="2262">
        <f>V15+V22-V23</f>
        <v>12697</v>
      </c>
      <c r="W25" s="2262"/>
      <c r="X25" s="2262"/>
    </row>
    <row r="26" spans="1:25" ht="36" customHeight="1" x14ac:dyDescent="0.25">
      <c r="K26" s="314"/>
    </row>
    <row r="28" spans="1:25" x14ac:dyDescent="0.25">
      <c r="J28" s="14" t="s">
        <v>139</v>
      </c>
    </row>
    <row r="32" spans="1:25" x14ac:dyDescent="0.25">
      <c r="I32" s="2280"/>
      <c r="J32" s="2280"/>
      <c r="K32" s="2280"/>
      <c r="L32" s="2280"/>
    </row>
    <row r="33" spans="9:12" x14ac:dyDescent="0.25">
      <c r="I33" s="1723"/>
      <c r="J33" s="1723"/>
      <c r="K33" s="2280"/>
      <c r="L33" s="2280"/>
    </row>
  </sheetData>
  <mergeCells count="62">
    <mergeCell ref="I32:J32"/>
    <mergeCell ref="K32:L32"/>
    <mergeCell ref="K33:L33"/>
    <mergeCell ref="T22:T23"/>
    <mergeCell ref="V22:X22"/>
    <mergeCell ref="V23:X23"/>
    <mergeCell ref="T24:T25"/>
    <mergeCell ref="V24:X24"/>
    <mergeCell ref="V25:X25"/>
    <mergeCell ref="Y18:Y24"/>
    <mergeCell ref="B19:C19"/>
    <mergeCell ref="Q19:R19"/>
    <mergeCell ref="T19:T20"/>
    <mergeCell ref="V19:X19"/>
    <mergeCell ref="B20:C20"/>
    <mergeCell ref="B22:B24"/>
    <mergeCell ref="C22:C23"/>
    <mergeCell ref="D22:D23"/>
    <mergeCell ref="E22:E23"/>
    <mergeCell ref="F22:F23"/>
    <mergeCell ref="Q20:R20"/>
    <mergeCell ref="V20:X20"/>
    <mergeCell ref="B21:C21"/>
    <mergeCell ref="T21:U21"/>
    <mergeCell ref="V21:X21"/>
    <mergeCell ref="B17:C17"/>
    <mergeCell ref="Q17:R17"/>
    <mergeCell ref="T17:U17"/>
    <mergeCell ref="V17:X17"/>
    <mergeCell ref="B18:C18"/>
    <mergeCell ref="Q18:R18"/>
    <mergeCell ref="T18:U18"/>
    <mergeCell ref="V18:X18"/>
    <mergeCell ref="W4:X4"/>
    <mergeCell ref="B16:C16"/>
    <mergeCell ref="Q16:R16"/>
    <mergeCell ref="T16:U16"/>
    <mergeCell ref="V16:X16"/>
    <mergeCell ref="A12:B12"/>
    <mergeCell ref="B14:C14"/>
    <mergeCell ref="Q14:R14"/>
    <mergeCell ref="T14:T15"/>
    <mergeCell ref="V14:X14"/>
    <mergeCell ref="B15:C15"/>
    <mergeCell ref="Q15:R15"/>
    <mergeCell ref="V15:X15"/>
    <mergeCell ref="A1:Y1"/>
    <mergeCell ref="A2:Y2"/>
    <mergeCell ref="T3:Y3"/>
    <mergeCell ref="A4:A5"/>
    <mergeCell ref="B4:B5"/>
    <mergeCell ref="C4:D4"/>
    <mergeCell ref="E4:F4"/>
    <mergeCell ref="G4:H4"/>
    <mergeCell ref="I4:J4"/>
    <mergeCell ref="K4:L4"/>
    <mergeCell ref="Y4:Y5"/>
    <mergeCell ref="M4:N4"/>
    <mergeCell ref="O4:P4"/>
    <mergeCell ref="Q4:R4"/>
    <mergeCell ref="S4:T4"/>
    <mergeCell ref="U4:V4"/>
  </mergeCells>
  <pageMargins left="0.15748031496063" right="0.15748031496063" top="0" bottom="0" header="0" footer="0"/>
  <pageSetup paperSize="9" scale="46" orientation="landscape" r:id="rId1"/>
</worksheet>
</file>

<file path=xl/worksheets/sheet28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7E6DFA7-D097-48B3-AED9-833208769BE3}">
  <sheetPr>
    <pageSetUpPr fitToPage="1"/>
  </sheetPr>
  <dimension ref="A1:Y33"/>
  <sheetViews>
    <sheetView topLeftCell="A13" zoomScale="70" zoomScaleNormal="70" zoomScaleSheetLayoutView="100" zoomScalePageLayoutView="68" workbookViewId="0">
      <selection activeCell="K25" sqref="K25"/>
    </sheetView>
  </sheetViews>
  <sheetFormatPr defaultColWidth="9.140625" defaultRowHeight="15" x14ac:dyDescent="0.25"/>
  <cols>
    <col min="1" max="1" width="18.28515625" style="14" customWidth="1"/>
    <col min="2" max="2" width="10.7109375" style="14" customWidth="1"/>
    <col min="3" max="3" width="12.28515625" style="14" customWidth="1"/>
    <col min="4" max="4" width="13.140625" style="14" bestFit="1" customWidth="1"/>
    <col min="5" max="5" width="12" style="14" customWidth="1"/>
    <col min="6" max="6" width="14" style="14" bestFit="1" customWidth="1"/>
    <col min="7" max="7" width="16" style="14" bestFit="1" customWidth="1"/>
    <col min="8" max="8" width="10.140625" style="14" bestFit="1" customWidth="1"/>
    <col min="9" max="9" width="10.5703125" style="14" bestFit="1" customWidth="1"/>
    <col min="10" max="10" width="10.5703125" style="14" customWidth="1"/>
    <col min="11" max="11" width="10.28515625" style="14" bestFit="1" customWidth="1"/>
    <col min="12" max="12" width="10.42578125" style="14" bestFit="1" customWidth="1"/>
    <col min="13" max="14" width="12" style="14" bestFit="1" customWidth="1"/>
    <col min="15" max="15" width="11" style="14" customWidth="1"/>
    <col min="16" max="16" width="12.85546875" style="14" bestFit="1" customWidth="1"/>
    <col min="17" max="18" width="9.42578125" style="14" customWidth="1"/>
    <col min="19" max="19" width="13.7109375" style="14" customWidth="1"/>
    <col min="20" max="20" width="12.140625" style="14" customWidth="1"/>
    <col min="21" max="21" width="21.7109375" style="14" customWidth="1"/>
    <col min="22" max="22" width="9.85546875" style="14" customWidth="1"/>
    <col min="23" max="23" width="10.140625" style="14" bestFit="1" customWidth="1"/>
    <col min="24" max="24" width="10.28515625" style="14" customWidth="1"/>
    <col min="25" max="25" width="15.7109375" style="14" customWidth="1"/>
    <col min="26" max="16384" width="9.140625" style="14"/>
  </cols>
  <sheetData>
    <row r="1" spans="1:25" ht="46.15" customHeight="1" x14ac:dyDescent="0.25">
      <c r="A1" s="2240" t="s">
        <v>148</v>
      </c>
      <c r="B1" s="2240"/>
      <c r="C1" s="2240"/>
      <c r="D1" s="2240"/>
      <c r="E1" s="2240"/>
      <c r="F1" s="2240"/>
      <c r="G1" s="2240"/>
      <c r="H1" s="2240"/>
      <c r="I1" s="2240"/>
      <c r="J1" s="2240"/>
      <c r="K1" s="2240"/>
      <c r="L1" s="2240"/>
      <c r="M1" s="2240"/>
      <c r="N1" s="2240"/>
      <c r="O1" s="2240"/>
      <c r="P1" s="2240"/>
      <c r="Q1" s="2240"/>
      <c r="R1" s="2240"/>
      <c r="S1" s="2240"/>
      <c r="T1" s="2240"/>
      <c r="U1" s="2240"/>
      <c r="V1" s="2240"/>
      <c r="W1" s="2240"/>
      <c r="X1" s="2240"/>
      <c r="Y1" s="2240"/>
    </row>
    <row r="2" spans="1:25" ht="21.6" customHeight="1" x14ac:dyDescent="0.25">
      <c r="A2" s="2241" t="s">
        <v>383</v>
      </c>
      <c r="B2" s="2241"/>
      <c r="C2" s="2241"/>
      <c r="D2" s="2241"/>
      <c r="E2" s="2241"/>
      <c r="F2" s="2241"/>
      <c r="G2" s="2241"/>
      <c r="H2" s="2241"/>
      <c r="I2" s="2241"/>
      <c r="J2" s="2241"/>
      <c r="K2" s="2241"/>
      <c r="L2" s="2241"/>
      <c r="M2" s="2241"/>
      <c r="N2" s="2241"/>
      <c r="O2" s="2241"/>
      <c r="P2" s="2241"/>
      <c r="Q2" s="2241"/>
      <c r="R2" s="2241"/>
      <c r="S2" s="2241"/>
      <c r="T2" s="2241"/>
      <c r="U2" s="2241"/>
      <c r="V2" s="2241"/>
      <c r="W2" s="2241"/>
      <c r="X2" s="2241"/>
      <c r="Y2" s="2241"/>
    </row>
    <row r="3" spans="1:25" ht="21" customHeight="1" x14ac:dyDescent="0.25">
      <c r="A3" s="1729"/>
      <c r="B3" s="1729"/>
      <c r="C3" s="1729"/>
      <c r="D3" s="1729"/>
      <c r="E3" s="1729"/>
      <c r="F3" s="1729"/>
      <c r="G3" s="1729"/>
      <c r="H3" s="1729"/>
      <c r="I3" s="1729"/>
      <c r="J3" s="1729"/>
      <c r="K3" s="1729"/>
      <c r="L3" s="1729"/>
      <c r="M3" s="1729"/>
      <c r="N3" s="1729"/>
      <c r="O3" s="1729"/>
      <c r="P3" s="1729"/>
      <c r="Q3" s="1729"/>
      <c r="R3" s="1729"/>
      <c r="S3" s="1729"/>
      <c r="T3" s="2242" t="s">
        <v>530</v>
      </c>
      <c r="U3" s="2242"/>
      <c r="V3" s="2242"/>
      <c r="W3" s="2242"/>
      <c r="X3" s="2242"/>
      <c r="Y3" s="2242"/>
    </row>
    <row r="4" spans="1:25" s="1729" customFormat="1" ht="18" customHeight="1" x14ac:dyDescent="0.25">
      <c r="A4" s="2243" t="s">
        <v>25</v>
      </c>
      <c r="B4" s="2243" t="s">
        <v>26</v>
      </c>
      <c r="C4" s="2244" t="s">
        <v>27</v>
      </c>
      <c r="D4" s="2244"/>
      <c r="E4" s="2244" t="s">
        <v>342</v>
      </c>
      <c r="F4" s="2244"/>
      <c r="G4" s="2244" t="s">
        <v>65</v>
      </c>
      <c r="H4" s="2244"/>
      <c r="I4" s="2244" t="s">
        <v>29</v>
      </c>
      <c r="J4" s="2244"/>
      <c r="K4" s="2245" t="s">
        <v>14</v>
      </c>
      <c r="L4" s="2246"/>
      <c r="M4" s="2245" t="s">
        <v>429</v>
      </c>
      <c r="N4" s="2246"/>
      <c r="O4" s="2245" t="s">
        <v>441</v>
      </c>
      <c r="P4" s="2246"/>
      <c r="Q4" s="2245" t="s">
        <v>114</v>
      </c>
      <c r="R4" s="2246"/>
      <c r="S4" s="2244" t="s">
        <v>35</v>
      </c>
      <c r="T4" s="2244"/>
      <c r="U4" s="2245" t="s">
        <v>17</v>
      </c>
      <c r="V4" s="2246"/>
      <c r="W4" s="2247" t="s">
        <v>36</v>
      </c>
      <c r="X4" s="2248"/>
      <c r="Y4" s="2238" t="s">
        <v>30</v>
      </c>
    </row>
    <row r="5" spans="1:25" s="1729" customFormat="1" ht="25.5" customHeight="1" x14ac:dyDescent="0.25">
      <c r="A5" s="2243"/>
      <c r="B5" s="2243"/>
      <c r="C5" s="1728" t="s">
        <v>42</v>
      </c>
      <c r="D5" s="1728" t="s">
        <v>43</v>
      </c>
      <c r="E5" s="1728" t="s">
        <v>42</v>
      </c>
      <c r="F5" s="1728" t="s">
        <v>43</v>
      </c>
      <c r="G5" s="1728" t="s">
        <v>42</v>
      </c>
      <c r="H5" s="1728" t="s">
        <v>43</v>
      </c>
      <c r="I5" s="1728" t="s">
        <v>42</v>
      </c>
      <c r="J5" s="1728" t="s">
        <v>43</v>
      </c>
      <c r="K5" s="1728" t="s">
        <v>42</v>
      </c>
      <c r="L5" s="1728" t="s">
        <v>43</v>
      </c>
      <c r="M5" s="1728" t="s">
        <v>42</v>
      </c>
      <c r="N5" s="1728" t="s">
        <v>43</v>
      </c>
      <c r="O5" s="1728" t="s">
        <v>42</v>
      </c>
      <c r="P5" s="1728" t="s">
        <v>43</v>
      </c>
      <c r="Q5" s="1728" t="s">
        <v>42</v>
      </c>
      <c r="R5" s="1728" t="s">
        <v>43</v>
      </c>
      <c r="S5" s="33" t="s">
        <v>42</v>
      </c>
      <c r="T5" s="33" t="s">
        <v>43</v>
      </c>
      <c r="U5" s="30" t="s">
        <v>42</v>
      </c>
      <c r="V5" s="30" t="s">
        <v>43</v>
      </c>
      <c r="W5" s="30" t="s">
        <v>42</v>
      </c>
      <c r="X5" s="30" t="s">
        <v>43</v>
      </c>
      <c r="Y5" s="2239"/>
    </row>
    <row r="6" spans="1:25" ht="34.5" customHeight="1" x14ac:dyDescent="0.25">
      <c r="A6" s="12">
        <v>1409935200</v>
      </c>
      <c r="B6" s="1727" t="s">
        <v>71</v>
      </c>
      <c r="C6" s="1725">
        <v>24324</v>
      </c>
      <c r="D6" s="1724">
        <f t="shared" ref="D6:D11" si="0">0.9725*C6</f>
        <v>23655.09</v>
      </c>
      <c r="E6" s="1725"/>
      <c r="F6" s="1724">
        <f>67.1*E6</f>
        <v>0</v>
      </c>
      <c r="G6" s="1725"/>
      <c r="H6" s="1725">
        <f>28.2*G6</f>
        <v>0</v>
      </c>
      <c r="I6" s="1725">
        <v>297</v>
      </c>
      <c r="J6" s="1725">
        <f>18.5*I6</f>
        <v>5494.5</v>
      </c>
      <c r="K6" s="1725"/>
      <c r="L6" s="1724">
        <f>28.2368*K6</f>
        <v>0</v>
      </c>
      <c r="M6" s="1725"/>
      <c r="N6" s="1724">
        <f>M6*47.6525</f>
        <v>0</v>
      </c>
      <c r="O6" s="1725"/>
      <c r="P6" s="1724">
        <f>O6*8.9</f>
        <v>0</v>
      </c>
      <c r="Q6" s="1724"/>
      <c r="R6" s="1724">
        <f>241*Q6</f>
        <v>0</v>
      </c>
      <c r="S6" s="1725"/>
      <c r="T6" s="1725">
        <f>241*S6</f>
        <v>0</v>
      </c>
      <c r="U6" s="1725"/>
      <c r="V6" s="1725">
        <f>332*U6</f>
        <v>0</v>
      </c>
      <c r="W6" s="1725"/>
      <c r="X6" s="19">
        <f>W6*100</f>
        <v>0</v>
      </c>
      <c r="Y6" s="20">
        <f t="shared" ref="Y6:Y12" si="1">D6+F6+H6+J6+L6+N6+P6+R6+T6+V6+X6</f>
        <v>29149.59</v>
      </c>
    </row>
    <row r="7" spans="1:25" ht="31.5" customHeight="1" x14ac:dyDescent="0.25">
      <c r="A7" s="12">
        <v>1984225578</v>
      </c>
      <c r="B7" s="1727" t="s">
        <v>509</v>
      </c>
      <c r="C7" s="1725">
        <v>20248</v>
      </c>
      <c r="D7" s="1724">
        <f t="shared" si="0"/>
        <v>19691.18</v>
      </c>
      <c r="E7" s="1725"/>
      <c r="F7" s="1725">
        <f t="shared" ref="F7:F11" si="2">67.1*E7</f>
        <v>0</v>
      </c>
      <c r="G7" s="1725"/>
      <c r="H7" s="1725">
        <f t="shared" ref="H7:H11" si="3">28.2*G7</f>
        <v>0</v>
      </c>
      <c r="I7" s="1725">
        <v>340</v>
      </c>
      <c r="J7" s="1725">
        <f t="shared" ref="J7:J11" si="4">18.5*I7</f>
        <v>6290</v>
      </c>
      <c r="K7" s="1725"/>
      <c r="L7" s="1724">
        <f t="shared" ref="L7:L11" si="5">28.2368*K7</f>
        <v>0</v>
      </c>
      <c r="M7" s="1725"/>
      <c r="N7" s="1724">
        <f t="shared" ref="N7:N11" si="6">M7*47.6525</f>
        <v>0</v>
      </c>
      <c r="O7" s="1725"/>
      <c r="P7" s="1724">
        <f t="shared" ref="P7:P11" si="7">O7*8.9</f>
        <v>0</v>
      </c>
      <c r="Q7" s="1724"/>
      <c r="R7" s="1724">
        <f t="shared" ref="R7:R11" si="8">241*Q7</f>
        <v>0</v>
      </c>
      <c r="S7" s="1725"/>
      <c r="T7" s="1725">
        <f t="shared" ref="T7:T10" si="9">241*S7</f>
        <v>0</v>
      </c>
      <c r="U7" s="1725"/>
      <c r="V7" s="1725">
        <f t="shared" ref="V7:V11" si="10">332*U7</f>
        <v>0</v>
      </c>
      <c r="W7" s="1725"/>
      <c r="X7" s="19">
        <f t="shared" ref="X7:X11" si="11">W7*100</f>
        <v>0</v>
      </c>
      <c r="Y7" s="20">
        <f t="shared" si="1"/>
        <v>25981.18</v>
      </c>
    </row>
    <row r="8" spans="1:25" ht="35.25" customHeight="1" x14ac:dyDescent="0.25">
      <c r="A8" s="12">
        <v>1967020280</v>
      </c>
      <c r="B8" s="1727" t="s">
        <v>427</v>
      </c>
      <c r="C8" s="1725">
        <v>115727</v>
      </c>
      <c r="D8" s="1724">
        <f t="shared" si="0"/>
        <v>112544.50750000001</v>
      </c>
      <c r="E8" s="1725"/>
      <c r="F8" s="1725">
        <f t="shared" si="2"/>
        <v>0</v>
      </c>
      <c r="G8" s="1725"/>
      <c r="H8" s="1724">
        <f t="shared" si="3"/>
        <v>0</v>
      </c>
      <c r="I8" s="1725">
        <v>170</v>
      </c>
      <c r="J8" s="1725">
        <f t="shared" si="4"/>
        <v>3145</v>
      </c>
      <c r="K8" s="1725"/>
      <c r="L8" s="1724">
        <f t="shared" si="5"/>
        <v>0</v>
      </c>
      <c r="M8" s="1725"/>
      <c r="N8" s="1724">
        <f t="shared" si="6"/>
        <v>0</v>
      </c>
      <c r="O8" s="1725"/>
      <c r="P8" s="1724">
        <f t="shared" si="7"/>
        <v>0</v>
      </c>
      <c r="Q8" s="1724"/>
      <c r="R8" s="1724">
        <f t="shared" si="8"/>
        <v>0</v>
      </c>
      <c r="S8" s="1725"/>
      <c r="T8" s="1725">
        <f t="shared" si="9"/>
        <v>0</v>
      </c>
      <c r="U8" s="1725"/>
      <c r="V8" s="1725">
        <f t="shared" si="10"/>
        <v>0</v>
      </c>
      <c r="W8" s="1725"/>
      <c r="X8" s="19">
        <f t="shared" si="11"/>
        <v>0</v>
      </c>
      <c r="Y8" s="20">
        <f t="shared" si="1"/>
        <v>115689.50750000001</v>
      </c>
    </row>
    <row r="9" spans="1:25" ht="38.25" customHeight="1" x14ac:dyDescent="0.25">
      <c r="A9" s="12">
        <v>1984225580</v>
      </c>
      <c r="B9" s="1727" t="s">
        <v>75</v>
      </c>
      <c r="C9" s="1725">
        <v>37008</v>
      </c>
      <c r="D9" s="1724">
        <f t="shared" si="0"/>
        <v>35990.28</v>
      </c>
      <c r="E9" s="1725"/>
      <c r="F9" s="1725">
        <f t="shared" si="2"/>
        <v>0</v>
      </c>
      <c r="G9" s="1725"/>
      <c r="H9" s="1725">
        <f t="shared" si="3"/>
        <v>0</v>
      </c>
      <c r="I9" s="1725">
        <v>1000</v>
      </c>
      <c r="J9" s="1725">
        <f t="shared" si="4"/>
        <v>18500</v>
      </c>
      <c r="K9" s="1725"/>
      <c r="L9" s="1724">
        <f t="shared" si="5"/>
        <v>0</v>
      </c>
      <c r="M9" s="1725"/>
      <c r="N9" s="1724">
        <f t="shared" si="6"/>
        <v>0</v>
      </c>
      <c r="O9" s="1725"/>
      <c r="P9" s="1724">
        <f t="shared" si="7"/>
        <v>0</v>
      </c>
      <c r="Q9" s="1724"/>
      <c r="R9" s="1724">
        <f t="shared" si="8"/>
        <v>0</v>
      </c>
      <c r="S9" s="1725"/>
      <c r="T9" s="1725">
        <f t="shared" si="9"/>
        <v>0</v>
      </c>
      <c r="U9" s="1725"/>
      <c r="V9" s="1725">
        <f t="shared" si="10"/>
        <v>0</v>
      </c>
      <c r="W9" s="1725"/>
      <c r="X9" s="19">
        <f t="shared" si="11"/>
        <v>0</v>
      </c>
      <c r="Y9" s="20">
        <f t="shared" si="1"/>
        <v>54490.28</v>
      </c>
    </row>
    <row r="10" spans="1:25" ht="35.25" customHeight="1" x14ac:dyDescent="0.25">
      <c r="A10" s="12">
        <v>1409935199</v>
      </c>
      <c r="C10" s="1725"/>
      <c r="D10" s="1724">
        <f t="shared" si="0"/>
        <v>0</v>
      </c>
      <c r="E10" s="1725"/>
      <c r="F10" s="1725">
        <f t="shared" si="2"/>
        <v>0</v>
      </c>
      <c r="G10" s="1725"/>
      <c r="H10" s="1725">
        <f t="shared" si="3"/>
        <v>0</v>
      </c>
      <c r="I10" s="1725"/>
      <c r="J10" s="1725">
        <f t="shared" si="4"/>
        <v>0</v>
      </c>
      <c r="K10" s="1725"/>
      <c r="L10" s="1724">
        <f t="shared" si="5"/>
        <v>0</v>
      </c>
      <c r="M10" s="1725"/>
      <c r="N10" s="1724">
        <f t="shared" si="6"/>
        <v>0</v>
      </c>
      <c r="O10" s="1725"/>
      <c r="P10" s="1724">
        <f t="shared" si="7"/>
        <v>0</v>
      </c>
      <c r="Q10" s="1724"/>
      <c r="R10" s="1724">
        <f t="shared" si="8"/>
        <v>0</v>
      </c>
      <c r="S10" s="1725"/>
      <c r="T10" s="1725">
        <f t="shared" si="9"/>
        <v>0</v>
      </c>
      <c r="U10" s="1725"/>
      <c r="V10" s="1725">
        <f t="shared" si="10"/>
        <v>0</v>
      </c>
      <c r="W10" s="1725"/>
      <c r="X10" s="19">
        <f t="shared" si="11"/>
        <v>0</v>
      </c>
      <c r="Y10" s="20">
        <f t="shared" si="1"/>
        <v>0</v>
      </c>
    </row>
    <row r="11" spans="1:25" ht="37.5" customHeight="1" x14ac:dyDescent="0.25">
      <c r="A11" s="12"/>
      <c r="B11" s="1726"/>
      <c r="C11" s="1725"/>
      <c r="D11" s="1724">
        <f t="shared" si="0"/>
        <v>0</v>
      </c>
      <c r="E11" s="1725"/>
      <c r="F11" s="1725">
        <f t="shared" si="2"/>
        <v>0</v>
      </c>
      <c r="G11" s="1725"/>
      <c r="H11" s="1725">
        <f t="shared" si="3"/>
        <v>0</v>
      </c>
      <c r="I11" s="1725"/>
      <c r="J11" s="1725">
        <f t="shared" si="4"/>
        <v>0</v>
      </c>
      <c r="K11" s="1725"/>
      <c r="L11" s="1724">
        <f t="shared" si="5"/>
        <v>0</v>
      </c>
      <c r="M11" s="1725"/>
      <c r="N11" s="1724">
        <f t="shared" si="6"/>
        <v>0</v>
      </c>
      <c r="O11" s="1725"/>
      <c r="P11" s="1724">
        <f t="shared" si="7"/>
        <v>0</v>
      </c>
      <c r="Q11" s="1724"/>
      <c r="R11" s="1724">
        <f t="shared" si="8"/>
        <v>0</v>
      </c>
      <c r="S11" s="1725"/>
      <c r="T11" s="1725">
        <f>341*S11</f>
        <v>0</v>
      </c>
      <c r="U11" s="1725"/>
      <c r="V11" s="1725">
        <f t="shared" si="10"/>
        <v>0</v>
      </c>
      <c r="W11" s="1725"/>
      <c r="X11" s="19">
        <f t="shared" si="11"/>
        <v>0</v>
      </c>
      <c r="Y11" s="20">
        <f t="shared" si="1"/>
        <v>0</v>
      </c>
    </row>
    <row r="12" spans="1:25" ht="29.25" customHeight="1" x14ac:dyDescent="0.25">
      <c r="A12" s="2235" t="s">
        <v>31</v>
      </c>
      <c r="B12" s="2235"/>
      <c r="C12" s="18">
        <f t="shared" ref="C12:X12" si="12">SUM(C6:C11)</f>
        <v>197307</v>
      </c>
      <c r="D12" s="18">
        <f t="shared" si="12"/>
        <v>191881.05750000002</v>
      </c>
      <c r="E12" s="18">
        <f t="shared" si="12"/>
        <v>0</v>
      </c>
      <c r="F12" s="18">
        <f t="shared" si="12"/>
        <v>0</v>
      </c>
      <c r="G12" s="18">
        <f t="shared" si="12"/>
        <v>0</v>
      </c>
      <c r="H12" s="18">
        <f t="shared" si="12"/>
        <v>0</v>
      </c>
      <c r="I12" s="18">
        <f t="shared" si="12"/>
        <v>1807</v>
      </c>
      <c r="J12" s="18">
        <f t="shared" si="12"/>
        <v>33429.5</v>
      </c>
      <c r="K12" s="18">
        <f t="shared" si="12"/>
        <v>0</v>
      </c>
      <c r="L12" s="18">
        <f t="shared" si="12"/>
        <v>0</v>
      </c>
      <c r="M12" s="18">
        <f t="shared" si="12"/>
        <v>0</v>
      </c>
      <c r="N12" s="23">
        <f t="shared" si="12"/>
        <v>0</v>
      </c>
      <c r="O12" s="18">
        <f t="shared" si="12"/>
        <v>0</v>
      </c>
      <c r="P12" s="23">
        <f t="shared" si="12"/>
        <v>0</v>
      </c>
      <c r="Q12" s="23">
        <f t="shared" si="12"/>
        <v>0</v>
      </c>
      <c r="R12" s="23">
        <f>SUM(R6:R11)</f>
        <v>0</v>
      </c>
      <c r="S12" s="23">
        <f>SUM(S6:S11)</f>
        <v>0</v>
      </c>
      <c r="T12" s="18">
        <f t="shared" si="12"/>
        <v>0</v>
      </c>
      <c r="U12" s="18">
        <f t="shared" si="12"/>
        <v>0</v>
      </c>
      <c r="V12" s="18">
        <f t="shared" si="12"/>
        <v>0</v>
      </c>
      <c r="W12" s="18">
        <f t="shared" si="12"/>
        <v>0</v>
      </c>
      <c r="X12" s="18">
        <f t="shared" si="12"/>
        <v>0</v>
      </c>
      <c r="Y12" s="20">
        <f t="shared" si="1"/>
        <v>225310.55750000002</v>
      </c>
    </row>
    <row r="14" spans="1:25" ht="43.5" customHeight="1" x14ac:dyDescent="0.25">
      <c r="A14" s="30" t="s">
        <v>32</v>
      </c>
      <c r="B14" s="2236" t="s">
        <v>27</v>
      </c>
      <c r="C14" s="2236"/>
      <c r="D14" s="30" t="s">
        <v>333</v>
      </c>
      <c r="E14" s="30" t="s">
        <v>65</v>
      </c>
      <c r="F14" s="30" t="s">
        <v>34</v>
      </c>
      <c r="G14" s="30" t="s">
        <v>14</v>
      </c>
      <c r="H14" s="469" t="s">
        <v>173</v>
      </c>
      <c r="I14" s="30" t="s">
        <v>17</v>
      </c>
      <c r="J14" s="1733" t="s">
        <v>174</v>
      </c>
      <c r="K14" s="30" t="s">
        <v>36</v>
      </c>
      <c r="L14" s="1733" t="s">
        <v>403</v>
      </c>
      <c r="M14" s="30" t="s">
        <v>429</v>
      </c>
      <c r="N14" s="30" t="s">
        <v>442</v>
      </c>
      <c r="O14" s="1733" t="s">
        <v>114</v>
      </c>
      <c r="P14" s="30" t="s">
        <v>70</v>
      </c>
      <c r="Q14" s="2300" t="s">
        <v>479</v>
      </c>
      <c r="R14" s="2301"/>
      <c r="S14" s="1733" t="s">
        <v>401</v>
      </c>
      <c r="T14" s="2235" t="s">
        <v>46</v>
      </c>
      <c r="U14" s="1727" t="s">
        <v>176</v>
      </c>
      <c r="V14" s="2260">
        <v>15108</v>
      </c>
      <c r="W14" s="2268"/>
      <c r="X14" s="2261"/>
    </row>
    <row r="15" spans="1:25" ht="22.5" customHeight="1" x14ac:dyDescent="0.25">
      <c r="A15" s="100" t="s">
        <v>38</v>
      </c>
      <c r="B15" s="2260">
        <v>601995</v>
      </c>
      <c r="C15" s="2261"/>
      <c r="D15" s="1730">
        <v>0</v>
      </c>
      <c r="E15" s="1730">
        <v>0</v>
      </c>
      <c r="F15" s="1730">
        <v>2450</v>
      </c>
      <c r="G15" s="1730">
        <v>0</v>
      </c>
      <c r="H15" s="1730">
        <v>38</v>
      </c>
      <c r="I15" s="1730">
        <v>5</v>
      </c>
      <c r="J15" s="1730">
        <v>4</v>
      </c>
      <c r="K15" s="1730">
        <v>66</v>
      </c>
      <c r="L15" s="1730">
        <v>0</v>
      </c>
      <c r="M15" s="1730">
        <v>0</v>
      </c>
      <c r="N15" s="1730">
        <v>0</v>
      </c>
      <c r="O15" s="1730">
        <v>0</v>
      </c>
      <c r="P15" s="1730">
        <v>100</v>
      </c>
      <c r="Q15" s="2260">
        <v>10</v>
      </c>
      <c r="R15" s="2261"/>
      <c r="S15" s="1727">
        <v>2</v>
      </c>
      <c r="T15" s="2235"/>
      <c r="U15" s="1727" t="s">
        <v>64</v>
      </c>
      <c r="V15" s="2262">
        <v>12697</v>
      </c>
      <c r="W15" s="2262"/>
      <c r="X15" s="2262"/>
    </row>
    <row r="16" spans="1:25" ht="24.75" customHeight="1" x14ac:dyDescent="0.25">
      <c r="A16" s="100" t="s">
        <v>39</v>
      </c>
      <c r="B16" s="2260">
        <v>332467</v>
      </c>
      <c r="C16" s="2261"/>
      <c r="D16" s="1730"/>
      <c r="E16" s="1730"/>
      <c r="F16" s="1730"/>
      <c r="G16" s="1730"/>
      <c r="H16" s="1730"/>
      <c r="I16" s="1730"/>
      <c r="J16" s="1730"/>
      <c r="K16" s="1730"/>
      <c r="L16" s="1730"/>
      <c r="M16" s="1730"/>
      <c r="N16" s="1730"/>
      <c r="O16" s="1730"/>
      <c r="P16" s="1730"/>
      <c r="Q16" s="2262"/>
      <c r="R16" s="2262"/>
      <c r="S16" s="1730"/>
      <c r="T16" s="2254" t="s">
        <v>55</v>
      </c>
      <c r="U16" s="2254"/>
      <c r="V16" s="2267">
        <f>Y12</f>
        <v>225310.55750000002</v>
      </c>
      <c r="W16" s="2267"/>
      <c r="X16" s="2262"/>
    </row>
    <row r="17" spans="1:25" ht="28.5" customHeight="1" x14ac:dyDescent="0.25">
      <c r="A17" s="101" t="s">
        <v>44</v>
      </c>
      <c r="B17" s="2260"/>
      <c r="C17" s="2261"/>
      <c r="D17" s="1730"/>
      <c r="E17" s="1730"/>
      <c r="F17" s="1730"/>
      <c r="G17" s="1730"/>
      <c r="H17" s="1730"/>
      <c r="I17" s="1730"/>
      <c r="J17" s="1730"/>
      <c r="K17" s="1730"/>
      <c r="L17" s="1730"/>
      <c r="M17" s="1730"/>
      <c r="N17" s="1730"/>
      <c r="O17" s="1730"/>
      <c r="P17" s="1730"/>
      <c r="Q17" s="2225"/>
      <c r="R17" s="2225"/>
      <c r="S17" s="1726"/>
      <c r="T17" s="2294" t="s">
        <v>521</v>
      </c>
      <c r="U17" s="2295"/>
      <c r="V17" s="2296"/>
      <c r="W17" s="2296"/>
      <c r="X17" s="2296"/>
    </row>
    <row r="18" spans="1:25" ht="27" customHeight="1" x14ac:dyDescent="0.25">
      <c r="A18" s="100" t="s">
        <v>40</v>
      </c>
      <c r="B18" s="2264">
        <f>C12</f>
        <v>197307</v>
      </c>
      <c r="C18" s="2261"/>
      <c r="D18" s="1732">
        <f>E12</f>
        <v>0</v>
      </c>
      <c r="E18" s="1732">
        <f>G12</f>
        <v>0</v>
      </c>
      <c r="F18" s="1732">
        <f>I12</f>
        <v>1807</v>
      </c>
      <c r="G18" s="1732">
        <f>K12</f>
        <v>0</v>
      </c>
      <c r="H18" s="1730"/>
      <c r="I18" s="1732">
        <f>U12</f>
        <v>0</v>
      </c>
      <c r="J18" s="1730"/>
      <c r="K18" s="1732">
        <f>W12</f>
        <v>0</v>
      </c>
      <c r="L18" s="1730"/>
      <c r="M18" s="1732">
        <f>M12</f>
        <v>0</v>
      </c>
      <c r="N18" s="1732">
        <f>O12</f>
        <v>0</v>
      </c>
      <c r="O18" s="1731">
        <f>Q12</f>
        <v>0</v>
      </c>
      <c r="P18" s="1732"/>
      <c r="Q18" s="2262"/>
      <c r="R18" s="2262"/>
      <c r="S18" s="1727"/>
      <c r="T18" s="2254" t="s">
        <v>57</v>
      </c>
      <c r="U18" s="2254"/>
      <c r="V18" s="2262">
        <v>900</v>
      </c>
      <c r="W18" s="2262"/>
      <c r="X18" s="2262"/>
      <c r="Y18" s="2269"/>
    </row>
    <row r="19" spans="1:25" ht="25.5" customHeight="1" x14ac:dyDescent="0.25">
      <c r="A19" s="100" t="s">
        <v>41</v>
      </c>
      <c r="B19" s="2260">
        <f>B15+B16+B17-B18</f>
        <v>737155</v>
      </c>
      <c r="C19" s="2261"/>
      <c r="D19" s="1730">
        <f>D15+D16+D17-D18</f>
        <v>0</v>
      </c>
      <c r="E19" s="1730">
        <f t="shared" ref="E19:N19" si="13">E15+E16+E17-E18</f>
        <v>0</v>
      </c>
      <c r="F19" s="1730">
        <f t="shared" si="13"/>
        <v>643</v>
      </c>
      <c r="G19" s="1730">
        <f t="shared" si="13"/>
        <v>0</v>
      </c>
      <c r="H19" s="1730">
        <f t="shared" si="13"/>
        <v>38</v>
      </c>
      <c r="I19" s="1730">
        <f t="shared" si="13"/>
        <v>5</v>
      </c>
      <c r="J19" s="1730">
        <f t="shared" si="13"/>
        <v>4</v>
      </c>
      <c r="K19" s="1730">
        <f t="shared" si="13"/>
        <v>66</v>
      </c>
      <c r="L19" s="1730">
        <f t="shared" si="13"/>
        <v>0</v>
      </c>
      <c r="M19" s="1730">
        <f t="shared" si="13"/>
        <v>0</v>
      </c>
      <c r="N19" s="1730">
        <f t="shared" si="13"/>
        <v>0</v>
      </c>
      <c r="O19" s="1730">
        <f>O15+O16+O17-O18</f>
        <v>0</v>
      </c>
      <c r="P19" s="1730">
        <f t="shared" ref="P19:Q19" si="14">P15+P16+P17-P18</f>
        <v>100</v>
      </c>
      <c r="Q19" s="2260">
        <f t="shared" si="14"/>
        <v>10</v>
      </c>
      <c r="R19" s="2261"/>
      <c r="S19" s="1727">
        <f>S15+S16-S17-S18</f>
        <v>2</v>
      </c>
      <c r="T19" s="2256" t="s">
        <v>48</v>
      </c>
      <c r="U19" s="49" t="s">
        <v>58</v>
      </c>
      <c r="V19" s="2262">
        <v>165000</v>
      </c>
      <c r="W19" s="2262"/>
      <c r="X19" s="2262"/>
      <c r="Y19" s="2269"/>
    </row>
    <row r="20" spans="1:25" ht="23.25" customHeight="1" x14ac:dyDescent="0.25">
      <c r="A20" s="289" t="s">
        <v>187</v>
      </c>
      <c r="B20" s="2286">
        <f>B19*0.9625</f>
        <v>709511.6875</v>
      </c>
      <c r="C20" s="2287"/>
      <c r="D20" s="290">
        <f>D19*66.41</f>
        <v>0</v>
      </c>
      <c r="E20" s="290">
        <f>27.9368*E19</f>
        <v>0</v>
      </c>
      <c r="F20" s="290">
        <f>18.31*F19</f>
        <v>11773.33</v>
      </c>
      <c r="G20" s="290">
        <f>27.9368*G19</f>
        <v>0</v>
      </c>
      <c r="H20" s="290">
        <f>241*H19</f>
        <v>9158</v>
      </c>
      <c r="I20" s="290">
        <f>323*I19</f>
        <v>1615</v>
      </c>
      <c r="J20" s="290">
        <f>241*J19</f>
        <v>964</v>
      </c>
      <c r="K20" s="290">
        <f>K19*100</f>
        <v>6600</v>
      </c>
      <c r="L20" s="290">
        <f>241*L19</f>
        <v>0</v>
      </c>
      <c r="M20" s="290">
        <f>47.1625*M19</f>
        <v>0</v>
      </c>
      <c r="N20" s="290">
        <f>N19*8.81</f>
        <v>0</v>
      </c>
      <c r="O20" s="290">
        <f>241*O19</f>
        <v>0</v>
      </c>
      <c r="P20" s="290">
        <f>P19*48.2</f>
        <v>4820</v>
      </c>
      <c r="Q20" s="2286">
        <f>470*Q19</f>
        <v>4700</v>
      </c>
      <c r="R20" s="2287"/>
      <c r="S20" s="290">
        <f>341*S19</f>
        <v>682</v>
      </c>
      <c r="T20" s="2257"/>
      <c r="U20" s="49" t="s">
        <v>59</v>
      </c>
      <c r="V20" s="2262">
        <v>60000</v>
      </c>
      <c r="W20" s="2262"/>
      <c r="X20" s="2262"/>
      <c r="Y20" s="2269"/>
    </row>
    <row r="21" spans="1:25" ht="32.25" customHeight="1" x14ac:dyDescent="0.25">
      <c r="A21" s="291" t="s">
        <v>186</v>
      </c>
      <c r="B21" s="2293">
        <f>SUM(B20:S20)</f>
        <v>749824.01749999996</v>
      </c>
      <c r="C21" s="2293"/>
      <c r="O21" s="1734"/>
      <c r="P21" s="1734"/>
      <c r="Q21" s="1734"/>
      <c r="R21" s="1734"/>
      <c r="T21" s="2294" t="s">
        <v>518</v>
      </c>
      <c r="U21" s="2295"/>
      <c r="V21" s="2297"/>
      <c r="W21" s="2298"/>
      <c r="X21" s="2299"/>
      <c r="Y21" s="2269"/>
    </row>
    <row r="22" spans="1:25" ht="35.25" customHeight="1" x14ac:dyDescent="0.25">
      <c r="A22" s="15"/>
      <c r="B22" s="2288" t="s">
        <v>49</v>
      </c>
      <c r="C22" s="2291">
        <v>165000</v>
      </c>
      <c r="D22" s="2291">
        <v>165000</v>
      </c>
      <c r="E22" s="2291">
        <v>260000</v>
      </c>
      <c r="F22" s="2291">
        <f>C22-D22+E22</f>
        <v>260000</v>
      </c>
      <c r="G22" s="1734"/>
      <c r="Q22" s="1734"/>
      <c r="R22" s="1734"/>
      <c r="T22" s="2251" t="s">
        <v>83</v>
      </c>
      <c r="U22" s="50" t="s">
        <v>60</v>
      </c>
      <c r="V22" s="2262">
        <v>224430</v>
      </c>
      <c r="W22" s="2262"/>
      <c r="X22" s="2262"/>
      <c r="Y22" s="2269"/>
    </row>
    <row r="23" spans="1:25" ht="39.75" customHeight="1" x14ac:dyDescent="0.25">
      <c r="A23" s="1734"/>
      <c r="B23" s="2289"/>
      <c r="C23" s="2292"/>
      <c r="D23" s="2292"/>
      <c r="E23" s="2292"/>
      <c r="F23" s="2292"/>
      <c r="G23" s="1734"/>
      <c r="Q23" s="1734"/>
      <c r="R23" s="1734"/>
      <c r="T23" s="2252"/>
      <c r="U23" s="50" t="s">
        <v>61</v>
      </c>
      <c r="V23" s="2262">
        <v>225000</v>
      </c>
      <c r="W23" s="2262"/>
      <c r="X23" s="2262"/>
      <c r="Y23" s="2269"/>
    </row>
    <row r="24" spans="1:25" ht="48" customHeight="1" x14ac:dyDescent="0.25">
      <c r="A24" s="1734"/>
      <c r="B24" s="2290"/>
      <c r="C24" s="290" t="s">
        <v>46</v>
      </c>
      <c r="D24" s="290" t="s">
        <v>50</v>
      </c>
      <c r="E24" s="290" t="s">
        <v>51</v>
      </c>
      <c r="F24" s="290" t="s">
        <v>52</v>
      </c>
      <c r="G24" s="1734"/>
      <c r="Q24" s="1734"/>
      <c r="R24" s="1734"/>
      <c r="T24" s="2235" t="s">
        <v>47</v>
      </c>
      <c r="U24" s="51" t="s">
        <v>62</v>
      </c>
      <c r="V24" s="2263">
        <f>V14+V16+V17-V18-V19-V20-V22+V23-V21</f>
        <v>15088.557500000024</v>
      </c>
      <c r="W24" s="2263"/>
      <c r="X24" s="2263"/>
      <c r="Y24" s="2269"/>
    </row>
    <row r="25" spans="1:25" ht="40.5" customHeight="1" x14ac:dyDescent="0.25">
      <c r="T25" s="2235"/>
      <c r="U25" s="51" t="s">
        <v>63</v>
      </c>
      <c r="V25" s="2262">
        <f>V15+V22-V23</f>
        <v>12127</v>
      </c>
      <c r="W25" s="2262"/>
      <c r="X25" s="2262"/>
    </row>
    <row r="26" spans="1:25" ht="36" customHeight="1" x14ac:dyDescent="0.25">
      <c r="K26" s="314"/>
    </row>
    <row r="28" spans="1:25" x14ac:dyDescent="0.25">
      <c r="J28" s="14" t="s">
        <v>139</v>
      </c>
    </row>
    <row r="32" spans="1:25" x14ac:dyDescent="0.25">
      <c r="I32" s="2280"/>
      <c r="J32" s="2280"/>
      <c r="K32" s="2280"/>
      <c r="L32" s="2280"/>
    </row>
    <row r="33" spans="9:12" x14ac:dyDescent="0.25">
      <c r="I33" s="1734"/>
      <c r="J33" s="1734"/>
      <c r="K33" s="2280"/>
      <c r="L33" s="2280"/>
    </row>
  </sheetData>
  <mergeCells count="62">
    <mergeCell ref="A1:Y1"/>
    <mergeCell ref="A2:Y2"/>
    <mergeCell ref="T3:Y3"/>
    <mergeCell ref="A4:A5"/>
    <mergeCell ref="B4:B5"/>
    <mergeCell ref="C4:D4"/>
    <mergeCell ref="E4:F4"/>
    <mergeCell ref="G4:H4"/>
    <mergeCell ref="I4:J4"/>
    <mergeCell ref="K4:L4"/>
    <mergeCell ref="Y4:Y5"/>
    <mergeCell ref="M4:N4"/>
    <mergeCell ref="O4:P4"/>
    <mergeCell ref="Q4:R4"/>
    <mergeCell ref="S4:T4"/>
    <mergeCell ref="U4:V4"/>
    <mergeCell ref="W4:X4"/>
    <mergeCell ref="B16:C16"/>
    <mergeCell ref="Q16:R16"/>
    <mergeCell ref="T16:U16"/>
    <mergeCell ref="V16:X16"/>
    <mergeCell ref="A12:B12"/>
    <mergeCell ref="B14:C14"/>
    <mergeCell ref="Q14:R14"/>
    <mergeCell ref="T14:T15"/>
    <mergeCell ref="V14:X14"/>
    <mergeCell ref="B15:C15"/>
    <mergeCell ref="Q15:R15"/>
    <mergeCell ref="V15:X15"/>
    <mergeCell ref="B17:C17"/>
    <mergeCell ref="Q17:R17"/>
    <mergeCell ref="T17:U17"/>
    <mergeCell ref="V17:X17"/>
    <mergeCell ref="B18:C18"/>
    <mergeCell ref="Q18:R18"/>
    <mergeCell ref="T18:U18"/>
    <mergeCell ref="V18:X18"/>
    <mergeCell ref="Y18:Y24"/>
    <mergeCell ref="B19:C19"/>
    <mergeCell ref="Q19:R19"/>
    <mergeCell ref="T19:T20"/>
    <mergeCell ref="V19:X19"/>
    <mergeCell ref="B20:C20"/>
    <mergeCell ref="B22:B24"/>
    <mergeCell ref="C22:C23"/>
    <mergeCell ref="D22:D23"/>
    <mergeCell ref="E22:E23"/>
    <mergeCell ref="F22:F23"/>
    <mergeCell ref="Q20:R20"/>
    <mergeCell ref="V20:X20"/>
    <mergeCell ref="B21:C21"/>
    <mergeCell ref="T21:U21"/>
    <mergeCell ref="V21:X21"/>
    <mergeCell ref="I32:J32"/>
    <mergeCell ref="K32:L32"/>
    <mergeCell ref="K33:L33"/>
    <mergeCell ref="T22:T23"/>
    <mergeCell ref="V22:X22"/>
    <mergeCell ref="V23:X23"/>
    <mergeCell ref="T24:T25"/>
    <mergeCell ref="V24:X24"/>
    <mergeCell ref="V25:X25"/>
  </mergeCells>
  <pageMargins left="0.15748031496063" right="0.15748031496063" top="0" bottom="0" header="0" footer="0"/>
  <pageSetup paperSize="9" scale="46" orientation="landscape" r:id="rId1"/>
</worksheet>
</file>

<file path=xl/worksheets/sheet28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257BDC8-974E-424F-A191-8599A71EFA8D}">
  <sheetPr>
    <pageSetUpPr fitToPage="1"/>
  </sheetPr>
  <dimension ref="A1:Y33"/>
  <sheetViews>
    <sheetView topLeftCell="A11" zoomScale="70" zoomScaleNormal="70" zoomScaleSheetLayoutView="100" zoomScalePageLayoutView="68" workbookViewId="0">
      <selection activeCell="J24" sqref="J24"/>
    </sheetView>
  </sheetViews>
  <sheetFormatPr defaultColWidth="9.140625" defaultRowHeight="15" x14ac:dyDescent="0.25"/>
  <cols>
    <col min="1" max="1" width="18.28515625" style="14" customWidth="1"/>
    <col min="2" max="2" width="10.7109375" style="14" customWidth="1"/>
    <col min="3" max="3" width="12.28515625" style="14" customWidth="1"/>
    <col min="4" max="4" width="13.140625" style="14" bestFit="1" customWidth="1"/>
    <col min="5" max="5" width="12" style="14" customWidth="1"/>
    <col min="6" max="6" width="14" style="14" bestFit="1" customWidth="1"/>
    <col min="7" max="7" width="16" style="14" bestFit="1" customWidth="1"/>
    <col min="8" max="8" width="10.140625" style="14" bestFit="1" customWidth="1"/>
    <col min="9" max="9" width="10.5703125" style="14" bestFit="1" customWidth="1"/>
    <col min="10" max="10" width="10.5703125" style="14" customWidth="1"/>
    <col min="11" max="11" width="10.28515625" style="14" bestFit="1" customWidth="1"/>
    <col min="12" max="12" width="10.42578125" style="14" bestFit="1" customWidth="1"/>
    <col min="13" max="14" width="12" style="14" bestFit="1" customWidth="1"/>
    <col min="15" max="15" width="11" style="14" customWidth="1"/>
    <col min="16" max="16" width="12.85546875" style="14" bestFit="1" customWidth="1"/>
    <col min="17" max="18" width="9.42578125" style="14" customWidth="1"/>
    <col min="19" max="19" width="13.7109375" style="14" customWidth="1"/>
    <col min="20" max="20" width="12.140625" style="14" customWidth="1"/>
    <col min="21" max="21" width="21.7109375" style="14" customWidth="1"/>
    <col min="22" max="22" width="9.85546875" style="14" customWidth="1"/>
    <col min="23" max="23" width="10.140625" style="14" bestFit="1" customWidth="1"/>
    <col min="24" max="24" width="10.28515625" style="14" customWidth="1"/>
    <col min="25" max="25" width="15.7109375" style="14" customWidth="1"/>
    <col min="26" max="16384" width="9.140625" style="14"/>
  </cols>
  <sheetData>
    <row r="1" spans="1:25" ht="46.15" customHeight="1" x14ac:dyDescent="0.25">
      <c r="A1" s="2240" t="s">
        <v>148</v>
      </c>
      <c r="B1" s="2240"/>
      <c r="C1" s="2240"/>
      <c r="D1" s="2240"/>
      <c r="E1" s="2240"/>
      <c r="F1" s="2240"/>
      <c r="G1" s="2240"/>
      <c r="H1" s="2240"/>
      <c r="I1" s="2240"/>
      <c r="J1" s="2240"/>
      <c r="K1" s="2240"/>
      <c r="L1" s="2240"/>
      <c r="M1" s="2240"/>
      <c r="N1" s="2240"/>
      <c r="O1" s="2240"/>
      <c r="P1" s="2240"/>
      <c r="Q1" s="2240"/>
      <c r="R1" s="2240"/>
      <c r="S1" s="2240"/>
      <c r="T1" s="2240"/>
      <c r="U1" s="2240"/>
      <c r="V1" s="2240"/>
      <c r="W1" s="2240"/>
      <c r="X1" s="2240"/>
      <c r="Y1" s="2240"/>
    </row>
    <row r="2" spans="1:25" ht="21.6" customHeight="1" x14ac:dyDescent="0.25">
      <c r="A2" s="2241" t="s">
        <v>383</v>
      </c>
      <c r="B2" s="2241"/>
      <c r="C2" s="2241"/>
      <c r="D2" s="2241"/>
      <c r="E2" s="2241"/>
      <c r="F2" s="2241"/>
      <c r="G2" s="2241"/>
      <c r="H2" s="2241"/>
      <c r="I2" s="2241"/>
      <c r="J2" s="2241"/>
      <c r="K2" s="2241"/>
      <c r="L2" s="2241"/>
      <c r="M2" s="2241"/>
      <c r="N2" s="2241"/>
      <c r="O2" s="2241"/>
      <c r="P2" s="2241"/>
      <c r="Q2" s="2241"/>
      <c r="R2" s="2241"/>
      <c r="S2" s="2241"/>
      <c r="T2" s="2241"/>
      <c r="U2" s="2241"/>
      <c r="V2" s="2241"/>
      <c r="W2" s="2241"/>
      <c r="X2" s="2241"/>
      <c r="Y2" s="2241"/>
    </row>
    <row r="3" spans="1:25" ht="21" customHeight="1" x14ac:dyDescent="0.25">
      <c r="A3" s="1735"/>
      <c r="B3" s="1735"/>
      <c r="C3" s="1735"/>
      <c r="D3" s="1735"/>
      <c r="E3" s="1735"/>
      <c r="F3" s="1735"/>
      <c r="G3" s="1735"/>
      <c r="H3" s="1735"/>
      <c r="I3" s="1735"/>
      <c r="J3" s="1735"/>
      <c r="K3" s="1735"/>
      <c r="L3" s="1735"/>
      <c r="M3" s="1735"/>
      <c r="N3" s="1735"/>
      <c r="O3" s="1735"/>
      <c r="P3" s="1735"/>
      <c r="Q3" s="1735"/>
      <c r="R3" s="1735"/>
      <c r="S3" s="1735"/>
      <c r="T3" s="2242" t="s">
        <v>531</v>
      </c>
      <c r="U3" s="2242"/>
      <c r="V3" s="2242"/>
      <c r="W3" s="2242"/>
      <c r="X3" s="2242"/>
      <c r="Y3" s="2242"/>
    </row>
    <row r="4" spans="1:25" s="1735" customFormat="1" ht="18" customHeight="1" x14ac:dyDescent="0.25">
      <c r="A4" s="2243" t="s">
        <v>25</v>
      </c>
      <c r="B4" s="2243" t="s">
        <v>26</v>
      </c>
      <c r="C4" s="2244" t="s">
        <v>27</v>
      </c>
      <c r="D4" s="2244"/>
      <c r="E4" s="2244" t="s">
        <v>342</v>
      </c>
      <c r="F4" s="2244"/>
      <c r="G4" s="2244" t="s">
        <v>65</v>
      </c>
      <c r="H4" s="2244"/>
      <c r="I4" s="2244" t="s">
        <v>29</v>
      </c>
      <c r="J4" s="2244"/>
      <c r="K4" s="2245" t="s">
        <v>14</v>
      </c>
      <c r="L4" s="2246"/>
      <c r="M4" s="2245" t="s">
        <v>429</v>
      </c>
      <c r="N4" s="2246"/>
      <c r="O4" s="2245" t="s">
        <v>441</v>
      </c>
      <c r="P4" s="2246"/>
      <c r="Q4" s="2245" t="s">
        <v>114</v>
      </c>
      <c r="R4" s="2246"/>
      <c r="S4" s="2244" t="s">
        <v>35</v>
      </c>
      <c r="T4" s="2244"/>
      <c r="U4" s="2245" t="s">
        <v>17</v>
      </c>
      <c r="V4" s="2246"/>
      <c r="W4" s="2247" t="s">
        <v>36</v>
      </c>
      <c r="X4" s="2248"/>
      <c r="Y4" s="2238" t="s">
        <v>30</v>
      </c>
    </row>
    <row r="5" spans="1:25" s="1735" customFormat="1" ht="25.5" customHeight="1" x14ac:dyDescent="0.25">
      <c r="A5" s="2243"/>
      <c r="B5" s="2243"/>
      <c r="C5" s="1737" t="s">
        <v>42</v>
      </c>
      <c r="D5" s="1737" t="s">
        <v>43</v>
      </c>
      <c r="E5" s="1737" t="s">
        <v>42</v>
      </c>
      <c r="F5" s="1737" t="s">
        <v>43</v>
      </c>
      <c r="G5" s="1737" t="s">
        <v>42</v>
      </c>
      <c r="H5" s="1737" t="s">
        <v>43</v>
      </c>
      <c r="I5" s="1737" t="s">
        <v>42</v>
      </c>
      <c r="J5" s="1737" t="s">
        <v>43</v>
      </c>
      <c r="K5" s="1737" t="s">
        <v>42</v>
      </c>
      <c r="L5" s="1737" t="s">
        <v>43</v>
      </c>
      <c r="M5" s="1737" t="s">
        <v>42</v>
      </c>
      <c r="N5" s="1737" t="s">
        <v>43</v>
      </c>
      <c r="O5" s="1737" t="s">
        <v>42</v>
      </c>
      <c r="P5" s="1737" t="s">
        <v>43</v>
      </c>
      <c r="Q5" s="1737" t="s">
        <v>42</v>
      </c>
      <c r="R5" s="1737" t="s">
        <v>43</v>
      </c>
      <c r="S5" s="33" t="s">
        <v>42</v>
      </c>
      <c r="T5" s="33" t="s">
        <v>43</v>
      </c>
      <c r="U5" s="30" t="s">
        <v>42</v>
      </c>
      <c r="V5" s="30" t="s">
        <v>43</v>
      </c>
      <c r="W5" s="30" t="s">
        <v>42</v>
      </c>
      <c r="X5" s="30" t="s">
        <v>43</v>
      </c>
      <c r="Y5" s="2239"/>
    </row>
    <row r="6" spans="1:25" ht="34.5" customHeight="1" x14ac:dyDescent="0.25">
      <c r="A6" s="12">
        <v>1409935200</v>
      </c>
      <c r="B6" s="1736" t="s">
        <v>71</v>
      </c>
      <c r="C6" s="1739">
        <v>51604</v>
      </c>
      <c r="D6" s="1740">
        <f t="shared" ref="D6:D11" si="0">0.9725*C6</f>
        <v>50184.89</v>
      </c>
      <c r="E6" s="1739"/>
      <c r="F6" s="1740">
        <f>67.1*E6</f>
        <v>0</v>
      </c>
      <c r="G6" s="1739"/>
      <c r="H6" s="1739">
        <f>28.2*G6</f>
        <v>0</v>
      </c>
      <c r="I6" s="1739">
        <v>333</v>
      </c>
      <c r="J6" s="1739">
        <f>18.5*I6</f>
        <v>6160.5</v>
      </c>
      <c r="K6" s="1739"/>
      <c r="L6" s="1740">
        <f>28.2368*K6</f>
        <v>0</v>
      </c>
      <c r="M6" s="1739"/>
      <c r="N6" s="1740">
        <f>M6*47.6525</f>
        <v>0</v>
      </c>
      <c r="O6" s="1739"/>
      <c r="P6" s="1740">
        <f>O6*8.9</f>
        <v>0</v>
      </c>
      <c r="Q6" s="1740"/>
      <c r="R6" s="1740">
        <f>241*Q6</f>
        <v>0</v>
      </c>
      <c r="S6" s="1739"/>
      <c r="T6" s="1739">
        <f>241*S6</f>
        <v>0</v>
      </c>
      <c r="U6" s="1739"/>
      <c r="V6" s="1739">
        <f>332*U6</f>
        <v>0</v>
      </c>
      <c r="W6" s="1739"/>
      <c r="X6" s="19">
        <f>W6*100</f>
        <v>0</v>
      </c>
      <c r="Y6" s="20">
        <f t="shared" ref="Y6:Y12" si="1">D6+F6+H6+J6+L6+N6+P6+R6+T6+V6+X6</f>
        <v>56345.39</v>
      </c>
    </row>
    <row r="7" spans="1:25" ht="31.5" customHeight="1" x14ac:dyDescent="0.25">
      <c r="A7" s="12">
        <v>1984225578</v>
      </c>
      <c r="B7" s="1736" t="s">
        <v>509</v>
      </c>
      <c r="C7" s="1739">
        <v>39980</v>
      </c>
      <c r="D7" s="1740">
        <f t="shared" si="0"/>
        <v>38880.550000000003</v>
      </c>
      <c r="E7" s="1739"/>
      <c r="F7" s="1739">
        <f t="shared" ref="F7:F11" si="2">67.1*E7</f>
        <v>0</v>
      </c>
      <c r="G7" s="1739"/>
      <c r="H7" s="1739">
        <f t="shared" ref="H7:H11" si="3">28.2*G7</f>
        <v>0</v>
      </c>
      <c r="I7" s="1739"/>
      <c r="J7" s="1739">
        <f t="shared" ref="J7:J11" si="4">18.5*I7</f>
        <v>0</v>
      </c>
      <c r="K7" s="1739"/>
      <c r="L7" s="1740">
        <f t="shared" ref="L7:L11" si="5">28.2368*K7</f>
        <v>0</v>
      </c>
      <c r="M7" s="1739"/>
      <c r="N7" s="1740">
        <f t="shared" ref="N7:N11" si="6">M7*47.6525</f>
        <v>0</v>
      </c>
      <c r="O7" s="1739"/>
      <c r="P7" s="1740">
        <f t="shared" ref="P7:P11" si="7">O7*8.9</f>
        <v>0</v>
      </c>
      <c r="Q7" s="1740"/>
      <c r="R7" s="1740">
        <f t="shared" ref="R7:R11" si="8">241*Q7</f>
        <v>0</v>
      </c>
      <c r="S7" s="1739"/>
      <c r="T7" s="1739">
        <f t="shared" ref="T7:T10" si="9">241*S7</f>
        <v>0</v>
      </c>
      <c r="U7" s="1739"/>
      <c r="V7" s="1739">
        <f t="shared" ref="V7:V11" si="10">332*U7</f>
        <v>0</v>
      </c>
      <c r="W7" s="1739"/>
      <c r="X7" s="19">
        <f t="shared" ref="X7:X11" si="11">W7*100</f>
        <v>0</v>
      </c>
      <c r="Y7" s="20">
        <f t="shared" si="1"/>
        <v>38880.550000000003</v>
      </c>
    </row>
    <row r="8" spans="1:25" ht="35.25" customHeight="1" x14ac:dyDescent="0.25">
      <c r="A8" s="12">
        <v>1967020280</v>
      </c>
      <c r="B8" s="1736" t="s">
        <v>427</v>
      </c>
      <c r="C8" s="1739">
        <v>14670</v>
      </c>
      <c r="D8" s="1740">
        <f t="shared" si="0"/>
        <v>14266.575000000001</v>
      </c>
      <c r="E8" s="1739"/>
      <c r="F8" s="1739">
        <f t="shared" si="2"/>
        <v>0</v>
      </c>
      <c r="G8" s="1739"/>
      <c r="H8" s="1740">
        <f t="shared" si="3"/>
        <v>0</v>
      </c>
      <c r="I8" s="1739">
        <v>310</v>
      </c>
      <c r="J8" s="1739">
        <f t="shared" si="4"/>
        <v>5735</v>
      </c>
      <c r="K8" s="1739"/>
      <c r="L8" s="1740">
        <f t="shared" si="5"/>
        <v>0</v>
      </c>
      <c r="M8" s="1739"/>
      <c r="N8" s="1740">
        <f t="shared" si="6"/>
        <v>0</v>
      </c>
      <c r="O8" s="1739"/>
      <c r="P8" s="1740">
        <f t="shared" si="7"/>
        <v>0</v>
      </c>
      <c r="Q8" s="1740"/>
      <c r="R8" s="1740">
        <f t="shared" si="8"/>
        <v>0</v>
      </c>
      <c r="S8" s="1739"/>
      <c r="T8" s="1739">
        <f t="shared" si="9"/>
        <v>0</v>
      </c>
      <c r="U8" s="1739"/>
      <c r="V8" s="1739">
        <f t="shared" si="10"/>
        <v>0</v>
      </c>
      <c r="W8" s="1739"/>
      <c r="X8" s="19">
        <f t="shared" si="11"/>
        <v>0</v>
      </c>
      <c r="Y8" s="20">
        <f t="shared" si="1"/>
        <v>20001.575000000001</v>
      </c>
    </row>
    <row r="9" spans="1:25" ht="38.25" customHeight="1" x14ac:dyDescent="0.25">
      <c r="A9" s="12">
        <v>1984225580</v>
      </c>
      <c r="B9" s="1736" t="s">
        <v>75</v>
      </c>
      <c r="C9" s="1739">
        <v>5000</v>
      </c>
      <c r="D9" s="1740">
        <f t="shared" si="0"/>
        <v>4862.5</v>
      </c>
      <c r="E9" s="1739"/>
      <c r="F9" s="1739">
        <f t="shared" si="2"/>
        <v>0</v>
      </c>
      <c r="G9" s="1739"/>
      <c r="H9" s="1739">
        <f t="shared" si="3"/>
        <v>0</v>
      </c>
      <c r="I9" s="1739"/>
      <c r="J9" s="1739">
        <f t="shared" si="4"/>
        <v>0</v>
      </c>
      <c r="K9" s="1739"/>
      <c r="L9" s="1740">
        <f t="shared" si="5"/>
        <v>0</v>
      </c>
      <c r="M9" s="1739"/>
      <c r="N9" s="1740">
        <f t="shared" si="6"/>
        <v>0</v>
      </c>
      <c r="O9" s="1739"/>
      <c r="P9" s="1740">
        <f t="shared" si="7"/>
        <v>0</v>
      </c>
      <c r="Q9" s="1740"/>
      <c r="R9" s="1740">
        <f t="shared" si="8"/>
        <v>0</v>
      </c>
      <c r="S9" s="1739"/>
      <c r="T9" s="1739">
        <f t="shared" si="9"/>
        <v>0</v>
      </c>
      <c r="U9" s="1739"/>
      <c r="V9" s="1739">
        <f t="shared" si="10"/>
        <v>0</v>
      </c>
      <c r="W9" s="1739"/>
      <c r="X9" s="19">
        <f t="shared" si="11"/>
        <v>0</v>
      </c>
      <c r="Y9" s="20">
        <f t="shared" si="1"/>
        <v>4862.5</v>
      </c>
    </row>
    <row r="10" spans="1:25" ht="35.25" customHeight="1" x14ac:dyDescent="0.25">
      <c r="A10" s="12">
        <v>1409935199</v>
      </c>
      <c r="C10" s="1739"/>
      <c r="D10" s="1740">
        <f t="shared" si="0"/>
        <v>0</v>
      </c>
      <c r="E10" s="1739"/>
      <c r="F10" s="1739">
        <f t="shared" si="2"/>
        <v>0</v>
      </c>
      <c r="G10" s="1739"/>
      <c r="H10" s="1739">
        <f t="shared" si="3"/>
        <v>0</v>
      </c>
      <c r="I10" s="1739"/>
      <c r="J10" s="1739">
        <f t="shared" si="4"/>
        <v>0</v>
      </c>
      <c r="K10" s="1739"/>
      <c r="L10" s="1740">
        <f t="shared" si="5"/>
        <v>0</v>
      </c>
      <c r="M10" s="1739"/>
      <c r="N10" s="1740">
        <f t="shared" si="6"/>
        <v>0</v>
      </c>
      <c r="O10" s="1739"/>
      <c r="P10" s="1740">
        <f t="shared" si="7"/>
        <v>0</v>
      </c>
      <c r="Q10" s="1740"/>
      <c r="R10" s="1740">
        <f t="shared" si="8"/>
        <v>0</v>
      </c>
      <c r="S10" s="1739"/>
      <c r="T10" s="1739">
        <f t="shared" si="9"/>
        <v>0</v>
      </c>
      <c r="U10" s="1739"/>
      <c r="V10" s="1739">
        <f t="shared" si="10"/>
        <v>0</v>
      </c>
      <c r="W10" s="1739"/>
      <c r="X10" s="19">
        <f t="shared" si="11"/>
        <v>0</v>
      </c>
      <c r="Y10" s="20">
        <f t="shared" si="1"/>
        <v>0</v>
      </c>
    </row>
    <row r="11" spans="1:25" ht="37.5" customHeight="1" x14ac:dyDescent="0.25">
      <c r="A11" s="12"/>
      <c r="B11" s="1738"/>
      <c r="C11" s="1739"/>
      <c r="D11" s="1740">
        <f t="shared" si="0"/>
        <v>0</v>
      </c>
      <c r="E11" s="1739"/>
      <c r="F11" s="1739">
        <f t="shared" si="2"/>
        <v>0</v>
      </c>
      <c r="G11" s="1739"/>
      <c r="H11" s="1739">
        <f t="shared" si="3"/>
        <v>0</v>
      </c>
      <c r="I11" s="1739"/>
      <c r="J11" s="1739">
        <f t="shared" si="4"/>
        <v>0</v>
      </c>
      <c r="K11" s="1739"/>
      <c r="L11" s="1740">
        <f t="shared" si="5"/>
        <v>0</v>
      </c>
      <c r="M11" s="1739"/>
      <c r="N11" s="1740">
        <f t="shared" si="6"/>
        <v>0</v>
      </c>
      <c r="O11" s="1739"/>
      <c r="P11" s="1740">
        <f t="shared" si="7"/>
        <v>0</v>
      </c>
      <c r="Q11" s="1740"/>
      <c r="R11" s="1740">
        <f t="shared" si="8"/>
        <v>0</v>
      </c>
      <c r="S11" s="1739"/>
      <c r="T11" s="1739">
        <f>341*S11</f>
        <v>0</v>
      </c>
      <c r="U11" s="1739"/>
      <c r="V11" s="1739">
        <f t="shared" si="10"/>
        <v>0</v>
      </c>
      <c r="W11" s="1739"/>
      <c r="X11" s="19">
        <f t="shared" si="11"/>
        <v>0</v>
      </c>
      <c r="Y11" s="20">
        <f t="shared" si="1"/>
        <v>0</v>
      </c>
    </row>
    <row r="12" spans="1:25" ht="29.25" customHeight="1" x14ac:dyDescent="0.25">
      <c r="A12" s="2235" t="s">
        <v>31</v>
      </c>
      <c r="B12" s="2235"/>
      <c r="C12" s="18">
        <f t="shared" ref="C12:X12" si="12">SUM(C6:C11)</f>
        <v>111254</v>
      </c>
      <c r="D12" s="18">
        <f t="shared" si="12"/>
        <v>108194.515</v>
      </c>
      <c r="E12" s="18">
        <f t="shared" si="12"/>
        <v>0</v>
      </c>
      <c r="F12" s="18">
        <f t="shared" si="12"/>
        <v>0</v>
      </c>
      <c r="G12" s="18">
        <f t="shared" si="12"/>
        <v>0</v>
      </c>
      <c r="H12" s="18">
        <f t="shared" si="12"/>
        <v>0</v>
      </c>
      <c r="I12" s="18">
        <f t="shared" si="12"/>
        <v>643</v>
      </c>
      <c r="J12" s="18">
        <f t="shared" si="12"/>
        <v>11895.5</v>
      </c>
      <c r="K12" s="18">
        <f t="shared" si="12"/>
        <v>0</v>
      </c>
      <c r="L12" s="18">
        <f t="shared" si="12"/>
        <v>0</v>
      </c>
      <c r="M12" s="18">
        <f t="shared" si="12"/>
        <v>0</v>
      </c>
      <c r="N12" s="23">
        <f t="shared" si="12"/>
        <v>0</v>
      </c>
      <c r="O12" s="18">
        <f t="shared" si="12"/>
        <v>0</v>
      </c>
      <c r="P12" s="23">
        <f t="shared" si="12"/>
        <v>0</v>
      </c>
      <c r="Q12" s="23">
        <f t="shared" si="12"/>
        <v>0</v>
      </c>
      <c r="R12" s="23">
        <f>SUM(R6:R11)</f>
        <v>0</v>
      </c>
      <c r="S12" s="23">
        <f>SUM(S6:S11)</f>
        <v>0</v>
      </c>
      <c r="T12" s="18">
        <f t="shared" si="12"/>
        <v>0</v>
      </c>
      <c r="U12" s="18">
        <f t="shared" si="12"/>
        <v>0</v>
      </c>
      <c r="V12" s="18">
        <f t="shared" si="12"/>
        <v>0</v>
      </c>
      <c r="W12" s="18">
        <f t="shared" si="12"/>
        <v>0</v>
      </c>
      <c r="X12" s="18">
        <f t="shared" si="12"/>
        <v>0</v>
      </c>
      <c r="Y12" s="20">
        <f t="shared" si="1"/>
        <v>120090.015</v>
      </c>
    </row>
    <row r="14" spans="1:25" ht="43.5" customHeight="1" x14ac:dyDescent="0.25">
      <c r="A14" s="30" t="s">
        <v>32</v>
      </c>
      <c r="B14" s="2236" t="s">
        <v>27</v>
      </c>
      <c r="C14" s="2236"/>
      <c r="D14" s="30" t="s">
        <v>333</v>
      </c>
      <c r="E14" s="30" t="s">
        <v>65</v>
      </c>
      <c r="F14" s="30" t="s">
        <v>34</v>
      </c>
      <c r="G14" s="30" t="s">
        <v>14</v>
      </c>
      <c r="H14" s="469" t="s">
        <v>173</v>
      </c>
      <c r="I14" s="30" t="s">
        <v>17</v>
      </c>
      <c r="J14" s="1744" t="s">
        <v>174</v>
      </c>
      <c r="K14" s="30" t="s">
        <v>36</v>
      </c>
      <c r="L14" s="1744" t="s">
        <v>403</v>
      </c>
      <c r="M14" s="30" t="s">
        <v>429</v>
      </c>
      <c r="N14" s="30" t="s">
        <v>442</v>
      </c>
      <c r="O14" s="1744" t="s">
        <v>114</v>
      </c>
      <c r="P14" s="30" t="s">
        <v>70</v>
      </c>
      <c r="Q14" s="2300" t="s">
        <v>479</v>
      </c>
      <c r="R14" s="2301"/>
      <c r="S14" s="1744" t="s">
        <v>401</v>
      </c>
      <c r="T14" s="2235" t="s">
        <v>46</v>
      </c>
      <c r="U14" s="1736" t="s">
        <v>176</v>
      </c>
      <c r="V14" s="2260">
        <v>15089</v>
      </c>
      <c r="W14" s="2268"/>
      <c r="X14" s="2261"/>
    </row>
    <row r="15" spans="1:25" ht="22.5" customHeight="1" x14ac:dyDescent="0.25">
      <c r="A15" s="100" t="s">
        <v>38</v>
      </c>
      <c r="B15" s="2260">
        <v>737155</v>
      </c>
      <c r="C15" s="2261"/>
      <c r="D15" s="1741">
        <v>0</v>
      </c>
      <c r="E15" s="1741">
        <v>0</v>
      </c>
      <c r="F15" s="1741">
        <v>643</v>
      </c>
      <c r="G15" s="1741">
        <v>0</v>
      </c>
      <c r="H15" s="1741">
        <v>38</v>
      </c>
      <c r="I15" s="1741">
        <v>5</v>
      </c>
      <c r="J15" s="1741">
        <v>4</v>
      </c>
      <c r="K15" s="1741">
        <v>66</v>
      </c>
      <c r="L15" s="1741">
        <v>0</v>
      </c>
      <c r="M15" s="1741">
        <v>0</v>
      </c>
      <c r="N15" s="1741">
        <v>0</v>
      </c>
      <c r="O15" s="1741">
        <v>0</v>
      </c>
      <c r="P15" s="1741">
        <v>100</v>
      </c>
      <c r="Q15" s="2260">
        <v>10</v>
      </c>
      <c r="R15" s="2261"/>
      <c r="S15" s="1736">
        <v>2</v>
      </c>
      <c r="T15" s="2235"/>
      <c r="U15" s="1736" t="s">
        <v>64</v>
      </c>
      <c r="V15" s="2262">
        <v>12127</v>
      </c>
      <c r="W15" s="2262"/>
      <c r="X15" s="2262"/>
    </row>
    <row r="16" spans="1:25" ht="24.75" customHeight="1" x14ac:dyDescent="0.25">
      <c r="A16" s="100" t="s">
        <v>39</v>
      </c>
      <c r="B16" s="2260"/>
      <c r="C16" s="2261"/>
      <c r="D16" s="1741"/>
      <c r="E16" s="1741"/>
      <c r="F16" s="1741"/>
      <c r="G16" s="1741"/>
      <c r="H16" s="1741"/>
      <c r="I16" s="1741"/>
      <c r="J16" s="1741"/>
      <c r="K16" s="1741"/>
      <c r="L16" s="1741"/>
      <c r="M16" s="1741"/>
      <c r="N16" s="1741"/>
      <c r="O16" s="1741"/>
      <c r="P16" s="1741"/>
      <c r="Q16" s="2262"/>
      <c r="R16" s="2262"/>
      <c r="S16" s="1741"/>
      <c r="T16" s="2254" t="s">
        <v>55</v>
      </c>
      <c r="U16" s="2254"/>
      <c r="V16" s="2267">
        <f>Y12</f>
        <v>120090.015</v>
      </c>
      <c r="W16" s="2267"/>
      <c r="X16" s="2262"/>
    </row>
    <row r="17" spans="1:25" ht="28.5" customHeight="1" x14ac:dyDescent="0.25">
      <c r="A17" s="101" t="s">
        <v>44</v>
      </c>
      <c r="B17" s="2260"/>
      <c r="C17" s="2261"/>
      <c r="D17" s="1741"/>
      <c r="E17" s="1741"/>
      <c r="F17" s="1741"/>
      <c r="G17" s="1741"/>
      <c r="H17" s="1741"/>
      <c r="I17" s="1741"/>
      <c r="J17" s="1741"/>
      <c r="K17" s="1741"/>
      <c r="L17" s="1741"/>
      <c r="M17" s="1741"/>
      <c r="N17" s="1741"/>
      <c r="O17" s="1741"/>
      <c r="P17" s="1741"/>
      <c r="Q17" s="2225"/>
      <c r="R17" s="2225"/>
      <c r="S17" s="1738"/>
      <c r="T17" s="2294" t="s">
        <v>521</v>
      </c>
      <c r="U17" s="2295"/>
      <c r="V17" s="2296"/>
      <c r="W17" s="2296"/>
      <c r="X17" s="2296"/>
    </row>
    <row r="18" spans="1:25" ht="27" customHeight="1" x14ac:dyDescent="0.25">
      <c r="A18" s="100" t="s">
        <v>40</v>
      </c>
      <c r="B18" s="2264">
        <f>C12</f>
        <v>111254</v>
      </c>
      <c r="C18" s="2261"/>
      <c r="D18" s="1742">
        <f>E12</f>
        <v>0</v>
      </c>
      <c r="E18" s="1742">
        <f>G12</f>
        <v>0</v>
      </c>
      <c r="F18" s="1742">
        <f>I12</f>
        <v>643</v>
      </c>
      <c r="G18" s="1742">
        <f>K12</f>
        <v>0</v>
      </c>
      <c r="H18" s="1741"/>
      <c r="I18" s="1742">
        <f>U12</f>
        <v>0</v>
      </c>
      <c r="J18" s="1741"/>
      <c r="K18" s="1742">
        <f>W12</f>
        <v>0</v>
      </c>
      <c r="L18" s="1741"/>
      <c r="M18" s="1742">
        <f>M12</f>
        <v>0</v>
      </c>
      <c r="N18" s="1742">
        <f>O12</f>
        <v>0</v>
      </c>
      <c r="O18" s="1743">
        <f>Q12</f>
        <v>0</v>
      </c>
      <c r="P18" s="1742"/>
      <c r="Q18" s="2262"/>
      <c r="R18" s="2262"/>
      <c r="S18" s="1736"/>
      <c r="T18" s="2254" t="s">
        <v>57</v>
      </c>
      <c r="U18" s="2254"/>
      <c r="V18" s="2262">
        <v>9670</v>
      </c>
      <c r="W18" s="2262"/>
      <c r="X18" s="2262"/>
      <c r="Y18" s="2269"/>
    </row>
    <row r="19" spans="1:25" ht="25.5" customHeight="1" x14ac:dyDescent="0.25">
      <c r="A19" s="100" t="s">
        <v>41</v>
      </c>
      <c r="B19" s="2260">
        <f>B15+B16+B17-B18</f>
        <v>625901</v>
      </c>
      <c r="C19" s="2261"/>
      <c r="D19" s="1741">
        <f>D15+D16+D17-D18</f>
        <v>0</v>
      </c>
      <c r="E19" s="1741">
        <f t="shared" ref="E19:N19" si="13">E15+E16+E17-E18</f>
        <v>0</v>
      </c>
      <c r="F19" s="1741">
        <f t="shared" si="13"/>
        <v>0</v>
      </c>
      <c r="G19" s="1741">
        <f t="shared" si="13"/>
        <v>0</v>
      </c>
      <c r="H19" s="1741">
        <f t="shared" si="13"/>
        <v>38</v>
      </c>
      <c r="I19" s="1741">
        <f t="shared" si="13"/>
        <v>5</v>
      </c>
      <c r="J19" s="1741">
        <f t="shared" si="13"/>
        <v>4</v>
      </c>
      <c r="K19" s="1741">
        <f t="shared" si="13"/>
        <v>66</v>
      </c>
      <c r="L19" s="1741">
        <f t="shared" si="13"/>
        <v>0</v>
      </c>
      <c r="M19" s="1741">
        <f t="shared" si="13"/>
        <v>0</v>
      </c>
      <c r="N19" s="1741">
        <f t="shared" si="13"/>
        <v>0</v>
      </c>
      <c r="O19" s="1741">
        <f>O15+O16+O17-O18</f>
        <v>0</v>
      </c>
      <c r="P19" s="1741">
        <f t="shared" ref="P19:Q19" si="14">P15+P16+P17-P18</f>
        <v>100</v>
      </c>
      <c r="Q19" s="2260">
        <f t="shared" si="14"/>
        <v>10</v>
      </c>
      <c r="R19" s="2261"/>
      <c r="S19" s="1736">
        <f>S15+S16-S17-S18</f>
        <v>2</v>
      </c>
      <c r="T19" s="2256" t="s">
        <v>48</v>
      </c>
      <c r="U19" s="49" t="s">
        <v>58</v>
      </c>
      <c r="V19" s="2262"/>
      <c r="W19" s="2262"/>
      <c r="X19" s="2262"/>
      <c r="Y19" s="2269"/>
    </row>
    <row r="20" spans="1:25" ht="23.25" customHeight="1" x14ac:dyDescent="0.25">
      <c r="A20" s="289" t="s">
        <v>187</v>
      </c>
      <c r="B20" s="2286">
        <f>B19*0.9625</f>
        <v>602429.71250000002</v>
      </c>
      <c r="C20" s="2287"/>
      <c r="D20" s="290">
        <f>D19*66.41</f>
        <v>0</v>
      </c>
      <c r="E20" s="290">
        <f>27.9368*E19</f>
        <v>0</v>
      </c>
      <c r="F20" s="290">
        <f>18.31*F19</f>
        <v>0</v>
      </c>
      <c r="G20" s="290">
        <f>27.9368*G19</f>
        <v>0</v>
      </c>
      <c r="H20" s="290">
        <f>241*H19</f>
        <v>9158</v>
      </c>
      <c r="I20" s="290">
        <f>323*I19</f>
        <v>1615</v>
      </c>
      <c r="J20" s="290">
        <f>241*J19</f>
        <v>964</v>
      </c>
      <c r="K20" s="290">
        <f>K19*100</f>
        <v>6600</v>
      </c>
      <c r="L20" s="290">
        <f>241*L19</f>
        <v>0</v>
      </c>
      <c r="M20" s="290">
        <f>47.1625*M19</f>
        <v>0</v>
      </c>
      <c r="N20" s="290">
        <f>N19*8.81</f>
        <v>0</v>
      </c>
      <c r="O20" s="290">
        <f>241*O19</f>
        <v>0</v>
      </c>
      <c r="P20" s="290">
        <f>P19*48.2</f>
        <v>4820</v>
      </c>
      <c r="Q20" s="2286">
        <f>470*Q19</f>
        <v>4700</v>
      </c>
      <c r="R20" s="2287"/>
      <c r="S20" s="290">
        <f>341*S19</f>
        <v>682</v>
      </c>
      <c r="T20" s="2257"/>
      <c r="U20" s="49" t="s">
        <v>59</v>
      </c>
      <c r="V20" s="2262"/>
      <c r="W20" s="2262"/>
      <c r="X20" s="2262"/>
      <c r="Y20" s="2269"/>
    </row>
    <row r="21" spans="1:25" ht="32.25" customHeight="1" x14ac:dyDescent="0.25">
      <c r="A21" s="291" t="s">
        <v>186</v>
      </c>
      <c r="B21" s="2293">
        <f>SUM(B20:S20)</f>
        <v>630968.71250000002</v>
      </c>
      <c r="C21" s="2293"/>
      <c r="O21" s="1745"/>
      <c r="P21" s="1745"/>
      <c r="Q21" s="1745"/>
      <c r="R21" s="1745"/>
      <c r="T21" s="2294" t="s">
        <v>518</v>
      </c>
      <c r="U21" s="2295"/>
      <c r="V21" s="2297"/>
      <c r="W21" s="2298"/>
      <c r="X21" s="2299"/>
      <c r="Y21" s="2269"/>
    </row>
    <row r="22" spans="1:25" ht="35.25" customHeight="1" x14ac:dyDescent="0.25">
      <c r="A22" s="15"/>
      <c r="B22" s="2288" t="s">
        <v>49</v>
      </c>
      <c r="C22" s="2291">
        <v>260000</v>
      </c>
      <c r="D22" s="2291"/>
      <c r="E22" s="2291"/>
      <c r="F22" s="2291">
        <f>C22-D22+E22</f>
        <v>260000</v>
      </c>
      <c r="G22" s="1745"/>
      <c r="Q22" s="1745"/>
      <c r="R22" s="1745"/>
      <c r="T22" s="2251" t="s">
        <v>83</v>
      </c>
      <c r="U22" s="50" t="s">
        <v>60</v>
      </c>
      <c r="V22" s="2262"/>
      <c r="W22" s="2262"/>
      <c r="X22" s="2262"/>
      <c r="Y22" s="2269"/>
    </row>
    <row r="23" spans="1:25" ht="39.75" customHeight="1" x14ac:dyDescent="0.25">
      <c r="A23" s="1745"/>
      <c r="B23" s="2289"/>
      <c r="C23" s="2292"/>
      <c r="D23" s="2292"/>
      <c r="E23" s="2292"/>
      <c r="F23" s="2292"/>
      <c r="G23" s="1745"/>
      <c r="Q23" s="1745"/>
      <c r="R23" s="1745"/>
      <c r="T23" s="2252"/>
      <c r="U23" s="50" t="s">
        <v>61</v>
      </c>
      <c r="V23" s="2262"/>
      <c r="W23" s="2262"/>
      <c r="X23" s="2262"/>
      <c r="Y23" s="2269"/>
    </row>
    <row r="24" spans="1:25" ht="48" customHeight="1" x14ac:dyDescent="0.25">
      <c r="A24" s="1745"/>
      <c r="B24" s="2290"/>
      <c r="C24" s="290" t="s">
        <v>46</v>
      </c>
      <c r="D24" s="290" t="s">
        <v>50</v>
      </c>
      <c r="E24" s="290" t="s">
        <v>51</v>
      </c>
      <c r="F24" s="290" t="s">
        <v>52</v>
      </c>
      <c r="G24" s="1745"/>
      <c r="Q24" s="1745"/>
      <c r="R24" s="1745"/>
      <c r="T24" s="2235" t="s">
        <v>47</v>
      </c>
      <c r="U24" s="51" t="s">
        <v>62</v>
      </c>
      <c r="V24" s="2263">
        <f>V14+V16+V17-V18-V19-V20-V22+V23-V21</f>
        <v>125509.01500000001</v>
      </c>
      <c r="W24" s="2263"/>
      <c r="X24" s="2263"/>
      <c r="Y24" s="2269"/>
    </row>
    <row r="25" spans="1:25" ht="40.5" customHeight="1" x14ac:dyDescent="0.25">
      <c r="T25" s="2235"/>
      <c r="U25" s="51" t="s">
        <v>63</v>
      </c>
      <c r="V25" s="2262">
        <f>V15+V22-V23</f>
        <v>12127</v>
      </c>
      <c r="W25" s="2262"/>
      <c r="X25" s="2262"/>
    </row>
    <row r="26" spans="1:25" ht="36" customHeight="1" x14ac:dyDescent="0.25">
      <c r="K26" s="314"/>
    </row>
    <row r="28" spans="1:25" x14ac:dyDescent="0.25">
      <c r="J28" s="14" t="s">
        <v>139</v>
      </c>
    </row>
    <row r="32" spans="1:25" x14ac:dyDescent="0.25">
      <c r="I32" s="2280"/>
      <c r="J32" s="2280"/>
      <c r="K32" s="2280"/>
      <c r="L32" s="2280"/>
    </row>
    <row r="33" spans="9:12" x14ac:dyDescent="0.25">
      <c r="I33" s="1745"/>
      <c r="J33" s="1745"/>
      <c r="K33" s="2280"/>
      <c r="L33" s="2280"/>
    </row>
  </sheetData>
  <mergeCells count="62">
    <mergeCell ref="I32:J32"/>
    <mergeCell ref="K32:L32"/>
    <mergeCell ref="K33:L33"/>
    <mergeCell ref="T22:T23"/>
    <mergeCell ref="V22:X22"/>
    <mergeCell ref="V23:X23"/>
    <mergeCell ref="T24:T25"/>
    <mergeCell ref="V24:X24"/>
    <mergeCell ref="V25:X25"/>
    <mergeCell ref="Y18:Y24"/>
    <mergeCell ref="B19:C19"/>
    <mergeCell ref="Q19:R19"/>
    <mergeCell ref="T19:T20"/>
    <mergeCell ref="V19:X19"/>
    <mergeCell ref="B20:C20"/>
    <mergeCell ref="B22:B24"/>
    <mergeCell ref="C22:C23"/>
    <mergeCell ref="D22:D23"/>
    <mergeCell ref="E22:E23"/>
    <mergeCell ref="F22:F23"/>
    <mergeCell ref="Q20:R20"/>
    <mergeCell ref="V20:X20"/>
    <mergeCell ref="B21:C21"/>
    <mergeCell ref="T21:U21"/>
    <mergeCell ref="V21:X21"/>
    <mergeCell ref="B17:C17"/>
    <mergeCell ref="Q17:R17"/>
    <mergeCell ref="T17:U17"/>
    <mergeCell ref="V17:X17"/>
    <mergeCell ref="B18:C18"/>
    <mergeCell ref="Q18:R18"/>
    <mergeCell ref="T18:U18"/>
    <mergeCell ref="V18:X18"/>
    <mergeCell ref="W4:X4"/>
    <mergeCell ref="B16:C16"/>
    <mergeCell ref="Q16:R16"/>
    <mergeCell ref="T16:U16"/>
    <mergeCell ref="V16:X16"/>
    <mergeCell ref="A12:B12"/>
    <mergeCell ref="B14:C14"/>
    <mergeCell ref="Q14:R14"/>
    <mergeCell ref="T14:T15"/>
    <mergeCell ref="V14:X14"/>
    <mergeCell ref="B15:C15"/>
    <mergeCell ref="Q15:R15"/>
    <mergeCell ref="V15:X15"/>
    <mergeCell ref="A1:Y1"/>
    <mergeCell ref="A2:Y2"/>
    <mergeCell ref="T3:Y3"/>
    <mergeCell ref="A4:A5"/>
    <mergeCell ref="B4:B5"/>
    <mergeCell ref="C4:D4"/>
    <mergeCell ref="E4:F4"/>
    <mergeCell ref="G4:H4"/>
    <mergeCell ref="I4:J4"/>
    <mergeCell ref="K4:L4"/>
    <mergeCell ref="Y4:Y5"/>
    <mergeCell ref="M4:N4"/>
    <mergeCell ref="O4:P4"/>
    <mergeCell ref="Q4:R4"/>
    <mergeCell ref="S4:T4"/>
    <mergeCell ref="U4:V4"/>
  </mergeCells>
  <pageMargins left="0.15748031496063" right="0.15748031496063" top="0" bottom="0" header="0" footer="0"/>
  <pageSetup paperSize="9" scale="46" orientation="landscape" r:id="rId1"/>
</worksheet>
</file>

<file path=xl/worksheets/sheet28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7620A1E-2D5E-44A9-B051-FA74A55BC83E}">
  <sheetPr>
    <pageSetUpPr fitToPage="1"/>
  </sheetPr>
  <dimension ref="A1:Y33"/>
  <sheetViews>
    <sheetView topLeftCell="A10" zoomScale="70" zoomScaleNormal="70" zoomScaleSheetLayoutView="100" zoomScalePageLayoutView="68" workbookViewId="0">
      <selection activeCell="K24" sqref="K24"/>
    </sheetView>
  </sheetViews>
  <sheetFormatPr defaultColWidth="9.140625" defaultRowHeight="15" x14ac:dyDescent="0.25"/>
  <cols>
    <col min="1" max="1" width="18.28515625" style="14" customWidth="1"/>
    <col min="2" max="2" width="10.7109375" style="14" customWidth="1"/>
    <col min="3" max="3" width="12.28515625" style="14" customWidth="1"/>
    <col min="4" max="4" width="13.140625" style="14" bestFit="1" customWidth="1"/>
    <col min="5" max="5" width="12" style="14" customWidth="1"/>
    <col min="6" max="6" width="14" style="14" bestFit="1" customWidth="1"/>
    <col min="7" max="7" width="16" style="14" bestFit="1" customWidth="1"/>
    <col min="8" max="8" width="10.140625" style="14" bestFit="1" customWidth="1"/>
    <col min="9" max="9" width="10.5703125" style="14" bestFit="1" customWidth="1"/>
    <col min="10" max="10" width="10.5703125" style="14" customWidth="1"/>
    <col min="11" max="11" width="10.28515625" style="14" bestFit="1" customWidth="1"/>
    <col min="12" max="12" width="10.42578125" style="14" bestFit="1" customWidth="1"/>
    <col min="13" max="14" width="12" style="14" bestFit="1" customWidth="1"/>
    <col min="15" max="15" width="11" style="14" customWidth="1"/>
    <col min="16" max="16" width="12.85546875" style="14" bestFit="1" customWidth="1"/>
    <col min="17" max="18" width="9.42578125" style="14" customWidth="1"/>
    <col min="19" max="19" width="13.7109375" style="14" customWidth="1"/>
    <col min="20" max="20" width="12.140625" style="14" customWidth="1"/>
    <col min="21" max="21" width="21.7109375" style="14" customWidth="1"/>
    <col min="22" max="22" width="9.85546875" style="14" customWidth="1"/>
    <col min="23" max="23" width="10.140625" style="14" bestFit="1" customWidth="1"/>
    <col min="24" max="24" width="10.28515625" style="14" customWidth="1"/>
    <col min="25" max="25" width="15.7109375" style="14" customWidth="1"/>
    <col min="26" max="16384" width="9.140625" style="14"/>
  </cols>
  <sheetData>
    <row r="1" spans="1:25" ht="46.15" customHeight="1" x14ac:dyDescent="0.25">
      <c r="A1" s="2240" t="s">
        <v>148</v>
      </c>
      <c r="B1" s="2240"/>
      <c r="C1" s="2240"/>
      <c r="D1" s="2240"/>
      <c r="E1" s="2240"/>
      <c r="F1" s="2240"/>
      <c r="G1" s="2240"/>
      <c r="H1" s="2240"/>
      <c r="I1" s="2240"/>
      <c r="J1" s="2240"/>
      <c r="K1" s="2240"/>
      <c r="L1" s="2240"/>
      <c r="M1" s="2240"/>
      <c r="N1" s="2240"/>
      <c r="O1" s="2240"/>
      <c r="P1" s="2240"/>
      <c r="Q1" s="2240"/>
      <c r="R1" s="2240"/>
      <c r="S1" s="2240"/>
      <c r="T1" s="2240"/>
      <c r="U1" s="2240"/>
      <c r="V1" s="2240"/>
      <c r="W1" s="2240"/>
      <c r="X1" s="2240"/>
      <c r="Y1" s="2240"/>
    </row>
    <row r="2" spans="1:25" ht="21.6" customHeight="1" x14ac:dyDescent="0.25">
      <c r="A2" s="2241" t="s">
        <v>383</v>
      </c>
      <c r="B2" s="2241"/>
      <c r="C2" s="2241"/>
      <c r="D2" s="2241"/>
      <c r="E2" s="2241"/>
      <c r="F2" s="2241"/>
      <c r="G2" s="2241"/>
      <c r="H2" s="2241"/>
      <c r="I2" s="2241"/>
      <c r="J2" s="2241"/>
      <c r="K2" s="2241"/>
      <c r="L2" s="2241"/>
      <c r="M2" s="2241"/>
      <c r="N2" s="2241"/>
      <c r="O2" s="2241"/>
      <c r="P2" s="2241"/>
      <c r="Q2" s="2241"/>
      <c r="R2" s="2241"/>
      <c r="S2" s="2241"/>
      <c r="T2" s="2241"/>
      <c r="U2" s="2241"/>
      <c r="V2" s="2241"/>
      <c r="W2" s="2241"/>
      <c r="X2" s="2241"/>
      <c r="Y2" s="2241"/>
    </row>
    <row r="3" spans="1:25" ht="21" customHeight="1" x14ac:dyDescent="0.25">
      <c r="A3" s="1751"/>
      <c r="B3" s="1751"/>
      <c r="C3" s="1751"/>
      <c r="D3" s="1751"/>
      <c r="E3" s="1751"/>
      <c r="F3" s="1751"/>
      <c r="G3" s="1751"/>
      <c r="H3" s="1751"/>
      <c r="I3" s="1751"/>
      <c r="J3" s="1751"/>
      <c r="K3" s="1751"/>
      <c r="L3" s="1751"/>
      <c r="M3" s="1751"/>
      <c r="N3" s="1751"/>
      <c r="O3" s="1751"/>
      <c r="P3" s="1751"/>
      <c r="Q3" s="1751"/>
      <c r="R3" s="1751"/>
      <c r="S3" s="1751"/>
      <c r="T3" s="2242" t="s">
        <v>532</v>
      </c>
      <c r="U3" s="2242"/>
      <c r="V3" s="2242"/>
      <c r="W3" s="2242"/>
      <c r="X3" s="2242"/>
      <c r="Y3" s="2242"/>
    </row>
    <row r="4" spans="1:25" s="1751" customFormat="1" ht="18" customHeight="1" x14ac:dyDescent="0.25">
      <c r="A4" s="2243" t="s">
        <v>25</v>
      </c>
      <c r="B4" s="2243" t="s">
        <v>26</v>
      </c>
      <c r="C4" s="2244" t="s">
        <v>27</v>
      </c>
      <c r="D4" s="2244"/>
      <c r="E4" s="2244" t="s">
        <v>342</v>
      </c>
      <c r="F4" s="2244"/>
      <c r="G4" s="2244" t="s">
        <v>65</v>
      </c>
      <c r="H4" s="2244"/>
      <c r="I4" s="2244" t="s">
        <v>29</v>
      </c>
      <c r="J4" s="2244"/>
      <c r="K4" s="2245" t="s">
        <v>14</v>
      </c>
      <c r="L4" s="2246"/>
      <c r="M4" s="2245" t="s">
        <v>429</v>
      </c>
      <c r="N4" s="2246"/>
      <c r="O4" s="2245" t="s">
        <v>441</v>
      </c>
      <c r="P4" s="2246"/>
      <c r="Q4" s="2245" t="s">
        <v>114</v>
      </c>
      <c r="R4" s="2246"/>
      <c r="S4" s="2244" t="s">
        <v>35</v>
      </c>
      <c r="T4" s="2244"/>
      <c r="U4" s="2245" t="s">
        <v>17</v>
      </c>
      <c r="V4" s="2246"/>
      <c r="W4" s="2247" t="s">
        <v>36</v>
      </c>
      <c r="X4" s="2248"/>
      <c r="Y4" s="2238" t="s">
        <v>30</v>
      </c>
    </row>
    <row r="5" spans="1:25" s="1751" customFormat="1" ht="25.5" customHeight="1" x14ac:dyDescent="0.25">
      <c r="A5" s="2243"/>
      <c r="B5" s="2243"/>
      <c r="C5" s="1750" t="s">
        <v>42</v>
      </c>
      <c r="D5" s="1750" t="s">
        <v>43</v>
      </c>
      <c r="E5" s="1750" t="s">
        <v>42</v>
      </c>
      <c r="F5" s="1750" t="s">
        <v>43</v>
      </c>
      <c r="G5" s="1750" t="s">
        <v>42</v>
      </c>
      <c r="H5" s="1750" t="s">
        <v>43</v>
      </c>
      <c r="I5" s="1750" t="s">
        <v>42</v>
      </c>
      <c r="J5" s="1750" t="s">
        <v>43</v>
      </c>
      <c r="K5" s="1750" t="s">
        <v>42</v>
      </c>
      <c r="L5" s="1750" t="s">
        <v>43</v>
      </c>
      <c r="M5" s="1750" t="s">
        <v>42</v>
      </c>
      <c r="N5" s="1750" t="s">
        <v>43</v>
      </c>
      <c r="O5" s="1750" t="s">
        <v>42</v>
      </c>
      <c r="P5" s="1750" t="s">
        <v>43</v>
      </c>
      <c r="Q5" s="1750" t="s">
        <v>42</v>
      </c>
      <c r="R5" s="1750" t="s">
        <v>43</v>
      </c>
      <c r="S5" s="33" t="s">
        <v>42</v>
      </c>
      <c r="T5" s="33" t="s">
        <v>43</v>
      </c>
      <c r="U5" s="30" t="s">
        <v>42</v>
      </c>
      <c r="V5" s="30" t="s">
        <v>43</v>
      </c>
      <c r="W5" s="30" t="s">
        <v>42</v>
      </c>
      <c r="X5" s="30" t="s">
        <v>43</v>
      </c>
      <c r="Y5" s="2239"/>
    </row>
    <row r="6" spans="1:25" ht="34.5" customHeight="1" x14ac:dyDescent="0.25">
      <c r="A6" s="12">
        <v>1409935200</v>
      </c>
      <c r="B6" s="1749" t="s">
        <v>71</v>
      </c>
      <c r="C6" s="1747">
        <v>27532</v>
      </c>
      <c r="D6" s="1746">
        <f t="shared" ref="D6:D11" si="0">0.9725*C6</f>
        <v>26774.870000000003</v>
      </c>
      <c r="E6" s="1747"/>
      <c r="F6" s="1746">
        <f>67.1*E6</f>
        <v>0</v>
      </c>
      <c r="G6" s="1747"/>
      <c r="H6" s="1747">
        <f>28.2*G6</f>
        <v>0</v>
      </c>
      <c r="I6" s="1747"/>
      <c r="J6" s="1747">
        <f>18.5*I6</f>
        <v>0</v>
      </c>
      <c r="K6" s="1747"/>
      <c r="L6" s="1746">
        <f>28.2368*K6</f>
        <v>0</v>
      </c>
      <c r="M6" s="1747"/>
      <c r="N6" s="1746">
        <f>M6*47.6525</f>
        <v>0</v>
      </c>
      <c r="O6" s="1747"/>
      <c r="P6" s="1746">
        <f>O6*8.9</f>
        <v>0</v>
      </c>
      <c r="Q6" s="1746"/>
      <c r="R6" s="1746">
        <f>241*Q6</f>
        <v>0</v>
      </c>
      <c r="S6" s="1747"/>
      <c r="T6" s="1747">
        <f>241*S6</f>
        <v>0</v>
      </c>
      <c r="U6" s="1747"/>
      <c r="V6" s="1747">
        <f>332*U6</f>
        <v>0</v>
      </c>
      <c r="W6" s="1747"/>
      <c r="X6" s="19">
        <f>W6*100</f>
        <v>0</v>
      </c>
      <c r="Y6" s="20">
        <f t="shared" ref="Y6:Y12" si="1">D6+F6+H6+J6+L6+N6+P6+R6+T6+V6+X6</f>
        <v>26774.870000000003</v>
      </c>
    </row>
    <row r="7" spans="1:25" ht="31.5" customHeight="1" x14ac:dyDescent="0.25">
      <c r="A7" s="12">
        <v>1984225578</v>
      </c>
      <c r="B7" s="1749" t="s">
        <v>509</v>
      </c>
      <c r="C7" s="1747">
        <v>28361</v>
      </c>
      <c r="D7" s="1746">
        <f t="shared" si="0"/>
        <v>27581.072500000002</v>
      </c>
      <c r="E7" s="1747"/>
      <c r="F7" s="1747">
        <f t="shared" ref="F7:F11" si="2">67.1*E7</f>
        <v>0</v>
      </c>
      <c r="G7" s="1747"/>
      <c r="H7" s="1747">
        <f t="shared" ref="H7:H11" si="3">28.2*G7</f>
        <v>0</v>
      </c>
      <c r="I7" s="1747"/>
      <c r="J7" s="1747">
        <f t="shared" ref="J7:J11" si="4">18.5*I7</f>
        <v>0</v>
      </c>
      <c r="K7" s="1747"/>
      <c r="L7" s="1746">
        <f t="shared" ref="L7:L11" si="5">28.2368*K7</f>
        <v>0</v>
      </c>
      <c r="M7" s="1747"/>
      <c r="N7" s="1746">
        <f t="shared" ref="N7:N11" si="6">M7*47.6525</f>
        <v>0</v>
      </c>
      <c r="O7" s="1747"/>
      <c r="P7" s="1746">
        <f t="shared" ref="P7:P11" si="7">O7*8.9</f>
        <v>0</v>
      </c>
      <c r="Q7" s="1746"/>
      <c r="R7" s="1746">
        <f t="shared" ref="R7:R11" si="8">241*Q7</f>
        <v>0</v>
      </c>
      <c r="S7" s="1747"/>
      <c r="T7" s="1747">
        <f t="shared" ref="T7:T10" si="9">241*S7</f>
        <v>0</v>
      </c>
      <c r="U7" s="1747"/>
      <c r="V7" s="1747">
        <f t="shared" ref="V7:V11" si="10">332*U7</f>
        <v>0</v>
      </c>
      <c r="W7" s="1747"/>
      <c r="X7" s="19">
        <f t="shared" ref="X7:X11" si="11">W7*100</f>
        <v>0</v>
      </c>
      <c r="Y7" s="20">
        <f t="shared" si="1"/>
        <v>27581.072500000002</v>
      </c>
    </row>
    <row r="8" spans="1:25" ht="35.25" customHeight="1" x14ac:dyDescent="0.25">
      <c r="A8" s="12">
        <v>1967020280</v>
      </c>
      <c r="B8" s="1749" t="s">
        <v>427</v>
      </c>
      <c r="C8" s="1747">
        <v>19392</v>
      </c>
      <c r="D8" s="1746">
        <f t="shared" si="0"/>
        <v>18858.72</v>
      </c>
      <c r="E8" s="1747"/>
      <c r="F8" s="1747">
        <f t="shared" si="2"/>
        <v>0</v>
      </c>
      <c r="G8" s="1747"/>
      <c r="H8" s="1746">
        <f t="shared" si="3"/>
        <v>0</v>
      </c>
      <c r="I8" s="1747"/>
      <c r="J8" s="1747">
        <f t="shared" si="4"/>
        <v>0</v>
      </c>
      <c r="K8" s="1747"/>
      <c r="L8" s="1746">
        <f t="shared" si="5"/>
        <v>0</v>
      </c>
      <c r="M8" s="1747"/>
      <c r="N8" s="1746">
        <f t="shared" si="6"/>
        <v>0</v>
      </c>
      <c r="O8" s="1747"/>
      <c r="P8" s="1746">
        <f t="shared" si="7"/>
        <v>0</v>
      </c>
      <c r="Q8" s="1746"/>
      <c r="R8" s="1746">
        <f t="shared" si="8"/>
        <v>0</v>
      </c>
      <c r="S8" s="1747"/>
      <c r="T8" s="1747">
        <f t="shared" si="9"/>
        <v>0</v>
      </c>
      <c r="U8" s="1747"/>
      <c r="V8" s="1747">
        <f t="shared" si="10"/>
        <v>0</v>
      </c>
      <c r="W8" s="1747"/>
      <c r="X8" s="19">
        <f t="shared" si="11"/>
        <v>0</v>
      </c>
      <c r="Y8" s="20">
        <f t="shared" si="1"/>
        <v>18858.72</v>
      </c>
    </row>
    <row r="9" spans="1:25" ht="38.25" customHeight="1" x14ac:dyDescent="0.25">
      <c r="A9" s="12">
        <v>1984225580</v>
      </c>
      <c r="B9" s="1749" t="s">
        <v>75</v>
      </c>
      <c r="C9" s="1747">
        <v>66130</v>
      </c>
      <c r="D9" s="1746">
        <f t="shared" si="0"/>
        <v>64311.425000000003</v>
      </c>
      <c r="E9" s="1747"/>
      <c r="F9" s="1747">
        <f t="shared" si="2"/>
        <v>0</v>
      </c>
      <c r="G9" s="1747"/>
      <c r="H9" s="1747">
        <f t="shared" si="3"/>
        <v>0</v>
      </c>
      <c r="I9" s="1747"/>
      <c r="J9" s="1747">
        <f t="shared" si="4"/>
        <v>0</v>
      </c>
      <c r="K9" s="1747"/>
      <c r="L9" s="1746">
        <f t="shared" si="5"/>
        <v>0</v>
      </c>
      <c r="M9" s="1747"/>
      <c r="N9" s="1746">
        <f t="shared" si="6"/>
        <v>0</v>
      </c>
      <c r="O9" s="1747"/>
      <c r="P9" s="1746">
        <f t="shared" si="7"/>
        <v>0</v>
      </c>
      <c r="Q9" s="1746"/>
      <c r="R9" s="1746">
        <f t="shared" si="8"/>
        <v>0</v>
      </c>
      <c r="S9" s="1747"/>
      <c r="T9" s="1747">
        <f t="shared" si="9"/>
        <v>0</v>
      </c>
      <c r="U9" s="1747"/>
      <c r="V9" s="1747">
        <f t="shared" si="10"/>
        <v>0</v>
      </c>
      <c r="W9" s="1747"/>
      <c r="X9" s="19">
        <f t="shared" si="11"/>
        <v>0</v>
      </c>
      <c r="Y9" s="20">
        <f t="shared" si="1"/>
        <v>64311.425000000003</v>
      </c>
    </row>
    <row r="10" spans="1:25" ht="35.25" customHeight="1" x14ac:dyDescent="0.25">
      <c r="A10" s="12">
        <v>1409935199</v>
      </c>
      <c r="C10" s="1747"/>
      <c r="D10" s="1746">
        <f t="shared" si="0"/>
        <v>0</v>
      </c>
      <c r="E10" s="1747"/>
      <c r="F10" s="1747">
        <f t="shared" si="2"/>
        <v>0</v>
      </c>
      <c r="G10" s="1747"/>
      <c r="H10" s="1747">
        <f t="shared" si="3"/>
        <v>0</v>
      </c>
      <c r="I10" s="1747"/>
      <c r="J10" s="1747">
        <f t="shared" si="4"/>
        <v>0</v>
      </c>
      <c r="K10" s="1747"/>
      <c r="L10" s="1746">
        <f t="shared" si="5"/>
        <v>0</v>
      </c>
      <c r="M10" s="1747"/>
      <c r="N10" s="1746">
        <f t="shared" si="6"/>
        <v>0</v>
      </c>
      <c r="O10" s="1747"/>
      <c r="P10" s="1746">
        <f t="shared" si="7"/>
        <v>0</v>
      </c>
      <c r="Q10" s="1746"/>
      <c r="R10" s="1746">
        <f t="shared" si="8"/>
        <v>0</v>
      </c>
      <c r="S10" s="1747"/>
      <c r="T10" s="1747">
        <f t="shared" si="9"/>
        <v>0</v>
      </c>
      <c r="U10" s="1747"/>
      <c r="V10" s="1747">
        <f t="shared" si="10"/>
        <v>0</v>
      </c>
      <c r="W10" s="1747"/>
      <c r="X10" s="19">
        <f t="shared" si="11"/>
        <v>0</v>
      </c>
      <c r="Y10" s="20">
        <f t="shared" si="1"/>
        <v>0</v>
      </c>
    </row>
    <row r="11" spans="1:25" ht="37.5" customHeight="1" x14ac:dyDescent="0.25">
      <c r="A11" s="12"/>
      <c r="B11" s="1748"/>
      <c r="C11" s="1747"/>
      <c r="D11" s="1746">
        <f t="shared" si="0"/>
        <v>0</v>
      </c>
      <c r="E11" s="1747"/>
      <c r="F11" s="1747">
        <f t="shared" si="2"/>
        <v>0</v>
      </c>
      <c r="G11" s="1747"/>
      <c r="H11" s="1747">
        <f t="shared" si="3"/>
        <v>0</v>
      </c>
      <c r="I11" s="1747"/>
      <c r="J11" s="1747">
        <f t="shared" si="4"/>
        <v>0</v>
      </c>
      <c r="K11" s="1747"/>
      <c r="L11" s="1746">
        <f t="shared" si="5"/>
        <v>0</v>
      </c>
      <c r="M11" s="1747"/>
      <c r="N11" s="1746">
        <f t="shared" si="6"/>
        <v>0</v>
      </c>
      <c r="O11" s="1747"/>
      <c r="P11" s="1746">
        <f t="shared" si="7"/>
        <v>0</v>
      </c>
      <c r="Q11" s="1746"/>
      <c r="R11" s="1746">
        <f t="shared" si="8"/>
        <v>0</v>
      </c>
      <c r="S11" s="1747"/>
      <c r="T11" s="1747">
        <f>341*S11</f>
        <v>0</v>
      </c>
      <c r="U11" s="1747"/>
      <c r="V11" s="1747">
        <f t="shared" si="10"/>
        <v>0</v>
      </c>
      <c r="W11" s="1747"/>
      <c r="X11" s="19">
        <f t="shared" si="11"/>
        <v>0</v>
      </c>
      <c r="Y11" s="20">
        <f t="shared" si="1"/>
        <v>0</v>
      </c>
    </row>
    <row r="12" spans="1:25" ht="29.25" customHeight="1" x14ac:dyDescent="0.25">
      <c r="A12" s="2235" t="s">
        <v>31</v>
      </c>
      <c r="B12" s="2235"/>
      <c r="C12" s="18">
        <f t="shared" ref="C12:X12" si="12">SUM(C6:C11)</f>
        <v>141415</v>
      </c>
      <c r="D12" s="18">
        <f t="shared" si="12"/>
        <v>137526.08750000002</v>
      </c>
      <c r="E12" s="18">
        <f t="shared" si="12"/>
        <v>0</v>
      </c>
      <c r="F12" s="18">
        <f t="shared" si="12"/>
        <v>0</v>
      </c>
      <c r="G12" s="18">
        <f t="shared" si="12"/>
        <v>0</v>
      </c>
      <c r="H12" s="18">
        <f t="shared" si="12"/>
        <v>0</v>
      </c>
      <c r="I12" s="18">
        <f t="shared" si="12"/>
        <v>0</v>
      </c>
      <c r="J12" s="18">
        <f t="shared" si="12"/>
        <v>0</v>
      </c>
      <c r="K12" s="18">
        <f t="shared" si="12"/>
        <v>0</v>
      </c>
      <c r="L12" s="18">
        <f t="shared" si="12"/>
        <v>0</v>
      </c>
      <c r="M12" s="18">
        <f t="shared" si="12"/>
        <v>0</v>
      </c>
      <c r="N12" s="23">
        <f t="shared" si="12"/>
        <v>0</v>
      </c>
      <c r="O12" s="18">
        <f t="shared" si="12"/>
        <v>0</v>
      </c>
      <c r="P12" s="23">
        <f t="shared" si="12"/>
        <v>0</v>
      </c>
      <c r="Q12" s="23">
        <f t="shared" si="12"/>
        <v>0</v>
      </c>
      <c r="R12" s="23">
        <f>SUM(R6:R11)</f>
        <v>0</v>
      </c>
      <c r="S12" s="23">
        <f>SUM(S6:S11)</f>
        <v>0</v>
      </c>
      <c r="T12" s="18">
        <f t="shared" si="12"/>
        <v>0</v>
      </c>
      <c r="U12" s="18">
        <f t="shared" si="12"/>
        <v>0</v>
      </c>
      <c r="V12" s="18">
        <f t="shared" si="12"/>
        <v>0</v>
      </c>
      <c r="W12" s="18">
        <f t="shared" si="12"/>
        <v>0</v>
      </c>
      <c r="X12" s="18">
        <f t="shared" si="12"/>
        <v>0</v>
      </c>
      <c r="Y12" s="20">
        <f t="shared" si="1"/>
        <v>137526.08750000002</v>
      </c>
    </row>
    <row r="14" spans="1:25" ht="43.5" customHeight="1" x14ac:dyDescent="0.25">
      <c r="A14" s="30" t="s">
        <v>32</v>
      </c>
      <c r="B14" s="2236" t="s">
        <v>27</v>
      </c>
      <c r="C14" s="2236"/>
      <c r="D14" s="30" t="s">
        <v>333</v>
      </c>
      <c r="E14" s="30" t="s">
        <v>65</v>
      </c>
      <c r="F14" s="30" t="s">
        <v>34</v>
      </c>
      <c r="G14" s="30" t="s">
        <v>14</v>
      </c>
      <c r="H14" s="469" t="s">
        <v>173</v>
      </c>
      <c r="I14" s="30" t="s">
        <v>17</v>
      </c>
      <c r="J14" s="1755" t="s">
        <v>174</v>
      </c>
      <c r="K14" s="30" t="s">
        <v>36</v>
      </c>
      <c r="L14" s="1755" t="s">
        <v>403</v>
      </c>
      <c r="M14" s="30" t="s">
        <v>429</v>
      </c>
      <c r="N14" s="30" t="s">
        <v>442</v>
      </c>
      <c r="O14" s="1755" t="s">
        <v>114</v>
      </c>
      <c r="P14" s="30" t="s">
        <v>70</v>
      </c>
      <c r="Q14" s="2300" t="s">
        <v>479</v>
      </c>
      <c r="R14" s="2301"/>
      <c r="S14" s="1755" t="s">
        <v>401</v>
      </c>
      <c r="T14" s="2235" t="s">
        <v>46</v>
      </c>
      <c r="U14" s="1749" t="s">
        <v>176</v>
      </c>
      <c r="V14" s="2260">
        <v>125509</v>
      </c>
      <c r="W14" s="2268"/>
      <c r="X14" s="2261"/>
    </row>
    <row r="15" spans="1:25" ht="22.5" customHeight="1" x14ac:dyDescent="0.25">
      <c r="A15" s="100" t="s">
        <v>38</v>
      </c>
      <c r="B15" s="2260">
        <v>625901</v>
      </c>
      <c r="C15" s="2261"/>
      <c r="D15" s="1752">
        <v>0</v>
      </c>
      <c r="E15" s="1752">
        <v>0</v>
      </c>
      <c r="F15" s="1752">
        <v>0</v>
      </c>
      <c r="G15" s="1752">
        <v>0</v>
      </c>
      <c r="H15" s="1752">
        <v>38</v>
      </c>
      <c r="I15" s="1752">
        <v>5</v>
      </c>
      <c r="J15" s="1752">
        <v>4</v>
      </c>
      <c r="K15" s="1752">
        <v>66</v>
      </c>
      <c r="L15" s="1752">
        <v>0</v>
      </c>
      <c r="M15" s="1752">
        <v>0</v>
      </c>
      <c r="N15" s="1752">
        <v>0</v>
      </c>
      <c r="O15" s="1752">
        <v>0</v>
      </c>
      <c r="P15" s="1752">
        <v>100</v>
      </c>
      <c r="Q15" s="2260">
        <v>10</v>
      </c>
      <c r="R15" s="2261"/>
      <c r="S15" s="1749">
        <v>2</v>
      </c>
      <c r="T15" s="2235"/>
      <c r="U15" s="1749" t="s">
        <v>64</v>
      </c>
      <c r="V15" s="2262">
        <v>12127</v>
      </c>
      <c r="W15" s="2262"/>
      <c r="X15" s="2262"/>
    </row>
    <row r="16" spans="1:25" ht="24.75" customHeight="1" x14ac:dyDescent="0.25">
      <c r="A16" s="100" t="s">
        <v>39</v>
      </c>
      <c r="B16" s="2260">
        <v>78155</v>
      </c>
      <c r="C16" s="2261"/>
      <c r="D16" s="1752"/>
      <c r="E16" s="1752"/>
      <c r="F16" s="1752">
        <v>2500</v>
      </c>
      <c r="G16" s="1752"/>
      <c r="H16" s="1752"/>
      <c r="I16" s="1752"/>
      <c r="J16" s="1752"/>
      <c r="K16" s="1752"/>
      <c r="L16" s="1752"/>
      <c r="M16" s="1752"/>
      <c r="N16" s="1752"/>
      <c r="O16" s="1752"/>
      <c r="P16" s="1752"/>
      <c r="Q16" s="2262"/>
      <c r="R16" s="2262"/>
      <c r="S16" s="1752"/>
      <c r="T16" s="2254" t="s">
        <v>55</v>
      </c>
      <c r="U16" s="2254"/>
      <c r="V16" s="2267">
        <f>Y12</f>
        <v>137526.08750000002</v>
      </c>
      <c r="W16" s="2267"/>
      <c r="X16" s="2262"/>
    </row>
    <row r="17" spans="1:25" ht="28.5" customHeight="1" x14ac:dyDescent="0.25">
      <c r="A17" s="101" t="s">
        <v>44</v>
      </c>
      <c r="B17" s="2260"/>
      <c r="C17" s="2261"/>
      <c r="D17" s="1752"/>
      <c r="E17" s="1752"/>
      <c r="F17" s="1752"/>
      <c r="G17" s="1752"/>
      <c r="H17" s="1752"/>
      <c r="I17" s="1752"/>
      <c r="J17" s="1752"/>
      <c r="K17" s="1752"/>
      <c r="L17" s="1752"/>
      <c r="M17" s="1752"/>
      <c r="N17" s="1752"/>
      <c r="O17" s="1752"/>
      <c r="P17" s="1752"/>
      <c r="Q17" s="2225"/>
      <c r="R17" s="2225"/>
      <c r="S17" s="1748"/>
      <c r="T17" s="2294" t="s">
        <v>521</v>
      </c>
      <c r="U17" s="2295"/>
      <c r="V17" s="2296"/>
      <c r="W17" s="2296"/>
      <c r="X17" s="2296"/>
    </row>
    <row r="18" spans="1:25" ht="27" customHeight="1" x14ac:dyDescent="0.25">
      <c r="A18" s="100" t="s">
        <v>40</v>
      </c>
      <c r="B18" s="2264">
        <f>C12</f>
        <v>141415</v>
      </c>
      <c r="C18" s="2261"/>
      <c r="D18" s="1754">
        <f>E12</f>
        <v>0</v>
      </c>
      <c r="E18" s="1754">
        <f>G12</f>
        <v>0</v>
      </c>
      <c r="F18" s="1754">
        <f>I12</f>
        <v>0</v>
      </c>
      <c r="G18" s="1754">
        <f>K12</f>
        <v>0</v>
      </c>
      <c r="H18" s="1752"/>
      <c r="I18" s="1754">
        <f>U12</f>
        <v>0</v>
      </c>
      <c r="J18" s="1752"/>
      <c r="K18" s="1754">
        <f>W12</f>
        <v>0</v>
      </c>
      <c r="L18" s="1752"/>
      <c r="M18" s="1754">
        <f>M12</f>
        <v>0</v>
      </c>
      <c r="N18" s="1754">
        <f>O12</f>
        <v>0</v>
      </c>
      <c r="O18" s="1753">
        <f>Q12</f>
        <v>0</v>
      </c>
      <c r="P18" s="1754"/>
      <c r="Q18" s="2262"/>
      <c r="R18" s="2262"/>
      <c r="S18" s="1749"/>
      <c r="T18" s="2254" t="s">
        <v>57</v>
      </c>
      <c r="U18" s="2254"/>
      <c r="V18" s="2262">
        <v>2628</v>
      </c>
      <c r="W18" s="2262"/>
      <c r="X18" s="2262"/>
      <c r="Y18" s="2269"/>
    </row>
    <row r="19" spans="1:25" ht="25.5" customHeight="1" x14ac:dyDescent="0.25">
      <c r="A19" s="100" t="s">
        <v>41</v>
      </c>
      <c r="B19" s="2260">
        <f>B15+B16+B17-B18</f>
        <v>562641</v>
      </c>
      <c r="C19" s="2261"/>
      <c r="D19" s="1752">
        <f>D15+D16+D17-D18</f>
        <v>0</v>
      </c>
      <c r="E19" s="1752">
        <f t="shared" ref="E19:N19" si="13">E15+E16+E17-E18</f>
        <v>0</v>
      </c>
      <c r="F19" s="1752">
        <f t="shared" si="13"/>
        <v>2500</v>
      </c>
      <c r="G19" s="1752">
        <f t="shared" si="13"/>
        <v>0</v>
      </c>
      <c r="H19" s="1752">
        <f t="shared" si="13"/>
        <v>38</v>
      </c>
      <c r="I19" s="1752">
        <f t="shared" si="13"/>
        <v>5</v>
      </c>
      <c r="J19" s="1752">
        <f t="shared" si="13"/>
        <v>4</v>
      </c>
      <c r="K19" s="1752">
        <f t="shared" si="13"/>
        <v>66</v>
      </c>
      <c r="L19" s="1752">
        <f t="shared" si="13"/>
        <v>0</v>
      </c>
      <c r="M19" s="1752">
        <f t="shared" si="13"/>
        <v>0</v>
      </c>
      <c r="N19" s="1752">
        <f t="shared" si="13"/>
        <v>0</v>
      </c>
      <c r="O19" s="1752">
        <f>O15+O16+O17-O18</f>
        <v>0</v>
      </c>
      <c r="P19" s="1752">
        <f t="shared" ref="P19:Q19" si="14">P15+P16+P17-P18</f>
        <v>100</v>
      </c>
      <c r="Q19" s="2260">
        <f t="shared" si="14"/>
        <v>10</v>
      </c>
      <c r="R19" s="2261"/>
      <c r="S19" s="1749">
        <f>S15+S16-S17-S18</f>
        <v>2</v>
      </c>
      <c r="T19" s="2256" t="s">
        <v>48</v>
      </c>
      <c r="U19" s="49" t="s">
        <v>58</v>
      </c>
      <c r="V19" s="2262">
        <v>260000</v>
      </c>
      <c r="W19" s="2262"/>
      <c r="X19" s="2262"/>
      <c r="Y19" s="2269"/>
    </row>
    <row r="20" spans="1:25" ht="23.25" customHeight="1" x14ac:dyDescent="0.25">
      <c r="A20" s="289" t="s">
        <v>187</v>
      </c>
      <c r="B20" s="2286">
        <f>B19*0.9625</f>
        <v>541541.96250000002</v>
      </c>
      <c r="C20" s="2287"/>
      <c r="D20" s="290">
        <f>D19*66.41</f>
        <v>0</v>
      </c>
      <c r="E20" s="290">
        <f>27.9368*E19</f>
        <v>0</v>
      </c>
      <c r="F20" s="290">
        <f>18.31*F19</f>
        <v>45775</v>
      </c>
      <c r="G20" s="290">
        <f>27.9368*G19</f>
        <v>0</v>
      </c>
      <c r="H20" s="290">
        <f>241*H19</f>
        <v>9158</v>
      </c>
      <c r="I20" s="290">
        <f>323*I19</f>
        <v>1615</v>
      </c>
      <c r="J20" s="290">
        <f>241*J19</f>
        <v>964</v>
      </c>
      <c r="K20" s="290">
        <f>K19*100</f>
        <v>6600</v>
      </c>
      <c r="L20" s="290">
        <f>241*L19</f>
        <v>0</v>
      </c>
      <c r="M20" s="290">
        <f>47.1625*M19</f>
        <v>0</v>
      </c>
      <c r="N20" s="290">
        <f>N19*8.81</f>
        <v>0</v>
      </c>
      <c r="O20" s="290">
        <f>241*O19</f>
        <v>0</v>
      </c>
      <c r="P20" s="290">
        <f>P19*48.2</f>
        <v>4820</v>
      </c>
      <c r="Q20" s="2286">
        <f>470*Q19</f>
        <v>4700</v>
      </c>
      <c r="R20" s="2287"/>
      <c r="S20" s="290">
        <f>341*S19</f>
        <v>682</v>
      </c>
      <c r="T20" s="2257"/>
      <c r="U20" s="49" t="s">
        <v>59</v>
      </c>
      <c r="V20" s="2262"/>
      <c r="W20" s="2262"/>
      <c r="X20" s="2262"/>
      <c r="Y20" s="2269"/>
    </row>
    <row r="21" spans="1:25" ht="32.25" customHeight="1" x14ac:dyDescent="0.25">
      <c r="A21" s="291" t="s">
        <v>186</v>
      </c>
      <c r="B21" s="2293">
        <f>SUM(B20:S20)</f>
        <v>615855.96250000002</v>
      </c>
      <c r="C21" s="2293"/>
      <c r="O21" s="1756"/>
      <c r="P21" s="1756"/>
      <c r="Q21" s="1756"/>
      <c r="R21" s="1756"/>
      <c r="T21" s="2294" t="s">
        <v>518</v>
      </c>
      <c r="U21" s="2295"/>
      <c r="V21" s="2297"/>
      <c r="W21" s="2298"/>
      <c r="X21" s="2299"/>
      <c r="Y21" s="2269"/>
    </row>
    <row r="22" spans="1:25" ht="35.25" customHeight="1" x14ac:dyDescent="0.25">
      <c r="A22" s="15"/>
      <c r="B22" s="2288" t="s">
        <v>49</v>
      </c>
      <c r="C22" s="2291">
        <v>260000</v>
      </c>
      <c r="D22" s="2291">
        <v>260000</v>
      </c>
      <c r="E22" s="2291">
        <v>121000</v>
      </c>
      <c r="F22" s="2291">
        <f>C22-D22+E22</f>
        <v>121000</v>
      </c>
      <c r="G22" s="1756"/>
      <c r="Q22" s="1756"/>
      <c r="R22" s="1756"/>
      <c r="T22" s="2251" t="s">
        <v>83</v>
      </c>
      <c r="U22" s="50" t="s">
        <v>60</v>
      </c>
      <c r="V22" s="2262">
        <v>259320</v>
      </c>
      <c r="W22" s="2262"/>
      <c r="X22" s="2262"/>
      <c r="Y22" s="2269"/>
    </row>
    <row r="23" spans="1:25" ht="39.75" customHeight="1" x14ac:dyDescent="0.25">
      <c r="A23" s="1756"/>
      <c r="B23" s="2289"/>
      <c r="C23" s="2292"/>
      <c r="D23" s="2292"/>
      <c r="E23" s="2292"/>
      <c r="F23" s="2292"/>
      <c r="G23" s="1756"/>
      <c r="Q23" s="1756"/>
      <c r="R23" s="1756"/>
      <c r="T23" s="2252"/>
      <c r="U23" s="50" t="s">
        <v>61</v>
      </c>
      <c r="V23" s="2262">
        <v>262108</v>
      </c>
      <c r="W23" s="2262"/>
      <c r="X23" s="2262"/>
      <c r="Y23" s="2269"/>
    </row>
    <row r="24" spans="1:25" ht="48" customHeight="1" x14ac:dyDescent="0.25">
      <c r="A24" s="1756"/>
      <c r="B24" s="2290"/>
      <c r="C24" s="290" t="s">
        <v>46</v>
      </c>
      <c r="D24" s="290" t="s">
        <v>50</v>
      </c>
      <c r="E24" s="290" t="s">
        <v>51</v>
      </c>
      <c r="F24" s="290" t="s">
        <v>52</v>
      </c>
      <c r="G24" s="1756"/>
      <c r="Q24" s="1756"/>
      <c r="R24" s="1756"/>
      <c r="T24" s="2235" t="s">
        <v>47</v>
      </c>
      <c r="U24" s="51" t="s">
        <v>62</v>
      </c>
      <c r="V24" s="2263">
        <f>V14+V16+V17-V18-V19-V20-V22+V23-V21</f>
        <v>3195.0875000000233</v>
      </c>
      <c r="W24" s="2263"/>
      <c r="X24" s="2263"/>
      <c r="Y24" s="2269"/>
    </row>
    <row r="25" spans="1:25" ht="40.5" customHeight="1" x14ac:dyDescent="0.25">
      <c r="T25" s="2235"/>
      <c r="U25" s="51" t="s">
        <v>63</v>
      </c>
      <c r="V25" s="2262">
        <f>V15+V22-V23</f>
        <v>9339</v>
      </c>
      <c r="W25" s="2262"/>
      <c r="X25" s="2262"/>
    </row>
    <row r="26" spans="1:25" ht="36" customHeight="1" x14ac:dyDescent="0.25">
      <c r="K26" s="314"/>
    </row>
    <row r="28" spans="1:25" x14ac:dyDescent="0.25">
      <c r="J28" s="14" t="s">
        <v>139</v>
      </c>
    </row>
    <row r="32" spans="1:25" x14ac:dyDescent="0.25">
      <c r="I32" s="2280"/>
      <c r="J32" s="2280"/>
      <c r="K32" s="2280"/>
      <c r="L32" s="2280"/>
    </row>
    <row r="33" spans="9:12" x14ac:dyDescent="0.25">
      <c r="I33" s="1756"/>
      <c r="J33" s="1756"/>
      <c r="K33" s="2280"/>
      <c r="L33" s="2280"/>
    </row>
  </sheetData>
  <mergeCells count="62">
    <mergeCell ref="A1:Y1"/>
    <mergeCell ref="A2:Y2"/>
    <mergeCell ref="T3:Y3"/>
    <mergeCell ref="A4:A5"/>
    <mergeCell ref="B4:B5"/>
    <mergeCell ref="C4:D4"/>
    <mergeCell ref="E4:F4"/>
    <mergeCell ref="G4:H4"/>
    <mergeCell ref="I4:J4"/>
    <mergeCell ref="K4:L4"/>
    <mergeCell ref="Y4:Y5"/>
    <mergeCell ref="M4:N4"/>
    <mergeCell ref="O4:P4"/>
    <mergeCell ref="Q4:R4"/>
    <mergeCell ref="S4:T4"/>
    <mergeCell ref="U4:V4"/>
    <mergeCell ref="W4:X4"/>
    <mergeCell ref="B16:C16"/>
    <mergeCell ref="Q16:R16"/>
    <mergeCell ref="T16:U16"/>
    <mergeCell ref="V16:X16"/>
    <mergeCell ref="A12:B12"/>
    <mergeCell ref="B14:C14"/>
    <mergeCell ref="Q14:R14"/>
    <mergeCell ref="T14:T15"/>
    <mergeCell ref="V14:X14"/>
    <mergeCell ref="B15:C15"/>
    <mergeCell ref="Q15:R15"/>
    <mergeCell ref="V15:X15"/>
    <mergeCell ref="B17:C17"/>
    <mergeCell ref="Q17:R17"/>
    <mergeCell ref="T17:U17"/>
    <mergeCell ref="V17:X17"/>
    <mergeCell ref="B18:C18"/>
    <mergeCell ref="Q18:R18"/>
    <mergeCell ref="T18:U18"/>
    <mergeCell ref="V18:X18"/>
    <mergeCell ref="Y18:Y24"/>
    <mergeCell ref="B19:C19"/>
    <mergeCell ref="Q19:R19"/>
    <mergeCell ref="T19:T20"/>
    <mergeCell ref="V19:X19"/>
    <mergeCell ref="B20:C20"/>
    <mergeCell ref="B22:B24"/>
    <mergeCell ref="C22:C23"/>
    <mergeCell ref="D22:D23"/>
    <mergeCell ref="E22:E23"/>
    <mergeCell ref="F22:F23"/>
    <mergeCell ref="Q20:R20"/>
    <mergeCell ref="V20:X20"/>
    <mergeCell ref="B21:C21"/>
    <mergeCell ref="T21:U21"/>
    <mergeCell ref="V21:X21"/>
    <mergeCell ref="I32:J32"/>
    <mergeCell ref="K32:L32"/>
    <mergeCell ref="K33:L33"/>
    <mergeCell ref="T22:T23"/>
    <mergeCell ref="V22:X22"/>
    <mergeCell ref="V23:X23"/>
    <mergeCell ref="T24:T25"/>
    <mergeCell ref="V24:X24"/>
    <mergeCell ref="V25:X25"/>
  </mergeCells>
  <pageMargins left="0.15748031496063" right="0.15748031496063" top="0" bottom="0" header="0" footer="0"/>
  <pageSetup paperSize="9" scale="46" orientation="landscape" r:id="rId1"/>
</worksheet>
</file>

<file path=xl/worksheets/sheet28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B9B7423-B0DC-4C67-81D9-AE32AD75A40A}">
  <sheetPr>
    <pageSetUpPr fitToPage="1"/>
  </sheetPr>
  <dimension ref="A1:Y33"/>
  <sheetViews>
    <sheetView topLeftCell="A10" zoomScale="70" zoomScaleNormal="70" zoomScaleSheetLayoutView="100" zoomScalePageLayoutView="68" workbookViewId="0">
      <selection activeCell="M24" sqref="M24"/>
    </sheetView>
  </sheetViews>
  <sheetFormatPr defaultColWidth="9.140625" defaultRowHeight="15" x14ac:dyDescent="0.25"/>
  <cols>
    <col min="1" max="1" width="18.28515625" style="14" customWidth="1"/>
    <col min="2" max="2" width="10.7109375" style="14" customWidth="1"/>
    <col min="3" max="3" width="12.28515625" style="14" customWidth="1"/>
    <col min="4" max="4" width="13.140625" style="14" bestFit="1" customWidth="1"/>
    <col min="5" max="5" width="12" style="14" customWidth="1"/>
    <col min="6" max="6" width="14" style="14" bestFit="1" customWidth="1"/>
    <col min="7" max="7" width="16" style="14" bestFit="1" customWidth="1"/>
    <col min="8" max="8" width="10.140625" style="14" bestFit="1" customWidth="1"/>
    <col min="9" max="9" width="10.5703125" style="14" bestFit="1" customWidth="1"/>
    <col min="10" max="10" width="10.5703125" style="14" customWidth="1"/>
    <col min="11" max="11" width="10.28515625" style="14" bestFit="1" customWidth="1"/>
    <col min="12" max="12" width="10.42578125" style="14" bestFit="1" customWidth="1"/>
    <col min="13" max="14" width="12" style="14" bestFit="1" customWidth="1"/>
    <col min="15" max="15" width="11" style="14" customWidth="1"/>
    <col min="16" max="16" width="12.85546875" style="14" bestFit="1" customWidth="1"/>
    <col min="17" max="18" width="9.42578125" style="14" customWidth="1"/>
    <col min="19" max="19" width="13.7109375" style="14" customWidth="1"/>
    <col min="20" max="20" width="12.140625" style="14" customWidth="1"/>
    <col min="21" max="21" width="21.7109375" style="14" customWidth="1"/>
    <col min="22" max="22" width="9.85546875" style="14" customWidth="1"/>
    <col min="23" max="23" width="10.140625" style="14" bestFit="1" customWidth="1"/>
    <col min="24" max="24" width="10.28515625" style="14" customWidth="1"/>
    <col min="25" max="25" width="15.7109375" style="14" customWidth="1"/>
    <col min="26" max="16384" width="9.140625" style="14"/>
  </cols>
  <sheetData>
    <row r="1" spans="1:25" ht="46.15" customHeight="1" x14ac:dyDescent="0.25">
      <c r="A1" s="2240" t="s">
        <v>148</v>
      </c>
      <c r="B1" s="2240"/>
      <c r="C1" s="2240"/>
      <c r="D1" s="2240"/>
      <c r="E1" s="2240"/>
      <c r="F1" s="2240"/>
      <c r="G1" s="2240"/>
      <c r="H1" s="2240"/>
      <c r="I1" s="2240"/>
      <c r="J1" s="2240"/>
      <c r="K1" s="2240"/>
      <c r="L1" s="2240"/>
      <c r="M1" s="2240"/>
      <c r="N1" s="2240"/>
      <c r="O1" s="2240"/>
      <c r="P1" s="2240"/>
      <c r="Q1" s="2240"/>
      <c r="R1" s="2240"/>
      <c r="S1" s="2240"/>
      <c r="T1" s="2240"/>
      <c r="U1" s="2240"/>
      <c r="V1" s="2240"/>
      <c r="W1" s="2240"/>
      <c r="X1" s="2240"/>
      <c r="Y1" s="2240"/>
    </row>
    <row r="2" spans="1:25" ht="21.6" customHeight="1" x14ac:dyDescent="0.25">
      <c r="A2" s="2241" t="s">
        <v>383</v>
      </c>
      <c r="B2" s="2241"/>
      <c r="C2" s="2241"/>
      <c r="D2" s="2241"/>
      <c r="E2" s="2241"/>
      <c r="F2" s="2241"/>
      <c r="G2" s="2241"/>
      <c r="H2" s="2241"/>
      <c r="I2" s="2241"/>
      <c r="J2" s="2241"/>
      <c r="K2" s="2241"/>
      <c r="L2" s="2241"/>
      <c r="M2" s="2241"/>
      <c r="N2" s="2241"/>
      <c r="O2" s="2241"/>
      <c r="P2" s="2241"/>
      <c r="Q2" s="2241"/>
      <c r="R2" s="2241"/>
      <c r="S2" s="2241"/>
      <c r="T2" s="2241"/>
      <c r="U2" s="2241"/>
      <c r="V2" s="2241"/>
      <c r="W2" s="2241"/>
      <c r="X2" s="2241"/>
      <c r="Y2" s="2241"/>
    </row>
    <row r="3" spans="1:25" ht="21" customHeight="1" x14ac:dyDescent="0.25">
      <c r="A3" s="1751"/>
      <c r="B3" s="1751"/>
      <c r="C3" s="1751"/>
      <c r="D3" s="1751"/>
      <c r="E3" s="1751"/>
      <c r="F3" s="1751"/>
      <c r="G3" s="1751"/>
      <c r="H3" s="1751"/>
      <c r="I3" s="1751"/>
      <c r="J3" s="1751"/>
      <c r="K3" s="1751"/>
      <c r="L3" s="1751"/>
      <c r="M3" s="1751"/>
      <c r="N3" s="1751"/>
      <c r="O3" s="1751"/>
      <c r="P3" s="1751"/>
      <c r="Q3" s="1751"/>
      <c r="R3" s="1751"/>
      <c r="S3" s="1751"/>
      <c r="T3" s="2242" t="s">
        <v>533</v>
      </c>
      <c r="U3" s="2242"/>
      <c r="V3" s="2242"/>
      <c r="W3" s="2242"/>
      <c r="X3" s="2242"/>
      <c r="Y3" s="2242"/>
    </row>
    <row r="4" spans="1:25" s="1751" customFormat="1" ht="18" customHeight="1" x14ac:dyDescent="0.25">
      <c r="A4" s="2243" t="s">
        <v>25</v>
      </c>
      <c r="B4" s="2243" t="s">
        <v>26</v>
      </c>
      <c r="C4" s="2244" t="s">
        <v>27</v>
      </c>
      <c r="D4" s="2244"/>
      <c r="E4" s="2244" t="s">
        <v>342</v>
      </c>
      <c r="F4" s="2244"/>
      <c r="G4" s="2244" t="s">
        <v>65</v>
      </c>
      <c r="H4" s="2244"/>
      <c r="I4" s="2244" t="s">
        <v>29</v>
      </c>
      <c r="J4" s="2244"/>
      <c r="K4" s="2245" t="s">
        <v>14</v>
      </c>
      <c r="L4" s="2246"/>
      <c r="M4" s="2245" t="s">
        <v>429</v>
      </c>
      <c r="N4" s="2246"/>
      <c r="O4" s="2245" t="s">
        <v>441</v>
      </c>
      <c r="P4" s="2246"/>
      <c r="Q4" s="2245" t="s">
        <v>114</v>
      </c>
      <c r="R4" s="2246"/>
      <c r="S4" s="2244" t="s">
        <v>35</v>
      </c>
      <c r="T4" s="2244"/>
      <c r="U4" s="2245" t="s">
        <v>17</v>
      </c>
      <c r="V4" s="2246"/>
      <c r="W4" s="2247" t="s">
        <v>36</v>
      </c>
      <c r="X4" s="2248"/>
      <c r="Y4" s="2238" t="s">
        <v>30</v>
      </c>
    </row>
    <row r="5" spans="1:25" s="1751" customFormat="1" ht="25.5" customHeight="1" x14ac:dyDescent="0.25">
      <c r="A5" s="2243"/>
      <c r="B5" s="2243"/>
      <c r="C5" s="1750" t="s">
        <v>42</v>
      </c>
      <c r="D5" s="1750" t="s">
        <v>43</v>
      </c>
      <c r="E5" s="1750" t="s">
        <v>42</v>
      </c>
      <c r="F5" s="1750" t="s">
        <v>43</v>
      </c>
      <c r="G5" s="1750" t="s">
        <v>42</v>
      </c>
      <c r="H5" s="1750" t="s">
        <v>43</v>
      </c>
      <c r="I5" s="1750" t="s">
        <v>42</v>
      </c>
      <c r="J5" s="1750" t="s">
        <v>43</v>
      </c>
      <c r="K5" s="1750" t="s">
        <v>42</v>
      </c>
      <c r="L5" s="1750" t="s">
        <v>43</v>
      </c>
      <c r="M5" s="1750" t="s">
        <v>42</v>
      </c>
      <c r="N5" s="1750" t="s">
        <v>43</v>
      </c>
      <c r="O5" s="1750" t="s">
        <v>42</v>
      </c>
      <c r="P5" s="1750" t="s">
        <v>43</v>
      </c>
      <c r="Q5" s="1750" t="s">
        <v>42</v>
      </c>
      <c r="R5" s="1750" t="s">
        <v>43</v>
      </c>
      <c r="S5" s="33" t="s">
        <v>42</v>
      </c>
      <c r="T5" s="33" t="s">
        <v>43</v>
      </c>
      <c r="U5" s="30" t="s">
        <v>42</v>
      </c>
      <c r="V5" s="30" t="s">
        <v>43</v>
      </c>
      <c r="W5" s="30" t="s">
        <v>42</v>
      </c>
      <c r="X5" s="30" t="s">
        <v>43</v>
      </c>
      <c r="Y5" s="2239"/>
    </row>
    <row r="6" spans="1:25" ht="34.5" customHeight="1" x14ac:dyDescent="0.25">
      <c r="A6" s="12">
        <v>1409935200</v>
      </c>
      <c r="B6" s="1749" t="s">
        <v>71</v>
      </c>
      <c r="C6" s="1747">
        <v>55434</v>
      </c>
      <c r="D6" s="1746">
        <f t="shared" ref="D6:D11" si="0">0.9725*C6</f>
        <v>53909.565000000002</v>
      </c>
      <c r="E6" s="1747"/>
      <c r="F6" s="1746">
        <f>67.1*E6</f>
        <v>0</v>
      </c>
      <c r="G6" s="1747"/>
      <c r="H6" s="1747">
        <f>28.2*G6</f>
        <v>0</v>
      </c>
      <c r="I6" s="1747"/>
      <c r="J6" s="1747">
        <f>18.5*I6</f>
        <v>0</v>
      </c>
      <c r="K6" s="1747"/>
      <c r="L6" s="1746">
        <f>28.2368*K6</f>
        <v>0</v>
      </c>
      <c r="M6" s="1747"/>
      <c r="N6" s="1746">
        <f>M6*47.6525</f>
        <v>0</v>
      </c>
      <c r="O6" s="1747"/>
      <c r="P6" s="1746">
        <f>O6*8.9</f>
        <v>0</v>
      </c>
      <c r="Q6" s="1746"/>
      <c r="R6" s="1746">
        <f>241*Q6</f>
        <v>0</v>
      </c>
      <c r="S6" s="1747"/>
      <c r="T6" s="1747">
        <f>241*S6</f>
        <v>0</v>
      </c>
      <c r="U6" s="1747"/>
      <c r="V6" s="1747">
        <f>332*U6</f>
        <v>0</v>
      </c>
      <c r="W6" s="1747"/>
      <c r="X6" s="19">
        <f>W6*100</f>
        <v>0</v>
      </c>
      <c r="Y6" s="20">
        <f t="shared" ref="Y6:Y12" si="1">D6+F6+H6+J6+L6+N6+P6+R6+T6+V6+X6</f>
        <v>53909.565000000002</v>
      </c>
    </row>
    <row r="7" spans="1:25" ht="31.5" customHeight="1" x14ac:dyDescent="0.25">
      <c r="A7" s="12">
        <v>1984225578</v>
      </c>
      <c r="B7" s="1749" t="s">
        <v>509</v>
      </c>
      <c r="C7" s="1747">
        <v>34581</v>
      </c>
      <c r="D7" s="1746">
        <f t="shared" si="0"/>
        <v>33630.022499999999</v>
      </c>
      <c r="E7" s="1747"/>
      <c r="F7" s="1747">
        <f t="shared" ref="F7:F11" si="2">67.1*E7</f>
        <v>0</v>
      </c>
      <c r="G7" s="1747"/>
      <c r="H7" s="1747">
        <f t="shared" ref="H7:H11" si="3">28.2*G7</f>
        <v>0</v>
      </c>
      <c r="I7" s="1747"/>
      <c r="J7" s="1747">
        <f t="shared" ref="J7:J11" si="4">18.5*I7</f>
        <v>0</v>
      </c>
      <c r="K7" s="1747"/>
      <c r="L7" s="1746">
        <f t="shared" ref="L7:L11" si="5">28.2368*K7</f>
        <v>0</v>
      </c>
      <c r="M7" s="1747"/>
      <c r="N7" s="1746">
        <f t="shared" ref="N7:N11" si="6">M7*47.6525</f>
        <v>0</v>
      </c>
      <c r="O7" s="1747"/>
      <c r="P7" s="1746">
        <f t="shared" ref="P7:P11" si="7">O7*8.9</f>
        <v>0</v>
      </c>
      <c r="Q7" s="1746"/>
      <c r="R7" s="1746">
        <f t="shared" ref="R7:R11" si="8">241*Q7</f>
        <v>0</v>
      </c>
      <c r="S7" s="1747"/>
      <c r="T7" s="1747">
        <f t="shared" ref="T7:T10" si="9">241*S7</f>
        <v>0</v>
      </c>
      <c r="U7" s="1747">
        <v>5</v>
      </c>
      <c r="V7" s="1747">
        <f t="shared" ref="V7:V11" si="10">332*U7</f>
        <v>1660</v>
      </c>
      <c r="W7" s="1747"/>
      <c r="X7" s="19">
        <f t="shared" ref="X7:X11" si="11">W7*100</f>
        <v>0</v>
      </c>
      <c r="Y7" s="20">
        <f t="shared" si="1"/>
        <v>35290.022499999999</v>
      </c>
    </row>
    <row r="8" spans="1:25" ht="35.25" customHeight="1" x14ac:dyDescent="0.25">
      <c r="A8" s="12">
        <v>1967020280</v>
      </c>
      <c r="B8" s="1749" t="s">
        <v>427</v>
      </c>
      <c r="C8" s="1747">
        <v>22728</v>
      </c>
      <c r="D8" s="1746">
        <f t="shared" si="0"/>
        <v>22102.98</v>
      </c>
      <c r="E8" s="1747"/>
      <c r="F8" s="1747">
        <f t="shared" si="2"/>
        <v>0</v>
      </c>
      <c r="G8" s="1747"/>
      <c r="H8" s="1746">
        <f t="shared" si="3"/>
        <v>0</v>
      </c>
      <c r="I8" s="1747"/>
      <c r="J8" s="1747">
        <f t="shared" si="4"/>
        <v>0</v>
      </c>
      <c r="K8" s="1747"/>
      <c r="L8" s="1746">
        <f t="shared" si="5"/>
        <v>0</v>
      </c>
      <c r="M8" s="1747"/>
      <c r="N8" s="1746">
        <f t="shared" si="6"/>
        <v>0</v>
      </c>
      <c r="O8" s="1747"/>
      <c r="P8" s="1746">
        <f t="shared" si="7"/>
        <v>0</v>
      </c>
      <c r="Q8" s="1746"/>
      <c r="R8" s="1746">
        <f t="shared" si="8"/>
        <v>0</v>
      </c>
      <c r="S8" s="1747"/>
      <c r="T8" s="1747">
        <f t="shared" si="9"/>
        <v>0</v>
      </c>
      <c r="U8" s="1747"/>
      <c r="V8" s="1747">
        <f t="shared" si="10"/>
        <v>0</v>
      </c>
      <c r="W8" s="1747"/>
      <c r="X8" s="19">
        <f t="shared" si="11"/>
        <v>0</v>
      </c>
      <c r="Y8" s="20">
        <f t="shared" si="1"/>
        <v>22102.98</v>
      </c>
    </row>
    <row r="9" spans="1:25" ht="38.25" customHeight="1" x14ac:dyDescent="0.25">
      <c r="A9" s="12">
        <v>1984225580</v>
      </c>
      <c r="B9" s="1749" t="s">
        <v>75</v>
      </c>
      <c r="C9" s="1747">
        <v>29614</v>
      </c>
      <c r="D9" s="1746">
        <f t="shared" si="0"/>
        <v>28799.615000000002</v>
      </c>
      <c r="E9" s="1747"/>
      <c r="F9" s="1747">
        <f t="shared" si="2"/>
        <v>0</v>
      </c>
      <c r="G9" s="1747"/>
      <c r="H9" s="1747">
        <f t="shared" si="3"/>
        <v>0</v>
      </c>
      <c r="I9" s="1747"/>
      <c r="J9" s="1747">
        <f t="shared" si="4"/>
        <v>0</v>
      </c>
      <c r="K9" s="1747"/>
      <c r="L9" s="1746">
        <f t="shared" si="5"/>
        <v>0</v>
      </c>
      <c r="M9" s="1747"/>
      <c r="N9" s="1746">
        <f t="shared" si="6"/>
        <v>0</v>
      </c>
      <c r="O9" s="1747"/>
      <c r="P9" s="1746">
        <f t="shared" si="7"/>
        <v>0</v>
      </c>
      <c r="Q9" s="1746"/>
      <c r="R9" s="1746">
        <f t="shared" si="8"/>
        <v>0</v>
      </c>
      <c r="S9" s="1747"/>
      <c r="T9" s="1747">
        <f t="shared" si="9"/>
        <v>0</v>
      </c>
      <c r="U9" s="1747"/>
      <c r="V9" s="1747">
        <f t="shared" si="10"/>
        <v>0</v>
      </c>
      <c r="W9" s="1747"/>
      <c r="X9" s="19">
        <f t="shared" si="11"/>
        <v>0</v>
      </c>
      <c r="Y9" s="20">
        <f t="shared" si="1"/>
        <v>28799.615000000002</v>
      </c>
    </row>
    <row r="10" spans="1:25" ht="35.25" customHeight="1" x14ac:dyDescent="0.25">
      <c r="A10" s="12">
        <v>1409935199</v>
      </c>
      <c r="C10" s="1747">
        <v>24254</v>
      </c>
      <c r="D10" s="1746">
        <f t="shared" si="0"/>
        <v>23587.014999999999</v>
      </c>
      <c r="E10" s="1747"/>
      <c r="F10" s="1747">
        <f t="shared" si="2"/>
        <v>0</v>
      </c>
      <c r="G10" s="1747"/>
      <c r="H10" s="1747">
        <f t="shared" si="3"/>
        <v>0</v>
      </c>
      <c r="I10" s="1747"/>
      <c r="J10" s="1747">
        <f t="shared" si="4"/>
        <v>0</v>
      </c>
      <c r="K10" s="1747"/>
      <c r="L10" s="1746">
        <f t="shared" si="5"/>
        <v>0</v>
      </c>
      <c r="M10" s="1747"/>
      <c r="N10" s="1746">
        <f t="shared" si="6"/>
        <v>0</v>
      </c>
      <c r="O10" s="1747"/>
      <c r="P10" s="1746">
        <f t="shared" si="7"/>
        <v>0</v>
      </c>
      <c r="Q10" s="1746"/>
      <c r="R10" s="1746">
        <f t="shared" si="8"/>
        <v>0</v>
      </c>
      <c r="S10" s="1747"/>
      <c r="T10" s="1747">
        <f t="shared" si="9"/>
        <v>0</v>
      </c>
      <c r="U10" s="1747"/>
      <c r="V10" s="1747">
        <f t="shared" si="10"/>
        <v>0</v>
      </c>
      <c r="W10" s="1747"/>
      <c r="X10" s="19">
        <f t="shared" si="11"/>
        <v>0</v>
      </c>
      <c r="Y10" s="20">
        <f t="shared" si="1"/>
        <v>23587.014999999999</v>
      </c>
    </row>
    <row r="11" spans="1:25" ht="37.5" customHeight="1" x14ac:dyDescent="0.25">
      <c r="A11" s="12"/>
      <c r="B11" s="1748"/>
      <c r="C11" s="1747"/>
      <c r="D11" s="1746">
        <f t="shared" si="0"/>
        <v>0</v>
      </c>
      <c r="E11" s="1747"/>
      <c r="F11" s="1747">
        <f t="shared" si="2"/>
        <v>0</v>
      </c>
      <c r="G11" s="1747"/>
      <c r="H11" s="1747">
        <f t="shared" si="3"/>
        <v>0</v>
      </c>
      <c r="I11" s="1747"/>
      <c r="J11" s="1747">
        <f t="shared" si="4"/>
        <v>0</v>
      </c>
      <c r="K11" s="1747"/>
      <c r="L11" s="1746">
        <f t="shared" si="5"/>
        <v>0</v>
      </c>
      <c r="M11" s="1747"/>
      <c r="N11" s="1746">
        <f t="shared" si="6"/>
        <v>0</v>
      </c>
      <c r="O11" s="1747"/>
      <c r="P11" s="1746">
        <f t="shared" si="7"/>
        <v>0</v>
      </c>
      <c r="Q11" s="1746"/>
      <c r="R11" s="1746">
        <f t="shared" si="8"/>
        <v>0</v>
      </c>
      <c r="S11" s="1747"/>
      <c r="T11" s="1747">
        <f>341*S11</f>
        <v>0</v>
      </c>
      <c r="U11" s="1747"/>
      <c r="V11" s="1747">
        <f t="shared" si="10"/>
        <v>0</v>
      </c>
      <c r="W11" s="1747"/>
      <c r="X11" s="19">
        <f t="shared" si="11"/>
        <v>0</v>
      </c>
      <c r="Y11" s="20">
        <f t="shared" si="1"/>
        <v>0</v>
      </c>
    </row>
    <row r="12" spans="1:25" ht="29.25" customHeight="1" x14ac:dyDescent="0.25">
      <c r="A12" s="2235" t="s">
        <v>31</v>
      </c>
      <c r="B12" s="2235"/>
      <c r="C12" s="18">
        <f t="shared" ref="C12:X12" si="12">SUM(C6:C11)</f>
        <v>166611</v>
      </c>
      <c r="D12" s="18">
        <f t="shared" si="12"/>
        <v>162029.19750000001</v>
      </c>
      <c r="E12" s="18">
        <f t="shared" si="12"/>
        <v>0</v>
      </c>
      <c r="F12" s="18">
        <f t="shared" si="12"/>
        <v>0</v>
      </c>
      <c r="G12" s="18">
        <f t="shared" si="12"/>
        <v>0</v>
      </c>
      <c r="H12" s="18">
        <f t="shared" si="12"/>
        <v>0</v>
      </c>
      <c r="I12" s="18">
        <f t="shared" si="12"/>
        <v>0</v>
      </c>
      <c r="J12" s="18">
        <f t="shared" si="12"/>
        <v>0</v>
      </c>
      <c r="K12" s="18">
        <f t="shared" si="12"/>
        <v>0</v>
      </c>
      <c r="L12" s="18">
        <f t="shared" si="12"/>
        <v>0</v>
      </c>
      <c r="M12" s="18">
        <f t="shared" si="12"/>
        <v>0</v>
      </c>
      <c r="N12" s="23">
        <f t="shared" si="12"/>
        <v>0</v>
      </c>
      <c r="O12" s="18">
        <f t="shared" si="12"/>
        <v>0</v>
      </c>
      <c r="P12" s="23">
        <f t="shared" si="12"/>
        <v>0</v>
      </c>
      <c r="Q12" s="23">
        <f t="shared" si="12"/>
        <v>0</v>
      </c>
      <c r="R12" s="23">
        <f>SUM(R6:R11)</f>
        <v>0</v>
      </c>
      <c r="S12" s="23">
        <f>SUM(S6:S11)</f>
        <v>0</v>
      </c>
      <c r="T12" s="18">
        <f t="shared" si="12"/>
        <v>0</v>
      </c>
      <c r="U12" s="18">
        <f t="shared" si="12"/>
        <v>5</v>
      </c>
      <c r="V12" s="18">
        <f t="shared" si="12"/>
        <v>1660</v>
      </c>
      <c r="W12" s="18">
        <f t="shared" si="12"/>
        <v>0</v>
      </c>
      <c r="X12" s="18">
        <f t="shared" si="12"/>
        <v>0</v>
      </c>
      <c r="Y12" s="20">
        <f t="shared" si="1"/>
        <v>163689.19750000001</v>
      </c>
    </row>
    <row r="14" spans="1:25" ht="43.5" customHeight="1" x14ac:dyDescent="0.25">
      <c r="A14" s="30" t="s">
        <v>32</v>
      </c>
      <c r="B14" s="2236" t="s">
        <v>27</v>
      </c>
      <c r="C14" s="2236"/>
      <c r="D14" s="30" t="s">
        <v>333</v>
      </c>
      <c r="E14" s="30" t="s">
        <v>65</v>
      </c>
      <c r="F14" s="30" t="s">
        <v>34</v>
      </c>
      <c r="G14" s="30" t="s">
        <v>14</v>
      </c>
      <c r="H14" s="469" t="s">
        <v>173</v>
      </c>
      <c r="I14" s="30" t="s">
        <v>17</v>
      </c>
      <c r="J14" s="1755" t="s">
        <v>174</v>
      </c>
      <c r="K14" s="30" t="s">
        <v>36</v>
      </c>
      <c r="L14" s="1755" t="s">
        <v>403</v>
      </c>
      <c r="M14" s="30" t="s">
        <v>429</v>
      </c>
      <c r="N14" s="30" t="s">
        <v>442</v>
      </c>
      <c r="O14" s="1755" t="s">
        <v>114</v>
      </c>
      <c r="P14" s="30" t="s">
        <v>70</v>
      </c>
      <c r="Q14" s="2300" t="s">
        <v>479</v>
      </c>
      <c r="R14" s="2301"/>
      <c r="S14" s="1755" t="s">
        <v>401</v>
      </c>
      <c r="T14" s="2235" t="s">
        <v>46</v>
      </c>
      <c r="U14" s="1749" t="s">
        <v>176</v>
      </c>
      <c r="V14" s="2260">
        <v>3195</v>
      </c>
      <c r="W14" s="2268"/>
      <c r="X14" s="2261"/>
    </row>
    <row r="15" spans="1:25" ht="22.5" customHeight="1" x14ac:dyDescent="0.25">
      <c r="A15" s="100" t="s">
        <v>38</v>
      </c>
      <c r="B15" s="2260">
        <v>562641</v>
      </c>
      <c r="C15" s="2261"/>
      <c r="D15" s="1752">
        <v>0</v>
      </c>
      <c r="E15" s="1752">
        <v>0</v>
      </c>
      <c r="F15" s="1752">
        <v>2500</v>
      </c>
      <c r="G15" s="1752">
        <v>0</v>
      </c>
      <c r="H15" s="1752">
        <v>38</v>
      </c>
      <c r="I15" s="1752">
        <v>5</v>
      </c>
      <c r="J15" s="1752">
        <v>4</v>
      </c>
      <c r="K15" s="1752">
        <v>66</v>
      </c>
      <c r="L15" s="1752">
        <v>0</v>
      </c>
      <c r="M15" s="1752">
        <v>0</v>
      </c>
      <c r="N15" s="1752">
        <v>0</v>
      </c>
      <c r="O15" s="1752">
        <v>0</v>
      </c>
      <c r="P15" s="1752">
        <v>100</v>
      </c>
      <c r="Q15" s="2260">
        <v>10</v>
      </c>
      <c r="R15" s="2261"/>
      <c r="S15" s="1749">
        <v>2</v>
      </c>
      <c r="T15" s="2235"/>
      <c r="U15" s="1749" t="s">
        <v>64</v>
      </c>
      <c r="V15" s="2262">
        <v>9339</v>
      </c>
      <c r="W15" s="2262"/>
      <c r="X15" s="2262"/>
    </row>
    <row r="16" spans="1:25" ht="24.75" customHeight="1" x14ac:dyDescent="0.25">
      <c r="A16" s="100" t="s">
        <v>39</v>
      </c>
      <c r="B16" s="2260">
        <v>103896</v>
      </c>
      <c r="C16" s="2261"/>
      <c r="D16" s="1752"/>
      <c r="E16" s="1752"/>
      <c r="F16" s="1752"/>
      <c r="G16" s="1752"/>
      <c r="H16" s="1752"/>
      <c r="I16" s="1752"/>
      <c r="J16" s="1752"/>
      <c r="K16" s="1752"/>
      <c r="L16" s="1752"/>
      <c r="M16" s="1752"/>
      <c r="N16" s="1752"/>
      <c r="O16" s="1752"/>
      <c r="P16" s="1752"/>
      <c r="Q16" s="2262"/>
      <c r="R16" s="2262"/>
      <c r="S16" s="1752"/>
      <c r="T16" s="2254" t="s">
        <v>55</v>
      </c>
      <c r="U16" s="2254"/>
      <c r="V16" s="2267">
        <f>Y12</f>
        <v>163689.19750000001</v>
      </c>
      <c r="W16" s="2267"/>
      <c r="X16" s="2262"/>
    </row>
    <row r="17" spans="1:25" ht="28.5" customHeight="1" x14ac:dyDescent="0.25">
      <c r="A17" s="101" t="s">
        <v>44</v>
      </c>
      <c r="B17" s="2260"/>
      <c r="C17" s="2261"/>
      <c r="D17" s="1752"/>
      <c r="E17" s="1752"/>
      <c r="F17" s="1752"/>
      <c r="G17" s="1752"/>
      <c r="H17" s="1752"/>
      <c r="I17" s="1752"/>
      <c r="J17" s="1752"/>
      <c r="K17" s="1752"/>
      <c r="L17" s="1752"/>
      <c r="M17" s="1752"/>
      <c r="N17" s="1752"/>
      <c r="O17" s="1752"/>
      <c r="P17" s="1752"/>
      <c r="Q17" s="2225"/>
      <c r="R17" s="2225"/>
      <c r="S17" s="1748"/>
      <c r="T17" s="2294" t="s">
        <v>521</v>
      </c>
      <c r="U17" s="2295"/>
      <c r="V17" s="2296"/>
      <c r="W17" s="2296"/>
      <c r="X17" s="2296"/>
    </row>
    <row r="18" spans="1:25" ht="27" customHeight="1" x14ac:dyDescent="0.25">
      <c r="A18" s="100" t="s">
        <v>40</v>
      </c>
      <c r="B18" s="2264">
        <f>C12</f>
        <v>166611</v>
      </c>
      <c r="C18" s="2261"/>
      <c r="D18" s="1754">
        <f>E12</f>
        <v>0</v>
      </c>
      <c r="E18" s="1754">
        <f>G12</f>
        <v>0</v>
      </c>
      <c r="F18" s="1754">
        <f>I12</f>
        <v>0</v>
      </c>
      <c r="G18" s="1754">
        <f>K12</f>
        <v>0</v>
      </c>
      <c r="H18" s="1752"/>
      <c r="I18" s="1754">
        <f>U12</f>
        <v>5</v>
      </c>
      <c r="J18" s="1752"/>
      <c r="K18" s="1754">
        <f>W12</f>
        <v>0</v>
      </c>
      <c r="L18" s="1752"/>
      <c r="M18" s="1754">
        <f>M12</f>
        <v>0</v>
      </c>
      <c r="N18" s="1754">
        <f>O12</f>
        <v>0</v>
      </c>
      <c r="O18" s="1753">
        <f>Q12</f>
        <v>0</v>
      </c>
      <c r="P18" s="1754"/>
      <c r="Q18" s="2262"/>
      <c r="R18" s="2262"/>
      <c r="S18" s="1749"/>
      <c r="T18" s="2254" t="s">
        <v>57</v>
      </c>
      <c r="U18" s="2254"/>
      <c r="V18" s="2262">
        <v>2780</v>
      </c>
      <c r="W18" s="2262"/>
      <c r="X18" s="2262"/>
      <c r="Y18" s="2269"/>
    </row>
    <row r="19" spans="1:25" ht="25.5" customHeight="1" x14ac:dyDescent="0.25">
      <c r="A19" s="100" t="s">
        <v>41</v>
      </c>
      <c r="B19" s="2260">
        <f>B15+B16+B17-B18</f>
        <v>499926</v>
      </c>
      <c r="C19" s="2261"/>
      <c r="D19" s="1752">
        <f>D15+D16+D17-D18</f>
        <v>0</v>
      </c>
      <c r="E19" s="1752">
        <f t="shared" ref="E19:N19" si="13">E15+E16+E17-E18</f>
        <v>0</v>
      </c>
      <c r="F19" s="1752">
        <f t="shared" si="13"/>
        <v>2500</v>
      </c>
      <c r="G19" s="1752">
        <f t="shared" si="13"/>
        <v>0</v>
      </c>
      <c r="H19" s="1752">
        <f t="shared" si="13"/>
        <v>38</v>
      </c>
      <c r="I19" s="1752">
        <f t="shared" si="13"/>
        <v>0</v>
      </c>
      <c r="J19" s="1752">
        <f t="shared" si="13"/>
        <v>4</v>
      </c>
      <c r="K19" s="1752">
        <f t="shared" si="13"/>
        <v>66</v>
      </c>
      <c r="L19" s="1752">
        <f t="shared" si="13"/>
        <v>0</v>
      </c>
      <c r="M19" s="1752">
        <f t="shared" si="13"/>
        <v>0</v>
      </c>
      <c r="N19" s="1752">
        <f t="shared" si="13"/>
        <v>0</v>
      </c>
      <c r="O19" s="1752">
        <f>O15+O16+O17-O18</f>
        <v>0</v>
      </c>
      <c r="P19" s="1752">
        <f t="shared" ref="P19:Q19" si="14">P15+P16+P17-P18</f>
        <v>100</v>
      </c>
      <c r="Q19" s="2260">
        <f t="shared" si="14"/>
        <v>10</v>
      </c>
      <c r="R19" s="2261"/>
      <c r="S19" s="1749">
        <f>S15+S16-S17-S18</f>
        <v>2</v>
      </c>
      <c r="T19" s="2256" t="s">
        <v>48</v>
      </c>
      <c r="U19" s="49" t="s">
        <v>58</v>
      </c>
      <c r="V19" s="2262">
        <v>121000</v>
      </c>
      <c r="W19" s="2262"/>
      <c r="X19" s="2262"/>
      <c r="Y19" s="2269"/>
    </row>
    <row r="20" spans="1:25" ht="23.25" customHeight="1" x14ac:dyDescent="0.25">
      <c r="A20" s="289" t="s">
        <v>187</v>
      </c>
      <c r="B20" s="2286">
        <f>B19*0.9625</f>
        <v>481178.77500000002</v>
      </c>
      <c r="C20" s="2287"/>
      <c r="D20" s="290">
        <f>D19*66.41</f>
        <v>0</v>
      </c>
      <c r="E20" s="290">
        <f>27.9368*E19</f>
        <v>0</v>
      </c>
      <c r="F20" s="290">
        <f>18.31*F19</f>
        <v>45775</v>
      </c>
      <c r="G20" s="290">
        <f>27.9368*G19</f>
        <v>0</v>
      </c>
      <c r="H20" s="290">
        <f>241*H19</f>
        <v>9158</v>
      </c>
      <c r="I20" s="290">
        <f>323*I19</f>
        <v>0</v>
      </c>
      <c r="J20" s="290">
        <f>241*J19</f>
        <v>964</v>
      </c>
      <c r="K20" s="290">
        <f>K19*100</f>
        <v>6600</v>
      </c>
      <c r="L20" s="290">
        <f>241*L19</f>
        <v>0</v>
      </c>
      <c r="M20" s="290">
        <f>47.1625*M19</f>
        <v>0</v>
      </c>
      <c r="N20" s="290">
        <f>N19*8.81</f>
        <v>0</v>
      </c>
      <c r="O20" s="290">
        <f>241*O19</f>
        <v>0</v>
      </c>
      <c r="P20" s="290">
        <f>P19*48.2</f>
        <v>4820</v>
      </c>
      <c r="Q20" s="2286">
        <f>470*Q19</f>
        <v>4700</v>
      </c>
      <c r="R20" s="2287"/>
      <c r="S20" s="290">
        <f>341*S19</f>
        <v>682</v>
      </c>
      <c r="T20" s="2257"/>
      <c r="U20" s="49" t="s">
        <v>59</v>
      </c>
      <c r="V20" s="2262"/>
      <c r="W20" s="2262"/>
      <c r="X20" s="2262"/>
      <c r="Y20" s="2269"/>
    </row>
    <row r="21" spans="1:25" ht="32.25" customHeight="1" x14ac:dyDescent="0.25">
      <c r="A21" s="291" t="s">
        <v>186</v>
      </c>
      <c r="B21" s="2293">
        <f>SUM(B20:S20)</f>
        <v>553877.77500000002</v>
      </c>
      <c r="C21" s="2293"/>
      <c r="O21" s="1756"/>
      <c r="P21" s="1756"/>
      <c r="Q21" s="1756"/>
      <c r="R21" s="1756"/>
      <c r="T21" s="2294" t="s">
        <v>518</v>
      </c>
      <c r="U21" s="2295"/>
      <c r="V21" s="2297"/>
      <c r="W21" s="2298"/>
      <c r="X21" s="2299"/>
      <c r="Y21" s="2269"/>
    </row>
    <row r="22" spans="1:25" ht="35.25" customHeight="1" x14ac:dyDescent="0.25">
      <c r="A22" s="15"/>
      <c r="B22" s="2288" t="s">
        <v>49</v>
      </c>
      <c r="C22" s="2291">
        <v>121000</v>
      </c>
      <c r="D22" s="2291">
        <v>121000</v>
      </c>
      <c r="E22" s="2291">
        <v>100000</v>
      </c>
      <c r="F22" s="2291">
        <f>C22-D22+E22</f>
        <v>100000</v>
      </c>
      <c r="G22" s="1756"/>
      <c r="Q22" s="1756"/>
      <c r="R22" s="1756"/>
      <c r="T22" s="2251" t="s">
        <v>83</v>
      </c>
      <c r="U22" s="50" t="s">
        <v>60</v>
      </c>
      <c r="V22" s="2262">
        <v>136750</v>
      </c>
      <c r="W22" s="2262"/>
      <c r="X22" s="2262"/>
      <c r="Y22" s="2269"/>
    </row>
    <row r="23" spans="1:25" ht="39.75" customHeight="1" x14ac:dyDescent="0.25">
      <c r="A23" s="1756"/>
      <c r="B23" s="2289"/>
      <c r="C23" s="2292"/>
      <c r="D23" s="2292"/>
      <c r="E23" s="2292"/>
      <c r="F23" s="2292"/>
      <c r="G23" s="1756"/>
      <c r="Q23" s="1756"/>
      <c r="R23" s="1756"/>
      <c r="T23" s="2252"/>
      <c r="U23" s="50" t="s">
        <v>61</v>
      </c>
      <c r="V23" s="2262">
        <v>121000</v>
      </c>
      <c r="W23" s="2262"/>
      <c r="X23" s="2262"/>
      <c r="Y23" s="2269"/>
    </row>
    <row r="24" spans="1:25" ht="48" customHeight="1" x14ac:dyDescent="0.25">
      <c r="A24" s="1756"/>
      <c r="B24" s="2290"/>
      <c r="C24" s="290" t="s">
        <v>46</v>
      </c>
      <c r="D24" s="290" t="s">
        <v>50</v>
      </c>
      <c r="E24" s="290" t="s">
        <v>51</v>
      </c>
      <c r="F24" s="290" t="s">
        <v>52</v>
      </c>
      <c r="G24" s="1756"/>
      <c r="Q24" s="1756"/>
      <c r="R24" s="1756"/>
      <c r="T24" s="2235" t="s">
        <v>47</v>
      </c>
      <c r="U24" s="51" t="s">
        <v>62</v>
      </c>
      <c r="V24" s="2263">
        <f>V14+V16+V17-V18-V19-V20-V22+V23-V21</f>
        <v>27354.197500000009</v>
      </c>
      <c r="W24" s="2263"/>
      <c r="X24" s="2263"/>
      <c r="Y24" s="2269"/>
    </row>
    <row r="25" spans="1:25" ht="40.5" customHeight="1" x14ac:dyDescent="0.25">
      <c r="T25" s="2235"/>
      <c r="U25" s="51" t="s">
        <v>63</v>
      </c>
      <c r="V25" s="2262">
        <f>V15+V22-V23</f>
        <v>25089</v>
      </c>
      <c r="W25" s="2262"/>
      <c r="X25" s="2262"/>
    </row>
    <row r="26" spans="1:25" ht="36" customHeight="1" x14ac:dyDescent="0.25">
      <c r="K26" s="314"/>
    </row>
    <row r="28" spans="1:25" x14ac:dyDescent="0.25">
      <c r="J28" s="14" t="s">
        <v>139</v>
      </c>
    </row>
    <row r="32" spans="1:25" x14ac:dyDescent="0.25">
      <c r="I32" s="2280"/>
      <c r="J32" s="2280"/>
      <c r="K32" s="2280"/>
      <c r="L32" s="2280"/>
    </row>
    <row r="33" spans="9:12" x14ac:dyDescent="0.25">
      <c r="I33" s="1756"/>
      <c r="J33" s="1756"/>
      <c r="K33" s="2280"/>
      <c r="L33" s="2280"/>
    </row>
  </sheetData>
  <mergeCells count="62">
    <mergeCell ref="A1:Y1"/>
    <mergeCell ref="A2:Y2"/>
    <mergeCell ref="T3:Y3"/>
    <mergeCell ref="A4:A5"/>
    <mergeCell ref="B4:B5"/>
    <mergeCell ref="C4:D4"/>
    <mergeCell ref="E4:F4"/>
    <mergeCell ref="G4:H4"/>
    <mergeCell ref="I4:J4"/>
    <mergeCell ref="K4:L4"/>
    <mergeCell ref="Y4:Y5"/>
    <mergeCell ref="M4:N4"/>
    <mergeCell ref="O4:P4"/>
    <mergeCell ref="Q4:R4"/>
    <mergeCell ref="S4:T4"/>
    <mergeCell ref="U4:V4"/>
    <mergeCell ref="W4:X4"/>
    <mergeCell ref="B16:C16"/>
    <mergeCell ref="Q16:R16"/>
    <mergeCell ref="T16:U16"/>
    <mergeCell ref="V16:X16"/>
    <mergeCell ref="A12:B12"/>
    <mergeCell ref="B14:C14"/>
    <mergeCell ref="Q14:R14"/>
    <mergeCell ref="T14:T15"/>
    <mergeCell ref="V14:X14"/>
    <mergeCell ref="B15:C15"/>
    <mergeCell ref="Q15:R15"/>
    <mergeCell ref="V15:X15"/>
    <mergeCell ref="B17:C17"/>
    <mergeCell ref="Q17:R17"/>
    <mergeCell ref="T17:U17"/>
    <mergeCell ref="V17:X17"/>
    <mergeCell ref="B18:C18"/>
    <mergeCell ref="Q18:R18"/>
    <mergeCell ref="T18:U18"/>
    <mergeCell ref="V18:X18"/>
    <mergeCell ref="Y18:Y24"/>
    <mergeCell ref="B19:C19"/>
    <mergeCell ref="Q19:R19"/>
    <mergeCell ref="T19:T20"/>
    <mergeCell ref="V19:X19"/>
    <mergeCell ref="B20:C20"/>
    <mergeCell ref="B22:B24"/>
    <mergeCell ref="C22:C23"/>
    <mergeCell ref="D22:D23"/>
    <mergeCell ref="E22:E23"/>
    <mergeCell ref="F22:F23"/>
    <mergeCell ref="Q20:R20"/>
    <mergeCell ref="V20:X20"/>
    <mergeCell ref="B21:C21"/>
    <mergeCell ref="T21:U21"/>
    <mergeCell ref="V21:X21"/>
    <mergeCell ref="I32:J32"/>
    <mergeCell ref="K32:L32"/>
    <mergeCell ref="K33:L33"/>
    <mergeCell ref="T22:T23"/>
    <mergeCell ref="V22:X22"/>
    <mergeCell ref="V23:X23"/>
    <mergeCell ref="T24:T25"/>
    <mergeCell ref="V24:X24"/>
    <mergeCell ref="V25:X25"/>
  </mergeCells>
  <pageMargins left="0.15748031496063" right="0.15748031496063" top="0" bottom="0" header="0" footer="0"/>
  <pageSetup paperSize="9" scale="46" orientation="landscape" r:id="rId1"/>
</worksheet>
</file>

<file path=xl/worksheets/sheet28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6F268D6-8CCB-434C-93ED-FEBD316A6955}">
  <sheetPr>
    <pageSetUpPr fitToPage="1"/>
  </sheetPr>
  <dimension ref="A1:Y33"/>
  <sheetViews>
    <sheetView topLeftCell="A8" zoomScale="70" zoomScaleNormal="70" zoomScaleSheetLayoutView="100" zoomScalePageLayoutView="68" workbookViewId="0">
      <selection activeCell="L24" sqref="L24"/>
    </sheetView>
  </sheetViews>
  <sheetFormatPr defaultColWidth="9.140625" defaultRowHeight="15" x14ac:dyDescent="0.25"/>
  <cols>
    <col min="1" max="1" width="18.28515625" style="14" customWidth="1"/>
    <col min="2" max="2" width="10.7109375" style="14" customWidth="1"/>
    <col min="3" max="3" width="12.28515625" style="14" customWidth="1"/>
    <col min="4" max="4" width="13.140625" style="14" bestFit="1" customWidth="1"/>
    <col min="5" max="5" width="12" style="14" customWidth="1"/>
    <col min="6" max="6" width="14" style="14" bestFit="1" customWidth="1"/>
    <col min="7" max="7" width="16" style="14" bestFit="1" customWidth="1"/>
    <col min="8" max="8" width="10.140625" style="14" bestFit="1" customWidth="1"/>
    <col min="9" max="9" width="10.5703125" style="14" bestFit="1" customWidth="1"/>
    <col min="10" max="10" width="10.5703125" style="14" customWidth="1"/>
    <col min="11" max="11" width="10.28515625" style="14" bestFit="1" customWidth="1"/>
    <col min="12" max="12" width="10.42578125" style="14" bestFit="1" customWidth="1"/>
    <col min="13" max="14" width="12" style="14" bestFit="1" customWidth="1"/>
    <col min="15" max="15" width="11" style="14" customWidth="1"/>
    <col min="16" max="16" width="12.85546875" style="14" bestFit="1" customWidth="1"/>
    <col min="17" max="18" width="9.42578125" style="14" customWidth="1"/>
    <col min="19" max="19" width="13.7109375" style="14" customWidth="1"/>
    <col min="20" max="20" width="12.140625" style="14" customWidth="1"/>
    <col min="21" max="21" width="21.7109375" style="14" customWidth="1"/>
    <col min="22" max="22" width="9.85546875" style="14" customWidth="1"/>
    <col min="23" max="23" width="10.140625" style="14" bestFit="1" customWidth="1"/>
    <col min="24" max="24" width="10.28515625" style="14" customWidth="1"/>
    <col min="25" max="25" width="15.7109375" style="14" customWidth="1"/>
    <col min="26" max="16384" width="9.140625" style="14"/>
  </cols>
  <sheetData>
    <row r="1" spans="1:25" ht="46.15" customHeight="1" x14ac:dyDescent="0.25">
      <c r="A1" s="2240" t="s">
        <v>148</v>
      </c>
      <c r="B1" s="2240"/>
      <c r="C1" s="2240"/>
      <c r="D1" s="2240"/>
      <c r="E1" s="2240"/>
      <c r="F1" s="2240"/>
      <c r="G1" s="2240"/>
      <c r="H1" s="2240"/>
      <c r="I1" s="2240"/>
      <c r="J1" s="2240"/>
      <c r="K1" s="2240"/>
      <c r="L1" s="2240"/>
      <c r="M1" s="2240"/>
      <c r="N1" s="2240"/>
      <c r="O1" s="2240"/>
      <c r="P1" s="2240"/>
      <c r="Q1" s="2240"/>
      <c r="R1" s="2240"/>
      <c r="S1" s="2240"/>
      <c r="T1" s="2240"/>
      <c r="U1" s="2240"/>
      <c r="V1" s="2240"/>
      <c r="W1" s="2240"/>
      <c r="X1" s="2240"/>
      <c r="Y1" s="2240"/>
    </row>
    <row r="2" spans="1:25" ht="21.6" customHeight="1" x14ac:dyDescent="0.25">
      <c r="A2" s="2241" t="s">
        <v>383</v>
      </c>
      <c r="B2" s="2241"/>
      <c r="C2" s="2241"/>
      <c r="D2" s="2241"/>
      <c r="E2" s="2241"/>
      <c r="F2" s="2241"/>
      <c r="G2" s="2241"/>
      <c r="H2" s="2241"/>
      <c r="I2" s="2241"/>
      <c r="J2" s="2241"/>
      <c r="K2" s="2241"/>
      <c r="L2" s="2241"/>
      <c r="M2" s="2241"/>
      <c r="N2" s="2241"/>
      <c r="O2" s="2241"/>
      <c r="P2" s="2241"/>
      <c r="Q2" s="2241"/>
      <c r="R2" s="2241"/>
      <c r="S2" s="2241"/>
      <c r="T2" s="2241"/>
      <c r="U2" s="2241"/>
      <c r="V2" s="2241"/>
      <c r="W2" s="2241"/>
      <c r="X2" s="2241"/>
      <c r="Y2" s="2241"/>
    </row>
    <row r="3" spans="1:25" ht="21" customHeight="1" x14ac:dyDescent="0.25">
      <c r="A3" s="1757"/>
      <c r="B3" s="1757"/>
      <c r="C3" s="1757"/>
      <c r="D3" s="1757"/>
      <c r="E3" s="1757"/>
      <c r="F3" s="1757"/>
      <c r="G3" s="1757"/>
      <c r="H3" s="1757"/>
      <c r="I3" s="1757"/>
      <c r="J3" s="1757"/>
      <c r="K3" s="1757"/>
      <c r="L3" s="1757"/>
      <c r="M3" s="1757"/>
      <c r="N3" s="1757"/>
      <c r="O3" s="1757"/>
      <c r="P3" s="1757"/>
      <c r="Q3" s="1757"/>
      <c r="R3" s="1757"/>
      <c r="S3" s="1757"/>
      <c r="T3" s="2242" t="s">
        <v>534</v>
      </c>
      <c r="U3" s="2242"/>
      <c r="V3" s="2242"/>
      <c r="W3" s="2242"/>
      <c r="X3" s="2242"/>
      <c r="Y3" s="2242"/>
    </row>
    <row r="4" spans="1:25" s="1757" customFormat="1" ht="18" customHeight="1" x14ac:dyDescent="0.25">
      <c r="A4" s="2243" t="s">
        <v>25</v>
      </c>
      <c r="B4" s="2243" t="s">
        <v>26</v>
      </c>
      <c r="C4" s="2244" t="s">
        <v>27</v>
      </c>
      <c r="D4" s="2244"/>
      <c r="E4" s="2244" t="s">
        <v>342</v>
      </c>
      <c r="F4" s="2244"/>
      <c r="G4" s="2244" t="s">
        <v>65</v>
      </c>
      <c r="H4" s="2244"/>
      <c r="I4" s="2244" t="s">
        <v>29</v>
      </c>
      <c r="J4" s="2244"/>
      <c r="K4" s="2245" t="s">
        <v>14</v>
      </c>
      <c r="L4" s="2246"/>
      <c r="M4" s="2245" t="s">
        <v>429</v>
      </c>
      <c r="N4" s="2246"/>
      <c r="O4" s="2245" t="s">
        <v>441</v>
      </c>
      <c r="P4" s="2246"/>
      <c r="Q4" s="2245" t="s">
        <v>114</v>
      </c>
      <c r="R4" s="2246"/>
      <c r="S4" s="2244" t="s">
        <v>35</v>
      </c>
      <c r="T4" s="2244"/>
      <c r="U4" s="2245" t="s">
        <v>17</v>
      </c>
      <c r="V4" s="2246"/>
      <c r="W4" s="2247" t="s">
        <v>36</v>
      </c>
      <c r="X4" s="2248"/>
      <c r="Y4" s="2238" t="s">
        <v>30</v>
      </c>
    </row>
    <row r="5" spans="1:25" s="1757" customFormat="1" ht="25.5" customHeight="1" x14ac:dyDescent="0.25">
      <c r="A5" s="2243"/>
      <c r="B5" s="2243"/>
      <c r="C5" s="1759" t="s">
        <v>42</v>
      </c>
      <c r="D5" s="1759" t="s">
        <v>43</v>
      </c>
      <c r="E5" s="1759" t="s">
        <v>42</v>
      </c>
      <c r="F5" s="1759" t="s">
        <v>43</v>
      </c>
      <c r="G5" s="1759" t="s">
        <v>42</v>
      </c>
      <c r="H5" s="1759" t="s">
        <v>43</v>
      </c>
      <c r="I5" s="1759" t="s">
        <v>42</v>
      </c>
      <c r="J5" s="1759" t="s">
        <v>43</v>
      </c>
      <c r="K5" s="1759" t="s">
        <v>42</v>
      </c>
      <c r="L5" s="1759" t="s">
        <v>43</v>
      </c>
      <c r="M5" s="1759" t="s">
        <v>42</v>
      </c>
      <c r="N5" s="1759" t="s">
        <v>43</v>
      </c>
      <c r="O5" s="1759" t="s">
        <v>42</v>
      </c>
      <c r="P5" s="1759" t="s">
        <v>43</v>
      </c>
      <c r="Q5" s="1759" t="s">
        <v>42</v>
      </c>
      <c r="R5" s="1759" t="s">
        <v>43</v>
      </c>
      <c r="S5" s="33" t="s">
        <v>42</v>
      </c>
      <c r="T5" s="33" t="s">
        <v>43</v>
      </c>
      <c r="U5" s="30" t="s">
        <v>42</v>
      </c>
      <c r="V5" s="30" t="s">
        <v>43</v>
      </c>
      <c r="W5" s="30" t="s">
        <v>42</v>
      </c>
      <c r="X5" s="30" t="s">
        <v>43</v>
      </c>
      <c r="Y5" s="2239"/>
    </row>
    <row r="6" spans="1:25" ht="34.5" customHeight="1" x14ac:dyDescent="0.25">
      <c r="A6" s="12">
        <v>1409935200</v>
      </c>
      <c r="B6" s="1758" t="s">
        <v>71</v>
      </c>
      <c r="C6" s="1761">
        <v>26927</v>
      </c>
      <c r="D6" s="1762">
        <f t="shared" ref="D6:D11" si="0">0.9725*C6</f>
        <v>26186.5075</v>
      </c>
      <c r="E6" s="1761"/>
      <c r="F6" s="1762">
        <f>67.1*E6</f>
        <v>0</v>
      </c>
      <c r="G6" s="1761"/>
      <c r="H6" s="1761">
        <f>28.2*G6</f>
        <v>0</v>
      </c>
      <c r="I6" s="1761"/>
      <c r="J6" s="1761">
        <f>18.5*I6</f>
        <v>0</v>
      </c>
      <c r="K6" s="1761"/>
      <c r="L6" s="1762">
        <f>28.2368*K6</f>
        <v>0</v>
      </c>
      <c r="M6" s="1761"/>
      <c r="N6" s="1762">
        <f>M6*47.6525</f>
        <v>0</v>
      </c>
      <c r="O6" s="1761"/>
      <c r="P6" s="1762">
        <f>O6*8.9</f>
        <v>0</v>
      </c>
      <c r="Q6" s="1762"/>
      <c r="R6" s="1762">
        <f>241*Q6</f>
        <v>0</v>
      </c>
      <c r="S6" s="1761"/>
      <c r="T6" s="1761">
        <f>241*S6</f>
        <v>0</v>
      </c>
      <c r="U6" s="1761"/>
      <c r="V6" s="1761">
        <f>332*U6</f>
        <v>0</v>
      </c>
      <c r="W6" s="1761"/>
      <c r="X6" s="19">
        <f>W6*100</f>
        <v>0</v>
      </c>
      <c r="Y6" s="20">
        <f t="shared" ref="Y6:Y12" si="1">D6+F6+H6+J6+L6+N6+P6+R6+T6+V6+X6</f>
        <v>26186.5075</v>
      </c>
    </row>
    <row r="7" spans="1:25" ht="31.5" customHeight="1" x14ac:dyDescent="0.25">
      <c r="A7" s="12">
        <v>1984225578</v>
      </c>
      <c r="B7" s="1758" t="s">
        <v>509</v>
      </c>
      <c r="C7" s="1761">
        <v>35847</v>
      </c>
      <c r="D7" s="1762">
        <f t="shared" si="0"/>
        <v>34861.207500000004</v>
      </c>
      <c r="E7" s="1761"/>
      <c r="F7" s="1761">
        <f t="shared" ref="F7:F11" si="2">67.1*E7</f>
        <v>0</v>
      </c>
      <c r="G7" s="1761"/>
      <c r="H7" s="1761">
        <f t="shared" ref="H7:H11" si="3">28.2*G7</f>
        <v>0</v>
      </c>
      <c r="I7" s="1761"/>
      <c r="J7" s="1761">
        <f t="shared" ref="J7:J11" si="4">18.5*I7</f>
        <v>0</v>
      </c>
      <c r="K7" s="1761"/>
      <c r="L7" s="1762">
        <f t="shared" ref="L7:L11" si="5">28.2368*K7</f>
        <v>0</v>
      </c>
      <c r="M7" s="1761"/>
      <c r="N7" s="1762">
        <f t="shared" ref="N7:N11" si="6">M7*47.6525</f>
        <v>0</v>
      </c>
      <c r="O7" s="1761"/>
      <c r="P7" s="1762">
        <f t="shared" ref="P7:P11" si="7">O7*8.9</f>
        <v>0</v>
      </c>
      <c r="Q7" s="1762"/>
      <c r="R7" s="1762">
        <f t="shared" ref="R7:R11" si="8">241*Q7</f>
        <v>0</v>
      </c>
      <c r="S7" s="1761"/>
      <c r="T7" s="1761">
        <f t="shared" ref="T7:T10" si="9">241*S7</f>
        <v>0</v>
      </c>
      <c r="U7" s="1761"/>
      <c r="V7" s="1761">
        <f t="shared" ref="V7:V11" si="10">332*U7</f>
        <v>0</v>
      </c>
      <c r="W7" s="1761"/>
      <c r="X7" s="19">
        <f t="shared" ref="X7:X11" si="11">W7*100</f>
        <v>0</v>
      </c>
      <c r="Y7" s="20">
        <f t="shared" si="1"/>
        <v>34861.207500000004</v>
      </c>
    </row>
    <row r="8" spans="1:25" ht="35.25" customHeight="1" x14ac:dyDescent="0.25">
      <c r="A8" s="12">
        <v>1967020280</v>
      </c>
      <c r="B8" s="1758" t="s">
        <v>427</v>
      </c>
      <c r="C8" s="1761">
        <v>24256</v>
      </c>
      <c r="D8" s="1762">
        <f t="shared" si="0"/>
        <v>23588.959999999999</v>
      </c>
      <c r="E8" s="1761"/>
      <c r="F8" s="1761">
        <f t="shared" si="2"/>
        <v>0</v>
      </c>
      <c r="G8" s="1761"/>
      <c r="H8" s="1762">
        <f t="shared" si="3"/>
        <v>0</v>
      </c>
      <c r="I8" s="1761"/>
      <c r="J8" s="1761">
        <f t="shared" si="4"/>
        <v>0</v>
      </c>
      <c r="K8" s="1761"/>
      <c r="L8" s="1762">
        <f t="shared" si="5"/>
        <v>0</v>
      </c>
      <c r="M8" s="1761"/>
      <c r="N8" s="1762">
        <f t="shared" si="6"/>
        <v>0</v>
      </c>
      <c r="O8" s="1761"/>
      <c r="P8" s="1762">
        <f t="shared" si="7"/>
        <v>0</v>
      </c>
      <c r="Q8" s="1762"/>
      <c r="R8" s="1762">
        <f t="shared" si="8"/>
        <v>0</v>
      </c>
      <c r="S8" s="1761"/>
      <c r="T8" s="1761">
        <f t="shared" si="9"/>
        <v>0</v>
      </c>
      <c r="U8" s="1761"/>
      <c r="V8" s="1761">
        <f t="shared" si="10"/>
        <v>0</v>
      </c>
      <c r="W8" s="1761"/>
      <c r="X8" s="19">
        <f t="shared" si="11"/>
        <v>0</v>
      </c>
      <c r="Y8" s="20">
        <f t="shared" si="1"/>
        <v>23588.959999999999</v>
      </c>
    </row>
    <row r="9" spans="1:25" ht="38.25" customHeight="1" x14ac:dyDescent="0.25">
      <c r="A9" s="12">
        <v>1984225580</v>
      </c>
      <c r="B9" s="1758" t="s">
        <v>75</v>
      </c>
      <c r="C9" s="1761">
        <v>36158</v>
      </c>
      <c r="D9" s="1762">
        <f t="shared" si="0"/>
        <v>35163.654999999999</v>
      </c>
      <c r="E9" s="1761"/>
      <c r="F9" s="1761">
        <f t="shared" si="2"/>
        <v>0</v>
      </c>
      <c r="G9" s="1761"/>
      <c r="H9" s="1761">
        <f t="shared" si="3"/>
        <v>0</v>
      </c>
      <c r="I9" s="1761"/>
      <c r="J9" s="1761">
        <f t="shared" si="4"/>
        <v>0</v>
      </c>
      <c r="K9" s="1761"/>
      <c r="L9" s="1762">
        <f t="shared" si="5"/>
        <v>0</v>
      </c>
      <c r="M9" s="1761"/>
      <c r="N9" s="1762">
        <f t="shared" si="6"/>
        <v>0</v>
      </c>
      <c r="O9" s="1761"/>
      <c r="P9" s="1762">
        <f t="shared" si="7"/>
        <v>0</v>
      </c>
      <c r="Q9" s="1762"/>
      <c r="R9" s="1762">
        <f t="shared" si="8"/>
        <v>0</v>
      </c>
      <c r="S9" s="1761"/>
      <c r="T9" s="1761">
        <f t="shared" si="9"/>
        <v>0</v>
      </c>
      <c r="U9" s="1761"/>
      <c r="V9" s="1761">
        <f t="shared" si="10"/>
        <v>0</v>
      </c>
      <c r="W9" s="1761"/>
      <c r="X9" s="19">
        <f t="shared" si="11"/>
        <v>0</v>
      </c>
      <c r="Y9" s="20">
        <f t="shared" si="1"/>
        <v>35163.654999999999</v>
      </c>
    </row>
    <row r="10" spans="1:25" ht="35.25" customHeight="1" x14ac:dyDescent="0.25">
      <c r="A10" s="12">
        <v>1409935199</v>
      </c>
      <c r="C10" s="1761"/>
      <c r="D10" s="1762">
        <f t="shared" si="0"/>
        <v>0</v>
      </c>
      <c r="E10" s="1761"/>
      <c r="F10" s="1761">
        <f t="shared" si="2"/>
        <v>0</v>
      </c>
      <c r="G10" s="1761"/>
      <c r="H10" s="1761">
        <f t="shared" si="3"/>
        <v>0</v>
      </c>
      <c r="I10" s="1761"/>
      <c r="J10" s="1761">
        <f t="shared" si="4"/>
        <v>0</v>
      </c>
      <c r="K10" s="1761"/>
      <c r="L10" s="1762">
        <f t="shared" si="5"/>
        <v>0</v>
      </c>
      <c r="M10" s="1761"/>
      <c r="N10" s="1762">
        <f t="shared" si="6"/>
        <v>0</v>
      </c>
      <c r="O10" s="1761"/>
      <c r="P10" s="1762">
        <f t="shared" si="7"/>
        <v>0</v>
      </c>
      <c r="Q10" s="1762"/>
      <c r="R10" s="1762">
        <f t="shared" si="8"/>
        <v>0</v>
      </c>
      <c r="S10" s="1761"/>
      <c r="T10" s="1761">
        <f t="shared" si="9"/>
        <v>0</v>
      </c>
      <c r="U10" s="1761"/>
      <c r="V10" s="1761">
        <f t="shared" si="10"/>
        <v>0</v>
      </c>
      <c r="W10" s="1761"/>
      <c r="X10" s="19">
        <f t="shared" si="11"/>
        <v>0</v>
      </c>
      <c r="Y10" s="20">
        <f t="shared" si="1"/>
        <v>0</v>
      </c>
    </row>
    <row r="11" spans="1:25" ht="37.5" customHeight="1" x14ac:dyDescent="0.25">
      <c r="A11" s="12"/>
      <c r="B11" s="1760"/>
      <c r="C11" s="1761"/>
      <c r="D11" s="1762">
        <f t="shared" si="0"/>
        <v>0</v>
      </c>
      <c r="E11" s="1761"/>
      <c r="F11" s="1761">
        <f t="shared" si="2"/>
        <v>0</v>
      </c>
      <c r="G11" s="1761"/>
      <c r="H11" s="1761">
        <f t="shared" si="3"/>
        <v>0</v>
      </c>
      <c r="I11" s="1761"/>
      <c r="J11" s="1761">
        <f t="shared" si="4"/>
        <v>0</v>
      </c>
      <c r="K11" s="1761"/>
      <c r="L11" s="1762">
        <f t="shared" si="5"/>
        <v>0</v>
      </c>
      <c r="M11" s="1761"/>
      <c r="N11" s="1762">
        <f t="shared" si="6"/>
        <v>0</v>
      </c>
      <c r="O11" s="1761"/>
      <c r="P11" s="1762">
        <f t="shared" si="7"/>
        <v>0</v>
      </c>
      <c r="Q11" s="1762"/>
      <c r="R11" s="1762">
        <f t="shared" si="8"/>
        <v>0</v>
      </c>
      <c r="S11" s="1761"/>
      <c r="T11" s="1761">
        <f>341*S11</f>
        <v>0</v>
      </c>
      <c r="U11" s="1761"/>
      <c r="V11" s="1761">
        <f t="shared" si="10"/>
        <v>0</v>
      </c>
      <c r="W11" s="1761"/>
      <c r="X11" s="19">
        <f t="shared" si="11"/>
        <v>0</v>
      </c>
      <c r="Y11" s="20">
        <f t="shared" si="1"/>
        <v>0</v>
      </c>
    </row>
    <row r="12" spans="1:25" ht="29.25" customHeight="1" x14ac:dyDescent="0.25">
      <c r="A12" s="2235" t="s">
        <v>31</v>
      </c>
      <c r="B12" s="2235"/>
      <c r="C12" s="18">
        <f t="shared" ref="C12:X12" si="12">SUM(C6:C11)</f>
        <v>123188</v>
      </c>
      <c r="D12" s="18">
        <f t="shared" si="12"/>
        <v>119800.33</v>
      </c>
      <c r="E12" s="18">
        <f t="shared" si="12"/>
        <v>0</v>
      </c>
      <c r="F12" s="18">
        <f t="shared" si="12"/>
        <v>0</v>
      </c>
      <c r="G12" s="18">
        <f t="shared" si="12"/>
        <v>0</v>
      </c>
      <c r="H12" s="18">
        <f t="shared" si="12"/>
        <v>0</v>
      </c>
      <c r="I12" s="18">
        <f t="shared" si="12"/>
        <v>0</v>
      </c>
      <c r="J12" s="18">
        <f t="shared" si="12"/>
        <v>0</v>
      </c>
      <c r="K12" s="18">
        <f t="shared" si="12"/>
        <v>0</v>
      </c>
      <c r="L12" s="18">
        <f t="shared" si="12"/>
        <v>0</v>
      </c>
      <c r="M12" s="18">
        <f t="shared" si="12"/>
        <v>0</v>
      </c>
      <c r="N12" s="23">
        <f t="shared" si="12"/>
        <v>0</v>
      </c>
      <c r="O12" s="18">
        <f t="shared" si="12"/>
        <v>0</v>
      </c>
      <c r="P12" s="23">
        <f t="shared" si="12"/>
        <v>0</v>
      </c>
      <c r="Q12" s="23">
        <f t="shared" si="12"/>
        <v>0</v>
      </c>
      <c r="R12" s="23">
        <f>SUM(R6:R11)</f>
        <v>0</v>
      </c>
      <c r="S12" s="23">
        <f>SUM(S6:S11)</f>
        <v>0</v>
      </c>
      <c r="T12" s="18">
        <f t="shared" si="12"/>
        <v>0</v>
      </c>
      <c r="U12" s="18">
        <f t="shared" si="12"/>
        <v>0</v>
      </c>
      <c r="V12" s="18">
        <f t="shared" si="12"/>
        <v>0</v>
      </c>
      <c r="W12" s="18">
        <f t="shared" si="12"/>
        <v>0</v>
      </c>
      <c r="X12" s="18">
        <f t="shared" si="12"/>
        <v>0</v>
      </c>
      <c r="Y12" s="20">
        <f t="shared" si="1"/>
        <v>119800.33</v>
      </c>
    </row>
    <row r="14" spans="1:25" ht="43.5" customHeight="1" x14ac:dyDescent="0.25">
      <c r="A14" s="30" t="s">
        <v>32</v>
      </c>
      <c r="B14" s="2236" t="s">
        <v>27</v>
      </c>
      <c r="C14" s="2236"/>
      <c r="D14" s="30" t="s">
        <v>333</v>
      </c>
      <c r="E14" s="30" t="s">
        <v>65</v>
      </c>
      <c r="F14" s="30" t="s">
        <v>34</v>
      </c>
      <c r="G14" s="30" t="s">
        <v>14</v>
      </c>
      <c r="H14" s="469" t="s">
        <v>173</v>
      </c>
      <c r="I14" s="30" t="s">
        <v>17</v>
      </c>
      <c r="J14" s="1766" t="s">
        <v>174</v>
      </c>
      <c r="K14" s="30" t="s">
        <v>36</v>
      </c>
      <c r="L14" s="1766" t="s">
        <v>403</v>
      </c>
      <c r="M14" s="30" t="s">
        <v>429</v>
      </c>
      <c r="N14" s="30" t="s">
        <v>442</v>
      </c>
      <c r="O14" s="1766" t="s">
        <v>114</v>
      </c>
      <c r="P14" s="30" t="s">
        <v>70</v>
      </c>
      <c r="Q14" s="2300" t="s">
        <v>479</v>
      </c>
      <c r="R14" s="2301"/>
      <c r="S14" s="1766" t="s">
        <v>401</v>
      </c>
      <c r="T14" s="2235" t="s">
        <v>46</v>
      </c>
      <c r="U14" s="1758" t="s">
        <v>176</v>
      </c>
      <c r="V14" s="2260">
        <v>27354</v>
      </c>
      <c r="W14" s="2268"/>
      <c r="X14" s="2261"/>
    </row>
    <row r="15" spans="1:25" ht="22.5" customHeight="1" x14ac:dyDescent="0.25">
      <c r="A15" s="100" t="s">
        <v>38</v>
      </c>
      <c r="B15" s="2260">
        <v>499926</v>
      </c>
      <c r="C15" s="2261"/>
      <c r="D15" s="1763">
        <v>0</v>
      </c>
      <c r="E15" s="1763">
        <v>0</v>
      </c>
      <c r="F15" s="1763">
        <v>2500</v>
      </c>
      <c r="G15" s="1763">
        <v>0</v>
      </c>
      <c r="H15" s="1763">
        <v>38</v>
      </c>
      <c r="I15" s="1763">
        <v>0</v>
      </c>
      <c r="J15" s="1763">
        <v>4</v>
      </c>
      <c r="K15" s="1763">
        <v>66</v>
      </c>
      <c r="L15" s="1763">
        <v>0</v>
      </c>
      <c r="M15" s="1763">
        <v>0</v>
      </c>
      <c r="N15" s="1763">
        <v>0</v>
      </c>
      <c r="O15" s="1763">
        <v>0</v>
      </c>
      <c r="P15" s="1763">
        <v>100</v>
      </c>
      <c r="Q15" s="2260">
        <v>10</v>
      </c>
      <c r="R15" s="2261"/>
      <c r="S15" s="1758">
        <v>2</v>
      </c>
      <c r="T15" s="2235"/>
      <c r="U15" s="1758" t="s">
        <v>64</v>
      </c>
      <c r="V15" s="2262">
        <v>25089</v>
      </c>
      <c r="W15" s="2262"/>
      <c r="X15" s="2262"/>
    </row>
    <row r="16" spans="1:25" ht="24.75" customHeight="1" x14ac:dyDescent="0.25">
      <c r="A16" s="100" t="s">
        <v>39</v>
      </c>
      <c r="B16" s="2260">
        <v>105974</v>
      </c>
      <c r="C16" s="2261"/>
      <c r="D16" s="1763"/>
      <c r="E16" s="1763"/>
      <c r="F16" s="1763"/>
      <c r="G16" s="1763"/>
      <c r="H16" s="1763"/>
      <c r="I16" s="1763"/>
      <c r="J16" s="1763"/>
      <c r="K16" s="1763"/>
      <c r="L16" s="1763"/>
      <c r="M16" s="1763"/>
      <c r="N16" s="1763"/>
      <c r="O16" s="1763"/>
      <c r="P16" s="1763"/>
      <c r="Q16" s="2262"/>
      <c r="R16" s="2262"/>
      <c r="S16" s="1763"/>
      <c r="T16" s="2254" t="s">
        <v>55</v>
      </c>
      <c r="U16" s="2254"/>
      <c r="V16" s="2267">
        <f>Y12</f>
        <v>119800.33</v>
      </c>
      <c r="W16" s="2267"/>
      <c r="X16" s="2262"/>
    </row>
    <row r="17" spans="1:25" ht="28.5" customHeight="1" x14ac:dyDescent="0.25">
      <c r="A17" s="101" t="s">
        <v>44</v>
      </c>
      <c r="B17" s="2260"/>
      <c r="C17" s="2261"/>
      <c r="D17" s="1763"/>
      <c r="E17" s="1763"/>
      <c r="F17" s="1763"/>
      <c r="G17" s="1763"/>
      <c r="H17" s="1763"/>
      <c r="I17" s="1763"/>
      <c r="J17" s="1763"/>
      <c r="K17" s="1763"/>
      <c r="L17" s="1763"/>
      <c r="M17" s="1763"/>
      <c r="N17" s="1763"/>
      <c r="O17" s="1763"/>
      <c r="P17" s="1763"/>
      <c r="Q17" s="2225"/>
      <c r="R17" s="2225"/>
      <c r="S17" s="1760"/>
      <c r="T17" s="2294" t="s">
        <v>521</v>
      </c>
      <c r="U17" s="2295"/>
      <c r="V17" s="2296"/>
      <c r="W17" s="2296"/>
      <c r="X17" s="2296"/>
    </row>
    <row r="18" spans="1:25" ht="27" customHeight="1" x14ac:dyDescent="0.25">
      <c r="A18" s="100" t="s">
        <v>40</v>
      </c>
      <c r="B18" s="2264">
        <f>C12</f>
        <v>123188</v>
      </c>
      <c r="C18" s="2261"/>
      <c r="D18" s="1764">
        <f>E12</f>
        <v>0</v>
      </c>
      <c r="E18" s="1764">
        <f>G12</f>
        <v>0</v>
      </c>
      <c r="F18" s="1764">
        <f>I12</f>
        <v>0</v>
      </c>
      <c r="G18" s="1764">
        <f>K12</f>
        <v>0</v>
      </c>
      <c r="H18" s="1763"/>
      <c r="I18" s="1764">
        <f>U12</f>
        <v>0</v>
      </c>
      <c r="J18" s="1763"/>
      <c r="K18" s="1764">
        <f>W12</f>
        <v>0</v>
      </c>
      <c r="L18" s="1763"/>
      <c r="M18" s="1764">
        <f>M12</f>
        <v>0</v>
      </c>
      <c r="N18" s="1764">
        <f>O12</f>
        <v>0</v>
      </c>
      <c r="O18" s="1765">
        <f>Q12</f>
        <v>0</v>
      </c>
      <c r="P18" s="1764"/>
      <c r="Q18" s="2262"/>
      <c r="R18" s="2262"/>
      <c r="S18" s="1758"/>
      <c r="T18" s="2254" t="s">
        <v>57</v>
      </c>
      <c r="U18" s="2254"/>
      <c r="V18" s="2262">
        <v>26220</v>
      </c>
      <c r="W18" s="2262"/>
      <c r="X18" s="2262"/>
      <c r="Y18" s="2269"/>
    </row>
    <row r="19" spans="1:25" ht="25.5" customHeight="1" x14ac:dyDescent="0.25">
      <c r="A19" s="100" t="s">
        <v>41</v>
      </c>
      <c r="B19" s="2260">
        <f>B15+B16+B17-B18</f>
        <v>482712</v>
      </c>
      <c r="C19" s="2261"/>
      <c r="D19" s="1763">
        <f>D15+D16+D17-D18</f>
        <v>0</v>
      </c>
      <c r="E19" s="1763">
        <f t="shared" ref="E19:N19" si="13">E15+E16+E17-E18</f>
        <v>0</v>
      </c>
      <c r="F19" s="1763">
        <f t="shared" si="13"/>
        <v>2500</v>
      </c>
      <c r="G19" s="1763">
        <f t="shared" si="13"/>
        <v>0</v>
      </c>
      <c r="H19" s="1763">
        <f t="shared" si="13"/>
        <v>38</v>
      </c>
      <c r="I19" s="1763">
        <f t="shared" si="13"/>
        <v>0</v>
      </c>
      <c r="J19" s="1763">
        <f t="shared" si="13"/>
        <v>4</v>
      </c>
      <c r="K19" s="1763">
        <f t="shared" si="13"/>
        <v>66</v>
      </c>
      <c r="L19" s="1763">
        <f t="shared" si="13"/>
        <v>0</v>
      </c>
      <c r="M19" s="1763">
        <f t="shared" si="13"/>
        <v>0</v>
      </c>
      <c r="N19" s="1763">
        <f t="shared" si="13"/>
        <v>0</v>
      </c>
      <c r="O19" s="1763">
        <f>O15+O16+O17-O18</f>
        <v>0</v>
      </c>
      <c r="P19" s="1763">
        <f t="shared" ref="P19:Q19" si="14">P15+P16+P17-P18</f>
        <v>100</v>
      </c>
      <c r="Q19" s="2260">
        <f t="shared" si="14"/>
        <v>10</v>
      </c>
      <c r="R19" s="2261"/>
      <c r="S19" s="1758">
        <f>S15+S16-S17-S18</f>
        <v>2</v>
      </c>
      <c r="T19" s="2256" t="s">
        <v>48</v>
      </c>
      <c r="U19" s="49" t="s">
        <v>58</v>
      </c>
      <c r="V19" s="2262">
        <v>100000</v>
      </c>
      <c r="W19" s="2262"/>
      <c r="X19" s="2262"/>
      <c r="Y19" s="2269"/>
    </row>
    <row r="20" spans="1:25" ht="23.25" customHeight="1" x14ac:dyDescent="0.25">
      <c r="A20" s="289" t="s">
        <v>187</v>
      </c>
      <c r="B20" s="2286">
        <f>B19*0.9625</f>
        <v>464610.3</v>
      </c>
      <c r="C20" s="2287"/>
      <c r="D20" s="290">
        <f>D19*66.41</f>
        <v>0</v>
      </c>
      <c r="E20" s="290">
        <f>27.9368*E19</f>
        <v>0</v>
      </c>
      <c r="F20" s="290">
        <f>18.31*F19</f>
        <v>45775</v>
      </c>
      <c r="G20" s="290">
        <f>27.9368*G19</f>
        <v>0</v>
      </c>
      <c r="H20" s="290">
        <f>241*H19</f>
        <v>9158</v>
      </c>
      <c r="I20" s="290">
        <f>323*I19</f>
        <v>0</v>
      </c>
      <c r="J20" s="290">
        <f>241*J19</f>
        <v>964</v>
      </c>
      <c r="K20" s="290">
        <f>K19*100</f>
        <v>6600</v>
      </c>
      <c r="L20" s="290">
        <f>241*L19</f>
        <v>0</v>
      </c>
      <c r="M20" s="290">
        <f>47.1625*M19</f>
        <v>0</v>
      </c>
      <c r="N20" s="290">
        <f>N19*8.81</f>
        <v>0</v>
      </c>
      <c r="O20" s="290">
        <f>241*O19</f>
        <v>0</v>
      </c>
      <c r="P20" s="290">
        <f>P19*48.2</f>
        <v>4820</v>
      </c>
      <c r="Q20" s="2286">
        <f>470*Q19</f>
        <v>4700</v>
      </c>
      <c r="R20" s="2287"/>
      <c r="S20" s="290">
        <f>341*S19</f>
        <v>682</v>
      </c>
      <c r="T20" s="2257"/>
      <c r="U20" s="49" t="s">
        <v>59</v>
      </c>
      <c r="V20" s="2262"/>
      <c r="W20" s="2262"/>
      <c r="X20" s="2262"/>
      <c r="Y20" s="2269"/>
    </row>
    <row r="21" spans="1:25" ht="32.25" customHeight="1" x14ac:dyDescent="0.25">
      <c r="A21" s="291" t="s">
        <v>186</v>
      </c>
      <c r="B21" s="2293">
        <f>SUM(B20:S20)</f>
        <v>537309.30000000005</v>
      </c>
      <c r="C21" s="2293"/>
      <c r="O21" s="1767"/>
      <c r="P21" s="1767"/>
      <c r="Q21" s="1767"/>
      <c r="R21" s="1767"/>
      <c r="T21" s="2294" t="s">
        <v>518</v>
      </c>
      <c r="U21" s="2295"/>
      <c r="V21" s="2297"/>
      <c r="W21" s="2298"/>
      <c r="X21" s="2299"/>
      <c r="Y21" s="2269"/>
    </row>
    <row r="22" spans="1:25" ht="35.25" customHeight="1" x14ac:dyDescent="0.25">
      <c r="A22" s="15"/>
      <c r="B22" s="2288" t="s">
        <v>49</v>
      </c>
      <c r="C22" s="2291">
        <v>100000</v>
      </c>
      <c r="D22" s="2291">
        <v>100000</v>
      </c>
      <c r="E22" s="2291">
        <v>102000</v>
      </c>
      <c r="F22" s="2291">
        <f>C22-D22+E22</f>
        <v>102000</v>
      </c>
      <c r="G22" s="1767"/>
      <c r="Q22" s="1767"/>
      <c r="R22" s="1767"/>
      <c r="T22" s="2251" t="s">
        <v>83</v>
      </c>
      <c r="U22" s="50" t="s">
        <v>60</v>
      </c>
      <c r="V22" s="2262">
        <v>105750</v>
      </c>
      <c r="W22" s="2262"/>
      <c r="X22" s="2262"/>
      <c r="Y22" s="2269"/>
    </row>
    <row r="23" spans="1:25" ht="39.75" customHeight="1" x14ac:dyDescent="0.25">
      <c r="A23" s="1767"/>
      <c r="B23" s="2289"/>
      <c r="C23" s="2292"/>
      <c r="D23" s="2292"/>
      <c r="E23" s="2292"/>
      <c r="F23" s="2292"/>
      <c r="G23" s="1767"/>
      <c r="Q23" s="1767"/>
      <c r="R23" s="1767"/>
      <c r="T23" s="2252"/>
      <c r="U23" s="50" t="s">
        <v>61</v>
      </c>
      <c r="V23" s="2262">
        <v>100000</v>
      </c>
      <c r="W23" s="2262"/>
      <c r="X23" s="2262"/>
      <c r="Y23" s="2269"/>
    </row>
    <row r="24" spans="1:25" ht="48" customHeight="1" x14ac:dyDescent="0.25">
      <c r="A24" s="1767"/>
      <c r="B24" s="2290"/>
      <c r="C24" s="290" t="s">
        <v>46</v>
      </c>
      <c r="D24" s="290" t="s">
        <v>50</v>
      </c>
      <c r="E24" s="290" t="s">
        <v>51</v>
      </c>
      <c r="F24" s="290" t="s">
        <v>52</v>
      </c>
      <c r="G24" s="1767"/>
      <c r="Q24" s="1767"/>
      <c r="R24" s="1767"/>
      <c r="T24" s="2235" t="s">
        <v>47</v>
      </c>
      <c r="U24" s="51" t="s">
        <v>62</v>
      </c>
      <c r="V24" s="2263">
        <f>V14+V16+V17-V18-V19-V20-V22+V23-V21</f>
        <v>15184.330000000016</v>
      </c>
      <c r="W24" s="2263"/>
      <c r="X24" s="2263"/>
      <c r="Y24" s="2269"/>
    </row>
    <row r="25" spans="1:25" ht="40.5" customHeight="1" x14ac:dyDescent="0.25">
      <c r="T25" s="2235"/>
      <c r="U25" s="51" t="s">
        <v>63</v>
      </c>
      <c r="V25" s="2262">
        <f>V15+V22-V23</f>
        <v>30839</v>
      </c>
      <c r="W25" s="2262"/>
      <c r="X25" s="2262"/>
    </row>
    <row r="26" spans="1:25" ht="36" customHeight="1" x14ac:dyDescent="0.25">
      <c r="K26" s="314"/>
    </row>
    <row r="28" spans="1:25" x14ac:dyDescent="0.25">
      <c r="J28" s="14" t="s">
        <v>139</v>
      </c>
    </row>
    <row r="32" spans="1:25" x14ac:dyDescent="0.25">
      <c r="I32" s="2280"/>
      <c r="J32" s="2280"/>
      <c r="K32" s="2280"/>
      <c r="L32" s="2280"/>
    </row>
    <row r="33" spans="9:12" x14ac:dyDescent="0.25">
      <c r="I33" s="1767"/>
      <c r="J33" s="1767"/>
      <c r="K33" s="2280"/>
      <c r="L33" s="2280"/>
    </row>
  </sheetData>
  <mergeCells count="62">
    <mergeCell ref="I32:J32"/>
    <mergeCell ref="K32:L32"/>
    <mergeCell ref="K33:L33"/>
    <mergeCell ref="T22:T23"/>
    <mergeCell ref="V22:X22"/>
    <mergeCell ref="V23:X23"/>
    <mergeCell ref="T24:T25"/>
    <mergeCell ref="V24:X24"/>
    <mergeCell ref="V25:X25"/>
    <mergeCell ref="Y18:Y24"/>
    <mergeCell ref="B19:C19"/>
    <mergeCell ref="Q19:R19"/>
    <mergeCell ref="T19:T20"/>
    <mergeCell ref="V19:X19"/>
    <mergeCell ref="B20:C20"/>
    <mergeCell ref="B22:B24"/>
    <mergeCell ref="C22:C23"/>
    <mergeCell ref="D22:D23"/>
    <mergeCell ref="E22:E23"/>
    <mergeCell ref="F22:F23"/>
    <mergeCell ref="Q20:R20"/>
    <mergeCell ref="V20:X20"/>
    <mergeCell ref="B21:C21"/>
    <mergeCell ref="T21:U21"/>
    <mergeCell ref="V21:X21"/>
    <mergeCell ref="B17:C17"/>
    <mergeCell ref="Q17:R17"/>
    <mergeCell ref="T17:U17"/>
    <mergeCell ref="V17:X17"/>
    <mergeCell ref="B18:C18"/>
    <mergeCell ref="Q18:R18"/>
    <mergeCell ref="T18:U18"/>
    <mergeCell ref="V18:X18"/>
    <mergeCell ref="W4:X4"/>
    <mergeCell ref="B16:C16"/>
    <mergeCell ref="Q16:R16"/>
    <mergeCell ref="T16:U16"/>
    <mergeCell ref="V16:X16"/>
    <mergeCell ref="A12:B12"/>
    <mergeCell ref="B14:C14"/>
    <mergeCell ref="Q14:R14"/>
    <mergeCell ref="T14:T15"/>
    <mergeCell ref="V14:X14"/>
    <mergeCell ref="B15:C15"/>
    <mergeCell ref="Q15:R15"/>
    <mergeCell ref="V15:X15"/>
    <mergeCell ref="A1:Y1"/>
    <mergeCell ref="A2:Y2"/>
    <mergeCell ref="T3:Y3"/>
    <mergeCell ref="A4:A5"/>
    <mergeCell ref="B4:B5"/>
    <mergeCell ref="C4:D4"/>
    <mergeCell ref="E4:F4"/>
    <mergeCell ref="G4:H4"/>
    <mergeCell ref="I4:J4"/>
    <mergeCell ref="K4:L4"/>
    <mergeCell ref="Y4:Y5"/>
    <mergeCell ref="M4:N4"/>
    <mergeCell ref="O4:P4"/>
    <mergeCell ref="Q4:R4"/>
    <mergeCell ref="S4:T4"/>
    <mergeCell ref="U4:V4"/>
  </mergeCells>
  <pageMargins left="0.15748031496063" right="0.15748031496063" top="0" bottom="0" header="0" footer="0"/>
  <pageSetup paperSize="9" scale="46" orientation="landscape" r:id="rId1"/>
</worksheet>
</file>

<file path=xl/worksheets/sheet28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7FB3D86-3E6F-4BB9-A939-CD1B56A4E423}">
  <sheetPr>
    <pageSetUpPr fitToPage="1"/>
  </sheetPr>
  <dimension ref="A1:Y33"/>
  <sheetViews>
    <sheetView topLeftCell="A8" zoomScale="70" zoomScaleNormal="70" zoomScaleSheetLayoutView="100" zoomScalePageLayoutView="68" workbookViewId="0">
      <selection activeCell="M22" sqref="M22"/>
    </sheetView>
  </sheetViews>
  <sheetFormatPr defaultColWidth="9.140625" defaultRowHeight="15" x14ac:dyDescent="0.25"/>
  <cols>
    <col min="1" max="1" width="18.28515625" style="14" customWidth="1"/>
    <col min="2" max="2" width="10.7109375" style="14" customWidth="1"/>
    <col min="3" max="3" width="12.28515625" style="14" customWidth="1"/>
    <col min="4" max="4" width="13.140625" style="14" bestFit="1" customWidth="1"/>
    <col min="5" max="5" width="12" style="14" customWidth="1"/>
    <col min="6" max="6" width="14" style="14" bestFit="1" customWidth="1"/>
    <col min="7" max="7" width="16" style="14" bestFit="1" customWidth="1"/>
    <col min="8" max="8" width="10.140625" style="14" bestFit="1" customWidth="1"/>
    <col min="9" max="9" width="10.5703125" style="14" bestFit="1" customWidth="1"/>
    <col min="10" max="10" width="10.5703125" style="14" customWidth="1"/>
    <col min="11" max="11" width="10.28515625" style="14" bestFit="1" customWidth="1"/>
    <col min="12" max="12" width="10.42578125" style="14" bestFit="1" customWidth="1"/>
    <col min="13" max="14" width="12" style="14" bestFit="1" customWidth="1"/>
    <col min="15" max="15" width="11" style="14" customWidth="1"/>
    <col min="16" max="16" width="12.85546875" style="14" bestFit="1" customWidth="1"/>
    <col min="17" max="18" width="9.42578125" style="14" customWidth="1"/>
    <col min="19" max="19" width="13.7109375" style="14" customWidth="1"/>
    <col min="20" max="20" width="12.140625" style="14" customWidth="1"/>
    <col min="21" max="21" width="21.7109375" style="14" customWidth="1"/>
    <col min="22" max="22" width="9.85546875" style="14" customWidth="1"/>
    <col min="23" max="23" width="10.140625" style="14" bestFit="1" customWidth="1"/>
    <col min="24" max="24" width="10.28515625" style="14" customWidth="1"/>
    <col min="25" max="25" width="15.7109375" style="14" customWidth="1"/>
    <col min="26" max="16384" width="9.140625" style="14"/>
  </cols>
  <sheetData>
    <row r="1" spans="1:25" ht="46.15" customHeight="1" x14ac:dyDescent="0.25">
      <c r="A1" s="2240" t="s">
        <v>148</v>
      </c>
      <c r="B1" s="2240"/>
      <c r="C1" s="2240"/>
      <c r="D1" s="2240"/>
      <c r="E1" s="2240"/>
      <c r="F1" s="2240"/>
      <c r="G1" s="2240"/>
      <c r="H1" s="2240"/>
      <c r="I1" s="2240"/>
      <c r="J1" s="2240"/>
      <c r="K1" s="2240"/>
      <c r="L1" s="2240"/>
      <c r="M1" s="2240"/>
      <c r="N1" s="2240"/>
      <c r="O1" s="2240"/>
      <c r="P1" s="2240"/>
      <c r="Q1" s="2240"/>
      <c r="R1" s="2240"/>
      <c r="S1" s="2240"/>
      <c r="T1" s="2240"/>
      <c r="U1" s="2240"/>
      <c r="V1" s="2240"/>
      <c r="W1" s="2240"/>
      <c r="X1" s="2240"/>
      <c r="Y1" s="2240"/>
    </row>
    <row r="2" spans="1:25" ht="21.6" customHeight="1" x14ac:dyDescent="0.25">
      <c r="A2" s="2241" t="s">
        <v>383</v>
      </c>
      <c r="B2" s="2241"/>
      <c r="C2" s="2241"/>
      <c r="D2" s="2241"/>
      <c r="E2" s="2241"/>
      <c r="F2" s="2241"/>
      <c r="G2" s="2241"/>
      <c r="H2" s="2241"/>
      <c r="I2" s="2241"/>
      <c r="J2" s="2241"/>
      <c r="K2" s="2241"/>
      <c r="L2" s="2241"/>
      <c r="M2" s="2241"/>
      <c r="N2" s="2241"/>
      <c r="O2" s="2241"/>
      <c r="P2" s="2241"/>
      <c r="Q2" s="2241"/>
      <c r="R2" s="2241"/>
      <c r="S2" s="2241"/>
      <c r="T2" s="2241"/>
      <c r="U2" s="2241"/>
      <c r="V2" s="2241"/>
      <c r="W2" s="2241"/>
      <c r="X2" s="2241"/>
      <c r="Y2" s="2241"/>
    </row>
    <row r="3" spans="1:25" ht="21" customHeight="1" x14ac:dyDescent="0.25">
      <c r="A3" s="1773"/>
      <c r="B3" s="1773"/>
      <c r="C3" s="1773"/>
      <c r="D3" s="1773"/>
      <c r="E3" s="1773"/>
      <c r="F3" s="1773"/>
      <c r="G3" s="1773"/>
      <c r="H3" s="1773"/>
      <c r="I3" s="1773"/>
      <c r="J3" s="1773"/>
      <c r="K3" s="1773"/>
      <c r="L3" s="1773"/>
      <c r="M3" s="1773"/>
      <c r="N3" s="1773"/>
      <c r="O3" s="1773"/>
      <c r="P3" s="1773"/>
      <c r="Q3" s="1773"/>
      <c r="R3" s="1773"/>
      <c r="S3" s="1773"/>
      <c r="T3" s="2242" t="s">
        <v>535</v>
      </c>
      <c r="U3" s="2242"/>
      <c r="V3" s="2242"/>
      <c r="W3" s="2242"/>
      <c r="X3" s="2242"/>
      <c r="Y3" s="2242"/>
    </row>
    <row r="4" spans="1:25" s="1773" customFormat="1" ht="18" customHeight="1" x14ac:dyDescent="0.25">
      <c r="A4" s="2243" t="s">
        <v>25</v>
      </c>
      <c r="B4" s="2243" t="s">
        <v>26</v>
      </c>
      <c r="C4" s="2244" t="s">
        <v>27</v>
      </c>
      <c r="D4" s="2244"/>
      <c r="E4" s="2244" t="s">
        <v>342</v>
      </c>
      <c r="F4" s="2244"/>
      <c r="G4" s="2244" t="s">
        <v>65</v>
      </c>
      <c r="H4" s="2244"/>
      <c r="I4" s="2244" t="s">
        <v>29</v>
      </c>
      <c r="J4" s="2244"/>
      <c r="K4" s="2245" t="s">
        <v>14</v>
      </c>
      <c r="L4" s="2246"/>
      <c r="M4" s="2245" t="s">
        <v>429</v>
      </c>
      <c r="N4" s="2246"/>
      <c r="O4" s="2245" t="s">
        <v>441</v>
      </c>
      <c r="P4" s="2246"/>
      <c r="Q4" s="2245" t="s">
        <v>114</v>
      </c>
      <c r="R4" s="2246"/>
      <c r="S4" s="2244" t="s">
        <v>35</v>
      </c>
      <c r="T4" s="2244"/>
      <c r="U4" s="2245" t="s">
        <v>17</v>
      </c>
      <c r="V4" s="2246"/>
      <c r="W4" s="2247" t="s">
        <v>36</v>
      </c>
      <c r="X4" s="2248"/>
      <c r="Y4" s="2238" t="s">
        <v>30</v>
      </c>
    </row>
    <row r="5" spans="1:25" s="1773" customFormat="1" ht="25.5" customHeight="1" x14ac:dyDescent="0.25">
      <c r="A5" s="2243"/>
      <c r="B5" s="2243"/>
      <c r="C5" s="1772" t="s">
        <v>42</v>
      </c>
      <c r="D5" s="1772" t="s">
        <v>43</v>
      </c>
      <c r="E5" s="1772" t="s">
        <v>42</v>
      </c>
      <c r="F5" s="1772" t="s">
        <v>43</v>
      </c>
      <c r="G5" s="1772" t="s">
        <v>42</v>
      </c>
      <c r="H5" s="1772" t="s">
        <v>43</v>
      </c>
      <c r="I5" s="1772" t="s">
        <v>42</v>
      </c>
      <c r="J5" s="1772" t="s">
        <v>43</v>
      </c>
      <c r="K5" s="1772" t="s">
        <v>42</v>
      </c>
      <c r="L5" s="1772" t="s">
        <v>43</v>
      </c>
      <c r="M5" s="1772" t="s">
        <v>42</v>
      </c>
      <c r="N5" s="1772" t="s">
        <v>43</v>
      </c>
      <c r="O5" s="1772" t="s">
        <v>42</v>
      </c>
      <c r="P5" s="1772" t="s">
        <v>43</v>
      </c>
      <c r="Q5" s="1772" t="s">
        <v>42</v>
      </c>
      <c r="R5" s="1772" t="s">
        <v>43</v>
      </c>
      <c r="S5" s="33" t="s">
        <v>42</v>
      </c>
      <c r="T5" s="33" t="s">
        <v>43</v>
      </c>
      <c r="U5" s="30" t="s">
        <v>42</v>
      </c>
      <c r="V5" s="30" t="s">
        <v>43</v>
      </c>
      <c r="W5" s="30" t="s">
        <v>42</v>
      </c>
      <c r="X5" s="30" t="s">
        <v>43</v>
      </c>
      <c r="Y5" s="2239"/>
    </row>
    <row r="6" spans="1:25" ht="34.5" customHeight="1" x14ac:dyDescent="0.25">
      <c r="A6" s="12">
        <v>1409935200</v>
      </c>
      <c r="B6" s="1771" t="s">
        <v>71</v>
      </c>
      <c r="C6" s="1769">
        <v>27643</v>
      </c>
      <c r="D6" s="1768">
        <f t="shared" ref="D6:D11" si="0">0.9725*C6</f>
        <v>26882.817500000001</v>
      </c>
      <c r="E6" s="1769"/>
      <c r="F6" s="1768">
        <f>67.1*E6</f>
        <v>0</v>
      </c>
      <c r="G6" s="1769"/>
      <c r="H6" s="1769">
        <f>28.2*G6</f>
        <v>0</v>
      </c>
      <c r="I6" s="1769"/>
      <c r="J6" s="1769">
        <f>18.5*I6</f>
        <v>0</v>
      </c>
      <c r="K6" s="1769"/>
      <c r="L6" s="1768">
        <f>28.2368*K6</f>
        <v>0</v>
      </c>
      <c r="M6" s="1769"/>
      <c r="N6" s="1768">
        <f>M6*47.6525</f>
        <v>0</v>
      </c>
      <c r="O6" s="1769"/>
      <c r="P6" s="1768">
        <f>O6*8.9</f>
        <v>0</v>
      </c>
      <c r="Q6" s="1768"/>
      <c r="R6" s="1768">
        <f>241*Q6</f>
        <v>0</v>
      </c>
      <c r="S6" s="1769"/>
      <c r="T6" s="1769">
        <f>241*S6</f>
        <v>0</v>
      </c>
      <c r="U6" s="1769"/>
      <c r="V6" s="1769">
        <f>332*U6</f>
        <v>0</v>
      </c>
      <c r="W6" s="1769">
        <v>2</v>
      </c>
      <c r="X6" s="19">
        <f>W6*100</f>
        <v>200</v>
      </c>
      <c r="Y6" s="20">
        <f t="shared" ref="Y6:Y12" si="1">D6+F6+H6+J6+L6+N6+P6+R6+T6+V6+X6</f>
        <v>27082.817500000001</v>
      </c>
    </row>
    <row r="7" spans="1:25" ht="31.5" customHeight="1" x14ac:dyDescent="0.25">
      <c r="A7" s="12">
        <v>1984225578</v>
      </c>
      <c r="B7" s="1771" t="s">
        <v>509</v>
      </c>
      <c r="C7" s="1769">
        <v>32579</v>
      </c>
      <c r="D7" s="1768">
        <f t="shared" si="0"/>
        <v>31683.077499999999</v>
      </c>
      <c r="E7" s="1769"/>
      <c r="F7" s="1769">
        <f t="shared" ref="F7:F11" si="2">67.1*E7</f>
        <v>0</v>
      </c>
      <c r="G7" s="1769"/>
      <c r="H7" s="1769">
        <f t="shared" ref="H7:H11" si="3">28.2*G7</f>
        <v>0</v>
      </c>
      <c r="I7" s="1769"/>
      <c r="J7" s="1769">
        <f t="shared" ref="J7:J11" si="4">18.5*I7</f>
        <v>0</v>
      </c>
      <c r="K7" s="1769"/>
      <c r="L7" s="1768">
        <f t="shared" ref="L7:L11" si="5">28.2368*K7</f>
        <v>0</v>
      </c>
      <c r="M7" s="1769"/>
      <c r="N7" s="1768">
        <f t="shared" ref="N7:N11" si="6">M7*47.6525</f>
        <v>0</v>
      </c>
      <c r="O7" s="1769"/>
      <c r="P7" s="1768">
        <f t="shared" ref="P7:P11" si="7">O7*8.9</f>
        <v>0</v>
      </c>
      <c r="Q7" s="1768"/>
      <c r="R7" s="1768">
        <f t="shared" ref="R7:R11" si="8">241*Q7</f>
        <v>0</v>
      </c>
      <c r="S7" s="1769"/>
      <c r="T7" s="1769">
        <f t="shared" ref="T7:T10" si="9">241*S7</f>
        <v>0</v>
      </c>
      <c r="U7" s="1769"/>
      <c r="V7" s="1769">
        <f t="shared" ref="V7:V11" si="10">332*U7</f>
        <v>0</v>
      </c>
      <c r="W7" s="1769"/>
      <c r="X7" s="19">
        <f t="shared" ref="X7:X11" si="11">W7*100</f>
        <v>0</v>
      </c>
      <c r="Y7" s="20">
        <f t="shared" si="1"/>
        <v>31683.077499999999</v>
      </c>
    </row>
    <row r="8" spans="1:25" ht="35.25" customHeight="1" x14ac:dyDescent="0.25">
      <c r="A8" s="12">
        <v>1967020280</v>
      </c>
      <c r="B8" s="1771" t="s">
        <v>427</v>
      </c>
      <c r="C8" s="1769">
        <v>25303</v>
      </c>
      <c r="D8" s="1768">
        <f t="shared" si="0"/>
        <v>24607.1675</v>
      </c>
      <c r="E8" s="1769"/>
      <c r="F8" s="1769">
        <f t="shared" si="2"/>
        <v>0</v>
      </c>
      <c r="G8" s="1769"/>
      <c r="H8" s="1768">
        <f t="shared" si="3"/>
        <v>0</v>
      </c>
      <c r="I8" s="1769"/>
      <c r="J8" s="1769">
        <f t="shared" si="4"/>
        <v>0</v>
      </c>
      <c r="K8" s="1769"/>
      <c r="L8" s="1768">
        <f t="shared" si="5"/>
        <v>0</v>
      </c>
      <c r="M8" s="1769"/>
      <c r="N8" s="1768">
        <f t="shared" si="6"/>
        <v>0</v>
      </c>
      <c r="O8" s="1769"/>
      <c r="P8" s="1768">
        <f t="shared" si="7"/>
        <v>0</v>
      </c>
      <c r="Q8" s="1768"/>
      <c r="R8" s="1768">
        <f t="shared" si="8"/>
        <v>0</v>
      </c>
      <c r="S8" s="1769"/>
      <c r="T8" s="1769">
        <f t="shared" si="9"/>
        <v>0</v>
      </c>
      <c r="U8" s="1769"/>
      <c r="V8" s="1769">
        <f t="shared" si="10"/>
        <v>0</v>
      </c>
      <c r="W8" s="1769"/>
      <c r="X8" s="19">
        <f t="shared" si="11"/>
        <v>0</v>
      </c>
      <c r="Y8" s="20">
        <f t="shared" si="1"/>
        <v>24607.1675</v>
      </c>
    </row>
    <row r="9" spans="1:25" ht="38.25" customHeight="1" x14ac:dyDescent="0.25">
      <c r="A9" s="12">
        <v>1984225580</v>
      </c>
      <c r="B9" s="1771" t="s">
        <v>75</v>
      </c>
      <c r="C9" s="1769">
        <v>20034</v>
      </c>
      <c r="D9" s="1768">
        <f t="shared" si="0"/>
        <v>19483.065000000002</v>
      </c>
      <c r="E9" s="1769"/>
      <c r="F9" s="1769">
        <f t="shared" si="2"/>
        <v>0</v>
      </c>
      <c r="G9" s="1769"/>
      <c r="H9" s="1769">
        <f t="shared" si="3"/>
        <v>0</v>
      </c>
      <c r="I9" s="1769"/>
      <c r="J9" s="1769">
        <f t="shared" si="4"/>
        <v>0</v>
      </c>
      <c r="K9" s="1769"/>
      <c r="L9" s="1768">
        <f t="shared" si="5"/>
        <v>0</v>
      </c>
      <c r="M9" s="1769"/>
      <c r="N9" s="1768">
        <f t="shared" si="6"/>
        <v>0</v>
      </c>
      <c r="O9" s="1769"/>
      <c r="P9" s="1768">
        <f t="shared" si="7"/>
        <v>0</v>
      </c>
      <c r="Q9" s="1768"/>
      <c r="R9" s="1768">
        <f t="shared" si="8"/>
        <v>0</v>
      </c>
      <c r="S9" s="1769"/>
      <c r="T9" s="1769">
        <f t="shared" si="9"/>
        <v>0</v>
      </c>
      <c r="U9" s="1769"/>
      <c r="V9" s="1769">
        <f t="shared" si="10"/>
        <v>0</v>
      </c>
      <c r="W9" s="1769"/>
      <c r="X9" s="19">
        <f t="shared" si="11"/>
        <v>0</v>
      </c>
      <c r="Y9" s="20">
        <f t="shared" si="1"/>
        <v>19483.065000000002</v>
      </c>
    </row>
    <row r="10" spans="1:25" ht="35.25" customHeight="1" x14ac:dyDescent="0.25">
      <c r="A10" s="12">
        <v>1409935199</v>
      </c>
      <c r="C10" s="1769"/>
      <c r="D10" s="1768">
        <f t="shared" si="0"/>
        <v>0</v>
      </c>
      <c r="E10" s="1769"/>
      <c r="F10" s="1769">
        <f t="shared" si="2"/>
        <v>0</v>
      </c>
      <c r="G10" s="1769"/>
      <c r="H10" s="1769">
        <f t="shared" si="3"/>
        <v>0</v>
      </c>
      <c r="I10" s="1769"/>
      <c r="J10" s="1769">
        <f t="shared" si="4"/>
        <v>0</v>
      </c>
      <c r="K10" s="1769"/>
      <c r="L10" s="1768">
        <f t="shared" si="5"/>
        <v>0</v>
      </c>
      <c r="M10" s="1769"/>
      <c r="N10" s="1768">
        <f t="shared" si="6"/>
        <v>0</v>
      </c>
      <c r="O10" s="1769"/>
      <c r="P10" s="1768">
        <f t="shared" si="7"/>
        <v>0</v>
      </c>
      <c r="Q10" s="1768"/>
      <c r="R10" s="1768">
        <f t="shared" si="8"/>
        <v>0</v>
      </c>
      <c r="S10" s="1769"/>
      <c r="T10" s="1769">
        <f t="shared" si="9"/>
        <v>0</v>
      </c>
      <c r="U10" s="1769"/>
      <c r="V10" s="1769">
        <f t="shared" si="10"/>
        <v>0</v>
      </c>
      <c r="W10" s="1769"/>
      <c r="X10" s="19">
        <f t="shared" si="11"/>
        <v>0</v>
      </c>
      <c r="Y10" s="20">
        <f t="shared" si="1"/>
        <v>0</v>
      </c>
    </row>
    <row r="11" spans="1:25" ht="37.5" customHeight="1" x14ac:dyDescent="0.25">
      <c r="A11" s="12"/>
      <c r="B11" s="1770"/>
      <c r="C11" s="1769"/>
      <c r="D11" s="1768">
        <f t="shared" si="0"/>
        <v>0</v>
      </c>
      <c r="E11" s="1769"/>
      <c r="F11" s="1769">
        <f t="shared" si="2"/>
        <v>0</v>
      </c>
      <c r="G11" s="1769"/>
      <c r="H11" s="1769">
        <f t="shared" si="3"/>
        <v>0</v>
      </c>
      <c r="I11" s="1769"/>
      <c r="J11" s="1769">
        <f t="shared" si="4"/>
        <v>0</v>
      </c>
      <c r="K11" s="1769"/>
      <c r="L11" s="1768">
        <f t="shared" si="5"/>
        <v>0</v>
      </c>
      <c r="M11" s="1769"/>
      <c r="N11" s="1768">
        <f t="shared" si="6"/>
        <v>0</v>
      </c>
      <c r="O11" s="1769"/>
      <c r="P11" s="1768">
        <f t="shared" si="7"/>
        <v>0</v>
      </c>
      <c r="Q11" s="1768"/>
      <c r="R11" s="1768">
        <f t="shared" si="8"/>
        <v>0</v>
      </c>
      <c r="S11" s="1769"/>
      <c r="T11" s="1769">
        <f>341*S11</f>
        <v>0</v>
      </c>
      <c r="U11" s="1769"/>
      <c r="V11" s="1769">
        <f t="shared" si="10"/>
        <v>0</v>
      </c>
      <c r="W11" s="1769"/>
      <c r="X11" s="19">
        <f t="shared" si="11"/>
        <v>0</v>
      </c>
      <c r="Y11" s="20">
        <f t="shared" si="1"/>
        <v>0</v>
      </c>
    </row>
    <row r="12" spans="1:25" ht="29.25" customHeight="1" x14ac:dyDescent="0.25">
      <c r="A12" s="2235" t="s">
        <v>31</v>
      </c>
      <c r="B12" s="2235"/>
      <c r="C12" s="18">
        <f t="shared" ref="C12:X12" si="12">SUM(C6:C11)</f>
        <v>105559</v>
      </c>
      <c r="D12" s="18">
        <f t="shared" si="12"/>
        <v>102656.1275</v>
      </c>
      <c r="E12" s="18">
        <f t="shared" si="12"/>
        <v>0</v>
      </c>
      <c r="F12" s="18">
        <f t="shared" si="12"/>
        <v>0</v>
      </c>
      <c r="G12" s="18">
        <f t="shared" si="12"/>
        <v>0</v>
      </c>
      <c r="H12" s="18">
        <f t="shared" si="12"/>
        <v>0</v>
      </c>
      <c r="I12" s="18">
        <f t="shared" si="12"/>
        <v>0</v>
      </c>
      <c r="J12" s="18">
        <f t="shared" si="12"/>
        <v>0</v>
      </c>
      <c r="K12" s="18">
        <f t="shared" si="12"/>
        <v>0</v>
      </c>
      <c r="L12" s="18">
        <f t="shared" si="12"/>
        <v>0</v>
      </c>
      <c r="M12" s="18">
        <f t="shared" si="12"/>
        <v>0</v>
      </c>
      <c r="N12" s="23">
        <f t="shared" si="12"/>
        <v>0</v>
      </c>
      <c r="O12" s="18">
        <f t="shared" si="12"/>
        <v>0</v>
      </c>
      <c r="P12" s="23">
        <f t="shared" si="12"/>
        <v>0</v>
      </c>
      <c r="Q12" s="23">
        <f t="shared" si="12"/>
        <v>0</v>
      </c>
      <c r="R12" s="23">
        <f>SUM(R6:R11)</f>
        <v>0</v>
      </c>
      <c r="S12" s="23">
        <f>SUM(S6:S11)</f>
        <v>0</v>
      </c>
      <c r="T12" s="18">
        <f t="shared" si="12"/>
        <v>0</v>
      </c>
      <c r="U12" s="18">
        <f t="shared" si="12"/>
        <v>0</v>
      </c>
      <c r="V12" s="18">
        <f t="shared" si="12"/>
        <v>0</v>
      </c>
      <c r="W12" s="18">
        <f t="shared" si="12"/>
        <v>2</v>
      </c>
      <c r="X12" s="18">
        <f t="shared" si="12"/>
        <v>200</v>
      </c>
      <c r="Y12" s="20">
        <f t="shared" si="1"/>
        <v>102856.1275</v>
      </c>
    </row>
    <row r="14" spans="1:25" ht="43.5" customHeight="1" x14ac:dyDescent="0.25">
      <c r="A14" s="30" t="s">
        <v>32</v>
      </c>
      <c r="B14" s="2236" t="s">
        <v>27</v>
      </c>
      <c r="C14" s="2236"/>
      <c r="D14" s="30" t="s">
        <v>333</v>
      </c>
      <c r="E14" s="30" t="s">
        <v>65</v>
      </c>
      <c r="F14" s="30" t="s">
        <v>34</v>
      </c>
      <c r="G14" s="30" t="s">
        <v>14</v>
      </c>
      <c r="H14" s="469" t="s">
        <v>173</v>
      </c>
      <c r="I14" s="30" t="s">
        <v>17</v>
      </c>
      <c r="J14" s="1777" t="s">
        <v>174</v>
      </c>
      <c r="K14" s="30" t="s">
        <v>36</v>
      </c>
      <c r="L14" s="1777" t="s">
        <v>403</v>
      </c>
      <c r="M14" s="30" t="s">
        <v>429</v>
      </c>
      <c r="N14" s="30" t="s">
        <v>442</v>
      </c>
      <c r="O14" s="1777" t="s">
        <v>114</v>
      </c>
      <c r="P14" s="30" t="s">
        <v>70</v>
      </c>
      <c r="Q14" s="2300" t="s">
        <v>479</v>
      </c>
      <c r="R14" s="2301"/>
      <c r="S14" s="1777" t="s">
        <v>401</v>
      </c>
      <c r="T14" s="2235" t="s">
        <v>46</v>
      </c>
      <c r="U14" s="1771" t="s">
        <v>176</v>
      </c>
      <c r="V14" s="2260">
        <v>15184</v>
      </c>
      <c r="W14" s="2268"/>
      <c r="X14" s="2261"/>
    </row>
    <row r="15" spans="1:25" ht="22.5" customHeight="1" x14ac:dyDescent="0.25">
      <c r="A15" s="100" t="s">
        <v>38</v>
      </c>
      <c r="B15" s="2260">
        <v>482712</v>
      </c>
      <c r="C15" s="2261"/>
      <c r="D15" s="1774">
        <v>0</v>
      </c>
      <c r="E15" s="1774">
        <v>0</v>
      </c>
      <c r="F15" s="1774">
        <v>2500</v>
      </c>
      <c r="G15" s="1774">
        <v>0</v>
      </c>
      <c r="H15" s="1774">
        <v>38</v>
      </c>
      <c r="I15" s="1774">
        <v>0</v>
      </c>
      <c r="J15" s="1774">
        <v>4</v>
      </c>
      <c r="K15" s="1774">
        <v>66</v>
      </c>
      <c r="L15" s="1774">
        <v>0</v>
      </c>
      <c r="M15" s="1774">
        <v>0</v>
      </c>
      <c r="N15" s="1774">
        <v>0</v>
      </c>
      <c r="O15" s="1774">
        <v>0</v>
      </c>
      <c r="P15" s="1774">
        <v>100</v>
      </c>
      <c r="Q15" s="2260">
        <v>10</v>
      </c>
      <c r="R15" s="2261"/>
      <c r="S15" s="1771">
        <v>2</v>
      </c>
      <c r="T15" s="2235"/>
      <c r="U15" s="1771" t="s">
        <v>64</v>
      </c>
      <c r="V15" s="2262">
        <v>30839</v>
      </c>
      <c r="W15" s="2262"/>
      <c r="X15" s="2262"/>
    </row>
    <row r="16" spans="1:25" ht="24.75" customHeight="1" x14ac:dyDescent="0.25">
      <c r="A16" s="100" t="s">
        <v>39</v>
      </c>
      <c r="B16" s="2260">
        <v>93506</v>
      </c>
      <c r="C16" s="2261"/>
      <c r="D16" s="1774"/>
      <c r="E16" s="1774"/>
      <c r="F16" s="1774"/>
      <c r="G16" s="1774"/>
      <c r="H16" s="1774"/>
      <c r="I16" s="1774"/>
      <c r="J16" s="1774"/>
      <c r="K16" s="1774"/>
      <c r="L16" s="1774"/>
      <c r="M16" s="1774"/>
      <c r="N16" s="1774"/>
      <c r="O16" s="1774"/>
      <c r="P16" s="1774"/>
      <c r="Q16" s="2262"/>
      <c r="R16" s="2262"/>
      <c r="S16" s="1774"/>
      <c r="T16" s="2254" t="s">
        <v>55</v>
      </c>
      <c r="U16" s="2254"/>
      <c r="V16" s="2267">
        <f>Y12</f>
        <v>102856.1275</v>
      </c>
      <c r="W16" s="2267"/>
      <c r="X16" s="2262"/>
    </row>
    <row r="17" spans="1:25" ht="28.5" customHeight="1" x14ac:dyDescent="0.25">
      <c r="A17" s="101" t="s">
        <v>44</v>
      </c>
      <c r="B17" s="2260">
        <v>10389</v>
      </c>
      <c r="C17" s="2261"/>
      <c r="D17" s="1774"/>
      <c r="E17" s="1774"/>
      <c r="F17" s="1774"/>
      <c r="G17" s="1774"/>
      <c r="H17" s="1774"/>
      <c r="I17" s="1774"/>
      <c r="J17" s="1774"/>
      <c r="K17" s="1774"/>
      <c r="L17" s="1774"/>
      <c r="M17" s="1774"/>
      <c r="N17" s="1774"/>
      <c r="O17" s="1774"/>
      <c r="P17" s="1774"/>
      <c r="Q17" s="2225"/>
      <c r="R17" s="2225"/>
      <c r="S17" s="1770"/>
      <c r="T17" s="2294" t="s">
        <v>521</v>
      </c>
      <c r="U17" s="2295"/>
      <c r="V17" s="2296"/>
      <c r="W17" s="2296"/>
      <c r="X17" s="2296"/>
    </row>
    <row r="18" spans="1:25" ht="27" customHeight="1" x14ac:dyDescent="0.25">
      <c r="A18" s="100" t="s">
        <v>40</v>
      </c>
      <c r="B18" s="2264">
        <f>C12</f>
        <v>105559</v>
      </c>
      <c r="C18" s="2261"/>
      <c r="D18" s="1776">
        <f>E12</f>
        <v>0</v>
      </c>
      <c r="E18" s="1776">
        <f>G12</f>
        <v>0</v>
      </c>
      <c r="F18" s="1776">
        <f>I12</f>
        <v>0</v>
      </c>
      <c r="G18" s="1776">
        <f>K12</f>
        <v>0</v>
      </c>
      <c r="H18" s="1774"/>
      <c r="I18" s="1776">
        <f>U12</f>
        <v>0</v>
      </c>
      <c r="J18" s="1774"/>
      <c r="K18" s="1776">
        <f>W12</f>
        <v>2</v>
      </c>
      <c r="L18" s="1774"/>
      <c r="M18" s="1776">
        <f>M12</f>
        <v>0</v>
      </c>
      <c r="N18" s="1776">
        <f>O12</f>
        <v>0</v>
      </c>
      <c r="O18" s="1775">
        <f>Q12</f>
        <v>0</v>
      </c>
      <c r="P18" s="1776"/>
      <c r="Q18" s="2262"/>
      <c r="R18" s="2262"/>
      <c r="S18" s="1771"/>
      <c r="T18" s="2254" t="s">
        <v>57</v>
      </c>
      <c r="U18" s="2254"/>
      <c r="V18" s="2262">
        <v>12572</v>
      </c>
      <c r="W18" s="2262"/>
      <c r="X18" s="2262"/>
      <c r="Y18" s="2269"/>
    </row>
    <row r="19" spans="1:25" ht="25.5" customHeight="1" x14ac:dyDescent="0.25">
      <c r="A19" s="100" t="s">
        <v>41</v>
      </c>
      <c r="B19" s="2260">
        <f>B15+B16+B17-B18</f>
        <v>481048</v>
      </c>
      <c r="C19" s="2261"/>
      <c r="D19" s="1774">
        <f>D15+D16+D17-D18</f>
        <v>0</v>
      </c>
      <c r="E19" s="1774">
        <f t="shared" ref="E19:N19" si="13">E15+E16+E17-E18</f>
        <v>0</v>
      </c>
      <c r="F19" s="1774">
        <f t="shared" si="13"/>
        <v>2500</v>
      </c>
      <c r="G19" s="1774">
        <f t="shared" si="13"/>
        <v>0</v>
      </c>
      <c r="H19" s="1774">
        <f t="shared" si="13"/>
        <v>38</v>
      </c>
      <c r="I19" s="1774">
        <f t="shared" si="13"/>
        <v>0</v>
      </c>
      <c r="J19" s="1774">
        <f t="shared" si="13"/>
        <v>4</v>
      </c>
      <c r="K19" s="1774">
        <f t="shared" si="13"/>
        <v>64</v>
      </c>
      <c r="L19" s="1774">
        <f t="shared" si="13"/>
        <v>0</v>
      </c>
      <c r="M19" s="1774">
        <f t="shared" si="13"/>
        <v>0</v>
      </c>
      <c r="N19" s="1774">
        <f t="shared" si="13"/>
        <v>0</v>
      </c>
      <c r="O19" s="1774">
        <f>O15+O16+O17-O18</f>
        <v>0</v>
      </c>
      <c r="P19" s="1774">
        <f t="shared" ref="P19:Q19" si="14">P15+P16+P17-P18</f>
        <v>100</v>
      </c>
      <c r="Q19" s="2260">
        <f t="shared" si="14"/>
        <v>10</v>
      </c>
      <c r="R19" s="2261"/>
      <c r="S19" s="1771">
        <f>S15+S16-S17-S18</f>
        <v>2</v>
      </c>
      <c r="T19" s="2256" t="s">
        <v>48</v>
      </c>
      <c r="U19" s="49" t="s">
        <v>58</v>
      </c>
      <c r="V19" s="2262">
        <v>102000</v>
      </c>
      <c r="W19" s="2262"/>
      <c r="X19" s="2262"/>
      <c r="Y19" s="2269"/>
    </row>
    <row r="20" spans="1:25" ht="23.25" customHeight="1" x14ac:dyDescent="0.25">
      <c r="A20" s="289" t="s">
        <v>187</v>
      </c>
      <c r="B20" s="2286">
        <f>B19*0.9625</f>
        <v>463008.7</v>
      </c>
      <c r="C20" s="2287"/>
      <c r="D20" s="290">
        <f>D19*66.41</f>
        <v>0</v>
      </c>
      <c r="E20" s="290">
        <f>27.9368*E19</f>
        <v>0</v>
      </c>
      <c r="F20" s="290">
        <f>18.31*F19</f>
        <v>45775</v>
      </c>
      <c r="G20" s="290">
        <f>27.9368*G19</f>
        <v>0</v>
      </c>
      <c r="H20" s="290">
        <f>241*H19</f>
        <v>9158</v>
      </c>
      <c r="I20" s="290">
        <f>323*I19</f>
        <v>0</v>
      </c>
      <c r="J20" s="290">
        <f>241*J19</f>
        <v>964</v>
      </c>
      <c r="K20" s="290">
        <f>K19*100</f>
        <v>6400</v>
      </c>
      <c r="L20" s="290">
        <f>241*L19</f>
        <v>0</v>
      </c>
      <c r="M20" s="290">
        <f>47.1625*M19</f>
        <v>0</v>
      </c>
      <c r="N20" s="290">
        <f>N19*8.81</f>
        <v>0</v>
      </c>
      <c r="O20" s="290">
        <f>241*O19</f>
        <v>0</v>
      </c>
      <c r="P20" s="290">
        <f>P19*48.2</f>
        <v>4820</v>
      </c>
      <c r="Q20" s="2286">
        <f>470*Q19</f>
        <v>4700</v>
      </c>
      <c r="R20" s="2287"/>
      <c r="S20" s="290">
        <f>341*S19</f>
        <v>682</v>
      </c>
      <c r="T20" s="2257"/>
      <c r="U20" s="49" t="s">
        <v>59</v>
      </c>
      <c r="V20" s="2262"/>
      <c r="W20" s="2262"/>
      <c r="X20" s="2262"/>
      <c r="Y20" s="2269"/>
    </row>
    <row r="21" spans="1:25" ht="32.25" customHeight="1" x14ac:dyDescent="0.25">
      <c r="A21" s="291" t="s">
        <v>186</v>
      </c>
      <c r="B21" s="2293">
        <f>SUM(B20:S20)</f>
        <v>535507.69999999995</v>
      </c>
      <c r="C21" s="2293"/>
      <c r="O21" s="1778"/>
      <c r="P21" s="1778"/>
      <c r="Q21" s="1778"/>
      <c r="R21" s="1778"/>
      <c r="T21" s="2294" t="s">
        <v>518</v>
      </c>
      <c r="U21" s="2295"/>
      <c r="V21" s="2297"/>
      <c r="W21" s="2298"/>
      <c r="X21" s="2299"/>
      <c r="Y21" s="2269"/>
    </row>
    <row r="22" spans="1:25" ht="35.25" customHeight="1" x14ac:dyDescent="0.25">
      <c r="A22" s="15"/>
      <c r="B22" s="2288" t="s">
        <v>49</v>
      </c>
      <c r="C22" s="2291">
        <v>102000</v>
      </c>
      <c r="D22" s="2291">
        <v>102000</v>
      </c>
      <c r="E22" s="2291">
        <v>90000</v>
      </c>
      <c r="F22" s="2291">
        <f>C22-D22+E22</f>
        <v>90000</v>
      </c>
      <c r="G22" s="1778"/>
      <c r="Q22" s="1778"/>
      <c r="R22" s="1778"/>
      <c r="T22" s="2251" t="s">
        <v>83</v>
      </c>
      <c r="U22" s="50" t="s">
        <v>60</v>
      </c>
      <c r="V22" s="2262">
        <v>99920</v>
      </c>
      <c r="W22" s="2262"/>
      <c r="X22" s="2262"/>
      <c r="Y22" s="2269"/>
    </row>
    <row r="23" spans="1:25" ht="39.75" customHeight="1" x14ac:dyDescent="0.25">
      <c r="A23" s="1778"/>
      <c r="B23" s="2289"/>
      <c r="C23" s="2292"/>
      <c r="D23" s="2292"/>
      <c r="E23" s="2292"/>
      <c r="F23" s="2292"/>
      <c r="G23" s="1778"/>
      <c r="Q23" s="1778"/>
      <c r="R23" s="1778"/>
      <c r="T23" s="2252"/>
      <c r="U23" s="50" t="s">
        <v>61</v>
      </c>
      <c r="V23" s="2262">
        <v>102000</v>
      </c>
      <c r="W23" s="2262"/>
      <c r="X23" s="2262"/>
      <c r="Y23" s="2269"/>
    </row>
    <row r="24" spans="1:25" ht="48" customHeight="1" x14ac:dyDescent="0.25">
      <c r="A24" s="1778"/>
      <c r="B24" s="2290"/>
      <c r="C24" s="290" t="s">
        <v>46</v>
      </c>
      <c r="D24" s="290" t="s">
        <v>50</v>
      </c>
      <c r="E24" s="290" t="s">
        <v>51</v>
      </c>
      <c r="F24" s="290" t="s">
        <v>52</v>
      </c>
      <c r="G24" s="1778"/>
      <c r="Q24" s="1778"/>
      <c r="R24" s="1778"/>
      <c r="T24" s="2235" t="s">
        <v>47</v>
      </c>
      <c r="U24" s="51" t="s">
        <v>62</v>
      </c>
      <c r="V24" s="2263">
        <f>V14+V16+V17-V18-V19-V20-V22+V23-V21</f>
        <v>5548.1275000000023</v>
      </c>
      <c r="W24" s="2263"/>
      <c r="X24" s="2263"/>
      <c r="Y24" s="2269"/>
    </row>
    <row r="25" spans="1:25" ht="40.5" customHeight="1" x14ac:dyDescent="0.25">
      <c r="T25" s="2235"/>
      <c r="U25" s="51" t="s">
        <v>63</v>
      </c>
      <c r="V25" s="2262">
        <f>V15+V22-V23</f>
        <v>28759</v>
      </c>
      <c r="W25" s="2262"/>
      <c r="X25" s="2262"/>
    </row>
    <row r="26" spans="1:25" ht="36" customHeight="1" x14ac:dyDescent="0.25">
      <c r="K26" s="314"/>
    </row>
    <row r="28" spans="1:25" x14ac:dyDescent="0.25">
      <c r="J28" s="14" t="s">
        <v>139</v>
      </c>
    </row>
    <row r="32" spans="1:25" x14ac:dyDescent="0.25">
      <c r="I32" s="2280"/>
      <c r="J32" s="2280"/>
      <c r="K32" s="2280"/>
      <c r="L32" s="2280"/>
    </row>
    <row r="33" spans="9:12" x14ac:dyDescent="0.25">
      <c r="I33" s="1778"/>
      <c r="J33" s="1778"/>
      <c r="K33" s="2280"/>
      <c r="L33" s="2280"/>
    </row>
  </sheetData>
  <mergeCells count="62">
    <mergeCell ref="A1:Y1"/>
    <mergeCell ref="A2:Y2"/>
    <mergeCell ref="T3:Y3"/>
    <mergeCell ref="A4:A5"/>
    <mergeCell ref="B4:B5"/>
    <mergeCell ref="C4:D4"/>
    <mergeCell ref="E4:F4"/>
    <mergeCell ref="G4:H4"/>
    <mergeCell ref="I4:J4"/>
    <mergeCell ref="K4:L4"/>
    <mergeCell ref="Y4:Y5"/>
    <mergeCell ref="M4:N4"/>
    <mergeCell ref="O4:P4"/>
    <mergeCell ref="Q4:R4"/>
    <mergeCell ref="S4:T4"/>
    <mergeCell ref="U4:V4"/>
    <mergeCell ref="W4:X4"/>
    <mergeCell ref="B16:C16"/>
    <mergeCell ref="Q16:R16"/>
    <mergeCell ref="T16:U16"/>
    <mergeCell ref="V16:X16"/>
    <mergeCell ref="A12:B12"/>
    <mergeCell ref="B14:C14"/>
    <mergeCell ref="Q14:R14"/>
    <mergeCell ref="T14:T15"/>
    <mergeCell ref="V14:X14"/>
    <mergeCell ref="B15:C15"/>
    <mergeCell ref="Q15:R15"/>
    <mergeCell ref="V15:X15"/>
    <mergeCell ref="B17:C17"/>
    <mergeCell ref="Q17:R17"/>
    <mergeCell ref="T17:U17"/>
    <mergeCell ref="V17:X17"/>
    <mergeCell ref="B18:C18"/>
    <mergeCell ref="Q18:R18"/>
    <mergeCell ref="T18:U18"/>
    <mergeCell ref="V18:X18"/>
    <mergeCell ref="Y18:Y24"/>
    <mergeCell ref="B19:C19"/>
    <mergeCell ref="Q19:R19"/>
    <mergeCell ref="T19:T20"/>
    <mergeCell ref="V19:X19"/>
    <mergeCell ref="B20:C20"/>
    <mergeCell ref="B22:B24"/>
    <mergeCell ref="C22:C23"/>
    <mergeCell ref="D22:D23"/>
    <mergeCell ref="E22:E23"/>
    <mergeCell ref="F22:F23"/>
    <mergeCell ref="Q20:R20"/>
    <mergeCell ref="V20:X20"/>
    <mergeCell ref="B21:C21"/>
    <mergeCell ref="T21:U21"/>
    <mergeCell ref="V21:X21"/>
    <mergeCell ref="I32:J32"/>
    <mergeCell ref="K32:L32"/>
    <mergeCell ref="K33:L33"/>
    <mergeCell ref="T22:T23"/>
    <mergeCell ref="V22:X22"/>
    <mergeCell ref="V23:X23"/>
    <mergeCell ref="T24:T25"/>
    <mergeCell ref="V24:X24"/>
    <mergeCell ref="V25:X25"/>
  </mergeCells>
  <pageMargins left="0.15748031496063" right="0.15748031496063" top="0" bottom="0" header="0" footer="0"/>
  <pageSetup paperSize="9" scale="46" orientation="landscape" r:id="rId1"/>
</worksheet>
</file>

<file path=xl/worksheets/sheet28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8555197-FFDA-416B-AD4F-311EA2E5C7B2}">
  <sheetPr>
    <pageSetUpPr fitToPage="1"/>
  </sheetPr>
  <dimension ref="A1:Y33"/>
  <sheetViews>
    <sheetView topLeftCell="A14" zoomScale="70" zoomScaleNormal="70" zoomScaleSheetLayoutView="100" zoomScalePageLayoutView="68" workbookViewId="0">
      <selection activeCell="E24" sqref="E24"/>
    </sheetView>
  </sheetViews>
  <sheetFormatPr defaultColWidth="9.140625" defaultRowHeight="15" x14ac:dyDescent="0.25"/>
  <cols>
    <col min="1" max="1" width="18.28515625" style="14" customWidth="1"/>
    <col min="2" max="2" width="10.7109375" style="14" customWidth="1"/>
    <col min="3" max="3" width="12.28515625" style="14" customWidth="1"/>
    <col min="4" max="4" width="13.140625" style="14" bestFit="1" customWidth="1"/>
    <col min="5" max="5" width="12" style="14" customWidth="1"/>
    <col min="6" max="6" width="14" style="14" bestFit="1" customWidth="1"/>
    <col min="7" max="7" width="16" style="14" bestFit="1" customWidth="1"/>
    <col min="8" max="8" width="10.140625" style="14" bestFit="1" customWidth="1"/>
    <col min="9" max="9" width="10.5703125" style="14" bestFit="1" customWidth="1"/>
    <col min="10" max="10" width="10.5703125" style="14" customWidth="1"/>
    <col min="11" max="11" width="10.28515625" style="14" bestFit="1" customWidth="1"/>
    <col min="12" max="12" width="10.42578125" style="14" bestFit="1" customWidth="1"/>
    <col min="13" max="14" width="12" style="14" bestFit="1" customWidth="1"/>
    <col min="15" max="15" width="11" style="14" customWidth="1"/>
    <col min="16" max="16" width="12.85546875" style="14" bestFit="1" customWidth="1"/>
    <col min="17" max="18" width="9.42578125" style="14" customWidth="1"/>
    <col min="19" max="19" width="13.7109375" style="14" customWidth="1"/>
    <col min="20" max="20" width="12.140625" style="14" customWidth="1"/>
    <col min="21" max="21" width="21.7109375" style="14" customWidth="1"/>
    <col min="22" max="22" width="9.85546875" style="14" customWidth="1"/>
    <col min="23" max="23" width="10.140625" style="14" bestFit="1" customWidth="1"/>
    <col min="24" max="24" width="10.28515625" style="14" customWidth="1"/>
    <col min="25" max="25" width="15.7109375" style="14" customWidth="1"/>
    <col min="26" max="16384" width="9.140625" style="14"/>
  </cols>
  <sheetData>
    <row r="1" spans="1:25" ht="46.15" customHeight="1" x14ac:dyDescent="0.25">
      <c r="A1" s="2240" t="s">
        <v>148</v>
      </c>
      <c r="B1" s="2240"/>
      <c r="C1" s="2240"/>
      <c r="D1" s="2240"/>
      <c r="E1" s="2240"/>
      <c r="F1" s="2240"/>
      <c r="G1" s="2240"/>
      <c r="H1" s="2240"/>
      <c r="I1" s="2240"/>
      <c r="J1" s="2240"/>
      <c r="K1" s="2240"/>
      <c r="L1" s="2240"/>
      <c r="M1" s="2240"/>
      <c r="N1" s="2240"/>
      <c r="O1" s="2240"/>
      <c r="P1" s="2240"/>
      <c r="Q1" s="2240"/>
      <c r="R1" s="2240"/>
      <c r="S1" s="2240"/>
      <c r="T1" s="2240"/>
      <c r="U1" s="2240"/>
      <c r="V1" s="2240"/>
      <c r="W1" s="2240"/>
      <c r="X1" s="2240"/>
      <c r="Y1" s="2240"/>
    </row>
    <row r="2" spans="1:25" ht="21.6" customHeight="1" x14ac:dyDescent="0.25">
      <c r="A2" s="2241" t="s">
        <v>383</v>
      </c>
      <c r="B2" s="2241"/>
      <c r="C2" s="2241"/>
      <c r="D2" s="2241"/>
      <c r="E2" s="2241"/>
      <c r="F2" s="2241"/>
      <c r="G2" s="2241"/>
      <c r="H2" s="2241"/>
      <c r="I2" s="2241"/>
      <c r="J2" s="2241"/>
      <c r="K2" s="2241"/>
      <c r="L2" s="2241"/>
      <c r="M2" s="2241"/>
      <c r="N2" s="2241"/>
      <c r="O2" s="2241"/>
      <c r="P2" s="2241"/>
      <c r="Q2" s="2241"/>
      <c r="R2" s="2241"/>
      <c r="S2" s="2241"/>
      <c r="T2" s="2241"/>
      <c r="U2" s="2241"/>
      <c r="V2" s="2241"/>
      <c r="W2" s="2241"/>
      <c r="X2" s="2241"/>
      <c r="Y2" s="2241"/>
    </row>
    <row r="3" spans="1:25" ht="21" customHeight="1" x14ac:dyDescent="0.25">
      <c r="A3" s="1779"/>
      <c r="B3" s="1779"/>
      <c r="C3" s="1779"/>
      <c r="D3" s="1779"/>
      <c r="E3" s="1779"/>
      <c r="F3" s="1779"/>
      <c r="G3" s="1779"/>
      <c r="H3" s="1779"/>
      <c r="I3" s="1779"/>
      <c r="J3" s="1779"/>
      <c r="K3" s="1779"/>
      <c r="L3" s="1779"/>
      <c r="M3" s="1779"/>
      <c r="N3" s="1779"/>
      <c r="O3" s="1779"/>
      <c r="P3" s="1779"/>
      <c r="Q3" s="1779"/>
      <c r="R3" s="1779"/>
      <c r="S3" s="1779"/>
      <c r="T3" s="2242" t="s">
        <v>536</v>
      </c>
      <c r="U3" s="2242"/>
      <c r="V3" s="2242"/>
      <c r="W3" s="2242"/>
      <c r="X3" s="2242"/>
      <c r="Y3" s="2242"/>
    </row>
    <row r="4" spans="1:25" s="1779" customFormat="1" ht="18" customHeight="1" x14ac:dyDescent="0.25">
      <c r="A4" s="2243" t="s">
        <v>25</v>
      </c>
      <c r="B4" s="2243" t="s">
        <v>26</v>
      </c>
      <c r="C4" s="2244" t="s">
        <v>27</v>
      </c>
      <c r="D4" s="2244"/>
      <c r="E4" s="2244" t="s">
        <v>342</v>
      </c>
      <c r="F4" s="2244"/>
      <c r="G4" s="2244" t="s">
        <v>65</v>
      </c>
      <c r="H4" s="2244"/>
      <c r="I4" s="2244" t="s">
        <v>29</v>
      </c>
      <c r="J4" s="2244"/>
      <c r="K4" s="2245" t="s">
        <v>14</v>
      </c>
      <c r="L4" s="2246"/>
      <c r="M4" s="2245" t="s">
        <v>429</v>
      </c>
      <c r="N4" s="2246"/>
      <c r="O4" s="2245" t="s">
        <v>441</v>
      </c>
      <c r="P4" s="2246"/>
      <c r="Q4" s="2245" t="s">
        <v>114</v>
      </c>
      <c r="R4" s="2246"/>
      <c r="S4" s="2244" t="s">
        <v>35</v>
      </c>
      <c r="T4" s="2244"/>
      <c r="U4" s="2245" t="s">
        <v>17</v>
      </c>
      <c r="V4" s="2246"/>
      <c r="W4" s="2247" t="s">
        <v>36</v>
      </c>
      <c r="X4" s="2248"/>
      <c r="Y4" s="2238" t="s">
        <v>30</v>
      </c>
    </row>
    <row r="5" spans="1:25" s="1779" customFormat="1" ht="25.5" customHeight="1" x14ac:dyDescent="0.25">
      <c r="A5" s="2243"/>
      <c r="B5" s="2243"/>
      <c r="C5" s="1781" t="s">
        <v>42</v>
      </c>
      <c r="D5" s="1781" t="s">
        <v>43</v>
      </c>
      <c r="E5" s="1781" t="s">
        <v>42</v>
      </c>
      <c r="F5" s="1781" t="s">
        <v>43</v>
      </c>
      <c r="G5" s="1781" t="s">
        <v>42</v>
      </c>
      <c r="H5" s="1781" t="s">
        <v>43</v>
      </c>
      <c r="I5" s="1781" t="s">
        <v>42</v>
      </c>
      <c r="J5" s="1781" t="s">
        <v>43</v>
      </c>
      <c r="K5" s="1781" t="s">
        <v>42</v>
      </c>
      <c r="L5" s="1781" t="s">
        <v>43</v>
      </c>
      <c r="M5" s="1781" t="s">
        <v>42</v>
      </c>
      <c r="N5" s="1781" t="s">
        <v>43</v>
      </c>
      <c r="O5" s="1781" t="s">
        <v>42</v>
      </c>
      <c r="P5" s="1781" t="s">
        <v>43</v>
      </c>
      <c r="Q5" s="1781" t="s">
        <v>42</v>
      </c>
      <c r="R5" s="1781" t="s">
        <v>43</v>
      </c>
      <c r="S5" s="33" t="s">
        <v>42</v>
      </c>
      <c r="T5" s="33" t="s">
        <v>43</v>
      </c>
      <c r="U5" s="30" t="s">
        <v>42</v>
      </c>
      <c r="V5" s="30" t="s">
        <v>43</v>
      </c>
      <c r="W5" s="30" t="s">
        <v>42</v>
      </c>
      <c r="X5" s="30" t="s">
        <v>43</v>
      </c>
      <c r="Y5" s="2239"/>
    </row>
    <row r="6" spans="1:25" ht="34.5" customHeight="1" x14ac:dyDescent="0.25">
      <c r="A6" s="12">
        <v>1409935200</v>
      </c>
      <c r="B6" s="1780" t="s">
        <v>71</v>
      </c>
      <c r="C6" s="1783">
        <v>32571</v>
      </c>
      <c r="D6" s="1784">
        <f t="shared" ref="D6:D11" si="0">0.9725*C6</f>
        <v>31675.297500000001</v>
      </c>
      <c r="E6" s="1783"/>
      <c r="F6" s="1784">
        <f>67.1*E6</f>
        <v>0</v>
      </c>
      <c r="G6" s="1783"/>
      <c r="H6" s="1783">
        <f>28.2*G6</f>
        <v>0</v>
      </c>
      <c r="I6" s="1783"/>
      <c r="J6" s="1783">
        <f>18.5*I6</f>
        <v>0</v>
      </c>
      <c r="K6" s="1783"/>
      <c r="L6" s="1784">
        <f>28.2368*K6</f>
        <v>0</v>
      </c>
      <c r="M6" s="1783"/>
      <c r="N6" s="1784">
        <f>M6*47.6525</f>
        <v>0</v>
      </c>
      <c r="O6" s="1783"/>
      <c r="P6" s="1784">
        <f>O6*8.9</f>
        <v>0</v>
      </c>
      <c r="Q6" s="1784"/>
      <c r="R6" s="1784">
        <f>241*Q6</f>
        <v>0</v>
      </c>
      <c r="S6" s="1783"/>
      <c r="T6" s="1783">
        <f>241*S6</f>
        <v>0</v>
      </c>
      <c r="U6" s="1783"/>
      <c r="V6" s="1783">
        <f>332*U6</f>
        <v>0</v>
      </c>
      <c r="W6" s="1783"/>
      <c r="X6" s="19">
        <f>W6*100</f>
        <v>0</v>
      </c>
      <c r="Y6" s="20">
        <f t="shared" ref="Y6:Y12" si="1">D6+F6+H6+J6+L6+N6+P6+R6+T6+V6+X6</f>
        <v>31675.297500000001</v>
      </c>
    </row>
    <row r="7" spans="1:25" ht="31.5" customHeight="1" x14ac:dyDescent="0.25">
      <c r="A7" s="12">
        <v>1984225578</v>
      </c>
      <c r="B7" s="1780" t="s">
        <v>509</v>
      </c>
      <c r="C7" s="1783">
        <v>31162</v>
      </c>
      <c r="D7" s="1784">
        <f t="shared" si="0"/>
        <v>30305.045000000002</v>
      </c>
      <c r="E7" s="1783"/>
      <c r="F7" s="1783">
        <f t="shared" ref="F7:F11" si="2">67.1*E7</f>
        <v>0</v>
      </c>
      <c r="G7" s="1783"/>
      <c r="H7" s="1783">
        <f t="shared" ref="H7:H11" si="3">28.2*G7</f>
        <v>0</v>
      </c>
      <c r="I7" s="1783">
        <v>660</v>
      </c>
      <c r="J7" s="1783">
        <f t="shared" ref="J7:J11" si="4">18.5*I7</f>
        <v>12210</v>
      </c>
      <c r="K7" s="1783"/>
      <c r="L7" s="1784">
        <f t="shared" ref="L7:L11" si="5">28.2368*K7</f>
        <v>0</v>
      </c>
      <c r="M7" s="1783"/>
      <c r="N7" s="1784">
        <f t="shared" ref="N7:N11" si="6">M7*47.6525</f>
        <v>0</v>
      </c>
      <c r="O7" s="1783"/>
      <c r="P7" s="1784">
        <f t="shared" ref="P7:P11" si="7">O7*8.9</f>
        <v>0</v>
      </c>
      <c r="Q7" s="1784"/>
      <c r="R7" s="1784">
        <f t="shared" ref="R7:R11" si="8">241*Q7</f>
        <v>0</v>
      </c>
      <c r="S7" s="1783"/>
      <c r="T7" s="1783">
        <f t="shared" ref="T7:T10" si="9">241*S7</f>
        <v>0</v>
      </c>
      <c r="U7" s="1783"/>
      <c r="V7" s="1783">
        <f t="shared" ref="V7:V11" si="10">332*U7</f>
        <v>0</v>
      </c>
      <c r="W7" s="1783"/>
      <c r="X7" s="19">
        <f t="shared" ref="X7:X11" si="11">W7*100</f>
        <v>0</v>
      </c>
      <c r="Y7" s="20">
        <f t="shared" si="1"/>
        <v>42515.044999999998</v>
      </c>
    </row>
    <row r="8" spans="1:25" ht="35.25" customHeight="1" x14ac:dyDescent="0.25">
      <c r="A8" s="12">
        <v>1967020280</v>
      </c>
      <c r="B8" s="1780" t="s">
        <v>427</v>
      </c>
      <c r="C8" s="1783">
        <v>23225</v>
      </c>
      <c r="D8" s="1784">
        <f t="shared" si="0"/>
        <v>22586.3125</v>
      </c>
      <c r="E8" s="1783"/>
      <c r="F8" s="1783">
        <f t="shared" si="2"/>
        <v>0</v>
      </c>
      <c r="G8" s="1783"/>
      <c r="H8" s="1784">
        <f t="shared" si="3"/>
        <v>0</v>
      </c>
      <c r="I8" s="1783">
        <v>1000</v>
      </c>
      <c r="J8" s="1783">
        <f t="shared" si="4"/>
        <v>18500</v>
      </c>
      <c r="K8" s="1783"/>
      <c r="L8" s="1784">
        <f t="shared" si="5"/>
        <v>0</v>
      </c>
      <c r="M8" s="1783"/>
      <c r="N8" s="1784">
        <f t="shared" si="6"/>
        <v>0</v>
      </c>
      <c r="O8" s="1783"/>
      <c r="P8" s="1784">
        <f t="shared" si="7"/>
        <v>0</v>
      </c>
      <c r="Q8" s="1784"/>
      <c r="R8" s="1784">
        <f t="shared" si="8"/>
        <v>0</v>
      </c>
      <c r="S8" s="1783"/>
      <c r="T8" s="1783">
        <f t="shared" si="9"/>
        <v>0</v>
      </c>
      <c r="U8" s="1783"/>
      <c r="V8" s="1783">
        <f t="shared" si="10"/>
        <v>0</v>
      </c>
      <c r="W8" s="1783"/>
      <c r="X8" s="19">
        <f t="shared" si="11"/>
        <v>0</v>
      </c>
      <c r="Y8" s="20">
        <f t="shared" si="1"/>
        <v>41086.3125</v>
      </c>
    </row>
    <row r="9" spans="1:25" ht="38.25" customHeight="1" x14ac:dyDescent="0.25">
      <c r="A9" s="12">
        <v>1984225580</v>
      </c>
      <c r="B9" s="1780" t="s">
        <v>75</v>
      </c>
      <c r="C9" s="1783">
        <v>51344</v>
      </c>
      <c r="D9" s="1784">
        <f t="shared" si="0"/>
        <v>49932.04</v>
      </c>
      <c r="E9" s="1783"/>
      <c r="F9" s="1783">
        <f t="shared" si="2"/>
        <v>0</v>
      </c>
      <c r="G9" s="1783"/>
      <c r="H9" s="1783">
        <f t="shared" si="3"/>
        <v>0</v>
      </c>
      <c r="I9" s="1783"/>
      <c r="J9" s="1783">
        <f t="shared" si="4"/>
        <v>0</v>
      </c>
      <c r="K9" s="1783"/>
      <c r="L9" s="1784">
        <f t="shared" si="5"/>
        <v>0</v>
      </c>
      <c r="M9" s="1783"/>
      <c r="N9" s="1784">
        <f t="shared" si="6"/>
        <v>0</v>
      </c>
      <c r="O9" s="1783"/>
      <c r="P9" s="1784">
        <f t="shared" si="7"/>
        <v>0</v>
      </c>
      <c r="Q9" s="1784"/>
      <c r="R9" s="1784">
        <f t="shared" si="8"/>
        <v>0</v>
      </c>
      <c r="S9" s="1783"/>
      <c r="T9" s="1783">
        <f t="shared" si="9"/>
        <v>0</v>
      </c>
      <c r="U9" s="1783"/>
      <c r="V9" s="1783">
        <f t="shared" si="10"/>
        <v>0</v>
      </c>
      <c r="W9" s="1783"/>
      <c r="X9" s="19">
        <f t="shared" si="11"/>
        <v>0</v>
      </c>
      <c r="Y9" s="20">
        <f t="shared" si="1"/>
        <v>49932.04</v>
      </c>
    </row>
    <row r="10" spans="1:25" ht="35.25" customHeight="1" x14ac:dyDescent="0.25">
      <c r="A10" s="12">
        <v>1409935199</v>
      </c>
      <c r="C10" s="1783"/>
      <c r="D10" s="1784">
        <f t="shared" si="0"/>
        <v>0</v>
      </c>
      <c r="E10" s="1783"/>
      <c r="F10" s="1783">
        <f t="shared" si="2"/>
        <v>0</v>
      </c>
      <c r="G10" s="1783"/>
      <c r="H10" s="1783">
        <f t="shared" si="3"/>
        <v>0</v>
      </c>
      <c r="I10" s="1783"/>
      <c r="J10" s="1783">
        <f t="shared" si="4"/>
        <v>0</v>
      </c>
      <c r="K10" s="1783"/>
      <c r="L10" s="1784">
        <f t="shared" si="5"/>
        <v>0</v>
      </c>
      <c r="M10" s="1783"/>
      <c r="N10" s="1784">
        <f t="shared" si="6"/>
        <v>0</v>
      </c>
      <c r="O10" s="1783"/>
      <c r="P10" s="1784">
        <f t="shared" si="7"/>
        <v>0</v>
      </c>
      <c r="Q10" s="1784"/>
      <c r="R10" s="1784">
        <f t="shared" si="8"/>
        <v>0</v>
      </c>
      <c r="S10" s="1783"/>
      <c r="T10" s="1783">
        <f t="shared" si="9"/>
        <v>0</v>
      </c>
      <c r="U10" s="1783"/>
      <c r="V10" s="1783">
        <f t="shared" si="10"/>
        <v>0</v>
      </c>
      <c r="W10" s="1783"/>
      <c r="X10" s="19">
        <f t="shared" si="11"/>
        <v>0</v>
      </c>
      <c r="Y10" s="20">
        <f t="shared" si="1"/>
        <v>0</v>
      </c>
    </row>
    <row r="11" spans="1:25" ht="37.5" customHeight="1" x14ac:dyDescent="0.25">
      <c r="A11" s="12"/>
      <c r="B11" s="1782"/>
      <c r="C11" s="1783"/>
      <c r="D11" s="1784">
        <f t="shared" si="0"/>
        <v>0</v>
      </c>
      <c r="E11" s="1783"/>
      <c r="F11" s="1783">
        <f t="shared" si="2"/>
        <v>0</v>
      </c>
      <c r="G11" s="1783"/>
      <c r="H11" s="1783">
        <f t="shared" si="3"/>
        <v>0</v>
      </c>
      <c r="I11" s="1783"/>
      <c r="J11" s="1783">
        <f t="shared" si="4"/>
        <v>0</v>
      </c>
      <c r="K11" s="1783"/>
      <c r="L11" s="1784">
        <f t="shared" si="5"/>
        <v>0</v>
      </c>
      <c r="M11" s="1783"/>
      <c r="N11" s="1784">
        <f t="shared" si="6"/>
        <v>0</v>
      </c>
      <c r="O11" s="1783"/>
      <c r="P11" s="1784">
        <f t="shared" si="7"/>
        <v>0</v>
      </c>
      <c r="Q11" s="1784"/>
      <c r="R11" s="1784">
        <f t="shared" si="8"/>
        <v>0</v>
      </c>
      <c r="S11" s="1783"/>
      <c r="T11" s="1783">
        <f>341*S11</f>
        <v>0</v>
      </c>
      <c r="U11" s="1783"/>
      <c r="V11" s="1783">
        <f t="shared" si="10"/>
        <v>0</v>
      </c>
      <c r="W11" s="1783"/>
      <c r="X11" s="19">
        <f t="shared" si="11"/>
        <v>0</v>
      </c>
      <c r="Y11" s="20">
        <f t="shared" si="1"/>
        <v>0</v>
      </c>
    </row>
    <row r="12" spans="1:25" ht="29.25" customHeight="1" x14ac:dyDescent="0.25">
      <c r="A12" s="2235" t="s">
        <v>31</v>
      </c>
      <c r="B12" s="2235"/>
      <c r="C12" s="18">
        <f t="shared" ref="C12:X12" si="12">SUM(C6:C11)</f>
        <v>138302</v>
      </c>
      <c r="D12" s="18">
        <f t="shared" si="12"/>
        <v>134498.69500000001</v>
      </c>
      <c r="E12" s="18">
        <f t="shared" si="12"/>
        <v>0</v>
      </c>
      <c r="F12" s="18">
        <f t="shared" si="12"/>
        <v>0</v>
      </c>
      <c r="G12" s="18">
        <f t="shared" si="12"/>
        <v>0</v>
      </c>
      <c r="H12" s="18">
        <f t="shared" si="12"/>
        <v>0</v>
      </c>
      <c r="I12" s="18">
        <f t="shared" si="12"/>
        <v>1660</v>
      </c>
      <c r="J12" s="18">
        <f t="shared" si="12"/>
        <v>30710</v>
      </c>
      <c r="K12" s="18">
        <f t="shared" si="12"/>
        <v>0</v>
      </c>
      <c r="L12" s="18">
        <f t="shared" si="12"/>
        <v>0</v>
      </c>
      <c r="M12" s="18">
        <f t="shared" si="12"/>
        <v>0</v>
      </c>
      <c r="N12" s="23">
        <f t="shared" si="12"/>
        <v>0</v>
      </c>
      <c r="O12" s="18">
        <f t="shared" si="12"/>
        <v>0</v>
      </c>
      <c r="P12" s="23">
        <f t="shared" si="12"/>
        <v>0</v>
      </c>
      <c r="Q12" s="23">
        <f t="shared" si="12"/>
        <v>0</v>
      </c>
      <c r="R12" s="23">
        <f>SUM(R6:R11)</f>
        <v>0</v>
      </c>
      <c r="S12" s="23">
        <f>SUM(S6:S11)</f>
        <v>0</v>
      </c>
      <c r="T12" s="18">
        <f t="shared" si="12"/>
        <v>0</v>
      </c>
      <c r="U12" s="18">
        <f t="shared" si="12"/>
        <v>0</v>
      </c>
      <c r="V12" s="18">
        <f t="shared" si="12"/>
        <v>0</v>
      </c>
      <c r="W12" s="18">
        <f t="shared" si="12"/>
        <v>0</v>
      </c>
      <c r="X12" s="18">
        <f t="shared" si="12"/>
        <v>0</v>
      </c>
      <c r="Y12" s="20">
        <f t="shared" si="1"/>
        <v>165208.69500000001</v>
      </c>
    </row>
    <row r="14" spans="1:25" ht="43.5" customHeight="1" x14ac:dyDescent="0.25">
      <c r="A14" s="30" t="s">
        <v>32</v>
      </c>
      <c r="B14" s="2236" t="s">
        <v>27</v>
      </c>
      <c r="C14" s="2236"/>
      <c r="D14" s="30" t="s">
        <v>333</v>
      </c>
      <c r="E14" s="30" t="s">
        <v>65</v>
      </c>
      <c r="F14" s="30" t="s">
        <v>34</v>
      </c>
      <c r="G14" s="30" t="s">
        <v>14</v>
      </c>
      <c r="H14" s="469" t="s">
        <v>173</v>
      </c>
      <c r="I14" s="30" t="s">
        <v>17</v>
      </c>
      <c r="J14" s="1788" t="s">
        <v>174</v>
      </c>
      <c r="K14" s="30" t="s">
        <v>36</v>
      </c>
      <c r="L14" s="1788" t="s">
        <v>403</v>
      </c>
      <c r="M14" s="30" t="s">
        <v>429</v>
      </c>
      <c r="N14" s="30" t="s">
        <v>442</v>
      </c>
      <c r="O14" s="1788" t="s">
        <v>114</v>
      </c>
      <c r="P14" s="30" t="s">
        <v>70</v>
      </c>
      <c r="Q14" s="2300" t="s">
        <v>479</v>
      </c>
      <c r="R14" s="2301"/>
      <c r="S14" s="1788" t="s">
        <v>401</v>
      </c>
      <c r="T14" s="2235" t="s">
        <v>46</v>
      </c>
      <c r="U14" s="1780" t="s">
        <v>176</v>
      </c>
      <c r="V14" s="2260">
        <v>5548</v>
      </c>
      <c r="W14" s="2268"/>
      <c r="X14" s="2261"/>
    </row>
    <row r="15" spans="1:25" ht="22.5" customHeight="1" x14ac:dyDescent="0.25">
      <c r="A15" s="100" t="s">
        <v>38</v>
      </c>
      <c r="B15" s="2260">
        <v>481048</v>
      </c>
      <c r="C15" s="2261"/>
      <c r="D15" s="1785">
        <v>0</v>
      </c>
      <c r="E15" s="1785">
        <v>0</v>
      </c>
      <c r="F15" s="1785">
        <v>2500</v>
      </c>
      <c r="G15" s="1785">
        <v>0</v>
      </c>
      <c r="H15" s="1785">
        <v>38</v>
      </c>
      <c r="I15" s="1785">
        <v>0</v>
      </c>
      <c r="J15" s="1785">
        <v>4</v>
      </c>
      <c r="K15" s="1785">
        <v>64</v>
      </c>
      <c r="L15" s="1785">
        <v>0</v>
      </c>
      <c r="M15" s="1785">
        <v>0</v>
      </c>
      <c r="N15" s="1785">
        <v>0</v>
      </c>
      <c r="O15" s="1785">
        <v>0</v>
      </c>
      <c r="P15" s="1785">
        <v>100</v>
      </c>
      <c r="Q15" s="2260">
        <v>10</v>
      </c>
      <c r="R15" s="2261"/>
      <c r="S15" s="1780">
        <v>2</v>
      </c>
      <c r="T15" s="2235"/>
      <c r="U15" s="1780" t="s">
        <v>64</v>
      </c>
      <c r="V15" s="2262">
        <v>28759</v>
      </c>
      <c r="W15" s="2262"/>
      <c r="X15" s="2262"/>
    </row>
    <row r="16" spans="1:25" ht="24.75" customHeight="1" x14ac:dyDescent="0.25">
      <c r="A16" s="100" t="s">
        <v>39</v>
      </c>
      <c r="B16" s="2260">
        <v>213132</v>
      </c>
      <c r="C16" s="2261"/>
      <c r="D16" s="1785"/>
      <c r="E16" s="1785">
        <v>1000</v>
      </c>
      <c r="F16" s="1785"/>
      <c r="G16" s="1785"/>
      <c r="H16" s="1785"/>
      <c r="I16" s="1785">
        <v>150</v>
      </c>
      <c r="J16" s="1785"/>
      <c r="K16" s="1785">
        <v>15</v>
      </c>
      <c r="L16" s="1785"/>
      <c r="M16" s="1785"/>
      <c r="N16" s="1785"/>
      <c r="O16" s="1785"/>
      <c r="P16" s="1785"/>
      <c r="Q16" s="2262"/>
      <c r="R16" s="2262"/>
      <c r="S16" s="1785"/>
      <c r="T16" s="2254" t="s">
        <v>55</v>
      </c>
      <c r="U16" s="2254"/>
      <c r="V16" s="2267">
        <f>Y12</f>
        <v>165208.69500000001</v>
      </c>
      <c r="W16" s="2267"/>
      <c r="X16" s="2262"/>
    </row>
    <row r="17" spans="1:25" ht="28.5" customHeight="1" x14ac:dyDescent="0.25">
      <c r="A17" s="101" t="s">
        <v>44</v>
      </c>
      <c r="B17" s="2260"/>
      <c r="C17" s="2261"/>
      <c r="D17" s="1785"/>
      <c r="E17" s="1785"/>
      <c r="F17" s="1785"/>
      <c r="G17" s="1785"/>
      <c r="H17" s="1785"/>
      <c r="I17" s="1785"/>
      <c r="J17" s="1785"/>
      <c r="K17" s="1785"/>
      <c r="L17" s="1785"/>
      <c r="M17" s="1785"/>
      <c r="N17" s="1785"/>
      <c r="O17" s="1785"/>
      <c r="P17" s="1785"/>
      <c r="Q17" s="2225"/>
      <c r="R17" s="2225"/>
      <c r="S17" s="1782"/>
      <c r="T17" s="2294" t="s">
        <v>521</v>
      </c>
      <c r="U17" s="2295"/>
      <c r="V17" s="2296"/>
      <c r="W17" s="2296"/>
      <c r="X17" s="2296"/>
    </row>
    <row r="18" spans="1:25" ht="27" customHeight="1" x14ac:dyDescent="0.25">
      <c r="A18" s="100" t="s">
        <v>40</v>
      </c>
      <c r="B18" s="2264">
        <f>C12</f>
        <v>138302</v>
      </c>
      <c r="C18" s="2261"/>
      <c r="D18" s="1786">
        <f>E12</f>
        <v>0</v>
      </c>
      <c r="E18" s="1786">
        <f>G12</f>
        <v>0</v>
      </c>
      <c r="F18" s="1786">
        <f>I12</f>
        <v>1660</v>
      </c>
      <c r="G18" s="1786">
        <f>K12</f>
        <v>0</v>
      </c>
      <c r="H18" s="1785"/>
      <c r="I18" s="1786">
        <f>U12</f>
        <v>0</v>
      </c>
      <c r="J18" s="1785"/>
      <c r="K18" s="1786">
        <f>W12</f>
        <v>0</v>
      </c>
      <c r="L18" s="1785"/>
      <c r="M18" s="1786">
        <f>M12</f>
        <v>0</v>
      </c>
      <c r="N18" s="1786">
        <f>O12</f>
        <v>0</v>
      </c>
      <c r="O18" s="1787">
        <f>Q12</f>
        <v>0</v>
      </c>
      <c r="P18" s="1786"/>
      <c r="Q18" s="2262"/>
      <c r="R18" s="2262"/>
      <c r="S18" s="1780"/>
      <c r="T18" s="2254" t="s">
        <v>57</v>
      </c>
      <c r="U18" s="2254"/>
      <c r="V18" s="2262">
        <v>520</v>
      </c>
      <c r="W18" s="2262"/>
      <c r="X18" s="2262"/>
      <c r="Y18" s="2269"/>
    </row>
    <row r="19" spans="1:25" ht="25.5" customHeight="1" x14ac:dyDescent="0.25">
      <c r="A19" s="100" t="s">
        <v>41</v>
      </c>
      <c r="B19" s="2260">
        <f>B15+B16+B17-B18</f>
        <v>555878</v>
      </c>
      <c r="C19" s="2261"/>
      <c r="D19" s="1785">
        <f>D15+D16+D17-D18</f>
        <v>0</v>
      </c>
      <c r="E19" s="1785">
        <f t="shared" ref="E19:N19" si="13">E15+E16+E17-E18</f>
        <v>1000</v>
      </c>
      <c r="F19" s="1785">
        <f t="shared" si="13"/>
        <v>840</v>
      </c>
      <c r="G19" s="1785">
        <f t="shared" si="13"/>
        <v>0</v>
      </c>
      <c r="H19" s="1785">
        <f t="shared" si="13"/>
        <v>38</v>
      </c>
      <c r="I19" s="1785">
        <f t="shared" si="13"/>
        <v>150</v>
      </c>
      <c r="J19" s="1785">
        <f t="shared" si="13"/>
        <v>4</v>
      </c>
      <c r="K19" s="1785">
        <f t="shared" si="13"/>
        <v>79</v>
      </c>
      <c r="L19" s="1785">
        <f t="shared" si="13"/>
        <v>0</v>
      </c>
      <c r="M19" s="1785">
        <f t="shared" si="13"/>
        <v>0</v>
      </c>
      <c r="N19" s="1785">
        <f t="shared" si="13"/>
        <v>0</v>
      </c>
      <c r="O19" s="1785">
        <f>O15+O16+O17-O18</f>
        <v>0</v>
      </c>
      <c r="P19" s="1785">
        <f t="shared" ref="P19:Q19" si="14">P15+P16+P17-P18</f>
        <v>100</v>
      </c>
      <c r="Q19" s="2260">
        <f t="shared" si="14"/>
        <v>10</v>
      </c>
      <c r="R19" s="2261"/>
      <c r="S19" s="1780">
        <f>S15+S16-S17-S18</f>
        <v>2</v>
      </c>
      <c r="T19" s="2256" t="s">
        <v>48</v>
      </c>
      <c r="U19" s="49" t="s">
        <v>58</v>
      </c>
      <c r="V19" s="2262">
        <v>90000</v>
      </c>
      <c r="W19" s="2262"/>
      <c r="X19" s="2262"/>
      <c r="Y19" s="2269"/>
    </row>
    <row r="20" spans="1:25" ht="23.25" customHeight="1" x14ac:dyDescent="0.25">
      <c r="A20" s="289" t="s">
        <v>187</v>
      </c>
      <c r="B20" s="2286">
        <f>B19*0.9625</f>
        <v>535032.57500000007</v>
      </c>
      <c r="C20" s="2287"/>
      <c r="D20" s="290">
        <f>D19*66.41</f>
        <v>0</v>
      </c>
      <c r="E20" s="290">
        <f>27.9368*E19</f>
        <v>27936.800000000003</v>
      </c>
      <c r="F20" s="290">
        <f>18.31*F19</f>
        <v>15380.4</v>
      </c>
      <c r="G20" s="290">
        <f>27.9368*G19</f>
        <v>0</v>
      </c>
      <c r="H20" s="290">
        <f>241*H19</f>
        <v>9158</v>
      </c>
      <c r="I20" s="290">
        <f>323*I19</f>
        <v>48450</v>
      </c>
      <c r="J20" s="290">
        <f>241*J19</f>
        <v>964</v>
      </c>
      <c r="K20" s="290">
        <f>K19*100</f>
        <v>7900</v>
      </c>
      <c r="L20" s="290">
        <f>241*L19</f>
        <v>0</v>
      </c>
      <c r="M20" s="290">
        <f>47.1625*M19</f>
        <v>0</v>
      </c>
      <c r="N20" s="290">
        <f>N19*8.81</f>
        <v>0</v>
      </c>
      <c r="O20" s="290">
        <f>241*O19</f>
        <v>0</v>
      </c>
      <c r="P20" s="290">
        <f>P19*48.2</f>
        <v>4820</v>
      </c>
      <c r="Q20" s="2286">
        <f>470*Q19</f>
        <v>4700</v>
      </c>
      <c r="R20" s="2287"/>
      <c r="S20" s="290">
        <f>341*S19</f>
        <v>682</v>
      </c>
      <c r="T20" s="2257"/>
      <c r="U20" s="49" t="s">
        <v>59</v>
      </c>
      <c r="V20" s="2262">
        <v>95000</v>
      </c>
      <c r="W20" s="2262"/>
      <c r="X20" s="2262"/>
      <c r="Y20" s="2269"/>
    </row>
    <row r="21" spans="1:25" ht="32.25" customHeight="1" x14ac:dyDescent="0.25">
      <c r="A21" s="291" t="s">
        <v>186</v>
      </c>
      <c r="B21" s="2293">
        <f>SUM(B20:S20)</f>
        <v>655023.77500000014</v>
      </c>
      <c r="C21" s="2293"/>
      <c r="O21" s="1789"/>
      <c r="P21" s="1789"/>
      <c r="Q21" s="1789"/>
      <c r="R21" s="1789"/>
      <c r="T21" s="2294" t="s">
        <v>518</v>
      </c>
      <c r="U21" s="2295"/>
      <c r="V21" s="2297"/>
      <c r="W21" s="2298"/>
      <c r="X21" s="2299"/>
      <c r="Y21" s="2269"/>
    </row>
    <row r="22" spans="1:25" ht="35.25" customHeight="1" x14ac:dyDescent="0.25">
      <c r="A22" s="15"/>
      <c r="B22" s="2288" t="s">
        <v>49</v>
      </c>
      <c r="C22" s="2291">
        <v>90000</v>
      </c>
      <c r="D22" s="2291">
        <v>90000</v>
      </c>
      <c r="E22" s="2291">
        <v>188000</v>
      </c>
      <c r="F22" s="2291">
        <f>C22-D22+E22</f>
        <v>188000</v>
      </c>
      <c r="G22" s="1789"/>
      <c r="Q22" s="1789"/>
      <c r="R22" s="1789"/>
      <c r="T22" s="2251" t="s">
        <v>83</v>
      </c>
      <c r="U22" s="50" t="s">
        <v>60</v>
      </c>
      <c r="V22" s="2262">
        <v>165410</v>
      </c>
      <c r="W22" s="2262"/>
      <c r="X22" s="2262"/>
      <c r="Y22" s="2269"/>
    </row>
    <row r="23" spans="1:25" ht="39.75" customHeight="1" x14ac:dyDescent="0.25">
      <c r="A23" s="1789"/>
      <c r="B23" s="2289"/>
      <c r="C23" s="2292"/>
      <c r="D23" s="2292"/>
      <c r="E23" s="2292"/>
      <c r="F23" s="2292"/>
      <c r="G23" s="1789"/>
      <c r="Q23" s="1789"/>
      <c r="R23" s="1789"/>
      <c r="T23" s="2252"/>
      <c r="U23" s="50" t="s">
        <v>61</v>
      </c>
      <c r="V23" s="2262">
        <v>185000</v>
      </c>
      <c r="W23" s="2262"/>
      <c r="X23" s="2262"/>
      <c r="Y23" s="2269"/>
    </row>
    <row r="24" spans="1:25" ht="48" customHeight="1" x14ac:dyDescent="0.25">
      <c r="A24" s="1789"/>
      <c r="B24" s="2290"/>
      <c r="C24" s="290" t="s">
        <v>46</v>
      </c>
      <c r="D24" s="290" t="s">
        <v>50</v>
      </c>
      <c r="E24" s="290" t="s">
        <v>51</v>
      </c>
      <c r="F24" s="290" t="s">
        <v>52</v>
      </c>
      <c r="G24" s="1789"/>
      <c r="Q24" s="1789"/>
      <c r="R24" s="1789"/>
      <c r="T24" s="2235" t="s">
        <v>47</v>
      </c>
      <c r="U24" s="51" t="s">
        <v>62</v>
      </c>
      <c r="V24" s="2263">
        <f>V14+V16+V17-V18-V19-V20-V22+V23-V21</f>
        <v>4826.695000000007</v>
      </c>
      <c r="W24" s="2263"/>
      <c r="X24" s="2263"/>
      <c r="Y24" s="2269"/>
    </row>
    <row r="25" spans="1:25" ht="40.5" customHeight="1" x14ac:dyDescent="0.25">
      <c r="T25" s="2235"/>
      <c r="U25" s="51" t="s">
        <v>63</v>
      </c>
      <c r="V25" s="2262">
        <f>V15+V22-V23</f>
        <v>9169</v>
      </c>
      <c r="W25" s="2262"/>
      <c r="X25" s="2262"/>
    </row>
    <row r="26" spans="1:25" ht="36" customHeight="1" x14ac:dyDescent="0.25">
      <c r="K26" s="314"/>
    </row>
    <row r="28" spans="1:25" x14ac:dyDescent="0.25">
      <c r="J28" s="14" t="s">
        <v>139</v>
      </c>
    </row>
    <row r="32" spans="1:25" x14ac:dyDescent="0.25">
      <c r="I32" s="2280"/>
      <c r="J32" s="2280"/>
      <c r="K32" s="2280"/>
      <c r="L32" s="2280"/>
    </row>
    <row r="33" spans="9:12" x14ac:dyDescent="0.25">
      <c r="I33" s="1789"/>
      <c r="J33" s="1789"/>
      <c r="K33" s="2280"/>
      <c r="L33" s="2280"/>
    </row>
  </sheetData>
  <mergeCells count="62">
    <mergeCell ref="I32:J32"/>
    <mergeCell ref="K32:L32"/>
    <mergeCell ref="K33:L33"/>
    <mergeCell ref="T22:T23"/>
    <mergeCell ref="V22:X22"/>
    <mergeCell ref="V23:X23"/>
    <mergeCell ref="T24:T25"/>
    <mergeCell ref="V24:X24"/>
    <mergeCell ref="V25:X25"/>
    <mergeCell ref="Y18:Y24"/>
    <mergeCell ref="B19:C19"/>
    <mergeCell ref="Q19:R19"/>
    <mergeCell ref="T19:T20"/>
    <mergeCell ref="V19:X19"/>
    <mergeCell ref="B20:C20"/>
    <mergeCell ref="B22:B24"/>
    <mergeCell ref="C22:C23"/>
    <mergeCell ref="D22:D23"/>
    <mergeCell ref="E22:E23"/>
    <mergeCell ref="F22:F23"/>
    <mergeCell ref="Q20:R20"/>
    <mergeCell ref="V20:X20"/>
    <mergeCell ref="B21:C21"/>
    <mergeCell ref="T21:U21"/>
    <mergeCell ref="V21:X21"/>
    <mergeCell ref="B17:C17"/>
    <mergeCell ref="Q17:R17"/>
    <mergeCell ref="T17:U17"/>
    <mergeCell ref="V17:X17"/>
    <mergeCell ref="B18:C18"/>
    <mergeCell ref="Q18:R18"/>
    <mergeCell ref="T18:U18"/>
    <mergeCell ref="V18:X18"/>
    <mergeCell ref="W4:X4"/>
    <mergeCell ref="B16:C16"/>
    <mergeCell ref="Q16:R16"/>
    <mergeCell ref="T16:U16"/>
    <mergeCell ref="V16:X16"/>
    <mergeCell ref="A12:B12"/>
    <mergeCell ref="B14:C14"/>
    <mergeCell ref="Q14:R14"/>
    <mergeCell ref="T14:T15"/>
    <mergeCell ref="V14:X14"/>
    <mergeCell ref="B15:C15"/>
    <mergeCell ref="Q15:R15"/>
    <mergeCell ref="V15:X15"/>
    <mergeCell ref="A1:Y1"/>
    <mergeCell ref="A2:Y2"/>
    <mergeCell ref="T3:Y3"/>
    <mergeCell ref="A4:A5"/>
    <mergeCell ref="B4:B5"/>
    <mergeCell ref="C4:D4"/>
    <mergeCell ref="E4:F4"/>
    <mergeCell ref="G4:H4"/>
    <mergeCell ref="I4:J4"/>
    <mergeCell ref="K4:L4"/>
    <mergeCell ref="Y4:Y5"/>
    <mergeCell ref="M4:N4"/>
    <mergeCell ref="O4:P4"/>
    <mergeCell ref="Q4:R4"/>
    <mergeCell ref="S4:T4"/>
    <mergeCell ref="U4:V4"/>
  </mergeCells>
  <pageMargins left="0.15748031496063" right="0.15748031496063" top="0" bottom="0" header="0" footer="0"/>
  <pageSetup paperSize="9" scale="46" orientation="landscape" r:id="rId1"/>
</worksheet>
</file>

<file path=xl/worksheets/sheet28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8C4F105-F5AF-434F-A6C8-37D463A269BC}">
  <sheetPr>
    <pageSetUpPr fitToPage="1"/>
  </sheetPr>
  <dimension ref="A1:Y33"/>
  <sheetViews>
    <sheetView topLeftCell="D10" zoomScale="70" zoomScaleNormal="70" zoomScaleSheetLayoutView="100" zoomScalePageLayoutView="68" workbookViewId="0">
      <selection activeCell="M26" sqref="M26"/>
    </sheetView>
  </sheetViews>
  <sheetFormatPr defaultColWidth="9.140625" defaultRowHeight="15" x14ac:dyDescent="0.25"/>
  <cols>
    <col min="1" max="1" width="18.28515625" style="14" customWidth="1"/>
    <col min="2" max="2" width="10.7109375" style="14" customWidth="1"/>
    <col min="3" max="3" width="12.28515625" style="14" customWidth="1"/>
    <col min="4" max="4" width="13.140625" style="14" bestFit="1" customWidth="1"/>
    <col min="5" max="5" width="12" style="14" customWidth="1"/>
    <col min="6" max="6" width="14" style="14" bestFit="1" customWidth="1"/>
    <col min="7" max="7" width="16" style="14" bestFit="1" customWidth="1"/>
    <col min="8" max="8" width="10.140625" style="14" bestFit="1" customWidth="1"/>
    <col min="9" max="9" width="10.5703125" style="14" bestFit="1" customWidth="1"/>
    <col min="10" max="10" width="10.5703125" style="14" customWidth="1"/>
    <col min="11" max="11" width="10.28515625" style="14" bestFit="1" customWidth="1"/>
    <col min="12" max="12" width="10.42578125" style="14" bestFit="1" customWidth="1"/>
    <col min="13" max="14" width="12" style="14" bestFit="1" customWidth="1"/>
    <col min="15" max="15" width="11" style="14" customWidth="1"/>
    <col min="16" max="16" width="12.85546875" style="14" bestFit="1" customWidth="1"/>
    <col min="17" max="18" width="9.42578125" style="14" customWidth="1"/>
    <col min="19" max="19" width="13.7109375" style="14" customWidth="1"/>
    <col min="20" max="20" width="12.140625" style="14" customWidth="1"/>
    <col min="21" max="21" width="21.7109375" style="14" customWidth="1"/>
    <col min="22" max="22" width="9.85546875" style="14" customWidth="1"/>
    <col min="23" max="23" width="10.140625" style="14" bestFit="1" customWidth="1"/>
    <col min="24" max="24" width="10.28515625" style="14" customWidth="1"/>
    <col min="25" max="25" width="15.7109375" style="14" customWidth="1"/>
    <col min="26" max="16384" width="9.140625" style="14"/>
  </cols>
  <sheetData>
    <row r="1" spans="1:25" ht="46.15" customHeight="1" x14ac:dyDescent="0.25">
      <c r="A1" s="2240" t="s">
        <v>148</v>
      </c>
      <c r="B1" s="2240"/>
      <c r="C1" s="2240"/>
      <c r="D1" s="2240"/>
      <c r="E1" s="2240"/>
      <c r="F1" s="2240"/>
      <c r="G1" s="2240"/>
      <c r="H1" s="2240"/>
      <c r="I1" s="2240"/>
      <c r="J1" s="2240"/>
      <c r="K1" s="2240"/>
      <c r="L1" s="2240"/>
      <c r="M1" s="2240"/>
      <c r="N1" s="2240"/>
      <c r="O1" s="2240"/>
      <c r="P1" s="2240"/>
      <c r="Q1" s="2240"/>
      <c r="R1" s="2240"/>
      <c r="S1" s="2240"/>
      <c r="T1" s="2240"/>
      <c r="U1" s="2240"/>
      <c r="V1" s="2240"/>
      <c r="W1" s="2240"/>
      <c r="X1" s="2240"/>
      <c r="Y1" s="2240"/>
    </row>
    <row r="2" spans="1:25" ht="21.6" customHeight="1" x14ac:dyDescent="0.25">
      <c r="A2" s="2241" t="s">
        <v>383</v>
      </c>
      <c r="B2" s="2241"/>
      <c r="C2" s="2241"/>
      <c r="D2" s="2241"/>
      <c r="E2" s="2241"/>
      <c r="F2" s="2241"/>
      <c r="G2" s="2241"/>
      <c r="H2" s="2241"/>
      <c r="I2" s="2241"/>
      <c r="J2" s="2241"/>
      <c r="K2" s="2241"/>
      <c r="L2" s="2241"/>
      <c r="M2" s="2241"/>
      <c r="N2" s="2241"/>
      <c r="O2" s="2241"/>
      <c r="P2" s="2241"/>
      <c r="Q2" s="2241"/>
      <c r="R2" s="2241"/>
      <c r="S2" s="2241"/>
      <c r="T2" s="2241"/>
      <c r="U2" s="2241"/>
      <c r="V2" s="2241"/>
      <c r="W2" s="2241"/>
      <c r="X2" s="2241"/>
      <c r="Y2" s="2241"/>
    </row>
    <row r="3" spans="1:25" ht="21" customHeight="1" x14ac:dyDescent="0.25">
      <c r="A3" s="1795"/>
      <c r="B3" s="1795"/>
      <c r="C3" s="1795"/>
      <c r="D3" s="1795"/>
      <c r="E3" s="1795"/>
      <c r="F3" s="1795"/>
      <c r="G3" s="1795"/>
      <c r="H3" s="1795"/>
      <c r="I3" s="1795"/>
      <c r="J3" s="1795"/>
      <c r="K3" s="1795"/>
      <c r="L3" s="1795"/>
      <c r="M3" s="1795"/>
      <c r="N3" s="1795"/>
      <c r="O3" s="1795"/>
      <c r="P3" s="1795"/>
      <c r="Q3" s="1795"/>
      <c r="R3" s="1795"/>
      <c r="S3" s="1795"/>
      <c r="T3" s="2242" t="s">
        <v>537</v>
      </c>
      <c r="U3" s="2242"/>
      <c r="V3" s="2242"/>
      <c r="W3" s="2242"/>
      <c r="X3" s="2242"/>
      <c r="Y3" s="2242"/>
    </row>
    <row r="4" spans="1:25" s="1795" customFormat="1" ht="18" customHeight="1" x14ac:dyDescent="0.25">
      <c r="A4" s="2243" t="s">
        <v>25</v>
      </c>
      <c r="B4" s="2243" t="s">
        <v>26</v>
      </c>
      <c r="C4" s="2244" t="s">
        <v>27</v>
      </c>
      <c r="D4" s="2244"/>
      <c r="E4" s="2244" t="s">
        <v>342</v>
      </c>
      <c r="F4" s="2244"/>
      <c r="G4" s="2244" t="s">
        <v>65</v>
      </c>
      <c r="H4" s="2244"/>
      <c r="I4" s="2244" t="s">
        <v>29</v>
      </c>
      <c r="J4" s="2244"/>
      <c r="K4" s="2245" t="s">
        <v>14</v>
      </c>
      <c r="L4" s="2246"/>
      <c r="M4" s="2245" t="s">
        <v>429</v>
      </c>
      <c r="N4" s="2246"/>
      <c r="O4" s="2245" t="s">
        <v>441</v>
      </c>
      <c r="P4" s="2246"/>
      <c r="Q4" s="2245" t="s">
        <v>114</v>
      </c>
      <c r="R4" s="2246"/>
      <c r="S4" s="2244" t="s">
        <v>35</v>
      </c>
      <c r="T4" s="2244"/>
      <c r="U4" s="2245" t="s">
        <v>17</v>
      </c>
      <c r="V4" s="2246"/>
      <c r="W4" s="2247" t="s">
        <v>36</v>
      </c>
      <c r="X4" s="2248"/>
      <c r="Y4" s="2238" t="s">
        <v>30</v>
      </c>
    </row>
    <row r="5" spans="1:25" s="1795" customFormat="1" ht="25.5" customHeight="1" x14ac:dyDescent="0.25">
      <c r="A5" s="2243"/>
      <c r="B5" s="2243"/>
      <c r="C5" s="1794" t="s">
        <v>42</v>
      </c>
      <c r="D5" s="1794" t="s">
        <v>43</v>
      </c>
      <c r="E5" s="1794" t="s">
        <v>42</v>
      </c>
      <c r="F5" s="1794" t="s">
        <v>43</v>
      </c>
      <c r="G5" s="1794" t="s">
        <v>42</v>
      </c>
      <c r="H5" s="1794" t="s">
        <v>43</v>
      </c>
      <c r="I5" s="1794" t="s">
        <v>42</v>
      </c>
      <c r="J5" s="1794" t="s">
        <v>43</v>
      </c>
      <c r="K5" s="1794" t="s">
        <v>42</v>
      </c>
      <c r="L5" s="1794" t="s">
        <v>43</v>
      </c>
      <c r="M5" s="1794" t="s">
        <v>42</v>
      </c>
      <c r="N5" s="1794" t="s">
        <v>43</v>
      </c>
      <c r="O5" s="1794" t="s">
        <v>42</v>
      </c>
      <c r="P5" s="1794" t="s">
        <v>43</v>
      </c>
      <c r="Q5" s="1794" t="s">
        <v>42</v>
      </c>
      <c r="R5" s="1794" t="s">
        <v>43</v>
      </c>
      <c r="S5" s="33" t="s">
        <v>42</v>
      </c>
      <c r="T5" s="33" t="s">
        <v>43</v>
      </c>
      <c r="U5" s="30" t="s">
        <v>42</v>
      </c>
      <c r="V5" s="30" t="s">
        <v>43</v>
      </c>
      <c r="W5" s="30" t="s">
        <v>42</v>
      </c>
      <c r="X5" s="30" t="s">
        <v>43</v>
      </c>
      <c r="Y5" s="2239"/>
    </row>
    <row r="6" spans="1:25" ht="34.5" customHeight="1" x14ac:dyDescent="0.25">
      <c r="A6" s="12">
        <v>1409935200</v>
      </c>
      <c r="B6" s="1793" t="s">
        <v>71</v>
      </c>
      <c r="C6" s="1791">
        <v>23968</v>
      </c>
      <c r="D6" s="1790">
        <f t="shared" ref="D6:D11" si="0">0.9725*C6</f>
        <v>23308.880000000001</v>
      </c>
      <c r="E6" s="1791"/>
      <c r="F6" s="1790">
        <f>67.1*E6</f>
        <v>0</v>
      </c>
      <c r="G6" s="1791"/>
      <c r="H6" s="1791">
        <f>28.2*G6</f>
        <v>0</v>
      </c>
      <c r="I6" s="1791">
        <v>120</v>
      </c>
      <c r="J6" s="1791">
        <f>18.5*I6</f>
        <v>2220</v>
      </c>
      <c r="K6" s="1791"/>
      <c r="L6" s="1790">
        <f>28.2368*K6</f>
        <v>0</v>
      </c>
      <c r="M6" s="1791"/>
      <c r="N6" s="1790">
        <f>M6*47.6525</f>
        <v>0</v>
      </c>
      <c r="O6" s="1791"/>
      <c r="P6" s="1790">
        <f>O6*8.9</f>
        <v>0</v>
      </c>
      <c r="Q6" s="1790"/>
      <c r="R6" s="1790">
        <f>241*Q6</f>
        <v>0</v>
      </c>
      <c r="S6" s="1791"/>
      <c r="T6" s="1791">
        <f>241*S6</f>
        <v>0</v>
      </c>
      <c r="U6" s="1791"/>
      <c r="V6" s="1791">
        <f>332*U6</f>
        <v>0</v>
      </c>
      <c r="W6" s="1791"/>
      <c r="X6" s="19">
        <f>W6*100</f>
        <v>0</v>
      </c>
      <c r="Y6" s="20">
        <f t="shared" ref="Y6:Y12" si="1">D6+F6+H6+J6+L6+N6+P6+R6+T6+V6+X6</f>
        <v>25528.880000000001</v>
      </c>
    </row>
    <row r="7" spans="1:25" ht="31.5" customHeight="1" x14ac:dyDescent="0.25">
      <c r="A7" s="12">
        <v>1984225578</v>
      </c>
      <c r="B7" s="1793" t="s">
        <v>509</v>
      </c>
      <c r="C7" s="1791">
        <v>23536</v>
      </c>
      <c r="D7" s="1790">
        <f t="shared" si="0"/>
        <v>22888.760000000002</v>
      </c>
      <c r="E7" s="1791"/>
      <c r="F7" s="1791">
        <f t="shared" ref="F7:F11" si="2">67.1*E7</f>
        <v>0</v>
      </c>
      <c r="G7" s="1791"/>
      <c r="H7" s="1791">
        <f t="shared" ref="H7:H11" si="3">28.2*G7</f>
        <v>0</v>
      </c>
      <c r="I7" s="1791"/>
      <c r="J7" s="1791">
        <f t="shared" ref="J7:J11" si="4">18.5*I7</f>
        <v>0</v>
      </c>
      <c r="K7" s="1791"/>
      <c r="L7" s="1790">
        <f t="shared" ref="L7:L11" si="5">28.2368*K7</f>
        <v>0</v>
      </c>
      <c r="M7" s="1791"/>
      <c r="N7" s="1790">
        <f t="shared" ref="N7:N11" si="6">M7*47.6525</f>
        <v>0</v>
      </c>
      <c r="O7" s="1791"/>
      <c r="P7" s="1790">
        <f t="shared" ref="P7:P11" si="7">O7*8.9</f>
        <v>0</v>
      </c>
      <c r="Q7" s="1790"/>
      <c r="R7" s="1790">
        <f t="shared" ref="R7:R11" si="8">241*Q7</f>
        <v>0</v>
      </c>
      <c r="S7" s="1791"/>
      <c r="T7" s="1791">
        <f t="shared" ref="T7:T10" si="9">241*S7</f>
        <v>0</v>
      </c>
      <c r="U7" s="1791"/>
      <c r="V7" s="1791">
        <f t="shared" ref="V7:V11" si="10">332*U7</f>
        <v>0</v>
      </c>
      <c r="W7" s="1791"/>
      <c r="X7" s="19">
        <f t="shared" ref="X7:X11" si="11">W7*100</f>
        <v>0</v>
      </c>
      <c r="Y7" s="20">
        <f t="shared" si="1"/>
        <v>22888.760000000002</v>
      </c>
    </row>
    <row r="8" spans="1:25" ht="35.25" customHeight="1" x14ac:dyDescent="0.25">
      <c r="A8" s="12">
        <v>1967020280</v>
      </c>
      <c r="B8" s="1793" t="s">
        <v>427</v>
      </c>
      <c r="C8" s="1791">
        <v>14362</v>
      </c>
      <c r="D8" s="1790">
        <f t="shared" si="0"/>
        <v>13967.045</v>
      </c>
      <c r="E8" s="1791"/>
      <c r="F8" s="1791">
        <f t="shared" si="2"/>
        <v>0</v>
      </c>
      <c r="G8" s="1791"/>
      <c r="H8" s="1790">
        <f t="shared" si="3"/>
        <v>0</v>
      </c>
      <c r="I8" s="1791">
        <v>210</v>
      </c>
      <c r="J8" s="1791">
        <f t="shared" si="4"/>
        <v>3885</v>
      </c>
      <c r="K8" s="1791"/>
      <c r="L8" s="1790">
        <f t="shared" si="5"/>
        <v>0</v>
      </c>
      <c r="M8" s="1791"/>
      <c r="N8" s="1790">
        <f t="shared" si="6"/>
        <v>0</v>
      </c>
      <c r="O8" s="1791"/>
      <c r="P8" s="1790">
        <f t="shared" si="7"/>
        <v>0</v>
      </c>
      <c r="Q8" s="1790"/>
      <c r="R8" s="1790">
        <f t="shared" si="8"/>
        <v>0</v>
      </c>
      <c r="S8" s="1791"/>
      <c r="T8" s="1791">
        <f t="shared" si="9"/>
        <v>0</v>
      </c>
      <c r="U8" s="1791"/>
      <c r="V8" s="1791">
        <f t="shared" si="10"/>
        <v>0</v>
      </c>
      <c r="W8" s="1791"/>
      <c r="X8" s="19">
        <f t="shared" si="11"/>
        <v>0</v>
      </c>
      <c r="Y8" s="20">
        <f t="shared" si="1"/>
        <v>17852.044999999998</v>
      </c>
    </row>
    <row r="9" spans="1:25" ht="38.25" customHeight="1" x14ac:dyDescent="0.25">
      <c r="A9" s="12">
        <v>1984225580</v>
      </c>
      <c r="B9" s="1793" t="s">
        <v>75</v>
      </c>
      <c r="C9" s="1791">
        <v>30000</v>
      </c>
      <c r="D9" s="1790">
        <f t="shared" si="0"/>
        <v>29175</v>
      </c>
      <c r="E9" s="1791"/>
      <c r="F9" s="1791">
        <f t="shared" si="2"/>
        <v>0</v>
      </c>
      <c r="G9" s="1791"/>
      <c r="H9" s="1791">
        <f t="shared" si="3"/>
        <v>0</v>
      </c>
      <c r="I9" s="1791">
        <v>440</v>
      </c>
      <c r="J9" s="1791">
        <f t="shared" si="4"/>
        <v>8140</v>
      </c>
      <c r="K9" s="1791"/>
      <c r="L9" s="1790">
        <f t="shared" si="5"/>
        <v>0</v>
      </c>
      <c r="M9" s="1791"/>
      <c r="N9" s="1790">
        <f t="shared" si="6"/>
        <v>0</v>
      </c>
      <c r="O9" s="1791"/>
      <c r="P9" s="1790">
        <f t="shared" si="7"/>
        <v>0</v>
      </c>
      <c r="Q9" s="1790"/>
      <c r="R9" s="1790">
        <f t="shared" si="8"/>
        <v>0</v>
      </c>
      <c r="S9" s="1791"/>
      <c r="T9" s="1791">
        <f t="shared" si="9"/>
        <v>0</v>
      </c>
      <c r="U9" s="1791"/>
      <c r="V9" s="1791">
        <f t="shared" si="10"/>
        <v>0</v>
      </c>
      <c r="W9" s="1791"/>
      <c r="X9" s="19">
        <f t="shared" si="11"/>
        <v>0</v>
      </c>
      <c r="Y9" s="20">
        <f t="shared" si="1"/>
        <v>37315</v>
      </c>
    </row>
    <row r="10" spans="1:25" ht="35.25" customHeight="1" x14ac:dyDescent="0.25">
      <c r="A10" s="12">
        <v>1409935199</v>
      </c>
      <c r="C10" s="1791"/>
      <c r="D10" s="1790">
        <f t="shared" si="0"/>
        <v>0</v>
      </c>
      <c r="E10" s="1791"/>
      <c r="F10" s="1791">
        <f t="shared" si="2"/>
        <v>0</v>
      </c>
      <c r="G10" s="1791"/>
      <c r="H10" s="1791">
        <f t="shared" si="3"/>
        <v>0</v>
      </c>
      <c r="I10" s="1791"/>
      <c r="J10" s="1791">
        <f t="shared" si="4"/>
        <v>0</v>
      </c>
      <c r="K10" s="1791"/>
      <c r="L10" s="1790">
        <f t="shared" si="5"/>
        <v>0</v>
      </c>
      <c r="M10" s="1791"/>
      <c r="N10" s="1790">
        <f t="shared" si="6"/>
        <v>0</v>
      </c>
      <c r="O10" s="1791"/>
      <c r="P10" s="1790">
        <f t="shared" si="7"/>
        <v>0</v>
      </c>
      <c r="Q10" s="1790"/>
      <c r="R10" s="1790">
        <f t="shared" si="8"/>
        <v>0</v>
      </c>
      <c r="S10" s="1791"/>
      <c r="T10" s="1791">
        <f t="shared" si="9"/>
        <v>0</v>
      </c>
      <c r="U10" s="1791"/>
      <c r="V10" s="1791">
        <f t="shared" si="10"/>
        <v>0</v>
      </c>
      <c r="W10" s="1791"/>
      <c r="X10" s="19">
        <f t="shared" si="11"/>
        <v>0</v>
      </c>
      <c r="Y10" s="20">
        <f t="shared" si="1"/>
        <v>0</v>
      </c>
    </row>
    <row r="11" spans="1:25" ht="37.5" customHeight="1" x14ac:dyDescent="0.25">
      <c r="A11" s="12"/>
      <c r="B11" s="1792"/>
      <c r="C11" s="1791"/>
      <c r="D11" s="1790">
        <f t="shared" si="0"/>
        <v>0</v>
      </c>
      <c r="E11" s="1791"/>
      <c r="F11" s="1791">
        <f t="shared" si="2"/>
        <v>0</v>
      </c>
      <c r="G11" s="1791"/>
      <c r="H11" s="1791">
        <f t="shared" si="3"/>
        <v>0</v>
      </c>
      <c r="I11" s="1791"/>
      <c r="J11" s="1791">
        <f t="shared" si="4"/>
        <v>0</v>
      </c>
      <c r="K11" s="1791"/>
      <c r="L11" s="1790">
        <f t="shared" si="5"/>
        <v>0</v>
      </c>
      <c r="M11" s="1791"/>
      <c r="N11" s="1790">
        <f t="shared" si="6"/>
        <v>0</v>
      </c>
      <c r="O11" s="1791"/>
      <c r="P11" s="1790">
        <f t="shared" si="7"/>
        <v>0</v>
      </c>
      <c r="Q11" s="1790"/>
      <c r="R11" s="1790">
        <f t="shared" si="8"/>
        <v>0</v>
      </c>
      <c r="S11" s="1791"/>
      <c r="T11" s="1791">
        <f>341*S11</f>
        <v>0</v>
      </c>
      <c r="U11" s="1791"/>
      <c r="V11" s="1791">
        <f t="shared" si="10"/>
        <v>0</v>
      </c>
      <c r="W11" s="1791"/>
      <c r="X11" s="19">
        <f t="shared" si="11"/>
        <v>0</v>
      </c>
      <c r="Y11" s="20">
        <f t="shared" si="1"/>
        <v>0</v>
      </c>
    </row>
    <row r="12" spans="1:25" ht="29.25" customHeight="1" x14ac:dyDescent="0.25">
      <c r="A12" s="2235" t="s">
        <v>31</v>
      </c>
      <c r="B12" s="2235"/>
      <c r="C12" s="18">
        <f t="shared" ref="C12:X12" si="12">SUM(C6:C11)</f>
        <v>91866</v>
      </c>
      <c r="D12" s="18">
        <f t="shared" si="12"/>
        <v>89339.684999999998</v>
      </c>
      <c r="E12" s="18">
        <f t="shared" si="12"/>
        <v>0</v>
      </c>
      <c r="F12" s="18">
        <f t="shared" si="12"/>
        <v>0</v>
      </c>
      <c r="G12" s="18">
        <f t="shared" si="12"/>
        <v>0</v>
      </c>
      <c r="H12" s="18">
        <f t="shared" si="12"/>
        <v>0</v>
      </c>
      <c r="I12" s="18">
        <f t="shared" si="12"/>
        <v>770</v>
      </c>
      <c r="J12" s="18">
        <f t="shared" si="12"/>
        <v>14245</v>
      </c>
      <c r="K12" s="18">
        <f t="shared" si="12"/>
        <v>0</v>
      </c>
      <c r="L12" s="18">
        <f t="shared" si="12"/>
        <v>0</v>
      </c>
      <c r="M12" s="18">
        <f t="shared" si="12"/>
        <v>0</v>
      </c>
      <c r="N12" s="23">
        <f t="shared" si="12"/>
        <v>0</v>
      </c>
      <c r="O12" s="18">
        <f t="shared" si="12"/>
        <v>0</v>
      </c>
      <c r="P12" s="23">
        <f t="shared" si="12"/>
        <v>0</v>
      </c>
      <c r="Q12" s="23">
        <f t="shared" si="12"/>
        <v>0</v>
      </c>
      <c r="R12" s="23">
        <f>SUM(R6:R11)</f>
        <v>0</v>
      </c>
      <c r="S12" s="23">
        <f>SUM(S6:S11)</f>
        <v>0</v>
      </c>
      <c r="T12" s="18">
        <f t="shared" si="12"/>
        <v>0</v>
      </c>
      <c r="U12" s="18">
        <f t="shared" si="12"/>
        <v>0</v>
      </c>
      <c r="V12" s="18">
        <f t="shared" si="12"/>
        <v>0</v>
      </c>
      <c r="W12" s="18">
        <f t="shared" si="12"/>
        <v>0</v>
      </c>
      <c r="X12" s="18">
        <f t="shared" si="12"/>
        <v>0</v>
      </c>
      <c r="Y12" s="20">
        <f t="shared" si="1"/>
        <v>103584.685</v>
      </c>
    </row>
    <row r="14" spans="1:25" ht="43.5" customHeight="1" x14ac:dyDescent="0.25">
      <c r="A14" s="30" t="s">
        <v>32</v>
      </c>
      <c r="B14" s="2236" t="s">
        <v>27</v>
      </c>
      <c r="C14" s="2236"/>
      <c r="D14" s="30" t="s">
        <v>333</v>
      </c>
      <c r="E14" s="30" t="s">
        <v>65</v>
      </c>
      <c r="F14" s="30" t="s">
        <v>34</v>
      </c>
      <c r="G14" s="30" t="s">
        <v>14</v>
      </c>
      <c r="H14" s="469" t="s">
        <v>173</v>
      </c>
      <c r="I14" s="30" t="s">
        <v>17</v>
      </c>
      <c r="J14" s="1799" t="s">
        <v>174</v>
      </c>
      <c r="K14" s="30" t="s">
        <v>36</v>
      </c>
      <c r="L14" s="1799" t="s">
        <v>403</v>
      </c>
      <c r="M14" s="30" t="s">
        <v>429</v>
      </c>
      <c r="N14" s="30" t="s">
        <v>442</v>
      </c>
      <c r="O14" s="1799" t="s">
        <v>114</v>
      </c>
      <c r="P14" s="30" t="s">
        <v>70</v>
      </c>
      <c r="Q14" s="2300" t="s">
        <v>479</v>
      </c>
      <c r="R14" s="2301"/>
      <c r="S14" s="1799" t="s">
        <v>401</v>
      </c>
      <c r="T14" s="2235" t="s">
        <v>46</v>
      </c>
      <c r="U14" s="1793" t="s">
        <v>176</v>
      </c>
      <c r="V14" s="2260">
        <v>4827</v>
      </c>
      <c r="W14" s="2268"/>
      <c r="X14" s="2261"/>
    </row>
    <row r="15" spans="1:25" ht="22.5" customHeight="1" x14ac:dyDescent="0.25">
      <c r="A15" s="100" t="s">
        <v>38</v>
      </c>
      <c r="B15" s="2260">
        <v>555878</v>
      </c>
      <c r="C15" s="2261"/>
      <c r="D15" s="1796">
        <v>0</v>
      </c>
      <c r="E15" s="1796">
        <v>1000</v>
      </c>
      <c r="F15" s="1796">
        <v>840</v>
      </c>
      <c r="G15" s="1796">
        <v>0</v>
      </c>
      <c r="H15" s="1796">
        <v>38</v>
      </c>
      <c r="I15" s="1796">
        <v>150</v>
      </c>
      <c r="J15" s="1796">
        <v>4</v>
      </c>
      <c r="K15" s="1796">
        <v>79</v>
      </c>
      <c r="L15" s="1796">
        <v>0</v>
      </c>
      <c r="M15" s="1796">
        <v>0</v>
      </c>
      <c r="N15" s="1796">
        <v>0</v>
      </c>
      <c r="O15" s="1796">
        <v>0</v>
      </c>
      <c r="P15" s="1796">
        <v>100</v>
      </c>
      <c r="Q15" s="2260">
        <v>10</v>
      </c>
      <c r="R15" s="2261"/>
      <c r="S15" s="1793">
        <v>2</v>
      </c>
      <c r="T15" s="2235"/>
      <c r="U15" s="1793" t="s">
        <v>64</v>
      </c>
      <c r="V15" s="2262">
        <v>9169</v>
      </c>
      <c r="W15" s="2262"/>
      <c r="X15" s="2262"/>
    </row>
    <row r="16" spans="1:25" ht="24.75" customHeight="1" x14ac:dyDescent="0.25">
      <c r="A16" s="100" t="s">
        <v>39</v>
      </c>
      <c r="B16" s="2260"/>
      <c r="C16" s="2261"/>
      <c r="D16" s="1796"/>
      <c r="E16" s="1796"/>
      <c r="F16" s="1796"/>
      <c r="G16" s="1796"/>
      <c r="H16" s="1796"/>
      <c r="I16" s="1796"/>
      <c r="J16" s="1796"/>
      <c r="K16" s="1796"/>
      <c r="L16" s="1796"/>
      <c r="M16" s="1796"/>
      <c r="N16" s="1796"/>
      <c r="O16" s="1796"/>
      <c r="P16" s="1796"/>
      <c r="Q16" s="2262"/>
      <c r="R16" s="2262"/>
      <c r="S16" s="1796"/>
      <c r="T16" s="2254" t="s">
        <v>55</v>
      </c>
      <c r="U16" s="2254"/>
      <c r="V16" s="2267">
        <f>Y12</f>
        <v>103584.685</v>
      </c>
      <c r="W16" s="2267"/>
      <c r="X16" s="2262"/>
    </row>
    <row r="17" spans="1:25" ht="28.5" customHeight="1" x14ac:dyDescent="0.25">
      <c r="A17" s="101" t="s">
        <v>44</v>
      </c>
      <c r="B17" s="2260">
        <v>31009</v>
      </c>
      <c r="C17" s="2261"/>
      <c r="D17" s="1796"/>
      <c r="E17" s="1796"/>
      <c r="F17" s="1796"/>
      <c r="G17" s="1796"/>
      <c r="H17" s="1796"/>
      <c r="I17" s="1796"/>
      <c r="J17" s="1796"/>
      <c r="K17" s="1796"/>
      <c r="L17" s="1796"/>
      <c r="M17" s="1796"/>
      <c r="N17" s="1796"/>
      <c r="O17" s="1796"/>
      <c r="P17" s="1796"/>
      <c r="Q17" s="2225"/>
      <c r="R17" s="2225"/>
      <c r="S17" s="1792"/>
      <c r="T17" s="2294" t="s">
        <v>521</v>
      </c>
      <c r="U17" s="2295"/>
      <c r="V17" s="2296"/>
      <c r="W17" s="2296"/>
      <c r="X17" s="2296"/>
    </row>
    <row r="18" spans="1:25" ht="27" customHeight="1" x14ac:dyDescent="0.25">
      <c r="A18" s="100" t="s">
        <v>40</v>
      </c>
      <c r="B18" s="2264">
        <f>C12</f>
        <v>91866</v>
      </c>
      <c r="C18" s="2261"/>
      <c r="D18" s="1798">
        <f>E12</f>
        <v>0</v>
      </c>
      <c r="E18" s="1798">
        <f>G12</f>
        <v>0</v>
      </c>
      <c r="F18" s="1798">
        <f>I12</f>
        <v>770</v>
      </c>
      <c r="G18" s="1798">
        <f>K12</f>
        <v>0</v>
      </c>
      <c r="H18" s="1796"/>
      <c r="I18" s="1798">
        <f>U12</f>
        <v>0</v>
      </c>
      <c r="J18" s="1796"/>
      <c r="K18" s="1798">
        <f>W12</f>
        <v>0</v>
      </c>
      <c r="L18" s="1796"/>
      <c r="M18" s="1798">
        <f>M12</f>
        <v>0</v>
      </c>
      <c r="N18" s="1798">
        <f>O12</f>
        <v>0</v>
      </c>
      <c r="O18" s="1797">
        <f>Q12</f>
        <v>0</v>
      </c>
      <c r="P18" s="1798"/>
      <c r="Q18" s="2262"/>
      <c r="R18" s="2262"/>
      <c r="S18" s="1793"/>
      <c r="T18" s="2254" t="s">
        <v>57</v>
      </c>
      <c r="U18" s="2254"/>
      <c r="V18" s="2262">
        <v>620</v>
      </c>
      <c r="W18" s="2262"/>
      <c r="X18" s="2262"/>
      <c r="Y18" s="2269"/>
    </row>
    <row r="19" spans="1:25" ht="25.5" customHeight="1" x14ac:dyDescent="0.25">
      <c r="A19" s="100" t="s">
        <v>41</v>
      </c>
      <c r="B19" s="2260">
        <f>B15+B16+B17-B18</f>
        <v>495021</v>
      </c>
      <c r="C19" s="2261"/>
      <c r="D19" s="1796">
        <f>D15+D16+D17-D18</f>
        <v>0</v>
      </c>
      <c r="E19" s="1796">
        <f t="shared" ref="E19:N19" si="13">E15+E16+E17-E18</f>
        <v>1000</v>
      </c>
      <c r="F19" s="1796">
        <f t="shared" si="13"/>
        <v>70</v>
      </c>
      <c r="G19" s="1796">
        <f t="shared" si="13"/>
        <v>0</v>
      </c>
      <c r="H19" s="1796">
        <f t="shared" si="13"/>
        <v>38</v>
      </c>
      <c r="I19" s="1796">
        <f t="shared" si="13"/>
        <v>150</v>
      </c>
      <c r="J19" s="1796">
        <f t="shared" si="13"/>
        <v>4</v>
      </c>
      <c r="K19" s="1796">
        <f t="shared" si="13"/>
        <v>79</v>
      </c>
      <c r="L19" s="1796">
        <f t="shared" si="13"/>
        <v>0</v>
      </c>
      <c r="M19" s="1796">
        <f t="shared" si="13"/>
        <v>0</v>
      </c>
      <c r="N19" s="1796">
        <f t="shared" si="13"/>
        <v>0</v>
      </c>
      <c r="O19" s="1796">
        <f>O15+O16+O17-O18</f>
        <v>0</v>
      </c>
      <c r="P19" s="1796">
        <f t="shared" ref="P19:Q19" si="14">P15+P16+P17-P18</f>
        <v>100</v>
      </c>
      <c r="Q19" s="2260">
        <f t="shared" si="14"/>
        <v>10</v>
      </c>
      <c r="R19" s="2261"/>
      <c r="S19" s="1793">
        <f>S15+S16-S17-S18</f>
        <v>2</v>
      </c>
      <c r="T19" s="2256" t="s">
        <v>48</v>
      </c>
      <c r="U19" s="49" t="s">
        <v>58</v>
      </c>
      <c r="V19" s="2262"/>
      <c r="W19" s="2262"/>
      <c r="X19" s="2262"/>
      <c r="Y19" s="2269"/>
    </row>
    <row r="20" spans="1:25" ht="23.25" customHeight="1" x14ac:dyDescent="0.25">
      <c r="A20" s="289" t="s">
        <v>187</v>
      </c>
      <c r="B20" s="2286">
        <f>B19*0.9625</f>
        <v>476457.71250000002</v>
      </c>
      <c r="C20" s="2287"/>
      <c r="D20" s="290">
        <f>D19*66.41</f>
        <v>0</v>
      </c>
      <c r="E20" s="290">
        <f>27.9368*E19</f>
        <v>27936.800000000003</v>
      </c>
      <c r="F20" s="290">
        <f>18.31*F19</f>
        <v>1281.6999999999998</v>
      </c>
      <c r="G20" s="290">
        <f>27.9368*G19</f>
        <v>0</v>
      </c>
      <c r="H20" s="290">
        <f>241*H19</f>
        <v>9158</v>
      </c>
      <c r="I20" s="290">
        <f>323*I19</f>
        <v>48450</v>
      </c>
      <c r="J20" s="290">
        <f>241*J19</f>
        <v>964</v>
      </c>
      <c r="K20" s="290">
        <f>K19*100</f>
        <v>7900</v>
      </c>
      <c r="L20" s="290">
        <f>241*L19</f>
        <v>0</v>
      </c>
      <c r="M20" s="290">
        <f>47.1625*M19</f>
        <v>0</v>
      </c>
      <c r="N20" s="290">
        <f>N19*8.81</f>
        <v>0</v>
      </c>
      <c r="O20" s="290">
        <f>241*O19</f>
        <v>0</v>
      </c>
      <c r="P20" s="290">
        <f>P19*48.2</f>
        <v>4820</v>
      </c>
      <c r="Q20" s="2286">
        <f>470*Q19</f>
        <v>4700</v>
      </c>
      <c r="R20" s="2287"/>
      <c r="S20" s="290">
        <f>341*S19</f>
        <v>682</v>
      </c>
      <c r="T20" s="2257"/>
      <c r="U20" s="49" t="s">
        <v>59</v>
      </c>
      <c r="V20" s="2262"/>
      <c r="W20" s="2262"/>
      <c r="X20" s="2262"/>
      <c r="Y20" s="2269"/>
    </row>
    <row r="21" spans="1:25" ht="32.25" customHeight="1" x14ac:dyDescent="0.25">
      <c r="A21" s="291" t="s">
        <v>186</v>
      </c>
      <c r="B21" s="2293">
        <f>SUM(B20:S20)</f>
        <v>582350.21250000002</v>
      </c>
      <c r="C21" s="2293"/>
      <c r="O21" s="1800"/>
      <c r="P21" s="1800"/>
      <c r="Q21" s="1800"/>
      <c r="R21" s="1800"/>
      <c r="T21" s="2294" t="s">
        <v>518</v>
      </c>
      <c r="U21" s="2295"/>
      <c r="V21" s="2297"/>
      <c r="W21" s="2298"/>
      <c r="X21" s="2299"/>
      <c r="Y21" s="2269"/>
    </row>
    <row r="22" spans="1:25" ht="35.25" customHeight="1" x14ac:dyDescent="0.25">
      <c r="A22" s="15"/>
      <c r="B22" s="2288" t="s">
        <v>49</v>
      </c>
      <c r="C22" s="2291">
        <v>188000</v>
      </c>
      <c r="D22" s="2291"/>
      <c r="E22" s="2291"/>
      <c r="F22" s="2291">
        <f>C22-D22+E22</f>
        <v>188000</v>
      </c>
      <c r="G22" s="1800"/>
      <c r="Q22" s="1800"/>
      <c r="R22" s="1800"/>
      <c r="T22" s="2251" t="s">
        <v>83</v>
      </c>
      <c r="U22" s="50" t="s">
        <v>60</v>
      </c>
      <c r="V22" s="2262"/>
      <c r="W22" s="2262"/>
      <c r="X22" s="2262"/>
      <c r="Y22" s="2269"/>
    </row>
    <row r="23" spans="1:25" ht="39.75" customHeight="1" x14ac:dyDescent="0.25">
      <c r="A23" s="1800"/>
      <c r="B23" s="2289"/>
      <c r="C23" s="2292"/>
      <c r="D23" s="2292"/>
      <c r="E23" s="2292"/>
      <c r="F23" s="2292"/>
      <c r="G23" s="1800"/>
      <c r="Q23" s="1800"/>
      <c r="R23" s="1800"/>
      <c r="T23" s="2252"/>
      <c r="U23" s="50" t="s">
        <v>61</v>
      </c>
      <c r="V23" s="2262"/>
      <c r="W23" s="2262"/>
      <c r="X23" s="2262"/>
      <c r="Y23" s="2269"/>
    </row>
    <row r="24" spans="1:25" ht="48" customHeight="1" x14ac:dyDescent="0.25">
      <c r="A24" s="1800"/>
      <c r="B24" s="2290"/>
      <c r="C24" s="290" t="s">
        <v>46</v>
      </c>
      <c r="D24" s="290" t="s">
        <v>50</v>
      </c>
      <c r="E24" s="290" t="s">
        <v>51</v>
      </c>
      <c r="F24" s="290" t="s">
        <v>52</v>
      </c>
      <c r="G24" s="1800"/>
      <c r="Q24" s="1800"/>
      <c r="R24" s="1800"/>
      <c r="T24" s="2235" t="s">
        <v>47</v>
      </c>
      <c r="U24" s="51" t="s">
        <v>62</v>
      </c>
      <c r="V24" s="2263">
        <f>V14+V16+V17-V18-V19-V20-V22+V23-V21</f>
        <v>107791.685</v>
      </c>
      <c r="W24" s="2263"/>
      <c r="X24" s="2263"/>
      <c r="Y24" s="2269"/>
    </row>
    <row r="25" spans="1:25" ht="40.5" customHeight="1" x14ac:dyDescent="0.25">
      <c r="T25" s="2235"/>
      <c r="U25" s="51" t="s">
        <v>63</v>
      </c>
      <c r="V25" s="2262">
        <f>V15+V22-V23</f>
        <v>9169</v>
      </c>
      <c r="W25" s="2262"/>
      <c r="X25" s="2262"/>
    </row>
    <row r="26" spans="1:25" ht="36" customHeight="1" x14ac:dyDescent="0.25">
      <c r="K26" s="314"/>
    </row>
    <row r="28" spans="1:25" x14ac:dyDescent="0.25">
      <c r="J28" s="14" t="s">
        <v>139</v>
      </c>
    </row>
    <row r="32" spans="1:25" x14ac:dyDescent="0.25">
      <c r="I32" s="2280"/>
      <c r="J32" s="2280"/>
      <c r="K32" s="2280"/>
      <c r="L32" s="2280"/>
    </row>
    <row r="33" spans="9:12" x14ac:dyDescent="0.25">
      <c r="I33" s="1800"/>
      <c r="J33" s="1800"/>
      <c r="K33" s="2280"/>
      <c r="L33" s="2280"/>
    </row>
  </sheetData>
  <mergeCells count="62">
    <mergeCell ref="A1:Y1"/>
    <mergeCell ref="A2:Y2"/>
    <mergeCell ref="T3:Y3"/>
    <mergeCell ref="A4:A5"/>
    <mergeCell ref="B4:B5"/>
    <mergeCell ref="C4:D4"/>
    <mergeCell ref="E4:F4"/>
    <mergeCell ref="G4:H4"/>
    <mergeCell ref="I4:J4"/>
    <mergeCell ref="K4:L4"/>
    <mergeCell ref="Y4:Y5"/>
    <mergeCell ref="M4:N4"/>
    <mergeCell ref="O4:P4"/>
    <mergeCell ref="Q4:R4"/>
    <mergeCell ref="S4:T4"/>
    <mergeCell ref="U4:V4"/>
    <mergeCell ref="W4:X4"/>
    <mergeCell ref="B16:C16"/>
    <mergeCell ref="Q16:R16"/>
    <mergeCell ref="T16:U16"/>
    <mergeCell ref="V16:X16"/>
    <mergeCell ref="A12:B12"/>
    <mergeCell ref="B14:C14"/>
    <mergeCell ref="Q14:R14"/>
    <mergeCell ref="T14:T15"/>
    <mergeCell ref="V14:X14"/>
    <mergeCell ref="B15:C15"/>
    <mergeCell ref="Q15:R15"/>
    <mergeCell ref="V15:X15"/>
    <mergeCell ref="B17:C17"/>
    <mergeCell ref="Q17:R17"/>
    <mergeCell ref="T17:U17"/>
    <mergeCell ref="V17:X17"/>
    <mergeCell ref="B18:C18"/>
    <mergeCell ref="Q18:R18"/>
    <mergeCell ref="T18:U18"/>
    <mergeCell ref="V18:X18"/>
    <mergeCell ref="Y18:Y24"/>
    <mergeCell ref="B19:C19"/>
    <mergeCell ref="Q19:R19"/>
    <mergeCell ref="T19:T20"/>
    <mergeCell ref="V19:X19"/>
    <mergeCell ref="B20:C20"/>
    <mergeCell ref="B22:B24"/>
    <mergeCell ref="C22:C23"/>
    <mergeCell ref="D22:D23"/>
    <mergeCell ref="E22:E23"/>
    <mergeCell ref="F22:F23"/>
    <mergeCell ref="Q20:R20"/>
    <mergeCell ref="V20:X20"/>
    <mergeCell ref="B21:C21"/>
    <mergeCell ref="T21:U21"/>
    <mergeCell ref="V21:X21"/>
    <mergeCell ref="I32:J32"/>
    <mergeCell ref="K32:L32"/>
    <mergeCell ref="K33:L33"/>
    <mergeCell ref="T22:T23"/>
    <mergeCell ref="V22:X22"/>
    <mergeCell ref="V23:X23"/>
    <mergeCell ref="T24:T25"/>
    <mergeCell ref="V24:X24"/>
    <mergeCell ref="V25:X25"/>
  </mergeCells>
  <pageMargins left="0.15748031496063" right="0.15748031496063" top="0" bottom="0" header="0" footer="0"/>
  <pageSetup paperSize="9" scale="46" orientation="landscape" r:id="rId1"/>
</worksheet>
</file>

<file path=xl/worksheets/sheet28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B724CA7-282D-403C-A385-457C147CB4EC}">
  <sheetPr>
    <pageSetUpPr fitToPage="1"/>
  </sheetPr>
  <dimension ref="A1:Y33"/>
  <sheetViews>
    <sheetView topLeftCell="D11" zoomScale="70" zoomScaleNormal="70" zoomScaleSheetLayoutView="100" zoomScalePageLayoutView="68" workbookViewId="0">
      <selection activeCell="K25" sqref="K25"/>
    </sheetView>
  </sheetViews>
  <sheetFormatPr defaultColWidth="9.140625" defaultRowHeight="15" x14ac:dyDescent="0.25"/>
  <cols>
    <col min="1" max="1" width="18.28515625" style="14" customWidth="1"/>
    <col min="2" max="2" width="10.7109375" style="14" customWidth="1"/>
    <col min="3" max="3" width="12.28515625" style="14" customWidth="1"/>
    <col min="4" max="4" width="13.140625" style="14" bestFit="1" customWidth="1"/>
    <col min="5" max="5" width="12" style="14" customWidth="1"/>
    <col min="6" max="6" width="14" style="14" bestFit="1" customWidth="1"/>
    <col min="7" max="7" width="16" style="14" bestFit="1" customWidth="1"/>
    <col min="8" max="8" width="10.140625" style="14" bestFit="1" customWidth="1"/>
    <col min="9" max="9" width="10.5703125" style="14" bestFit="1" customWidth="1"/>
    <col min="10" max="10" width="10.5703125" style="14" customWidth="1"/>
    <col min="11" max="11" width="10.28515625" style="14" bestFit="1" customWidth="1"/>
    <col min="12" max="12" width="10.42578125" style="14" bestFit="1" customWidth="1"/>
    <col min="13" max="14" width="12" style="14" bestFit="1" customWidth="1"/>
    <col min="15" max="15" width="11" style="14" customWidth="1"/>
    <col min="16" max="16" width="12.85546875" style="14" bestFit="1" customWidth="1"/>
    <col min="17" max="18" width="9.42578125" style="14" customWidth="1"/>
    <col min="19" max="19" width="13.7109375" style="14" customWidth="1"/>
    <col min="20" max="20" width="12.140625" style="14" customWidth="1"/>
    <col min="21" max="21" width="21.7109375" style="14" customWidth="1"/>
    <col min="22" max="22" width="9.85546875" style="14" customWidth="1"/>
    <col min="23" max="23" width="10.140625" style="14" bestFit="1" customWidth="1"/>
    <col min="24" max="24" width="10.28515625" style="14" customWidth="1"/>
    <col min="25" max="25" width="15.7109375" style="14" customWidth="1"/>
    <col min="26" max="16384" width="9.140625" style="14"/>
  </cols>
  <sheetData>
    <row r="1" spans="1:25" ht="46.15" customHeight="1" x14ac:dyDescent="0.25">
      <c r="A1" s="2240" t="s">
        <v>148</v>
      </c>
      <c r="B1" s="2240"/>
      <c r="C1" s="2240"/>
      <c r="D1" s="2240"/>
      <c r="E1" s="2240"/>
      <c r="F1" s="2240"/>
      <c r="G1" s="2240"/>
      <c r="H1" s="2240"/>
      <c r="I1" s="2240"/>
      <c r="J1" s="2240"/>
      <c r="K1" s="2240"/>
      <c r="L1" s="2240"/>
      <c r="M1" s="2240"/>
      <c r="N1" s="2240"/>
      <c r="O1" s="2240"/>
      <c r="P1" s="2240"/>
      <c r="Q1" s="2240"/>
      <c r="R1" s="2240"/>
      <c r="S1" s="2240"/>
      <c r="T1" s="2240"/>
      <c r="U1" s="2240"/>
      <c r="V1" s="2240"/>
      <c r="W1" s="2240"/>
      <c r="X1" s="2240"/>
      <c r="Y1" s="2240"/>
    </row>
    <row r="2" spans="1:25" ht="21.6" customHeight="1" x14ac:dyDescent="0.25">
      <c r="A2" s="2241" t="s">
        <v>383</v>
      </c>
      <c r="B2" s="2241"/>
      <c r="C2" s="2241"/>
      <c r="D2" s="2241"/>
      <c r="E2" s="2241"/>
      <c r="F2" s="2241"/>
      <c r="G2" s="2241"/>
      <c r="H2" s="2241"/>
      <c r="I2" s="2241"/>
      <c r="J2" s="2241"/>
      <c r="K2" s="2241"/>
      <c r="L2" s="2241"/>
      <c r="M2" s="2241"/>
      <c r="N2" s="2241"/>
      <c r="O2" s="2241"/>
      <c r="P2" s="2241"/>
      <c r="Q2" s="2241"/>
      <c r="R2" s="2241"/>
      <c r="S2" s="2241"/>
      <c r="T2" s="2241"/>
      <c r="U2" s="2241"/>
      <c r="V2" s="2241"/>
      <c r="W2" s="2241"/>
      <c r="X2" s="2241"/>
      <c r="Y2" s="2241"/>
    </row>
    <row r="3" spans="1:25" ht="21" customHeight="1" x14ac:dyDescent="0.25">
      <c r="A3" s="1801"/>
      <c r="B3" s="1801"/>
      <c r="C3" s="1801"/>
      <c r="D3" s="1801"/>
      <c r="E3" s="1801"/>
      <c r="F3" s="1801"/>
      <c r="G3" s="1801"/>
      <c r="H3" s="1801"/>
      <c r="I3" s="1801"/>
      <c r="J3" s="1801"/>
      <c r="K3" s="1801"/>
      <c r="L3" s="1801"/>
      <c r="M3" s="1801"/>
      <c r="N3" s="1801"/>
      <c r="O3" s="1801"/>
      <c r="P3" s="1801"/>
      <c r="Q3" s="1801"/>
      <c r="R3" s="1801"/>
      <c r="S3" s="1801"/>
      <c r="T3" s="2242" t="s">
        <v>538</v>
      </c>
      <c r="U3" s="2242"/>
      <c r="V3" s="2242"/>
      <c r="W3" s="2242"/>
      <c r="X3" s="2242"/>
      <c r="Y3" s="2242"/>
    </row>
    <row r="4" spans="1:25" s="1801" customFormat="1" ht="18" customHeight="1" x14ac:dyDescent="0.25">
      <c r="A4" s="2243" t="s">
        <v>25</v>
      </c>
      <c r="B4" s="2243" t="s">
        <v>26</v>
      </c>
      <c r="C4" s="2244" t="s">
        <v>27</v>
      </c>
      <c r="D4" s="2244"/>
      <c r="E4" s="2244" t="s">
        <v>342</v>
      </c>
      <c r="F4" s="2244"/>
      <c r="G4" s="2244" t="s">
        <v>65</v>
      </c>
      <c r="H4" s="2244"/>
      <c r="I4" s="2244" t="s">
        <v>29</v>
      </c>
      <c r="J4" s="2244"/>
      <c r="K4" s="2245" t="s">
        <v>14</v>
      </c>
      <c r="L4" s="2246"/>
      <c r="M4" s="2245" t="s">
        <v>429</v>
      </c>
      <c r="N4" s="2246"/>
      <c r="O4" s="2245" t="s">
        <v>441</v>
      </c>
      <c r="P4" s="2246"/>
      <c r="Q4" s="2245" t="s">
        <v>114</v>
      </c>
      <c r="R4" s="2246"/>
      <c r="S4" s="2244" t="s">
        <v>35</v>
      </c>
      <c r="T4" s="2244"/>
      <c r="U4" s="2245" t="s">
        <v>17</v>
      </c>
      <c r="V4" s="2246"/>
      <c r="W4" s="2247" t="s">
        <v>36</v>
      </c>
      <c r="X4" s="2248"/>
      <c r="Y4" s="2238" t="s">
        <v>30</v>
      </c>
    </row>
    <row r="5" spans="1:25" s="1801" customFormat="1" ht="25.5" customHeight="1" x14ac:dyDescent="0.25">
      <c r="A5" s="2243"/>
      <c r="B5" s="2243"/>
      <c r="C5" s="1803" t="s">
        <v>42</v>
      </c>
      <c r="D5" s="1803" t="s">
        <v>43</v>
      </c>
      <c r="E5" s="1803" t="s">
        <v>42</v>
      </c>
      <c r="F5" s="1803" t="s">
        <v>43</v>
      </c>
      <c r="G5" s="1803" t="s">
        <v>42</v>
      </c>
      <c r="H5" s="1803" t="s">
        <v>43</v>
      </c>
      <c r="I5" s="1803" t="s">
        <v>42</v>
      </c>
      <c r="J5" s="1803" t="s">
        <v>43</v>
      </c>
      <c r="K5" s="1803" t="s">
        <v>42</v>
      </c>
      <c r="L5" s="1803" t="s">
        <v>43</v>
      </c>
      <c r="M5" s="1803" t="s">
        <v>42</v>
      </c>
      <c r="N5" s="1803" t="s">
        <v>43</v>
      </c>
      <c r="O5" s="1803" t="s">
        <v>42</v>
      </c>
      <c r="P5" s="1803" t="s">
        <v>43</v>
      </c>
      <c r="Q5" s="1803" t="s">
        <v>42</v>
      </c>
      <c r="R5" s="1803" t="s">
        <v>43</v>
      </c>
      <c r="S5" s="33" t="s">
        <v>42</v>
      </c>
      <c r="T5" s="33" t="s">
        <v>43</v>
      </c>
      <c r="U5" s="30" t="s">
        <v>42</v>
      </c>
      <c r="V5" s="30" t="s">
        <v>43</v>
      </c>
      <c r="W5" s="30" t="s">
        <v>42</v>
      </c>
      <c r="X5" s="30" t="s">
        <v>43</v>
      </c>
      <c r="Y5" s="2239"/>
    </row>
    <row r="6" spans="1:25" ht="34.5" customHeight="1" x14ac:dyDescent="0.25">
      <c r="A6" s="12">
        <v>1409935200</v>
      </c>
      <c r="B6" s="1802" t="s">
        <v>71</v>
      </c>
      <c r="C6" s="1805">
        <v>20520</v>
      </c>
      <c r="D6" s="1806">
        <f t="shared" ref="D6:D11" si="0">0.9725*C6</f>
        <v>19955.7</v>
      </c>
      <c r="E6" s="1805"/>
      <c r="F6" s="1806">
        <f>67.1*E6</f>
        <v>0</v>
      </c>
      <c r="G6" s="1805"/>
      <c r="H6" s="1805">
        <f>28.2*G6</f>
        <v>0</v>
      </c>
      <c r="I6" s="1805"/>
      <c r="J6" s="1805">
        <f>18.5*I6</f>
        <v>0</v>
      </c>
      <c r="K6" s="1805"/>
      <c r="L6" s="1806">
        <f>28.2368*K6</f>
        <v>0</v>
      </c>
      <c r="M6" s="1805"/>
      <c r="N6" s="1806">
        <f>M6*47.6525</f>
        <v>0</v>
      </c>
      <c r="O6" s="1805"/>
      <c r="P6" s="1806">
        <f>O6*8.9</f>
        <v>0</v>
      </c>
      <c r="Q6" s="1806"/>
      <c r="R6" s="1806">
        <f>241*Q6</f>
        <v>0</v>
      </c>
      <c r="S6" s="1805"/>
      <c r="T6" s="1805">
        <f>241*S6</f>
        <v>0</v>
      </c>
      <c r="U6" s="1805"/>
      <c r="V6" s="1805">
        <f>332*U6</f>
        <v>0</v>
      </c>
      <c r="W6" s="1805"/>
      <c r="X6" s="19">
        <f>W6*100</f>
        <v>0</v>
      </c>
      <c r="Y6" s="20">
        <f t="shared" ref="Y6:Y12" si="1">D6+F6+H6+J6+L6+N6+P6+R6+T6+V6+X6</f>
        <v>19955.7</v>
      </c>
    </row>
    <row r="7" spans="1:25" ht="31.5" customHeight="1" x14ac:dyDescent="0.25">
      <c r="A7" s="12">
        <v>1984225578</v>
      </c>
      <c r="B7" s="1802" t="s">
        <v>509</v>
      </c>
      <c r="C7" s="1805">
        <v>26208</v>
      </c>
      <c r="D7" s="1806">
        <f t="shared" si="0"/>
        <v>25487.280000000002</v>
      </c>
      <c r="E7" s="1805"/>
      <c r="F7" s="1805">
        <f t="shared" ref="F7:F11" si="2">67.1*E7</f>
        <v>0</v>
      </c>
      <c r="G7" s="1805"/>
      <c r="H7" s="1805">
        <f t="shared" ref="H7:H11" si="3">28.2*G7</f>
        <v>0</v>
      </c>
      <c r="I7" s="1805"/>
      <c r="J7" s="1805">
        <f t="shared" ref="J7:J11" si="4">18.5*I7</f>
        <v>0</v>
      </c>
      <c r="K7" s="1805"/>
      <c r="L7" s="1806">
        <f t="shared" ref="L7:L11" si="5">28.2368*K7</f>
        <v>0</v>
      </c>
      <c r="M7" s="1805"/>
      <c r="N7" s="1806">
        <f t="shared" ref="N7:N11" si="6">M7*47.6525</f>
        <v>0</v>
      </c>
      <c r="O7" s="1805"/>
      <c r="P7" s="1806">
        <f t="shared" ref="P7:P11" si="7">O7*8.9</f>
        <v>0</v>
      </c>
      <c r="Q7" s="1806"/>
      <c r="R7" s="1806">
        <f t="shared" ref="R7:R11" si="8">241*Q7</f>
        <v>0</v>
      </c>
      <c r="S7" s="1805"/>
      <c r="T7" s="1805">
        <f t="shared" ref="T7:T10" si="9">241*S7</f>
        <v>0</v>
      </c>
      <c r="U7" s="1805"/>
      <c r="V7" s="1805">
        <f t="shared" ref="V7:V11" si="10">332*U7</f>
        <v>0</v>
      </c>
      <c r="W7" s="1805"/>
      <c r="X7" s="19">
        <f t="shared" ref="X7:X11" si="11">W7*100</f>
        <v>0</v>
      </c>
      <c r="Y7" s="20">
        <f t="shared" si="1"/>
        <v>25487.280000000002</v>
      </c>
    </row>
    <row r="8" spans="1:25" ht="35.25" customHeight="1" x14ac:dyDescent="0.25">
      <c r="A8" s="12">
        <v>1967020280</v>
      </c>
      <c r="B8" s="1802" t="s">
        <v>427</v>
      </c>
      <c r="C8" s="1805">
        <v>20223</v>
      </c>
      <c r="D8" s="1806">
        <f t="shared" si="0"/>
        <v>19666.8675</v>
      </c>
      <c r="E8" s="1805"/>
      <c r="F8" s="1805">
        <f t="shared" si="2"/>
        <v>0</v>
      </c>
      <c r="G8" s="1805"/>
      <c r="H8" s="1806">
        <f t="shared" si="3"/>
        <v>0</v>
      </c>
      <c r="I8" s="1805"/>
      <c r="J8" s="1805">
        <f t="shared" si="4"/>
        <v>0</v>
      </c>
      <c r="K8" s="1805"/>
      <c r="L8" s="1806">
        <f t="shared" si="5"/>
        <v>0</v>
      </c>
      <c r="M8" s="1805"/>
      <c r="N8" s="1806">
        <f t="shared" si="6"/>
        <v>0</v>
      </c>
      <c r="O8" s="1805"/>
      <c r="P8" s="1806">
        <f t="shared" si="7"/>
        <v>0</v>
      </c>
      <c r="Q8" s="1806"/>
      <c r="R8" s="1806">
        <f t="shared" si="8"/>
        <v>0</v>
      </c>
      <c r="S8" s="1805"/>
      <c r="T8" s="1805">
        <f t="shared" si="9"/>
        <v>0</v>
      </c>
      <c r="U8" s="1805"/>
      <c r="V8" s="1805">
        <f t="shared" si="10"/>
        <v>0</v>
      </c>
      <c r="W8" s="1805"/>
      <c r="X8" s="19">
        <f t="shared" si="11"/>
        <v>0</v>
      </c>
      <c r="Y8" s="20">
        <f t="shared" si="1"/>
        <v>19666.8675</v>
      </c>
    </row>
    <row r="9" spans="1:25" ht="38.25" customHeight="1" x14ac:dyDescent="0.25">
      <c r="A9" s="12">
        <v>1984225580</v>
      </c>
      <c r="B9" s="1802" t="s">
        <v>75</v>
      </c>
      <c r="C9" s="1805">
        <v>32715</v>
      </c>
      <c r="D9" s="1806">
        <f t="shared" si="0"/>
        <v>31815.337500000001</v>
      </c>
      <c r="E9" s="1805"/>
      <c r="F9" s="1805">
        <f t="shared" si="2"/>
        <v>0</v>
      </c>
      <c r="G9" s="1805"/>
      <c r="H9" s="1805">
        <f t="shared" si="3"/>
        <v>0</v>
      </c>
      <c r="I9" s="1805">
        <v>70</v>
      </c>
      <c r="J9" s="1805">
        <f t="shared" si="4"/>
        <v>1295</v>
      </c>
      <c r="K9" s="1805"/>
      <c r="L9" s="1806">
        <f t="shared" si="5"/>
        <v>0</v>
      </c>
      <c r="M9" s="1805"/>
      <c r="N9" s="1806">
        <f t="shared" si="6"/>
        <v>0</v>
      </c>
      <c r="O9" s="1805"/>
      <c r="P9" s="1806">
        <f t="shared" si="7"/>
        <v>0</v>
      </c>
      <c r="Q9" s="1806"/>
      <c r="R9" s="1806">
        <f t="shared" si="8"/>
        <v>0</v>
      </c>
      <c r="S9" s="1805"/>
      <c r="T9" s="1805">
        <f t="shared" si="9"/>
        <v>0</v>
      </c>
      <c r="U9" s="1805"/>
      <c r="V9" s="1805">
        <f t="shared" si="10"/>
        <v>0</v>
      </c>
      <c r="W9" s="1805"/>
      <c r="X9" s="19">
        <f t="shared" si="11"/>
        <v>0</v>
      </c>
      <c r="Y9" s="20">
        <f t="shared" si="1"/>
        <v>33110.337500000001</v>
      </c>
    </row>
    <row r="10" spans="1:25" ht="35.25" customHeight="1" x14ac:dyDescent="0.25">
      <c r="A10" s="12">
        <v>1409935199</v>
      </c>
      <c r="C10" s="1805">
        <v>14000</v>
      </c>
      <c r="D10" s="1806">
        <f t="shared" si="0"/>
        <v>13615</v>
      </c>
      <c r="E10" s="1805"/>
      <c r="F10" s="1805">
        <f t="shared" si="2"/>
        <v>0</v>
      </c>
      <c r="G10" s="1805"/>
      <c r="H10" s="1805">
        <f t="shared" si="3"/>
        <v>0</v>
      </c>
      <c r="I10" s="1805"/>
      <c r="J10" s="1805">
        <f t="shared" si="4"/>
        <v>0</v>
      </c>
      <c r="K10" s="1805"/>
      <c r="L10" s="1806">
        <f t="shared" si="5"/>
        <v>0</v>
      </c>
      <c r="M10" s="1805"/>
      <c r="N10" s="1806">
        <f t="shared" si="6"/>
        <v>0</v>
      </c>
      <c r="O10" s="1805"/>
      <c r="P10" s="1806">
        <f t="shared" si="7"/>
        <v>0</v>
      </c>
      <c r="Q10" s="1806"/>
      <c r="R10" s="1806">
        <f t="shared" si="8"/>
        <v>0</v>
      </c>
      <c r="S10" s="1805"/>
      <c r="T10" s="1805">
        <f t="shared" si="9"/>
        <v>0</v>
      </c>
      <c r="U10" s="1805"/>
      <c r="V10" s="1805">
        <f t="shared" si="10"/>
        <v>0</v>
      </c>
      <c r="W10" s="1805"/>
      <c r="X10" s="19">
        <f t="shared" si="11"/>
        <v>0</v>
      </c>
      <c r="Y10" s="20">
        <f t="shared" si="1"/>
        <v>13615</v>
      </c>
    </row>
    <row r="11" spans="1:25" ht="37.5" customHeight="1" x14ac:dyDescent="0.25">
      <c r="A11" s="12"/>
      <c r="B11" s="1804"/>
      <c r="C11" s="1805"/>
      <c r="D11" s="1806">
        <f t="shared" si="0"/>
        <v>0</v>
      </c>
      <c r="E11" s="1805"/>
      <c r="F11" s="1805">
        <f t="shared" si="2"/>
        <v>0</v>
      </c>
      <c r="G11" s="1805"/>
      <c r="H11" s="1805">
        <f t="shared" si="3"/>
        <v>0</v>
      </c>
      <c r="I11" s="1805"/>
      <c r="J11" s="1805">
        <f t="shared" si="4"/>
        <v>0</v>
      </c>
      <c r="K11" s="1805"/>
      <c r="L11" s="1806">
        <f t="shared" si="5"/>
        <v>0</v>
      </c>
      <c r="M11" s="1805"/>
      <c r="N11" s="1806">
        <f t="shared" si="6"/>
        <v>0</v>
      </c>
      <c r="O11" s="1805"/>
      <c r="P11" s="1806">
        <f t="shared" si="7"/>
        <v>0</v>
      </c>
      <c r="Q11" s="1806"/>
      <c r="R11" s="1806">
        <f t="shared" si="8"/>
        <v>0</v>
      </c>
      <c r="S11" s="1805"/>
      <c r="T11" s="1805">
        <f>341*S11</f>
        <v>0</v>
      </c>
      <c r="U11" s="1805"/>
      <c r="V11" s="1805">
        <f t="shared" si="10"/>
        <v>0</v>
      </c>
      <c r="W11" s="1805"/>
      <c r="X11" s="19">
        <f t="shared" si="11"/>
        <v>0</v>
      </c>
      <c r="Y11" s="20">
        <f t="shared" si="1"/>
        <v>0</v>
      </c>
    </row>
    <row r="12" spans="1:25" ht="29.25" customHeight="1" x14ac:dyDescent="0.25">
      <c r="A12" s="2235" t="s">
        <v>31</v>
      </c>
      <c r="B12" s="2235"/>
      <c r="C12" s="18">
        <f t="shared" ref="C12:X12" si="12">SUM(C6:C11)</f>
        <v>113666</v>
      </c>
      <c r="D12" s="18">
        <f t="shared" si="12"/>
        <v>110540.185</v>
      </c>
      <c r="E12" s="18">
        <f t="shared" si="12"/>
        <v>0</v>
      </c>
      <c r="F12" s="18">
        <f t="shared" si="12"/>
        <v>0</v>
      </c>
      <c r="G12" s="18">
        <f t="shared" si="12"/>
        <v>0</v>
      </c>
      <c r="H12" s="18">
        <f t="shared" si="12"/>
        <v>0</v>
      </c>
      <c r="I12" s="18">
        <f t="shared" si="12"/>
        <v>70</v>
      </c>
      <c r="J12" s="18">
        <f t="shared" si="12"/>
        <v>1295</v>
      </c>
      <c r="K12" s="18">
        <f t="shared" si="12"/>
        <v>0</v>
      </c>
      <c r="L12" s="18">
        <f t="shared" si="12"/>
        <v>0</v>
      </c>
      <c r="M12" s="18">
        <f t="shared" si="12"/>
        <v>0</v>
      </c>
      <c r="N12" s="23">
        <f t="shared" si="12"/>
        <v>0</v>
      </c>
      <c r="O12" s="18">
        <f t="shared" si="12"/>
        <v>0</v>
      </c>
      <c r="P12" s="23">
        <f t="shared" si="12"/>
        <v>0</v>
      </c>
      <c r="Q12" s="23">
        <f t="shared" si="12"/>
        <v>0</v>
      </c>
      <c r="R12" s="23">
        <f>SUM(R6:R11)</f>
        <v>0</v>
      </c>
      <c r="S12" s="23">
        <f>SUM(S6:S11)</f>
        <v>0</v>
      </c>
      <c r="T12" s="18">
        <f t="shared" si="12"/>
        <v>0</v>
      </c>
      <c r="U12" s="18">
        <f t="shared" si="12"/>
        <v>0</v>
      </c>
      <c r="V12" s="18">
        <f t="shared" si="12"/>
        <v>0</v>
      </c>
      <c r="W12" s="18">
        <f t="shared" si="12"/>
        <v>0</v>
      </c>
      <c r="X12" s="18">
        <f t="shared" si="12"/>
        <v>0</v>
      </c>
      <c r="Y12" s="20">
        <f t="shared" si="1"/>
        <v>111835.185</v>
      </c>
    </row>
    <row r="14" spans="1:25" ht="43.5" customHeight="1" x14ac:dyDescent="0.25">
      <c r="A14" s="30" t="s">
        <v>32</v>
      </c>
      <c r="B14" s="2236" t="s">
        <v>27</v>
      </c>
      <c r="C14" s="2236"/>
      <c r="D14" s="30" t="s">
        <v>333</v>
      </c>
      <c r="E14" s="30" t="s">
        <v>65</v>
      </c>
      <c r="F14" s="30" t="s">
        <v>34</v>
      </c>
      <c r="G14" s="30" t="s">
        <v>14</v>
      </c>
      <c r="H14" s="469" t="s">
        <v>173</v>
      </c>
      <c r="I14" s="30" t="s">
        <v>17</v>
      </c>
      <c r="J14" s="1810" t="s">
        <v>174</v>
      </c>
      <c r="K14" s="30" t="s">
        <v>36</v>
      </c>
      <c r="L14" s="1810" t="s">
        <v>403</v>
      </c>
      <c r="M14" s="30" t="s">
        <v>429</v>
      </c>
      <c r="N14" s="30" t="s">
        <v>442</v>
      </c>
      <c r="O14" s="1810" t="s">
        <v>114</v>
      </c>
      <c r="P14" s="30" t="s">
        <v>70</v>
      </c>
      <c r="Q14" s="2300" t="s">
        <v>479</v>
      </c>
      <c r="R14" s="2301"/>
      <c r="S14" s="1810" t="s">
        <v>401</v>
      </c>
      <c r="T14" s="2235" t="s">
        <v>46</v>
      </c>
      <c r="U14" s="1802" t="s">
        <v>176</v>
      </c>
      <c r="V14" s="2260">
        <v>107792</v>
      </c>
      <c r="W14" s="2268"/>
      <c r="X14" s="2261"/>
    </row>
    <row r="15" spans="1:25" ht="22.5" customHeight="1" x14ac:dyDescent="0.25">
      <c r="A15" s="100" t="s">
        <v>38</v>
      </c>
      <c r="B15" s="2260">
        <v>495021</v>
      </c>
      <c r="C15" s="2261"/>
      <c r="D15" s="1807">
        <v>0</v>
      </c>
      <c r="E15" s="1807">
        <v>1000</v>
      </c>
      <c r="F15" s="1807">
        <v>70</v>
      </c>
      <c r="G15" s="1807">
        <v>0</v>
      </c>
      <c r="H15" s="1807">
        <v>38</v>
      </c>
      <c r="I15" s="1807">
        <v>150</v>
      </c>
      <c r="J15" s="1807">
        <v>4</v>
      </c>
      <c r="K15" s="1807">
        <v>79</v>
      </c>
      <c r="L15" s="1807">
        <v>0</v>
      </c>
      <c r="M15" s="1807">
        <v>0</v>
      </c>
      <c r="N15" s="1807">
        <v>0</v>
      </c>
      <c r="O15" s="1807">
        <v>0</v>
      </c>
      <c r="P15" s="1807">
        <v>100</v>
      </c>
      <c r="Q15" s="2260">
        <v>10</v>
      </c>
      <c r="R15" s="2261"/>
      <c r="S15" s="1802">
        <v>2</v>
      </c>
      <c r="T15" s="2235"/>
      <c r="U15" s="1802" t="s">
        <v>64</v>
      </c>
      <c r="V15" s="2262">
        <v>9169</v>
      </c>
      <c r="W15" s="2262"/>
      <c r="X15" s="2262"/>
    </row>
    <row r="16" spans="1:25" ht="24.75" customHeight="1" x14ac:dyDescent="0.25">
      <c r="A16" s="100" t="s">
        <v>39</v>
      </c>
      <c r="B16" s="2260">
        <v>161038</v>
      </c>
      <c r="C16" s="2261"/>
      <c r="D16" s="1807"/>
      <c r="E16" s="1807"/>
      <c r="F16" s="1807"/>
      <c r="G16" s="1807"/>
      <c r="H16" s="1807"/>
      <c r="I16" s="1807"/>
      <c r="J16" s="1807"/>
      <c r="K16" s="1807"/>
      <c r="L16" s="1807"/>
      <c r="M16" s="1807"/>
      <c r="N16" s="1807"/>
      <c r="O16" s="1807"/>
      <c r="P16" s="1807"/>
      <c r="Q16" s="2262"/>
      <c r="R16" s="2262"/>
      <c r="S16" s="1807"/>
      <c r="T16" s="2254" t="s">
        <v>55</v>
      </c>
      <c r="U16" s="2254"/>
      <c r="V16" s="2267">
        <f>Y12</f>
        <v>111835.185</v>
      </c>
      <c r="W16" s="2267"/>
      <c r="X16" s="2262"/>
    </row>
    <row r="17" spans="1:25" ht="28.5" customHeight="1" x14ac:dyDescent="0.25">
      <c r="A17" s="101" t="s">
        <v>44</v>
      </c>
      <c r="B17" s="2260"/>
      <c r="C17" s="2261"/>
      <c r="D17" s="1807"/>
      <c r="E17" s="1807"/>
      <c r="F17" s="1807"/>
      <c r="G17" s="1807"/>
      <c r="H17" s="1807"/>
      <c r="I17" s="1807"/>
      <c r="J17" s="1807"/>
      <c r="K17" s="1807"/>
      <c r="L17" s="1807"/>
      <c r="M17" s="1807"/>
      <c r="N17" s="1807"/>
      <c r="O17" s="1807"/>
      <c r="P17" s="1807"/>
      <c r="Q17" s="2225"/>
      <c r="R17" s="2225"/>
      <c r="S17" s="1804"/>
      <c r="T17" s="2294" t="s">
        <v>521</v>
      </c>
      <c r="U17" s="2295"/>
      <c r="V17" s="2296"/>
      <c r="W17" s="2296"/>
      <c r="X17" s="2296"/>
    </row>
    <row r="18" spans="1:25" ht="27" customHeight="1" x14ac:dyDescent="0.25">
      <c r="A18" s="100" t="s">
        <v>40</v>
      </c>
      <c r="B18" s="2264">
        <f>C12</f>
        <v>113666</v>
      </c>
      <c r="C18" s="2261"/>
      <c r="D18" s="1808">
        <f>E12</f>
        <v>0</v>
      </c>
      <c r="E18" s="1808">
        <f>G12</f>
        <v>0</v>
      </c>
      <c r="F18" s="1808">
        <f>I12</f>
        <v>70</v>
      </c>
      <c r="G18" s="1808">
        <f>K12</f>
        <v>0</v>
      </c>
      <c r="H18" s="1807"/>
      <c r="I18" s="1808">
        <f>U12</f>
        <v>0</v>
      </c>
      <c r="J18" s="1807"/>
      <c r="K18" s="1808">
        <f>W12</f>
        <v>0</v>
      </c>
      <c r="L18" s="1807"/>
      <c r="M18" s="1808">
        <f>M12</f>
        <v>0</v>
      </c>
      <c r="N18" s="1808">
        <f>O12</f>
        <v>0</v>
      </c>
      <c r="O18" s="1809">
        <f>Q12</f>
        <v>0</v>
      </c>
      <c r="P18" s="1808"/>
      <c r="Q18" s="2262"/>
      <c r="R18" s="2262"/>
      <c r="S18" s="1802"/>
      <c r="T18" s="2254" t="s">
        <v>57</v>
      </c>
      <c r="U18" s="2254"/>
      <c r="V18" s="2262">
        <v>28966</v>
      </c>
      <c r="W18" s="2262"/>
      <c r="X18" s="2262"/>
      <c r="Y18" s="2269"/>
    </row>
    <row r="19" spans="1:25" ht="25.5" customHeight="1" x14ac:dyDescent="0.25">
      <c r="A19" s="100" t="s">
        <v>41</v>
      </c>
      <c r="B19" s="2260">
        <f>B15+B16+B17-B18</f>
        <v>542393</v>
      </c>
      <c r="C19" s="2261"/>
      <c r="D19" s="1807">
        <f>D15+D16+D17-D18</f>
        <v>0</v>
      </c>
      <c r="E19" s="1807">
        <f t="shared" ref="E19:N19" si="13">E15+E16+E17-E18</f>
        <v>1000</v>
      </c>
      <c r="F19" s="1807">
        <f t="shared" si="13"/>
        <v>0</v>
      </c>
      <c r="G19" s="1807">
        <f t="shared" si="13"/>
        <v>0</v>
      </c>
      <c r="H19" s="1807">
        <f t="shared" si="13"/>
        <v>38</v>
      </c>
      <c r="I19" s="1807">
        <f t="shared" si="13"/>
        <v>150</v>
      </c>
      <c r="J19" s="1807">
        <f t="shared" si="13"/>
        <v>4</v>
      </c>
      <c r="K19" s="1807">
        <f t="shared" si="13"/>
        <v>79</v>
      </c>
      <c r="L19" s="1807">
        <f t="shared" si="13"/>
        <v>0</v>
      </c>
      <c r="M19" s="1807">
        <f t="shared" si="13"/>
        <v>0</v>
      </c>
      <c r="N19" s="1807">
        <f t="shared" si="13"/>
        <v>0</v>
      </c>
      <c r="O19" s="1807">
        <f>O15+O16+O17-O18</f>
        <v>0</v>
      </c>
      <c r="P19" s="1807">
        <f t="shared" ref="P19:Q19" si="14">P15+P16+P17-P18</f>
        <v>100</v>
      </c>
      <c r="Q19" s="2260">
        <f t="shared" si="14"/>
        <v>10</v>
      </c>
      <c r="R19" s="2261"/>
      <c r="S19" s="1802">
        <f>S15+S16-S17-S18</f>
        <v>2</v>
      </c>
      <c r="T19" s="2256" t="s">
        <v>48</v>
      </c>
      <c r="U19" s="49" t="s">
        <v>58</v>
      </c>
      <c r="V19" s="2262">
        <v>188000</v>
      </c>
      <c r="W19" s="2262"/>
      <c r="X19" s="2262"/>
      <c r="Y19" s="2269"/>
    </row>
    <row r="20" spans="1:25" ht="23.25" customHeight="1" x14ac:dyDescent="0.25">
      <c r="A20" s="289" t="s">
        <v>187</v>
      </c>
      <c r="B20" s="2286">
        <f>B19*0.9625</f>
        <v>522053.26250000001</v>
      </c>
      <c r="C20" s="2287"/>
      <c r="D20" s="290">
        <f>D19*66.41</f>
        <v>0</v>
      </c>
      <c r="E20" s="290">
        <f>27.9368*E19</f>
        <v>27936.800000000003</v>
      </c>
      <c r="F20" s="290">
        <f>18.31*F19</f>
        <v>0</v>
      </c>
      <c r="G20" s="290">
        <f>27.9368*G19</f>
        <v>0</v>
      </c>
      <c r="H20" s="290">
        <f>241*H19</f>
        <v>9158</v>
      </c>
      <c r="I20" s="290">
        <f>323*I19</f>
        <v>48450</v>
      </c>
      <c r="J20" s="290">
        <f>241*J19</f>
        <v>964</v>
      </c>
      <c r="K20" s="290">
        <f>K19*100</f>
        <v>7900</v>
      </c>
      <c r="L20" s="290">
        <f>241*L19</f>
        <v>0</v>
      </c>
      <c r="M20" s="290">
        <f>47.1625*M19</f>
        <v>0</v>
      </c>
      <c r="N20" s="290">
        <f>N19*8.81</f>
        <v>0</v>
      </c>
      <c r="O20" s="290">
        <f>241*O19</f>
        <v>0</v>
      </c>
      <c r="P20" s="290">
        <f>P19*48.2</f>
        <v>4820</v>
      </c>
      <c r="Q20" s="2286">
        <f>470*Q19</f>
        <v>4700</v>
      </c>
      <c r="R20" s="2287"/>
      <c r="S20" s="290">
        <f>341*S19</f>
        <v>682</v>
      </c>
      <c r="T20" s="2257"/>
      <c r="U20" s="49" t="s">
        <v>59</v>
      </c>
      <c r="V20" s="2262"/>
      <c r="W20" s="2262"/>
      <c r="X20" s="2262"/>
      <c r="Y20" s="2269"/>
    </row>
    <row r="21" spans="1:25" ht="32.25" customHeight="1" x14ac:dyDescent="0.25">
      <c r="A21" s="291" t="s">
        <v>186</v>
      </c>
      <c r="B21" s="2293">
        <f>SUM(B20:S20)</f>
        <v>626664.0625</v>
      </c>
      <c r="C21" s="2293"/>
      <c r="O21" s="1811"/>
      <c r="P21" s="1811"/>
      <c r="Q21" s="1811"/>
      <c r="R21" s="1811"/>
      <c r="T21" s="2294" t="s">
        <v>518</v>
      </c>
      <c r="U21" s="2295"/>
      <c r="V21" s="2297"/>
      <c r="W21" s="2298"/>
      <c r="X21" s="2299"/>
      <c r="Y21" s="2269"/>
    </row>
    <row r="22" spans="1:25" ht="35.25" customHeight="1" x14ac:dyDescent="0.25">
      <c r="A22" s="15"/>
      <c r="B22" s="2288" t="s">
        <v>49</v>
      </c>
      <c r="C22" s="2291">
        <v>188000</v>
      </c>
      <c r="D22" s="2291">
        <v>188000</v>
      </c>
      <c r="E22" s="2291">
        <v>155000</v>
      </c>
      <c r="F22" s="2291">
        <f>C22-D22+E22</f>
        <v>155000</v>
      </c>
      <c r="G22" s="1811"/>
      <c r="Q22" s="1811"/>
      <c r="R22" s="1811"/>
      <c r="T22" s="2251" t="s">
        <v>83</v>
      </c>
      <c r="U22" s="50" t="s">
        <v>60</v>
      </c>
      <c r="V22" s="2262">
        <v>190130</v>
      </c>
      <c r="W22" s="2262"/>
      <c r="X22" s="2262"/>
      <c r="Y22" s="2269"/>
    </row>
    <row r="23" spans="1:25" ht="39.75" customHeight="1" x14ac:dyDescent="0.25">
      <c r="A23" s="1811"/>
      <c r="B23" s="2289"/>
      <c r="C23" s="2292"/>
      <c r="D23" s="2292"/>
      <c r="E23" s="2292"/>
      <c r="F23" s="2292"/>
      <c r="G23" s="1811"/>
      <c r="Q23" s="1811"/>
      <c r="R23" s="1811"/>
      <c r="T23" s="2252"/>
      <c r="U23" s="50" t="s">
        <v>61</v>
      </c>
      <c r="V23" s="2262">
        <v>188000</v>
      </c>
      <c r="W23" s="2262"/>
      <c r="X23" s="2262"/>
      <c r="Y23" s="2269"/>
    </row>
    <row r="24" spans="1:25" ht="48" customHeight="1" x14ac:dyDescent="0.25">
      <c r="A24" s="1811"/>
      <c r="B24" s="2290"/>
      <c r="C24" s="290" t="s">
        <v>46</v>
      </c>
      <c r="D24" s="290" t="s">
        <v>50</v>
      </c>
      <c r="E24" s="290" t="s">
        <v>51</v>
      </c>
      <c r="F24" s="290" t="s">
        <v>52</v>
      </c>
      <c r="G24" s="1811"/>
      <c r="Q24" s="1811"/>
      <c r="R24" s="1811"/>
      <c r="T24" s="2235" t="s">
        <v>47</v>
      </c>
      <c r="U24" s="51" t="s">
        <v>62</v>
      </c>
      <c r="V24" s="2263">
        <f>V14+V16+V17-V18-V19-V20-V22+V23-V21</f>
        <v>531.18499999999767</v>
      </c>
      <c r="W24" s="2263"/>
      <c r="X24" s="2263"/>
      <c r="Y24" s="2269"/>
    </row>
    <row r="25" spans="1:25" ht="40.5" customHeight="1" x14ac:dyDescent="0.25">
      <c r="T25" s="2235"/>
      <c r="U25" s="51" t="s">
        <v>63</v>
      </c>
      <c r="V25" s="2262">
        <f>V15+V22-V23</f>
        <v>11299</v>
      </c>
      <c r="W25" s="2262"/>
      <c r="X25" s="2262"/>
    </row>
    <row r="26" spans="1:25" ht="36" customHeight="1" x14ac:dyDescent="0.25">
      <c r="K26" s="314"/>
    </row>
    <row r="28" spans="1:25" x14ac:dyDescent="0.25">
      <c r="J28" s="14" t="s">
        <v>139</v>
      </c>
    </row>
    <row r="32" spans="1:25" x14ac:dyDescent="0.25">
      <c r="I32" s="2280"/>
      <c r="J32" s="2280"/>
      <c r="K32" s="2280"/>
      <c r="L32" s="2280"/>
    </row>
    <row r="33" spans="9:12" x14ac:dyDescent="0.25">
      <c r="I33" s="1811"/>
      <c r="J33" s="1811"/>
      <c r="K33" s="2280"/>
      <c r="L33" s="2280"/>
    </row>
  </sheetData>
  <mergeCells count="62">
    <mergeCell ref="I32:J32"/>
    <mergeCell ref="K32:L32"/>
    <mergeCell ref="K33:L33"/>
    <mergeCell ref="T22:T23"/>
    <mergeCell ref="V22:X22"/>
    <mergeCell ref="V23:X23"/>
    <mergeCell ref="T24:T25"/>
    <mergeCell ref="V24:X24"/>
    <mergeCell ref="V25:X25"/>
    <mergeCell ref="Y18:Y24"/>
    <mergeCell ref="B19:C19"/>
    <mergeCell ref="Q19:R19"/>
    <mergeCell ref="T19:T20"/>
    <mergeCell ref="V19:X19"/>
    <mergeCell ref="B20:C20"/>
    <mergeCell ref="B22:B24"/>
    <mergeCell ref="C22:C23"/>
    <mergeCell ref="D22:D23"/>
    <mergeCell ref="E22:E23"/>
    <mergeCell ref="F22:F23"/>
    <mergeCell ref="Q20:R20"/>
    <mergeCell ref="V20:X20"/>
    <mergeCell ref="B21:C21"/>
    <mergeCell ref="T21:U21"/>
    <mergeCell ref="V21:X21"/>
    <mergeCell ref="B17:C17"/>
    <mergeCell ref="Q17:R17"/>
    <mergeCell ref="T17:U17"/>
    <mergeCell ref="V17:X17"/>
    <mergeCell ref="B18:C18"/>
    <mergeCell ref="Q18:R18"/>
    <mergeCell ref="T18:U18"/>
    <mergeCell ref="V18:X18"/>
    <mergeCell ref="W4:X4"/>
    <mergeCell ref="B16:C16"/>
    <mergeCell ref="Q16:R16"/>
    <mergeCell ref="T16:U16"/>
    <mergeCell ref="V16:X16"/>
    <mergeCell ref="A12:B12"/>
    <mergeCell ref="B14:C14"/>
    <mergeCell ref="Q14:R14"/>
    <mergeCell ref="T14:T15"/>
    <mergeCell ref="V14:X14"/>
    <mergeCell ref="B15:C15"/>
    <mergeCell ref="Q15:R15"/>
    <mergeCell ref="V15:X15"/>
    <mergeCell ref="A1:Y1"/>
    <mergeCell ref="A2:Y2"/>
    <mergeCell ref="T3:Y3"/>
    <mergeCell ref="A4:A5"/>
    <mergeCell ref="B4:B5"/>
    <mergeCell ref="C4:D4"/>
    <mergeCell ref="E4:F4"/>
    <mergeCell ref="G4:H4"/>
    <mergeCell ref="I4:J4"/>
    <mergeCell ref="K4:L4"/>
    <mergeCell ref="Y4:Y5"/>
    <mergeCell ref="M4:N4"/>
    <mergeCell ref="O4:P4"/>
    <mergeCell ref="Q4:R4"/>
    <mergeCell ref="S4:T4"/>
    <mergeCell ref="U4:V4"/>
  </mergeCells>
  <pageMargins left="0.15748031496063" right="0.15748031496063" top="0" bottom="0" header="0" footer="0"/>
  <pageSetup paperSize="9" scale="46" orientation="landscape" r:id="rId1"/>
</worksheet>
</file>

<file path=xl/worksheets/sheet28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1E48425-71ED-4E44-B460-1B90F2D6133F}">
  <sheetPr>
    <pageSetUpPr fitToPage="1"/>
  </sheetPr>
  <dimension ref="A1:Y33"/>
  <sheetViews>
    <sheetView topLeftCell="C10" zoomScale="70" zoomScaleNormal="70" zoomScaleSheetLayoutView="100" zoomScalePageLayoutView="68" workbookViewId="0">
      <selection activeCell="V18" sqref="V18:X18"/>
    </sheetView>
  </sheetViews>
  <sheetFormatPr defaultColWidth="9.140625" defaultRowHeight="15" x14ac:dyDescent="0.25"/>
  <cols>
    <col min="1" max="1" width="18.28515625" style="14" customWidth="1"/>
    <col min="2" max="2" width="10.7109375" style="14" customWidth="1"/>
    <col min="3" max="3" width="12.28515625" style="14" customWidth="1"/>
    <col min="4" max="4" width="13.140625" style="14" bestFit="1" customWidth="1"/>
    <col min="5" max="5" width="12" style="14" customWidth="1"/>
    <col min="6" max="6" width="14" style="14" bestFit="1" customWidth="1"/>
    <col min="7" max="7" width="16" style="14" bestFit="1" customWidth="1"/>
    <col min="8" max="8" width="10.140625" style="14" bestFit="1" customWidth="1"/>
    <col min="9" max="9" width="10.5703125" style="14" bestFit="1" customWidth="1"/>
    <col min="10" max="10" width="10.5703125" style="14" customWidth="1"/>
    <col min="11" max="11" width="10.28515625" style="14" bestFit="1" customWidth="1"/>
    <col min="12" max="12" width="10.42578125" style="14" bestFit="1" customWidth="1"/>
    <col min="13" max="14" width="12" style="14" bestFit="1" customWidth="1"/>
    <col min="15" max="15" width="11" style="14" customWidth="1"/>
    <col min="16" max="16" width="12.85546875" style="14" bestFit="1" customWidth="1"/>
    <col min="17" max="18" width="9.42578125" style="14" customWidth="1"/>
    <col min="19" max="19" width="13.7109375" style="14" customWidth="1"/>
    <col min="20" max="20" width="12.140625" style="14" customWidth="1"/>
    <col min="21" max="21" width="21.7109375" style="14" customWidth="1"/>
    <col min="22" max="22" width="9.85546875" style="14" customWidth="1"/>
    <col min="23" max="23" width="10.140625" style="14" bestFit="1" customWidth="1"/>
    <col min="24" max="24" width="10.28515625" style="14" customWidth="1"/>
    <col min="25" max="25" width="15.7109375" style="14" customWidth="1"/>
    <col min="26" max="16384" width="9.140625" style="14"/>
  </cols>
  <sheetData>
    <row r="1" spans="1:25" ht="46.15" customHeight="1" x14ac:dyDescent="0.25">
      <c r="A1" s="2240" t="s">
        <v>148</v>
      </c>
      <c r="B1" s="2240"/>
      <c r="C1" s="2240"/>
      <c r="D1" s="2240"/>
      <c r="E1" s="2240"/>
      <c r="F1" s="2240"/>
      <c r="G1" s="2240"/>
      <c r="H1" s="2240"/>
      <c r="I1" s="2240"/>
      <c r="J1" s="2240"/>
      <c r="K1" s="2240"/>
      <c r="L1" s="2240"/>
      <c r="M1" s="2240"/>
      <c r="N1" s="2240"/>
      <c r="O1" s="2240"/>
      <c r="P1" s="2240"/>
      <c r="Q1" s="2240"/>
      <c r="R1" s="2240"/>
      <c r="S1" s="2240"/>
      <c r="T1" s="2240"/>
      <c r="U1" s="2240"/>
      <c r="V1" s="2240"/>
      <c r="W1" s="2240"/>
      <c r="X1" s="2240"/>
      <c r="Y1" s="2240"/>
    </row>
    <row r="2" spans="1:25" ht="21.6" customHeight="1" x14ac:dyDescent="0.25">
      <c r="A2" s="2241" t="s">
        <v>383</v>
      </c>
      <c r="B2" s="2241"/>
      <c r="C2" s="2241"/>
      <c r="D2" s="2241"/>
      <c r="E2" s="2241"/>
      <c r="F2" s="2241"/>
      <c r="G2" s="2241"/>
      <c r="H2" s="2241"/>
      <c r="I2" s="2241"/>
      <c r="J2" s="2241"/>
      <c r="K2" s="2241"/>
      <c r="L2" s="2241"/>
      <c r="M2" s="2241"/>
      <c r="N2" s="2241"/>
      <c r="O2" s="2241"/>
      <c r="P2" s="2241"/>
      <c r="Q2" s="2241"/>
      <c r="R2" s="2241"/>
      <c r="S2" s="2241"/>
      <c r="T2" s="2241"/>
      <c r="U2" s="2241"/>
      <c r="V2" s="2241"/>
      <c r="W2" s="2241"/>
      <c r="X2" s="2241"/>
      <c r="Y2" s="2241"/>
    </row>
    <row r="3" spans="1:25" ht="21" customHeight="1" x14ac:dyDescent="0.25">
      <c r="A3" s="1812"/>
      <c r="B3" s="1812"/>
      <c r="C3" s="1812"/>
      <c r="D3" s="1812"/>
      <c r="E3" s="1812"/>
      <c r="F3" s="1812"/>
      <c r="G3" s="1812"/>
      <c r="H3" s="1812"/>
      <c r="I3" s="1812"/>
      <c r="J3" s="1812"/>
      <c r="K3" s="1812"/>
      <c r="L3" s="1812"/>
      <c r="M3" s="1812"/>
      <c r="N3" s="1812"/>
      <c r="O3" s="1812"/>
      <c r="P3" s="1812"/>
      <c r="Q3" s="1812"/>
      <c r="R3" s="1812"/>
      <c r="S3" s="1812"/>
      <c r="T3" s="2242" t="s">
        <v>539</v>
      </c>
      <c r="U3" s="2242"/>
      <c r="V3" s="2242"/>
      <c r="W3" s="2242"/>
      <c r="X3" s="2242"/>
      <c r="Y3" s="2242"/>
    </row>
    <row r="4" spans="1:25" s="1812" customFormat="1" ht="18" customHeight="1" x14ac:dyDescent="0.25">
      <c r="A4" s="2243" t="s">
        <v>25</v>
      </c>
      <c r="B4" s="2243" t="s">
        <v>26</v>
      </c>
      <c r="C4" s="2244" t="s">
        <v>27</v>
      </c>
      <c r="D4" s="2244"/>
      <c r="E4" s="2244" t="s">
        <v>342</v>
      </c>
      <c r="F4" s="2244"/>
      <c r="G4" s="2244" t="s">
        <v>65</v>
      </c>
      <c r="H4" s="2244"/>
      <c r="I4" s="2244" t="s">
        <v>29</v>
      </c>
      <c r="J4" s="2244"/>
      <c r="K4" s="2245" t="s">
        <v>14</v>
      </c>
      <c r="L4" s="2246"/>
      <c r="M4" s="2245" t="s">
        <v>429</v>
      </c>
      <c r="N4" s="2246"/>
      <c r="O4" s="2245" t="s">
        <v>441</v>
      </c>
      <c r="P4" s="2246"/>
      <c r="Q4" s="2245" t="s">
        <v>114</v>
      </c>
      <c r="R4" s="2246"/>
      <c r="S4" s="2244" t="s">
        <v>35</v>
      </c>
      <c r="T4" s="2244"/>
      <c r="U4" s="2245" t="s">
        <v>17</v>
      </c>
      <c r="V4" s="2246"/>
      <c r="W4" s="2247" t="s">
        <v>36</v>
      </c>
      <c r="X4" s="2248"/>
      <c r="Y4" s="2238" t="s">
        <v>30</v>
      </c>
    </row>
    <row r="5" spans="1:25" s="1812" customFormat="1" ht="25.5" customHeight="1" x14ac:dyDescent="0.25">
      <c r="A5" s="2243"/>
      <c r="B5" s="2243"/>
      <c r="C5" s="1814" t="s">
        <v>42</v>
      </c>
      <c r="D5" s="1814" t="s">
        <v>43</v>
      </c>
      <c r="E5" s="1814" t="s">
        <v>42</v>
      </c>
      <c r="F5" s="1814" t="s">
        <v>43</v>
      </c>
      <c r="G5" s="1814" t="s">
        <v>42</v>
      </c>
      <c r="H5" s="1814" t="s">
        <v>43</v>
      </c>
      <c r="I5" s="1814" t="s">
        <v>42</v>
      </c>
      <c r="J5" s="1814" t="s">
        <v>43</v>
      </c>
      <c r="K5" s="1814" t="s">
        <v>42</v>
      </c>
      <c r="L5" s="1814" t="s">
        <v>43</v>
      </c>
      <c r="M5" s="1814" t="s">
        <v>42</v>
      </c>
      <c r="N5" s="1814" t="s">
        <v>43</v>
      </c>
      <c r="O5" s="1814" t="s">
        <v>42</v>
      </c>
      <c r="P5" s="1814" t="s">
        <v>43</v>
      </c>
      <c r="Q5" s="1814" t="s">
        <v>42</v>
      </c>
      <c r="R5" s="1814" t="s">
        <v>43</v>
      </c>
      <c r="S5" s="33" t="s">
        <v>42</v>
      </c>
      <c r="T5" s="33" t="s">
        <v>43</v>
      </c>
      <c r="U5" s="30" t="s">
        <v>42</v>
      </c>
      <c r="V5" s="30" t="s">
        <v>43</v>
      </c>
      <c r="W5" s="30" t="s">
        <v>42</v>
      </c>
      <c r="X5" s="30" t="s">
        <v>43</v>
      </c>
      <c r="Y5" s="2239"/>
    </row>
    <row r="6" spans="1:25" ht="34.5" customHeight="1" x14ac:dyDescent="0.25">
      <c r="A6" s="12">
        <v>1409935200</v>
      </c>
      <c r="B6" s="1813" t="s">
        <v>71</v>
      </c>
      <c r="C6" s="1816">
        <v>22837</v>
      </c>
      <c r="D6" s="1817">
        <f t="shared" ref="D6:D11" si="0">0.9725*C6</f>
        <v>22208.982500000002</v>
      </c>
      <c r="E6" s="1816"/>
      <c r="F6" s="1817">
        <f>67.1*E6</f>
        <v>0</v>
      </c>
      <c r="G6" s="1816"/>
      <c r="H6" s="1816">
        <f>28.2*G6</f>
        <v>0</v>
      </c>
      <c r="I6" s="1816"/>
      <c r="J6" s="1816">
        <f>18.5*I6</f>
        <v>0</v>
      </c>
      <c r="K6" s="1816"/>
      <c r="L6" s="1817">
        <f>28.2368*K6</f>
        <v>0</v>
      </c>
      <c r="M6" s="1816"/>
      <c r="N6" s="1817">
        <f>M6*47.6525</f>
        <v>0</v>
      </c>
      <c r="O6" s="1816"/>
      <c r="P6" s="1817">
        <f>O6*8.9</f>
        <v>0</v>
      </c>
      <c r="Q6" s="1817"/>
      <c r="R6" s="1817">
        <f>241*Q6</f>
        <v>0</v>
      </c>
      <c r="S6" s="1816"/>
      <c r="T6" s="1816">
        <f>241*S6</f>
        <v>0</v>
      </c>
      <c r="U6" s="1816"/>
      <c r="V6" s="1816">
        <f>332*U6</f>
        <v>0</v>
      </c>
      <c r="W6" s="1816"/>
      <c r="X6" s="19">
        <f>W6*100</f>
        <v>0</v>
      </c>
      <c r="Y6" s="20">
        <f t="shared" ref="Y6:Y12" si="1">D6+F6+H6+J6+L6+N6+P6+R6+T6+V6+X6</f>
        <v>22208.982500000002</v>
      </c>
    </row>
    <row r="7" spans="1:25" ht="31.5" customHeight="1" x14ac:dyDescent="0.25">
      <c r="A7" s="12">
        <v>1984225578</v>
      </c>
      <c r="B7" s="1813" t="s">
        <v>509</v>
      </c>
      <c r="C7" s="1816">
        <v>21321</v>
      </c>
      <c r="D7" s="1817">
        <f t="shared" si="0"/>
        <v>20734.672500000001</v>
      </c>
      <c r="E7" s="1816"/>
      <c r="F7" s="1816">
        <f t="shared" ref="F7:F11" si="2">67.1*E7</f>
        <v>0</v>
      </c>
      <c r="G7" s="1816">
        <v>350</v>
      </c>
      <c r="H7" s="1816">
        <f t="shared" ref="H7:H11" si="3">28.2*G7</f>
        <v>9870</v>
      </c>
      <c r="I7" s="1816"/>
      <c r="J7" s="1816">
        <f t="shared" ref="J7:J11" si="4">18.5*I7</f>
        <v>0</v>
      </c>
      <c r="K7" s="1816"/>
      <c r="L7" s="1817">
        <f t="shared" ref="L7:L11" si="5">28.2368*K7</f>
        <v>0</v>
      </c>
      <c r="M7" s="1816"/>
      <c r="N7" s="1817">
        <f t="shared" ref="N7:N11" si="6">M7*47.6525</f>
        <v>0</v>
      </c>
      <c r="O7" s="1816"/>
      <c r="P7" s="1817">
        <f t="shared" ref="P7:P11" si="7">O7*8.9</f>
        <v>0</v>
      </c>
      <c r="Q7" s="1817"/>
      <c r="R7" s="1817">
        <f t="shared" ref="R7:R11" si="8">241*Q7</f>
        <v>0</v>
      </c>
      <c r="S7" s="1816"/>
      <c r="T7" s="1816">
        <f t="shared" ref="T7:T10" si="9">241*S7</f>
        <v>0</v>
      </c>
      <c r="U7" s="1816">
        <v>65</v>
      </c>
      <c r="V7" s="1816">
        <f t="shared" ref="V7:V11" si="10">332*U7</f>
        <v>21580</v>
      </c>
      <c r="W7" s="1816"/>
      <c r="X7" s="19">
        <f t="shared" ref="X7:X11" si="11">W7*100</f>
        <v>0</v>
      </c>
      <c r="Y7" s="20">
        <f t="shared" si="1"/>
        <v>52184.672500000001</v>
      </c>
    </row>
    <row r="8" spans="1:25" ht="35.25" customHeight="1" x14ac:dyDescent="0.25">
      <c r="A8" s="12">
        <v>1967020280</v>
      </c>
      <c r="B8" s="1813" t="s">
        <v>427</v>
      </c>
      <c r="C8" s="1816">
        <v>21290</v>
      </c>
      <c r="D8" s="1817">
        <f t="shared" si="0"/>
        <v>20704.525000000001</v>
      </c>
      <c r="E8" s="1816"/>
      <c r="F8" s="1816">
        <f t="shared" si="2"/>
        <v>0</v>
      </c>
      <c r="G8" s="1816">
        <v>150</v>
      </c>
      <c r="H8" s="1817">
        <f t="shared" si="3"/>
        <v>4230</v>
      </c>
      <c r="I8" s="1816"/>
      <c r="J8" s="1816">
        <f t="shared" si="4"/>
        <v>0</v>
      </c>
      <c r="K8" s="1816"/>
      <c r="L8" s="1817">
        <f t="shared" si="5"/>
        <v>0</v>
      </c>
      <c r="M8" s="1816"/>
      <c r="N8" s="1817">
        <f t="shared" si="6"/>
        <v>0</v>
      </c>
      <c r="O8" s="1816"/>
      <c r="P8" s="1817">
        <f t="shared" si="7"/>
        <v>0</v>
      </c>
      <c r="Q8" s="1817"/>
      <c r="R8" s="1817">
        <f t="shared" si="8"/>
        <v>0</v>
      </c>
      <c r="S8" s="1816"/>
      <c r="T8" s="1816">
        <f t="shared" si="9"/>
        <v>0</v>
      </c>
      <c r="U8" s="1816">
        <v>15</v>
      </c>
      <c r="V8" s="1816">
        <f t="shared" si="10"/>
        <v>4980</v>
      </c>
      <c r="W8" s="1816">
        <v>1</v>
      </c>
      <c r="X8" s="19">
        <f t="shared" si="11"/>
        <v>100</v>
      </c>
      <c r="Y8" s="20">
        <f t="shared" si="1"/>
        <v>30014.525000000001</v>
      </c>
    </row>
    <row r="9" spans="1:25" ht="38.25" customHeight="1" x14ac:dyDescent="0.25">
      <c r="A9" s="12">
        <v>1984225580</v>
      </c>
      <c r="B9" s="1813" t="s">
        <v>75</v>
      </c>
      <c r="C9" s="1816">
        <v>33857</v>
      </c>
      <c r="D9" s="1817">
        <f t="shared" si="0"/>
        <v>32925.932500000003</v>
      </c>
      <c r="E9" s="1816"/>
      <c r="F9" s="1816">
        <f t="shared" si="2"/>
        <v>0</v>
      </c>
      <c r="G9" s="1816">
        <v>470</v>
      </c>
      <c r="H9" s="1816">
        <f t="shared" si="3"/>
        <v>13254</v>
      </c>
      <c r="I9" s="1816"/>
      <c r="J9" s="1816">
        <f t="shared" si="4"/>
        <v>0</v>
      </c>
      <c r="K9" s="1816"/>
      <c r="L9" s="1817">
        <f t="shared" si="5"/>
        <v>0</v>
      </c>
      <c r="M9" s="1816"/>
      <c r="N9" s="1817">
        <f t="shared" si="6"/>
        <v>0</v>
      </c>
      <c r="O9" s="1816"/>
      <c r="P9" s="1817">
        <f t="shared" si="7"/>
        <v>0</v>
      </c>
      <c r="Q9" s="1817"/>
      <c r="R9" s="1817">
        <f t="shared" si="8"/>
        <v>0</v>
      </c>
      <c r="S9" s="1816"/>
      <c r="T9" s="1816">
        <f t="shared" si="9"/>
        <v>0</v>
      </c>
      <c r="U9" s="1816"/>
      <c r="V9" s="1816">
        <f t="shared" si="10"/>
        <v>0</v>
      </c>
      <c r="W9" s="1816"/>
      <c r="X9" s="19">
        <f t="shared" si="11"/>
        <v>0</v>
      </c>
      <c r="Y9" s="20">
        <f t="shared" si="1"/>
        <v>46179.932500000003</v>
      </c>
    </row>
    <row r="10" spans="1:25" ht="35.25" customHeight="1" x14ac:dyDescent="0.25">
      <c r="A10" s="12">
        <v>1409935199</v>
      </c>
      <c r="C10" s="1816"/>
      <c r="D10" s="1817">
        <f t="shared" si="0"/>
        <v>0</v>
      </c>
      <c r="E10" s="1816"/>
      <c r="F10" s="1816">
        <f t="shared" si="2"/>
        <v>0</v>
      </c>
      <c r="G10" s="1816"/>
      <c r="H10" s="1816">
        <f t="shared" si="3"/>
        <v>0</v>
      </c>
      <c r="I10" s="1816"/>
      <c r="J10" s="1816">
        <f t="shared" si="4"/>
        <v>0</v>
      </c>
      <c r="K10" s="1816"/>
      <c r="L10" s="1817">
        <f t="shared" si="5"/>
        <v>0</v>
      </c>
      <c r="M10" s="1816"/>
      <c r="N10" s="1817">
        <f t="shared" si="6"/>
        <v>0</v>
      </c>
      <c r="O10" s="1816"/>
      <c r="P10" s="1817">
        <f t="shared" si="7"/>
        <v>0</v>
      </c>
      <c r="Q10" s="1817"/>
      <c r="R10" s="1817">
        <f t="shared" si="8"/>
        <v>0</v>
      </c>
      <c r="S10" s="1816"/>
      <c r="T10" s="1816">
        <f t="shared" si="9"/>
        <v>0</v>
      </c>
      <c r="U10" s="1816"/>
      <c r="V10" s="1816">
        <f t="shared" si="10"/>
        <v>0</v>
      </c>
      <c r="W10" s="1816"/>
      <c r="X10" s="19">
        <f t="shared" si="11"/>
        <v>0</v>
      </c>
      <c r="Y10" s="20">
        <f t="shared" si="1"/>
        <v>0</v>
      </c>
    </row>
    <row r="11" spans="1:25" ht="37.5" customHeight="1" x14ac:dyDescent="0.25">
      <c r="A11" s="12"/>
      <c r="B11" s="1815"/>
      <c r="C11" s="1816"/>
      <c r="D11" s="1817">
        <f t="shared" si="0"/>
        <v>0</v>
      </c>
      <c r="E11" s="1816"/>
      <c r="F11" s="1816">
        <f t="shared" si="2"/>
        <v>0</v>
      </c>
      <c r="G11" s="1816"/>
      <c r="H11" s="1816">
        <f t="shared" si="3"/>
        <v>0</v>
      </c>
      <c r="I11" s="1816"/>
      <c r="J11" s="1816">
        <f t="shared" si="4"/>
        <v>0</v>
      </c>
      <c r="K11" s="1816"/>
      <c r="L11" s="1817">
        <f t="shared" si="5"/>
        <v>0</v>
      </c>
      <c r="M11" s="1816"/>
      <c r="N11" s="1817">
        <f t="shared" si="6"/>
        <v>0</v>
      </c>
      <c r="O11" s="1816"/>
      <c r="P11" s="1817">
        <f t="shared" si="7"/>
        <v>0</v>
      </c>
      <c r="Q11" s="1817"/>
      <c r="R11" s="1817">
        <f t="shared" si="8"/>
        <v>0</v>
      </c>
      <c r="S11" s="1816"/>
      <c r="T11" s="1816">
        <f>341*S11</f>
        <v>0</v>
      </c>
      <c r="U11" s="1816"/>
      <c r="V11" s="1816">
        <f t="shared" si="10"/>
        <v>0</v>
      </c>
      <c r="W11" s="1816"/>
      <c r="X11" s="19">
        <f t="shared" si="11"/>
        <v>0</v>
      </c>
      <c r="Y11" s="20">
        <f t="shared" si="1"/>
        <v>0</v>
      </c>
    </row>
    <row r="12" spans="1:25" ht="29.25" customHeight="1" x14ac:dyDescent="0.25">
      <c r="A12" s="2235" t="s">
        <v>31</v>
      </c>
      <c r="B12" s="2235"/>
      <c r="C12" s="18">
        <f t="shared" ref="C12:X12" si="12">SUM(C6:C11)</f>
        <v>99305</v>
      </c>
      <c r="D12" s="18">
        <f t="shared" si="12"/>
        <v>96574.112500000003</v>
      </c>
      <c r="E12" s="18">
        <f t="shared" si="12"/>
        <v>0</v>
      </c>
      <c r="F12" s="18">
        <f t="shared" si="12"/>
        <v>0</v>
      </c>
      <c r="G12" s="18">
        <f t="shared" si="12"/>
        <v>970</v>
      </c>
      <c r="H12" s="18">
        <f t="shared" si="12"/>
        <v>27354</v>
      </c>
      <c r="I12" s="18">
        <f t="shared" si="12"/>
        <v>0</v>
      </c>
      <c r="J12" s="18">
        <f t="shared" si="12"/>
        <v>0</v>
      </c>
      <c r="K12" s="18">
        <f t="shared" si="12"/>
        <v>0</v>
      </c>
      <c r="L12" s="18">
        <f t="shared" si="12"/>
        <v>0</v>
      </c>
      <c r="M12" s="18">
        <f t="shared" si="12"/>
        <v>0</v>
      </c>
      <c r="N12" s="23">
        <f t="shared" si="12"/>
        <v>0</v>
      </c>
      <c r="O12" s="18">
        <f t="shared" si="12"/>
        <v>0</v>
      </c>
      <c r="P12" s="23">
        <f t="shared" si="12"/>
        <v>0</v>
      </c>
      <c r="Q12" s="23">
        <f t="shared" si="12"/>
        <v>0</v>
      </c>
      <c r="R12" s="23">
        <f>SUM(R6:R11)</f>
        <v>0</v>
      </c>
      <c r="S12" s="23">
        <f>SUM(S6:S11)</f>
        <v>0</v>
      </c>
      <c r="T12" s="18">
        <f t="shared" si="12"/>
        <v>0</v>
      </c>
      <c r="U12" s="18">
        <f t="shared" si="12"/>
        <v>80</v>
      </c>
      <c r="V12" s="18">
        <f t="shared" si="12"/>
        <v>26560</v>
      </c>
      <c r="W12" s="18">
        <f t="shared" si="12"/>
        <v>1</v>
      </c>
      <c r="X12" s="18">
        <f t="shared" si="12"/>
        <v>100</v>
      </c>
      <c r="Y12" s="20">
        <f t="shared" si="1"/>
        <v>150588.11249999999</v>
      </c>
    </row>
    <row r="14" spans="1:25" ht="43.5" customHeight="1" x14ac:dyDescent="0.25">
      <c r="A14" s="30" t="s">
        <v>32</v>
      </c>
      <c r="B14" s="2236" t="s">
        <v>27</v>
      </c>
      <c r="C14" s="2236"/>
      <c r="D14" s="30" t="s">
        <v>333</v>
      </c>
      <c r="E14" s="30" t="s">
        <v>65</v>
      </c>
      <c r="F14" s="30" t="s">
        <v>34</v>
      </c>
      <c r="G14" s="30" t="s">
        <v>14</v>
      </c>
      <c r="H14" s="469" t="s">
        <v>173</v>
      </c>
      <c r="I14" s="30" t="s">
        <v>17</v>
      </c>
      <c r="J14" s="1821" t="s">
        <v>174</v>
      </c>
      <c r="K14" s="30" t="s">
        <v>36</v>
      </c>
      <c r="L14" s="1821" t="s">
        <v>403</v>
      </c>
      <c r="M14" s="30" t="s">
        <v>429</v>
      </c>
      <c r="N14" s="30" t="s">
        <v>442</v>
      </c>
      <c r="O14" s="1821" t="s">
        <v>114</v>
      </c>
      <c r="P14" s="30" t="s">
        <v>70</v>
      </c>
      <c r="Q14" s="2300" t="s">
        <v>479</v>
      </c>
      <c r="R14" s="2301"/>
      <c r="S14" s="1821" t="s">
        <v>401</v>
      </c>
      <c r="T14" s="2235" t="s">
        <v>46</v>
      </c>
      <c r="U14" s="1813" t="s">
        <v>176</v>
      </c>
      <c r="V14" s="2260">
        <v>531</v>
      </c>
      <c r="W14" s="2268"/>
      <c r="X14" s="2261"/>
    </row>
    <row r="15" spans="1:25" ht="22.5" customHeight="1" x14ac:dyDescent="0.25">
      <c r="A15" s="100" t="s">
        <v>38</v>
      </c>
      <c r="B15" s="2260">
        <v>542393</v>
      </c>
      <c r="C15" s="2261"/>
      <c r="D15" s="1818">
        <v>0</v>
      </c>
      <c r="E15" s="1818">
        <v>1000</v>
      </c>
      <c r="F15" s="1818">
        <v>0</v>
      </c>
      <c r="G15" s="1818">
        <v>0</v>
      </c>
      <c r="H15" s="1818">
        <v>38</v>
      </c>
      <c r="I15" s="1818">
        <v>150</v>
      </c>
      <c r="J15" s="1818">
        <v>4</v>
      </c>
      <c r="K15" s="1818">
        <v>79</v>
      </c>
      <c r="L15" s="1818">
        <v>0</v>
      </c>
      <c r="M15" s="1818">
        <v>0</v>
      </c>
      <c r="N15" s="1818">
        <v>0</v>
      </c>
      <c r="O15" s="1818">
        <v>0</v>
      </c>
      <c r="P15" s="1818">
        <v>100</v>
      </c>
      <c r="Q15" s="2260">
        <v>10</v>
      </c>
      <c r="R15" s="2261"/>
      <c r="S15" s="1813">
        <v>2</v>
      </c>
      <c r="T15" s="2235"/>
      <c r="U15" s="1813" t="s">
        <v>64</v>
      </c>
      <c r="V15" s="2262">
        <v>11299</v>
      </c>
      <c r="W15" s="2262"/>
      <c r="X15" s="2262"/>
    </row>
    <row r="16" spans="1:25" ht="24.75" customHeight="1" x14ac:dyDescent="0.25">
      <c r="A16" s="100" t="s">
        <v>39</v>
      </c>
      <c r="B16" s="2260"/>
      <c r="C16" s="2261"/>
      <c r="D16" s="1818"/>
      <c r="E16" s="1818"/>
      <c r="F16" s="1818"/>
      <c r="G16" s="1818"/>
      <c r="H16" s="1818"/>
      <c r="I16" s="1818"/>
      <c r="J16" s="1818"/>
      <c r="K16" s="1818"/>
      <c r="L16" s="1818"/>
      <c r="M16" s="1818"/>
      <c r="N16" s="1818"/>
      <c r="O16" s="1818"/>
      <c r="P16" s="1818"/>
      <c r="Q16" s="2262"/>
      <c r="R16" s="2262"/>
      <c r="S16" s="1818"/>
      <c r="T16" s="2254" t="s">
        <v>55</v>
      </c>
      <c r="U16" s="2254"/>
      <c r="V16" s="2267">
        <f>Y12</f>
        <v>150588.11249999999</v>
      </c>
      <c r="W16" s="2267"/>
      <c r="X16" s="2262"/>
    </row>
    <row r="17" spans="1:25" ht="28.5" customHeight="1" x14ac:dyDescent="0.25">
      <c r="A17" s="101" t="s">
        <v>44</v>
      </c>
      <c r="B17" s="2260"/>
      <c r="C17" s="2261"/>
      <c r="D17" s="1818"/>
      <c r="E17" s="1818"/>
      <c r="F17" s="1818"/>
      <c r="G17" s="1818"/>
      <c r="H17" s="1818"/>
      <c r="I17" s="1818"/>
      <c r="J17" s="1818"/>
      <c r="K17" s="1818"/>
      <c r="L17" s="1818"/>
      <c r="M17" s="1818"/>
      <c r="N17" s="1818"/>
      <c r="O17" s="1818"/>
      <c r="P17" s="1818"/>
      <c r="Q17" s="2225"/>
      <c r="R17" s="2225"/>
      <c r="S17" s="1815"/>
      <c r="T17" s="2294" t="s">
        <v>521</v>
      </c>
      <c r="U17" s="2295"/>
      <c r="V17" s="2296"/>
      <c r="W17" s="2296"/>
      <c r="X17" s="2296"/>
    </row>
    <row r="18" spans="1:25" ht="27" customHeight="1" x14ac:dyDescent="0.25">
      <c r="A18" s="100" t="s">
        <v>40</v>
      </c>
      <c r="B18" s="2264">
        <f>C12</f>
        <v>99305</v>
      </c>
      <c r="C18" s="2261"/>
      <c r="D18" s="1819">
        <f>E12</f>
        <v>0</v>
      </c>
      <c r="E18" s="1819">
        <f>G12</f>
        <v>970</v>
      </c>
      <c r="F18" s="1819">
        <f>I12</f>
        <v>0</v>
      </c>
      <c r="G18" s="1819">
        <f>K12</f>
        <v>0</v>
      </c>
      <c r="H18" s="1818"/>
      <c r="I18" s="1819">
        <f>U12</f>
        <v>80</v>
      </c>
      <c r="J18" s="1818"/>
      <c r="K18" s="1819">
        <f>W12</f>
        <v>1</v>
      </c>
      <c r="L18" s="1818"/>
      <c r="M18" s="1819">
        <f>M12</f>
        <v>0</v>
      </c>
      <c r="N18" s="1819">
        <f>O12</f>
        <v>0</v>
      </c>
      <c r="O18" s="1820">
        <f>Q12</f>
        <v>0</v>
      </c>
      <c r="P18" s="1819"/>
      <c r="Q18" s="2262"/>
      <c r="R18" s="2262"/>
      <c r="S18" s="1813"/>
      <c r="T18" s="2254" t="s">
        <v>57</v>
      </c>
      <c r="U18" s="2254"/>
      <c r="V18" s="2262">
        <v>870</v>
      </c>
      <c r="W18" s="2262"/>
      <c r="X18" s="2262"/>
      <c r="Y18" s="2269"/>
    </row>
    <row r="19" spans="1:25" ht="25.5" customHeight="1" x14ac:dyDescent="0.25">
      <c r="A19" s="100" t="s">
        <v>41</v>
      </c>
      <c r="B19" s="2260">
        <f>B15+B16+B17-B18</f>
        <v>443088</v>
      </c>
      <c r="C19" s="2261"/>
      <c r="D19" s="1818">
        <f>D15+D16+D17-D18</f>
        <v>0</v>
      </c>
      <c r="E19" s="1818">
        <f t="shared" ref="E19:N19" si="13">E15+E16+E17-E18</f>
        <v>30</v>
      </c>
      <c r="F19" s="1818">
        <f t="shared" si="13"/>
        <v>0</v>
      </c>
      <c r="G19" s="1818">
        <f t="shared" si="13"/>
        <v>0</v>
      </c>
      <c r="H19" s="1818">
        <f t="shared" si="13"/>
        <v>38</v>
      </c>
      <c r="I19" s="1818">
        <f t="shared" si="13"/>
        <v>70</v>
      </c>
      <c r="J19" s="1818">
        <f t="shared" si="13"/>
        <v>4</v>
      </c>
      <c r="K19" s="1818">
        <f t="shared" si="13"/>
        <v>78</v>
      </c>
      <c r="L19" s="1818">
        <f t="shared" si="13"/>
        <v>0</v>
      </c>
      <c r="M19" s="1818">
        <f t="shared" si="13"/>
        <v>0</v>
      </c>
      <c r="N19" s="1818">
        <f t="shared" si="13"/>
        <v>0</v>
      </c>
      <c r="O19" s="1818">
        <f>O15+O16+O17-O18</f>
        <v>0</v>
      </c>
      <c r="P19" s="1818">
        <f t="shared" ref="P19:Q19" si="14">P15+P16+P17-P18</f>
        <v>100</v>
      </c>
      <c r="Q19" s="2260">
        <f t="shared" si="14"/>
        <v>10</v>
      </c>
      <c r="R19" s="2261"/>
      <c r="S19" s="1813">
        <f>S15+S16-S17-S18</f>
        <v>2</v>
      </c>
      <c r="T19" s="2256" t="s">
        <v>48</v>
      </c>
      <c r="U19" s="49" t="s">
        <v>58</v>
      </c>
      <c r="V19" s="2262"/>
      <c r="W19" s="2262"/>
      <c r="X19" s="2262"/>
      <c r="Y19" s="2269"/>
    </row>
    <row r="20" spans="1:25" ht="23.25" customHeight="1" x14ac:dyDescent="0.25">
      <c r="A20" s="289" t="s">
        <v>187</v>
      </c>
      <c r="B20" s="2286">
        <f>B19*0.9625</f>
        <v>426472.2</v>
      </c>
      <c r="C20" s="2287"/>
      <c r="D20" s="290">
        <f>D19*66.41</f>
        <v>0</v>
      </c>
      <c r="E20" s="290">
        <f>27.9368*E19</f>
        <v>838.10400000000004</v>
      </c>
      <c r="F20" s="290">
        <f>18.31*F19</f>
        <v>0</v>
      </c>
      <c r="G20" s="290">
        <f>27.9368*G19</f>
        <v>0</v>
      </c>
      <c r="H20" s="290">
        <f>241*H19</f>
        <v>9158</v>
      </c>
      <c r="I20" s="290">
        <f>323*I19</f>
        <v>22610</v>
      </c>
      <c r="J20" s="290">
        <f>241*J19</f>
        <v>964</v>
      </c>
      <c r="K20" s="290">
        <f>K19*100</f>
        <v>7800</v>
      </c>
      <c r="L20" s="290">
        <f>241*L19</f>
        <v>0</v>
      </c>
      <c r="M20" s="290">
        <f>47.1625*M19</f>
        <v>0</v>
      </c>
      <c r="N20" s="290">
        <f>N19*8.81</f>
        <v>0</v>
      </c>
      <c r="O20" s="290">
        <f>241*O19</f>
        <v>0</v>
      </c>
      <c r="P20" s="290">
        <f>P19*48.2</f>
        <v>4820</v>
      </c>
      <c r="Q20" s="2286">
        <f>470*Q19</f>
        <v>4700</v>
      </c>
      <c r="R20" s="2287"/>
      <c r="S20" s="290">
        <f>341*S19</f>
        <v>682</v>
      </c>
      <c r="T20" s="2257"/>
      <c r="U20" s="49" t="s">
        <v>59</v>
      </c>
      <c r="V20" s="2262"/>
      <c r="W20" s="2262"/>
      <c r="X20" s="2262"/>
      <c r="Y20" s="2269"/>
    </row>
    <row r="21" spans="1:25" ht="32.25" customHeight="1" x14ac:dyDescent="0.25">
      <c r="A21" s="291" t="s">
        <v>186</v>
      </c>
      <c r="B21" s="2293">
        <f>SUM(B20:S20)</f>
        <v>478044.304</v>
      </c>
      <c r="C21" s="2293"/>
      <c r="O21" s="1822"/>
      <c r="P21" s="1822"/>
      <c r="Q21" s="1822"/>
      <c r="R21" s="1822"/>
      <c r="T21" s="2294" t="s">
        <v>518</v>
      </c>
      <c r="U21" s="2295"/>
      <c r="V21" s="2297"/>
      <c r="W21" s="2298"/>
      <c r="X21" s="2299"/>
      <c r="Y21" s="2269"/>
    </row>
    <row r="22" spans="1:25" ht="35.25" customHeight="1" x14ac:dyDescent="0.25">
      <c r="A22" s="15"/>
      <c r="B22" s="2288" t="s">
        <v>49</v>
      </c>
      <c r="C22" s="2291">
        <v>155000</v>
      </c>
      <c r="D22" s="2291"/>
      <c r="E22" s="2291"/>
      <c r="F22" s="2291">
        <f>C22-D22+E22</f>
        <v>155000</v>
      </c>
      <c r="G22" s="1822"/>
      <c r="Q22" s="1822"/>
      <c r="R22" s="1822"/>
      <c r="T22" s="2251" t="s">
        <v>83</v>
      </c>
      <c r="U22" s="50" t="s">
        <v>60</v>
      </c>
      <c r="V22" s="2262"/>
      <c r="W22" s="2262"/>
      <c r="X22" s="2262"/>
      <c r="Y22" s="2269"/>
    </row>
    <row r="23" spans="1:25" ht="39.75" customHeight="1" x14ac:dyDescent="0.25">
      <c r="A23" s="1822"/>
      <c r="B23" s="2289"/>
      <c r="C23" s="2292"/>
      <c r="D23" s="2292"/>
      <c r="E23" s="2292"/>
      <c r="F23" s="2292"/>
      <c r="G23" s="1822"/>
      <c r="Q23" s="1822"/>
      <c r="R23" s="1822"/>
      <c r="T23" s="2252"/>
      <c r="U23" s="50" t="s">
        <v>61</v>
      </c>
      <c r="V23" s="2262"/>
      <c r="W23" s="2262"/>
      <c r="X23" s="2262"/>
      <c r="Y23" s="2269"/>
    </row>
    <row r="24" spans="1:25" ht="48" customHeight="1" x14ac:dyDescent="0.25">
      <c r="A24" s="1822"/>
      <c r="B24" s="2290"/>
      <c r="C24" s="290" t="s">
        <v>46</v>
      </c>
      <c r="D24" s="290" t="s">
        <v>50</v>
      </c>
      <c r="E24" s="290" t="s">
        <v>51</v>
      </c>
      <c r="F24" s="290" t="s">
        <v>52</v>
      </c>
      <c r="G24" s="1822"/>
      <c r="Q24" s="1822"/>
      <c r="R24" s="1822"/>
      <c r="T24" s="2235" t="s">
        <v>47</v>
      </c>
      <c r="U24" s="51" t="s">
        <v>62</v>
      </c>
      <c r="V24" s="2263">
        <f>V14+V16+V17-V18-V19-V20-V22+V23-V21</f>
        <v>150249.11249999999</v>
      </c>
      <c r="W24" s="2263"/>
      <c r="X24" s="2263"/>
      <c r="Y24" s="2269"/>
    </row>
    <row r="25" spans="1:25" ht="40.5" customHeight="1" x14ac:dyDescent="0.25">
      <c r="T25" s="2235"/>
      <c r="U25" s="51" t="s">
        <v>63</v>
      </c>
      <c r="V25" s="2262">
        <f>V15+V22-V23</f>
        <v>11299</v>
      </c>
      <c r="W25" s="2262"/>
      <c r="X25" s="2262"/>
    </row>
    <row r="26" spans="1:25" ht="36" customHeight="1" x14ac:dyDescent="0.25">
      <c r="K26" s="314"/>
    </row>
    <row r="28" spans="1:25" x14ac:dyDescent="0.25">
      <c r="J28" s="14" t="s">
        <v>139</v>
      </c>
    </row>
    <row r="32" spans="1:25" x14ac:dyDescent="0.25">
      <c r="I32" s="2280"/>
      <c r="J32" s="2280"/>
      <c r="K32" s="2280"/>
      <c r="L32" s="2280"/>
    </row>
    <row r="33" spans="9:12" x14ac:dyDescent="0.25">
      <c r="I33" s="1822"/>
      <c r="J33" s="1822"/>
      <c r="K33" s="2280"/>
      <c r="L33" s="2280"/>
    </row>
  </sheetData>
  <mergeCells count="62">
    <mergeCell ref="I32:J32"/>
    <mergeCell ref="K32:L32"/>
    <mergeCell ref="K33:L33"/>
    <mergeCell ref="T22:T23"/>
    <mergeCell ref="V22:X22"/>
    <mergeCell ref="V23:X23"/>
    <mergeCell ref="T24:T25"/>
    <mergeCell ref="V24:X24"/>
    <mergeCell ref="V25:X25"/>
    <mergeCell ref="Y18:Y24"/>
    <mergeCell ref="B19:C19"/>
    <mergeCell ref="Q19:R19"/>
    <mergeCell ref="T19:T20"/>
    <mergeCell ref="V19:X19"/>
    <mergeCell ref="B20:C20"/>
    <mergeCell ref="B22:B24"/>
    <mergeCell ref="C22:C23"/>
    <mergeCell ref="D22:D23"/>
    <mergeCell ref="E22:E23"/>
    <mergeCell ref="F22:F23"/>
    <mergeCell ref="Q20:R20"/>
    <mergeCell ref="V20:X20"/>
    <mergeCell ref="B21:C21"/>
    <mergeCell ref="T21:U21"/>
    <mergeCell ref="V21:X21"/>
    <mergeCell ref="B17:C17"/>
    <mergeCell ref="Q17:R17"/>
    <mergeCell ref="T17:U17"/>
    <mergeCell ref="V17:X17"/>
    <mergeCell ref="B18:C18"/>
    <mergeCell ref="Q18:R18"/>
    <mergeCell ref="T18:U18"/>
    <mergeCell ref="V18:X18"/>
    <mergeCell ref="W4:X4"/>
    <mergeCell ref="B16:C16"/>
    <mergeCell ref="Q16:R16"/>
    <mergeCell ref="T16:U16"/>
    <mergeCell ref="V16:X16"/>
    <mergeCell ref="A12:B12"/>
    <mergeCell ref="B14:C14"/>
    <mergeCell ref="Q14:R14"/>
    <mergeCell ref="T14:T15"/>
    <mergeCell ref="V14:X14"/>
    <mergeCell ref="B15:C15"/>
    <mergeCell ref="Q15:R15"/>
    <mergeCell ref="V15:X15"/>
    <mergeCell ref="A1:Y1"/>
    <mergeCell ref="A2:Y2"/>
    <mergeCell ref="T3:Y3"/>
    <mergeCell ref="A4:A5"/>
    <mergeCell ref="B4:B5"/>
    <mergeCell ref="C4:D4"/>
    <mergeCell ref="E4:F4"/>
    <mergeCell ref="G4:H4"/>
    <mergeCell ref="I4:J4"/>
    <mergeCell ref="K4:L4"/>
    <mergeCell ref="Y4:Y5"/>
    <mergeCell ref="M4:N4"/>
    <mergeCell ref="O4:P4"/>
    <mergeCell ref="Q4:R4"/>
    <mergeCell ref="S4:T4"/>
    <mergeCell ref="U4:V4"/>
  </mergeCells>
  <pageMargins left="0.15748031496063" right="0.15748031496063" top="0" bottom="0" header="0" footer="0"/>
  <pageSetup paperSize="9" scale="46" orientation="landscape" r:id="rId1"/>
</worksheet>
</file>

<file path=xl/worksheets/sheet29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FC6E203-E450-4936-8615-C7B93436A7D3}">
  <sheetPr>
    <pageSetUpPr fitToPage="1"/>
  </sheetPr>
  <dimension ref="A1:Y33"/>
  <sheetViews>
    <sheetView topLeftCell="A11" zoomScale="70" zoomScaleNormal="70" zoomScaleSheetLayoutView="100" zoomScalePageLayoutView="68" workbookViewId="0">
      <selection activeCell="M30" sqref="M30"/>
    </sheetView>
  </sheetViews>
  <sheetFormatPr defaultColWidth="9.140625" defaultRowHeight="15" x14ac:dyDescent="0.25"/>
  <cols>
    <col min="1" max="1" width="18.28515625" style="14" customWidth="1"/>
    <col min="2" max="2" width="10.7109375" style="14" customWidth="1"/>
    <col min="3" max="3" width="12.28515625" style="14" customWidth="1"/>
    <col min="4" max="4" width="13.140625" style="14" bestFit="1" customWidth="1"/>
    <col min="5" max="5" width="12" style="14" customWidth="1"/>
    <col min="6" max="6" width="14" style="14" bestFit="1" customWidth="1"/>
    <col min="7" max="7" width="16" style="14" bestFit="1" customWidth="1"/>
    <col min="8" max="8" width="10.140625" style="14" bestFit="1" customWidth="1"/>
    <col min="9" max="9" width="10.5703125" style="14" bestFit="1" customWidth="1"/>
    <col min="10" max="10" width="10.5703125" style="14" customWidth="1"/>
    <col min="11" max="11" width="10.28515625" style="14" bestFit="1" customWidth="1"/>
    <col min="12" max="12" width="10.42578125" style="14" bestFit="1" customWidth="1"/>
    <col min="13" max="14" width="12" style="14" bestFit="1" customWidth="1"/>
    <col min="15" max="15" width="11" style="14" customWidth="1"/>
    <col min="16" max="16" width="12.85546875" style="14" bestFit="1" customWidth="1"/>
    <col min="17" max="18" width="9.42578125" style="14" customWidth="1"/>
    <col min="19" max="19" width="13.7109375" style="14" customWidth="1"/>
    <col min="20" max="20" width="12.140625" style="14" customWidth="1"/>
    <col min="21" max="21" width="21.7109375" style="14" customWidth="1"/>
    <col min="22" max="22" width="9.85546875" style="14" customWidth="1"/>
    <col min="23" max="23" width="10.140625" style="14" bestFit="1" customWidth="1"/>
    <col min="24" max="24" width="10.28515625" style="14" customWidth="1"/>
    <col min="25" max="25" width="15.7109375" style="14" customWidth="1"/>
    <col min="26" max="16384" width="9.140625" style="14"/>
  </cols>
  <sheetData>
    <row r="1" spans="1:25" ht="46.15" customHeight="1" x14ac:dyDescent="0.25">
      <c r="A1" s="2240" t="s">
        <v>148</v>
      </c>
      <c r="B1" s="2240"/>
      <c r="C1" s="2240"/>
      <c r="D1" s="2240"/>
      <c r="E1" s="2240"/>
      <c r="F1" s="2240"/>
      <c r="G1" s="2240"/>
      <c r="H1" s="2240"/>
      <c r="I1" s="2240"/>
      <c r="J1" s="2240"/>
      <c r="K1" s="2240"/>
      <c r="L1" s="2240"/>
      <c r="M1" s="2240"/>
      <c r="N1" s="2240"/>
      <c r="O1" s="2240"/>
      <c r="P1" s="2240"/>
      <c r="Q1" s="2240"/>
      <c r="R1" s="2240"/>
      <c r="S1" s="2240"/>
      <c r="T1" s="2240"/>
      <c r="U1" s="2240"/>
      <c r="V1" s="2240"/>
      <c r="W1" s="2240"/>
      <c r="X1" s="2240"/>
      <c r="Y1" s="2240"/>
    </row>
    <row r="2" spans="1:25" ht="21.6" customHeight="1" x14ac:dyDescent="0.25">
      <c r="A2" s="2241" t="s">
        <v>383</v>
      </c>
      <c r="B2" s="2241"/>
      <c r="C2" s="2241"/>
      <c r="D2" s="2241"/>
      <c r="E2" s="2241"/>
      <c r="F2" s="2241"/>
      <c r="G2" s="2241"/>
      <c r="H2" s="2241"/>
      <c r="I2" s="2241"/>
      <c r="J2" s="2241"/>
      <c r="K2" s="2241"/>
      <c r="L2" s="2241"/>
      <c r="M2" s="2241"/>
      <c r="N2" s="2241"/>
      <c r="O2" s="2241"/>
      <c r="P2" s="2241"/>
      <c r="Q2" s="2241"/>
      <c r="R2" s="2241"/>
      <c r="S2" s="2241"/>
      <c r="T2" s="2241"/>
      <c r="U2" s="2241"/>
      <c r="V2" s="2241"/>
      <c r="W2" s="2241"/>
      <c r="X2" s="2241"/>
      <c r="Y2" s="2241"/>
    </row>
    <row r="3" spans="1:25" ht="21" customHeight="1" x14ac:dyDescent="0.25">
      <c r="A3" s="1828"/>
      <c r="B3" s="1828"/>
      <c r="C3" s="1828"/>
      <c r="D3" s="1828"/>
      <c r="E3" s="1828"/>
      <c r="F3" s="1828"/>
      <c r="G3" s="1828"/>
      <c r="H3" s="1828"/>
      <c r="I3" s="1828"/>
      <c r="J3" s="1828"/>
      <c r="K3" s="1828"/>
      <c r="L3" s="1828"/>
      <c r="M3" s="1828"/>
      <c r="N3" s="1828"/>
      <c r="O3" s="1828"/>
      <c r="P3" s="1828"/>
      <c r="Q3" s="1828"/>
      <c r="R3" s="1828"/>
      <c r="S3" s="1828"/>
      <c r="T3" s="2242" t="s">
        <v>540</v>
      </c>
      <c r="U3" s="2242"/>
      <c r="V3" s="2242"/>
      <c r="W3" s="2242"/>
      <c r="X3" s="2242"/>
      <c r="Y3" s="2242"/>
    </row>
    <row r="4" spans="1:25" s="1828" customFormat="1" ht="18" customHeight="1" x14ac:dyDescent="0.25">
      <c r="A4" s="2243" t="s">
        <v>25</v>
      </c>
      <c r="B4" s="2243" t="s">
        <v>26</v>
      </c>
      <c r="C4" s="2244" t="s">
        <v>27</v>
      </c>
      <c r="D4" s="2244"/>
      <c r="E4" s="2244" t="s">
        <v>342</v>
      </c>
      <c r="F4" s="2244"/>
      <c r="G4" s="2244" t="s">
        <v>65</v>
      </c>
      <c r="H4" s="2244"/>
      <c r="I4" s="2244" t="s">
        <v>29</v>
      </c>
      <c r="J4" s="2244"/>
      <c r="K4" s="2245" t="s">
        <v>14</v>
      </c>
      <c r="L4" s="2246"/>
      <c r="M4" s="2245" t="s">
        <v>429</v>
      </c>
      <c r="N4" s="2246"/>
      <c r="O4" s="2245" t="s">
        <v>441</v>
      </c>
      <c r="P4" s="2246"/>
      <c r="Q4" s="2245" t="s">
        <v>114</v>
      </c>
      <c r="R4" s="2246"/>
      <c r="S4" s="2244" t="s">
        <v>35</v>
      </c>
      <c r="T4" s="2244"/>
      <c r="U4" s="2245" t="s">
        <v>17</v>
      </c>
      <c r="V4" s="2246"/>
      <c r="W4" s="2247" t="s">
        <v>36</v>
      </c>
      <c r="X4" s="2248"/>
      <c r="Y4" s="2238" t="s">
        <v>30</v>
      </c>
    </row>
    <row r="5" spans="1:25" s="1828" customFormat="1" ht="25.5" customHeight="1" x14ac:dyDescent="0.25">
      <c r="A5" s="2243"/>
      <c r="B5" s="2243"/>
      <c r="C5" s="1827" t="s">
        <v>42</v>
      </c>
      <c r="D5" s="1827" t="s">
        <v>43</v>
      </c>
      <c r="E5" s="1827" t="s">
        <v>42</v>
      </c>
      <c r="F5" s="1827" t="s">
        <v>43</v>
      </c>
      <c r="G5" s="1827" t="s">
        <v>42</v>
      </c>
      <c r="H5" s="1827" t="s">
        <v>43</v>
      </c>
      <c r="I5" s="1827" t="s">
        <v>42</v>
      </c>
      <c r="J5" s="1827" t="s">
        <v>43</v>
      </c>
      <c r="K5" s="1827" t="s">
        <v>42</v>
      </c>
      <c r="L5" s="1827" t="s">
        <v>43</v>
      </c>
      <c r="M5" s="1827" t="s">
        <v>42</v>
      </c>
      <c r="N5" s="1827" t="s">
        <v>43</v>
      </c>
      <c r="O5" s="1827" t="s">
        <v>42</v>
      </c>
      <c r="P5" s="1827" t="s">
        <v>43</v>
      </c>
      <c r="Q5" s="1827" t="s">
        <v>42</v>
      </c>
      <c r="R5" s="1827" t="s">
        <v>43</v>
      </c>
      <c r="S5" s="33" t="s">
        <v>42</v>
      </c>
      <c r="T5" s="33" t="s">
        <v>43</v>
      </c>
      <c r="U5" s="30" t="s">
        <v>42</v>
      </c>
      <c r="V5" s="30" t="s">
        <v>43</v>
      </c>
      <c r="W5" s="30" t="s">
        <v>42</v>
      </c>
      <c r="X5" s="30" t="s">
        <v>43</v>
      </c>
      <c r="Y5" s="2239"/>
    </row>
    <row r="6" spans="1:25" ht="34.5" customHeight="1" x14ac:dyDescent="0.25">
      <c r="A6" s="12">
        <v>1409935200</v>
      </c>
      <c r="B6" s="1826" t="s">
        <v>71</v>
      </c>
      <c r="C6" s="1824">
        <v>21119</v>
      </c>
      <c r="D6" s="1823">
        <f t="shared" ref="D6:D11" si="0">0.9725*C6</f>
        <v>20538.227500000001</v>
      </c>
      <c r="E6" s="1824"/>
      <c r="F6" s="1823">
        <f>67.1*E6</f>
        <v>0</v>
      </c>
      <c r="G6" s="1824"/>
      <c r="H6" s="1824">
        <f>28.2*G6</f>
        <v>0</v>
      </c>
      <c r="I6" s="1824"/>
      <c r="J6" s="1824">
        <f>18.5*I6</f>
        <v>0</v>
      </c>
      <c r="K6" s="1824"/>
      <c r="L6" s="1823">
        <f>28.2368*K6</f>
        <v>0</v>
      </c>
      <c r="M6" s="1824"/>
      <c r="N6" s="1823">
        <f>M6*47.6525</f>
        <v>0</v>
      </c>
      <c r="O6" s="1824"/>
      <c r="P6" s="1823">
        <f>O6*8.9</f>
        <v>0</v>
      </c>
      <c r="Q6" s="1823"/>
      <c r="R6" s="1823">
        <f>241*Q6</f>
        <v>0</v>
      </c>
      <c r="S6" s="1824"/>
      <c r="T6" s="1824">
        <f>241*S6</f>
        <v>0</v>
      </c>
      <c r="U6" s="1824"/>
      <c r="V6" s="1824">
        <f>332*U6</f>
        <v>0</v>
      </c>
      <c r="W6" s="1824"/>
      <c r="X6" s="19">
        <f>W6*100</f>
        <v>0</v>
      </c>
      <c r="Y6" s="20">
        <f t="shared" ref="Y6:Y12" si="1">D6+F6+H6+J6+L6+N6+P6+R6+T6+V6+X6</f>
        <v>20538.227500000001</v>
      </c>
    </row>
    <row r="7" spans="1:25" ht="31.5" customHeight="1" x14ac:dyDescent="0.25">
      <c r="A7" s="12">
        <v>1984225578</v>
      </c>
      <c r="B7" s="1826" t="s">
        <v>509</v>
      </c>
      <c r="C7" s="1824">
        <v>27593</v>
      </c>
      <c r="D7" s="1823">
        <f t="shared" si="0"/>
        <v>26834.192500000001</v>
      </c>
      <c r="E7" s="1824"/>
      <c r="F7" s="1824">
        <f t="shared" ref="F7:F11" si="2">67.1*E7</f>
        <v>0</v>
      </c>
      <c r="G7" s="1824"/>
      <c r="H7" s="1824">
        <f t="shared" ref="H7:H11" si="3">28.2*G7</f>
        <v>0</v>
      </c>
      <c r="I7" s="1824"/>
      <c r="J7" s="1824">
        <f t="shared" ref="J7:J11" si="4">18.5*I7</f>
        <v>0</v>
      </c>
      <c r="K7" s="1824"/>
      <c r="L7" s="1823">
        <f t="shared" ref="L7:L11" si="5">28.2368*K7</f>
        <v>0</v>
      </c>
      <c r="M7" s="1824"/>
      <c r="N7" s="1823">
        <f t="shared" ref="N7:N11" si="6">M7*47.6525</f>
        <v>0</v>
      </c>
      <c r="O7" s="1824"/>
      <c r="P7" s="1823">
        <f t="shared" ref="P7:P11" si="7">O7*8.9</f>
        <v>0</v>
      </c>
      <c r="Q7" s="1823"/>
      <c r="R7" s="1823">
        <f t="shared" ref="R7:R11" si="8">241*Q7</f>
        <v>0</v>
      </c>
      <c r="S7" s="1824"/>
      <c r="T7" s="1824">
        <f t="shared" ref="T7:T10" si="9">241*S7</f>
        <v>0</v>
      </c>
      <c r="U7" s="1824"/>
      <c r="V7" s="1824">
        <f t="shared" ref="V7:V11" si="10">332*U7</f>
        <v>0</v>
      </c>
      <c r="W7" s="1824"/>
      <c r="X7" s="19">
        <f t="shared" ref="X7:X11" si="11">W7*100</f>
        <v>0</v>
      </c>
      <c r="Y7" s="20">
        <f t="shared" si="1"/>
        <v>26834.192500000001</v>
      </c>
    </row>
    <row r="8" spans="1:25" ht="35.25" customHeight="1" x14ac:dyDescent="0.25">
      <c r="A8" s="12">
        <v>1967020280</v>
      </c>
      <c r="B8" s="1826" t="s">
        <v>427</v>
      </c>
      <c r="C8" s="1824">
        <v>21168</v>
      </c>
      <c r="D8" s="1823">
        <f t="shared" si="0"/>
        <v>20585.88</v>
      </c>
      <c r="E8" s="1824"/>
      <c r="F8" s="1824">
        <f t="shared" si="2"/>
        <v>0</v>
      </c>
      <c r="G8" s="1824"/>
      <c r="H8" s="1823">
        <f t="shared" si="3"/>
        <v>0</v>
      </c>
      <c r="I8" s="1824"/>
      <c r="J8" s="1824">
        <f t="shared" si="4"/>
        <v>0</v>
      </c>
      <c r="K8" s="1824"/>
      <c r="L8" s="1823">
        <f t="shared" si="5"/>
        <v>0</v>
      </c>
      <c r="M8" s="1824"/>
      <c r="N8" s="1823">
        <f t="shared" si="6"/>
        <v>0</v>
      </c>
      <c r="O8" s="1824"/>
      <c r="P8" s="1823">
        <f t="shared" si="7"/>
        <v>0</v>
      </c>
      <c r="Q8" s="1823"/>
      <c r="R8" s="1823">
        <f t="shared" si="8"/>
        <v>0</v>
      </c>
      <c r="S8" s="1824"/>
      <c r="T8" s="1824">
        <f t="shared" si="9"/>
        <v>0</v>
      </c>
      <c r="U8" s="1824"/>
      <c r="V8" s="1824">
        <f t="shared" si="10"/>
        <v>0</v>
      </c>
      <c r="W8" s="1824"/>
      <c r="X8" s="19">
        <f t="shared" si="11"/>
        <v>0</v>
      </c>
      <c r="Y8" s="20">
        <f t="shared" si="1"/>
        <v>20585.88</v>
      </c>
    </row>
    <row r="9" spans="1:25" ht="38.25" customHeight="1" x14ac:dyDescent="0.25">
      <c r="A9" s="12">
        <v>1984225580</v>
      </c>
      <c r="B9" s="1826" t="s">
        <v>75</v>
      </c>
      <c r="C9" s="1824">
        <v>32023</v>
      </c>
      <c r="D9" s="1823">
        <f t="shared" si="0"/>
        <v>31142.3675</v>
      </c>
      <c r="E9" s="1824"/>
      <c r="F9" s="1824">
        <f t="shared" si="2"/>
        <v>0</v>
      </c>
      <c r="G9" s="1824">
        <v>30</v>
      </c>
      <c r="H9" s="1824">
        <f t="shared" si="3"/>
        <v>846</v>
      </c>
      <c r="I9" s="1824"/>
      <c r="J9" s="1824">
        <f t="shared" si="4"/>
        <v>0</v>
      </c>
      <c r="K9" s="1824"/>
      <c r="L9" s="1823">
        <f t="shared" si="5"/>
        <v>0</v>
      </c>
      <c r="M9" s="1824"/>
      <c r="N9" s="1823">
        <f t="shared" si="6"/>
        <v>0</v>
      </c>
      <c r="O9" s="1824"/>
      <c r="P9" s="1823">
        <f t="shared" si="7"/>
        <v>0</v>
      </c>
      <c r="Q9" s="1823"/>
      <c r="R9" s="1823">
        <f t="shared" si="8"/>
        <v>0</v>
      </c>
      <c r="S9" s="1824"/>
      <c r="T9" s="1824">
        <f t="shared" si="9"/>
        <v>0</v>
      </c>
      <c r="U9" s="1824"/>
      <c r="V9" s="1824">
        <f t="shared" si="10"/>
        <v>0</v>
      </c>
      <c r="W9" s="1824"/>
      <c r="X9" s="19">
        <f t="shared" si="11"/>
        <v>0</v>
      </c>
      <c r="Y9" s="20">
        <f t="shared" si="1"/>
        <v>31988.3675</v>
      </c>
    </row>
    <row r="10" spans="1:25" ht="35.25" customHeight="1" x14ac:dyDescent="0.25">
      <c r="A10" s="12">
        <v>1409935199</v>
      </c>
      <c r="C10" s="1824"/>
      <c r="D10" s="1823">
        <f t="shared" si="0"/>
        <v>0</v>
      </c>
      <c r="E10" s="1824"/>
      <c r="F10" s="1824">
        <f t="shared" si="2"/>
        <v>0</v>
      </c>
      <c r="G10" s="1824"/>
      <c r="H10" s="1824">
        <f t="shared" si="3"/>
        <v>0</v>
      </c>
      <c r="I10" s="1824"/>
      <c r="J10" s="1824">
        <f t="shared" si="4"/>
        <v>0</v>
      </c>
      <c r="K10" s="1824"/>
      <c r="L10" s="1823">
        <f t="shared" si="5"/>
        <v>0</v>
      </c>
      <c r="M10" s="1824"/>
      <c r="N10" s="1823">
        <f t="shared" si="6"/>
        <v>0</v>
      </c>
      <c r="O10" s="1824"/>
      <c r="P10" s="1823">
        <f t="shared" si="7"/>
        <v>0</v>
      </c>
      <c r="Q10" s="1823"/>
      <c r="R10" s="1823">
        <f t="shared" si="8"/>
        <v>0</v>
      </c>
      <c r="S10" s="1824"/>
      <c r="T10" s="1824">
        <f t="shared" si="9"/>
        <v>0</v>
      </c>
      <c r="U10" s="1824"/>
      <c r="V10" s="1824">
        <f t="shared" si="10"/>
        <v>0</v>
      </c>
      <c r="W10" s="1824"/>
      <c r="X10" s="19">
        <f t="shared" si="11"/>
        <v>0</v>
      </c>
      <c r="Y10" s="20">
        <f t="shared" si="1"/>
        <v>0</v>
      </c>
    </row>
    <row r="11" spans="1:25" ht="37.5" customHeight="1" x14ac:dyDescent="0.25">
      <c r="A11" s="12"/>
      <c r="B11" s="1825"/>
      <c r="C11" s="1824"/>
      <c r="D11" s="1823">
        <f t="shared" si="0"/>
        <v>0</v>
      </c>
      <c r="E11" s="1824"/>
      <c r="F11" s="1824">
        <f t="shared" si="2"/>
        <v>0</v>
      </c>
      <c r="G11" s="1824"/>
      <c r="H11" s="1824">
        <f t="shared" si="3"/>
        <v>0</v>
      </c>
      <c r="I11" s="1824"/>
      <c r="J11" s="1824">
        <f t="shared" si="4"/>
        <v>0</v>
      </c>
      <c r="K11" s="1824"/>
      <c r="L11" s="1823">
        <f t="shared" si="5"/>
        <v>0</v>
      </c>
      <c r="M11" s="1824"/>
      <c r="N11" s="1823">
        <f t="shared" si="6"/>
        <v>0</v>
      </c>
      <c r="O11" s="1824"/>
      <c r="P11" s="1823">
        <f t="shared" si="7"/>
        <v>0</v>
      </c>
      <c r="Q11" s="1823"/>
      <c r="R11" s="1823">
        <f t="shared" si="8"/>
        <v>0</v>
      </c>
      <c r="S11" s="1824"/>
      <c r="T11" s="1824">
        <f>341*S11</f>
        <v>0</v>
      </c>
      <c r="U11" s="1824"/>
      <c r="V11" s="1824">
        <f t="shared" si="10"/>
        <v>0</v>
      </c>
      <c r="W11" s="1824"/>
      <c r="X11" s="19">
        <f t="shared" si="11"/>
        <v>0</v>
      </c>
      <c r="Y11" s="20">
        <f t="shared" si="1"/>
        <v>0</v>
      </c>
    </row>
    <row r="12" spans="1:25" ht="29.25" customHeight="1" x14ac:dyDescent="0.25">
      <c r="A12" s="2235" t="s">
        <v>31</v>
      </c>
      <c r="B12" s="2235"/>
      <c r="C12" s="18">
        <f t="shared" ref="C12:X12" si="12">SUM(C6:C11)</f>
        <v>101903</v>
      </c>
      <c r="D12" s="18">
        <f t="shared" si="12"/>
        <v>99100.66750000001</v>
      </c>
      <c r="E12" s="18">
        <f t="shared" si="12"/>
        <v>0</v>
      </c>
      <c r="F12" s="18">
        <f t="shared" si="12"/>
        <v>0</v>
      </c>
      <c r="G12" s="18">
        <f t="shared" si="12"/>
        <v>30</v>
      </c>
      <c r="H12" s="18">
        <f t="shared" si="12"/>
        <v>846</v>
      </c>
      <c r="I12" s="18">
        <f t="shared" si="12"/>
        <v>0</v>
      </c>
      <c r="J12" s="18">
        <f t="shared" si="12"/>
        <v>0</v>
      </c>
      <c r="K12" s="18">
        <f t="shared" si="12"/>
        <v>0</v>
      </c>
      <c r="L12" s="18">
        <f t="shared" si="12"/>
        <v>0</v>
      </c>
      <c r="M12" s="18">
        <f t="shared" si="12"/>
        <v>0</v>
      </c>
      <c r="N12" s="23">
        <f t="shared" si="12"/>
        <v>0</v>
      </c>
      <c r="O12" s="18">
        <f t="shared" si="12"/>
        <v>0</v>
      </c>
      <c r="P12" s="23">
        <f t="shared" si="12"/>
        <v>0</v>
      </c>
      <c r="Q12" s="23">
        <f t="shared" si="12"/>
        <v>0</v>
      </c>
      <c r="R12" s="23">
        <f>SUM(R6:R11)</f>
        <v>0</v>
      </c>
      <c r="S12" s="23">
        <f>SUM(S6:S11)</f>
        <v>0</v>
      </c>
      <c r="T12" s="18">
        <f t="shared" si="12"/>
        <v>0</v>
      </c>
      <c r="U12" s="18">
        <f t="shared" si="12"/>
        <v>0</v>
      </c>
      <c r="V12" s="18">
        <f t="shared" si="12"/>
        <v>0</v>
      </c>
      <c r="W12" s="18">
        <f t="shared" si="12"/>
        <v>0</v>
      </c>
      <c r="X12" s="18">
        <f t="shared" si="12"/>
        <v>0</v>
      </c>
      <c r="Y12" s="20">
        <f t="shared" si="1"/>
        <v>99946.66750000001</v>
      </c>
    </row>
    <row r="14" spans="1:25" ht="43.5" customHeight="1" x14ac:dyDescent="0.25">
      <c r="A14" s="30" t="s">
        <v>32</v>
      </c>
      <c r="B14" s="2236" t="s">
        <v>27</v>
      </c>
      <c r="C14" s="2236"/>
      <c r="D14" s="30" t="s">
        <v>333</v>
      </c>
      <c r="E14" s="30" t="s">
        <v>65</v>
      </c>
      <c r="F14" s="30" t="s">
        <v>34</v>
      </c>
      <c r="G14" s="30" t="s">
        <v>14</v>
      </c>
      <c r="H14" s="469" t="s">
        <v>173</v>
      </c>
      <c r="I14" s="30" t="s">
        <v>17</v>
      </c>
      <c r="J14" s="1832" t="s">
        <v>174</v>
      </c>
      <c r="K14" s="30" t="s">
        <v>36</v>
      </c>
      <c r="L14" s="1832" t="s">
        <v>403</v>
      </c>
      <c r="M14" s="30" t="s">
        <v>429</v>
      </c>
      <c r="N14" s="30" t="s">
        <v>442</v>
      </c>
      <c r="O14" s="1832" t="s">
        <v>114</v>
      </c>
      <c r="P14" s="30" t="s">
        <v>70</v>
      </c>
      <c r="Q14" s="2300" t="s">
        <v>479</v>
      </c>
      <c r="R14" s="2301"/>
      <c r="S14" s="1832" t="s">
        <v>401</v>
      </c>
      <c r="T14" s="2235" t="s">
        <v>46</v>
      </c>
      <c r="U14" s="1826" t="s">
        <v>176</v>
      </c>
      <c r="V14" s="2260">
        <v>150249</v>
      </c>
      <c r="W14" s="2268"/>
      <c r="X14" s="2261"/>
    </row>
    <row r="15" spans="1:25" ht="22.5" customHeight="1" x14ac:dyDescent="0.25">
      <c r="A15" s="100" t="s">
        <v>38</v>
      </c>
      <c r="B15" s="2260">
        <v>443088</v>
      </c>
      <c r="C15" s="2261"/>
      <c r="D15" s="1829">
        <v>0</v>
      </c>
      <c r="E15" s="1829">
        <v>30</v>
      </c>
      <c r="F15" s="1829">
        <v>0</v>
      </c>
      <c r="G15" s="1829">
        <v>0</v>
      </c>
      <c r="H15" s="1829">
        <v>38</v>
      </c>
      <c r="I15" s="1829">
        <v>70</v>
      </c>
      <c r="J15" s="1829">
        <v>4</v>
      </c>
      <c r="K15" s="1829">
        <v>78</v>
      </c>
      <c r="L15" s="1829">
        <v>0</v>
      </c>
      <c r="M15" s="1829">
        <v>0</v>
      </c>
      <c r="N15" s="1829">
        <v>0</v>
      </c>
      <c r="O15" s="1829">
        <v>0</v>
      </c>
      <c r="P15" s="1829">
        <v>100</v>
      </c>
      <c r="Q15" s="2260">
        <v>10</v>
      </c>
      <c r="R15" s="2261"/>
      <c r="S15" s="1826">
        <v>2</v>
      </c>
      <c r="T15" s="2235"/>
      <c r="U15" s="1826" t="s">
        <v>64</v>
      </c>
      <c r="V15" s="2262">
        <v>11299</v>
      </c>
      <c r="W15" s="2262"/>
      <c r="X15" s="2262"/>
    </row>
    <row r="16" spans="1:25" ht="24.75" customHeight="1" x14ac:dyDescent="0.25">
      <c r="A16" s="100" t="s">
        <v>39</v>
      </c>
      <c r="B16" s="2260">
        <v>100779</v>
      </c>
      <c r="C16" s="2261"/>
      <c r="D16" s="1829"/>
      <c r="E16" s="1829"/>
      <c r="F16" s="1829"/>
      <c r="G16" s="1829"/>
      <c r="H16" s="1829">
        <v>1</v>
      </c>
      <c r="I16" s="1829"/>
      <c r="J16" s="1829"/>
      <c r="K16" s="1829"/>
      <c r="L16" s="1829"/>
      <c r="M16" s="1829"/>
      <c r="N16" s="1829"/>
      <c r="O16" s="1829"/>
      <c r="P16" s="1829"/>
      <c r="Q16" s="2262"/>
      <c r="R16" s="2262"/>
      <c r="S16" s="1829"/>
      <c r="T16" s="2254" t="s">
        <v>55</v>
      </c>
      <c r="U16" s="2254"/>
      <c r="V16" s="2267">
        <f>Y12</f>
        <v>99946.66750000001</v>
      </c>
      <c r="W16" s="2267"/>
      <c r="X16" s="2262"/>
    </row>
    <row r="17" spans="1:25" ht="28.5" customHeight="1" x14ac:dyDescent="0.25">
      <c r="A17" s="101" t="s">
        <v>44</v>
      </c>
      <c r="B17" s="2260"/>
      <c r="C17" s="2261"/>
      <c r="D17" s="1829"/>
      <c r="E17" s="1829"/>
      <c r="F17" s="1829"/>
      <c r="G17" s="1829"/>
      <c r="H17" s="1829"/>
      <c r="I17" s="1829"/>
      <c r="J17" s="1829"/>
      <c r="K17" s="1829"/>
      <c r="L17" s="1829"/>
      <c r="M17" s="1829"/>
      <c r="N17" s="1829"/>
      <c r="O17" s="1829"/>
      <c r="P17" s="1829"/>
      <c r="Q17" s="2225"/>
      <c r="R17" s="2225"/>
      <c r="S17" s="1825"/>
      <c r="T17" s="2294" t="s">
        <v>521</v>
      </c>
      <c r="U17" s="2295"/>
      <c r="V17" s="2296"/>
      <c r="W17" s="2296"/>
      <c r="X17" s="2296"/>
    </row>
    <row r="18" spans="1:25" ht="27" customHeight="1" x14ac:dyDescent="0.25">
      <c r="A18" s="100" t="s">
        <v>40</v>
      </c>
      <c r="B18" s="2264">
        <f>C12</f>
        <v>101903</v>
      </c>
      <c r="C18" s="2261"/>
      <c r="D18" s="1831">
        <f>E12</f>
        <v>0</v>
      </c>
      <c r="E18" s="1831">
        <f>G12</f>
        <v>30</v>
      </c>
      <c r="F18" s="1831">
        <f>I12</f>
        <v>0</v>
      </c>
      <c r="G18" s="1831">
        <f>K12</f>
        <v>0</v>
      </c>
      <c r="H18" s="1829"/>
      <c r="I18" s="1831">
        <f>U12</f>
        <v>0</v>
      </c>
      <c r="J18" s="1829"/>
      <c r="K18" s="1831">
        <f>W12</f>
        <v>0</v>
      </c>
      <c r="L18" s="1829"/>
      <c r="M18" s="1831">
        <f>M12</f>
        <v>0</v>
      </c>
      <c r="N18" s="1831">
        <f>O12</f>
        <v>0</v>
      </c>
      <c r="O18" s="1830">
        <f>Q12</f>
        <v>0</v>
      </c>
      <c r="P18" s="1831"/>
      <c r="Q18" s="2262"/>
      <c r="R18" s="2262"/>
      <c r="S18" s="1826"/>
      <c r="T18" s="2254" t="s">
        <v>57</v>
      </c>
      <c r="U18" s="2254"/>
      <c r="V18" s="2262">
        <v>520</v>
      </c>
      <c r="W18" s="2262"/>
      <c r="X18" s="2262"/>
      <c r="Y18" s="2269"/>
    </row>
    <row r="19" spans="1:25" ht="25.5" customHeight="1" x14ac:dyDescent="0.25">
      <c r="A19" s="100" t="s">
        <v>41</v>
      </c>
      <c r="B19" s="2260">
        <f>B15+B16+B17-B18</f>
        <v>441964</v>
      </c>
      <c r="C19" s="2261"/>
      <c r="D19" s="1829">
        <f>D15+D16+D17-D18</f>
        <v>0</v>
      </c>
      <c r="E19" s="1829">
        <f t="shared" ref="E19:N19" si="13">E15+E16+E17-E18</f>
        <v>0</v>
      </c>
      <c r="F19" s="1829">
        <f t="shared" si="13"/>
        <v>0</v>
      </c>
      <c r="G19" s="1829">
        <f t="shared" si="13"/>
        <v>0</v>
      </c>
      <c r="H19" s="1829">
        <f t="shared" si="13"/>
        <v>39</v>
      </c>
      <c r="I19" s="1829">
        <f t="shared" si="13"/>
        <v>70</v>
      </c>
      <c r="J19" s="1829">
        <f t="shared" si="13"/>
        <v>4</v>
      </c>
      <c r="K19" s="1829">
        <f t="shared" si="13"/>
        <v>78</v>
      </c>
      <c r="L19" s="1829">
        <f t="shared" si="13"/>
        <v>0</v>
      </c>
      <c r="M19" s="1829">
        <f t="shared" si="13"/>
        <v>0</v>
      </c>
      <c r="N19" s="1829">
        <f t="shared" si="13"/>
        <v>0</v>
      </c>
      <c r="O19" s="1829">
        <f>O15+O16+O17-O18</f>
        <v>0</v>
      </c>
      <c r="P19" s="1829">
        <f t="shared" ref="P19:Q19" si="14">P15+P16+P17-P18</f>
        <v>100</v>
      </c>
      <c r="Q19" s="2260">
        <f t="shared" si="14"/>
        <v>10</v>
      </c>
      <c r="R19" s="2261"/>
      <c r="S19" s="1826">
        <f>S15+S16-S17-S18</f>
        <v>2</v>
      </c>
      <c r="T19" s="2256" t="s">
        <v>48</v>
      </c>
      <c r="U19" s="49" t="s">
        <v>58</v>
      </c>
      <c r="V19" s="2262">
        <v>155000</v>
      </c>
      <c r="W19" s="2262"/>
      <c r="X19" s="2262"/>
      <c r="Y19" s="2269"/>
    </row>
    <row r="20" spans="1:25" ht="23.25" customHeight="1" x14ac:dyDescent="0.25">
      <c r="A20" s="289" t="s">
        <v>187</v>
      </c>
      <c r="B20" s="2286">
        <f>B19*0.9625</f>
        <v>425390.35000000003</v>
      </c>
      <c r="C20" s="2287"/>
      <c r="D20" s="290">
        <f>D19*66.41</f>
        <v>0</v>
      </c>
      <c r="E20" s="290">
        <f>27.9368*E19</f>
        <v>0</v>
      </c>
      <c r="F20" s="290">
        <f>18.31*F19</f>
        <v>0</v>
      </c>
      <c r="G20" s="290">
        <f>27.9368*G19</f>
        <v>0</v>
      </c>
      <c r="H20" s="290">
        <f>241*H19</f>
        <v>9399</v>
      </c>
      <c r="I20" s="290">
        <f>323*I19</f>
        <v>22610</v>
      </c>
      <c r="J20" s="290">
        <f>241*J19</f>
        <v>964</v>
      </c>
      <c r="K20" s="290">
        <f>K19*100</f>
        <v>7800</v>
      </c>
      <c r="L20" s="290">
        <f>241*L19</f>
        <v>0</v>
      </c>
      <c r="M20" s="290">
        <f>47.1625*M19</f>
        <v>0</v>
      </c>
      <c r="N20" s="290">
        <f>N19*8.81</f>
        <v>0</v>
      </c>
      <c r="O20" s="290">
        <f>241*O19</f>
        <v>0</v>
      </c>
      <c r="P20" s="290">
        <f>P19*48.2</f>
        <v>4820</v>
      </c>
      <c r="Q20" s="2286">
        <f>470*Q19</f>
        <v>4700</v>
      </c>
      <c r="R20" s="2287"/>
      <c r="S20" s="290">
        <f>341*S19</f>
        <v>682</v>
      </c>
      <c r="T20" s="2257"/>
      <c r="U20" s="49" t="s">
        <v>59</v>
      </c>
      <c r="V20" s="2262">
        <v>341</v>
      </c>
      <c r="W20" s="2262"/>
      <c r="X20" s="2262"/>
      <c r="Y20" s="2269"/>
    </row>
    <row r="21" spans="1:25" ht="32.25" customHeight="1" x14ac:dyDescent="0.25">
      <c r="A21" s="291" t="s">
        <v>186</v>
      </c>
      <c r="B21" s="2293">
        <f>SUM(B20:S20)</f>
        <v>476365.35000000003</v>
      </c>
      <c r="C21" s="2293"/>
      <c r="O21" s="1833"/>
      <c r="P21" s="1833"/>
      <c r="Q21" s="1833"/>
      <c r="R21" s="1833"/>
      <c r="T21" s="2294" t="s">
        <v>518</v>
      </c>
      <c r="U21" s="2295"/>
      <c r="V21" s="2297"/>
      <c r="W21" s="2298"/>
      <c r="X21" s="2299"/>
      <c r="Y21" s="2269"/>
    </row>
    <row r="22" spans="1:25" ht="35.25" customHeight="1" x14ac:dyDescent="0.25">
      <c r="A22" s="15"/>
      <c r="B22" s="2288" t="s">
        <v>49</v>
      </c>
      <c r="C22" s="2291">
        <v>155000</v>
      </c>
      <c r="D22" s="2291">
        <v>155000</v>
      </c>
      <c r="E22" s="2291">
        <v>97000</v>
      </c>
      <c r="F22" s="2291">
        <f>C22-D22+E22</f>
        <v>97000</v>
      </c>
      <c r="G22" s="1833"/>
      <c r="Q22" s="1833"/>
      <c r="R22" s="1833"/>
      <c r="T22" s="2251" t="s">
        <v>83</v>
      </c>
      <c r="U22" s="50" t="s">
        <v>60</v>
      </c>
      <c r="V22" s="2262">
        <v>155030</v>
      </c>
      <c r="W22" s="2262"/>
      <c r="X22" s="2262"/>
      <c r="Y22" s="2269"/>
    </row>
    <row r="23" spans="1:25" ht="39.75" customHeight="1" x14ac:dyDescent="0.25">
      <c r="A23" s="1833"/>
      <c r="B23" s="2289"/>
      <c r="C23" s="2292"/>
      <c r="D23" s="2292"/>
      <c r="E23" s="2292"/>
      <c r="F23" s="2292"/>
      <c r="G23" s="1833"/>
      <c r="Q23" s="1833"/>
      <c r="R23" s="1833"/>
      <c r="T23" s="2252"/>
      <c r="U23" s="50" t="s">
        <v>61</v>
      </c>
      <c r="V23" s="2262">
        <v>155000</v>
      </c>
      <c r="W23" s="2262"/>
      <c r="X23" s="2262"/>
      <c r="Y23" s="2269"/>
    </row>
    <row r="24" spans="1:25" ht="48" customHeight="1" x14ac:dyDescent="0.25">
      <c r="A24" s="1833"/>
      <c r="B24" s="2290"/>
      <c r="C24" s="290" t="s">
        <v>46</v>
      </c>
      <c r="D24" s="290" t="s">
        <v>50</v>
      </c>
      <c r="E24" s="290" t="s">
        <v>51</v>
      </c>
      <c r="F24" s="290" t="s">
        <v>52</v>
      </c>
      <c r="G24" s="1833"/>
      <c r="Q24" s="1833"/>
      <c r="R24" s="1833"/>
      <c r="T24" s="2235" t="s">
        <v>47</v>
      </c>
      <c r="U24" s="51" t="s">
        <v>62</v>
      </c>
      <c r="V24" s="2263">
        <f>V14+V16+V17-V18-V19-V20-V22+V23-V21</f>
        <v>94304.66750000001</v>
      </c>
      <c r="W24" s="2263"/>
      <c r="X24" s="2263"/>
      <c r="Y24" s="2269"/>
    </row>
    <row r="25" spans="1:25" ht="40.5" customHeight="1" x14ac:dyDescent="0.25">
      <c r="T25" s="2235"/>
      <c r="U25" s="51" t="s">
        <v>63</v>
      </c>
      <c r="V25" s="2262">
        <f>V15+V22-V23</f>
        <v>11329</v>
      </c>
      <c r="W25" s="2262"/>
      <c r="X25" s="2262"/>
    </row>
    <row r="26" spans="1:25" ht="36" customHeight="1" x14ac:dyDescent="0.25">
      <c r="K26" s="314"/>
    </row>
    <row r="28" spans="1:25" x14ac:dyDescent="0.25">
      <c r="J28" s="14" t="s">
        <v>139</v>
      </c>
    </row>
    <row r="32" spans="1:25" x14ac:dyDescent="0.25">
      <c r="I32" s="2280"/>
      <c r="J32" s="2280"/>
      <c r="K32" s="2280"/>
      <c r="L32" s="2280"/>
    </row>
    <row r="33" spans="9:12" x14ac:dyDescent="0.25">
      <c r="I33" s="1833"/>
      <c r="J33" s="1833"/>
      <c r="K33" s="2280"/>
      <c r="L33" s="2280"/>
    </row>
  </sheetData>
  <mergeCells count="62">
    <mergeCell ref="A1:Y1"/>
    <mergeCell ref="A2:Y2"/>
    <mergeCell ref="T3:Y3"/>
    <mergeCell ref="A4:A5"/>
    <mergeCell ref="B4:B5"/>
    <mergeCell ref="C4:D4"/>
    <mergeCell ref="E4:F4"/>
    <mergeCell ref="G4:H4"/>
    <mergeCell ref="I4:J4"/>
    <mergeCell ref="K4:L4"/>
    <mergeCell ref="Y4:Y5"/>
    <mergeCell ref="M4:N4"/>
    <mergeCell ref="O4:P4"/>
    <mergeCell ref="Q4:R4"/>
    <mergeCell ref="S4:T4"/>
    <mergeCell ref="U4:V4"/>
    <mergeCell ref="W4:X4"/>
    <mergeCell ref="B16:C16"/>
    <mergeCell ref="Q16:R16"/>
    <mergeCell ref="T16:U16"/>
    <mergeCell ref="V16:X16"/>
    <mergeCell ref="A12:B12"/>
    <mergeCell ref="B14:C14"/>
    <mergeCell ref="Q14:R14"/>
    <mergeCell ref="T14:T15"/>
    <mergeCell ref="V14:X14"/>
    <mergeCell ref="B15:C15"/>
    <mergeCell ref="Q15:R15"/>
    <mergeCell ref="V15:X15"/>
    <mergeCell ref="B17:C17"/>
    <mergeCell ref="Q17:R17"/>
    <mergeCell ref="T17:U17"/>
    <mergeCell ref="V17:X17"/>
    <mergeCell ref="B18:C18"/>
    <mergeCell ref="Q18:R18"/>
    <mergeCell ref="T18:U18"/>
    <mergeCell ref="V18:X18"/>
    <mergeCell ref="Y18:Y24"/>
    <mergeCell ref="B19:C19"/>
    <mergeCell ref="Q19:R19"/>
    <mergeCell ref="T19:T20"/>
    <mergeCell ref="V19:X19"/>
    <mergeCell ref="B20:C20"/>
    <mergeCell ref="B22:B24"/>
    <mergeCell ref="C22:C23"/>
    <mergeCell ref="D22:D23"/>
    <mergeCell ref="E22:E23"/>
    <mergeCell ref="F22:F23"/>
    <mergeCell ref="Q20:R20"/>
    <mergeCell ref="V20:X20"/>
    <mergeCell ref="B21:C21"/>
    <mergeCell ref="T21:U21"/>
    <mergeCell ref="V21:X21"/>
    <mergeCell ref="I32:J32"/>
    <mergeCell ref="K32:L32"/>
    <mergeCell ref="K33:L33"/>
    <mergeCell ref="T22:T23"/>
    <mergeCell ref="V22:X22"/>
    <mergeCell ref="V23:X23"/>
    <mergeCell ref="T24:T25"/>
    <mergeCell ref="V24:X24"/>
    <mergeCell ref="V25:X25"/>
  </mergeCells>
  <pageMargins left="0.15748031496063" right="0.15748031496063" top="0" bottom="0" header="0" footer="0"/>
  <pageSetup paperSize="9" scale="46" orientation="landscape" r:id="rId1"/>
</worksheet>
</file>

<file path=xl/worksheets/sheet29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EF3A5DA-C628-41F3-B8F7-A82B6D1F5469}">
  <sheetPr>
    <pageSetUpPr fitToPage="1"/>
  </sheetPr>
  <dimension ref="A1:Y33"/>
  <sheetViews>
    <sheetView topLeftCell="D8" zoomScale="70" zoomScaleNormal="70" zoomScaleSheetLayoutView="100" zoomScalePageLayoutView="68" workbookViewId="0">
      <selection activeCell="N23" sqref="N23"/>
    </sheetView>
  </sheetViews>
  <sheetFormatPr defaultColWidth="9.140625" defaultRowHeight="15" x14ac:dyDescent="0.25"/>
  <cols>
    <col min="1" max="1" width="18.28515625" style="14" customWidth="1"/>
    <col min="2" max="2" width="10.7109375" style="14" customWidth="1"/>
    <col min="3" max="3" width="12.28515625" style="14" customWidth="1"/>
    <col min="4" max="4" width="13.140625" style="14" bestFit="1" customWidth="1"/>
    <col min="5" max="5" width="12" style="14" customWidth="1"/>
    <col min="6" max="6" width="14" style="14" bestFit="1" customWidth="1"/>
    <col min="7" max="7" width="16" style="14" bestFit="1" customWidth="1"/>
    <col min="8" max="8" width="10.140625" style="14" bestFit="1" customWidth="1"/>
    <col min="9" max="9" width="10.5703125" style="14" bestFit="1" customWidth="1"/>
    <col min="10" max="10" width="10.5703125" style="14" customWidth="1"/>
    <col min="11" max="11" width="10.28515625" style="14" bestFit="1" customWidth="1"/>
    <col min="12" max="12" width="10.42578125" style="14" bestFit="1" customWidth="1"/>
    <col min="13" max="14" width="12" style="14" bestFit="1" customWidth="1"/>
    <col min="15" max="15" width="11" style="14" customWidth="1"/>
    <col min="16" max="16" width="12.85546875" style="14" bestFit="1" customWidth="1"/>
    <col min="17" max="18" width="9.42578125" style="14" customWidth="1"/>
    <col min="19" max="19" width="13.7109375" style="14" customWidth="1"/>
    <col min="20" max="20" width="12.140625" style="14" customWidth="1"/>
    <col min="21" max="21" width="21.7109375" style="14" customWidth="1"/>
    <col min="22" max="22" width="9.85546875" style="14" customWidth="1"/>
    <col min="23" max="23" width="10.140625" style="14" bestFit="1" customWidth="1"/>
    <col min="24" max="24" width="10.28515625" style="14" customWidth="1"/>
    <col min="25" max="25" width="15.7109375" style="14" customWidth="1"/>
    <col min="26" max="16384" width="9.140625" style="14"/>
  </cols>
  <sheetData>
    <row r="1" spans="1:25" ht="46.15" customHeight="1" x14ac:dyDescent="0.25">
      <c r="A1" s="2240" t="s">
        <v>148</v>
      </c>
      <c r="B1" s="2240"/>
      <c r="C1" s="2240"/>
      <c r="D1" s="2240"/>
      <c r="E1" s="2240"/>
      <c r="F1" s="2240"/>
      <c r="G1" s="2240"/>
      <c r="H1" s="2240"/>
      <c r="I1" s="2240"/>
      <c r="J1" s="2240"/>
      <c r="K1" s="2240"/>
      <c r="L1" s="2240"/>
      <c r="M1" s="2240"/>
      <c r="N1" s="2240"/>
      <c r="O1" s="2240"/>
      <c r="P1" s="2240"/>
      <c r="Q1" s="2240"/>
      <c r="R1" s="2240"/>
      <c r="S1" s="2240"/>
      <c r="T1" s="2240"/>
      <c r="U1" s="2240"/>
      <c r="V1" s="2240"/>
      <c r="W1" s="2240"/>
      <c r="X1" s="2240"/>
      <c r="Y1" s="2240"/>
    </row>
    <row r="2" spans="1:25" ht="21.6" customHeight="1" x14ac:dyDescent="0.25">
      <c r="A2" s="2241" t="s">
        <v>383</v>
      </c>
      <c r="B2" s="2241"/>
      <c r="C2" s="2241"/>
      <c r="D2" s="2241"/>
      <c r="E2" s="2241"/>
      <c r="F2" s="2241"/>
      <c r="G2" s="2241"/>
      <c r="H2" s="2241"/>
      <c r="I2" s="2241"/>
      <c r="J2" s="2241"/>
      <c r="K2" s="2241"/>
      <c r="L2" s="2241"/>
      <c r="M2" s="2241"/>
      <c r="N2" s="2241"/>
      <c r="O2" s="2241"/>
      <c r="P2" s="2241"/>
      <c r="Q2" s="2241"/>
      <c r="R2" s="2241"/>
      <c r="S2" s="2241"/>
      <c r="T2" s="2241"/>
      <c r="U2" s="2241"/>
      <c r="V2" s="2241"/>
      <c r="W2" s="2241"/>
      <c r="X2" s="2241"/>
      <c r="Y2" s="2241"/>
    </row>
    <row r="3" spans="1:25" ht="21" customHeight="1" x14ac:dyDescent="0.25">
      <c r="A3" s="1828"/>
      <c r="B3" s="1828"/>
      <c r="C3" s="1828"/>
      <c r="D3" s="1828"/>
      <c r="E3" s="1828"/>
      <c r="F3" s="1828"/>
      <c r="G3" s="1828"/>
      <c r="H3" s="1828"/>
      <c r="I3" s="1828"/>
      <c r="J3" s="1828"/>
      <c r="K3" s="1828"/>
      <c r="L3" s="1828"/>
      <c r="M3" s="1828"/>
      <c r="N3" s="1828"/>
      <c r="O3" s="1828"/>
      <c r="P3" s="1828"/>
      <c r="Q3" s="1828"/>
      <c r="R3" s="1828"/>
      <c r="S3" s="1828"/>
      <c r="T3" s="2242" t="s">
        <v>541</v>
      </c>
      <c r="U3" s="2242"/>
      <c r="V3" s="2242"/>
      <c r="W3" s="2242"/>
      <c r="X3" s="2242"/>
      <c r="Y3" s="2242"/>
    </row>
    <row r="4" spans="1:25" s="1828" customFormat="1" ht="18" customHeight="1" x14ac:dyDescent="0.25">
      <c r="A4" s="2243" t="s">
        <v>25</v>
      </c>
      <c r="B4" s="2243" t="s">
        <v>26</v>
      </c>
      <c r="C4" s="2244" t="s">
        <v>27</v>
      </c>
      <c r="D4" s="2244"/>
      <c r="E4" s="2244" t="s">
        <v>342</v>
      </c>
      <c r="F4" s="2244"/>
      <c r="G4" s="2244" t="s">
        <v>65</v>
      </c>
      <c r="H4" s="2244"/>
      <c r="I4" s="2244" t="s">
        <v>29</v>
      </c>
      <c r="J4" s="2244"/>
      <c r="K4" s="2245" t="s">
        <v>14</v>
      </c>
      <c r="L4" s="2246"/>
      <c r="M4" s="2245" t="s">
        <v>429</v>
      </c>
      <c r="N4" s="2246"/>
      <c r="O4" s="2245" t="s">
        <v>441</v>
      </c>
      <c r="P4" s="2246"/>
      <c r="Q4" s="2245" t="s">
        <v>114</v>
      </c>
      <c r="R4" s="2246"/>
      <c r="S4" s="2244" t="s">
        <v>35</v>
      </c>
      <c r="T4" s="2244"/>
      <c r="U4" s="2245" t="s">
        <v>17</v>
      </c>
      <c r="V4" s="2246"/>
      <c r="W4" s="2247" t="s">
        <v>36</v>
      </c>
      <c r="X4" s="2248"/>
      <c r="Y4" s="2238" t="s">
        <v>30</v>
      </c>
    </row>
    <row r="5" spans="1:25" s="1828" customFormat="1" ht="25.5" customHeight="1" x14ac:dyDescent="0.25">
      <c r="A5" s="2243"/>
      <c r="B5" s="2243"/>
      <c r="C5" s="1827" t="s">
        <v>42</v>
      </c>
      <c r="D5" s="1827" t="s">
        <v>43</v>
      </c>
      <c r="E5" s="1827" t="s">
        <v>42</v>
      </c>
      <c r="F5" s="1827" t="s">
        <v>43</v>
      </c>
      <c r="G5" s="1827" t="s">
        <v>42</v>
      </c>
      <c r="H5" s="1827" t="s">
        <v>43</v>
      </c>
      <c r="I5" s="1827" t="s">
        <v>42</v>
      </c>
      <c r="J5" s="1827" t="s">
        <v>43</v>
      </c>
      <c r="K5" s="1827" t="s">
        <v>42</v>
      </c>
      <c r="L5" s="1827" t="s">
        <v>43</v>
      </c>
      <c r="M5" s="1827" t="s">
        <v>42</v>
      </c>
      <c r="N5" s="1827" t="s">
        <v>43</v>
      </c>
      <c r="O5" s="1827" t="s">
        <v>42</v>
      </c>
      <c r="P5" s="1827" t="s">
        <v>43</v>
      </c>
      <c r="Q5" s="1827" t="s">
        <v>42</v>
      </c>
      <c r="R5" s="1827" t="s">
        <v>43</v>
      </c>
      <c r="S5" s="33" t="s">
        <v>42</v>
      </c>
      <c r="T5" s="33" t="s">
        <v>43</v>
      </c>
      <c r="U5" s="30" t="s">
        <v>42</v>
      </c>
      <c r="V5" s="30" t="s">
        <v>43</v>
      </c>
      <c r="W5" s="30" t="s">
        <v>42</v>
      </c>
      <c r="X5" s="30" t="s">
        <v>43</v>
      </c>
      <c r="Y5" s="2239"/>
    </row>
    <row r="6" spans="1:25" ht="34.5" customHeight="1" x14ac:dyDescent="0.25">
      <c r="A6" s="12">
        <v>1409935200</v>
      </c>
      <c r="B6" s="1826" t="s">
        <v>71</v>
      </c>
      <c r="C6" s="1824">
        <v>32213</v>
      </c>
      <c r="D6" s="1823">
        <f t="shared" ref="D6:D11" si="0">0.9725*C6</f>
        <v>31327.142500000002</v>
      </c>
      <c r="E6" s="1824"/>
      <c r="F6" s="1823">
        <f>67.1*E6</f>
        <v>0</v>
      </c>
      <c r="G6" s="1824"/>
      <c r="H6" s="1824">
        <f>28.2*G6</f>
        <v>0</v>
      </c>
      <c r="I6" s="1824"/>
      <c r="J6" s="1824">
        <f>18.5*I6</f>
        <v>0</v>
      </c>
      <c r="K6" s="1824"/>
      <c r="L6" s="1823">
        <f>28.2368*K6</f>
        <v>0</v>
      </c>
      <c r="M6" s="1824"/>
      <c r="N6" s="1823">
        <f>M6*47.6525</f>
        <v>0</v>
      </c>
      <c r="O6" s="1824"/>
      <c r="P6" s="1823">
        <f>O6*8.9</f>
        <v>0</v>
      </c>
      <c r="Q6" s="1823"/>
      <c r="R6" s="1823">
        <f>241*Q6</f>
        <v>0</v>
      </c>
      <c r="S6" s="1824"/>
      <c r="T6" s="1824">
        <f>241*S6</f>
        <v>0</v>
      </c>
      <c r="U6" s="1824"/>
      <c r="V6" s="1824">
        <f>332*U6</f>
        <v>0</v>
      </c>
      <c r="W6" s="1824"/>
      <c r="X6" s="19">
        <f>W6*100</f>
        <v>0</v>
      </c>
      <c r="Y6" s="20">
        <f t="shared" ref="Y6:Y12" si="1">D6+F6+H6+J6+L6+N6+P6+R6+T6+V6+X6</f>
        <v>31327.142500000002</v>
      </c>
    </row>
    <row r="7" spans="1:25" ht="31.5" customHeight="1" x14ac:dyDescent="0.25">
      <c r="A7" s="12">
        <v>1984225578</v>
      </c>
      <c r="B7" s="1826" t="s">
        <v>509</v>
      </c>
      <c r="C7" s="1824">
        <v>23740</v>
      </c>
      <c r="D7" s="1823">
        <f t="shared" si="0"/>
        <v>23087.15</v>
      </c>
      <c r="E7" s="1824"/>
      <c r="F7" s="1824">
        <f t="shared" ref="F7:F11" si="2">67.1*E7</f>
        <v>0</v>
      </c>
      <c r="G7" s="1824"/>
      <c r="H7" s="1824">
        <f t="shared" ref="H7:H11" si="3">28.2*G7</f>
        <v>0</v>
      </c>
      <c r="I7" s="1824"/>
      <c r="J7" s="1824">
        <f t="shared" ref="J7:J11" si="4">18.5*I7</f>
        <v>0</v>
      </c>
      <c r="K7" s="1824"/>
      <c r="L7" s="1823">
        <f t="shared" ref="L7:L11" si="5">28.2368*K7</f>
        <v>0</v>
      </c>
      <c r="M7" s="1824"/>
      <c r="N7" s="1823">
        <f t="shared" ref="N7:N11" si="6">M7*47.6525</f>
        <v>0</v>
      </c>
      <c r="O7" s="1824"/>
      <c r="P7" s="1823">
        <f t="shared" ref="P7:P11" si="7">O7*8.9</f>
        <v>0</v>
      </c>
      <c r="Q7" s="1823"/>
      <c r="R7" s="1823">
        <f t="shared" ref="R7:R11" si="8">241*Q7</f>
        <v>0</v>
      </c>
      <c r="S7" s="1824"/>
      <c r="T7" s="1824">
        <f t="shared" ref="T7:T10" si="9">241*S7</f>
        <v>0</v>
      </c>
      <c r="U7" s="1824"/>
      <c r="V7" s="1824">
        <f t="shared" ref="V7:V11" si="10">332*U7</f>
        <v>0</v>
      </c>
      <c r="W7" s="1824"/>
      <c r="X7" s="19">
        <f t="shared" ref="X7:X11" si="11">W7*100</f>
        <v>0</v>
      </c>
      <c r="Y7" s="20">
        <f t="shared" si="1"/>
        <v>23087.15</v>
      </c>
    </row>
    <row r="8" spans="1:25" ht="35.25" customHeight="1" x14ac:dyDescent="0.25">
      <c r="A8" s="12">
        <v>1967020280</v>
      </c>
      <c r="B8" s="1826" t="s">
        <v>427</v>
      </c>
      <c r="C8" s="1824">
        <v>22695</v>
      </c>
      <c r="D8" s="1823">
        <f t="shared" si="0"/>
        <v>22070.887500000001</v>
      </c>
      <c r="E8" s="1824"/>
      <c r="F8" s="1824">
        <f t="shared" si="2"/>
        <v>0</v>
      </c>
      <c r="G8" s="1824"/>
      <c r="H8" s="1823">
        <f t="shared" si="3"/>
        <v>0</v>
      </c>
      <c r="I8" s="1824"/>
      <c r="J8" s="1824">
        <f t="shared" si="4"/>
        <v>0</v>
      </c>
      <c r="K8" s="1824"/>
      <c r="L8" s="1823">
        <f t="shared" si="5"/>
        <v>0</v>
      </c>
      <c r="M8" s="1824"/>
      <c r="N8" s="1823">
        <f t="shared" si="6"/>
        <v>0</v>
      </c>
      <c r="O8" s="1824"/>
      <c r="P8" s="1823">
        <f t="shared" si="7"/>
        <v>0</v>
      </c>
      <c r="Q8" s="1823"/>
      <c r="R8" s="1823">
        <f t="shared" si="8"/>
        <v>0</v>
      </c>
      <c r="S8" s="1824"/>
      <c r="T8" s="1824">
        <f t="shared" si="9"/>
        <v>0</v>
      </c>
      <c r="U8" s="1824"/>
      <c r="V8" s="1824">
        <f t="shared" si="10"/>
        <v>0</v>
      </c>
      <c r="W8" s="1824"/>
      <c r="X8" s="19">
        <f t="shared" si="11"/>
        <v>0</v>
      </c>
      <c r="Y8" s="20">
        <f t="shared" si="1"/>
        <v>22070.887500000001</v>
      </c>
    </row>
    <row r="9" spans="1:25" ht="38.25" customHeight="1" x14ac:dyDescent="0.25">
      <c r="A9" s="12">
        <v>1984225580</v>
      </c>
      <c r="B9" s="1826" t="s">
        <v>75</v>
      </c>
      <c r="C9" s="1824">
        <v>28403</v>
      </c>
      <c r="D9" s="1823">
        <f t="shared" si="0"/>
        <v>27621.9175</v>
      </c>
      <c r="E9" s="1824"/>
      <c r="F9" s="1824">
        <f t="shared" si="2"/>
        <v>0</v>
      </c>
      <c r="G9" s="1824"/>
      <c r="H9" s="1824">
        <f t="shared" si="3"/>
        <v>0</v>
      </c>
      <c r="I9" s="1824"/>
      <c r="J9" s="1824">
        <f t="shared" si="4"/>
        <v>0</v>
      </c>
      <c r="K9" s="1824"/>
      <c r="L9" s="1823">
        <f t="shared" si="5"/>
        <v>0</v>
      </c>
      <c r="M9" s="1824"/>
      <c r="N9" s="1823">
        <f t="shared" si="6"/>
        <v>0</v>
      </c>
      <c r="O9" s="1824"/>
      <c r="P9" s="1823">
        <f t="shared" si="7"/>
        <v>0</v>
      </c>
      <c r="Q9" s="1823"/>
      <c r="R9" s="1823">
        <f t="shared" si="8"/>
        <v>0</v>
      </c>
      <c r="S9" s="1824"/>
      <c r="T9" s="1824">
        <f t="shared" si="9"/>
        <v>0</v>
      </c>
      <c r="U9" s="1824"/>
      <c r="V9" s="1824">
        <f t="shared" si="10"/>
        <v>0</v>
      </c>
      <c r="W9" s="1824"/>
      <c r="X9" s="19">
        <f t="shared" si="11"/>
        <v>0</v>
      </c>
      <c r="Y9" s="20">
        <f t="shared" si="1"/>
        <v>27621.9175</v>
      </c>
    </row>
    <row r="10" spans="1:25" ht="35.25" customHeight="1" x14ac:dyDescent="0.25">
      <c r="A10" s="12">
        <v>1409935199</v>
      </c>
      <c r="C10" s="1824"/>
      <c r="D10" s="1823">
        <f t="shared" si="0"/>
        <v>0</v>
      </c>
      <c r="E10" s="1824"/>
      <c r="F10" s="1824">
        <f t="shared" si="2"/>
        <v>0</v>
      </c>
      <c r="G10" s="1824"/>
      <c r="H10" s="1824">
        <f t="shared" si="3"/>
        <v>0</v>
      </c>
      <c r="I10" s="1824"/>
      <c r="J10" s="1824">
        <f t="shared" si="4"/>
        <v>0</v>
      </c>
      <c r="K10" s="1824"/>
      <c r="L10" s="1823">
        <f t="shared" si="5"/>
        <v>0</v>
      </c>
      <c r="M10" s="1824"/>
      <c r="N10" s="1823">
        <f t="shared" si="6"/>
        <v>0</v>
      </c>
      <c r="O10" s="1824"/>
      <c r="P10" s="1823">
        <f t="shared" si="7"/>
        <v>0</v>
      </c>
      <c r="Q10" s="1823"/>
      <c r="R10" s="1823">
        <f t="shared" si="8"/>
        <v>0</v>
      </c>
      <c r="S10" s="1824"/>
      <c r="T10" s="1824">
        <f t="shared" si="9"/>
        <v>0</v>
      </c>
      <c r="U10" s="1824"/>
      <c r="V10" s="1824">
        <f t="shared" si="10"/>
        <v>0</v>
      </c>
      <c r="W10" s="1824"/>
      <c r="X10" s="19">
        <f t="shared" si="11"/>
        <v>0</v>
      </c>
      <c r="Y10" s="20">
        <f t="shared" si="1"/>
        <v>0</v>
      </c>
    </row>
    <row r="11" spans="1:25" ht="37.5" customHeight="1" x14ac:dyDescent="0.25">
      <c r="A11" s="12"/>
      <c r="B11" s="1825"/>
      <c r="C11" s="1824"/>
      <c r="D11" s="1823">
        <f t="shared" si="0"/>
        <v>0</v>
      </c>
      <c r="E11" s="1824"/>
      <c r="F11" s="1824">
        <f t="shared" si="2"/>
        <v>0</v>
      </c>
      <c r="G11" s="1824"/>
      <c r="H11" s="1824">
        <f t="shared" si="3"/>
        <v>0</v>
      </c>
      <c r="I11" s="1824"/>
      <c r="J11" s="1824">
        <f t="shared" si="4"/>
        <v>0</v>
      </c>
      <c r="K11" s="1824"/>
      <c r="L11" s="1823">
        <f t="shared" si="5"/>
        <v>0</v>
      </c>
      <c r="M11" s="1824"/>
      <c r="N11" s="1823">
        <f t="shared" si="6"/>
        <v>0</v>
      </c>
      <c r="O11" s="1824"/>
      <c r="P11" s="1823">
        <f t="shared" si="7"/>
        <v>0</v>
      </c>
      <c r="Q11" s="1823"/>
      <c r="R11" s="1823">
        <f t="shared" si="8"/>
        <v>0</v>
      </c>
      <c r="S11" s="1824">
        <v>1</v>
      </c>
      <c r="T11" s="1824">
        <f>341*S11</f>
        <v>341</v>
      </c>
      <c r="U11" s="1824"/>
      <c r="V11" s="1824">
        <f t="shared" si="10"/>
        <v>0</v>
      </c>
      <c r="W11" s="1824"/>
      <c r="X11" s="19">
        <f t="shared" si="11"/>
        <v>0</v>
      </c>
      <c r="Y11" s="20">
        <f t="shared" si="1"/>
        <v>341</v>
      </c>
    </row>
    <row r="12" spans="1:25" ht="29.25" customHeight="1" x14ac:dyDescent="0.25">
      <c r="A12" s="2235" t="s">
        <v>31</v>
      </c>
      <c r="B12" s="2235"/>
      <c r="C12" s="18">
        <f t="shared" ref="C12:X12" si="12">SUM(C6:C11)</f>
        <v>107051</v>
      </c>
      <c r="D12" s="18">
        <f t="shared" si="12"/>
        <v>104107.0975</v>
      </c>
      <c r="E12" s="18">
        <f t="shared" si="12"/>
        <v>0</v>
      </c>
      <c r="F12" s="18">
        <f t="shared" si="12"/>
        <v>0</v>
      </c>
      <c r="G12" s="18">
        <f t="shared" si="12"/>
        <v>0</v>
      </c>
      <c r="H12" s="18">
        <f t="shared" si="12"/>
        <v>0</v>
      </c>
      <c r="I12" s="18">
        <f t="shared" si="12"/>
        <v>0</v>
      </c>
      <c r="J12" s="18">
        <f t="shared" si="12"/>
        <v>0</v>
      </c>
      <c r="K12" s="18">
        <f t="shared" si="12"/>
        <v>0</v>
      </c>
      <c r="L12" s="18">
        <f t="shared" si="12"/>
        <v>0</v>
      </c>
      <c r="M12" s="18">
        <f t="shared" si="12"/>
        <v>0</v>
      </c>
      <c r="N12" s="23">
        <f t="shared" si="12"/>
        <v>0</v>
      </c>
      <c r="O12" s="18">
        <f t="shared" si="12"/>
        <v>0</v>
      </c>
      <c r="P12" s="23">
        <f t="shared" si="12"/>
        <v>0</v>
      </c>
      <c r="Q12" s="23">
        <f t="shared" si="12"/>
        <v>0</v>
      </c>
      <c r="R12" s="23">
        <f>SUM(R6:R11)</f>
        <v>0</v>
      </c>
      <c r="S12" s="23">
        <f>SUM(S6:S11)</f>
        <v>1</v>
      </c>
      <c r="T12" s="18">
        <f t="shared" si="12"/>
        <v>341</v>
      </c>
      <c r="U12" s="18">
        <f t="shared" si="12"/>
        <v>0</v>
      </c>
      <c r="V12" s="18">
        <f t="shared" si="12"/>
        <v>0</v>
      </c>
      <c r="W12" s="18">
        <f t="shared" si="12"/>
        <v>0</v>
      </c>
      <c r="X12" s="18">
        <f t="shared" si="12"/>
        <v>0</v>
      </c>
      <c r="Y12" s="20">
        <f t="shared" si="1"/>
        <v>104448.0975</v>
      </c>
    </row>
    <row r="14" spans="1:25" ht="43.5" customHeight="1" x14ac:dyDescent="0.25">
      <c r="A14" s="30" t="s">
        <v>32</v>
      </c>
      <c r="B14" s="2236" t="s">
        <v>27</v>
      </c>
      <c r="C14" s="2236"/>
      <c r="D14" s="30" t="s">
        <v>333</v>
      </c>
      <c r="E14" s="30" t="s">
        <v>65</v>
      </c>
      <c r="F14" s="30" t="s">
        <v>34</v>
      </c>
      <c r="G14" s="30" t="s">
        <v>14</v>
      </c>
      <c r="H14" s="469" t="s">
        <v>173</v>
      </c>
      <c r="I14" s="30" t="s">
        <v>17</v>
      </c>
      <c r="J14" s="1832" t="s">
        <v>174</v>
      </c>
      <c r="K14" s="30" t="s">
        <v>36</v>
      </c>
      <c r="L14" s="1832" t="s">
        <v>403</v>
      </c>
      <c r="M14" s="30" t="s">
        <v>429</v>
      </c>
      <c r="N14" s="30" t="s">
        <v>442</v>
      </c>
      <c r="O14" s="1832" t="s">
        <v>114</v>
      </c>
      <c r="P14" s="30" t="s">
        <v>70</v>
      </c>
      <c r="Q14" s="2300" t="s">
        <v>479</v>
      </c>
      <c r="R14" s="2301"/>
      <c r="S14" s="1832" t="s">
        <v>401</v>
      </c>
      <c r="T14" s="2235" t="s">
        <v>46</v>
      </c>
      <c r="U14" s="1826" t="s">
        <v>176</v>
      </c>
      <c r="V14" s="2260">
        <v>94305</v>
      </c>
      <c r="W14" s="2268"/>
      <c r="X14" s="2261"/>
    </row>
    <row r="15" spans="1:25" ht="22.5" customHeight="1" x14ac:dyDescent="0.25">
      <c r="A15" s="100" t="s">
        <v>38</v>
      </c>
      <c r="B15" s="2260">
        <v>441964</v>
      </c>
      <c r="C15" s="2261"/>
      <c r="D15" s="1829">
        <v>0</v>
      </c>
      <c r="E15" s="1829">
        <v>0</v>
      </c>
      <c r="F15" s="1829">
        <v>0</v>
      </c>
      <c r="G15" s="1829">
        <v>0</v>
      </c>
      <c r="H15" s="1829">
        <v>39</v>
      </c>
      <c r="I15" s="1829">
        <v>70</v>
      </c>
      <c r="J15" s="1829">
        <v>4</v>
      </c>
      <c r="K15" s="1829">
        <v>78</v>
      </c>
      <c r="L15" s="1829">
        <v>0</v>
      </c>
      <c r="M15" s="1829">
        <v>0</v>
      </c>
      <c r="N15" s="1829">
        <v>0</v>
      </c>
      <c r="O15" s="1829">
        <v>0</v>
      </c>
      <c r="P15" s="1829">
        <v>100</v>
      </c>
      <c r="Q15" s="2260">
        <v>10</v>
      </c>
      <c r="R15" s="2261"/>
      <c r="S15" s="1826">
        <v>2</v>
      </c>
      <c r="T15" s="2235"/>
      <c r="U15" s="1826" t="s">
        <v>64</v>
      </c>
      <c r="V15" s="2262">
        <v>11329</v>
      </c>
      <c r="W15" s="2262"/>
      <c r="X15" s="2262"/>
    </row>
    <row r="16" spans="1:25" ht="24.75" customHeight="1" x14ac:dyDescent="0.25">
      <c r="A16" s="100" t="s">
        <v>39</v>
      </c>
      <c r="B16" s="2260">
        <v>107510</v>
      </c>
      <c r="C16" s="2261"/>
      <c r="D16" s="1829"/>
      <c r="E16" s="1829">
        <v>1500</v>
      </c>
      <c r="F16" s="1829">
        <v>2000</v>
      </c>
      <c r="G16" s="1829"/>
      <c r="H16" s="1829"/>
      <c r="I16" s="1829"/>
      <c r="J16" s="1829"/>
      <c r="K16" s="1829"/>
      <c r="L16" s="1829"/>
      <c r="M16" s="1829"/>
      <c r="N16" s="1829"/>
      <c r="O16" s="1829"/>
      <c r="P16" s="1829"/>
      <c r="Q16" s="2262"/>
      <c r="R16" s="2262"/>
      <c r="S16" s="1829"/>
      <c r="T16" s="2254" t="s">
        <v>55</v>
      </c>
      <c r="U16" s="2254"/>
      <c r="V16" s="2267">
        <f>Y12</f>
        <v>104448.0975</v>
      </c>
      <c r="W16" s="2267"/>
      <c r="X16" s="2262"/>
    </row>
    <row r="17" spans="1:25" ht="28.5" customHeight="1" x14ac:dyDescent="0.25">
      <c r="A17" s="101" t="s">
        <v>44</v>
      </c>
      <c r="B17" s="2260"/>
      <c r="C17" s="2261"/>
      <c r="D17" s="1829"/>
      <c r="E17" s="1829"/>
      <c r="F17" s="1829"/>
      <c r="G17" s="1829"/>
      <c r="H17" s="1829"/>
      <c r="I17" s="1829"/>
      <c r="J17" s="1829"/>
      <c r="K17" s="1829"/>
      <c r="L17" s="1829"/>
      <c r="M17" s="1829"/>
      <c r="N17" s="1829"/>
      <c r="O17" s="1829"/>
      <c r="P17" s="1829"/>
      <c r="Q17" s="2225"/>
      <c r="R17" s="2225"/>
      <c r="S17" s="1825"/>
      <c r="T17" s="2294" t="s">
        <v>521</v>
      </c>
      <c r="U17" s="2295"/>
      <c r="V17" s="2296"/>
      <c r="W17" s="2296"/>
      <c r="X17" s="2296"/>
    </row>
    <row r="18" spans="1:25" ht="27" customHeight="1" x14ac:dyDescent="0.25">
      <c r="A18" s="100" t="s">
        <v>40</v>
      </c>
      <c r="B18" s="2264">
        <f>C12</f>
        <v>107051</v>
      </c>
      <c r="C18" s="2261"/>
      <c r="D18" s="1831">
        <f>E12</f>
        <v>0</v>
      </c>
      <c r="E18" s="1831">
        <f>G12</f>
        <v>0</v>
      </c>
      <c r="F18" s="1831">
        <f>I12</f>
        <v>0</v>
      </c>
      <c r="G18" s="1831">
        <f>K12</f>
        <v>0</v>
      </c>
      <c r="H18" s="1829">
        <v>1</v>
      </c>
      <c r="I18" s="1831">
        <f>U12</f>
        <v>0</v>
      </c>
      <c r="J18" s="1829"/>
      <c r="K18" s="1831">
        <f>W12</f>
        <v>0</v>
      </c>
      <c r="L18" s="1829"/>
      <c r="M18" s="1831">
        <f>M12</f>
        <v>0</v>
      </c>
      <c r="N18" s="1831">
        <f>O12</f>
        <v>0</v>
      </c>
      <c r="O18" s="1830">
        <f>Q12</f>
        <v>0</v>
      </c>
      <c r="P18" s="1831"/>
      <c r="Q18" s="2262"/>
      <c r="R18" s="2262"/>
      <c r="S18" s="1826"/>
      <c r="T18" s="2254" t="s">
        <v>57</v>
      </c>
      <c r="U18" s="2254"/>
      <c r="V18" s="2262">
        <v>920</v>
      </c>
      <c r="W18" s="2262"/>
      <c r="X18" s="2262"/>
      <c r="Y18" s="2269"/>
    </row>
    <row r="19" spans="1:25" ht="25.5" customHeight="1" x14ac:dyDescent="0.25">
      <c r="A19" s="100" t="s">
        <v>41</v>
      </c>
      <c r="B19" s="2260">
        <f>B15+B16+B17-B18</f>
        <v>442423</v>
      </c>
      <c r="C19" s="2261"/>
      <c r="D19" s="1829">
        <f>D15+D16+D17-D18</f>
        <v>0</v>
      </c>
      <c r="E19" s="1829">
        <f t="shared" ref="E19:N19" si="13">E15+E16+E17-E18</f>
        <v>1500</v>
      </c>
      <c r="F19" s="1829">
        <f t="shared" si="13"/>
        <v>2000</v>
      </c>
      <c r="G19" s="1829">
        <f t="shared" si="13"/>
        <v>0</v>
      </c>
      <c r="H19" s="1829">
        <f t="shared" si="13"/>
        <v>38</v>
      </c>
      <c r="I19" s="1829">
        <f t="shared" si="13"/>
        <v>70</v>
      </c>
      <c r="J19" s="1829">
        <f t="shared" si="13"/>
        <v>4</v>
      </c>
      <c r="K19" s="1829">
        <f t="shared" si="13"/>
        <v>78</v>
      </c>
      <c r="L19" s="1829">
        <f t="shared" si="13"/>
        <v>0</v>
      </c>
      <c r="M19" s="1829">
        <f t="shared" si="13"/>
        <v>0</v>
      </c>
      <c r="N19" s="1829">
        <f t="shared" si="13"/>
        <v>0</v>
      </c>
      <c r="O19" s="1829">
        <f>O15+O16+O17-O18</f>
        <v>0</v>
      </c>
      <c r="P19" s="1829">
        <f t="shared" ref="P19:Q19" si="14">P15+P16+P17-P18</f>
        <v>100</v>
      </c>
      <c r="Q19" s="2260">
        <f t="shared" si="14"/>
        <v>10</v>
      </c>
      <c r="R19" s="2261"/>
      <c r="S19" s="1826">
        <f>S15+S16-S17-S18</f>
        <v>2</v>
      </c>
      <c r="T19" s="2256" t="s">
        <v>48</v>
      </c>
      <c r="U19" s="49" t="s">
        <v>58</v>
      </c>
      <c r="V19" s="2262">
        <v>97000</v>
      </c>
      <c r="W19" s="2262"/>
      <c r="X19" s="2262"/>
      <c r="Y19" s="2269"/>
    </row>
    <row r="20" spans="1:25" ht="23.25" customHeight="1" x14ac:dyDescent="0.25">
      <c r="A20" s="289" t="s">
        <v>187</v>
      </c>
      <c r="B20" s="2286">
        <f>B19*0.9625</f>
        <v>425832.13750000001</v>
      </c>
      <c r="C20" s="2287"/>
      <c r="D20" s="290">
        <f>D19*66.41</f>
        <v>0</v>
      </c>
      <c r="E20" s="290">
        <f>27.9368*E19</f>
        <v>41905.200000000004</v>
      </c>
      <c r="F20" s="290">
        <f>18.31*F19</f>
        <v>36620</v>
      </c>
      <c r="G20" s="290">
        <f>27.9368*G19</f>
        <v>0</v>
      </c>
      <c r="H20" s="290">
        <f>241*H19</f>
        <v>9158</v>
      </c>
      <c r="I20" s="290">
        <f>323*I19</f>
        <v>22610</v>
      </c>
      <c r="J20" s="290">
        <f>241*J19</f>
        <v>964</v>
      </c>
      <c r="K20" s="290">
        <f>K19*100</f>
        <v>7800</v>
      </c>
      <c r="L20" s="290">
        <f>241*L19</f>
        <v>0</v>
      </c>
      <c r="M20" s="290">
        <f>47.1625*M19</f>
        <v>0</v>
      </c>
      <c r="N20" s="290">
        <f>N19*8.81</f>
        <v>0</v>
      </c>
      <c r="O20" s="290">
        <f>241*O19</f>
        <v>0</v>
      </c>
      <c r="P20" s="290">
        <f>P19*48.2</f>
        <v>4820</v>
      </c>
      <c r="Q20" s="2286">
        <f>470*Q19</f>
        <v>4700</v>
      </c>
      <c r="R20" s="2287"/>
      <c r="S20" s="290">
        <f>341*S19</f>
        <v>682</v>
      </c>
      <c r="T20" s="2257"/>
      <c r="U20" s="49" t="s">
        <v>59</v>
      </c>
      <c r="V20" s="2262">
        <v>82000</v>
      </c>
      <c r="W20" s="2262"/>
      <c r="X20" s="2262"/>
      <c r="Y20" s="2269"/>
    </row>
    <row r="21" spans="1:25" ht="32.25" customHeight="1" x14ac:dyDescent="0.25">
      <c r="A21" s="291" t="s">
        <v>186</v>
      </c>
      <c r="B21" s="2293">
        <f>SUM(B20:S20)</f>
        <v>555091.33750000002</v>
      </c>
      <c r="C21" s="2293"/>
      <c r="O21" s="1833"/>
      <c r="P21" s="1833"/>
      <c r="Q21" s="1833"/>
      <c r="R21" s="1833"/>
      <c r="T21" s="2294" t="s">
        <v>518</v>
      </c>
      <c r="U21" s="2295"/>
      <c r="V21" s="2297"/>
      <c r="W21" s="2298"/>
      <c r="X21" s="2299"/>
      <c r="Y21" s="2269"/>
    </row>
    <row r="22" spans="1:25" ht="35.25" customHeight="1" x14ac:dyDescent="0.25">
      <c r="A22" s="15"/>
      <c r="B22" s="2288" t="s">
        <v>49</v>
      </c>
      <c r="C22" s="2291">
        <v>97000</v>
      </c>
      <c r="D22" s="2291">
        <v>97000</v>
      </c>
      <c r="E22" s="2291">
        <v>100000</v>
      </c>
      <c r="F22" s="2291">
        <f>C22-D22+E22</f>
        <v>100000</v>
      </c>
      <c r="G22" s="1833"/>
      <c r="Q22" s="1833"/>
      <c r="R22" s="1833"/>
      <c r="T22" s="2251" t="s">
        <v>83</v>
      </c>
      <c r="U22" s="50" t="s">
        <v>60</v>
      </c>
      <c r="V22" s="2262">
        <v>179000</v>
      </c>
      <c r="W22" s="2262"/>
      <c r="X22" s="2262"/>
      <c r="Y22" s="2269"/>
    </row>
    <row r="23" spans="1:25" ht="39.75" customHeight="1" x14ac:dyDescent="0.25">
      <c r="A23" s="1833"/>
      <c r="B23" s="2289"/>
      <c r="C23" s="2292"/>
      <c r="D23" s="2292"/>
      <c r="E23" s="2292"/>
      <c r="F23" s="2292"/>
      <c r="G23" s="1833"/>
      <c r="Q23" s="1833"/>
      <c r="R23" s="1833"/>
      <c r="T23" s="2252"/>
      <c r="U23" s="50" t="s">
        <v>61</v>
      </c>
      <c r="V23" s="2262">
        <v>179000</v>
      </c>
      <c r="W23" s="2262"/>
      <c r="X23" s="2262"/>
      <c r="Y23" s="2269"/>
    </row>
    <row r="24" spans="1:25" ht="48" customHeight="1" x14ac:dyDescent="0.25">
      <c r="A24" s="1833"/>
      <c r="B24" s="2290"/>
      <c r="C24" s="290" t="s">
        <v>46</v>
      </c>
      <c r="D24" s="290" t="s">
        <v>50</v>
      </c>
      <c r="E24" s="290" t="s">
        <v>51</v>
      </c>
      <c r="F24" s="290" t="s">
        <v>52</v>
      </c>
      <c r="G24" s="1833"/>
      <c r="Q24" s="1833"/>
      <c r="R24" s="1833"/>
      <c r="T24" s="2235" t="s">
        <v>47</v>
      </c>
      <c r="U24" s="51" t="s">
        <v>62</v>
      </c>
      <c r="V24" s="2263">
        <f>V14+V16+V17-V18-V19-V20-V22+V23-V21</f>
        <v>18833.097500000003</v>
      </c>
      <c r="W24" s="2263"/>
      <c r="X24" s="2263"/>
      <c r="Y24" s="2269"/>
    </row>
    <row r="25" spans="1:25" ht="40.5" customHeight="1" x14ac:dyDescent="0.25">
      <c r="T25" s="2235"/>
      <c r="U25" s="51" t="s">
        <v>63</v>
      </c>
      <c r="V25" s="2262">
        <f>V15+V22-V23</f>
        <v>11329</v>
      </c>
      <c r="W25" s="2262"/>
      <c r="X25" s="2262"/>
    </row>
    <row r="26" spans="1:25" ht="36" customHeight="1" x14ac:dyDescent="0.25">
      <c r="K26" s="314"/>
    </row>
    <row r="28" spans="1:25" x14ac:dyDescent="0.25">
      <c r="J28" s="14" t="s">
        <v>139</v>
      </c>
    </row>
    <row r="32" spans="1:25" x14ac:dyDescent="0.25">
      <c r="I32" s="2280"/>
      <c r="J32" s="2280"/>
      <c r="K32" s="2280"/>
      <c r="L32" s="2280"/>
    </row>
    <row r="33" spans="9:12" x14ac:dyDescent="0.25">
      <c r="I33" s="1833"/>
      <c r="J33" s="1833"/>
      <c r="K33" s="2280"/>
      <c r="L33" s="2280"/>
    </row>
  </sheetData>
  <mergeCells count="62">
    <mergeCell ref="A1:Y1"/>
    <mergeCell ref="A2:Y2"/>
    <mergeCell ref="T3:Y3"/>
    <mergeCell ref="A4:A5"/>
    <mergeCell ref="B4:B5"/>
    <mergeCell ref="C4:D4"/>
    <mergeCell ref="E4:F4"/>
    <mergeCell ref="G4:H4"/>
    <mergeCell ref="I4:J4"/>
    <mergeCell ref="K4:L4"/>
    <mergeCell ref="Y4:Y5"/>
    <mergeCell ref="M4:N4"/>
    <mergeCell ref="O4:P4"/>
    <mergeCell ref="Q4:R4"/>
    <mergeCell ref="S4:T4"/>
    <mergeCell ref="U4:V4"/>
    <mergeCell ref="W4:X4"/>
    <mergeCell ref="B16:C16"/>
    <mergeCell ref="Q16:R16"/>
    <mergeCell ref="T16:U16"/>
    <mergeCell ref="V16:X16"/>
    <mergeCell ref="A12:B12"/>
    <mergeCell ref="B14:C14"/>
    <mergeCell ref="Q14:R14"/>
    <mergeCell ref="T14:T15"/>
    <mergeCell ref="V14:X14"/>
    <mergeCell ref="B15:C15"/>
    <mergeCell ref="Q15:R15"/>
    <mergeCell ref="V15:X15"/>
    <mergeCell ref="B17:C17"/>
    <mergeCell ref="Q17:R17"/>
    <mergeCell ref="T17:U17"/>
    <mergeCell ref="V17:X17"/>
    <mergeCell ref="B18:C18"/>
    <mergeCell ref="Q18:R18"/>
    <mergeCell ref="T18:U18"/>
    <mergeCell ref="V18:X18"/>
    <mergeCell ref="Y18:Y24"/>
    <mergeCell ref="B19:C19"/>
    <mergeCell ref="Q19:R19"/>
    <mergeCell ref="T19:T20"/>
    <mergeCell ref="V19:X19"/>
    <mergeCell ref="B20:C20"/>
    <mergeCell ref="B22:B24"/>
    <mergeCell ref="C22:C23"/>
    <mergeCell ref="D22:D23"/>
    <mergeCell ref="E22:E23"/>
    <mergeCell ref="F22:F23"/>
    <mergeCell ref="Q20:R20"/>
    <mergeCell ref="V20:X20"/>
    <mergeCell ref="B21:C21"/>
    <mergeCell ref="T21:U21"/>
    <mergeCell ref="V21:X21"/>
    <mergeCell ref="I32:J32"/>
    <mergeCell ref="K32:L32"/>
    <mergeCell ref="K33:L33"/>
    <mergeCell ref="T22:T23"/>
    <mergeCell ref="V22:X22"/>
    <mergeCell ref="V23:X23"/>
    <mergeCell ref="T24:T25"/>
    <mergeCell ref="V24:X24"/>
    <mergeCell ref="V25:X25"/>
  </mergeCells>
  <pageMargins left="0.15748031496063" right="0.15748031496063" top="0" bottom="0" header="0" footer="0"/>
  <pageSetup paperSize="9" scale="46" orientation="landscape" r:id="rId1"/>
</worksheet>
</file>

<file path=xl/worksheets/sheet29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F148EDC-C561-48DC-86A9-1700017AD553}">
  <sheetPr>
    <pageSetUpPr fitToPage="1"/>
  </sheetPr>
  <dimension ref="A1:Y33"/>
  <sheetViews>
    <sheetView topLeftCell="A11" zoomScale="70" zoomScaleNormal="70" zoomScaleSheetLayoutView="100" zoomScalePageLayoutView="68" workbookViewId="0">
      <selection activeCell="O24" sqref="O24"/>
    </sheetView>
  </sheetViews>
  <sheetFormatPr defaultColWidth="9.140625" defaultRowHeight="15" x14ac:dyDescent="0.25"/>
  <cols>
    <col min="1" max="1" width="18.28515625" style="14" customWidth="1"/>
    <col min="2" max="2" width="10.7109375" style="14" customWidth="1"/>
    <col min="3" max="3" width="12.28515625" style="14" customWidth="1"/>
    <col min="4" max="4" width="13.140625" style="14" bestFit="1" customWidth="1"/>
    <col min="5" max="5" width="12" style="14" customWidth="1"/>
    <col min="6" max="6" width="14" style="14" bestFit="1" customWidth="1"/>
    <col min="7" max="7" width="16" style="14" bestFit="1" customWidth="1"/>
    <col min="8" max="8" width="10.140625" style="14" bestFit="1" customWidth="1"/>
    <col min="9" max="9" width="10.5703125" style="14" bestFit="1" customWidth="1"/>
    <col min="10" max="10" width="10.5703125" style="14" customWidth="1"/>
    <col min="11" max="11" width="10.28515625" style="14" bestFit="1" customWidth="1"/>
    <col min="12" max="12" width="10.42578125" style="14" bestFit="1" customWidth="1"/>
    <col min="13" max="14" width="12" style="14" bestFit="1" customWidth="1"/>
    <col min="15" max="15" width="11" style="14" customWidth="1"/>
    <col min="16" max="16" width="12.85546875" style="14" bestFit="1" customWidth="1"/>
    <col min="17" max="18" width="9.42578125" style="14" customWidth="1"/>
    <col min="19" max="19" width="13.7109375" style="14" customWidth="1"/>
    <col min="20" max="20" width="12.140625" style="14" customWidth="1"/>
    <col min="21" max="21" width="21.7109375" style="14" customWidth="1"/>
    <col min="22" max="22" width="9.85546875" style="14" customWidth="1"/>
    <col min="23" max="23" width="10.140625" style="14" bestFit="1" customWidth="1"/>
    <col min="24" max="24" width="10.28515625" style="14" customWidth="1"/>
    <col min="25" max="25" width="15.7109375" style="14" customWidth="1"/>
    <col min="26" max="16384" width="9.140625" style="14"/>
  </cols>
  <sheetData>
    <row r="1" spans="1:25" ht="46.15" customHeight="1" x14ac:dyDescent="0.25">
      <c r="A1" s="2240" t="s">
        <v>148</v>
      </c>
      <c r="B1" s="2240"/>
      <c r="C1" s="2240"/>
      <c r="D1" s="2240"/>
      <c r="E1" s="2240"/>
      <c r="F1" s="2240"/>
      <c r="G1" s="2240"/>
      <c r="H1" s="2240"/>
      <c r="I1" s="2240"/>
      <c r="J1" s="2240"/>
      <c r="K1" s="2240"/>
      <c r="L1" s="2240"/>
      <c r="M1" s="2240"/>
      <c r="N1" s="2240"/>
      <c r="O1" s="2240"/>
      <c r="P1" s="2240"/>
      <c r="Q1" s="2240"/>
      <c r="R1" s="2240"/>
      <c r="S1" s="2240"/>
      <c r="T1" s="2240"/>
      <c r="U1" s="2240"/>
      <c r="V1" s="2240"/>
      <c r="W1" s="2240"/>
      <c r="X1" s="2240"/>
      <c r="Y1" s="2240"/>
    </row>
    <row r="2" spans="1:25" ht="21.6" customHeight="1" x14ac:dyDescent="0.25">
      <c r="A2" s="2241" t="s">
        <v>383</v>
      </c>
      <c r="B2" s="2241"/>
      <c r="C2" s="2241"/>
      <c r="D2" s="2241"/>
      <c r="E2" s="2241"/>
      <c r="F2" s="2241"/>
      <c r="G2" s="2241"/>
      <c r="H2" s="2241"/>
      <c r="I2" s="2241"/>
      <c r="J2" s="2241"/>
      <c r="K2" s="2241"/>
      <c r="L2" s="2241"/>
      <c r="M2" s="2241"/>
      <c r="N2" s="2241"/>
      <c r="O2" s="2241"/>
      <c r="P2" s="2241"/>
      <c r="Q2" s="2241"/>
      <c r="R2" s="2241"/>
      <c r="S2" s="2241"/>
      <c r="T2" s="2241"/>
      <c r="U2" s="2241"/>
      <c r="V2" s="2241"/>
      <c r="W2" s="2241"/>
      <c r="X2" s="2241"/>
      <c r="Y2" s="2241"/>
    </row>
    <row r="3" spans="1:25" ht="21" customHeight="1" x14ac:dyDescent="0.25">
      <c r="A3" s="1834"/>
      <c r="B3" s="1834"/>
      <c r="C3" s="1834"/>
      <c r="D3" s="1834"/>
      <c r="E3" s="1834"/>
      <c r="F3" s="1834"/>
      <c r="G3" s="1834"/>
      <c r="H3" s="1834"/>
      <c r="I3" s="1834"/>
      <c r="J3" s="1834"/>
      <c r="K3" s="1834"/>
      <c r="L3" s="1834"/>
      <c r="M3" s="1834"/>
      <c r="N3" s="1834"/>
      <c r="O3" s="1834"/>
      <c r="P3" s="1834"/>
      <c r="Q3" s="1834"/>
      <c r="R3" s="1834"/>
      <c r="S3" s="1834"/>
      <c r="T3" s="2242" t="s">
        <v>542</v>
      </c>
      <c r="U3" s="2242"/>
      <c r="V3" s="2242"/>
      <c r="W3" s="2242"/>
      <c r="X3" s="2242"/>
      <c r="Y3" s="2242"/>
    </row>
    <row r="4" spans="1:25" s="1834" customFormat="1" ht="18" customHeight="1" x14ac:dyDescent="0.25">
      <c r="A4" s="2243" t="s">
        <v>25</v>
      </c>
      <c r="B4" s="2243" t="s">
        <v>26</v>
      </c>
      <c r="C4" s="2244" t="s">
        <v>27</v>
      </c>
      <c r="D4" s="2244"/>
      <c r="E4" s="2244" t="s">
        <v>544</v>
      </c>
      <c r="F4" s="2244"/>
      <c r="G4" s="2244" t="s">
        <v>65</v>
      </c>
      <c r="H4" s="2244"/>
      <c r="I4" s="2244" t="s">
        <v>29</v>
      </c>
      <c r="J4" s="2244"/>
      <c r="K4" s="2245" t="s">
        <v>14</v>
      </c>
      <c r="L4" s="2246"/>
      <c r="M4" s="2245" t="s">
        <v>429</v>
      </c>
      <c r="N4" s="2246"/>
      <c r="O4" s="2245" t="s">
        <v>441</v>
      </c>
      <c r="P4" s="2246"/>
      <c r="Q4" s="2245" t="s">
        <v>114</v>
      </c>
      <c r="R4" s="2246"/>
      <c r="S4" s="2244" t="s">
        <v>35</v>
      </c>
      <c r="T4" s="2244"/>
      <c r="U4" s="2245" t="s">
        <v>17</v>
      </c>
      <c r="V4" s="2246"/>
      <c r="W4" s="2247" t="s">
        <v>36</v>
      </c>
      <c r="X4" s="2248"/>
      <c r="Y4" s="2238" t="s">
        <v>30</v>
      </c>
    </row>
    <row r="5" spans="1:25" s="1834" customFormat="1" ht="25.5" customHeight="1" x14ac:dyDescent="0.25">
      <c r="A5" s="2243"/>
      <c r="B5" s="2243"/>
      <c r="C5" s="1836" t="s">
        <v>42</v>
      </c>
      <c r="D5" s="1836" t="s">
        <v>43</v>
      </c>
      <c r="E5" s="1836" t="s">
        <v>42</v>
      </c>
      <c r="F5" s="1836" t="s">
        <v>43</v>
      </c>
      <c r="G5" s="1836" t="s">
        <v>42</v>
      </c>
      <c r="H5" s="1836" t="s">
        <v>43</v>
      </c>
      <c r="I5" s="1836" t="s">
        <v>42</v>
      </c>
      <c r="J5" s="1836" t="s">
        <v>43</v>
      </c>
      <c r="K5" s="1836" t="s">
        <v>42</v>
      </c>
      <c r="L5" s="1836" t="s">
        <v>43</v>
      </c>
      <c r="M5" s="1836" t="s">
        <v>42</v>
      </c>
      <c r="N5" s="1836" t="s">
        <v>43</v>
      </c>
      <c r="O5" s="1836" t="s">
        <v>42</v>
      </c>
      <c r="P5" s="1836" t="s">
        <v>43</v>
      </c>
      <c r="Q5" s="1836" t="s">
        <v>42</v>
      </c>
      <c r="R5" s="1836" t="s">
        <v>43</v>
      </c>
      <c r="S5" s="33" t="s">
        <v>42</v>
      </c>
      <c r="T5" s="33" t="s">
        <v>43</v>
      </c>
      <c r="U5" s="30" t="s">
        <v>42</v>
      </c>
      <c r="V5" s="30" t="s">
        <v>43</v>
      </c>
      <c r="W5" s="30" t="s">
        <v>42</v>
      </c>
      <c r="X5" s="30" t="s">
        <v>43</v>
      </c>
      <c r="Y5" s="2239"/>
    </row>
    <row r="6" spans="1:25" ht="34.5" customHeight="1" x14ac:dyDescent="0.25">
      <c r="A6" s="12">
        <v>1409935200</v>
      </c>
      <c r="B6" s="1835" t="s">
        <v>71</v>
      </c>
      <c r="C6" s="1838">
        <v>22297</v>
      </c>
      <c r="D6" s="1839">
        <f t="shared" ref="D6:D11" si="0">0.9725*C6</f>
        <v>21683.8325</v>
      </c>
      <c r="E6" s="1838"/>
      <c r="F6" s="1839">
        <f>67.1*E6</f>
        <v>0</v>
      </c>
      <c r="G6" s="1838"/>
      <c r="H6" s="1838">
        <f>28.2*G6</f>
        <v>0</v>
      </c>
      <c r="I6" s="1838"/>
      <c r="J6" s="1838">
        <f>18.5*I6</f>
        <v>0</v>
      </c>
      <c r="K6" s="1838"/>
      <c r="L6" s="1839">
        <f>28.2368*K6</f>
        <v>0</v>
      </c>
      <c r="M6" s="1838"/>
      <c r="N6" s="1839">
        <f>M6*47.6525</f>
        <v>0</v>
      </c>
      <c r="O6" s="1838"/>
      <c r="P6" s="1839">
        <f>O6*8.9</f>
        <v>0</v>
      </c>
      <c r="Q6" s="1839"/>
      <c r="R6" s="1839">
        <f>241*Q6</f>
        <v>0</v>
      </c>
      <c r="S6" s="1838"/>
      <c r="T6" s="1838">
        <f>241*S6</f>
        <v>0</v>
      </c>
      <c r="U6" s="1838"/>
      <c r="V6" s="1838">
        <f>332*U6</f>
        <v>0</v>
      </c>
      <c r="W6" s="1838"/>
      <c r="X6" s="19">
        <f>W6*100</f>
        <v>0</v>
      </c>
      <c r="Y6" s="20">
        <f t="shared" ref="Y6:Y12" si="1">D6+F6+H6+J6+L6+N6+P6+R6+T6+V6+X6</f>
        <v>21683.8325</v>
      </c>
    </row>
    <row r="7" spans="1:25" ht="31.5" customHeight="1" x14ac:dyDescent="0.25">
      <c r="A7" s="12">
        <v>1984225578</v>
      </c>
      <c r="B7" s="1835" t="s">
        <v>509</v>
      </c>
      <c r="C7" s="1838">
        <v>36381</v>
      </c>
      <c r="D7" s="1839">
        <f t="shared" si="0"/>
        <v>35380.522499999999</v>
      </c>
      <c r="E7" s="1838"/>
      <c r="F7" s="1838">
        <f t="shared" ref="F7:F11" si="2">67.1*E7</f>
        <v>0</v>
      </c>
      <c r="G7" s="1838"/>
      <c r="H7" s="1838">
        <f t="shared" ref="H7:H11" si="3">28.2*G7</f>
        <v>0</v>
      </c>
      <c r="I7" s="1838"/>
      <c r="J7" s="1838">
        <f t="shared" ref="J7:J11" si="4">18.5*I7</f>
        <v>0</v>
      </c>
      <c r="K7" s="1838"/>
      <c r="L7" s="1839">
        <f t="shared" ref="L7:L11" si="5">28.2368*K7</f>
        <v>0</v>
      </c>
      <c r="M7" s="1838"/>
      <c r="N7" s="1839">
        <f t="shared" ref="N7:N11" si="6">M7*47.6525</f>
        <v>0</v>
      </c>
      <c r="O7" s="1838"/>
      <c r="P7" s="1839">
        <f t="shared" ref="P7:P11" si="7">O7*8.9</f>
        <v>0</v>
      </c>
      <c r="Q7" s="1839"/>
      <c r="R7" s="1839">
        <f t="shared" ref="R7:R11" si="8">241*Q7</f>
        <v>0</v>
      </c>
      <c r="S7" s="1838"/>
      <c r="T7" s="1838">
        <f t="shared" ref="T7:T10" si="9">241*S7</f>
        <v>0</v>
      </c>
      <c r="U7" s="1838"/>
      <c r="V7" s="1838">
        <f t="shared" ref="V7:V11" si="10">332*U7</f>
        <v>0</v>
      </c>
      <c r="W7" s="1838"/>
      <c r="X7" s="19">
        <f t="shared" ref="X7:X11" si="11">W7*100</f>
        <v>0</v>
      </c>
      <c r="Y7" s="20">
        <f t="shared" si="1"/>
        <v>35380.522499999999</v>
      </c>
    </row>
    <row r="8" spans="1:25" ht="35.25" customHeight="1" x14ac:dyDescent="0.25">
      <c r="A8" s="12">
        <v>1967020280</v>
      </c>
      <c r="B8" s="1835" t="s">
        <v>427</v>
      </c>
      <c r="C8" s="1838">
        <v>33128</v>
      </c>
      <c r="D8" s="1839">
        <f t="shared" si="0"/>
        <v>32216.98</v>
      </c>
      <c r="E8" s="1838"/>
      <c r="F8" s="1838">
        <f t="shared" si="2"/>
        <v>0</v>
      </c>
      <c r="G8" s="1838"/>
      <c r="H8" s="1839">
        <f t="shared" si="3"/>
        <v>0</v>
      </c>
      <c r="I8" s="1838"/>
      <c r="J8" s="1838">
        <f t="shared" si="4"/>
        <v>0</v>
      </c>
      <c r="K8" s="1838"/>
      <c r="L8" s="1839">
        <f t="shared" si="5"/>
        <v>0</v>
      </c>
      <c r="M8" s="1838"/>
      <c r="N8" s="1839">
        <f t="shared" si="6"/>
        <v>0</v>
      </c>
      <c r="O8" s="1838"/>
      <c r="P8" s="1839">
        <f t="shared" si="7"/>
        <v>0</v>
      </c>
      <c r="Q8" s="1839"/>
      <c r="R8" s="1839">
        <f t="shared" si="8"/>
        <v>0</v>
      </c>
      <c r="S8" s="1838"/>
      <c r="T8" s="1838">
        <f t="shared" si="9"/>
        <v>0</v>
      </c>
      <c r="U8" s="1838"/>
      <c r="V8" s="1838">
        <f t="shared" si="10"/>
        <v>0</v>
      </c>
      <c r="W8" s="1838"/>
      <c r="X8" s="19">
        <f t="shared" si="11"/>
        <v>0</v>
      </c>
      <c r="Y8" s="20">
        <f t="shared" si="1"/>
        <v>32216.98</v>
      </c>
    </row>
    <row r="9" spans="1:25" ht="38.25" customHeight="1" x14ac:dyDescent="0.25">
      <c r="A9" s="12">
        <v>1984225580</v>
      </c>
      <c r="B9" s="1835" t="s">
        <v>75</v>
      </c>
      <c r="C9" s="1838">
        <v>50051</v>
      </c>
      <c r="D9" s="1839">
        <f t="shared" si="0"/>
        <v>48674.597500000003</v>
      </c>
      <c r="E9" s="1838"/>
      <c r="F9" s="1838">
        <f t="shared" si="2"/>
        <v>0</v>
      </c>
      <c r="G9" s="1838"/>
      <c r="H9" s="1838">
        <f t="shared" si="3"/>
        <v>0</v>
      </c>
      <c r="I9" s="1838"/>
      <c r="J9" s="1838">
        <f t="shared" si="4"/>
        <v>0</v>
      </c>
      <c r="K9" s="1838"/>
      <c r="L9" s="1839">
        <f t="shared" si="5"/>
        <v>0</v>
      </c>
      <c r="M9" s="1838"/>
      <c r="N9" s="1839">
        <f t="shared" si="6"/>
        <v>0</v>
      </c>
      <c r="O9" s="1838"/>
      <c r="P9" s="1839">
        <f t="shared" si="7"/>
        <v>0</v>
      </c>
      <c r="Q9" s="1839"/>
      <c r="R9" s="1839">
        <f t="shared" si="8"/>
        <v>0</v>
      </c>
      <c r="S9" s="1838"/>
      <c r="T9" s="1838">
        <f t="shared" si="9"/>
        <v>0</v>
      </c>
      <c r="U9" s="1838"/>
      <c r="V9" s="1838">
        <f t="shared" si="10"/>
        <v>0</v>
      </c>
      <c r="W9" s="1838"/>
      <c r="X9" s="19">
        <f t="shared" si="11"/>
        <v>0</v>
      </c>
      <c r="Y9" s="20">
        <f t="shared" si="1"/>
        <v>48674.597500000003</v>
      </c>
    </row>
    <row r="10" spans="1:25" ht="35.25" customHeight="1" x14ac:dyDescent="0.25">
      <c r="A10" s="12">
        <v>1409935199</v>
      </c>
      <c r="C10" s="1838"/>
      <c r="D10" s="1839">
        <f t="shared" si="0"/>
        <v>0</v>
      </c>
      <c r="E10" s="1838"/>
      <c r="F10" s="1838">
        <f t="shared" si="2"/>
        <v>0</v>
      </c>
      <c r="G10" s="1838"/>
      <c r="H10" s="1838">
        <f t="shared" si="3"/>
        <v>0</v>
      </c>
      <c r="I10" s="1838"/>
      <c r="J10" s="1838">
        <f t="shared" si="4"/>
        <v>0</v>
      </c>
      <c r="K10" s="1838"/>
      <c r="L10" s="1839">
        <f t="shared" si="5"/>
        <v>0</v>
      </c>
      <c r="M10" s="1838"/>
      <c r="N10" s="1839">
        <f t="shared" si="6"/>
        <v>0</v>
      </c>
      <c r="O10" s="1838"/>
      <c r="P10" s="1839">
        <f t="shared" si="7"/>
        <v>0</v>
      </c>
      <c r="Q10" s="1839"/>
      <c r="R10" s="1839">
        <f t="shared" si="8"/>
        <v>0</v>
      </c>
      <c r="S10" s="1838"/>
      <c r="T10" s="1838">
        <f t="shared" si="9"/>
        <v>0</v>
      </c>
      <c r="U10" s="1838"/>
      <c r="V10" s="1838">
        <f t="shared" si="10"/>
        <v>0</v>
      </c>
      <c r="W10" s="1838"/>
      <c r="X10" s="19">
        <f t="shared" si="11"/>
        <v>0</v>
      </c>
      <c r="Y10" s="20">
        <f t="shared" si="1"/>
        <v>0</v>
      </c>
    </row>
    <row r="11" spans="1:25" ht="37.5" customHeight="1" x14ac:dyDescent="0.25">
      <c r="A11" s="12"/>
      <c r="B11" s="1837"/>
      <c r="C11" s="1838"/>
      <c r="D11" s="1839">
        <f t="shared" si="0"/>
        <v>0</v>
      </c>
      <c r="E11" s="1838"/>
      <c r="F11" s="1838">
        <f t="shared" si="2"/>
        <v>0</v>
      </c>
      <c r="G11" s="1838"/>
      <c r="H11" s="1838">
        <f t="shared" si="3"/>
        <v>0</v>
      </c>
      <c r="I11" s="1838"/>
      <c r="J11" s="1838">
        <f t="shared" si="4"/>
        <v>0</v>
      </c>
      <c r="K11" s="1838"/>
      <c r="L11" s="1839">
        <f t="shared" si="5"/>
        <v>0</v>
      </c>
      <c r="M11" s="1838"/>
      <c r="N11" s="1839">
        <f t="shared" si="6"/>
        <v>0</v>
      </c>
      <c r="O11" s="1838"/>
      <c r="P11" s="1839">
        <f t="shared" si="7"/>
        <v>0</v>
      </c>
      <c r="Q11" s="1839"/>
      <c r="R11" s="1839">
        <f t="shared" si="8"/>
        <v>0</v>
      </c>
      <c r="S11" s="1838"/>
      <c r="T11" s="1838">
        <f>341*S11</f>
        <v>0</v>
      </c>
      <c r="U11" s="1838"/>
      <c r="V11" s="1838">
        <f t="shared" si="10"/>
        <v>0</v>
      </c>
      <c r="W11" s="1838"/>
      <c r="X11" s="19">
        <f t="shared" si="11"/>
        <v>0</v>
      </c>
      <c r="Y11" s="20">
        <f t="shared" si="1"/>
        <v>0</v>
      </c>
    </row>
    <row r="12" spans="1:25" ht="29.25" customHeight="1" x14ac:dyDescent="0.25">
      <c r="A12" s="2235" t="s">
        <v>31</v>
      </c>
      <c r="B12" s="2235"/>
      <c r="C12" s="18">
        <f t="shared" ref="C12:X12" si="12">SUM(C6:C11)</f>
        <v>141857</v>
      </c>
      <c r="D12" s="18">
        <f t="shared" si="12"/>
        <v>137955.9325</v>
      </c>
      <c r="E12" s="18">
        <f t="shared" si="12"/>
        <v>0</v>
      </c>
      <c r="F12" s="18">
        <f t="shared" si="12"/>
        <v>0</v>
      </c>
      <c r="G12" s="18">
        <f t="shared" si="12"/>
        <v>0</v>
      </c>
      <c r="H12" s="18">
        <f t="shared" si="12"/>
        <v>0</v>
      </c>
      <c r="I12" s="18">
        <f t="shared" si="12"/>
        <v>0</v>
      </c>
      <c r="J12" s="18">
        <f t="shared" si="12"/>
        <v>0</v>
      </c>
      <c r="K12" s="18">
        <f t="shared" si="12"/>
        <v>0</v>
      </c>
      <c r="L12" s="18">
        <f t="shared" si="12"/>
        <v>0</v>
      </c>
      <c r="M12" s="18">
        <f t="shared" si="12"/>
        <v>0</v>
      </c>
      <c r="N12" s="23">
        <f t="shared" si="12"/>
        <v>0</v>
      </c>
      <c r="O12" s="18">
        <f t="shared" si="12"/>
        <v>0</v>
      </c>
      <c r="P12" s="23">
        <f t="shared" si="12"/>
        <v>0</v>
      </c>
      <c r="Q12" s="23">
        <f t="shared" si="12"/>
        <v>0</v>
      </c>
      <c r="R12" s="23">
        <f>SUM(R6:R11)</f>
        <v>0</v>
      </c>
      <c r="S12" s="23">
        <f>SUM(S6:S11)</f>
        <v>0</v>
      </c>
      <c r="T12" s="18">
        <f t="shared" si="12"/>
        <v>0</v>
      </c>
      <c r="U12" s="18">
        <f t="shared" si="12"/>
        <v>0</v>
      </c>
      <c r="V12" s="18">
        <f t="shared" si="12"/>
        <v>0</v>
      </c>
      <c r="W12" s="18">
        <f t="shared" si="12"/>
        <v>0</v>
      </c>
      <c r="X12" s="18">
        <f t="shared" si="12"/>
        <v>0</v>
      </c>
      <c r="Y12" s="20">
        <f t="shared" si="1"/>
        <v>137955.9325</v>
      </c>
    </row>
    <row r="14" spans="1:25" ht="43.5" customHeight="1" x14ac:dyDescent="0.25">
      <c r="A14" s="30" t="s">
        <v>32</v>
      </c>
      <c r="B14" s="2236" t="s">
        <v>27</v>
      </c>
      <c r="C14" s="2236"/>
      <c r="D14" s="30" t="s">
        <v>543</v>
      </c>
      <c r="E14" s="30" t="s">
        <v>65</v>
      </c>
      <c r="F14" s="30" t="s">
        <v>34</v>
      </c>
      <c r="G14" s="30" t="s">
        <v>14</v>
      </c>
      <c r="H14" s="469" t="s">
        <v>173</v>
      </c>
      <c r="I14" s="30" t="s">
        <v>17</v>
      </c>
      <c r="J14" s="1843" t="s">
        <v>174</v>
      </c>
      <c r="K14" s="30" t="s">
        <v>36</v>
      </c>
      <c r="L14" s="1843" t="s">
        <v>403</v>
      </c>
      <c r="M14" s="30" t="s">
        <v>429</v>
      </c>
      <c r="N14" s="30" t="s">
        <v>442</v>
      </c>
      <c r="O14" s="1843" t="s">
        <v>114</v>
      </c>
      <c r="P14" s="30" t="s">
        <v>70</v>
      </c>
      <c r="Q14" s="2300" t="s">
        <v>479</v>
      </c>
      <c r="R14" s="2301"/>
      <c r="S14" s="1843" t="s">
        <v>401</v>
      </c>
      <c r="T14" s="2235" t="s">
        <v>46</v>
      </c>
      <c r="U14" s="1835" t="s">
        <v>176</v>
      </c>
      <c r="V14" s="2260">
        <v>18833</v>
      </c>
      <c r="W14" s="2268"/>
      <c r="X14" s="2261"/>
    </row>
    <row r="15" spans="1:25" ht="22.5" customHeight="1" x14ac:dyDescent="0.25">
      <c r="A15" s="100" t="s">
        <v>38</v>
      </c>
      <c r="B15" s="2260">
        <v>442423</v>
      </c>
      <c r="C15" s="2261"/>
      <c r="D15" s="1840">
        <v>0</v>
      </c>
      <c r="E15" s="1840">
        <v>1500</v>
      </c>
      <c r="F15" s="1840">
        <v>2000</v>
      </c>
      <c r="G15" s="1840">
        <v>0</v>
      </c>
      <c r="H15" s="1840">
        <v>38</v>
      </c>
      <c r="I15" s="1840">
        <v>70</v>
      </c>
      <c r="J15" s="1840">
        <v>4</v>
      </c>
      <c r="K15" s="1840">
        <v>78</v>
      </c>
      <c r="L15" s="1840">
        <v>0</v>
      </c>
      <c r="M15" s="1840">
        <v>0</v>
      </c>
      <c r="N15" s="1840">
        <v>0</v>
      </c>
      <c r="O15" s="1840">
        <v>0</v>
      </c>
      <c r="P15" s="1840">
        <v>100</v>
      </c>
      <c r="Q15" s="2260">
        <v>10</v>
      </c>
      <c r="R15" s="2261"/>
      <c r="S15" s="1835">
        <v>2</v>
      </c>
      <c r="T15" s="2235"/>
      <c r="U15" s="1835" t="s">
        <v>64</v>
      </c>
      <c r="V15" s="2262">
        <v>11329</v>
      </c>
      <c r="W15" s="2262"/>
      <c r="X15" s="2262"/>
    </row>
    <row r="16" spans="1:25" ht="24.75" customHeight="1" x14ac:dyDescent="0.25">
      <c r="A16" s="100" t="s">
        <v>39</v>
      </c>
      <c r="B16" s="2260">
        <f>218545+25706</f>
        <v>244251</v>
      </c>
      <c r="C16" s="2261"/>
      <c r="D16" s="1840">
        <v>500</v>
      </c>
      <c r="E16" s="1840"/>
      <c r="F16" s="1840"/>
      <c r="G16" s="1840"/>
      <c r="H16" s="1840"/>
      <c r="I16" s="1840"/>
      <c r="J16" s="1840"/>
      <c r="K16" s="1840"/>
      <c r="L16" s="1840"/>
      <c r="M16" s="1840"/>
      <c r="N16" s="1840"/>
      <c r="O16" s="1840"/>
      <c r="P16" s="1840"/>
      <c r="Q16" s="2262"/>
      <c r="R16" s="2262"/>
      <c r="S16" s="1840"/>
      <c r="T16" s="2254" t="s">
        <v>55</v>
      </c>
      <c r="U16" s="2254"/>
      <c r="V16" s="2267">
        <f>Y12</f>
        <v>137955.9325</v>
      </c>
      <c r="W16" s="2267"/>
      <c r="X16" s="2262"/>
    </row>
    <row r="17" spans="1:25" ht="28.5" customHeight="1" x14ac:dyDescent="0.25">
      <c r="A17" s="101" t="s">
        <v>44</v>
      </c>
      <c r="B17" s="2260">
        <v>25939</v>
      </c>
      <c r="C17" s="2261"/>
      <c r="D17" s="1840"/>
      <c r="E17" s="1840"/>
      <c r="F17" s="1840"/>
      <c r="G17" s="1840"/>
      <c r="H17" s="1840"/>
      <c r="I17" s="1840"/>
      <c r="J17" s="1840"/>
      <c r="K17" s="1840"/>
      <c r="L17" s="1840"/>
      <c r="M17" s="1840"/>
      <c r="N17" s="1840"/>
      <c r="O17" s="1840"/>
      <c r="P17" s="1840"/>
      <c r="Q17" s="2225"/>
      <c r="R17" s="2225"/>
      <c r="S17" s="1837"/>
      <c r="T17" s="2294" t="s">
        <v>521</v>
      </c>
      <c r="U17" s="2295"/>
      <c r="V17" s="2296"/>
      <c r="W17" s="2296"/>
      <c r="X17" s="2296"/>
    </row>
    <row r="18" spans="1:25" ht="27" customHeight="1" x14ac:dyDescent="0.25">
      <c r="A18" s="100" t="s">
        <v>40</v>
      </c>
      <c r="B18" s="2264">
        <f>C12</f>
        <v>141857</v>
      </c>
      <c r="C18" s="2261"/>
      <c r="D18" s="1841">
        <f>E12</f>
        <v>0</v>
      </c>
      <c r="E18" s="1841">
        <f>G12</f>
        <v>0</v>
      </c>
      <c r="F18" s="1841">
        <f>I12</f>
        <v>0</v>
      </c>
      <c r="G18" s="1841">
        <f>K12</f>
        <v>0</v>
      </c>
      <c r="H18" s="1840"/>
      <c r="I18" s="1841">
        <f>U12</f>
        <v>0</v>
      </c>
      <c r="J18" s="1840"/>
      <c r="K18" s="1841">
        <f>W12</f>
        <v>0</v>
      </c>
      <c r="L18" s="1840"/>
      <c r="M18" s="1841">
        <f>M12</f>
        <v>0</v>
      </c>
      <c r="N18" s="1841">
        <f>O12</f>
        <v>0</v>
      </c>
      <c r="O18" s="1842">
        <f>Q12</f>
        <v>0</v>
      </c>
      <c r="P18" s="1841"/>
      <c r="Q18" s="2262"/>
      <c r="R18" s="2262"/>
      <c r="S18" s="1835"/>
      <c r="T18" s="2254" t="s">
        <v>57</v>
      </c>
      <c r="U18" s="2254"/>
      <c r="V18" s="2262">
        <v>1150</v>
      </c>
      <c r="W18" s="2262"/>
      <c r="X18" s="2262"/>
      <c r="Y18" s="2269"/>
    </row>
    <row r="19" spans="1:25" ht="25.5" customHeight="1" x14ac:dyDescent="0.25">
      <c r="A19" s="100" t="s">
        <v>41</v>
      </c>
      <c r="B19" s="2260">
        <f>B15+B16+B17-B18</f>
        <v>570756</v>
      </c>
      <c r="C19" s="2261"/>
      <c r="D19" s="1840">
        <f>D15+D16+D17-D18</f>
        <v>500</v>
      </c>
      <c r="E19" s="1840">
        <f t="shared" ref="E19:N19" si="13">E15+E16+E17-E18</f>
        <v>1500</v>
      </c>
      <c r="F19" s="1840">
        <f t="shared" si="13"/>
        <v>2000</v>
      </c>
      <c r="G19" s="1840">
        <f t="shared" si="13"/>
        <v>0</v>
      </c>
      <c r="H19" s="1840">
        <f t="shared" si="13"/>
        <v>38</v>
      </c>
      <c r="I19" s="1840">
        <f t="shared" si="13"/>
        <v>70</v>
      </c>
      <c r="J19" s="1840">
        <f t="shared" si="13"/>
        <v>4</v>
      </c>
      <c r="K19" s="1840">
        <f t="shared" si="13"/>
        <v>78</v>
      </c>
      <c r="L19" s="1840">
        <f t="shared" si="13"/>
        <v>0</v>
      </c>
      <c r="M19" s="1840">
        <f t="shared" si="13"/>
        <v>0</v>
      </c>
      <c r="N19" s="1840">
        <f t="shared" si="13"/>
        <v>0</v>
      </c>
      <c r="O19" s="1840">
        <f>O15+O16+O17-O18</f>
        <v>0</v>
      </c>
      <c r="P19" s="1840">
        <f t="shared" ref="P19:Q19" si="14">P15+P16+P17-P18</f>
        <v>100</v>
      </c>
      <c r="Q19" s="2260">
        <f t="shared" si="14"/>
        <v>10</v>
      </c>
      <c r="R19" s="2261"/>
      <c r="S19" s="1835">
        <f>S15+S16-S17-S18</f>
        <v>2</v>
      </c>
      <c r="T19" s="2256" t="s">
        <v>48</v>
      </c>
      <c r="U19" s="49" t="s">
        <v>58</v>
      </c>
      <c r="V19" s="2262">
        <v>100000</v>
      </c>
      <c r="W19" s="2262"/>
      <c r="X19" s="2262"/>
      <c r="Y19" s="2269"/>
    </row>
    <row r="20" spans="1:25" ht="23.25" customHeight="1" x14ac:dyDescent="0.25">
      <c r="A20" s="289" t="s">
        <v>187</v>
      </c>
      <c r="B20" s="2286">
        <f>B19*0.9625</f>
        <v>549352.65</v>
      </c>
      <c r="C20" s="2287"/>
      <c r="D20" s="290">
        <f>D19*19.3</f>
        <v>9650</v>
      </c>
      <c r="E20" s="290">
        <f>27.9368*E19</f>
        <v>41905.200000000004</v>
      </c>
      <c r="F20" s="290">
        <f>18.31*F19</f>
        <v>36620</v>
      </c>
      <c r="G20" s="290">
        <f>27.9368*G19</f>
        <v>0</v>
      </c>
      <c r="H20" s="290">
        <f>241*H19</f>
        <v>9158</v>
      </c>
      <c r="I20" s="290">
        <f>323*I19</f>
        <v>22610</v>
      </c>
      <c r="J20" s="290">
        <f>241*J19</f>
        <v>964</v>
      </c>
      <c r="K20" s="290">
        <f>K19*100</f>
        <v>7800</v>
      </c>
      <c r="L20" s="290">
        <f>241*L19</f>
        <v>0</v>
      </c>
      <c r="M20" s="290">
        <f>47.1625*M19</f>
        <v>0</v>
      </c>
      <c r="N20" s="290">
        <f>N19*8.81</f>
        <v>0</v>
      </c>
      <c r="O20" s="290">
        <f>241*O19</f>
        <v>0</v>
      </c>
      <c r="P20" s="290">
        <f>P19*48.2</f>
        <v>4820</v>
      </c>
      <c r="Q20" s="2286">
        <f>470*Q19</f>
        <v>4700</v>
      </c>
      <c r="R20" s="2287"/>
      <c r="S20" s="290">
        <f>341*S19</f>
        <v>682</v>
      </c>
      <c r="T20" s="2257"/>
      <c r="U20" s="49" t="s">
        <v>59</v>
      </c>
      <c r="V20" s="2262">
        <v>25000</v>
      </c>
      <c r="W20" s="2262"/>
      <c r="X20" s="2262"/>
      <c r="Y20" s="2269"/>
    </row>
    <row r="21" spans="1:25" ht="32.25" customHeight="1" x14ac:dyDescent="0.25">
      <c r="A21" s="291" t="s">
        <v>186</v>
      </c>
      <c r="B21" s="2293">
        <f>SUM(B20:S20)</f>
        <v>688261.85</v>
      </c>
      <c r="C21" s="2293"/>
      <c r="O21" s="1844"/>
      <c r="P21" s="1844"/>
      <c r="Q21" s="1844"/>
      <c r="R21" s="1844"/>
      <c r="T21" s="2294" t="s">
        <v>518</v>
      </c>
      <c r="U21" s="2295"/>
      <c r="V21" s="2297"/>
      <c r="W21" s="2298"/>
      <c r="X21" s="2299"/>
      <c r="Y21" s="2269"/>
    </row>
    <row r="22" spans="1:25" ht="35.25" customHeight="1" x14ac:dyDescent="0.25">
      <c r="A22" s="15"/>
      <c r="B22" s="2288" t="s">
        <v>49</v>
      </c>
      <c r="C22" s="2291">
        <v>100000</v>
      </c>
      <c r="D22" s="2291">
        <v>100000</v>
      </c>
      <c r="E22" s="2291">
        <v>220000</v>
      </c>
      <c r="F22" s="2291">
        <f>C22-D22+E22</f>
        <v>220000</v>
      </c>
      <c r="G22" s="1844"/>
      <c r="Q22" s="1844"/>
      <c r="R22" s="1844"/>
      <c r="T22" s="2251" t="s">
        <v>83</v>
      </c>
      <c r="U22" s="50" t="s">
        <v>60</v>
      </c>
      <c r="V22" s="2262">
        <v>124400</v>
      </c>
      <c r="W22" s="2262"/>
      <c r="X22" s="2262"/>
      <c r="Y22" s="2269"/>
    </row>
    <row r="23" spans="1:25" ht="39.75" customHeight="1" x14ac:dyDescent="0.25">
      <c r="A23" s="1844"/>
      <c r="B23" s="2289"/>
      <c r="C23" s="2292"/>
      <c r="D23" s="2292"/>
      <c r="E23" s="2292"/>
      <c r="F23" s="2292"/>
      <c r="G23" s="1844"/>
      <c r="Q23" s="1844"/>
      <c r="R23" s="1844"/>
      <c r="T23" s="2252"/>
      <c r="U23" s="50" t="s">
        <v>61</v>
      </c>
      <c r="V23" s="2262">
        <v>125000</v>
      </c>
      <c r="W23" s="2262"/>
      <c r="X23" s="2262"/>
      <c r="Y23" s="2269"/>
    </row>
    <row r="24" spans="1:25" ht="48" customHeight="1" x14ac:dyDescent="0.25">
      <c r="A24" s="1844"/>
      <c r="B24" s="2290"/>
      <c r="C24" s="290" t="s">
        <v>46</v>
      </c>
      <c r="D24" s="290" t="s">
        <v>50</v>
      </c>
      <c r="E24" s="290" t="s">
        <v>51</v>
      </c>
      <c r="F24" s="290" t="s">
        <v>52</v>
      </c>
      <c r="G24" s="1844"/>
      <c r="Q24" s="1844"/>
      <c r="R24" s="1844"/>
      <c r="T24" s="2235" t="s">
        <v>47</v>
      </c>
      <c r="U24" s="51" t="s">
        <v>62</v>
      </c>
      <c r="V24" s="2263">
        <f>V14+V16+V17-V18-V19-V20-V22+V23-V21</f>
        <v>31238.932499999995</v>
      </c>
      <c r="W24" s="2263"/>
      <c r="X24" s="2263"/>
      <c r="Y24" s="2269"/>
    </row>
    <row r="25" spans="1:25" ht="40.5" customHeight="1" x14ac:dyDescent="0.25">
      <c r="T25" s="2235"/>
      <c r="U25" s="51" t="s">
        <v>63</v>
      </c>
      <c r="V25" s="2262">
        <f>V15+V22-V23</f>
        <v>10729</v>
      </c>
      <c r="W25" s="2262"/>
      <c r="X25" s="2262"/>
    </row>
    <row r="26" spans="1:25" ht="36" customHeight="1" x14ac:dyDescent="0.25">
      <c r="K26" s="314"/>
    </row>
    <row r="28" spans="1:25" x14ac:dyDescent="0.25">
      <c r="J28" s="14" t="s">
        <v>139</v>
      </c>
    </row>
    <row r="32" spans="1:25" x14ac:dyDescent="0.25">
      <c r="I32" s="2280"/>
      <c r="J32" s="2280"/>
      <c r="K32" s="2280"/>
      <c r="L32" s="2280"/>
    </row>
    <row r="33" spans="9:12" x14ac:dyDescent="0.25">
      <c r="I33" s="1844"/>
      <c r="J33" s="1844"/>
      <c r="K33" s="2280"/>
      <c r="L33" s="2280"/>
    </row>
  </sheetData>
  <mergeCells count="62">
    <mergeCell ref="I32:J32"/>
    <mergeCell ref="K32:L32"/>
    <mergeCell ref="K33:L33"/>
    <mergeCell ref="T22:T23"/>
    <mergeCell ref="V22:X22"/>
    <mergeCell ref="V23:X23"/>
    <mergeCell ref="T24:T25"/>
    <mergeCell ref="V24:X24"/>
    <mergeCell ref="V25:X25"/>
    <mergeCell ref="Y18:Y24"/>
    <mergeCell ref="B19:C19"/>
    <mergeCell ref="Q19:R19"/>
    <mergeCell ref="T19:T20"/>
    <mergeCell ref="V19:X19"/>
    <mergeCell ref="B20:C20"/>
    <mergeCell ref="B22:B24"/>
    <mergeCell ref="C22:C23"/>
    <mergeCell ref="D22:D23"/>
    <mergeCell ref="E22:E23"/>
    <mergeCell ref="F22:F23"/>
    <mergeCell ref="Q20:R20"/>
    <mergeCell ref="V20:X20"/>
    <mergeCell ref="B21:C21"/>
    <mergeCell ref="T21:U21"/>
    <mergeCell ref="V21:X21"/>
    <mergeCell ref="B17:C17"/>
    <mergeCell ref="Q17:R17"/>
    <mergeCell ref="T17:U17"/>
    <mergeCell ref="V17:X17"/>
    <mergeCell ref="B18:C18"/>
    <mergeCell ref="Q18:R18"/>
    <mergeCell ref="T18:U18"/>
    <mergeCell ref="V18:X18"/>
    <mergeCell ref="W4:X4"/>
    <mergeCell ref="B16:C16"/>
    <mergeCell ref="Q16:R16"/>
    <mergeCell ref="T16:U16"/>
    <mergeCell ref="V16:X16"/>
    <mergeCell ref="A12:B12"/>
    <mergeCell ref="B14:C14"/>
    <mergeCell ref="Q14:R14"/>
    <mergeCell ref="T14:T15"/>
    <mergeCell ref="V14:X14"/>
    <mergeCell ref="B15:C15"/>
    <mergeCell ref="Q15:R15"/>
    <mergeCell ref="V15:X15"/>
    <mergeCell ref="A1:Y1"/>
    <mergeCell ref="A2:Y2"/>
    <mergeCell ref="T3:Y3"/>
    <mergeCell ref="A4:A5"/>
    <mergeCell ref="B4:B5"/>
    <mergeCell ref="C4:D4"/>
    <mergeCell ref="E4:F4"/>
    <mergeCell ref="G4:H4"/>
    <mergeCell ref="I4:J4"/>
    <mergeCell ref="K4:L4"/>
    <mergeCell ref="Y4:Y5"/>
    <mergeCell ref="M4:N4"/>
    <mergeCell ref="O4:P4"/>
    <mergeCell ref="Q4:R4"/>
    <mergeCell ref="S4:T4"/>
    <mergeCell ref="U4:V4"/>
  </mergeCells>
  <pageMargins left="0.15748031496063" right="0.15748031496063" top="0" bottom="0" header="0" footer="0"/>
  <pageSetup paperSize="9" scale="46" orientation="landscape" r:id="rId1"/>
</worksheet>
</file>

<file path=xl/worksheets/sheet29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8776963-DCEA-441F-9F4D-DA58CD6B4CDC}">
  <sheetPr>
    <pageSetUpPr fitToPage="1"/>
  </sheetPr>
  <dimension ref="A1:Y33"/>
  <sheetViews>
    <sheetView topLeftCell="D8" zoomScale="70" zoomScaleNormal="70" zoomScaleSheetLayoutView="100" zoomScalePageLayoutView="68" workbookViewId="0">
      <selection activeCell="N23" sqref="N23"/>
    </sheetView>
  </sheetViews>
  <sheetFormatPr defaultColWidth="9.140625" defaultRowHeight="15" x14ac:dyDescent="0.25"/>
  <cols>
    <col min="1" max="1" width="18.28515625" style="14" customWidth="1"/>
    <col min="2" max="2" width="10.7109375" style="14" customWidth="1"/>
    <col min="3" max="3" width="12.28515625" style="14" customWidth="1"/>
    <col min="4" max="4" width="13.140625" style="14" bestFit="1" customWidth="1"/>
    <col min="5" max="5" width="12" style="14" customWidth="1"/>
    <col min="6" max="6" width="14" style="14" bestFit="1" customWidth="1"/>
    <col min="7" max="7" width="16" style="14" bestFit="1" customWidth="1"/>
    <col min="8" max="8" width="10.140625" style="14" bestFit="1" customWidth="1"/>
    <col min="9" max="9" width="10.5703125" style="14" bestFit="1" customWidth="1"/>
    <col min="10" max="10" width="10.5703125" style="14" customWidth="1"/>
    <col min="11" max="11" width="10.28515625" style="14" bestFit="1" customWidth="1"/>
    <col min="12" max="12" width="10.42578125" style="14" bestFit="1" customWidth="1"/>
    <col min="13" max="14" width="12" style="14" bestFit="1" customWidth="1"/>
    <col min="15" max="15" width="11" style="14" customWidth="1"/>
    <col min="16" max="16" width="12.85546875" style="14" bestFit="1" customWidth="1"/>
    <col min="17" max="18" width="9.42578125" style="14" customWidth="1"/>
    <col min="19" max="19" width="13.7109375" style="14" customWidth="1"/>
    <col min="20" max="20" width="12.140625" style="14" customWidth="1"/>
    <col min="21" max="21" width="21.7109375" style="14" customWidth="1"/>
    <col min="22" max="22" width="9.85546875" style="14" customWidth="1"/>
    <col min="23" max="23" width="10.140625" style="14" bestFit="1" customWidth="1"/>
    <col min="24" max="24" width="10.28515625" style="14" customWidth="1"/>
    <col min="25" max="25" width="15.7109375" style="14" customWidth="1"/>
    <col min="26" max="16384" width="9.140625" style="14"/>
  </cols>
  <sheetData>
    <row r="1" spans="1:25" ht="46.15" customHeight="1" x14ac:dyDescent="0.25">
      <c r="A1" s="2240" t="s">
        <v>148</v>
      </c>
      <c r="B1" s="2240"/>
      <c r="C1" s="2240"/>
      <c r="D1" s="2240"/>
      <c r="E1" s="2240"/>
      <c r="F1" s="2240"/>
      <c r="G1" s="2240"/>
      <c r="H1" s="2240"/>
      <c r="I1" s="2240"/>
      <c r="J1" s="2240"/>
      <c r="K1" s="2240"/>
      <c r="L1" s="2240"/>
      <c r="M1" s="2240"/>
      <c r="N1" s="2240"/>
      <c r="O1" s="2240"/>
      <c r="P1" s="2240"/>
      <c r="Q1" s="2240"/>
      <c r="R1" s="2240"/>
      <c r="S1" s="2240"/>
      <c r="T1" s="2240"/>
      <c r="U1" s="2240"/>
      <c r="V1" s="2240"/>
      <c r="W1" s="2240"/>
      <c r="X1" s="2240"/>
      <c r="Y1" s="2240"/>
    </row>
    <row r="2" spans="1:25" ht="21.6" customHeight="1" x14ac:dyDescent="0.25">
      <c r="A2" s="2241" t="s">
        <v>383</v>
      </c>
      <c r="B2" s="2241"/>
      <c r="C2" s="2241"/>
      <c r="D2" s="2241"/>
      <c r="E2" s="2241"/>
      <c r="F2" s="2241"/>
      <c r="G2" s="2241"/>
      <c r="H2" s="2241"/>
      <c r="I2" s="2241"/>
      <c r="J2" s="2241"/>
      <c r="K2" s="2241"/>
      <c r="L2" s="2241"/>
      <c r="M2" s="2241"/>
      <c r="N2" s="2241"/>
      <c r="O2" s="2241"/>
      <c r="P2" s="2241"/>
      <c r="Q2" s="2241"/>
      <c r="R2" s="2241"/>
      <c r="S2" s="2241"/>
      <c r="T2" s="2241"/>
      <c r="U2" s="2241"/>
      <c r="V2" s="2241"/>
      <c r="W2" s="2241"/>
      <c r="X2" s="2241"/>
      <c r="Y2" s="2241"/>
    </row>
    <row r="3" spans="1:25" ht="21" customHeight="1" x14ac:dyDescent="0.25">
      <c r="A3" s="1845"/>
      <c r="B3" s="1845"/>
      <c r="C3" s="1845"/>
      <c r="D3" s="1845"/>
      <c r="E3" s="1845"/>
      <c r="F3" s="1845"/>
      <c r="G3" s="1845"/>
      <c r="H3" s="1845"/>
      <c r="I3" s="1845"/>
      <c r="J3" s="1845"/>
      <c r="K3" s="1845"/>
      <c r="L3" s="1845"/>
      <c r="M3" s="1845"/>
      <c r="N3" s="1845"/>
      <c r="O3" s="1845"/>
      <c r="P3" s="1845"/>
      <c r="Q3" s="1845"/>
      <c r="R3" s="1845"/>
      <c r="S3" s="1845"/>
      <c r="T3" s="2242" t="s">
        <v>545</v>
      </c>
      <c r="U3" s="2242"/>
      <c r="V3" s="2242"/>
      <c r="W3" s="2242"/>
      <c r="X3" s="2242"/>
      <c r="Y3" s="2242"/>
    </row>
    <row r="4" spans="1:25" s="1845" customFormat="1" ht="18" customHeight="1" x14ac:dyDescent="0.25">
      <c r="A4" s="2243" t="s">
        <v>25</v>
      </c>
      <c r="B4" s="2243" t="s">
        <v>26</v>
      </c>
      <c r="C4" s="2244" t="s">
        <v>27</v>
      </c>
      <c r="D4" s="2244"/>
      <c r="E4" s="2244" t="s">
        <v>544</v>
      </c>
      <c r="F4" s="2244"/>
      <c r="G4" s="2244" t="s">
        <v>65</v>
      </c>
      <c r="H4" s="2244"/>
      <c r="I4" s="2244" t="s">
        <v>29</v>
      </c>
      <c r="J4" s="2244"/>
      <c r="K4" s="2245" t="s">
        <v>14</v>
      </c>
      <c r="L4" s="2246"/>
      <c r="M4" s="2245" t="s">
        <v>429</v>
      </c>
      <c r="N4" s="2246"/>
      <c r="O4" s="2245" t="s">
        <v>441</v>
      </c>
      <c r="P4" s="2246"/>
      <c r="Q4" s="2245" t="s">
        <v>114</v>
      </c>
      <c r="R4" s="2246"/>
      <c r="S4" s="2244" t="s">
        <v>35</v>
      </c>
      <c r="T4" s="2244"/>
      <c r="U4" s="2245" t="s">
        <v>17</v>
      </c>
      <c r="V4" s="2246"/>
      <c r="W4" s="2247" t="s">
        <v>36</v>
      </c>
      <c r="X4" s="2248"/>
      <c r="Y4" s="2238" t="s">
        <v>30</v>
      </c>
    </row>
    <row r="5" spans="1:25" s="1845" customFormat="1" ht="25.5" customHeight="1" x14ac:dyDescent="0.25">
      <c r="A5" s="2243"/>
      <c r="B5" s="2243"/>
      <c r="C5" s="1847" t="s">
        <v>42</v>
      </c>
      <c r="D5" s="1847" t="s">
        <v>43</v>
      </c>
      <c r="E5" s="1847" t="s">
        <v>42</v>
      </c>
      <c r="F5" s="1847" t="s">
        <v>43</v>
      </c>
      <c r="G5" s="1847" t="s">
        <v>42</v>
      </c>
      <c r="H5" s="1847" t="s">
        <v>43</v>
      </c>
      <c r="I5" s="1847" t="s">
        <v>42</v>
      </c>
      <c r="J5" s="1847" t="s">
        <v>43</v>
      </c>
      <c r="K5" s="1847" t="s">
        <v>42</v>
      </c>
      <c r="L5" s="1847" t="s">
        <v>43</v>
      </c>
      <c r="M5" s="1847" t="s">
        <v>42</v>
      </c>
      <c r="N5" s="1847" t="s">
        <v>43</v>
      </c>
      <c r="O5" s="1847" t="s">
        <v>42</v>
      </c>
      <c r="P5" s="1847" t="s">
        <v>43</v>
      </c>
      <c r="Q5" s="1847" t="s">
        <v>42</v>
      </c>
      <c r="R5" s="1847" t="s">
        <v>43</v>
      </c>
      <c r="S5" s="33" t="s">
        <v>42</v>
      </c>
      <c r="T5" s="33" t="s">
        <v>43</v>
      </c>
      <c r="U5" s="30" t="s">
        <v>42</v>
      </c>
      <c r="V5" s="30" t="s">
        <v>43</v>
      </c>
      <c r="W5" s="30" t="s">
        <v>42</v>
      </c>
      <c r="X5" s="30" t="s">
        <v>43</v>
      </c>
      <c r="Y5" s="2239"/>
    </row>
    <row r="6" spans="1:25" ht="34.5" customHeight="1" x14ac:dyDescent="0.25">
      <c r="A6" s="12">
        <v>1409935200</v>
      </c>
      <c r="B6" s="1846" t="s">
        <v>71</v>
      </c>
      <c r="C6" s="1849">
        <v>28954</v>
      </c>
      <c r="D6" s="1850">
        <f t="shared" ref="D6:D11" si="0">0.9725*C6</f>
        <v>28157.764999999999</v>
      </c>
      <c r="E6" s="1849"/>
      <c r="F6" s="1850">
        <f>67.1*E6</f>
        <v>0</v>
      </c>
      <c r="G6" s="1849"/>
      <c r="H6" s="1849">
        <f>28.2*G6</f>
        <v>0</v>
      </c>
      <c r="I6" s="1849"/>
      <c r="J6" s="1849">
        <f>18.5*I6</f>
        <v>0</v>
      </c>
      <c r="K6" s="1849"/>
      <c r="L6" s="1850">
        <f>28.2368*K6</f>
        <v>0</v>
      </c>
      <c r="M6" s="1849"/>
      <c r="N6" s="1850">
        <f>M6*47.6525</f>
        <v>0</v>
      </c>
      <c r="O6" s="1849"/>
      <c r="P6" s="1850">
        <f>O6*8.9</f>
        <v>0</v>
      </c>
      <c r="Q6" s="1850"/>
      <c r="R6" s="1850">
        <f>241*Q6</f>
        <v>0</v>
      </c>
      <c r="S6" s="1849"/>
      <c r="T6" s="1849">
        <f>241*S6</f>
        <v>0</v>
      </c>
      <c r="U6" s="1849"/>
      <c r="V6" s="1849">
        <f>332*U6</f>
        <v>0</v>
      </c>
      <c r="W6" s="1849">
        <v>1</v>
      </c>
      <c r="X6" s="19">
        <f>W6*100</f>
        <v>100</v>
      </c>
      <c r="Y6" s="20">
        <f t="shared" ref="Y6:Y12" si="1">D6+F6+H6+J6+L6+N6+P6+R6+T6+V6+X6</f>
        <v>28257.764999999999</v>
      </c>
    </row>
    <row r="7" spans="1:25" ht="31.5" customHeight="1" x14ac:dyDescent="0.25">
      <c r="A7" s="12">
        <v>1984225578</v>
      </c>
      <c r="B7" s="1846" t="s">
        <v>509</v>
      </c>
      <c r="C7" s="1849">
        <v>24920</v>
      </c>
      <c r="D7" s="1850">
        <f t="shared" si="0"/>
        <v>24234.7</v>
      </c>
      <c r="E7" s="1849"/>
      <c r="F7" s="1849">
        <f t="shared" ref="F7:F11" si="2">67.1*E7</f>
        <v>0</v>
      </c>
      <c r="G7" s="1849"/>
      <c r="H7" s="1849">
        <f t="shared" ref="H7:H11" si="3">28.2*G7</f>
        <v>0</v>
      </c>
      <c r="I7" s="1849"/>
      <c r="J7" s="1849">
        <f t="shared" ref="J7:J11" si="4">18.5*I7</f>
        <v>0</v>
      </c>
      <c r="K7" s="1849"/>
      <c r="L7" s="1850">
        <f t="shared" ref="L7:L11" si="5">28.2368*K7</f>
        <v>0</v>
      </c>
      <c r="M7" s="1849"/>
      <c r="N7" s="1850">
        <f t="shared" ref="N7:N11" si="6">M7*47.6525</f>
        <v>0</v>
      </c>
      <c r="O7" s="1849"/>
      <c r="P7" s="1850">
        <f t="shared" ref="P7:P11" si="7">O7*8.9</f>
        <v>0</v>
      </c>
      <c r="Q7" s="1850"/>
      <c r="R7" s="1850">
        <f t="shared" ref="R7:R11" si="8">241*Q7</f>
        <v>0</v>
      </c>
      <c r="S7" s="1849"/>
      <c r="T7" s="1849">
        <f t="shared" ref="T7:T10" si="9">241*S7</f>
        <v>0</v>
      </c>
      <c r="U7" s="1849"/>
      <c r="V7" s="1849">
        <f t="shared" ref="V7:V11" si="10">332*U7</f>
        <v>0</v>
      </c>
      <c r="W7" s="1849"/>
      <c r="X7" s="19">
        <f t="shared" ref="X7:X11" si="11">W7*100</f>
        <v>0</v>
      </c>
      <c r="Y7" s="20">
        <f t="shared" si="1"/>
        <v>24234.7</v>
      </c>
    </row>
    <row r="8" spans="1:25" ht="35.25" customHeight="1" x14ac:dyDescent="0.25">
      <c r="A8" s="12">
        <v>1967020280</v>
      </c>
      <c r="B8" s="1846" t="s">
        <v>427</v>
      </c>
      <c r="C8" s="1849">
        <v>20513</v>
      </c>
      <c r="D8" s="1850">
        <f t="shared" si="0"/>
        <v>19948.892500000002</v>
      </c>
      <c r="E8" s="1849"/>
      <c r="F8" s="1849">
        <f t="shared" si="2"/>
        <v>0</v>
      </c>
      <c r="G8" s="1849"/>
      <c r="H8" s="1850">
        <f t="shared" si="3"/>
        <v>0</v>
      </c>
      <c r="I8" s="1849"/>
      <c r="J8" s="1849">
        <f t="shared" si="4"/>
        <v>0</v>
      </c>
      <c r="K8" s="1849"/>
      <c r="L8" s="1850">
        <f t="shared" si="5"/>
        <v>0</v>
      </c>
      <c r="M8" s="1849"/>
      <c r="N8" s="1850">
        <f t="shared" si="6"/>
        <v>0</v>
      </c>
      <c r="O8" s="1849"/>
      <c r="P8" s="1850">
        <f t="shared" si="7"/>
        <v>0</v>
      </c>
      <c r="Q8" s="1850"/>
      <c r="R8" s="1850">
        <f t="shared" si="8"/>
        <v>0</v>
      </c>
      <c r="S8" s="1849"/>
      <c r="T8" s="1849">
        <f t="shared" si="9"/>
        <v>0</v>
      </c>
      <c r="U8" s="1849"/>
      <c r="V8" s="1849">
        <f t="shared" si="10"/>
        <v>0</v>
      </c>
      <c r="W8" s="1849"/>
      <c r="X8" s="19">
        <f t="shared" si="11"/>
        <v>0</v>
      </c>
      <c r="Y8" s="20">
        <f t="shared" si="1"/>
        <v>19948.892500000002</v>
      </c>
    </row>
    <row r="9" spans="1:25" ht="38.25" customHeight="1" x14ac:dyDescent="0.25">
      <c r="A9" s="12">
        <v>1984225580</v>
      </c>
      <c r="B9" s="1846" t="s">
        <v>75</v>
      </c>
      <c r="C9" s="1849">
        <v>22578</v>
      </c>
      <c r="D9" s="1850">
        <f t="shared" si="0"/>
        <v>21957.105</v>
      </c>
      <c r="E9" s="1849"/>
      <c r="F9" s="1849">
        <f t="shared" si="2"/>
        <v>0</v>
      </c>
      <c r="G9" s="1849"/>
      <c r="H9" s="1849">
        <f t="shared" si="3"/>
        <v>0</v>
      </c>
      <c r="I9" s="1849"/>
      <c r="J9" s="1849">
        <f t="shared" si="4"/>
        <v>0</v>
      </c>
      <c r="K9" s="1849"/>
      <c r="L9" s="1850">
        <f t="shared" si="5"/>
        <v>0</v>
      </c>
      <c r="M9" s="1849"/>
      <c r="N9" s="1850">
        <f t="shared" si="6"/>
        <v>0</v>
      </c>
      <c r="O9" s="1849"/>
      <c r="P9" s="1850">
        <f t="shared" si="7"/>
        <v>0</v>
      </c>
      <c r="Q9" s="1850"/>
      <c r="R9" s="1850">
        <f t="shared" si="8"/>
        <v>0</v>
      </c>
      <c r="S9" s="1849"/>
      <c r="T9" s="1849">
        <f t="shared" si="9"/>
        <v>0</v>
      </c>
      <c r="U9" s="1849"/>
      <c r="V9" s="1849">
        <f t="shared" si="10"/>
        <v>0</v>
      </c>
      <c r="W9" s="1849"/>
      <c r="X9" s="19">
        <f t="shared" si="11"/>
        <v>0</v>
      </c>
      <c r="Y9" s="20">
        <f t="shared" si="1"/>
        <v>21957.105</v>
      </c>
    </row>
    <row r="10" spans="1:25" ht="35.25" customHeight="1" x14ac:dyDescent="0.25">
      <c r="A10" s="12">
        <v>1409935199</v>
      </c>
      <c r="C10" s="1849"/>
      <c r="D10" s="1850">
        <f t="shared" si="0"/>
        <v>0</v>
      </c>
      <c r="E10" s="1849"/>
      <c r="F10" s="1849">
        <f t="shared" si="2"/>
        <v>0</v>
      </c>
      <c r="G10" s="1849"/>
      <c r="H10" s="1849">
        <f t="shared" si="3"/>
        <v>0</v>
      </c>
      <c r="I10" s="1849"/>
      <c r="J10" s="1849">
        <f t="shared" si="4"/>
        <v>0</v>
      </c>
      <c r="K10" s="1849"/>
      <c r="L10" s="1850">
        <f t="shared" si="5"/>
        <v>0</v>
      </c>
      <c r="M10" s="1849"/>
      <c r="N10" s="1850">
        <f t="shared" si="6"/>
        <v>0</v>
      </c>
      <c r="O10" s="1849"/>
      <c r="P10" s="1850">
        <f t="shared" si="7"/>
        <v>0</v>
      </c>
      <c r="Q10" s="1850"/>
      <c r="R10" s="1850">
        <f t="shared" si="8"/>
        <v>0</v>
      </c>
      <c r="S10" s="1849"/>
      <c r="T10" s="1849">
        <f t="shared" si="9"/>
        <v>0</v>
      </c>
      <c r="U10" s="1849"/>
      <c r="V10" s="1849">
        <f t="shared" si="10"/>
        <v>0</v>
      </c>
      <c r="W10" s="1849"/>
      <c r="X10" s="19">
        <f t="shared" si="11"/>
        <v>0</v>
      </c>
      <c r="Y10" s="20">
        <f t="shared" si="1"/>
        <v>0</v>
      </c>
    </row>
    <row r="11" spans="1:25" ht="37.5" customHeight="1" x14ac:dyDescent="0.25">
      <c r="A11" s="12"/>
      <c r="B11" s="1848"/>
      <c r="C11" s="1849"/>
      <c r="D11" s="1850">
        <f t="shared" si="0"/>
        <v>0</v>
      </c>
      <c r="E11" s="1849"/>
      <c r="F11" s="1849">
        <f t="shared" si="2"/>
        <v>0</v>
      </c>
      <c r="G11" s="1849"/>
      <c r="H11" s="1849">
        <f t="shared" si="3"/>
        <v>0</v>
      </c>
      <c r="I11" s="1849"/>
      <c r="J11" s="1849">
        <f t="shared" si="4"/>
        <v>0</v>
      </c>
      <c r="K11" s="1849"/>
      <c r="L11" s="1850">
        <f t="shared" si="5"/>
        <v>0</v>
      </c>
      <c r="M11" s="1849"/>
      <c r="N11" s="1850">
        <f t="shared" si="6"/>
        <v>0</v>
      </c>
      <c r="O11" s="1849"/>
      <c r="P11" s="1850">
        <f t="shared" si="7"/>
        <v>0</v>
      </c>
      <c r="Q11" s="1850"/>
      <c r="R11" s="1850">
        <f t="shared" si="8"/>
        <v>0</v>
      </c>
      <c r="S11" s="1849"/>
      <c r="T11" s="1849">
        <f>341*S11</f>
        <v>0</v>
      </c>
      <c r="U11" s="1849"/>
      <c r="V11" s="1849">
        <f t="shared" si="10"/>
        <v>0</v>
      </c>
      <c r="W11" s="1849"/>
      <c r="X11" s="19">
        <f t="shared" si="11"/>
        <v>0</v>
      </c>
      <c r="Y11" s="20">
        <f t="shared" si="1"/>
        <v>0</v>
      </c>
    </row>
    <row r="12" spans="1:25" ht="29.25" customHeight="1" x14ac:dyDescent="0.25">
      <c r="A12" s="2235" t="s">
        <v>31</v>
      </c>
      <c r="B12" s="2235"/>
      <c r="C12" s="18">
        <f t="shared" ref="C12:X12" si="12">SUM(C6:C11)</f>
        <v>96965</v>
      </c>
      <c r="D12" s="18">
        <f t="shared" si="12"/>
        <v>94298.462499999994</v>
      </c>
      <c r="E12" s="18">
        <f t="shared" si="12"/>
        <v>0</v>
      </c>
      <c r="F12" s="18">
        <f t="shared" si="12"/>
        <v>0</v>
      </c>
      <c r="G12" s="18">
        <f t="shared" si="12"/>
        <v>0</v>
      </c>
      <c r="H12" s="18">
        <f t="shared" si="12"/>
        <v>0</v>
      </c>
      <c r="I12" s="18">
        <f t="shared" si="12"/>
        <v>0</v>
      </c>
      <c r="J12" s="18">
        <f t="shared" si="12"/>
        <v>0</v>
      </c>
      <c r="K12" s="18">
        <f t="shared" si="12"/>
        <v>0</v>
      </c>
      <c r="L12" s="18">
        <f t="shared" si="12"/>
        <v>0</v>
      </c>
      <c r="M12" s="18">
        <f t="shared" si="12"/>
        <v>0</v>
      </c>
      <c r="N12" s="23">
        <f t="shared" si="12"/>
        <v>0</v>
      </c>
      <c r="O12" s="18">
        <f t="shared" si="12"/>
        <v>0</v>
      </c>
      <c r="P12" s="23">
        <f t="shared" si="12"/>
        <v>0</v>
      </c>
      <c r="Q12" s="23">
        <f t="shared" si="12"/>
        <v>0</v>
      </c>
      <c r="R12" s="23">
        <f>SUM(R6:R11)</f>
        <v>0</v>
      </c>
      <c r="S12" s="23">
        <f>SUM(S6:S11)</f>
        <v>0</v>
      </c>
      <c r="T12" s="18">
        <f t="shared" si="12"/>
        <v>0</v>
      </c>
      <c r="U12" s="18">
        <f t="shared" si="12"/>
        <v>0</v>
      </c>
      <c r="V12" s="18">
        <f t="shared" si="12"/>
        <v>0</v>
      </c>
      <c r="W12" s="18">
        <f t="shared" si="12"/>
        <v>1</v>
      </c>
      <c r="X12" s="18">
        <f t="shared" si="12"/>
        <v>100</v>
      </c>
      <c r="Y12" s="20">
        <f t="shared" si="1"/>
        <v>94398.462499999994</v>
      </c>
    </row>
    <row r="14" spans="1:25" ht="43.5" customHeight="1" x14ac:dyDescent="0.25">
      <c r="A14" s="30" t="s">
        <v>32</v>
      </c>
      <c r="B14" s="2236" t="s">
        <v>27</v>
      </c>
      <c r="C14" s="2236"/>
      <c r="D14" s="30" t="s">
        <v>543</v>
      </c>
      <c r="E14" s="30" t="s">
        <v>65</v>
      </c>
      <c r="F14" s="30" t="s">
        <v>34</v>
      </c>
      <c r="G14" s="30" t="s">
        <v>14</v>
      </c>
      <c r="H14" s="469" t="s">
        <v>173</v>
      </c>
      <c r="I14" s="30" t="s">
        <v>17</v>
      </c>
      <c r="J14" s="1854" t="s">
        <v>174</v>
      </c>
      <c r="K14" s="30" t="s">
        <v>36</v>
      </c>
      <c r="L14" s="1854" t="s">
        <v>403</v>
      </c>
      <c r="M14" s="30" t="s">
        <v>429</v>
      </c>
      <c r="N14" s="30" t="s">
        <v>442</v>
      </c>
      <c r="O14" s="1854" t="s">
        <v>114</v>
      </c>
      <c r="P14" s="30" t="s">
        <v>70</v>
      </c>
      <c r="Q14" s="2300" t="s">
        <v>479</v>
      </c>
      <c r="R14" s="2301"/>
      <c r="S14" s="1854" t="s">
        <v>401</v>
      </c>
      <c r="T14" s="2235" t="s">
        <v>46</v>
      </c>
      <c r="U14" s="1846" t="s">
        <v>176</v>
      </c>
      <c r="V14" s="2260">
        <v>31239</v>
      </c>
      <c r="W14" s="2268"/>
      <c r="X14" s="2261"/>
    </row>
    <row r="15" spans="1:25" ht="22.5" customHeight="1" x14ac:dyDescent="0.25">
      <c r="A15" s="100" t="s">
        <v>38</v>
      </c>
      <c r="B15" s="2260">
        <v>570756</v>
      </c>
      <c r="C15" s="2261"/>
      <c r="D15" s="1851">
        <v>500</v>
      </c>
      <c r="E15" s="1851">
        <v>1500</v>
      </c>
      <c r="F15" s="1851">
        <v>2000</v>
      </c>
      <c r="G15" s="1851">
        <v>0</v>
      </c>
      <c r="H15" s="1851">
        <v>38</v>
      </c>
      <c r="I15" s="1851">
        <v>70</v>
      </c>
      <c r="J15" s="1851">
        <v>4</v>
      </c>
      <c r="K15" s="1851">
        <v>78</v>
      </c>
      <c r="L15" s="1851">
        <v>0</v>
      </c>
      <c r="M15" s="1851">
        <v>0</v>
      </c>
      <c r="N15" s="1851">
        <v>0</v>
      </c>
      <c r="O15" s="1851">
        <v>0</v>
      </c>
      <c r="P15" s="1851">
        <v>100</v>
      </c>
      <c r="Q15" s="2260">
        <v>10</v>
      </c>
      <c r="R15" s="2261"/>
      <c r="S15" s="1846">
        <v>2</v>
      </c>
      <c r="T15" s="2235"/>
      <c r="U15" s="1846" t="s">
        <v>64</v>
      </c>
      <c r="V15" s="2262">
        <v>10729</v>
      </c>
      <c r="W15" s="2262"/>
      <c r="X15" s="2262"/>
    </row>
    <row r="16" spans="1:25" ht="24.75" customHeight="1" x14ac:dyDescent="0.25">
      <c r="A16" s="100" t="s">
        <v>39</v>
      </c>
      <c r="B16" s="2260"/>
      <c r="C16" s="2261"/>
      <c r="D16" s="1851"/>
      <c r="E16" s="1851"/>
      <c r="F16" s="1851"/>
      <c r="G16" s="1851"/>
      <c r="H16" s="1851"/>
      <c r="I16" s="1851"/>
      <c r="J16" s="1851"/>
      <c r="K16" s="1851"/>
      <c r="L16" s="1851"/>
      <c r="M16" s="1851"/>
      <c r="N16" s="1851"/>
      <c r="O16" s="1851"/>
      <c r="P16" s="1851"/>
      <c r="Q16" s="2262"/>
      <c r="R16" s="2262"/>
      <c r="S16" s="1851"/>
      <c r="T16" s="2254" t="s">
        <v>55</v>
      </c>
      <c r="U16" s="2254"/>
      <c r="V16" s="2267">
        <f>Y12</f>
        <v>94398.462499999994</v>
      </c>
      <c r="W16" s="2267"/>
      <c r="X16" s="2262"/>
    </row>
    <row r="17" spans="1:25" ht="28.5" customHeight="1" x14ac:dyDescent="0.25">
      <c r="A17" s="101" t="s">
        <v>44</v>
      </c>
      <c r="B17" s="2260"/>
      <c r="C17" s="2261"/>
      <c r="D17" s="1851"/>
      <c r="E17" s="1851"/>
      <c r="F17" s="1851"/>
      <c r="G17" s="1851"/>
      <c r="H17" s="1851"/>
      <c r="I17" s="1851"/>
      <c r="J17" s="1851"/>
      <c r="K17" s="1851"/>
      <c r="L17" s="1851"/>
      <c r="M17" s="1851"/>
      <c r="N17" s="1851"/>
      <c r="O17" s="1851"/>
      <c r="P17" s="1851"/>
      <c r="Q17" s="2225"/>
      <c r="R17" s="2225"/>
      <c r="S17" s="1848"/>
      <c r="T17" s="2294" t="s">
        <v>521</v>
      </c>
      <c r="U17" s="2295"/>
      <c r="V17" s="2296"/>
      <c r="W17" s="2296"/>
      <c r="X17" s="2296"/>
    </row>
    <row r="18" spans="1:25" ht="27" customHeight="1" x14ac:dyDescent="0.25">
      <c r="A18" s="100" t="s">
        <v>40</v>
      </c>
      <c r="B18" s="2264">
        <f>C12</f>
        <v>96965</v>
      </c>
      <c r="C18" s="2261"/>
      <c r="D18" s="1852">
        <f>E12</f>
        <v>0</v>
      </c>
      <c r="E18" s="1852">
        <f>G12</f>
        <v>0</v>
      </c>
      <c r="F18" s="1852">
        <f>I12</f>
        <v>0</v>
      </c>
      <c r="G18" s="1852">
        <f>K12</f>
        <v>0</v>
      </c>
      <c r="H18" s="1851"/>
      <c r="I18" s="1852">
        <f>U12</f>
        <v>0</v>
      </c>
      <c r="J18" s="1851"/>
      <c r="K18" s="1852">
        <f>W12</f>
        <v>1</v>
      </c>
      <c r="L18" s="1851"/>
      <c r="M18" s="1852">
        <f>M12</f>
        <v>0</v>
      </c>
      <c r="N18" s="1852">
        <f>O12</f>
        <v>0</v>
      </c>
      <c r="O18" s="1853">
        <f>Q12</f>
        <v>0</v>
      </c>
      <c r="P18" s="1852"/>
      <c r="Q18" s="2262"/>
      <c r="R18" s="2262"/>
      <c r="S18" s="1846"/>
      <c r="T18" s="2254" t="s">
        <v>57</v>
      </c>
      <c r="U18" s="2254"/>
      <c r="V18" s="2262">
        <v>620</v>
      </c>
      <c r="W18" s="2262"/>
      <c r="X18" s="2262"/>
      <c r="Y18" s="2269"/>
    </row>
    <row r="19" spans="1:25" ht="25.5" customHeight="1" x14ac:dyDescent="0.25">
      <c r="A19" s="100" t="s">
        <v>41</v>
      </c>
      <c r="B19" s="2260">
        <f>B15+B16+B17-B18</f>
        <v>473791</v>
      </c>
      <c r="C19" s="2261"/>
      <c r="D19" s="1851">
        <f>D15+D16+D17-D18</f>
        <v>500</v>
      </c>
      <c r="E19" s="1851">
        <f t="shared" ref="E19:N19" si="13">E15+E16+E17-E18</f>
        <v>1500</v>
      </c>
      <c r="F19" s="1851">
        <f t="shared" si="13"/>
        <v>2000</v>
      </c>
      <c r="G19" s="1851">
        <f t="shared" si="13"/>
        <v>0</v>
      </c>
      <c r="H19" s="1851">
        <f t="shared" si="13"/>
        <v>38</v>
      </c>
      <c r="I19" s="1851">
        <f t="shared" si="13"/>
        <v>70</v>
      </c>
      <c r="J19" s="1851">
        <f t="shared" si="13"/>
        <v>4</v>
      </c>
      <c r="K19" s="1851">
        <f t="shared" si="13"/>
        <v>77</v>
      </c>
      <c r="L19" s="1851">
        <f t="shared" si="13"/>
        <v>0</v>
      </c>
      <c r="M19" s="1851">
        <f t="shared" si="13"/>
        <v>0</v>
      </c>
      <c r="N19" s="1851">
        <f t="shared" si="13"/>
        <v>0</v>
      </c>
      <c r="O19" s="1851">
        <f>O15+O16+O17-O18</f>
        <v>0</v>
      </c>
      <c r="P19" s="1851">
        <f t="shared" ref="P19:Q19" si="14">P15+P16+P17-P18</f>
        <v>100</v>
      </c>
      <c r="Q19" s="2260">
        <f t="shared" si="14"/>
        <v>10</v>
      </c>
      <c r="R19" s="2261"/>
      <c r="S19" s="1846">
        <f>S15+S16-S17-S18</f>
        <v>2</v>
      </c>
      <c r="T19" s="2256" t="s">
        <v>48</v>
      </c>
      <c r="U19" s="49" t="s">
        <v>58</v>
      </c>
      <c r="V19" s="2262"/>
      <c r="W19" s="2262"/>
      <c r="X19" s="2262"/>
      <c r="Y19" s="2269"/>
    </row>
    <row r="20" spans="1:25" ht="23.25" customHeight="1" x14ac:dyDescent="0.25">
      <c r="A20" s="289" t="s">
        <v>187</v>
      </c>
      <c r="B20" s="2286">
        <f>B19*0.9625</f>
        <v>456023.83750000002</v>
      </c>
      <c r="C20" s="2287"/>
      <c r="D20" s="290">
        <f>D19*19.3</f>
        <v>9650</v>
      </c>
      <c r="E20" s="290">
        <f>27.9368*E19</f>
        <v>41905.200000000004</v>
      </c>
      <c r="F20" s="290">
        <f>18.31*F19</f>
        <v>36620</v>
      </c>
      <c r="G20" s="290">
        <f>27.9368*G19</f>
        <v>0</v>
      </c>
      <c r="H20" s="290">
        <f>241*H19</f>
        <v>9158</v>
      </c>
      <c r="I20" s="290">
        <f>323*I19</f>
        <v>22610</v>
      </c>
      <c r="J20" s="290">
        <f>241*J19</f>
        <v>964</v>
      </c>
      <c r="K20" s="290">
        <f>K19*100</f>
        <v>7700</v>
      </c>
      <c r="L20" s="290">
        <f>241*L19</f>
        <v>0</v>
      </c>
      <c r="M20" s="290">
        <f>47.1625*M19</f>
        <v>0</v>
      </c>
      <c r="N20" s="290">
        <f>N19*8.81</f>
        <v>0</v>
      </c>
      <c r="O20" s="290">
        <f>241*O19</f>
        <v>0</v>
      </c>
      <c r="P20" s="290">
        <f>P19*48.2</f>
        <v>4820</v>
      </c>
      <c r="Q20" s="2286">
        <f>470*Q19</f>
        <v>4700</v>
      </c>
      <c r="R20" s="2287"/>
      <c r="S20" s="290">
        <f>341*S19</f>
        <v>682</v>
      </c>
      <c r="T20" s="2257"/>
      <c r="U20" s="49" t="s">
        <v>59</v>
      </c>
      <c r="V20" s="2262"/>
      <c r="W20" s="2262"/>
      <c r="X20" s="2262"/>
      <c r="Y20" s="2269"/>
    </row>
    <row r="21" spans="1:25" ht="32.25" customHeight="1" x14ac:dyDescent="0.25">
      <c r="A21" s="291" t="s">
        <v>186</v>
      </c>
      <c r="B21" s="2293">
        <f>SUM(B20:S20)</f>
        <v>594833.03750000009</v>
      </c>
      <c r="C21" s="2293"/>
      <c r="O21" s="1855"/>
      <c r="P21" s="1855"/>
      <c r="Q21" s="1855"/>
      <c r="R21" s="1855"/>
      <c r="T21" s="2294" t="s">
        <v>518</v>
      </c>
      <c r="U21" s="2295"/>
      <c r="V21" s="2297"/>
      <c r="W21" s="2298"/>
      <c r="X21" s="2299"/>
      <c r="Y21" s="2269"/>
    </row>
    <row r="22" spans="1:25" ht="35.25" customHeight="1" x14ac:dyDescent="0.25">
      <c r="A22" s="15"/>
      <c r="B22" s="2288" t="s">
        <v>49</v>
      </c>
      <c r="C22" s="2291">
        <v>220000</v>
      </c>
      <c r="D22" s="2291"/>
      <c r="E22" s="2291"/>
      <c r="F22" s="2291">
        <f>C22-D22+E22</f>
        <v>220000</v>
      </c>
      <c r="G22" s="1855"/>
      <c r="Q22" s="1855"/>
      <c r="R22" s="1855"/>
      <c r="T22" s="2251" t="s">
        <v>83</v>
      </c>
      <c r="U22" s="50" t="s">
        <v>60</v>
      </c>
      <c r="V22" s="2262"/>
      <c r="W22" s="2262"/>
      <c r="X22" s="2262"/>
      <c r="Y22" s="2269"/>
    </row>
    <row r="23" spans="1:25" ht="39.75" customHeight="1" x14ac:dyDescent="0.25">
      <c r="A23" s="1855"/>
      <c r="B23" s="2289"/>
      <c r="C23" s="2292"/>
      <c r="D23" s="2292"/>
      <c r="E23" s="2292"/>
      <c r="F23" s="2292"/>
      <c r="G23" s="1855"/>
      <c r="Q23" s="1855"/>
      <c r="R23" s="1855"/>
      <c r="T23" s="2252"/>
      <c r="U23" s="50" t="s">
        <v>61</v>
      </c>
      <c r="V23" s="2262"/>
      <c r="W23" s="2262"/>
      <c r="X23" s="2262"/>
      <c r="Y23" s="2269"/>
    </row>
    <row r="24" spans="1:25" ht="48" customHeight="1" x14ac:dyDescent="0.25">
      <c r="A24" s="1855"/>
      <c r="B24" s="2290"/>
      <c r="C24" s="290" t="s">
        <v>46</v>
      </c>
      <c r="D24" s="290" t="s">
        <v>50</v>
      </c>
      <c r="E24" s="290" t="s">
        <v>51</v>
      </c>
      <c r="F24" s="290" t="s">
        <v>52</v>
      </c>
      <c r="G24" s="1855"/>
      <c r="Q24" s="1855"/>
      <c r="R24" s="1855"/>
      <c r="T24" s="2235" t="s">
        <v>47</v>
      </c>
      <c r="U24" s="51" t="s">
        <v>62</v>
      </c>
      <c r="V24" s="2263">
        <f>V14+V16+V17-V18-V19-V20-V22+V23-V21</f>
        <v>125017.46249999999</v>
      </c>
      <c r="W24" s="2263"/>
      <c r="X24" s="2263"/>
      <c r="Y24" s="2269"/>
    </row>
    <row r="25" spans="1:25" ht="40.5" customHeight="1" x14ac:dyDescent="0.25">
      <c r="T25" s="2235"/>
      <c r="U25" s="51" t="s">
        <v>63</v>
      </c>
      <c r="V25" s="2262">
        <f>V15+V22-V23</f>
        <v>10729</v>
      </c>
      <c r="W25" s="2262"/>
      <c r="X25" s="2262"/>
    </row>
    <row r="26" spans="1:25" ht="36" customHeight="1" x14ac:dyDescent="0.25">
      <c r="K26" s="314"/>
    </row>
    <row r="28" spans="1:25" x14ac:dyDescent="0.25">
      <c r="J28" s="14" t="s">
        <v>139</v>
      </c>
    </row>
    <row r="32" spans="1:25" x14ac:dyDescent="0.25">
      <c r="I32" s="2280"/>
      <c r="J32" s="2280"/>
      <c r="K32" s="2280"/>
      <c r="L32" s="2280"/>
    </row>
    <row r="33" spans="9:12" x14ac:dyDescent="0.25">
      <c r="I33" s="1855"/>
      <c r="J33" s="1855"/>
      <c r="K33" s="2280"/>
      <c r="L33" s="2280"/>
    </row>
  </sheetData>
  <mergeCells count="62">
    <mergeCell ref="I32:J32"/>
    <mergeCell ref="K32:L32"/>
    <mergeCell ref="K33:L33"/>
    <mergeCell ref="T22:T23"/>
    <mergeCell ref="V22:X22"/>
    <mergeCell ref="V23:X23"/>
    <mergeCell ref="T24:T25"/>
    <mergeCell ref="V24:X24"/>
    <mergeCell ref="V25:X25"/>
    <mergeCell ref="Y18:Y24"/>
    <mergeCell ref="B19:C19"/>
    <mergeCell ref="Q19:R19"/>
    <mergeCell ref="T19:T20"/>
    <mergeCell ref="V19:X19"/>
    <mergeCell ref="B20:C20"/>
    <mergeCell ref="B22:B24"/>
    <mergeCell ref="C22:C23"/>
    <mergeCell ref="D22:D23"/>
    <mergeCell ref="E22:E23"/>
    <mergeCell ref="F22:F23"/>
    <mergeCell ref="Q20:R20"/>
    <mergeCell ref="V20:X20"/>
    <mergeCell ref="B21:C21"/>
    <mergeCell ref="T21:U21"/>
    <mergeCell ref="V21:X21"/>
    <mergeCell ref="B17:C17"/>
    <mergeCell ref="Q17:R17"/>
    <mergeCell ref="T17:U17"/>
    <mergeCell ref="V17:X17"/>
    <mergeCell ref="B18:C18"/>
    <mergeCell ref="Q18:R18"/>
    <mergeCell ref="T18:U18"/>
    <mergeCell ref="V18:X18"/>
    <mergeCell ref="W4:X4"/>
    <mergeCell ref="B16:C16"/>
    <mergeCell ref="Q16:R16"/>
    <mergeCell ref="T16:U16"/>
    <mergeCell ref="V16:X16"/>
    <mergeCell ref="A12:B12"/>
    <mergeCell ref="B14:C14"/>
    <mergeCell ref="Q14:R14"/>
    <mergeCell ref="T14:T15"/>
    <mergeCell ref="V14:X14"/>
    <mergeCell ref="B15:C15"/>
    <mergeCell ref="Q15:R15"/>
    <mergeCell ref="V15:X15"/>
    <mergeCell ref="A1:Y1"/>
    <mergeCell ref="A2:Y2"/>
    <mergeCell ref="T3:Y3"/>
    <mergeCell ref="A4:A5"/>
    <mergeCell ref="B4:B5"/>
    <mergeCell ref="C4:D4"/>
    <mergeCell ref="E4:F4"/>
    <mergeCell ref="G4:H4"/>
    <mergeCell ref="I4:J4"/>
    <mergeCell ref="K4:L4"/>
    <mergeCell ref="Y4:Y5"/>
    <mergeCell ref="M4:N4"/>
    <mergeCell ref="O4:P4"/>
    <mergeCell ref="Q4:R4"/>
    <mergeCell ref="S4:T4"/>
    <mergeCell ref="U4:V4"/>
  </mergeCells>
  <pageMargins left="0.15748031496063" right="0.15748031496063" top="0" bottom="0" header="0" footer="0"/>
  <pageSetup paperSize="9" scale="46" orientation="landscape" r:id="rId1"/>
</worksheet>
</file>

<file path=xl/worksheets/sheet29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D6E23C2-06BC-44FF-8C32-37C3D1CA2883}">
  <sheetPr>
    <pageSetUpPr fitToPage="1"/>
  </sheetPr>
  <dimension ref="A1:Y33"/>
  <sheetViews>
    <sheetView topLeftCell="A11" zoomScale="70" zoomScaleNormal="70" zoomScaleSheetLayoutView="100" zoomScalePageLayoutView="68" workbookViewId="0">
      <selection activeCell="P22" sqref="P22"/>
    </sheetView>
  </sheetViews>
  <sheetFormatPr defaultColWidth="9.140625" defaultRowHeight="15" x14ac:dyDescent="0.25"/>
  <cols>
    <col min="1" max="1" width="18.28515625" style="14" customWidth="1"/>
    <col min="2" max="2" width="10.7109375" style="14" customWidth="1"/>
    <col min="3" max="3" width="12.28515625" style="14" customWidth="1"/>
    <col min="4" max="4" width="13.140625" style="14" bestFit="1" customWidth="1"/>
    <col min="5" max="5" width="12" style="14" customWidth="1"/>
    <col min="6" max="6" width="14" style="14" bestFit="1" customWidth="1"/>
    <col min="7" max="7" width="16" style="14" bestFit="1" customWidth="1"/>
    <col min="8" max="8" width="10.140625" style="14" bestFit="1" customWidth="1"/>
    <col min="9" max="9" width="10.5703125" style="14" bestFit="1" customWidth="1"/>
    <col min="10" max="10" width="10.5703125" style="14" customWidth="1"/>
    <col min="11" max="11" width="10.28515625" style="14" bestFit="1" customWidth="1"/>
    <col min="12" max="12" width="10.42578125" style="14" bestFit="1" customWidth="1"/>
    <col min="13" max="14" width="12" style="14" bestFit="1" customWidth="1"/>
    <col min="15" max="15" width="11" style="14" customWidth="1"/>
    <col min="16" max="16" width="12.85546875" style="14" bestFit="1" customWidth="1"/>
    <col min="17" max="18" width="9.42578125" style="14" customWidth="1"/>
    <col min="19" max="19" width="13.7109375" style="14" customWidth="1"/>
    <col min="20" max="20" width="12.140625" style="14" customWidth="1"/>
    <col min="21" max="21" width="21.7109375" style="14" customWidth="1"/>
    <col min="22" max="22" width="9.85546875" style="14" customWidth="1"/>
    <col min="23" max="23" width="10.140625" style="14" bestFit="1" customWidth="1"/>
    <col min="24" max="24" width="10.28515625" style="14" customWidth="1"/>
    <col min="25" max="25" width="15.7109375" style="14" customWidth="1"/>
    <col min="26" max="16384" width="9.140625" style="14"/>
  </cols>
  <sheetData>
    <row r="1" spans="1:25" ht="46.15" customHeight="1" x14ac:dyDescent="0.25">
      <c r="A1" s="2240" t="s">
        <v>148</v>
      </c>
      <c r="B1" s="2240"/>
      <c r="C1" s="2240"/>
      <c r="D1" s="2240"/>
      <c r="E1" s="2240"/>
      <c r="F1" s="2240"/>
      <c r="G1" s="2240"/>
      <c r="H1" s="2240"/>
      <c r="I1" s="2240"/>
      <c r="J1" s="2240"/>
      <c r="K1" s="2240"/>
      <c r="L1" s="2240"/>
      <c r="M1" s="2240"/>
      <c r="N1" s="2240"/>
      <c r="O1" s="2240"/>
      <c r="P1" s="2240"/>
      <c r="Q1" s="2240"/>
      <c r="R1" s="2240"/>
      <c r="S1" s="2240"/>
      <c r="T1" s="2240"/>
      <c r="U1" s="2240"/>
      <c r="V1" s="2240"/>
      <c r="W1" s="2240"/>
      <c r="X1" s="2240"/>
      <c r="Y1" s="2240"/>
    </row>
    <row r="2" spans="1:25" ht="21.6" customHeight="1" x14ac:dyDescent="0.25">
      <c r="A2" s="2241" t="s">
        <v>383</v>
      </c>
      <c r="B2" s="2241"/>
      <c r="C2" s="2241"/>
      <c r="D2" s="2241"/>
      <c r="E2" s="2241"/>
      <c r="F2" s="2241"/>
      <c r="G2" s="2241"/>
      <c r="H2" s="2241"/>
      <c r="I2" s="2241"/>
      <c r="J2" s="2241"/>
      <c r="K2" s="2241"/>
      <c r="L2" s="2241"/>
      <c r="M2" s="2241"/>
      <c r="N2" s="2241"/>
      <c r="O2" s="2241"/>
      <c r="P2" s="2241"/>
      <c r="Q2" s="2241"/>
      <c r="R2" s="2241"/>
      <c r="S2" s="2241"/>
      <c r="T2" s="2241"/>
      <c r="U2" s="2241"/>
      <c r="V2" s="2241"/>
      <c r="W2" s="2241"/>
      <c r="X2" s="2241"/>
      <c r="Y2" s="2241"/>
    </row>
    <row r="3" spans="1:25" ht="21" customHeight="1" x14ac:dyDescent="0.25">
      <c r="A3" s="1845"/>
      <c r="B3" s="1845"/>
      <c r="C3" s="1845"/>
      <c r="D3" s="1845"/>
      <c r="E3" s="1845"/>
      <c r="F3" s="1845"/>
      <c r="G3" s="1845"/>
      <c r="H3" s="1845"/>
      <c r="I3" s="1845"/>
      <c r="J3" s="1845"/>
      <c r="K3" s="1845"/>
      <c r="L3" s="1845"/>
      <c r="M3" s="1845"/>
      <c r="N3" s="1845"/>
      <c r="O3" s="1845"/>
      <c r="P3" s="1845"/>
      <c r="Q3" s="1845"/>
      <c r="R3" s="1845"/>
      <c r="S3" s="1845"/>
      <c r="T3" s="2242" t="s">
        <v>546</v>
      </c>
      <c r="U3" s="2242"/>
      <c r="V3" s="2242"/>
      <c r="W3" s="2242"/>
      <c r="X3" s="2242"/>
      <c r="Y3" s="2242"/>
    </row>
    <row r="4" spans="1:25" s="1845" customFormat="1" ht="18" customHeight="1" x14ac:dyDescent="0.25">
      <c r="A4" s="2243" t="s">
        <v>25</v>
      </c>
      <c r="B4" s="2243" t="s">
        <v>26</v>
      </c>
      <c r="C4" s="2244" t="s">
        <v>27</v>
      </c>
      <c r="D4" s="2244"/>
      <c r="E4" s="2244" t="s">
        <v>544</v>
      </c>
      <c r="F4" s="2244"/>
      <c r="G4" s="2244" t="s">
        <v>65</v>
      </c>
      <c r="H4" s="2244"/>
      <c r="I4" s="2244" t="s">
        <v>29</v>
      </c>
      <c r="J4" s="2244"/>
      <c r="K4" s="2245" t="s">
        <v>14</v>
      </c>
      <c r="L4" s="2246"/>
      <c r="M4" s="2245" t="s">
        <v>429</v>
      </c>
      <c r="N4" s="2246"/>
      <c r="O4" s="2245" t="s">
        <v>441</v>
      </c>
      <c r="P4" s="2246"/>
      <c r="Q4" s="2245" t="s">
        <v>114</v>
      </c>
      <c r="R4" s="2246"/>
      <c r="S4" s="2244" t="s">
        <v>35</v>
      </c>
      <c r="T4" s="2244"/>
      <c r="U4" s="2245" t="s">
        <v>17</v>
      </c>
      <c r="V4" s="2246"/>
      <c r="W4" s="2247" t="s">
        <v>36</v>
      </c>
      <c r="X4" s="2248"/>
      <c r="Y4" s="2238" t="s">
        <v>30</v>
      </c>
    </row>
    <row r="5" spans="1:25" s="1845" customFormat="1" ht="25.5" customHeight="1" x14ac:dyDescent="0.25">
      <c r="A5" s="2243"/>
      <c r="B5" s="2243"/>
      <c r="C5" s="1847" t="s">
        <v>42</v>
      </c>
      <c r="D5" s="1847" t="s">
        <v>43</v>
      </c>
      <c r="E5" s="1847" t="s">
        <v>42</v>
      </c>
      <c r="F5" s="1847" t="s">
        <v>43</v>
      </c>
      <c r="G5" s="1847" t="s">
        <v>42</v>
      </c>
      <c r="H5" s="1847" t="s">
        <v>43</v>
      </c>
      <c r="I5" s="1847" t="s">
        <v>42</v>
      </c>
      <c r="J5" s="1847" t="s">
        <v>43</v>
      </c>
      <c r="K5" s="1847" t="s">
        <v>42</v>
      </c>
      <c r="L5" s="1847" t="s">
        <v>43</v>
      </c>
      <c r="M5" s="1847" t="s">
        <v>42</v>
      </c>
      <c r="N5" s="1847" t="s">
        <v>43</v>
      </c>
      <c r="O5" s="1847" t="s">
        <v>42</v>
      </c>
      <c r="P5" s="1847" t="s">
        <v>43</v>
      </c>
      <c r="Q5" s="1847" t="s">
        <v>42</v>
      </c>
      <c r="R5" s="1847" t="s">
        <v>43</v>
      </c>
      <c r="S5" s="33" t="s">
        <v>42</v>
      </c>
      <c r="T5" s="33" t="s">
        <v>43</v>
      </c>
      <c r="U5" s="30" t="s">
        <v>42</v>
      </c>
      <c r="V5" s="30" t="s">
        <v>43</v>
      </c>
      <c r="W5" s="30" t="s">
        <v>42</v>
      </c>
      <c r="X5" s="30" t="s">
        <v>43</v>
      </c>
      <c r="Y5" s="2239"/>
    </row>
    <row r="6" spans="1:25" ht="34.5" customHeight="1" x14ac:dyDescent="0.25">
      <c r="A6" s="12">
        <v>1409935200</v>
      </c>
      <c r="B6" s="1846" t="s">
        <v>71</v>
      </c>
      <c r="C6" s="1849">
        <v>25944</v>
      </c>
      <c r="D6" s="1850">
        <f t="shared" ref="D6:D11" si="0">0.9725*C6</f>
        <v>25230.54</v>
      </c>
      <c r="E6" s="1849"/>
      <c r="F6" s="1850">
        <f>67.1*E6</f>
        <v>0</v>
      </c>
      <c r="G6" s="1849">
        <v>200</v>
      </c>
      <c r="H6" s="1849">
        <f>28.2*G6</f>
        <v>5640</v>
      </c>
      <c r="I6" s="1849">
        <v>370</v>
      </c>
      <c r="J6" s="1849">
        <f>18.5*I6</f>
        <v>6845</v>
      </c>
      <c r="K6" s="1849"/>
      <c r="L6" s="1850">
        <f>28.2368*K6</f>
        <v>0</v>
      </c>
      <c r="M6" s="1849"/>
      <c r="N6" s="1850">
        <f>M6*47.6525</f>
        <v>0</v>
      </c>
      <c r="O6" s="1849"/>
      <c r="P6" s="1850">
        <f>O6*8.9</f>
        <v>0</v>
      </c>
      <c r="Q6" s="1850"/>
      <c r="R6" s="1850">
        <f>241*Q6</f>
        <v>0</v>
      </c>
      <c r="S6" s="1849"/>
      <c r="T6" s="1849">
        <f>241*S6</f>
        <v>0</v>
      </c>
      <c r="U6" s="1849"/>
      <c r="V6" s="1849">
        <f>332*U6</f>
        <v>0</v>
      </c>
      <c r="W6" s="1849"/>
      <c r="X6" s="19">
        <f>W6*100</f>
        <v>0</v>
      </c>
      <c r="Y6" s="20">
        <f t="shared" ref="Y6:Y12" si="1">D6+F6+H6+J6+L6+N6+P6+R6+T6+V6+X6</f>
        <v>37715.54</v>
      </c>
    </row>
    <row r="7" spans="1:25" ht="31.5" customHeight="1" x14ac:dyDescent="0.25">
      <c r="A7" s="12">
        <v>1984225578</v>
      </c>
      <c r="B7" s="1846" t="s">
        <v>509</v>
      </c>
      <c r="C7" s="1849">
        <v>24558</v>
      </c>
      <c r="D7" s="1850">
        <f t="shared" si="0"/>
        <v>23882.655000000002</v>
      </c>
      <c r="E7" s="1849"/>
      <c r="F7" s="1849">
        <f t="shared" ref="F7:F11" si="2">67.1*E7</f>
        <v>0</v>
      </c>
      <c r="G7" s="1849">
        <v>400</v>
      </c>
      <c r="H7" s="1849">
        <f t="shared" ref="H7:H11" si="3">28.2*G7</f>
        <v>11280</v>
      </c>
      <c r="I7" s="1849">
        <v>120</v>
      </c>
      <c r="J7" s="1849">
        <f t="shared" ref="J7:J11" si="4">18.5*I7</f>
        <v>2220</v>
      </c>
      <c r="K7" s="1849"/>
      <c r="L7" s="1850">
        <f t="shared" ref="L7:L11" si="5">28.2368*K7</f>
        <v>0</v>
      </c>
      <c r="M7" s="1849"/>
      <c r="N7" s="1850">
        <f t="shared" ref="N7:N11" si="6">M7*47.6525</f>
        <v>0</v>
      </c>
      <c r="O7" s="1849"/>
      <c r="P7" s="1850">
        <f t="shared" ref="P7:P11" si="7">O7*8.9</f>
        <v>0</v>
      </c>
      <c r="Q7" s="1850"/>
      <c r="R7" s="1850">
        <f t="shared" ref="R7:R11" si="8">241*Q7</f>
        <v>0</v>
      </c>
      <c r="S7" s="1849"/>
      <c r="T7" s="1849">
        <f t="shared" ref="T7:T10" si="9">241*S7</f>
        <v>0</v>
      </c>
      <c r="U7" s="1849"/>
      <c r="V7" s="1849">
        <f t="shared" ref="V7:V11" si="10">332*U7</f>
        <v>0</v>
      </c>
      <c r="W7" s="1849"/>
      <c r="X7" s="19">
        <f t="shared" ref="X7:X11" si="11">W7*100</f>
        <v>0</v>
      </c>
      <c r="Y7" s="20">
        <f t="shared" si="1"/>
        <v>37382.654999999999</v>
      </c>
    </row>
    <row r="8" spans="1:25" ht="35.25" customHeight="1" x14ac:dyDescent="0.25">
      <c r="A8" s="12">
        <v>1967020280</v>
      </c>
      <c r="B8" s="1846" t="s">
        <v>427</v>
      </c>
      <c r="C8" s="1849">
        <v>25447</v>
      </c>
      <c r="D8" s="1850">
        <f t="shared" si="0"/>
        <v>24747.2075</v>
      </c>
      <c r="E8" s="1849"/>
      <c r="F8" s="1849">
        <f t="shared" si="2"/>
        <v>0</v>
      </c>
      <c r="G8" s="1849">
        <v>400</v>
      </c>
      <c r="H8" s="1850">
        <f t="shared" si="3"/>
        <v>11280</v>
      </c>
      <c r="I8" s="1849">
        <v>340</v>
      </c>
      <c r="J8" s="1849">
        <f t="shared" si="4"/>
        <v>6290</v>
      </c>
      <c r="K8" s="1849"/>
      <c r="L8" s="1850">
        <f t="shared" si="5"/>
        <v>0</v>
      </c>
      <c r="M8" s="1849"/>
      <c r="N8" s="1850">
        <f t="shared" si="6"/>
        <v>0</v>
      </c>
      <c r="O8" s="1849"/>
      <c r="P8" s="1850">
        <f t="shared" si="7"/>
        <v>0</v>
      </c>
      <c r="Q8" s="1850"/>
      <c r="R8" s="1850">
        <f t="shared" si="8"/>
        <v>0</v>
      </c>
      <c r="S8" s="1849"/>
      <c r="T8" s="1849">
        <f t="shared" si="9"/>
        <v>0</v>
      </c>
      <c r="U8" s="1849"/>
      <c r="V8" s="1849">
        <f t="shared" si="10"/>
        <v>0</v>
      </c>
      <c r="W8" s="1849"/>
      <c r="X8" s="19">
        <f t="shared" si="11"/>
        <v>0</v>
      </c>
      <c r="Y8" s="20">
        <f t="shared" si="1"/>
        <v>42317.207500000004</v>
      </c>
    </row>
    <row r="9" spans="1:25" ht="38.25" customHeight="1" x14ac:dyDescent="0.25">
      <c r="A9" s="12">
        <v>1984225580</v>
      </c>
      <c r="B9" s="1846" t="s">
        <v>75</v>
      </c>
      <c r="C9" s="1849">
        <v>34636</v>
      </c>
      <c r="D9" s="1850">
        <f t="shared" si="0"/>
        <v>33683.51</v>
      </c>
      <c r="E9" s="1849"/>
      <c r="F9" s="1849">
        <f t="shared" si="2"/>
        <v>0</v>
      </c>
      <c r="G9" s="1849"/>
      <c r="H9" s="1849">
        <f t="shared" si="3"/>
        <v>0</v>
      </c>
      <c r="I9" s="1849"/>
      <c r="J9" s="1849">
        <f t="shared" si="4"/>
        <v>0</v>
      </c>
      <c r="K9" s="1849"/>
      <c r="L9" s="1850">
        <f t="shared" si="5"/>
        <v>0</v>
      </c>
      <c r="M9" s="1849"/>
      <c r="N9" s="1850">
        <f t="shared" si="6"/>
        <v>0</v>
      </c>
      <c r="O9" s="1849"/>
      <c r="P9" s="1850">
        <f t="shared" si="7"/>
        <v>0</v>
      </c>
      <c r="Q9" s="1850"/>
      <c r="R9" s="1850">
        <f t="shared" si="8"/>
        <v>0</v>
      </c>
      <c r="S9" s="1849"/>
      <c r="T9" s="1849">
        <f t="shared" si="9"/>
        <v>0</v>
      </c>
      <c r="U9" s="1849"/>
      <c r="V9" s="1849">
        <f t="shared" si="10"/>
        <v>0</v>
      </c>
      <c r="W9" s="1849"/>
      <c r="X9" s="19">
        <f t="shared" si="11"/>
        <v>0</v>
      </c>
      <c r="Y9" s="20">
        <f t="shared" si="1"/>
        <v>33683.51</v>
      </c>
    </row>
    <row r="10" spans="1:25" ht="35.25" customHeight="1" x14ac:dyDescent="0.25">
      <c r="A10" s="12">
        <v>1409935199</v>
      </c>
      <c r="C10" s="1849"/>
      <c r="D10" s="1850">
        <f t="shared" si="0"/>
        <v>0</v>
      </c>
      <c r="E10" s="1849"/>
      <c r="F10" s="1849">
        <f t="shared" si="2"/>
        <v>0</v>
      </c>
      <c r="G10" s="1849"/>
      <c r="H10" s="1849">
        <f t="shared" si="3"/>
        <v>0</v>
      </c>
      <c r="I10" s="1849"/>
      <c r="J10" s="1849">
        <f t="shared" si="4"/>
        <v>0</v>
      </c>
      <c r="K10" s="1849"/>
      <c r="L10" s="1850">
        <f t="shared" si="5"/>
        <v>0</v>
      </c>
      <c r="M10" s="1849"/>
      <c r="N10" s="1850">
        <f t="shared" si="6"/>
        <v>0</v>
      </c>
      <c r="O10" s="1849"/>
      <c r="P10" s="1850">
        <f t="shared" si="7"/>
        <v>0</v>
      </c>
      <c r="Q10" s="1850"/>
      <c r="R10" s="1850">
        <f t="shared" si="8"/>
        <v>0</v>
      </c>
      <c r="S10" s="1849"/>
      <c r="T10" s="1849">
        <f t="shared" si="9"/>
        <v>0</v>
      </c>
      <c r="U10" s="1849"/>
      <c r="V10" s="1849">
        <f t="shared" si="10"/>
        <v>0</v>
      </c>
      <c r="W10" s="1849"/>
      <c r="X10" s="19">
        <f t="shared" si="11"/>
        <v>0</v>
      </c>
      <c r="Y10" s="20">
        <f t="shared" si="1"/>
        <v>0</v>
      </c>
    </row>
    <row r="11" spans="1:25" ht="37.5" customHeight="1" x14ac:dyDescent="0.25">
      <c r="A11" s="12"/>
      <c r="B11" s="1848"/>
      <c r="C11" s="1849"/>
      <c r="D11" s="1850">
        <f t="shared" si="0"/>
        <v>0</v>
      </c>
      <c r="E11" s="1849"/>
      <c r="F11" s="1849">
        <f t="shared" si="2"/>
        <v>0</v>
      </c>
      <c r="G11" s="1849"/>
      <c r="H11" s="1849">
        <f t="shared" si="3"/>
        <v>0</v>
      </c>
      <c r="I11" s="1849"/>
      <c r="J11" s="1849">
        <f t="shared" si="4"/>
        <v>0</v>
      </c>
      <c r="K11" s="1849"/>
      <c r="L11" s="1850">
        <f t="shared" si="5"/>
        <v>0</v>
      </c>
      <c r="M11" s="1849"/>
      <c r="N11" s="1850">
        <f t="shared" si="6"/>
        <v>0</v>
      </c>
      <c r="O11" s="1849"/>
      <c r="P11" s="1850">
        <f t="shared" si="7"/>
        <v>0</v>
      </c>
      <c r="Q11" s="1850"/>
      <c r="R11" s="1850">
        <f t="shared" si="8"/>
        <v>0</v>
      </c>
      <c r="S11" s="1849"/>
      <c r="T11" s="1849">
        <f>341*S11</f>
        <v>0</v>
      </c>
      <c r="U11" s="1849"/>
      <c r="V11" s="1849">
        <f t="shared" si="10"/>
        <v>0</v>
      </c>
      <c r="W11" s="1849"/>
      <c r="X11" s="19">
        <f t="shared" si="11"/>
        <v>0</v>
      </c>
      <c r="Y11" s="20">
        <f t="shared" si="1"/>
        <v>0</v>
      </c>
    </row>
    <row r="12" spans="1:25" ht="29.25" customHeight="1" x14ac:dyDescent="0.25">
      <c r="A12" s="2235" t="s">
        <v>31</v>
      </c>
      <c r="B12" s="2235"/>
      <c r="C12" s="18">
        <f t="shared" ref="C12:X12" si="12">SUM(C6:C11)</f>
        <v>110585</v>
      </c>
      <c r="D12" s="18">
        <f t="shared" si="12"/>
        <v>107543.91250000001</v>
      </c>
      <c r="E12" s="18">
        <f t="shared" si="12"/>
        <v>0</v>
      </c>
      <c r="F12" s="18">
        <f t="shared" si="12"/>
        <v>0</v>
      </c>
      <c r="G12" s="18">
        <f t="shared" si="12"/>
        <v>1000</v>
      </c>
      <c r="H12" s="18">
        <f t="shared" si="12"/>
        <v>28200</v>
      </c>
      <c r="I12" s="18">
        <f t="shared" si="12"/>
        <v>830</v>
      </c>
      <c r="J12" s="18">
        <f t="shared" si="12"/>
        <v>15355</v>
      </c>
      <c r="K12" s="18">
        <f t="shared" si="12"/>
        <v>0</v>
      </c>
      <c r="L12" s="18">
        <f t="shared" si="12"/>
        <v>0</v>
      </c>
      <c r="M12" s="18">
        <f t="shared" si="12"/>
        <v>0</v>
      </c>
      <c r="N12" s="23">
        <f t="shared" si="12"/>
        <v>0</v>
      </c>
      <c r="O12" s="18">
        <f t="shared" si="12"/>
        <v>0</v>
      </c>
      <c r="P12" s="23">
        <f t="shared" si="12"/>
        <v>0</v>
      </c>
      <c r="Q12" s="23">
        <f t="shared" si="12"/>
        <v>0</v>
      </c>
      <c r="R12" s="23">
        <f>SUM(R6:R11)</f>
        <v>0</v>
      </c>
      <c r="S12" s="23">
        <f>SUM(S6:S11)</f>
        <v>0</v>
      </c>
      <c r="T12" s="18">
        <f t="shared" si="12"/>
        <v>0</v>
      </c>
      <c r="U12" s="18">
        <f t="shared" si="12"/>
        <v>0</v>
      </c>
      <c r="V12" s="18">
        <f t="shared" si="12"/>
        <v>0</v>
      </c>
      <c r="W12" s="18">
        <f t="shared" si="12"/>
        <v>0</v>
      </c>
      <c r="X12" s="18">
        <f t="shared" si="12"/>
        <v>0</v>
      </c>
      <c r="Y12" s="20">
        <f t="shared" si="1"/>
        <v>151098.91250000001</v>
      </c>
    </row>
    <row r="14" spans="1:25" ht="43.5" customHeight="1" x14ac:dyDescent="0.25">
      <c r="A14" s="30" t="s">
        <v>32</v>
      </c>
      <c r="B14" s="2236" t="s">
        <v>27</v>
      </c>
      <c r="C14" s="2236"/>
      <c r="D14" s="30" t="s">
        <v>543</v>
      </c>
      <c r="E14" s="30" t="s">
        <v>65</v>
      </c>
      <c r="F14" s="30" t="s">
        <v>34</v>
      </c>
      <c r="G14" s="30" t="s">
        <v>14</v>
      </c>
      <c r="H14" s="469" t="s">
        <v>173</v>
      </c>
      <c r="I14" s="30" t="s">
        <v>17</v>
      </c>
      <c r="J14" s="1854" t="s">
        <v>174</v>
      </c>
      <c r="K14" s="30" t="s">
        <v>36</v>
      </c>
      <c r="L14" s="1854" t="s">
        <v>403</v>
      </c>
      <c r="M14" s="30" t="s">
        <v>429</v>
      </c>
      <c r="N14" s="30" t="s">
        <v>442</v>
      </c>
      <c r="O14" s="1854" t="s">
        <v>114</v>
      </c>
      <c r="P14" s="30" t="s">
        <v>70</v>
      </c>
      <c r="Q14" s="2300" t="s">
        <v>479</v>
      </c>
      <c r="R14" s="2301"/>
      <c r="S14" s="1854" t="s">
        <v>401</v>
      </c>
      <c r="T14" s="2235" t="s">
        <v>46</v>
      </c>
      <c r="U14" s="1846" t="s">
        <v>176</v>
      </c>
      <c r="V14" s="2260">
        <v>125017</v>
      </c>
      <c r="W14" s="2268"/>
      <c r="X14" s="2261"/>
    </row>
    <row r="15" spans="1:25" ht="22.5" customHeight="1" x14ac:dyDescent="0.25">
      <c r="A15" s="100" t="s">
        <v>38</v>
      </c>
      <c r="B15" s="2260">
        <v>473791</v>
      </c>
      <c r="C15" s="2261"/>
      <c r="D15" s="1851">
        <v>500</v>
      </c>
      <c r="E15" s="1851">
        <v>1500</v>
      </c>
      <c r="F15" s="1851">
        <v>2000</v>
      </c>
      <c r="G15" s="1851">
        <v>0</v>
      </c>
      <c r="H15" s="1851">
        <v>38</v>
      </c>
      <c r="I15" s="1851">
        <v>70</v>
      </c>
      <c r="J15" s="1851">
        <v>4</v>
      </c>
      <c r="K15" s="1851">
        <v>77</v>
      </c>
      <c r="L15" s="1851">
        <v>0</v>
      </c>
      <c r="M15" s="1851">
        <v>0</v>
      </c>
      <c r="N15" s="1851">
        <v>0</v>
      </c>
      <c r="O15" s="1851">
        <v>0</v>
      </c>
      <c r="P15" s="1851">
        <v>100</v>
      </c>
      <c r="Q15" s="2260">
        <v>10</v>
      </c>
      <c r="R15" s="2261"/>
      <c r="S15" s="1846">
        <v>2</v>
      </c>
      <c r="T15" s="2235"/>
      <c r="U15" s="1846" t="s">
        <v>64</v>
      </c>
      <c r="V15" s="2262">
        <v>10729</v>
      </c>
      <c r="W15" s="2262"/>
      <c r="X15" s="2262"/>
    </row>
    <row r="16" spans="1:25" ht="24.75" customHeight="1" x14ac:dyDescent="0.25">
      <c r="A16" s="100" t="s">
        <v>39</v>
      </c>
      <c r="B16" s="2260">
        <v>103896</v>
      </c>
      <c r="C16" s="2261"/>
      <c r="D16" s="1851"/>
      <c r="E16" s="1851"/>
      <c r="F16" s="1851"/>
      <c r="G16" s="1851"/>
      <c r="H16" s="1851"/>
      <c r="I16" s="1851"/>
      <c r="J16" s="1851"/>
      <c r="K16" s="1851"/>
      <c r="L16" s="1851"/>
      <c r="M16" s="1851"/>
      <c r="N16" s="1851"/>
      <c r="O16" s="1851"/>
      <c r="P16" s="1851"/>
      <c r="Q16" s="2262"/>
      <c r="R16" s="2262"/>
      <c r="S16" s="1851"/>
      <c r="T16" s="2254" t="s">
        <v>55</v>
      </c>
      <c r="U16" s="2254"/>
      <c r="V16" s="2267">
        <f>Y12</f>
        <v>151098.91250000001</v>
      </c>
      <c r="W16" s="2267"/>
      <c r="X16" s="2262"/>
    </row>
    <row r="17" spans="1:25" ht="28.5" customHeight="1" x14ac:dyDescent="0.25">
      <c r="A17" s="101" t="s">
        <v>44</v>
      </c>
      <c r="B17" s="2260"/>
      <c r="C17" s="2261"/>
      <c r="D17" s="1851"/>
      <c r="E17" s="1851"/>
      <c r="F17" s="1851"/>
      <c r="G17" s="1851"/>
      <c r="H17" s="1851"/>
      <c r="I17" s="1851"/>
      <c r="J17" s="1851"/>
      <c r="K17" s="1851"/>
      <c r="L17" s="1851"/>
      <c r="M17" s="1851"/>
      <c r="N17" s="1851"/>
      <c r="O17" s="1851"/>
      <c r="P17" s="1851"/>
      <c r="Q17" s="2225"/>
      <c r="R17" s="2225"/>
      <c r="S17" s="1848"/>
      <c r="T17" s="2294" t="s">
        <v>521</v>
      </c>
      <c r="U17" s="2295"/>
      <c r="V17" s="2296"/>
      <c r="W17" s="2296"/>
      <c r="X17" s="2296"/>
    </row>
    <row r="18" spans="1:25" ht="27" customHeight="1" x14ac:dyDescent="0.25">
      <c r="A18" s="100" t="s">
        <v>40</v>
      </c>
      <c r="B18" s="2264">
        <f>C12</f>
        <v>110585</v>
      </c>
      <c r="C18" s="2261"/>
      <c r="D18" s="1852">
        <f>E12</f>
        <v>0</v>
      </c>
      <c r="E18" s="1852">
        <f>G12</f>
        <v>1000</v>
      </c>
      <c r="F18" s="1852">
        <f>I12</f>
        <v>830</v>
      </c>
      <c r="G18" s="1852">
        <f>K12</f>
        <v>0</v>
      </c>
      <c r="H18" s="1851"/>
      <c r="I18" s="1852">
        <f>U12</f>
        <v>0</v>
      </c>
      <c r="J18" s="1851"/>
      <c r="K18" s="1852">
        <f>W12</f>
        <v>0</v>
      </c>
      <c r="L18" s="1851"/>
      <c r="M18" s="1852">
        <f>M12</f>
        <v>0</v>
      </c>
      <c r="N18" s="1852">
        <f>O12</f>
        <v>0</v>
      </c>
      <c r="O18" s="1853">
        <f>Q12</f>
        <v>0</v>
      </c>
      <c r="P18" s="1852"/>
      <c r="Q18" s="2262"/>
      <c r="R18" s="2262"/>
      <c r="S18" s="1846"/>
      <c r="T18" s="2254" t="s">
        <v>57</v>
      </c>
      <c r="U18" s="2254"/>
      <c r="V18" s="2262">
        <v>520</v>
      </c>
      <c r="W18" s="2262"/>
      <c r="X18" s="2262"/>
      <c r="Y18" s="2269"/>
    </row>
    <row r="19" spans="1:25" ht="25.5" customHeight="1" x14ac:dyDescent="0.25">
      <c r="A19" s="100" t="s">
        <v>41</v>
      </c>
      <c r="B19" s="2260">
        <f>B15+B16+B17-B18</f>
        <v>467102</v>
      </c>
      <c r="C19" s="2261"/>
      <c r="D19" s="1851">
        <f>D15+D16+D17-D18</f>
        <v>500</v>
      </c>
      <c r="E19" s="1851">
        <f t="shared" ref="E19:N19" si="13">E15+E16+E17-E18</f>
        <v>500</v>
      </c>
      <c r="F19" s="1851">
        <f t="shared" si="13"/>
        <v>1170</v>
      </c>
      <c r="G19" s="1851">
        <f t="shared" si="13"/>
        <v>0</v>
      </c>
      <c r="H19" s="1851">
        <f t="shared" si="13"/>
        <v>38</v>
      </c>
      <c r="I19" s="1851">
        <f t="shared" si="13"/>
        <v>70</v>
      </c>
      <c r="J19" s="1851">
        <f t="shared" si="13"/>
        <v>4</v>
      </c>
      <c r="K19" s="1851">
        <f t="shared" si="13"/>
        <v>77</v>
      </c>
      <c r="L19" s="1851">
        <f t="shared" si="13"/>
        <v>0</v>
      </c>
      <c r="M19" s="1851">
        <f t="shared" si="13"/>
        <v>0</v>
      </c>
      <c r="N19" s="1851">
        <f t="shared" si="13"/>
        <v>0</v>
      </c>
      <c r="O19" s="1851">
        <f>O15+O16+O17-O18</f>
        <v>0</v>
      </c>
      <c r="P19" s="1851">
        <f t="shared" ref="P19:Q19" si="14">P15+P16+P17-P18</f>
        <v>100</v>
      </c>
      <c r="Q19" s="2260">
        <f t="shared" si="14"/>
        <v>10</v>
      </c>
      <c r="R19" s="2261"/>
      <c r="S19" s="1846">
        <f>S15+S16-S17-S18</f>
        <v>2</v>
      </c>
      <c r="T19" s="2256" t="s">
        <v>48</v>
      </c>
      <c r="U19" s="49" t="s">
        <v>58</v>
      </c>
      <c r="V19" s="2262">
        <v>220000</v>
      </c>
      <c r="W19" s="2262"/>
      <c r="X19" s="2262"/>
      <c r="Y19" s="2269"/>
    </row>
    <row r="20" spans="1:25" ht="23.25" customHeight="1" x14ac:dyDescent="0.25">
      <c r="A20" s="289" t="s">
        <v>187</v>
      </c>
      <c r="B20" s="2286">
        <f>B19*0.9625</f>
        <v>449585.67499999999</v>
      </c>
      <c r="C20" s="2287"/>
      <c r="D20" s="290">
        <f>D19*19.3</f>
        <v>9650</v>
      </c>
      <c r="E20" s="290">
        <f>27.9368*E19</f>
        <v>13968.400000000001</v>
      </c>
      <c r="F20" s="290">
        <f>18.31*F19</f>
        <v>21422.699999999997</v>
      </c>
      <c r="G20" s="290">
        <f>27.9368*G19</f>
        <v>0</v>
      </c>
      <c r="H20" s="290">
        <f>241*H19</f>
        <v>9158</v>
      </c>
      <c r="I20" s="290">
        <f>323*I19</f>
        <v>22610</v>
      </c>
      <c r="J20" s="290">
        <f>241*J19</f>
        <v>964</v>
      </c>
      <c r="K20" s="290">
        <f>K19*100</f>
        <v>7700</v>
      </c>
      <c r="L20" s="290">
        <f>241*L19</f>
        <v>0</v>
      </c>
      <c r="M20" s="290">
        <f>47.1625*M19</f>
        <v>0</v>
      </c>
      <c r="N20" s="290">
        <f>N19*8.81</f>
        <v>0</v>
      </c>
      <c r="O20" s="290">
        <f>241*O19</f>
        <v>0</v>
      </c>
      <c r="P20" s="290">
        <f>P19*48.2</f>
        <v>4820</v>
      </c>
      <c r="Q20" s="2286">
        <f>470*Q19</f>
        <v>4700</v>
      </c>
      <c r="R20" s="2287"/>
      <c r="S20" s="290">
        <f>341*S19</f>
        <v>682</v>
      </c>
      <c r="T20" s="2257"/>
      <c r="U20" s="49" t="s">
        <v>59</v>
      </c>
      <c r="V20" s="2262"/>
      <c r="W20" s="2262"/>
      <c r="X20" s="2262"/>
      <c r="Y20" s="2269"/>
    </row>
    <row r="21" spans="1:25" ht="32.25" customHeight="1" x14ac:dyDescent="0.25">
      <c r="A21" s="291" t="s">
        <v>186</v>
      </c>
      <c r="B21" s="2293">
        <f>SUM(B20:S20)</f>
        <v>545260.77500000002</v>
      </c>
      <c r="C21" s="2293"/>
      <c r="O21" s="1855"/>
      <c r="P21" s="1855"/>
      <c r="Q21" s="1855"/>
      <c r="R21" s="1855"/>
      <c r="T21" s="2294" t="s">
        <v>518</v>
      </c>
      <c r="U21" s="2295"/>
      <c r="V21" s="2297"/>
      <c r="W21" s="2298"/>
      <c r="X21" s="2299"/>
      <c r="Y21" s="2269"/>
    </row>
    <row r="22" spans="1:25" ht="35.25" customHeight="1" x14ac:dyDescent="0.25">
      <c r="A22" s="15"/>
      <c r="B22" s="2288" t="s">
        <v>49</v>
      </c>
      <c r="C22" s="2291">
        <v>220000</v>
      </c>
      <c r="D22" s="2291">
        <v>220000</v>
      </c>
      <c r="E22" s="2291">
        <v>100000</v>
      </c>
      <c r="F22" s="2291">
        <f>C22-D22+E22</f>
        <v>100000</v>
      </c>
      <c r="G22" s="1855"/>
      <c r="Q22" s="1855"/>
      <c r="R22" s="1855"/>
      <c r="T22" s="2251" t="s">
        <v>83</v>
      </c>
      <c r="U22" s="50" t="s">
        <v>60</v>
      </c>
      <c r="V22" s="2262">
        <v>239740</v>
      </c>
      <c r="W22" s="2262"/>
      <c r="X22" s="2262"/>
      <c r="Y22" s="2269"/>
    </row>
    <row r="23" spans="1:25" ht="39.75" customHeight="1" x14ac:dyDescent="0.25">
      <c r="A23" s="1855"/>
      <c r="B23" s="2289"/>
      <c r="C23" s="2292"/>
      <c r="D23" s="2292"/>
      <c r="E23" s="2292"/>
      <c r="F23" s="2292"/>
      <c r="G23" s="1855"/>
      <c r="Q23" s="1855"/>
      <c r="R23" s="1855"/>
      <c r="T23" s="2252"/>
      <c r="U23" s="50" t="s">
        <v>61</v>
      </c>
      <c r="V23" s="2262">
        <v>220000</v>
      </c>
      <c r="W23" s="2262"/>
      <c r="X23" s="2262"/>
      <c r="Y23" s="2269"/>
    </row>
    <row r="24" spans="1:25" ht="48" customHeight="1" x14ac:dyDescent="0.25">
      <c r="A24" s="1855"/>
      <c r="B24" s="2290"/>
      <c r="C24" s="290" t="s">
        <v>46</v>
      </c>
      <c r="D24" s="290" t="s">
        <v>50</v>
      </c>
      <c r="E24" s="290" t="s">
        <v>51</v>
      </c>
      <c r="F24" s="290" t="s">
        <v>52</v>
      </c>
      <c r="G24" s="1855"/>
      <c r="Q24" s="1855"/>
      <c r="R24" s="1855"/>
      <c r="T24" s="2235" t="s">
        <v>47</v>
      </c>
      <c r="U24" s="51" t="s">
        <v>62</v>
      </c>
      <c r="V24" s="2263">
        <f>V14+V16+V17-V18-V19-V20-V22+V23-V21</f>
        <v>35855.912499999977</v>
      </c>
      <c r="W24" s="2263"/>
      <c r="X24" s="2263"/>
      <c r="Y24" s="2269"/>
    </row>
    <row r="25" spans="1:25" ht="40.5" customHeight="1" x14ac:dyDescent="0.25">
      <c r="T25" s="2235"/>
      <c r="U25" s="51" t="s">
        <v>63</v>
      </c>
      <c r="V25" s="2262">
        <f>V15+V22-V23</f>
        <v>30469</v>
      </c>
      <c r="W25" s="2262"/>
      <c r="X25" s="2262"/>
    </row>
    <row r="26" spans="1:25" ht="36" customHeight="1" x14ac:dyDescent="0.25">
      <c r="K26" s="314"/>
    </row>
    <row r="28" spans="1:25" x14ac:dyDescent="0.25">
      <c r="J28" s="14" t="s">
        <v>139</v>
      </c>
    </row>
    <row r="32" spans="1:25" x14ac:dyDescent="0.25">
      <c r="I32" s="2280"/>
      <c r="J32" s="2280"/>
      <c r="K32" s="2280"/>
      <c r="L32" s="2280"/>
    </row>
    <row r="33" spans="9:12" x14ac:dyDescent="0.25">
      <c r="I33" s="1855"/>
      <c r="J33" s="1855"/>
      <c r="K33" s="2280"/>
      <c r="L33" s="2280"/>
    </row>
  </sheetData>
  <mergeCells count="62">
    <mergeCell ref="I32:J32"/>
    <mergeCell ref="K32:L32"/>
    <mergeCell ref="K33:L33"/>
    <mergeCell ref="T22:T23"/>
    <mergeCell ref="V22:X22"/>
    <mergeCell ref="V23:X23"/>
    <mergeCell ref="T24:T25"/>
    <mergeCell ref="V24:X24"/>
    <mergeCell ref="V25:X25"/>
    <mergeCell ref="Y18:Y24"/>
    <mergeCell ref="B19:C19"/>
    <mergeCell ref="Q19:R19"/>
    <mergeCell ref="T19:T20"/>
    <mergeCell ref="V19:X19"/>
    <mergeCell ref="B20:C20"/>
    <mergeCell ref="B22:B24"/>
    <mergeCell ref="C22:C23"/>
    <mergeCell ref="D22:D23"/>
    <mergeCell ref="E22:E23"/>
    <mergeCell ref="F22:F23"/>
    <mergeCell ref="Q20:R20"/>
    <mergeCell ref="V20:X20"/>
    <mergeCell ref="B21:C21"/>
    <mergeCell ref="T21:U21"/>
    <mergeCell ref="V21:X21"/>
    <mergeCell ref="B17:C17"/>
    <mergeCell ref="Q17:R17"/>
    <mergeCell ref="T17:U17"/>
    <mergeCell ref="V17:X17"/>
    <mergeCell ref="B18:C18"/>
    <mergeCell ref="Q18:R18"/>
    <mergeCell ref="T18:U18"/>
    <mergeCell ref="V18:X18"/>
    <mergeCell ref="W4:X4"/>
    <mergeCell ref="B16:C16"/>
    <mergeCell ref="Q16:R16"/>
    <mergeCell ref="T16:U16"/>
    <mergeCell ref="V16:X16"/>
    <mergeCell ref="A12:B12"/>
    <mergeCell ref="B14:C14"/>
    <mergeCell ref="Q14:R14"/>
    <mergeCell ref="T14:T15"/>
    <mergeCell ref="V14:X14"/>
    <mergeCell ref="B15:C15"/>
    <mergeCell ref="Q15:R15"/>
    <mergeCell ref="V15:X15"/>
    <mergeCell ref="A1:Y1"/>
    <mergeCell ref="A2:Y2"/>
    <mergeCell ref="T3:Y3"/>
    <mergeCell ref="A4:A5"/>
    <mergeCell ref="B4:B5"/>
    <mergeCell ref="C4:D4"/>
    <mergeCell ref="E4:F4"/>
    <mergeCell ref="G4:H4"/>
    <mergeCell ref="I4:J4"/>
    <mergeCell ref="K4:L4"/>
    <mergeCell ref="Y4:Y5"/>
    <mergeCell ref="M4:N4"/>
    <mergeCell ref="O4:P4"/>
    <mergeCell ref="Q4:R4"/>
    <mergeCell ref="S4:T4"/>
    <mergeCell ref="U4:V4"/>
  </mergeCells>
  <pageMargins left="0.15748031496063" right="0.15748031496063" top="0" bottom="0" header="0" footer="0"/>
  <pageSetup paperSize="9" scale="46" orientation="landscape" r:id="rId1"/>
</worksheet>
</file>

<file path=xl/worksheets/sheet29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E91B3E3-448B-4553-A923-F5CD649B3ADE}">
  <sheetPr>
    <pageSetUpPr fitToPage="1"/>
  </sheetPr>
  <dimension ref="A1:Y33"/>
  <sheetViews>
    <sheetView topLeftCell="A8" zoomScale="70" zoomScaleNormal="70" zoomScaleSheetLayoutView="100" zoomScalePageLayoutView="68" workbookViewId="0">
      <selection activeCell="N23" sqref="N23"/>
    </sheetView>
  </sheetViews>
  <sheetFormatPr defaultColWidth="9.140625" defaultRowHeight="15" x14ac:dyDescent="0.25"/>
  <cols>
    <col min="1" max="1" width="18.28515625" style="14" customWidth="1"/>
    <col min="2" max="2" width="10.7109375" style="14" customWidth="1"/>
    <col min="3" max="3" width="12.28515625" style="14" customWidth="1"/>
    <col min="4" max="4" width="13.140625" style="14" bestFit="1" customWidth="1"/>
    <col min="5" max="5" width="12" style="14" customWidth="1"/>
    <col min="6" max="6" width="14" style="14" bestFit="1" customWidth="1"/>
    <col min="7" max="7" width="16" style="14" bestFit="1" customWidth="1"/>
    <col min="8" max="8" width="10.140625" style="14" bestFit="1" customWidth="1"/>
    <col min="9" max="9" width="10.5703125" style="14" bestFit="1" customWidth="1"/>
    <col min="10" max="10" width="10.5703125" style="14" customWidth="1"/>
    <col min="11" max="11" width="10.28515625" style="14" bestFit="1" customWidth="1"/>
    <col min="12" max="12" width="10.42578125" style="14" bestFit="1" customWidth="1"/>
    <col min="13" max="14" width="12" style="14" bestFit="1" customWidth="1"/>
    <col min="15" max="15" width="11" style="14" customWidth="1"/>
    <col min="16" max="16" width="12.85546875" style="14" bestFit="1" customWidth="1"/>
    <col min="17" max="18" width="9.42578125" style="14" customWidth="1"/>
    <col min="19" max="19" width="13.7109375" style="14" customWidth="1"/>
    <col min="20" max="20" width="12.140625" style="14" customWidth="1"/>
    <col min="21" max="21" width="21.7109375" style="14" customWidth="1"/>
    <col min="22" max="22" width="9.85546875" style="14" customWidth="1"/>
    <col min="23" max="23" width="10.140625" style="14" bestFit="1" customWidth="1"/>
    <col min="24" max="24" width="10.28515625" style="14" customWidth="1"/>
    <col min="25" max="25" width="15.7109375" style="14" customWidth="1"/>
    <col min="26" max="16384" width="9.140625" style="14"/>
  </cols>
  <sheetData>
    <row r="1" spans="1:25" ht="46.15" customHeight="1" x14ac:dyDescent="0.25">
      <c r="A1" s="2240" t="s">
        <v>148</v>
      </c>
      <c r="B1" s="2240"/>
      <c r="C1" s="2240"/>
      <c r="D1" s="2240"/>
      <c r="E1" s="2240"/>
      <c r="F1" s="2240"/>
      <c r="G1" s="2240"/>
      <c r="H1" s="2240"/>
      <c r="I1" s="2240"/>
      <c r="J1" s="2240"/>
      <c r="K1" s="2240"/>
      <c r="L1" s="2240"/>
      <c r="M1" s="2240"/>
      <c r="N1" s="2240"/>
      <c r="O1" s="2240"/>
      <c r="P1" s="2240"/>
      <c r="Q1" s="2240"/>
      <c r="R1" s="2240"/>
      <c r="S1" s="2240"/>
      <c r="T1" s="2240"/>
      <c r="U1" s="2240"/>
      <c r="V1" s="2240"/>
      <c r="W1" s="2240"/>
      <c r="X1" s="2240"/>
      <c r="Y1" s="2240"/>
    </row>
    <row r="2" spans="1:25" ht="21.6" customHeight="1" x14ac:dyDescent="0.25">
      <c r="A2" s="2241" t="s">
        <v>383</v>
      </c>
      <c r="B2" s="2241"/>
      <c r="C2" s="2241"/>
      <c r="D2" s="2241"/>
      <c r="E2" s="2241"/>
      <c r="F2" s="2241"/>
      <c r="G2" s="2241"/>
      <c r="H2" s="2241"/>
      <c r="I2" s="2241"/>
      <c r="J2" s="2241"/>
      <c r="K2" s="2241"/>
      <c r="L2" s="2241"/>
      <c r="M2" s="2241"/>
      <c r="N2" s="2241"/>
      <c r="O2" s="2241"/>
      <c r="P2" s="2241"/>
      <c r="Q2" s="2241"/>
      <c r="R2" s="2241"/>
      <c r="S2" s="2241"/>
      <c r="T2" s="2241"/>
      <c r="U2" s="2241"/>
      <c r="V2" s="2241"/>
      <c r="W2" s="2241"/>
      <c r="X2" s="2241"/>
      <c r="Y2" s="2241"/>
    </row>
    <row r="3" spans="1:25" ht="21" customHeight="1" x14ac:dyDescent="0.25">
      <c r="A3" s="1861"/>
      <c r="B3" s="1861"/>
      <c r="C3" s="1861"/>
      <c r="D3" s="1861"/>
      <c r="E3" s="1861"/>
      <c r="F3" s="1861"/>
      <c r="G3" s="1861"/>
      <c r="H3" s="1861"/>
      <c r="I3" s="1861"/>
      <c r="J3" s="1861"/>
      <c r="K3" s="1861"/>
      <c r="L3" s="1861"/>
      <c r="M3" s="1861"/>
      <c r="N3" s="1861"/>
      <c r="O3" s="1861"/>
      <c r="P3" s="1861"/>
      <c r="Q3" s="1861"/>
      <c r="R3" s="1861"/>
      <c r="S3" s="1861"/>
      <c r="T3" s="2242" t="s">
        <v>547</v>
      </c>
      <c r="U3" s="2242"/>
      <c r="V3" s="2242"/>
      <c r="W3" s="2242"/>
      <c r="X3" s="2242"/>
      <c r="Y3" s="2242"/>
    </row>
    <row r="4" spans="1:25" s="1861" customFormat="1" ht="18" customHeight="1" x14ac:dyDescent="0.25">
      <c r="A4" s="2243" t="s">
        <v>25</v>
      </c>
      <c r="B4" s="2243" t="s">
        <v>26</v>
      </c>
      <c r="C4" s="2244" t="s">
        <v>27</v>
      </c>
      <c r="D4" s="2244"/>
      <c r="E4" s="2244" t="s">
        <v>544</v>
      </c>
      <c r="F4" s="2244"/>
      <c r="G4" s="2244" t="s">
        <v>65</v>
      </c>
      <c r="H4" s="2244"/>
      <c r="I4" s="2244" t="s">
        <v>29</v>
      </c>
      <c r="J4" s="2244"/>
      <c r="K4" s="2245" t="s">
        <v>14</v>
      </c>
      <c r="L4" s="2246"/>
      <c r="M4" s="2245" t="s">
        <v>429</v>
      </c>
      <c r="N4" s="2246"/>
      <c r="O4" s="2245" t="s">
        <v>441</v>
      </c>
      <c r="P4" s="2246"/>
      <c r="Q4" s="2245" t="s">
        <v>114</v>
      </c>
      <c r="R4" s="2246"/>
      <c r="S4" s="2244" t="s">
        <v>35</v>
      </c>
      <c r="T4" s="2244"/>
      <c r="U4" s="2245" t="s">
        <v>17</v>
      </c>
      <c r="V4" s="2246"/>
      <c r="W4" s="2247" t="s">
        <v>36</v>
      </c>
      <c r="X4" s="2248"/>
      <c r="Y4" s="2238" t="s">
        <v>30</v>
      </c>
    </row>
    <row r="5" spans="1:25" s="1861" customFormat="1" ht="25.5" customHeight="1" x14ac:dyDescent="0.25">
      <c r="A5" s="2243"/>
      <c r="B5" s="2243"/>
      <c r="C5" s="1860" t="s">
        <v>42</v>
      </c>
      <c r="D5" s="1860" t="s">
        <v>43</v>
      </c>
      <c r="E5" s="1860" t="s">
        <v>42</v>
      </c>
      <c r="F5" s="1860" t="s">
        <v>43</v>
      </c>
      <c r="G5" s="1860" t="s">
        <v>42</v>
      </c>
      <c r="H5" s="1860" t="s">
        <v>43</v>
      </c>
      <c r="I5" s="1860" t="s">
        <v>42</v>
      </c>
      <c r="J5" s="1860" t="s">
        <v>43</v>
      </c>
      <c r="K5" s="1860" t="s">
        <v>42</v>
      </c>
      <c r="L5" s="1860" t="s">
        <v>43</v>
      </c>
      <c r="M5" s="1860" t="s">
        <v>42</v>
      </c>
      <c r="N5" s="1860" t="s">
        <v>43</v>
      </c>
      <c r="O5" s="1860" t="s">
        <v>42</v>
      </c>
      <c r="P5" s="1860" t="s">
        <v>43</v>
      </c>
      <c r="Q5" s="1860" t="s">
        <v>42</v>
      </c>
      <c r="R5" s="1860" t="s">
        <v>43</v>
      </c>
      <c r="S5" s="33" t="s">
        <v>42</v>
      </c>
      <c r="T5" s="33" t="s">
        <v>43</v>
      </c>
      <c r="U5" s="30" t="s">
        <v>42</v>
      </c>
      <c r="V5" s="30" t="s">
        <v>43</v>
      </c>
      <c r="W5" s="30" t="s">
        <v>42</v>
      </c>
      <c r="X5" s="30" t="s">
        <v>43</v>
      </c>
      <c r="Y5" s="2239"/>
    </row>
    <row r="6" spans="1:25" ht="34.5" customHeight="1" x14ac:dyDescent="0.25">
      <c r="A6" s="12">
        <v>1409935200</v>
      </c>
      <c r="B6" s="1859" t="s">
        <v>71</v>
      </c>
      <c r="C6" s="1857">
        <v>28329</v>
      </c>
      <c r="D6" s="1856">
        <f t="shared" ref="D6:D11" si="0">0.9725*C6</f>
        <v>27549.952499999999</v>
      </c>
      <c r="E6" s="1857"/>
      <c r="F6" s="1856">
        <f>67.1*E6</f>
        <v>0</v>
      </c>
      <c r="G6" s="1857">
        <v>300</v>
      </c>
      <c r="H6" s="1857">
        <f>28.2*G6</f>
        <v>8460</v>
      </c>
      <c r="I6" s="1857">
        <v>460</v>
      </c>
      <c r="J6" s="1857">
        <f>18.5*I6</f>
        <v>8510</v>
      </c>
      <c r="K6" s="1857"/>
      <c r="L6" s="1856">
        <f>28.2368*K6</f>
        <v>0</v>
      </c>
      <c r="M6" s="1857"/>
      <c r="N6" s="1856">
        <f>M6*47.6525</f>
        <v>0</v>
      </c>
      <c r="O6" s="1857"/>
      <c r="P6" s="1856">
        <f>O6*8.9</f>
        <v>0</v>
      </c>
      <c r="Q6" s="1856"/>
      <c r="R6" s="1856">
        <f>241*Q6</f>
        <v>0</v>
      </c>
      <c r="S6" s="1857"/>
      <c r="T6" s="1857">
        <f>241*S6</f>
        <v>0</v>
      </c>
      <c r="U6" s="1857"/>
      <c r="V6" s="1857">
        <f>332*U6</f>
        <v>0</v>
      </c>
      <c r="W6" s="1857"/>
      <c r="X6" s="19">
        <f>W6*100</f>
        <v>0</v>
      </c>
      <c r="Y6" s="20">
        <f t="shared" ref="Y6:Y12" si="1">D6+F6+H6+J6+L6+N6+P6+R6+T6+V6+X6</f>
        <v>44519.952499999999</v>
      </c>
    </row>
    <row r="7" spans="1:25" ht="31.5" customHeight="1" x14ac:dyDescent="0.25">
      <c r="A7" s="12">
        <v>1984225578</v>
      </c>
      <c r="B7" s="1859" t="s">
        <v>509</v>
      </c>
      <c r="C7" s="1857">
        <v>27543</v>
      </c>
      <c r="D7" s="1856">
        <f t="shared" si="0"/>
        <v>26785.567500000001</v>
      </c>
      <c r="E7" s="1857"/>
      <c r="F7" s="1857">
        <f t="shared" ref="F7:F11" si="2">67.1*E7</f>
        <v>0</v>
      </c>
      <c r="G7" s="1857">
        <v>100</v>
      </c>
      <c r="H7" s="1857">
        <f t="shared" ref="H7:H11" si="3">28.2*G7</f>
        <v>2820</v>
      </c>
      <c r="I7" s="1857">
        <v>180</v>
      </c>
      <c r="J7" s="1857">
        <f t="shared" ref="J7:J11" si="4">18.5*I7</f>
        <v>3330</v>
      </c>
      <c r="K7" s="1857"/>
      <c r="L7" s="1856">
        <f t="shared" ref="L7:L11" si="5">28.2368*K7</f>
        <v>0</v>
      </c>
      <c r="M7" s="1857"/>
      <c r="N7" s="1856">
        <f t="shared" ref="N7:N11" si="6">M7*47.6525</f>
        <v>0</v>
      </c>
      <c r="O7" s="1857"/>
      <c r="P7" s="1856">
        <f t="shared" ref="P7:P11" si="7">O7*8.9</f>
        <v>0</v>
      </c>
      <c r="Q7" s="1856"/>
      <c r="R7" s="1856">
        <f t="shared" ref="R7:R11" si="8">241*Q7</f>
        <v>0</v>
      </c>
      <c r="S7" s="1857"/>
      <c r="T7" s="1857">
        <f t="shared" ref="T7:T10" si="9">241*S7</f>
        <v>0</v>
      </c>
      <c r="U7" s="1857"/>
      <c r="V7" s="1857">
        <f t="shared" ref="V7:V11" si="10">332*U7</f>
        <v>0</v>
      </c>
      <c r="W7" s="1857"/>
      <c r="X7" s="19">
        <f t="shared" ref="X7:X11" si="11">W7*100</f>
        <v>0</v>
      </c>
      <c r="Y7" s="20">
        <f t="shared" si="1"/>
        <v>32935.567500000005</v>
      </c>
    </row>
    <row r="8" spans="1:25" ht="35.25" customHeight="1" x14ac:dyDescent="0.25">
      <c r="A8" s="12">
        <v>1967020280</v>
      </c>
      <c r="B8" s="1859" t="s">
        <v>427</v>
      </c>
      <c r="C8" s="1857">
        <v>23680</v>
      </c>
      <c r="D8" s="1856">
        <f t="shared" si="0"/>
        <v>23028.799999999999</v>
      </c>
      <c r="E8" s="1857"/>
      <c r="F8" s="1857">
        <f t="shared" si="2"/>
        <v>0</v>
      </c>
      <c r="G8" s="1857">
        <v>100</v>
      </c>
      <c r="H8" s="1856">
        <f t="shared" si="3"/>
        <v>2820</v>
      </c>
      <c r="I8" s="1857">
        <v>530</v>
      </c>
      <c r="J8" s="1857">
        <f t="shared" si="4"/>
        <v>9805</v>
      </c>
      <c r="K8" s="1857"/>
      <c r="L8" s="1856">
        <f t="shared" si="5"/>
        <v>0</v>
      </c>
      <c r="M8" s="1857"/>
      <c r="N8" s="1856">
        <f t="shared" si="6"/>
        <v>0</v>
      </c>
      <c r="O8" s="1857"/>
      <c r="P8" s="1856">
        <f t="shared" si="7"/>
        <v>0</v>
      </c>
      <c r="Q8" s="1856"/>
      <c r="R8" s="1856">
        <f t="shared" si="8"/>
        <v>0</v>
      </c>
      <c r="S8" s="1857"/>
      <c r="T8" s="1857">
        <f t="shared" si="9"/>
        <v>0</v>
      </c>
      <c r="U8" s="1857"/>
      <c r="V8" s="1857">
        <f t="shared" si="10"/>
        <v>0</v>
      </c>
      <c r="W8" s="1857"/>
      <c r="X8" s="19">
        <f t="shared" si="11"/>
        <v>0</v>
      </c>
      <c r="Y8" s="20">
        <f t="shared" si="1"/>
        <v>35653.800000000003</v>
      </c>
    </row>
    <row r="9" spans="1:25" ht="38.25" customHeight="1" x14ac:dyDescent="0.25">
      <c r="A9" s="12">
        <v>1984225580</v>
      </c>
      <c r="B9" s="1859" t="s">
        <v>75</v>
      </c>
      <c r="C9" s="1857">
        <v>31030</v>
      </c>
      <c r="D9" s="1856">
        <f t="shared" si="0"/>
        <v>30176.674999999999</v>
      </c>
      <c r="E9" s="1857"/>
      <c r="F9" s="1857">
        <f t="shared" si="2"/>
        <v>0</v>
      </c>
      <c r="G9" s="1857"/>
      <c r="H9" s="1857">
        <f t="shared" si="3"/>
        <v>0</v>
      </c>
      <c r="I9" s="1857"/>
      <c r="J9" s="1857">
        <f t="shared" si="4"/>
        <v>0</v>
      </c>
      <c r="K9" s="1857"/>
      <c r="L9" s="1856">
        <f t="shared" si="5"/>
        <v>0</v>
      </c>
      <c r="M9" s="1857"/>
      <c r="N9" s="1856">
        <f t="shared" si="6"/>
        <v>0</v>
      </c>
      <c r="O9" s="1857"/>
      <c r="P9" s="1856">
        <f t="shared" si="7"/>
        <v>0</v>
      </c>
      <c r="Q9" s="1856"/>
      <c r="R9" s="1856">
        <f t="shared" si="8"/>
        <v>0</v>
      </c>
      <c r="S9" s="1857"/>
      <c r="T9" s="1857">
        <f t="shared" si="9"/>
        <v>0</v>
      </c>
      <c r="U9" s="1857"/>
      <c r="V9" s="1857">
        <f t="shared" si="10"/>
        <v>0</v>
      </c>
      <c r="W9" s="1857"/>
      <c r="X9" s="19">
        <f t="shared" si="11"/>
        <v>0</v>
      </c>
      <c r="Y9" s="20">
        <f t="shared" si="1"/>
        <v>30176.674999999999</v>
      </c>
    </row>
    <row r="10" spans="1:25" ht="35.25" customHeight="1" x14ac:dyDescent="0.25">
      <c r="A10" s="12">
        <v>1409935199</v>
      </c>
      <c r="C10" s="1857"/>
      <c r="D10" s="1856">
        <f t="shared" si="0"/>
        <v>0</v>
      </c>
      <c r="E10" s="1857"/>
      <c r="F10" s="1857">
        <f t="shared" si="2"/>
        <v>0</v>
      </c>
      <c r="G10" s="1857"/>
      <c r="H10" s="1857">
        <f t="shared" si="3"/>
        <v>0</v>
      </c>
      <c r="I10" s="1857"/>
      <c r="J10" s="1857">
        <f t="shared" si="4"/>
        <v>0</v>
      </c>
      <c r="K10" s="1857"/>
      <c r="L10" s="1856">
        <f t="shared" si="5"/>
        <v>0</v>
      </c>
      <c r="M10" s="1857"/>
      <c r="N10" s="1856">
        <f t="shared" si="6"/>
        <v>0</v>
      </c>
      <c r="O10" s="1857"/>
      <c r="P10" s="1856">
        <f t="shared" si="7"/>
        <v>0</v>
      </c>
      <c r="Q10" s="1856"/>
      <c r="R10" s="1856">
        <f t="shared" si="8"/>
        <v>0</v>
      </c>
      <c r="S10" s="1857"/>
      <c r="T10" s="1857">
        <f t="shared" si="9"/>
        <v>0</v>
      </c>
      <c r="U10" s="1857"/>
      <c r="V10" s="1857">
        <f t="shared" si="10"/>
        <v>0</v>
      </c>
      <c r="W10" s="1857"/>
      <c r="X10" s="19">
        <f t="shared" si="11"/>
        <v>0</v>
      </c>
      <c r="Y10" s="20">
        <f t="shared" si="1"/>
        <v>0</v>
      </c>
    </row>
    <row r="11" spans="1:25" ht="37.5" customHeight="1" x14ac:dyDescent="0.25">
      <c r="A11" s="12"/>
      <c r="B11" s="1858"/>
      <c r="C11" s="1857"/>
      <c r="D11" s="1856">
        <f t="shared" si="0"/>
        <v>0</v>
      </c>
      <c r="E11" s="1857"/>
      <c r="F11" s="1857">
        <f t="shared" si="2"/>
        <v>0</v>
      </c>
      <c r="G11" s="1857"/>
      <c r="H11" s="1857">
        <f t="shared" si="3"/>
        <v>0</v>
      </c>
      <c r="I11" s="1857"/>
      <c r="J11" s="1857">
        <f t="shared" si="4"/>
        <v>0</v>
      </c>
      <c r="K11" s="1857"/>
      <c r="L11" s="1856">
        <f t="shared" si="5"/>
        <v>0</v>
      </c>
      <c r="M11" s="1857"/>
      <c r="N11" s="1856">
        <f t="shared" si="6"/>
        <v>0</v>
      </c>
      <c r="O11" s="1857"/>
      <c r="P11" s="1856">
        <f t="shared" si="7"/>
        <v>0</v>
      </c>
      <c r="Q11" s="1856"/>
      <c r="R11" s="1856">
        <f t="shared" si="8"/>
        <v>0</v>
      </c>
      <c r="S11" s="1857"/>
      <c r="T11" s="1857">
        <f>341*S11</f>
        <v>0</v>
      </c>
      <c r="U11" s="1857"/>
      <c r="V11" s="1857">
        <f t="shared" si="10"/>
        <v>0</v>
      </c>
      <c r="W11" s="1857"/>
      <c r="X11" s="19">
        <f t="shared" si="11"/>
        <v>0</v>
      </c>
      <c r="Y11" s="20">
        <f t="shared" si="1"/>
        <v>0</v>
      </c>
    </row>
    <row r="12" spans="1:25" ht="29.25" customHeight="1" x14ac:dyDescent="0.25">
      <c r="A12" s="2235" t="s">
        <v>31</v>
      </c>
      <c r="B12" s="2235"/>
      <c r="C12" s="18">
        <f t="shared" ref="C12:X12" si="12">SUM(C6:C11)</f>
        <v>110582</v>
      </c>
      <c r="D12" s="18">
        <f t="shared" si="12"/>
        <v>107540.99500000001</v>
      </c>
      <c r="E12" s="18">
        <f t="shared" si="12"/>
        <v>0</v>
      </c>
      <c r="F12" s="18">
        <f t="shared" si="12"/>
        <v>0</v>
      </c>
      <c r="G12" s="18">
        <f t="shared" si="12"/>
        <v>500</v>
      </c>
      <c r="H12" s="18">
        <f t="shared" si="12"/>
        <v>14100</v>
      </c>
      <c r="I12" s="18">
        <f t="shared" si="12"/>
        <v>1170</v>
      </c>
      <c r="J12" s="18">
        <f t="shared" si="12"/>
        <v>21645</v>
      </c>
      <c r="K12" s="18">
        <f t="shared" si="12"/>
        <v>0</v>
      </c>
      <c r="L12" s="18">
        <f t="shared" si="12"/>
        <v>0</v>
      </c>
      <c r="M12" s="18">
        <f t="shared" si="12"/>
        <v>0</v>
      </c>
      <c r="N12" s="23">
        <f t="shared" si="12"/>
        <v>0</v>
      </c>
      <c r="O12" s="18">
        <f t="shared" si="12"/>
        <v>0</v>
      </c>
      <c r="P12" s="23">
        <f t="shared" si="12"/>
        <v>0</v>
      </c>
      <c r="Q12" s="23">
        <f t="shared" si="12"/>
        <v>0</v>
      </c>
      <c r="R12" s="23">
        <f>SUM(R6:R11)</f>
        <v>0</v>
      </c>
      <c r="S12" s="23">
        <f>SUM(S6:S11)</f>
        <v>0</v>
      </c>
      <c r="T12" s="18">
        <f t="shared" si="12"/>
        <v>0</v>
      </c>
      <c r="U12" s="18">
        <f t="shared" si="12"/>
        <v>0</v>
      </c>
      <c r="V12" s="18">
        <f t="shared" si="12"/>
        <v>0</v>
      </c>
      <c r="W12" s="18">
        <f t="shared" si="12"/>
        <v>0</v>
      </c>
      <c r="X12" s="18">
        <f t="shared" si="12"/>
        <v>0</v>
      </c>
      <c r="Y12" s="20">
        <f t="shared" si="1"/>
        <v>143285.995</v>
      </c>
    </row>
    <row r="14" spans="1:25" ht="43.5" customHeight="1" x14ac:dyDescent="0.25">
      <c r="A14" s="30" t="s">
        <v>32</v>
      </c>
      <c r="B14" s="2236" t="s">
        <v>27</v>
      </c>
      <c r="C14" s="2236"/>
      <c r="D14" s="30" t="s">
        <v>543</v>
      </c>
      <c r="E14" s="30" t="s">
        <v>65</v>
      </c>
      <c r="F14" s="30" t="s">
        <v>34</v>
      </c>
      <c r="G14" s="30" t="s">
        <v>14</v>
      </c>
      <c r="H14" s="469" t="s">
        <v>173</v>
      </c>
      <c r="I14" s="30" t="s">
        <v>17</v>
      </c>
      <c r="J14" s="1865" t="s">
        <v>174</v>
      </c>
      <c r="K14" s="30" t="s">
        <v>36</v>
      </c>
      <c r="L14" s="1865" t="s">
        <v>403</v>
      </c>
      <c r="M14" s="30" t="s">
        <v>429</v>
      </c>
      <c r="N14" s="30" t="s">
        <v>442</v>
      </c>
      <c r="O14" s="1865" t="s">
        <v>114</v>
      </c>
      <c r="P14" s="30" t="s">
        <v>70</v>
      </c>
      <c r="Q14" s="2300" t="s">
        <v>479</v>
      </c>
      <c r="R14" s="2301"/>
      <c r="S14" s="1865" t="s">
        <v>401</v>
      </c>
      <c r="T14" s="2235" t="s">
        <v>46</v>
      </c>
      <c r="U14" s="1859" t="s">
        <v>176</v>
      </c>
      <c r="V14" s="2260">
        <v>35856</v>
      </c>
      <c r="W14" s="2268"/>
      <c r="X14" s="2261"/>
    </row>
    <row r="15" spans="1:25" ht="22.5" customHeight="1" x14ac:dyDescent="0.25">
      <c r="A15" s="100" t="s">
        <v>38</v>
      </c>
      <c r="B15" s="2260">
        <v>467102</v>
      </c>
      <c r="C15" s="2261"/>
      <c r="D15" s="1862">
        <v>500</v>
      </c>
      <c r="E15" s="1862">
        <v>500</v>
      </c>
      <c r="F15" s="1862">
        <v>1170</v>
      </c>
      <c r="G15" s="1862">
        <v>0</v>
      </c>
      <c r="H15" s="1862">
        <v>38</v>
      </c>
      <c r="I15" s="1862">
        <v>70</v>
      </c>
      <c r="J15" s="1862">
        <v>4</v>
      </c>
      <c r="K15" s="1862">
        <v>77</v>
      </c>
      <c r="L15" s="1862">
        <v>0</v>
      </c>
      <c r="M15" s="1862">
        <v>0</v>
      </c>
      <c r="N15" s="1862">
        <v>0</v>
      </c>
      <c r="O15" s="1862">
        <v>0</v>
      </c>
      <c r="P15" s="1862">
        <v>100</v>
      </c>
      <c r="Q15" s="2260">
        <v>10</v>
      </c>
      <c r="R15" s="2261"/>
      <c r="S15" s="1859">
        <v>2</v>
      </c>
      <c r="T15" s="2235"/>
      <c r="U15" s="1859" t="s">
        <v>64</v>
      </c>
      <c r="V15" s="2262">
        <v>30469</v>
      </c>
      <c r="W15" s="2262"/>
      <c r="X15" s="2262"/>
    </row>
    <row r="16" spans="1:25" ht="24.75" customHeight="1" x14ac:dyDescent="0.25">
      <c r="A16" s="100" t="s">
        <v>39</v>
      </c>
      <c r="B16" s="2260">
        <v>112623</v>
      </c>
      <c r="C16" s="2261"/>
      <c r="D16" s="1862"/>
      <c r="E16" s="1862"/>
      <c r="F16" s="1862">
        <v>2000</v>
      </c>
      <c r="G16" s="1862"/>
      <c r="H16" s="1862"/>
      <c r="I16" s="1862"/>
      <c r="J16" s="1862"/>
      <c r="K16" s="1862"/>
      <c r="L16" s="1862"/>
      <c r="M16" s="1862"/>
      <c r="N16" s="1862"/>
      <c r="O16" s="1862"/>
      <c r="P16" s="1862"/>
      <c r="Q16" s="2262"/>
      <c r="R16" s="2262"/>
      <c r="S16" s="1862"/>
      <c r="T16" s="2254" t="s">
        <v>55</v>
      </c>
      <c r="U16" s="2254"/>
      <c r="V16" s="2267">
        <f>Y12</f>
        <v>143285.995</v>
      </c>
      <c r="W16" s="2267"/>
      <c r="X16" s="2262"/>
    </row>
    <row r="17" spans="1:25" ht="28.5" customHeight="1" x14ac:dyDescent="0.25">
      <c r="A17" s="101" t="s">
        <v>44</v>
      </c>
      <c r="B17" s="2260"/>
      <c r="C17" s="2261"/>
      <c r="D17" s="1862"/>
      <c r="E17" s="1862"/>
      <c r="F17" s="1862"/>
      <c r="G17" s="1862"/>
      <c r="H17" s="1862"/>
      <c r="I17" s="1862"/>
      <c r="J17" s="1862"/>
      <c r="K17" s="1862"/>
      <c r="L17" s="1862"/>
      <c r="M17" s="1862"/>
      <c r="N17" s="1862"/>
      <c r="O17" s="1862"/>
      <c r="P17" s="1862"/>
      <c r="Q17" s="2225"/>
      <c r="R17" s="2225"/>
      <c r="S17" s="1858"/>
      <c r="T17" s="2294" t="s">
        <v>521</v>
      </c>
      <c r="U17" s="2295"/>
      <c r="V17" s="2296"/>
      <c r="W17" s="2296"/>
      <c r="X17" s="2296"/>
    </row>
    <row r="18" spans="1:25" ht="27" customHeight="1" x14ac:dyDescent="0.25">
      <c r="A18" s="100" t="s">
        <v>40</v>
      </c>
      <c r="B18" s="2264">
        <f>C12</f>
        <v>110582</v>
      </c>
      <c r="C18" s="2261"/>
      <c r="D18" s="1864">
        <f>E12</f>
        <v>0</v>
      </c>
      <c r="E18" s="1864">
        <f>G12</f>
        <v>500</v>
      </c>
      <c r="F18" s="1864">
        <f>I12</f>
        <v>1170</v>
      </c>
      <c r="G18" s="1864">
        <f>K12</f>
        <v>0</v>
      </c>
      <c r="H18" s="1862"/>
      <c r="I18" s="1864">
        <f>U12</f>
        <v>0</v>
      </c>
      <c r="J18" s="1862"/>
      <c r="K18" s="1864">
        <f>W12</f>
        <v>0</v>
      </c>
      <c r="L18" s="1862"/>
      <c r="M18" s="1864">
        <f>M12</f>
        <v>0</v>
      </c>
      <c r="N18" s="1864">
        <f>O12</f>
        <v>0</v>
      </c>
      <c r="O18" s="1863">
        <f>Q12</f>
        <v>0</v>
      </c>
      <c r="P18" s="1864"/>
      <c r="Q18" s="2262"/>
      <c r="R18" s="2262"/>
      <c r="S18" s="1859"/>
      <c r="T18" s="2254" t="s">
        <v>57</v>
      </c>
      <c r="U18" s="2254"/>
      <c r="V18" s="2262">
        <v>620</v>
      </c>
      <c r="W18" s="2262"/>
      <c r="X18" s="2262"/>
      <c r="Y18" s="2269"/>
    </row>
    <row r="19" spans="1:25" ht="25.5" customHeight="1" x14ac:dyDescent="0.25">
      <c r="A19" s="100" t="s">
        <v>41</v>
      </c>
      <c r="B19" s="2260">
        <f>B15+B16+B17-B18</f>
        <v>469143</v>
      </c>
      <c r="C19" s="2261"/>
      <c r="D19" s="1862">
        <f>D15+D16+D17-D18</f>
        <v>500</v>
      </c>
      <c r="E19" s="1862">
        <f t="shared" ref="E19:N19" si="13">E15+E16+E17-E18</f>
        <v>0</v>
      </c>
      <c r="F19" s="1862">
        <f t="shared" si="13"/>
        <v>2000</v>
      </c>
      <c r="G19" s="1862">
        <f t="shared" si="13"/>
        <v>0</v>
      </c>
      <c r="H19" s="1862">
        <f t="shared" si="13"/>
        <v>38</v>
      </c>
      <c r="I19" s="1862">
        <f t="shared" si="13"/>
        <v>70</v>
      </c>
      <c r="J19" s="1862">
        <f t="shared" si="13"/>
        <v>4</v>
      </c>
      <c r="K19" s="1862">
        <f t="shared" si="13"/>
        <v>77</v>
      </c>
      <c r="L19" s="1862">
        <f t="shared" si="13"/>
        <v>0</v>
      </c>
      <c r="M19" s="1862">
        <f t="shared" si="13"/>
        <v>0</v>
      </c>
      <c r="N19" s="1862">
        <f t="shared" si="13"/>
        <v>0</v>
      </c>
      <c r="O19" s="1862">
        <f>O15+O16+O17-O18</f>
        <v>0</v>
      </c>
      <c r="P19" s="1862">
        <f t="shared" ref="P19:Q19" si="14">P15+P16+P17-P18</f>
        <v>100</v>
      </c>
      <c r="Q19" s="2260">
        <f t="shared" si="14"/>
        <v>10</v>
      </c>
      <c r="R19" s="2261"/>
      <c r="S19" s="1859">
        <f>S15+S16-S17-S18</f>
        <v>2</v>
      </c>
      <c r="T19" s="2256" t="s">
        <v>48</v>
      </c>
      <c r="U19" s="49" t="s">
        <v>58</v>
      </c>
      <c r="V19" s="2262">
        <v>100000</v>
      </c>
      <c r="W19" s="2262"/>
      <c r="X19" s="2262"/>
      <c r="Y19" s="2269"/>
    </row>
    <row r="20" spans="1:25" ht="23.25" customHeight="1" x14ac:dyDescent="0.25">
      <c r="A20" s="289" t="s">
        <v>187</v>
      </c>
      <c r="B20" s="2286">
        <f>B19*0.9625</f>
        <v>451550.13750000001</v>
      </c>
      <c r="C20" s="2287"/>
      <c r="D20" s="290">
        <f>D19*19.3</f>
        <v>9650</v>
      </c>
      <c r="E20" s="290">
        <f>27.9368*E19</f>
        <v>0</v>
      </c>
      <c r="F20" s="290">
        <f>18.31*F19</f>
        <v>36620</v>
      </c>
      <c r="G20" s="290">
        <f>27.9368*G19</f>
        <v>0</v>
      </c>
      <c r="H20" s="290">
        <f>241*H19</f>
        <v>9158</v>
      </c>
      <c r="I20" s="290">
        <f>323*I19</f>
        <v>22610</v>
      </c>
      <c r="J20" s="290">
        <f>241*J19</f>
        <v>964</v>
      </c>
      <c r="K20" s="290">
        <f>K19*100</f>
        <v>7700</v>
      </c>
      <c r="L20" s="290">
        <f>241*L19</f>
        <v>0</v>
      </c>
      <c r="M20" s="290">
        <f>47.1625*M19</f>
        <v>0</v>
      </c>
      <c r="N20" s="290">
        <f>N19*8.81</f>
        <v>0</v>
      </c>
      <c r="O20" s="290">
        <f>241*O19</f>
        <v>0</v>
      </c>
      <c r="P20" s="290">
        <f>P19*48.2</f>
        <v>4820</v>
      </c>
      <c r="Q20" s="2286">
        <f>470*Q19</f>
        <v>4700</v>
      </c>
      <c r="R20" s="2287"/>
      <c r="S20" s="290">
        <f>341*S19</f>
        <v>682</v>
      </c>
      <c r="T20" s="2257"/>
      <c r="U20" s="49" t="s">
        <v>59</v>
      </c>
      <c r="V20" s="2262">
        <v>60000</v>
      </c>
      <c r="W20" s="2262"/>
      <c r="X20" s="2262"/>
      <c r="Y20" s="2269"/>
    </row>
    <row r="21" spans="1:25" ht="32.25" customHeight="1" x14ac:dyDescent="0.25">
      <c r="A21" s="291" t="s">
        <v>186</v>
      </c>
      <c r="B21" s="2293">
        <f>SUM(B20:S20)</f>
        <v>548454.13749999995</v>
      </c>
      <c r="C21" s="2293"/>
      <c r="O21" s="1866"/>
      <c r="P21" s="1866"/>
      <c r="Q21" s="1866"/>
      <c r="R21" s="1866"/>
      <c r="T21" s="2294" t="s">
        <v>518</v>
      </c>
      <c r="U21" s="2295"/>
      <c r="V21" s="2297"/>
      <c r="W21" s="2298"/>
      <c r="X21" s="2299"/>
      <c r="Y21" s="2269"/>
    </row>
    <row r="22" spans="1:25" ht="35.25" customHeight="1" x14ac:dyDescent="0.25">
      <c r="A22" s="15"/>
      <c r="B22" s="2288" t="s">
        <v>49</v>
      </c>
      <c r="C22" s="2291">
        <v>100000</v>
      </c>
      <c r="D22" s="2291">
        <v>100000</v>
      </c>
      <c r="E22" s="2291">
        <v>92000</v>
      </c>
      <c r="F22" s="2291">
        <f>C22-D22+E22</f>
        <v>92000</v>
      </c>
      <c r="G22" s="1866"/>
      <c r="Q22" s="1866"/>
      <c r="R22" s="1866"/>
      <c r="T22" s="2251" t="s">
        <v>83</v>
      </c>
      <c r="U22" s="50" t="s">
        <v>60</v>
      </c>
      <c r="V22" s="2262">
        <v>140920</v>
      </c>
      <c r="W22" s="2262"/>
      <c r="X22" s="2262"/>
      <c r="Y22" s="2269"/>
    </row>
    <row r="23" spans="1:25" ht="39.75" customHeight="1" x14ac:dyDescent="0.25">
      <c r="A23" s="1866"/>
      <c r="B23" s="2289"/>
      <c r="C23" s="2292"/>
      <c r="D23" s="2292"/>
      <c r="E23" s="2292"/>
      <c r="F23" s="2292"/>
      <c r="G23" s="1866"/>
      <c r="Q23" s="1866"/>
      <c r="R23" s="1866"/>
      <c r="T23" s="2252"/>
      <c r="U23" s="50" t="s">
        <v>61</v>
      </c>
      <c r="V23" s="2262">
        <v>160000</v>
      </c>
      <c r="W23" s="2262"/>
      <c r="X23" s="2262"/>
      <c r="Y23" s="2269"/>
    </row>
    <row r="24" spans="1:25" ht="48" customHeight="1" x14ac:dyDescent="0.25">
      <c r="A24" s="1866"/>
      <c r="B24" s="2290"/>
      <c r="C24" s="290" t="s">
        <v>46</v>
      </c>
      <c r="D24" s="290" t="s">
        <v>50</v>
      </c>
      <c r="E24" s="290" t="s">
        <v>51</v>
      </c>
      <c r="F24" s="290" t="s">
        <v>52</v>
      </c>
      <c r="G24" s="1866"/>
      <c r="Q24" s="1866"/>
      <c r="R24" s="1866"/>
      <c r="T24" s="2235" t="s">
        <v>47</v>
      </c>
      <c r="U24" s="51" t="s">
        <v>62</v>
      </c>
      <c r="V24" s="2263">
        <f>V14+V16+V17-V18-V19-V20-V22+V23-V21</f>
        <v>37601.994999999995</v>
      </c>
      <c r="W24" s="2263"/>
      <c r="X24" s="2263"/>
      <c r="Y24" s="2269"/>
    </row>
    <row r="25" spans="1:25" ht="40.5" customHeight="1" x14ac:dyDescent="0.25">
      <c r="T25" s="2235"/>
      <c r="U25" s="51" t="s">
        <v>63</v>
      </c>
      <c r="V25" s="2262">
        <f>V15+V22-V23</f>
        <v>11389</v>
      </c>
      <c r="W25" s="2262"/>
      <c r="X25" s="2262"/>
    </row>
    <row r="26" spans="1:25" ht="36" customHeight="1" x14ac:dyDescent="0.25">
      <c r="K26" s="314"/>
    </row>
    <row r="28" spans="1:25" x14ac:dyDescent="0.25">
      <c r="J28" s="14" t="s">
        <v>139</v>
      </c>
    </row>
    <row r="32" spans="1:25" x14ac:dyDescent="0.25">
      <c r="I32" s="2280"/>
      <c r="J32" s="2280"/>
      <c r="K32" s="2280"/>
      <c r="L32" s="2280"/>
    </row>
    <row r="33" spans="9:12" x14ac:dyDescent="0.25">
      <c r="I33" s="1866"/>
      <c r="J33" s="1866"/>
      <c r="K33" s="2280"/>
      <c r="L33" s="2280"/>
    </row>
  </sheetData>
  <mergeCells count="62">
    <mergeCell ref="A1:Y1"/>
    <mergeCell ref="A2:Y2"/>
    <mergeCell ref="T3:Y3"/>
    <mergeCell ref="A4:A5"/>
    <mergeCell ref="B4:B5"/>
    <mergeCell ref="C4:D4"/>
    <mergeCell ref="E4:F4"/>
    <mergeCell ref="G4:H4"/>
    <mergeCell ref="I4:J4"/>
    <mergeCell ref="K4:L4"/>
    <mergeCell ref="Y4:Y5"/>
    <mergeCell ref="M4:N4"/>
    <mergeCell ref="O4:P4"/>
    <mergeCell ref="Q4:R4"/>
    <mergeCell ref="S4:T4"/>
    <mergeCell ref="U4:V4"/>
    <mergeCell ref="W4:X4"/>
    <mergeCell ref="B16:C16"/>
    <mergeCell ref="Q16:R16"/>
    <mergeCell ref="T16:U16"/>
    <mergeCell ref="V16:X16"/>
    <mergeCell ref="A12:B12"/>
    <mergeCell ref="B14:C14"/>
    <mergeCell ref="Q14:R14"/>
    <mergeCell ref="T14:T15"/>
    <mergeCell ref="V14:X14"/>
    <mergeCell ref="B15:C15"/>
    <mergeCell ref="Q15:R15"/>
    <mergeCell ref="V15:X15"/>
    <mergeCell ref="B17:C17"/>
    <mergeCell ref="Q17:R17"/>
    <mergeCell ref="T17:U17"/>
    <mergeCell ref="V17:X17"/>
    <mergeCell ref="B18:C18"/>
    <mergeCell ref="Q18:R18"/>
    <mergeCell ref="T18:U18"/>
    <mergeCell ref="V18:X18"/>
    <mergeCell ref="Y18:Y24"/>
    <mergeCell ref="B19:C19"/>
    <mergeCell ref="Q19:R19"/>
    <mergeCell ref="T19:T20"/>
    <mergeCell ref="V19:X19"/>
    <mergeCell ref="B20:C20"/>
    <mergeCell ref="B22:B24"/>
    <mergeCell ref="C22:C23"/>
    <mergeCell ref="D22:D23"/>
    <mergeCell ref="E22:E23"/>
    <mergeCell ref="F22:F23"/>
    <mergeCell ref="Q20:R20"/>
    <mergeCell ref="V20:X20"/>
    <mergeCell ref="B21:C21"/>
    <mergeCell ref="T21:U21"/>
    <mergeCell ref="V21:X21"/>
    <mergeCell ref="I32:J32"/>
    <mergeCell ref="K32:L32"/>
    <mergeCell ref="K33:L33"/>
    <mergeCell ref="T22:T23"/>
    <mergeCell ref="V22:X22"/>
    <mergeCell ref="V23:X23"/>
    <mergeCell ref="T24:T25"/>
    <mergeCell ref="V24:X24"/>
    <mergeCell ref="V25:X25"/>
  </mergeCells>
  <pageMargins left="0.15748031496063" right="0.15748031496063" top="0" bottom="0" header="0" footer="0"/>
  <pageSetup paperSize="9" scale="46" orientation="landscape" r:id="rId1"/>
</worksheet>
</file>

<file path=xl/worksheets/sheet29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8E60EF3-200A-4DED-A237-61C1A67BACC9}">
  <sheetPr>
    <pageSetUpPr fitToPage="1"/>
  </sheetPr>
  <dimension ref="A1:Y33"/>
  <sheetViews>
    <sheetView topLeftCell="D8" zoomScale="70" zoomScaleNormal="70" zoomScaleSheetLayoutView="100" zoomScalePageLayoutView="68" workbookViewId="0">
      <selection activeCell="L22" sqref="L22"/>
    </sheetView>
  </sheetViews>
  <sheetFormatPr defaultColWidth="9.140625" defaultRowHeight="15" x14ac:dyDescent="0.25"/>
  <cols>
    <col min="1" max="1" width="18.28515625" style="14" customWidth="1"/>
    <col min="2" max="2" width="10.7109375" style="14" customWidth="1"/>
    <col min="3" max="3" width="12.28515625" style="14" customWidth="1"/>
    <col min="4" max="4" width="13.140625" style="14" bestFit="1" customWidth="1"/>
    <col min="5" max="5" width="12" style="14" customWidth="1"/>
    <col min="6" max="6" width="14" style="14" bestFit="1" customWidth="1"/>
    <col min="7" max="7" width="16" style="14" bestFit="1" customWidth="1"/>
    <col min="8" max="8" width="10.140625" style="14" bestFit="1" customWidth="1"/>
    <col min="9" max="9" width="10.5703125" style="14" bestFit="1" customWidth="1"/>
    <col min="10" max="10" width="10.5703125" style="14" customWidth="1"/>
    <col min="11" max="11" width="10.28515625" style="14" bestFit="1" customWidth="1"/>
    <col min="12" max="12" width="10.42578125" style="14" bestFit="1" customWidth="1"/>
    <col min="13" max="14" width="12" style="14" bestFit="1" customWidth="1"/>
    <col min="15" max="15" width="11" style="14" customWidth="1"/>
    <col min="16" max="16" width="12.85546875" style="14" bestFit="1" customWidth="1"/>
    <col min="17" max="18" width="9.42578125" style="14" customWidth="1"/>
    <col min="19" max="19" width="13.7109375" style="14" customWidth="1"/>
    <col min="20" max="20" width="12.140625" style="14" customWidth="1"/>
    <col min="21" max="21" width="21.7109375" style="14" customWidth="1"/>
    <col min="22" max="22" width="9.85546875" style="14" customWidth="1"/>
    <col min="23" max="23" width="10.140625" style="14" bestFit="1" customWidth="1"/>
    <col min="24" max="24" width="10.28515625" style="14" customWidth="1"/>
    <col min="25" max="25" width="15.7109375" style="14" customWidth="1"/>
    <col min="26" max="16384" width="9.140625" style="14"/>
  </cols>
  <sheetData>
    <row r="1" spans="1:25" ht="46.15" customHeight="1" x14ac:dyDescent="0.25">
      <c r="A1" s="2240" t="s">
        <v>148</v>
      </c>
      <c r="B1" s="2240"/>
      <c r="C1" s="2240"/>
      <c r="D1" s="2240"/>
      <c r="E1" s="2240"/>
      <c r="F1" s="2240"/>
      <c r="G1" s="2240"/>
      <c r="H1" s="2240"/>
      <c r="I1" s="2240"/>
      <c r="J1" s="2240"/>
      <c r="K1" s="2240"/>
      <c r="L1" s="2240"/>
      <c r="M1" s="2240"/>
      <c r="N1" s="2240"/>
      <c r="O1" s="2240"/>
      <c r="P1" s="2240"/>
      <c r="Q1" s="2240"/>
      <c r="R1" s="2240"/>
      <c r="S1" s="2240"/>
      <c r="T1" s="2240"/>
      <c r="U1" s="2240"/>
      <c r="V1" s="2240"/>
      <c r="W1" s="2240"/>
      <c r="X1" s="2240"/>
      <c r="Y1" s="2240"/>
    </row>
    <row r="2" spans="1:25" ht="21.6" customHeight="1" x14ac:dyDescent="0.25">
      <c r="A2" s="2241" t="s">
        <v>383</v>
      </c>
      <c r="B2" s="2241"/>
      <c r="C2" s="2241"/>
      <c r="D2" s="2241"/>
      <c r="E2" s="2241"/>
      <c r="F2" s="2241"/>
      <c r="G2" s="2241"/>
      <c r="H2" s="2241"/>
      <c r="I2" s="2241"/>
      <c r="J2" s="2241"/>
      <c r="K2" s="2241"/>
      <c r="L2" s="2241"/>
      <c r="M2" s="2241"/>
      <c r="N2" s="2241"/>
      <c r="O2" s="2241"/>
      <c r="P2" s="2241"/>
      <c r="Q2" s="2241"/>
      <c r="R2" s="2241"/>
      <c r="S2" s="2241"/>
      <c r="T2" s="2241"/>
      <c r="U2" s="2241"/>
      <c r="V2" s="2241"/>
      <c r="W2" s="2241"/>
      <c r="X2" s="2241"/>
      <c r="Y2" s="2241"/>
    </row>
    <row r="3" spans="1:25" ht="21" customHeight="1" x14ac:dyDescent="0.25">
      <c r="A3" s="1861"/>
      <c r="B3" s="1861"/>
      <c r="C3" s="1861"/>
      <c r="D3" s="1861"/>
      <c r="E3" s="1861"/>
      <c r="F3" s="1861"/>
      <c r="G3" s="1861"/>
      <c r="H3" s="1861"/>
      <c r="I3" s="1861"/>
      <c r="J3" s="1861"/>
      <c r="K3" s="1861"/>
      <c r="L3" s="1861"/>
      <c r="M3" s="1861"/>
      <c r="N3" s="1861"/>
      <c r="O3" s="1861"/>
      <c r="P3" s="1861"/>
      <c r="Q3" s="1861"/>
      <c r="R3" s="1861"/>
      <c r="S3" s="1861"/>
      <c r="T3" s="2242" t="s">
        <v>548</v>
      </c>
      <c r="U3" s="2242"/>
      <c r="V3" s="2242"/>
      <c r="W3" s="2242"/>
      <c r="X3" s="2242"/>
      <c r="Y3" s="2242"/>
    </row>
    <row r="4" spans="1:25" s="1861" customFormat="1" ht="18" customHeight="1" x14ac:dyDescent="0.25">
      <c r="A4" s="2243" t="s">
        <v>25</v>
      </c>
      <c r="B4" s="2243" t="s">
        <v>26</v>
      </c>
      <c r="C4" s="2244" t="s">
        <v>27</v>
      </c>
      <c r="D4" s="2244"/>
      <c r="E4" s="2244" t="s">
        <v>544</v>
      </c>
      <c r="F4" s="2244"/>
      <c r="G4" s="2244" t="s">
        <v>65</v>
      </c>
      <c r="H4" s="2244"/>
      <c r="I4" s="2244" t="s">
        <v>29</v>
      </c>
      <c r="J4" s="2244"/>
      <c r="K4" s="2245" t="s">
        <v>14</v>
      </c>
      <c r="L4" s="2246"/>
      <c r="M4" s="2245" t="s">
        <v>429</v>
      </c>
      <c r="N4" s="2246"/>
      <c r="O4" s="2245" t="s">
        <v>441</v>
      </c>
      <c r="P4" s="2246"/>
      <c r="Q4" s="2245" t="s">
        <v>114</v>
      </c>
      <c r="R4" s="2246"/>
      <c r="S4" s="2244" t="s">
        <v>35</v>
      </c>
      <c r="T4" s="2244"/>
      <c r="U4" s="2245" t="s">
        <v>17</v>
      </c>
      <c r="V4" s="2246"/>
      <c r="W4" s="2247" t="s">
        <v>36</v>
      </c>
      <c r="X4" s="2248"/>
      <c r="Y4" s="2238" t="s">
        <v>30</v>
      </c>
    </row>
    <row r="5" spans="1:25" s="1861" customFormat="1" ht="25.5" customHeight="1" x14ac:dyDescent="0.25">
      <c r="A5" s="2243"/>
      <c r="B5" s="2243"/>
      <c r="C5" s="1860" t="s">
        <v>42</v>
      </c>
      <c r="D5" s="1860" t="s">
        <v>43</v>
      </c>
      <c r="E5" s="1860" t="s">
        <v>42</v>
      </c>
      <c r="F5" s="1860" t="s">
        <v>43</v>
      </c>
      <c r="G5" s="1860" t="s">
        <v>42</v>
      </c>
      <c r="H5" s="1860" t="s">
        <v>43</v>
      </c>
      <c r="I5" s="1860" t="s">
        <v>42</v>
      </c>
      <c r="J5" s="1860" t="s">
        <v>43</v>
      </c>
      <c r="K5" s="1860" t="s">
        <v>42</v>
      </c>
      <c r="L5" s="1860" t="s">
        <v>43</v>
      </c>
      <c r="M5" s="1860" t="s">
        <v>42</v>
      </c>
      <c r="N5" s="1860" t="s">
        <v>43</v>
      </c>
      <c r="O5" s="1860" t="s">
        <v>42</v>
      </c>
      <c r="P5" s="1860" t="s">
        <v>43</v>
      </c>
      <c r="Q5" s="1860" t="s">
        <v>42</v>
      </c>
      <c r="R5" s="1860" t="s">
        <v>43</v>
      </c>
      <c r="S5" s="33" t="s">
        <v>42</v>
      </c>
      <c r="T5" s="33" t="s">
        <v>43</v>
      </c>
      <c r="U5" s="30" t="s">
        <v>42</v>
      </c>
      <c r="V5" s="30" t="s">
        <v>43</v>
      </c>
      <c r="W5" s="30" t="s">
        <v>42</v>
      </c>
      <c r="X5" s="30" t="s">
        <v>43</v>
      </c>
      <c r="Y5" s="2239"/>
    </row>
    <row r="6" spans="1:25" ht="34.5" customHeight="1" x14ac:dyDescent="0.25">
      <c r="A6" s="12">
        <v>1409935200</v>
      </c>
      <c r="B6" s="1859" t="s">
        <v>71</v>
      </c>
      <c r="C6" s="1857">
        <v>22690</v>
      </c>
      <c r="D6" s="1856">
        <f t="shared" ref="D6:D11" si="0">0.9725*C6</f>
        <v>22066.025000000001</v>
      </c>
      <c r="E6" s="1857"/>
      <c r="F6" s="1856">
        <f>67.1*E6</f>
        <v>0</v>
      </c>
      <c r="G6" s="1857"/>
      <c r="H6" s="1857">
        <f>28.2*G6</f>
        <v>0</v>
      </c>
      <c r="I6" s="1857"/>
      <c r="J6" s="1857">
        <f>18.5*I6</f>
        <v>0</v>
      </c>
      <c r="K6" s="1857"/>
      <c r="L6" s="1856">
        <f>28.2368*K6</f>
        <v>0</v>
      </c>
      <c r="M6" s="1857"/>
      <c r="N6" s="1856">
        <f>M6*47.6525</f>
        <v>0</v>
      </c>
      <c r="O6" s="1857"/>
      <c r="P6" s="1856">
        <f>O6*8.9</f>
        <v>0</v>
      </c>
      <c r="Q6" s="1856"/>
      <c r="R6" s="1856">
        <f>241*Q6</f>
        <v>0</v>
      </c>
      <c r="S6" s="1857"/>
      <c r="T6" s="1857">
        <f>241*S6</f>
        <v>0</v>
      </c>
      <c r="U6" s="1857"/>
      <c r="V6" s="1857">
        <f>332*U6</f>
        <v>0</v>
      </c>
      <c r="W6" s="1857"/>
      <c r="X6" s="19">
        <f>W6*100</f>
        <v>0</v>
      </c>
      <c r="Y6" s="20">
        <f t="shared" ref="Y6:Y12" si="1">D6+F6+H6+J6+L6+N6+P6+R6+T6+V6+X6</f>
        <v>22066.025000000001</v>
      </c>
    </row>
    <row r="7" spans="1:25" ht="31.5" customHeight="1" x14ac:dyDescent="0.25">
      <c r="A7" s="12">
        <v>1984225578</v>
      </c>
      <c r="B7" s="1859" t="s">
        <v>509</v>
      </c>
      <c r="C7" s="1857">
        <v>22913</v>
      </c>
      <c r="D7" s="1856">
        <f t="shared" si="0"/>
        <v>22282.892500000002</v>
      </c>
      <c r="E7" s="1857"/>
      <c r="F7" s="1857">
        <f t="shared" ref="F7:F11" si="2">67.1*E7</f>
        <v>0</v>
      </c>
      <c r="G7" s="1857"/>
      <c r="H7" s="1857">
        <f t="shared" ref="H7:H11" si="3">28.2*G7</f>
        <v>0</v>
      </c>
      <c r="I7" s="1857"/>
      <c r="J7" s="1857">
        <f t="shared" ref="J7:J11" si="4">18.5*I7</f>
        <v>0</v>
      </c>
      <c r="K7" s="1857"/>
      <c r="L7" s="1856">
        <f t="shared" ref="L7:L11" si="5">28.2368*K7</f>
        <v>0</v>
      </c>
      <c r="M7" s="1857"/>
      <c r="N7" s="1856">
        <f t="shared" ref="N7:N11" si="6">M7*47.6525</f>
        <v>0</v>
      </c>
      <c r="O7" s="1857"/>
      <c r="P7" s="1856">
        <f t="shared" ref="P7:P11" si="7">O7*8.9</f>
        <v>0</v>
      </c>
      <c r="Q7" s="1856"/>
      <c r="R7" s="1856">
        <f t="shared" ref="R7:R11" si="8">241*Q7</f>
        <v>0</v>
      </c>
      <c r="S7" s="1857"/>
      <c r="T7" s="1857">
        <f t="shared" ref="T7:T10" si="9">241*S7</f>
        <v>0</v>
      </c>
      <c r="U7" s="1857"/>
      <c r="V7" s="1857">
        <f t="shared" ref="V7:V11" si="10">332*U7</f>
        <v>0</v>
      </c>
      <c r="W7" s="1857">
        <v>1</v>
      </c>
      <c r="X7" s="19">
        <f t="shared" ref="X7:X11" si="11">W7*100</f>
        <v>100</v>
      </c>
      <c r="Y7" s="20">
        <f t="shared" si="1"/>
        <v>22382.892500000002</v>
      </c>
    </row>
    <row r="8" spans="1:25" ht="35.25" customHeight="1" x14ac:dyDescent="0.25">
      <c r="A8" s="12">
        <v>1967020280</v>
      </c>
      <c r="B8" s="1859" t="s">
        <v>427</v>
      </c>
      <c r="C8" s="1857">
        <v>21369</v>
      </c>
      <c r="D8" s="1856">
        <f t="shared" si="0"/>
        <v>20781.352500000001</v>
      </c>
      <c r="E8" s="1857"/>
      <c r="F8" s="1857">
        <f t="shared" si="2"/>
        <v>0</v>
      </c>
      <c r="G8" s="1857"/>
      <c r="H8" s="1856">
        <f t="shared" si="3"/>
        <v>0</v>
      </c>
      <c r="I8" s="1857"/>
      <c r="J8" s="1857">
        <f t="shared" si="4"/>
        <v>0</v>
      </c>
      <c r="K8" s="1857"/>
      <c r="L8" s="1856">
        <f t="shared" si="5"/>
        <v>0</v>
      </c>
      <c r="M8" s="1857"/>
      <c r="N8" s="1856">
        <f t="shared" si="6"/>
        <v>0</v>
      </c>
      <c r="O8" s="1857"/>
      <c r="P8" s="1856">
        <f t="shared" si="7"/>
        <v>0</v>
      </c>
      <c r="Q8" s="1856"/>
      <c r="R8" s="1856">
        <f t="shared" si="8"/>
        <v>0</v>
      </c>
      <c r="S8" s="1857"/>
      <c r="T8" s="1857">
        <f t="shared" si="9"/>
        <v>0</v>
      </c>
      <c r="U8" s="1857"/>
      <c r="V8" s="1857">
        <f t="shared" si="10"/>
        <v>0</v>
      </c>
      <c r="W8" s="1857">
        <v>1</v>
      </c>
      <c r="X8" s="19">
        <f t="shared" si="11"/>
        <v>100</v>
      </c>
      <c r="Y8" s="20">
        <f t="shared" si="1"/>
        <v>20881.352500000001</v>
      </c>
    </row>
    <row r="9" spans="1:25" ht="38.25" customHeight="1" x14ac:dyDescent="0.25">
      <c r="A9" s="12">
        <v>1984225580</v>
      </c>
      <c r="B9" s="1859" t="s">
        <v>75</v>
      </c>
      <c r="C9" s="1857">
        <v>33815</v>
      </c>
      <c r="D9" s="1856">
        <f t="shared" si="0"/>
        <v>32885.087500000001</v>
      </c>
      <c r="E9" s="1857"/>
      <c r="F9" s="1857">
        <f t="shared" si="2"/>
        <v>0</v>
      </c>
      <c r="G9" s="1857"/>
      <c r="H9" s="1857">
        <f t="shared" si="3"/>
        <v>0</v>
      </c>
      <c r="I9" s="1857"/>
      <c r="J9" s="1857">
        <f t="shared" si="4"/>
        <v>0</v>
      </c>
      <c r="K9" s="1857"/>
      <c r="L9" s="1856">
        <f t="shared" si="5"/>
        <v>0</v>
      </c>
      <c r="M9" s="1857"/>
      <c r="N9" s="1856">
        <f t="shared" si="6"/>
        <v>0</v>
      </c>
      <c r="O9" s="1857"/>
      <c r="P9" s="1856">
        <f t="shared" si="7"/>
        <v>0</v>
      </c>
      <c r="Q9" s="1856"/>
      <c r="R9" s="1856">
        <f t="shared" si="8"/>
        <v>0</v>
      </c>
      <c r="S9" s="1857"/>
      <c r="T9" s="1857">
        <f t="shared" si="9"/>
        <v>0</v>
      </c>
      <c r="U9" s="1857"/>
      <c r="V9" s="1857">
        <f t="shared" si="10"/>
        <v>0</v>
      </c>
      <c r="W9" s="1857"/>
      <c r="X9" s="19">
        <f t="shared" si="11"/>
        <v>0</v>
      </c>
      <c r="Y9" s="20">
        <f t="shared" si="1"/>
        <v>32885.087500000001</v>
      </c>
    </row>
    <row r="10" spans="1:25" ht="35.25" customHeight="1" x14ac:dyDescent="0.25">
      <c r="A10" s="12">
        <v>1409935199</v>
      </c>
      <c r="C10" s="1857">
        <v>10283</v>
      </c>
      <c r="D10" s="1856">
        <f t="shared" si="0"/>
        <v>10000.217500000001</v>
      </c>
      <c r="E10" s="1857"/>
      <c r="F10" s="1857">
        <f t="shared" si="2"/>
        <v>0</v>
      </c>
      <c r="G10" s="1857"/>
      <c r="H10" s="1857">
        <f t="shared" si="3"/>
        <v>0</v>
      </c>
      <c r="I10" s="1857"/>
      <c r="J10" s="1857">
        <f t="shared" si="4"/>
        <v>0</v>
      </c>
      <c r="K10" s="1857"/>
      <c r="L10" s="1856">
        <f t="shared" si="5"/>
        <v>0</v>
      </c>
      <c r="M10" s="1857"/>
      <c r="N10" s="1856">
        <f t="shared" si="6"/>
        <v>0</v>
      </c>
      <c r="O10" s="1857"/>
      <c r="P10" s="1856">
        <f t="shared" si="7"/>
        <v>0</v>
      </c>
      <c r="Q10" s="1856"/>
      <c r="R10" s="1856">
        <f t="shared" si="8"/>
        <v>0</v>
      </c>
      <c r="S10" s="1857"/>
      <c r="T10" s="1857">
        <f t="shared" si="9"/>
        <v>0</v>
      </c>
      <c r="U10" s="1857"/>
      <c r="V10" s="1857">
        <f t="shared" si="10"/>
        <v>0</v>
      </c>
      <c r="W10" s="1857"/>
      <c r="X10" s="19">
        <f t="shared" si="11"/>
        <v>0</v>
      </c>
      <c r="Y10" s="20">
        <f t="shared" si="1"/>
        <v>10000.217500000001</v>
      </c>
    </row>
    <row r="11" spans="1:25" ht="37.5" customHeight="1" x14ac:dyDescent="0.25">
      <c r="A11" s="12"/>
      <c r="B11" s="1858"/>
      <c r="C11" s="1857"/>
      <c r="D11" s="1856">
        <f t="shared" si="0"/>
        <v>0</v>
      </c>
      <c r="E11" s="1857"/>
      <c r="F11" s="1857">
        <f t="shared" si="2"/>
        <v>0</v>
      </c>
      <c r="G11" s="1857"/>
      <c r="H11" s="1857">
        <f t="shared" si="3"/>
        <v>0</v>
      </c>
      <c r="I11" s="1857"/>
      <c r="J11" s="1857">
        <f t="shared" si="4"/>
        <v>0</v>
      </c>
      <c r="K11" s="1857"/>
      <c r="L11" s="1856">
        <f t="shared" si="5"/>
        <v>0</v>
      </c>
      <c r="M11" s="1857"/>
      <c r="N11" s="1856">
        <f t="shared" si="6"/>
        <v>0</v>
      </c>
      <c r="O11" s="1857"/>
      <c r="P11" s="1856">
        <f t="shared" si="7"/>
        <v>0</v>
      </c>
      <c r="Q11" s="1856"/>
      <c r="R11" s="1856">
        <f t="shared" si="8"/>
        <v>0</v>
      </c>
      <c r="S11" s="1857"/>
      <c r="T11" s="1857">
        <f>341*S11</f>
        <v>0</v>
      </c>
      <c r="U11" s="1857"/>
      <c r="V11" s="1857">
        <f t="shared" si="10"/>
        <v>0</v>
      </c>
      <c r="W11" s="1857"/>
      <c r="X11" s="19">
        <f t="shared" si="11"/>
        <v>0</v>
      </c>
      <c r="Y11" s="20">
        <f t="shared" si="1"/>
        <v>0</v>
      </c>
    </row>
    <row r="12" spans="1:25" ht="29.25" customHeight="1" x14ac:dyDescent="0.25">
      <c r="A12" s="2235" t="s">
        <v>31</v>
      </c>
      <c r="B12" s="2235"/>
      <c r="C12" s="18">
        <f t="shared" ref="C12:X12" si="12">SUM(C6:C11)</f>
        <v>111070</v>
      </c>
      <c r="D12" s="18">
        <f t="shared" si="12"/>
        <v>108015.57500000001</v>
      </c>
      <c r="E12" s="18">
        <f t="shared" si="12"/>
        <v>0</v>
      </c>
      <c r="F12" s="18">
        <f t="shared" si="12"/>
        <v>0</v>
      </c>
      <c r="G12" s="18">
        <f t="shared" si="12"/>
        <v>0</v>
      </c>
      <c r="H12" s="18">
        <f t="shared" si="12"/>
        <v>0</v>
      </c>
      <c r="I12" s="18">
        <f t="shared" si="12"/>
        <v>0</v>
      </c>
      <c r="J12" s="18">
        <f t="shared" si="12"/>
        <v>0</v>
      </c>
      <c r="K12" s="18">
        <f t="shared" si="12"/>
        <v>0</v>
      </c>
      <c r="L12" s="18">
        <f t="shared" si="12"/>
        <v>0</v>
      </c>
      <c r="M12" s="18">
        <f t="shared" si="12"/>
        <v>0</v>
      </c>
      <c r="N12" s="23">
        <f t="shared" si="12"/>
        <v>0</v>
      </c>
      <c r="O12" s="18">
        <f t="shared" si="12"/>
        <v>0</v>
      </c>
      <c r="P12" s="23">
        <f t="shared" si="12"/>
        <v>0</v>
      </c>
      <c r="Q12" s="23">
        <f t="shared" si="12"/>
        <v>0</v>
      </c>
      <c r="R12" s="23">
        <f>SUM(R6:R11)</f>
        <v>0</v>
      </c>
      <c r="S12" s="23">
        <f>SUM(S6:S11)</f>
        <v>0</v>
      </c>
      <c r="T12" s="18">
        <f t="shared" si="12"/>
        <v>0</v>
      </c>
      <c r="U12" s="18">
        <f t="shared" si="12"/>
        <v>0</v>
      </c>
      <c r="V12" s="18">
        <f t="shared" si="12"/>
        <v>0</v>
      </c>
      <c r="W12" s="18">
        <f t="shared" si="12"/>
        <v>2</v>
      </c>
      <c r="X12" s="18">
        <f t="shared" si="12"/>
        <v>200</v>
      </c>
      <c r="Y12" s="20">
        <f t="shared" si="1"/>
        <v>108215.57500000001</v>
      </c>
    </row>
    <row r="14" spans="1:25" ht="43.5" customHeight="1" x14ac:dyDescent="0.25">
      <c r="A14" s="30" t="s">
        <v>32</v>
      </c>
      <c r="B14" s="2236" t="s">
        <v>27</v>
      </c>
      <c r="C14" s="2236"/>
      <c r="D14" s="30" t="s">
        <v>543</v>
      </c>
      <c r="E14" s="30" t="s">
        <v>65</v>
      </c>
      <c r="F14" s="30" t="s">
        <v>34</v>
      </c>
      <c r="G14" s="30" t="s">
        <v>14</v>
      </c>
      <c r="H14" s="469" t="s">
        <v>173</v>
      </c>
      <c r="I14" s="30" t="s">
        <v>17</v>
      </c>
      <c r="J14" s="1865" t="s">
        <v>174</v>
      </c>
      <c r="K14" s="30" t="s">
        <v>36</v>
      </c>
      <c r="L14" s="1865" t="s">
        <v>403</v>
      </c>
      <c r="M14" s="1865" t="s">
        <v>549</v>
      </c>
      <c r="N14" s="30" t="s">
        <v>442</v>
      </c>
      <c r="O14" s="1865" t="s">
        <v>114</v>
      </c>
      <c r="P14" s="30" t="s">
        <v>70</v>
      </c>
      <c r="Q14" s="2300" t="s">
        <v>479</v>
      </c>
      <c r="R14" s="2301"/>
      <c r="S14" s="1865" t="s">
        <v>401</v>
      </c>
      <c r="T14" s="2235" t="s">
        <v>46</v>
      </c>
      <c r="U14" s="1859" t="s">
        <v>176</v>
      </c>
      <c r="V14" s="2260">
        <v>37602</v>
      </c>
      <c r="W14" s="2268"/>
      <c r="X14" s="2261"/>
    </row>
    <row r="15" spans="1:25" ht="22.5" customHeight="1" x14ac:dyDescent="0.25">
      <c r="A15" s="100" t="s">
        <v>38</v>
      </c>
      <c r="B15" s="2260">
        <v>469143</v>
      </c>
      <c r="C15" s="2261"/>
      <c r="D15" s="1862">
        <v>500</v>
      </c>
      <c r="E15" s="1862">
        <v>0</v>
      </c>
      <c r="F15" s="1862">
        <v>2000</v>
      </c>
      <c r="G15" s="1862">
        <v>0</v>
      </c>
      <c r="H15" s="1862">
        <v>38</v>
      </c>
      <c r="I15" s="1862">
        <v>70</v>
      </c>
      <c r="J15" s="1862">
        <v>4</v>
      </c>
      <c r="K15" s="1862">
        <v>77</v>
      </c>
      <c r="L15" s="1862">
        <v>0</v>
      </c>
      <c r="M15" s="1862">
        <v>0</v>
      </c>
      <c r="N15" s="1862">
        <v>0</v>
      </c>
      <c r="O15" s="1862">
        <v>0</v>
      </c>
      <c r="P15" s="1862">
        <v>100</v>
      </c>
      <c r="Q15" s="2260">
        <v>10</v>
      </c>
      <c r="R15" s="2261"/>
      <c r="S15" s="1859">
        <v>2</v>
      </c>
      <c r="T15" s="2235"/>
      <c r="U15" s="1859" t="s">
        <v>64</v>
      </c>
      <c r="V15" s="2262">
        <v>11389</v>
      </c>
      <c r="W15" s="2262"/>
      <c r="X15" s="2262"/>
    </row>
    <row r="16" spans="1:25" ht="24.75" customHeight="1" x14ac:dyDescent="0.25">
      <c r="A16" s="100" t="s">
        <v>39</v>
      </c>
      <c r="B16" s="2260">
        <v>207792</v>
      </c>
      <c r="C16" s="2261"/>
      <c r="D16" s="1862"/>
      <c r="E16" s="1862"/>
      <c r="F16" s="1862"/>
      <c r="G16" s="1862"/>
      <c r="H16" s="1862"/>
      <c r="I16" s="1862"/>
      <c r="J16" s="1862"/>
      <c r="K16" s="1862"/>
      <c r="L16" s="1862"/>
      <c r="M16" s="1862">
        <v>15</v>
      </c>
      <c r="N16" s="1862"/>
      <c r="O16" s="1862"/>
      <c r="P16" s="1862"/>
      <c r="Q16" s="2262"/>
      <c r="R16" s="2262"/>
      <c r="S16" s="1862"/>
      <c r="T16" s="2254" t="s">
        <v>55</v>
      </c>
      <c r="U16" s="2254"/>
      <c r="V16" s="2267">
        <f>Y12</f>
        <v>108215.57500000001</v>
      </c>
      <c r="W16" s="2267"/>
      <c r="X16" s="2262"/>
    </row>
    <row r="17" spans="1:25" ht="28.5" customHeight="1" x14ac:dyDescent="0.25">
      <c r="A17" s="101" t="s">
        <v>44</v>
      </c>
      <c r="B17" s="2260">
        <v>374</v>
      </c>
      <c r="C17" s="2261"/>
      <c r="D17" s="1862"/>
      <c r="E17" s="1862"/>
      <c r="F17" s="1862"/>
      <c r="G17" s="1862"/>
      <c r="H17" s="1862"/>
      <c r="I17" s="1862"/>
      <c r="J17" s="1862"/>
      <c r="K17" s="1862"/>
      <c r="L17" s="1862"/>
      <c r="M17" s="1862"/>
      <c r="N17" s="1862"/>
      <c r="O17" s="1862"/>
      <c r="P17" s="1862"/>
      <c r="Q17" s="2225"/>
      <c r="R17" s="2225"/>
      <c r="S17" s="1858"/>
      <c r="T17" s="2294" t="s">
        <v>521</v>
      </c>
      <c r="U17" s="2295"/>
      <c r="V17" s="2296"/>
      <c r="W17" s="2296"/>
      <c r="X17" s="2296"/>
    </row>
    <row r="18" spans="1:25" ht="27" customHeight="1" x14ac:dyDescent="0.25">
      <c r="A18" s="100" t="s">
        <v>40</v>
      </c>
      <c r="B18" s="2264">
        <f>C12</f>
        <v>111070</v>
      </c>
      <c r="C18" s="2261"/>
      <c r="D18" s="1864">
        <f>E12</f>
        <v>0</v>
      </c>
      <c r="E18" s="1864">
        <f>G12</f>
        <v>0</v>
      </c>
      <c r="F18" s="1864">
        <f>I12</f>
        <v>0</v>
      </c>
      <c r="G18" s="1864">
        <f>K12</f>
        <v>0</v>
      </c>
      <c r="H18" s="1862"/>
      <c r="I18" s="1864">
        <f>U12</f>
        <v>0</v>
      </c>
      <c r="J18" s="1862"/>
      <c r="K18" s="1864">
        <f>W12</f>
        <v>2</v>
      </c>
      <c r="L18" s="1862"/>
      <c r="M18" s="1864">
        <f>M12</f>
        <v>0</v>
      </c>
      <c r="N18" s="1864">
        <f>O12</f>
        <v>0</v>
      </c>
      <c r="O18" s="1863">
        <f>Q12</f>
        <v>0</v>
      </c>
      <c r="P18" s="1864"/>
      <c r="Q18" s="2262"/>
      <c r="R18" s="2262"/>
      <c r="S18" s="1859"/>
      <c r="T18" s="2254" t="s">
        <v>57</v>
      </c>
      <c r="U18" s="2254"/>
      <c r="V18" s="2262">
        <v>3766</v>
      </c>
      <c r="W18" s="2262"/>
      <c r="X18" s="2262"/>
      <c r="Y18" s="2269"/>
    </row>
    <row r="19" spans="1:25" ht="25.5" customHeight="1" x14ac:dyDescent="0.25">
      <c r="A19" s="100" t="s">
        <v>41</v>
      </c>
      <c r="B19" s="2260">
        <f>B15+B16+B17-B18</f>
        <v>566239</v>
      </c>
      <c r="C19" s="2261"/>
      <c r="D19" s="1862">
        <f>D15+D16+D17-D18</f>
        <v>500</v>
      </c>
      <c r="E19" s="1862">
        <f t="shared" ref="E19:N19" si="13">E15+E16+E17-E18</f>
        <v>0</v>
      </c>
      <c r="F19" s="1862">
        <f t="shared" si="13"/>
        <v>2000</v>
      </c>
      <c r="G19" s="1862">
        <f t="shared" si="13"/>
        <v>0</v>
      </c>
      <c r="H19" s="1862">
        <f t="shared" si="13"/>
        <v>38</v>
      </c>
      <c r="I19" s="1862">
        <f t="shared" si="13"/>
        <v>70</v>
      </c>
      <c r="J19" s="1862">
        <f t="shared" si="13"/>
        <v>4</v>
      </c>
      <c r="K19" s="1862">
        <f t="shared" si="13"/>
        <v>75</v>
      </c>
      <c r="L19" s="1862">
        <f t="shared" si="13"/>
        <v>0</v>
      </c>
      <c r="M19" s="1862">
        <f t="shared" si="13"/>
        <v>15</v>
      </c>
      <c r="N19" s="1862">
        <f t="shared" si="13"/>
        <v>0</v>
      </c>
      <c r="O19" s="1862">
        <f>O15+O16+O17-O18</f>
        <v>0</v>
      </c>
      <c r="P19" s="1862">
        <f t="shared" ref="P19:Q19" si="14">P15+P16+P17-P18</f>
        <v>100</v>
      </c>
      <c r="Q19" s="2260">
        <f t="shared" si="14"/>
        <v>10</v>
      </c>
      <c r="R19" s="2261"/>
      <c r="S19" s="1859">
        <f>S15+S16-S17-S18</f>
        <v>2</v>
      </c>
      <c r="T19" s="2256" t="s">
        <v>48</v>
      </c>
      <c r="U19" s="49" t="s">
        <v>58</v>
      </c>
      <c r="V19" s="2262">
        <v>92000</v>
      </c>
      <c r="W19" s="2262"/>
      <c r="X19" s="2262"/>
      <c r="Y19" s="2269"/>
    </row>
    <row r="20" spans="1:25" ht="23.25" customHeight="1" x14ac:dyDescent="0.25">
      <c r="A20" s="289" t="s">
        <v>187</v>
      </c>
      <c r="B20" s="2286">
        <f>B19*0.9625</f>
        <v>545005.03749999998</v>
      </c>
      <c r="C20" s="2287"/>
      <c r="D20" s="290">
        <f>D19*19.3</f>
        <v>9650</v>
      </c>
      <c r="E20" s="290">
        <f>27.9368*E19</f>
        <v>0</v>
      </c>
      <c r="F20" s="290">
        <f>18.31*F19</f>
        <v>36620</v>
      </c>
      <c r="G20" s="290">
        <f>27.9368*G19</f>
        <v>0</v>
      </c>
      <c r="H20" s="290">
        <f>241*H19</f>
        <v>9158</v>
      </c>
      <c r="I20" s="290">
        <f>323*I19</f>
        <v>22610</v>
      </c>
      <c r="J20" s="290">
        <f>241*J19</f>
        <v>964</v>
      </c>
      <c r="K20" s="290">
        <f>K19*100</f>
        <v>7500</v>
      </c>
      <c r="L20" s="290">
        <f>241*L19</f>
        <v>0</v>
      </c>
      <c r="M20" s="290">
        <f>470*M19</f>
        <v>7050</v>
      </c>
      <c r="N20" s="290">
        <f>N19*8.81</f>
        <v>0</v>
      </c>
      <c r="O20" s="290">
        <f>241*O19</f>
        <v>0</v>
      </c>
      <c r="P20" s="290">
        <f>P19*48.2</f>
        <v>4820</v>
      </c>
      <c r="Q20" s="2286">
        <f>470*Q19</f>
        <v>4700</v>
      </c>
      <c r="R20" s="2287"/>
      <c r="S20" s="290">
        <f>341*S19</f>
        <v>682</v>
      </c>
      <c r="T20" s="2257"/>
      <c r="U20" s="49" t="s">
        <v>59</v>
      </c>
      <c r="V20" s="2262"/>
      <c r="W20" s="2262"/>
      <c r="X20" s="2262"/>
      <c r="Y20" s="2269"/>
    </row>
    <row r="21" spans="1:25" ht="32.25" customHeight="1" x14ac:dyDescent="0.25">
      <c r="A21" s="291" t="s">
        <v>186</v>
      </c>
      <c r="B21" s="2293">
        <f>SUM(B20:S20)</f>
        <v>648759.03749999998</v>
      </c>
      <c r="C21" s="2293"/>
      <c r="O21" s="1866"/>
      <c r="P21" s="1866"/>
      <c r="Q21" s="1866"/>
      <c r="R21" s="1866"/>
      <c r="T21" s="2294" t="s">
        <v>518</v>
      </c>
      <c r="U21" s="2295"/>
      <c r="V21" s="2297"/>
      <c r="W21" s="2298"/>
      <c r="X21" s="2299"/>
      <c r="Y21" s="2269"/>
    </row>
    <row r="22" spans="1:25" ht="35.25" customHeight="1" x14ac:dyDescent="0.25">
      <c r="A22" s="15"/>
      <c r="B22" s="2288" t="s">
        <v>49</v>
      </c>
      <c r="C22" s="2291">
        <v>92000</v>
      </c>
      <c r="D22" s="2291">
        <v>92000</v>
      </c>
      <c r="E22" s="2291">
        <v>200000</v>
      </c>
      <c r="F22" s="2291">
        <f>C22-D22+E22</f>
        <v>200000</v>
      </c>
      <c r="G22" s="1866"/>
      <c r="Q22" s="1866"/>
      <c r="R22" s="1866"/>
      <c r="T22" s="2251" t="s">
        <v>83</v>
      </c>
      <c r="U22" s="50" t="s">
        <v>60</v>
      </c>
      <c r="V22" s="2262">
        <v>96480</v>
      </c>
      <c r="W22" s="2262"/>
      <c r="X22" s="2262"/>
      <c r="Y22" s="2269"/>
    </row>
    <row r="23" spans="1:25" ht="39.75" customHeight="1" x14ac:dyDescent="0.25">
      <c r="A23" s="1866"/>
      <c r="B23" s="2289"/>
      <c r="C23" s="2292"/>
      <c r="D23" s="2292"/>
      <c r="E23" s="2292"/>
      <c r="F23" s="2292"/>
      <c r="G23" s="1866"/>
      <c r="Q23" s="1866"/>
      <c r="R23" s="1866"/>
      <c r="T23" s="2252"/>
      <c r="U23" s="50" t="s">
        <v>61</v>
      </c>
      <c r="V23" s="2262">
        <v>92000</v>
      </c>
      <c r="W23" s="2262"/>
      <c r="X23" s="2262"/>
      <c r="Y23" s="2269"/>
    </row>
    <row r="24" spans="1:25" ht="48" customHeight="1" x14ac:dyDescent="0.25">
      <c r="A24" s="1866"/>
      <c r="B24" s="2290"/>
      <c r="C24" s="290" t="s">
        <v>46</v>
      </c>
      <c r="D24" s="290" t="s">
        <v>50</v>
      </c>
      <c r="E24" s="290" t="s">
        <v>51</v>
      </c>
      <c r="F24" s="290" t="s">
        <v>52</v>
      </c>
      <c r="G24" s="1866"/>
      <c r="Q24" s="1866"/>
      <c r="R24" s="1866"/>
      <c r="T24" s="2235" t="s">
        <v>47</v>
      </c>
      <c r="U24" s="51" t="s">
        <v>62</v>
      </c>
      <c r="V24" s="2263">
        <f>V14+V16+V17-V18-V19-V20-V22+V23-V21</f>
        <v>45571.575000000012</v>
      </c>
      <c r="W24" s="2263"/>
      <c r="X24" s="2263"/>
      <c r="Y24" s="2269"/>
    </row>
    <row r="25" spans="1:25" ht="40.5" customHeight="1" x14ac:dyDescent="0.25">
      <c r="T25" s="2235"/>
      <c r="U25" s="51" t="s">
        <v>63</v>
      </c>
      <c r="V25" s="2262">
        <f>V15+V22-V23</f>
        <v>15869</v>
      </c>
      <c r="W25" s="2262"/>
      <c r="X25" s="2262"/>
    </row>
    <row r="26" spans="1:25" ht="36" customHeight="1" x14ac:dyDescent="0.25">
      <c r="K26" s="314"/>
    </row>
    <row r="28" spans="1:25" x14ac:dyDescent="0.25">
      <c r="J28" s="14" t="s">
        <v>139</v>
      </c>
    </row>
    <row r="32" spans="1:25" x14ac:dyDescent="0.25">
      <c r="I32" s="2280"/>
      <c r="J32" s="2280"/>
      <c r="K32" s="2280"/>
      <c r="L32" s="2280"/>
    </row>
    <row r="33" spans="9:12" x14ac:dyDescent="0.25">
      <c r="I33" s="1866"/>
      <c r="J33" s="1866"/>
      <c r="K33" s="2280"/>
      <c r="L33" s="2280"/>
    </row>
  </sheetData>
  <mergeCells count="62">
    <mergeCell ref="A1:Y1"/>
    <mergeCell ref="A2:Y2"/>
    <mergeCell ref="T3:Y3"/>
    <mergeCell ref="A4:A5"/>
    <mergeCell ref="B4:B5"/>
    <mergeCell ref="C4:D4"/>
    <mergeCell ref="E4:F4"/>
    <mergeCell ref="G4:H4"/>
    <mergeCell ref="I4:J4"/>
    <mergeCell ref="K4:L4"/>
    <mergeCell ref="Y4:Y5"/>
    <mergeCell ref="M4:N4"/>
    <mergeCell ref="O4:P4"/>
    <mergeCell ref="Q4:R4"/>
    <mergeCell ref="S4:T4"/>
    <mergeCell ref="U4:V4"/>
    <mergeCell ref="W4:X4"/>
    <mergeCell ref="B16:C16"/>
    <mergeCell ref="Q16:R16"/>
    <mergeCell ref="T16:U16"/>
    <mergeCell ref="V16:X16"/>
    <mergeCell ref="A12:B12"/>
    <mergeCell ref="B14:C14"/>
    <mergeCell ref="Q14:R14"/>
    <mergeCell ref="T14:T15"/>
    <mergeCell ref="V14:X14"/>
    <mergeCell ref="B15:C15"/>
    <mergeCell ref="Q15:R15"/>
    <mergeCell ref="V15:X15"/>
    <mergeCell ref="B17:C17"/>
    <mergeCell ref="Q17:R17"/>
    <mergeCell ref="T17:U17"/>
    <mergeCell ref="V17:X17"/>
    <mergeCell ref="B18:C18"/>
    <mergeCell ref="Q18:R18"/>
    <mergeCell ref="T18:U18"/>
    <mergeCell ref="V18:X18"/>
    <mergeCell ref="Y18:Y24"/>
    <mergeCell ref="B19:C19"/>
    <mergeCell ref="Q19:R19"/>
    <mergeCell ref="T19:T20"/>
    <mergeCell ref="V19:X19"/>
    <mergeCell ref="B20:C20"/>
    <mergeCell ref="B22:B24"/>
    <mergeCell ref="C22:C23"/>
    <mergeCell ref="D22:D23"/>
    <mergeCell ref="E22:E23"/>
    <mergeCell ref="F22:F23"/>
    <mergeCell ref="Q20:R20"/>
    <mergeCell ref="V20:X20"/>
    <mergeCell ref="B21:C21"/>
    <mergeCell ref="T21:U21"/>
    <mergeCell ref="V21:X21"/>
    <mergeCell ref="I32:J32"/>
    <mergeCell ref="K32:L32"/>
    <mergeCell ref="K33:L33"/>
    <mergeCell ref="T22:T23"/>
    <mergeCell ref="V22:X22"/>
    <mergeCell ref="V23:X23"/>
    <mergeCell ref="T24:T25"/>
    <mergeCell ref="V24:X24"/>
    <mergeCell ref="V25:X25"/>
  </mergeCells>
  <pageMargins left="0.15748031496063" right="0.15748031496063" top="0" bottom="0" header="0" footer="0"/>
  <pageSetup paperSize="9" scale="46" orientation="landscape" r:id="rId1"/>
</worksheet>
</file>

<file path=xl/worksheets/sheet29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F2E883C-F0A8-49E4-9FB0-321EC6F71869}">
  <sheetPr>
    <pageSetUpPr fitToPage="1"/>
  </sheetPr>
  <dimension ref="A1:Y33"/>
  <sheetViews>
    <sheetView topLeftCell="A8" zoomScale="70" zoomScaleNormal="70" zoomScaleSheetLayoutView="100" zoomScalePageLayoutView="68" workbookViewId="0">
      <selection activeCell="K24" sqref="K24"/>
    </sheetView>
  </sheetViews>
  <sheetFormatPr defaultColWidth="9.140625" defaultRowHeight="15" x14ac:dyDescent="0.25"/>
  <cols>
    <col min="1" max="1" width="18.28515625" style="14" customWidth="1"/>
    <col min="2" max="2" width="10.7109375" style="14" customWidth="1"/>
    <col min="3" max="3" width="12.28515625" style="14" customWidth="1"/>
    <col min="4" max="4" width="13.140625" style="14" bestFit="1" customWidth="1"/>
    <col min="5" max="5" width="12" style="14" customWidth="1"/>
    <col min="6" max="6" width="14" style="14" bestFit="1" customWidth="1"/>
    <col min="7" max="7" width="16" style="14" bestFit="1" customWidth="1"/>
    <col min="8" max="8" width="10.140625" style="14" bestFit="1" customWidth="1"/>
    <col min="9" max="9" width="10.5703125" style="14" bestFit="1" customWidth="1"/>
    <col min="10" max="10" width="10.5703125" style="14" customWidth="1"/>
    <col min="11" max="11" width="10.28515625" style="14" bestFit="1" customWidth="1"/>
    <col min="12" max="12" width="10.42578125" style="14" bestFit="1" customWidth="1"/>
    <col min="13" max="14" width="12" style="14" bestFit="1" customWidth="1"/>
    <col min="15" max="15" width="11" style="14" customWidth="1"/>
    <col min="16" max="16" width="12.85546875" style="14" bestFit="1" customWidth="1"/>
    <col min="17" max="18" width="9.42578125" style="14" customWidth="1"/>
    <col min="19" max="19" width="13.7109375" style="14" customWidth="1"/>
    <col min="20" max="20" width="12.140625" style="14" customWidth="1"/>
    <col min="21" max="21" width="21.7109375" style="14" customWidth="1"/>
    <col min="22" max="22" width="9.85546875" style="14" customWidth="1"/>
    <col min="23" max="23" width="10.140625" style="14" bestFit="1" customWidth="1"/>
    <col min="24" max="24" width="10.28515625" style="14" customWidth="1"/>
    <col min="25" max="25" width="15.7109375" style="14" customWidth="1"/>
    <col min="26" max="16384" width="9.140625" style="14"/>
  </cols>
  <sheetData>
    <row r="1" spans="1:25" ht="46.15" customHeight="1" x14ac:dyDescent="0.25">
      <c r="A1" s="2240" t="s">
        <v>148</v>
      </c>
      <c r="B1" s="2240"/>
      <c r="C1" s="2240"/>
      <c r="D1" s="2240"/>
      <c r="E1" s="2240"/>
      <c r="F1" s="2240"/>
      <c r="G1" s="2240"/>
      <c r="H1" s="2240"/>
      <c r="I1" s="2240"/>
      <c r="J1" s="2240"/>
      <c r="K1" s="2240"/>
      <c r="L1" s="2240"/>
      <c r="M1" s="2240"/>
      <c r="N1" s="2240"/>
      <c r="O1" s="2240"/>
      <c r="P1" s="2240"/>
      <c r="Q1" s="2240"/>
      <c r="R1" s="2240"/>
      <c r="S1" s="2240"/>
      <c r="T1" s="2240"/>
      <c r="U1" s="2240"/>
      <c r="V1" s="2240"/>
      <c r="W1" s="2240"/>
      <c r="X1" s="2240"/>
      <c r="Y1" s="2240"/>
    </row>
    <row r="2" spans="1:25" ht="21.6" customHeight="1" x14ac:dyDescent="0.25">
      <c r="A2" s="2241" t="s">
        <v>383</v>
      </c>
      <c r="B2" s="2241"/>
      <c r="C2" s="2241"/>
      <c r="D2" s="2241"/>
      <c r="E2" s="2241"/>
      <c r="F2" s="2241"/>
      <c r="G2" s="2241"/>
      <c r="H2" s="2241"/>
      <c r="I2" s="2241"/>
      <c r="J2" s="2241"/>
      <c r="K2" s="2241"/>
      <c r="L2" s="2241"/>
      <c r="M2" s="2241"/>
      <c r="N2" s="2241"/>
      <c r="O2" s="2241"/>
      <c r="P2" s="2241"/>
      <c r="Q2" s="2241"/>
      <c r="R2" s="2241"/>
      <c r="S2" s="2241"/>
      <c r="T2" s="2241"/>
      <c r="U2" s="2241"/>
      <c r="V2" s="2241"/>
      <c r="W2" s="2241"/>
      <c r="X2" s="2241"/>
      <c r="Y2" s="2241"/>
    </row>
    <row r="3" spans="1:25" ht="21" customHeight="1" x14ac:dyDescent="0.25">
      <c r="A3" s="1867"/>
      <c r="B3" s="1867"/>
      <c r="C3" s="1867"/>
      <c r="D3" s="1867"/>
      <c r="E3" s="1867"/>
      <c r="F3" s="1867"/>
      <c r="G3" s="1867"/>
      <c r="H3" s="1867"/>
      <c r="I3" s="1867"/>
      <c r="J3" s="1867"/>
      <c r="K3" s="1867"/>
      <c r="L3" s="1867"/>
      <c r="M3" s="1867"/>
      <c r="N3" s="1867"/>
      <c r="O3" s="1867"/>
      <c r="P3" s="1867"/>
      <c r="Q3" s="1867"/>
      <c r="R3" s="1867"/>
      <c r="S3" s="1867"/>
      <c r="T3" s="2242" t="s">
        <v>550</v>
      </c>
      <c r="U3" s="2242"/>
      <c r="V3" s="2242"/>
      <c r="W3" s="2242"/>
      <c r="X3" s="2242"/>
      <c r="Y3" s="2242"/>
    </row>
    <row r="4" spans="1:25" s="1867" customFormat="1" ht="18" customHeight="1" x14ac:dyDescent="0.25">
      <c r="A4" s="2243" t="s">
        <v>25</v>
      </c>
      <c r="B4" s="2243" t="s">
        <v>26</v>
      </c>
      <c r="C4" s="2244" t="s">
        <v>27</v>
      </c>
      <c r="D4" s="2244"/>
      <c r="E4" s="2244" t="s">
        <v>544</v>
      </c>
      <c r="F4" s="2244"/>
      <c r="G4" s="2244" t="s">
        <v>65</v>
      </c>
      <c r="H4" s="2244"/>
      <c r="I4" s="2244" t="s">
        <v>29</v>
      </c>
      <c r="J4" s="2244"/>
      <c r="K4" s="2245" t="s">
        <v>14</v>
      </c>
      <c r="L4" s="2246"/>
      <c r="M4" s="2245" t="s">
        <v>429</v>
      </c>
      <c r="N4" s="2246"/>
      <c r="O4" s="2245" t="s">
        <v>441</v>
      </c>
      <c r="P4" s="2246"/>
      <c r="Q4" s="2245" t="s">
        <v>114</v>
      </c>
      <c r="R4" s="2246"/>
      <c r="S4" s="2244" t="s">
        <v>35</v>
      </c>
      <c r="T4" s="2244"/>
      <c r="U4" s="2245" t="s">
        <v>17</v>
      </c>
      <c r="V4" s="2246"/>
      <c r="W4" s="2247" t="s">
        <v>36</v>
      </c>
      <c r="X4" s="2248"/>
      <c r="Y4" s="2238" t="s">
        <v>30</v>
      </c>
    </row>
    <row r="5" spans="1:25" s="1867" customFormat="1" ht="25.5" customHeight="1" x14ac:dyDescent="0.25">
      <c r="A5" s="2243"/>
      <c r="B5" s="2243"/>
      <c r="C5" s="1869" t="s">
        <v>42</v>
      </c>
      <c r="D5" s="1869" t="s">
        <v>43</v>
      </c>
      <c r="E5" s="1869" t="s">
        <v>42</v>
      </c>
      <c r="F5" s="1869" t="s">
        <v>43</v>
      </c>
      <c r="G5" s="1869" t="s">
        <v>42</v>
      </c>
      <c r="H5" s="1869" t="s">
        <v>43</v>
      </c>
      <c r="I5" s="1869" t="s">
        <v>42</v>
      </c>
      <c r="J5" s="1869" t="s">
        <v>43</v>
      </c>
      <c r="K5" s="1869" t="s">
        <v>42</v>
      </c>
      <c r="L5" s="1869" t="s">
        <v>43</v>
      </c>
      <c r="M5" s="1869" t="s">
        <v>42</v>
      </c>
      <c r="N5" s="1869" t="s">
        <v>43</v>
      </c>
      <c r="O5" s="1869" t="s">
        <v>42</v>
      </c>
      <c r="P5" s="1869" t="s">
        <v>43</v>
      </c>
      <c r="Q5" s="1869" t="s">
        <v>42</v>
      </c>
      <c r="R5" s="1869" t="s">
        <v>43</v>
      </c>
      <c r="S5" s="33" t="s">
        <v>42</v>
      </c>
      <c r="T5" s="33" t="s">
        <v>43</v>
      </c>
      <c r="U5" s="30" t="s">
        <v>42</v>
      </c>
      <c r="V5" s="30" t="s">
        <v>43</v>
      </c>
      <c r="W5" s="30" t="s">
        <v>42</v>
      </c>
      <c r="X5" s="30" t="s">
        <v>43</v>
      </c>
      <c r="Y5" s="2239"/>
    </row>
    <row r="6" spans="1:25" ht="34.5" customHeight="1" x14ac:dyDescent="0.25">
      <c r="A6" s="12">
        <v>1409935200</v>
      </c>
      <c r="B6" s="1868" t="s">
        <v>71</v>
      </c>
      <c r="C6" s="1871">
        <v>31645</v>
      </c>
      <c r="D6" s="1872">
        <f t="shared" ref="D6:D11" si="0">0.9725*C6</f>
        <v>30774.762500000001</v>
      </c>
      <c r="E6" s="1871"/>
      <c r="F6" s="1872">
        <f>67.1*E6</f>
        <v>0</v>
      </c>
      <c r="G6" s="1871"/>
      <c r="H6" s="1871">
        <f>28.2*G6</f>
        <v>0</v>
      </c>
      <c r="I6" s="1871"/>
      <c r="J6" s="1871">
        <f>18.5*I6</f>
        <v>0</v>
      </c>
      <c r="K6" s="1871"/>
      <c r="L6" s="1872">
        <f>28.2368*K6</f>
        <v>0</v>
      </c>
      <c r="M6" s="1871"/>
      <c r="N6" s="1872">
        <f>M6*47.6525</f>
        <v>0</v>
      </c>
      <c r="O6" s="1871"/>
      <c r="P6" s="1872">
        <f>O6*8.9</f>
        <v>0</v>
      </c>
      <c r="Q6" s="1872"/>
      <c r="R6" s="1872">
        <f>241*Q6</f>
        <v>0</v>
      </c>
      <c r="S6" s="1871"/>
      <c r="T6" s="1871">
        <f>241*S6</f>
        <v>0</v>
      </c>
      <c r="U6" s="1871"/>
      <c r="V6" s="1871">
        <f>332*U6</f>
        <v>0</v>
      </c>
      <c r="W6" s="1871"/>
      <c r="X6" s="19">
        <f>W6*100</f>
        <v>0</v>
      </c>
      <c r="Y6" s="20">
        <f t="shared" ref="Y6:Y12" si="1">D6+F6+H6+J6+L6+N6+P6+R6+T6+V6+X6</f>
        <v>30774.762500000001</v>
      </c>
    </row>
    <row r="7" spans="1:25" ht="31.5" customHeight="1" x14ac:dyDescent="0.25">
      <c r="A7" s="12">
        <v>1984225578</v>
      </c>
      <c r="B7" s="1868" t="s">
        <v>509</v>
      </c>
      <c r="C7" s="1871">
        <v>22199</v>
      </c>
      <c r="D7" s="1872">
        <f t="shared" si="0"/>
        <v>21588.5275</v>
      </c>
      <c r="E7" s="1871"/>
      <c r="F7" s="1871">
        <f t="shared" ref="F7:F11" si="2">67.1*E7</f>
        <v>0</v>
      </c>
      <c r="G7" s="1871"/>
      <c r="H7" s="1871">
        <f t="shared" ref="H7:H11" si="3">28.2*G7</f>
        <v>0</v>
      </c>
      <c r="I7" s="1871"/>
      <c r="J7" s="1871">
        <f t="shared" ref="J7:J11" si="4">18.5*I7</f>
        <v>0</v>
      </c>
      <c r="K7" s="1871"/>
      <c r="L7" s="1872">
        <f t="shared" ref="L7:L11" si="5">28.2368*K7</f>
        <v>0</v>
      </c>
      <c r="M7" s="1871"/>
      <c r="N7" s="1872">
        <f t="shared" ref="N7:N11" si="6">M7*47.6525</f>
        <v>0</v>
      </c>
      <c r="O7" s="1871"/>
      <c r="P7" s="1872">
        <f t="shared" ref="P7:P11" si="7">O7*8.9</f>
        <v>0</v>
      </c>
      <c r="Q7" s="1872"/>
      <c r="R7" s="1872">
        <f t="shared" ref="R7:R11" si="8">241*Q7</f>
        <v>0</v>
      </c>
      <c r="S7" s="1871"/>
      <c r="T7" s="1871">
        <f t="shared" ref="T7:T10" si="9">241*S7</f>
        <v>0</v>
      </c>
      <c r="U7" s="1871">
        <v>25</v>
      </c>
      <c r="V7" s="1871">
        <f t="shared" ref="V7:V11" si="10">332*U7</f>
        <v>8300</v>
      </c>
      <c r="W7" s="1871"/>
      <c r="X7" s="19">
        <f t="shared" ref="X7:X11" si="11">W7*100</f>
        <v>0</v>
      </c>
      <c r="Y7" s="20">
        <f t="shared" si="1"/>
        <v>29888.5275</v>
      </c>
    </row>
    <row r="8" spans="1:25" ht="35.25" customHeight="1" x14ac:dyDescent="0.25">
      <c r="A8" s="12">
        <v>1967020280</v>
      </c>
      <c r="B8" s="1868" t="s">
        <v>427</v>
      </c>
      <c r="C8" s="1871">
        <v>24831</v>
      </c>
      <c r="D8" s="1872">
        <f t="shared" si="0"/>
        <v>24148.147499999999</v>
      </c>
      <c r="E8" s="1871"/>
      <c r="F8" s="1871">
        <f t="shared" si="2"/>
        <v>0</v>
      </c>
      <c r="G8" s="1871"/>
      <c r="H8" s="1872">
        <f t="shared" si="3"/>
        <v>0</v>
      </c>
      <c r="I8" s="1871"/>
      <c r="J8" s="1871">
        <f t="shared" si="4"/>
        <v>0</v>
      </c>
      <c r="K8" s="1871"/>
      <c r="L8" s="1872">
        <f t="shared" si="5"/>
        <v>0</v>
      </c>
      <c r="M8" s="1871"/>
      <c r="N8" s="1872">
        <f t="shared" si="6"/>
        <v>0</v>
      </c>
      <c r="O8" s="1871"/>
      <c r="P8" s="1872">
        <f t="shared" si="7"/>
        <v>0</v>
      </c>
      <c r="Q8" s="1872"/>
      <c r="R8" s="1872">
        <f t="shared" si="8"/>
        <v>0</v>
      </c>
      <c r="S8" s="1871"/>
      <c r="T8" s="1871">
        <f t="shared" si="9"/>
        <v>0</v>
      </c>
      <c r="U8" s="1871">
        <v>5</v>
      </c>
      <c r="V8" s="1871">
        <f t="shared" si="10"/>
        <v>1660</v>
      </c>
      <c r="W8" s="1871"/>
      <c r="X8" s="19">
        <f t="shared" si="11"/>
        <v>0</v>
      </c>
      <c r="Y8" s="20">
        <f t="shared" si="1"/>
        <v>25808.147499999999</v>
      </c>
    </row>
    <row r="9" spans="1:25" ht="38.25" customHeight="1" x14ac:dyDescent="0.25">
      <c r="A9" s="12">
        <v>1984225580</v>
      </c>
      <c r="B9" s="1868" t="s">
        <v>75</v>
      </c>
      <c r="C9" s="1871">
        <v>36442</v>
      </c>
      <c r="D9" s="1872">
        <f t="shared" si="0"/>
        <v>35439.845000000001</v>
      </c>
      <c r="E9" s="1871"/>
      <c r="F9" s="1871">
        <f t="shared" si="2"/>
        <v>0</v>
      </c>
      <c r="G9" s="1871"/>
      <c r="H9" s="1871">
        <f t="shared" si="3"/>
        <v>0</v>
      </c>
      <c r="I9" s="1871"/>
      <c r="J9" s="1871">
        <f t="shared" si="4"/>
        <v>0</v>
      </c>
      <c r="K9" s="1871"/>
      <c r="L9" s="1872">
        <f t="shared" si="5"/>
        <v>0</v>
      </c>
      <c r="M9" s="1871"/>
      <c r="N9" s="1872">
        <f t="shared" si="6"/>
        <v>0</v>
      </c>
      <c r="O9" s="1871"/>
      <c r="P9" s="1872">
        <f t="shared" si="7"/>
        <v>0</v>
      </c>
      <c r="Q9" s="1872"/>
      <c r="R9" s="1872">
        <f t="shared" si="8"/>
        <v>0</v>
      </c>
      <c r="S9" s="1871"/>
      <c r="T9" s="1871">
        <f t="shared" si="9"/>
        <v>0</v>
      </c>
      <c r="U9" s="1871"/>
      <c r="V9" s="1871">
        <f t="shared" si="10"/>
        <v>0</v>
      </c>
      <c r="W9" s="1871"/>
      <c r="X9" s="19">
        <f t="shared" si="11"/>
        <v>0</v>
      </c>
      <c r="Y9" s="20">
        <f t="shared" si="1"/>
        <v>35439.845000000001</v>
      </c>
    </row>
    <row r="10" spans="1:25" ht="35.25" customHeight="1" x14ac:dyDescent="0.25">
      <c r="A10" s="12">
        <v>1409935199</v>
      </c>
      <c r="C10" s="1871"/>
      <c r="D10" s="1872">
        <f t="shared" si="0"/>
        <v>0</v>
      </c>
      <c r="E10" s="1871"/>
      <c r="F10" s="1871">
        <f t="shared" si="2"/>
        <v>0</v>
      </c>
      <c r="G10" s="1871"/>
      <c r="H10" s="1871">
        <f t="shared" si="3"/>
        <v>0</v>
      </c>
      <c r="I10" s="1871"/>
      <c r="J10" s="1871">
        <f t="shared" si="4"/>
        <v>0</v>
      </c>
      <c r="K10" s="1871"/>
      <c r="L10" s="1872">
        <f t="shared" si="5"/>
        <v>0</v>
      </c>
      <c r="M10" s="1871"/>
      <c r="N10" s="1872">
        <f t="shared" si="6"/>
        <v>0</v>
      </c>
      <c r="O10" s="1871"/>
      <c r="P10" s="1872">
        <f t="shared" si="7"/>
        <v>0</v>
      </c>
      <c r="Q10" s="1872"/>
      <c r="R10" s="1872">
        <f t="shared" si="8"/>
        <v>0</v>
      </c>
      <c r="S10" s="1871"/>
      <c r="T10" s="1871">
        <f t="shared" si="9"/>
        <v>0</v>
      </c>
      <c r="U10" s="1871"/>
      <c r="V10" s="1871">
        <f t="shared" si="10"/>
        <v>0</v>
      </c>
      <c r="W10" s="1871"/>
      <c r="X10" s="19">
        <f t="shared" si="11"/>
        <v>0</v>
      </c>
      <c r="Y10" s="20">
        <f t="shared" si="1"/>
        <v>0</v>
      </c>
    </row>
    <row r="11" spans="1:25" ht="37.5" customHeight="1" x14ac:dyDescent="0.25">
      <c r="A11" s="12"/>
      <c r="B11" s="1870"/>
      <c r="C11" s="1871"/>
      <c r="D11" s="1872">
        <f t="shared" si="0"/>
        <v>0</v>
      </c>
      <c r="E11" s="1871"/>
      <c r="F11" s="1871">
        <f t="shared" si="2"/>
        <v>0</v>
      </c>
      <c r="G11" s="1871"/>
      <c r="H11" s="1871">
        <f t="shared" si="3"/>
        <v>0</v>
      </c>
      <c r="I11" s="1871"/>
      <c r="J11" s="1871">
        <f t="shared" si="4"/>
        <v>0</v>
      </c>
      <c r="K11" s="1871"/>
      <c r="L11" s="1872">
        <f t="shared" si="5"/>
        <v>0</v>
      </c>
      <c r="M11" s="1871"/>
      <c r="N11" s="1872">
        <f t="shared" si="6"/>
        <v>0</v>
      </c>
      <c r="O11" s="1871"/>
      <c r="P11" s="1872">
        <f t="shared" si="7"/>
        <v>0</v>
      </c>
      <c r="Q11" s="1872"/>
      <c r="R11" s="1872">
        <f t="shared" si="8"/>
        <v>0</v>
      </c>
      <c r="S11" s="1871"/>
      <c r="T11" s="1871">
        <f>341*S11</f>
        <v>0</v>
      </c>
      <c r="U11" s="1871"/>
      <c r="V11" s="1871">
        <f t="shared" si="10"/>
        <v>0</v>
      </c>
      <c r="W11" s="1871"/>
      <c r="X11" s="19">
        <f t="shared" si="11"/>
        <v>0</v>
      </c>
      <c r="Y11" s="20">
        <f t="shared" si="1"/>
        <v>0</v>
      </c>
    </row>
    <row r="12" spans="1:25" ht="29.25" customHeight="1" x14ac:dyDescent="0.25">
      <c r="A12" s="2235" t="s">
        <v>31</v>
      </c>
      <c r="B12" s="2235"/>
      <c r="C12" s="18">
        <f t="shared" ref="C12:X12" si="12">SUM(C6:C11)</f>
        <v>115117</v>
      </c>
      <c r="D12" s="18">
        <f t="shared" si="12"/>
        <v>111951.2825</v>
      </c>
      <c r="E12" s="18">
        <f t="shared" si="12"/>
        <v>0</v>
      </c>
      <c r="F12" s="18">
        <f t="shared" si="12"/>
        <v>0</v>
      </c>
      <c r="G12" s="18">
        <f t="shared" si="12"/>
        <v>0</v>
      </c>
      <c r="H12" s="18">
        <f t="shared" si="12"/>
        <v>0</v>
      </c>
      <c r="I12" s="18">
        <f t="shared" si="12"/>
        <v>0</v>
      </c>
      <c r="J12" s="18">
        <f t="shared" si="12"/>
        <v>0</v>
      </c>
      <c r="K12" s="18">
        <f t="shared" si="12"/>
        <v>0</v>
      </c>
      <c r="L12" s="18">
        <f t="shared" si="12"/>
        <v>0</v>
      </c>
      <c r="M12" s="18">
        <f t="shared" si="12"/>
        <v>0</v>
      </c>
      <c r="N12" s="23">
        <f t="shared" si="12"/>
        <v>0</v>
      </c>
      <c r="O12" s="18">
        <f t="shared" si="12"/>
        <v>0</v>
      </c>
      <c r="P12" s="23">
        <f t="shared" si="12"/>
        <v>0</v>
      </c>
      <c r="Q12" s="23">
        <f t="shared" si="12"/>
        <v>0</v>
      </c>
      <c r="R12" s="23">
        <f>SUM(R6:R11)</f>
        <v>0</v>
      </c>
      <c r="S12" s="23">
        <f>SUM(S6:S11)</f>
        <v>0</v>
      </c>
      <c r="T12" s="18">
        <f t="shared" si="12"/>
        <v>0</v>
      </c>
      <c r="U12" s="18">
        <f t="shared" si="12"/>
        <v>30</v>
      </c>
      <c r="V12" s="18">
        <f t="shared" si="12"/>
        <v>9960</v>
      </c>
      <c r="W12" s="18">
        <f t="shared" si="12"/>
        <v>0</v>
      </c>
      <c r="X12" s="18">
        <f t="shared" si="12"/>
        <v>0</v>
      </c>
      <c r="Y12" s="20">
        <f t="shared" si="1"/>
        <v>121911.2825</v>
      </c>
    </row>
    <row r="14" spans="1:25" ht="43.5" customHeight="1" x14ac:dyDescent="0.25">
      <c r="A14" s="30" t="s">
        <v>32</v>
      </c>
      <c r="B14" s="2236" t="s">
        <v>27</v>
      </c>
      <c r="C14" s="2236"/>
      <c r="D14" s="30" t="s">
        <v>543</v>
      </c>
      <c r="E14" s="30" t="s">
        <v>65</v>
      </c>
      <c r="F14" s="30" t="s">
        <v>34</v>
      </c>
      <c r="G14" s="30" t="s">
        <v>14</v>
      </c>
      <c r="H14" s="469" t="s">
        <v>173</v>
      </c>
      <c r="I14" s="30" t="s">
        <v>17</v>
      </c>
      <c r="J14" s="1876" t="s">
        <v>174</v>
      </c>
      <c r="K14" s="30" t="s">
        <v>36</v>
      </c>
      <c r="L14" s="1876" t="s">
        <v>403</v>
      </c>
      <c r="M14" s="1876" t="s">
        <v>549</v>
      </c>
      <c r="N14" s="30" t="s">
        <v>442</v>
      </c>
      <c r="O14" s="1876" t="s">
        <v>114</v>
      </c>
      <c r="P14" s="30" t="s">
        <v>70</v>
      </c>
      <c r="Q14" s="2300" t="s">
        <v>479</v>
      </c>
      <c r="R14" s="2301"/>
      <c r="S14" s="1876" t="s">
        <v>401</v>
      </c>
      <c r="T14" s="2235" t="s">
        <v>46</v>
      </c>
      <c r="U14" s="1868" t="s">
        <v>176</v>
      </c>
      <c r="V14" s="2260">
        <v>45572</v>
      </c>
      <c r="W14" s="2268"/>
      <c r="X14" s="2261"/>
    </row>
    <row r="15" spans="1:25" ht="22.5" customHeight="1" x14ac:dyDescent="0.25">
      <c r="A15" s="100" t="s">
        <v>38</v>
      </c>
      <c r="B15" s="2260">
        <v>566239</v>
      </c>
      <c r="C15" s="2261"/>
      <c r="D15" s="1873">
        <v>500</v>
      </c>
      <c r="E15" s="1873">
        <v>0</v>
      </c>
      <c r="F15" s="1873">
        <v>2000</v>
      </c>
      <c r="G15" s="1873">
        <v>0</v>
      </c>
      <c r="H15" s="1873">
        <v>38</v>
      </c>
      <c r="I15" s="1873">
        <v>70</v>
      </c>
      <c r="J15" s="1873">
        <v>4</v>
      </c>
      <c r="K15" s="1873">
        <v>75</v>
      </c>
      <c r="L15" s="1873">
        <v>0</v>
      </c>
      <c r="M15" s="1873">
        <v>15</v>
      </c>
      <c r="N15" s="1873">
        <v>0</v>
      </c>
      <c r="O15" s="1873">
        <v>0</v>
      </c>
      <c r="P15" s="1873">
        <v>100</v>
      </c>
      <c r="Q15" s="2260">
        <v>10</v>
      </c>
      <c r="R15" s="2261"/>
      <c r="S15" s="1868">
        <v>2</v>
      </c>
      <c r="T15" s="2235"/>
      <c r="U15" s="1868" t="s">
        <v>64</v>
      </c>
      <c r="V15" s="2262">
        <v>15869</v>
      </c>
      <c r="W15" s="2262"/>
      <c r="X15" s="2262"/>
    </row>
    <row r="16" spans="1:25" ht="24.75" customHeight="1" x14ac:dyDescent="0.25">
      <c r="A16" s="100" t="s">
        <v>39</v>
      </c>
      <c r="B16" s="2260"/>
      <c r="C16" s="2261"/>
      <c r="D16" s="1873"/>
      <c r="E16" s="1873"/>
      <c r="F16" s="1873"/>
      <c r="G16" s="1873"/>
      <c r="H16" s="1873"/>
      <c r="I16" s="1873"/>
      <c r="J16" s="1873"/>
      <c r="K16" s="1873"/>
      <c r="L16" s="1873"/>
      <c r="M16" s="1873"/>
      <c r="N16" s="1873"/>
      <c r="O16" s="1873"/>
      <c r="P16" s="1873"/>
      <c r="Q16" s="2262"/>
      <c r="R16" s="2262"/>
      <c r="S16" s="1873"/>
      <c r="T16" s="2254" t="s">
        <v>55</v>
      </c>
      <c r="U16" s="2254"/>
      <c r="V16" s="2267">
        <f>Y12</f>
        <v>121911.2825</v>
      </c>
      <c r="W16" s="2267"/>
      <c r="X16" s="2262"/>
    </row>
    <row r="17" spans="1:25" ht="28.5" customHeight="1" x14ac:dyDescent="0.25">
      <c r="A17" s="101" t="s">
        <v>44</v>
      </c>
      <c r="B17" s="2260"/>
      <c r="C17" s="2261"/>
      <c r="D17" s="1873"/>
      <c r="E17" s="1873"/>
      <c r="F17" s="1873"/>
      <c r="G17" s="1873"/>
      <c r="H17" s="1873"/>
      <c r="I17" s="1873"/>
      <c r="J17" s="1873"/>
      <c r="K17" s="1873"/>
      <c r="L17" s="1873"/>
      <c r="M17" s="1873"/>
      <c r="N17" s="1873"/>
      <c r="O17" s="1873"/>
      <c r="P17" s="1873"/>
      <c r="Q17" s="2225"/>
      <c r="R17" s="2225"/>
      <c r="S17" s="1870"/>
      <c r="T17" s="2294" t="s">
        <v>521</v>
      </c>
      <c r="U17" s="2295"/>
      <c r="V17" s="2296"/>
      <c r="W17" s="2296"/>
      <c r="X17" s="2296"/>
    </row>
    <row r="18" spans="1:25" ht="27" customHeight="1" x14ac:dyDescent="0.25">
      <c r="A18" s="100" t="s">
        <v>40</v>
      </c>
      <c r="B18" s="2264">
        <f>C12</f>
        <v>115117</v>
      </c>
      <c r="C18" s="2261"/>
      <c r="D18" s="1874">
        <f>E12</f>
        <v>0</v>
      </c>
      <c r="E18" s="1874">
        <f>G12</f>
        <v>0</v>
      </c>
      <c r="F18" s="1874">
        <f>I12</f>
        <v>0</v>
      </c>
      <c r="G18" s="1874">
        <f>K12</f>
        <v>0</v>
      </c>
      <c r="H18" s="1873"/>
      <c r="I18" s="1874">
        <f>U12</f>
        <v>30</v>
      </c>
      <c r="J18" s="1873"/>
      <c r="K18" s="1874">
        <f>W12</f>
        <v>0</v>
      </c>
      <c r="L18" s="1873"/>
      <c r="M18" s="1874">
        <f>M12</f>
        <v>0</v>
      </c>
      <c r="N18" s="1874">
        <f>O12</f>
        <v>0</v>
      </c>
      <c r="O18" s="1875">
        <f>Q12</f>
        <v>0</v>
      </c>
      <c r="P18" s="1874"/>
      <c r="Q18" s="2262"/>
      <c r="R18" s="2262"/>
      <c r="S18" s="1868"/>
      <c r="T18" s="2254" t="s">
        <v>57</v>
      </c>
      <c r="U18" s="2254"/>
      <c r="V18" s="2262">
        <v>620</v>
      </c>
      <c r="W18" s="2262"/>
      <c r="X18" s="2262"/>
      <c r="Y18" s="2269"/>
    </row>
    <row r="19" spans="1:25" ht="25.5" customHeight="1" x14ac:dyDescent="0.25">
      <c r="A19" s="100" t="s">
        <v>41</v>
      </c>
      <c r="B19" s="2260">
        <f>B15+B16+B17-B18</f>
        <v>451122</v>
      </c>
      <c r="C19" s="2261"/>
      <c r="D19" s="1873">
        <f>D15+D16+D17-D18</f>
        <v>500</v>
      </c>
      <c r="E19" s="1873">
        <f t="shared" ref="E19:N19" si="13">E15+E16+E17-E18</f>
        <v>0</v>
      </c>
      <c r="F19" s="1873">
        <f t="shared" si="13"/>
        <v>2000</v>
      </c>
      <c r="G19" s="1873">
        <f t="shared" si="13"/>
        <v>0</v>
      </c>
      <c r="H19" s="1873">
        <f t="shared" si="13"/>
        <v>38</v>
      </c>
      <c r="I19" s="1873">
        <f t="shared" si="13"/>
        <v>40</v>
      </c>
      <c r="J19" s="1873">
        <f t="shared" si="13"/>
        <v>4</v>
      </c>
      <c r="K19" s="1873">
        <f t="shared" si="13"/>
        <v>75</v>
      </c>
      <c r="L19" s="1873">
        <f t="shared" si="13"/>
        <v>0</v>
      </c>
      <c r="M19" s="1873">
        <f t="shared" si="13"/>
        <v>15</v>
      </c>
      <c r="N19" s="1873">
        <f t="shared" si="13"/>
        <v>0</v>
      </c>
      <c r="O19" s="1873">
        <f>O15+O16+O17-O18</f>
        <v>0</v>
      </c>
      <c r="P19" s="1873">
        <f t="shared" ref="P19:Q19" si="14">P15+P16+P17-P18</f>
        <v>100</v>
      </c>
      <c r="Q19" s="2260">
        <f t="shared" si="14"/>
        <v>10</v>
      </c>
      <c r="R19" s="2261"/>
      <c r="S19" s="1868">
        <f>S15+S16-S17-S18</f>
        <v>2</v>
      </c>
      <c r="T19" s="2256" t="s">
        <v>48</v>
      </c>
      <c r="U19" s="49" t="s">
        <v>58</v>
      </c>
      <c r="V19" s="2262"/>
      <c r="W19" s="2262"/>
      <c r="X19" s="2262"/>
      <c r="Y19" s="2269"/>
    </row>
    <row r="20" spans="1:25" ht="23.25" customHeight="1" x14ac:dyDescent="0.25">
      <c r="A20" s="289" t="s">
        <v>187</v>
      </c>
      <c r="B20" s="2286">
        <f>B19*0.9625</f>
        <v>434204.92499999999</v>
      </c>
      <c r="C20" s="2287"/>
      <c r="D20" s="290">
        <f>D19*19.3</f>
        <v>9650</v>
      </c>
      <c r="E20" s="290">
        <f>27.9368*E19</f>
        <v>0</v>
      </c>
      <c r="F20" s="290">
        <f>18.31*F19</f>
        <v>36620</v>
      </c>
      <c r="G20" s="290">
        <f>27.9368*G19</f>
        <v>0</v>
      </c>
      <c r="H20" s="290">
        <f>241*H19</f>
        <v>9158</v>
      </c>
      <c r="I20" s="290">
        <f>323*I19</f>
        <v>12920</v>
      </c>
      <c r="J20" s="290">
        <f>241*J19</f>
        <v>964</v>
      </c>
      <c r="K20" s="290">
        <f>K19*100</f>
        <v>7500</v>
      </c>
      <c r="L20" s="290">
        <f>241*L19</f>
        <v>0</v>
      </c>
      <c r="M20" s="290">
        <f>470*M19</f>
        <v>7050</v>
      </c>
      <c r="N20" s="290">
        <f>N19*8.81</f>
        <v>0</v>
      </c>
      <c r="O20" s="290">
        <f>241*O19</f>
        <v>0</v>
      </c>
      <c r="P20" s="290">
        <f>P19*48.2</f>
        <v>4820</v>
      </c>
      <c r="Q20" s="2286">
        <f>470*Q19</f>
        <v>4700</v>
      </c>
      <c r="R20" s="2287"/>
      <c r="S20" s="290">
        <f>341*S19</f>
        <v>682</v>
      </c>
      <c r="T20" s="2257"/>
      <c r="U20" s="49" t="s">
        <v>59</v>
      </c>
      <c r="V20" s="2262"/>
      <c r="W20" s="2262"/>
      <c r="X20" s="2262"/>
      <c r="Y20" s="2269"/>
    </row>
    <row r="21" spans="1:25" ht="32.25" customHeight="1" x14ac:dyDescent="0.25">
      <c r="A21" s="291" t="s">
        <v>186</v>
      </c>
      <c r="B21" s="2293">
        <f>SUM(B20:S20)</f>
        <v>528268.92500000005</v>
      </c>
      <c r="C21" s="2293"/>
      <c r="O21" s="1877"/>
      <c r="P21" s="1877"/>
      <c r="Q21" s="1877"/>
      <c r="R21" s="1877"/>
      <c r="T21" s="2294" t="s">
        <v>518</v>
      </c>
      <c r="U21" s="2295"/>
      <c r="V21" s="2297"/>
      <c r="W21" s="2298"/>
      <c r="X21" s="2299"/>
      <c r="Y21" s="2269"/>
    </row>
    <row r="22" spans="1:25" ht="35.25" customHeight="1" x14ac:dyDescent="0.25">
      <c r="A22" s="15"/>
      <c r="B22" s="2288" t="s">
        <v>49</v>
      </c>
      <c r="C22" s="2291">
        <v>200000</v>
      </c>
      <c r="D22" s="2291"/>
      <c r="E22" s="2291"/>
      <c r="F22" s="2291">
        <f>C22-D22+E22</f>
        <v>200000</v>
      </c>
      <c r="G22" s="1877"/>
      <c r="Q22" s="1877"/>
      <c r="R22" s="1877"/>
      <c r="T22" s="2251" t="s">
        <v>83</v>
      </c>
      <c r="U22" s="50" t="s">
        <v>60</v>
      </c>
      <c r="V22" s="2262"/>
      <c r="W22" s="2262"/>
      <c r="X22" s="2262"/>
      <c r="Y22" s="2269"/>
    </row>
    <row r="23" spans="1:25" ht="39.75" customHeight="1" x14ac:dyDescent="0.25">
      <c r="A23" s="1877"/>
      <c r="B23" s="2289"/>
      <c r="C23" s="2292"/>
      <c r="D23" s="2292"/>
      <c r="E23" s="2292"/>
      <c r="F23" s="2292"/>
      <c r="G23" s="1877"/>
      <c r="Q23" s="1877"/>
      <c r="R23" s="1877"/>
      <c r="T23" s="2252"/>
      <c r="U23" s="50" t="s">
        <v>61</v>
      </c>
      <c r="V23" s="2262"/>
      <c r="W23" s="2262"/>
      <c r="X23" s="2262"/>
      <c r="Y23" s="2269"/>
    </row>
    <row r="24" spans="1:25" ht="48" customHeight="1" x14ac:dyDescent="0.25">
      <c r="A24" s="1877"/>
      <c r="B24" s="2290"/>
      <c r="C24" s="290" t="s">
        <v>46</v>
      </c>
      <c r="D24" s="290" t="s">
        <v>50</v>
      </c>
      <c r="E24" s="290" t="s">
        <v>51</v>
      </c>
      <c r="F24" s="290" t="s">
        <v>52</v>
      </c>
      <c r="G24" s="1877"/>
      <c r="Q24" s="1877"/>
      <c r="R24" s="1877"/>
      <c r="T24" s="2235" t="s">
        <v>47</v>
      </c>
      <c r="U24" s="51" t="s">
        <v>62</v>
      </c>
      <c r="V24" s="2263">
        <f>V14+V16+V17-V18-V19-V20-V22+V23-V21</f>
        <v>166863.2825</v>
      </c>
      <c r="W24" s="2263"/>
      <c r="X24" s="2263"/>
      <c r="Y24" s="2269"/>
    </row>
    <row r="25" spans="1:25" ht="40.5" customHeight="1" x14ac:dyDescent="0.25">
      <c r="T25" s="2235"/>
      <c r="U25" s="51" t="s">
        <v>63</v>
      </c>
      <c r="V25" s="2262">
        <f>V15+V22-V23</f>
        <v>15869</v>
      </c>
      <c r="W25" s="2262"/>
      <c r="X25" s="2262"/>
    </row>
    <row r="26" spans="1:25" ht="36" customHeight="1" x14ac:dyDescent="0.25">
      <c r="K26" s="314"/>
    </row>
    <row r="28" spans="1:25" x14ac:dyDescent="0.25">
      <c r="J28" s="14" t="s">
        <v>139</v>
      </c>
    </row>
    <row r="32" spans="1:25" x14ac:dyDescent="0.25">
      <c r="I32" s="2280"/>
      <c r="J32" s="2280"/>
      <c r="K32" s="2280"/>
      <c r="L32" s="2280"/>
    </row>
    <row r="33" spans="9:12" x14ac:dyDescent="0.25">
      <c r="I33" s="1877"/>
      <c r="J33" s="1877"/>
      <c r="K33" s="2280"/>
      <c r="L33" s="2280"/>
    </row>
  </sheetData>
  <mergeCells count="62">
    <mergeCell ref="I32:J32"/>
    <mergeCell ref="K32:L32"/>
    <mergeCell ref="K33:L33"/>
    <mergeCell ref="T22:T23"/>
    <mergeCell ref="V22:X22"/>
    <mergeCell ref="V23:X23"/>
    <mergeCell ref="T24:T25"/>
    <mergeCell ref="V24:X24"/>
    <mergeCell ref="V25:X25"/>
    <mergeCell ref="Y18:Y24"/>
    <mergeCell ref="B19:C19"/>
    <mergeCell ref="Q19:R19"/>
    <mergeCell ref="T19:T20"/>
    <mergeCell ref="V19:X19"/>
    <mergeCell ref="B20:C20"/>
    <mergeCell ref="B22:B24"/>
    <mergeCell ref="C22:C23"/>
    <mergeCell ref="D22:D23"/>
    <mergeCell ref="E22:E23"/>
    <mergeCell ref="F22:F23"/>
    <mergeCell ref="Q20:R20"/>
    <mergeCell ref="V20:X20"/>
    <mergeCell ref="B21:C21"/>
    <mergeCell ref="T21:U21"/>
    <mergeCell ref="V21:X21"/>
    <mergeCell ref="B17:C17"/>
    <mergeCell ref="Q17:R17"/>
    <mergeCell ref="T17:U17"/>
    <mergeCell ref="V17:X17"/>
    <mergeCell ref="B18:C18"/>
    <mergeCell ref="Q18:R18"/>
    <mergeCell ref="T18:U18"/>
    <mergeCell ref="V18:X18"/>
    <mergeCell ref="W4:X4"/>
    <mergeCell ref="B16:C16"/>
    <mergeCell ref="Q16:R16"/>
    <mergeCell ref="T16:U16"/>
    <mergeCell ref="V16:X16"/>
    <mergeCell ref="A12:B12"/>
    <mergeCell ref="B14:C14"/>
    <mergeCell ref="Q14:R14"/>
    <mergeCell ref="T14:T15"/>
    <mergeCell ref="V14:X14"/>
    <mergeCell ref="B15:C15"/>
    <mergeCell ref="Q15:R15"/>
    <mergeCell ref="V15:X15"/>
    <mergeCell ref="A1:Y1"/>
    <mergeCell ref="A2:Y2"/>
    <mergeCell ref="T3:Y3"/>
    <mergeCell ref="A4:A5"/>
    <mergeCell ref="B4:B5"/>
    <mergeCell ref="C4:D4"/>
    <mergeCell ref="E4:F4"/>
    <mergeCell ref="G4:H4"/>
    <mergeCell ref="I4:J4"/>
    <mergeCell ref="K4:L4"/>
    <mergeCell ref="Y4:Y5"/>
    <mergeCell ref="M4:N4"/>
    <mergeCell ref="O4:P4"/>
    <mergeCell ref="Q4:R4"/>
    <mergeCell ref="S4:T4"/>
    <mergeCell ref="U4:V4"/>
  </mergeCells>
  <pageMargins left="0.15748031496063" right="0.15748031496063" top="0" bottom="0" header="0" footer="0"/>
  <pageSetup paperSize="9" scale="46" orientation="landscape" r:id="rId1"/>
</worksheet>
</file>

<file path=xl/worksheets/sheet29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C3208E6-06CD-4915-A4BD-26EB09133BDE}">
  <sheetPr>
    <pageSetUpPr fitToPage="1"/>
  </sheetPr>
  <dimension ref="A1:Y33"/>
  <sheetViews>
    <sheetView topLeftCell="D8" zoomScale="70" zoomScaleNormal="70" zoomScaleSheetLayoutView="100" zoomScalePageLayoutView="68" workbookViewId="0">
      <selection activeCell="M23" sqref="M23"/>
    </sheetView>
  </sheetViews>
  <sheetFormatPr defaultColWidth="9.140625" defaultRowHeight="15" x14ac:dyDescent="0.25"/>
  <cols>
    <col min="1" max="1" width="18.28515625" style="14" customWidth="1"/>
    <col min="2" max="2" width="10.7109375" style="14" customWidth="1"/>
    <col min="3" max="3" width="12.28515625" style="14" customWidth="1"/>
    <col min="4" max="4" width="13.140625" style="14" bestFit="1" customWidth="1"/>
    <col min="5" max="5" width="12" style="14" customWidth="1"/>
    <col min="6" max="6" width="14" style="14" bestFit="1" customWidth="1"/>
    <col min="7" max="7" width="16" style="14" bestFit="1" customWidth="1"/>
    <col min="8" max="8" width="10.140625" style="14" bestFit="1" customWidth="1"/>
    <col min="9" max="9" width="10.5703125" style="14" bestFit="1" customWidth="1"/>
    <col min="10" max="10" width="10.5703125" style="14" customWidth="1"/>
    <col min="11" max="11" width="10.28515625" style="14" bestFit="1" customWidth="1"/>
    <col min="12" max="12" width="10.42578125" style="14" bestFit="1" customWidth="1"/>
    <col min="13" max="14" width="12" style="14" bestFit="1" customWidth="1"/>
    <col min="15" max="15" width="11" style="14" customWidth="1"/>
    <col min="16" max="16" width="12.85546875" style="14" bestFit="1" customWidth="1"/>
    <col min="17" max="18" width="9.42578125" style="14" customWidth="1"/>
    <col min="19" max="19" width="13.7109375" style="14" customWidth="1"/>
    <col min="20" max="20" width="12.140625" style="14" customWidth="1"/>
    <col min="21" max="21" width="21.7109375" style="14" customWidth="1"/>
    <col min="22" max="22" width="9.85546875" style="14" customWidth="1"/>
    <col min="23" max="23" width="10.140625" style="14" bestFit="1" customWidth="1"/>
    <col min="24" max="24" width="10.28515625" style="14" customWidth="1"/>
    <col min="25" max="25" width="15.7109375" style="14" customWidth="1"/>
    <col min="26" max="16384" width="9.140625" style="14"/>
  </cols>
  <sheetData>
    <row r="1" spans="1:25" ht="46.15" customHeight="1" x14ac:dyDescent="0.25">
      <c r="A1" s="2240" t="s">
        <v>148</v>
      </c>
      <c r="B1" s="2240"/>
      <c r="C1" s="2240"/>
      <c r="D1" s="2240"/>
      <c r="E1" s="2240"/>
      <c r="F1" s="2240"/>
      <c r="G1" s="2240"/>
      <c r="H1" s="2240"/>
      <c r="I1" s="2240"/>
      <c r="J1" s="2240"/>
      <c r="K1" s="2240"/>
      <c r="L1" s="2240"/>
      <c r="M1" s="2240"/>
      <c r="N1" s="2240"/>
      <c r="O1" s="2240"/>
      <c r="P1" s="2240"/>
      <c r="Q1" s="2240"/>
      <c r="R1" s="2240"/>
      <c r="S1" s="2240"/>
      <c r="T1" s="2240"/>
      <c r="U1" s="2240"/>
      <c r="V1" s="2240"/>
      <c r="W1" s="2240"/>
      <c r="X1" s="2240"/>
      <c r="Y1" s="2240"/>
    </row>
    <row r="2" spans="1:25" ht="21.6" customHeight="1" x14ac:dyDescent="0.25">
      <c r="A2" s="2241" t="s">
        <v>383</v>
      </c>
      <c r="B2" s="2241"/>
      <c r="C2" s="2241"/>
      <c r="D2" s="2241"/>
      <c r="E2" s="2241"/>
      <c r="F2" s="2241"/>
      <c r="G2" s="2241"/>
      <c r="H2" s="2241"/>
      <c r="I2" s="2241"/>
      <c r="J2" s="2241"/>
      <c r="K2" s="2241"/>
      <c r="L2" s="2241"/>
      <c r="M2" s="2241"/>
      <c r="N2" s="2241"/>
      <c r="O2" s="2241"/>
      <c r="P2" s="2241"/>
      <c r="Q2" s="2241"/>
      <c r="R2" s="2241"/>
      <c r="S2" s="2241"/>
      <c r="T2" s="2241"/>
      <c r="U2" s="2241"/>
      <c r="V2" s="2241"/>
      <c r="W2" s="2241"/>
      <c r="X2" s="2241"/>
      <c r="Y2" s="2241"/>
    </row>
    <row r="3" spans="1:25" ht="21" customHeight="1" x14ac:dyDescent="0.25">
      <c r="A3" s="1883"/>
      <c r="B3" s="1883"/>
      <c r="C3" s="1883"/>
      <c r="D3" s="1883"/>
      <c r="E3" s="1883"/>
      <c r="F3" s="1883"/>
      <c r="G3" s="1883"/>
      <c r="H3" s="1883"/>
      <c r="I3" s="1883"/>
      <c r="J3" s="1883"/>
      <c r="K3" s="1883"/>
      <c r="L3" s="1883"/>
      <c r="M3" s="1883"/>
      <c r="N3" s="1883"/>
      <c r="O3" s="1883"/>
      <c r="P3" s="1883"/>
      <c r="Q3" s="1883"/>
      <c r="R3" s="1883"/>
      <c r="S3" s="1883"/>
      <c r="T3" s="2242" t="s">
        <v>551</v>
      </c>
      <c r="U3" s="2242"/>
      <c r="V3" s="2242"/>
      <c r="W3" s="2242"/>
      <c r="X3" s="2242"/>
      <c r="Y3" s="2242"/>
    </row>
    <row r="4" spans="1:25" s="1883" customFormat="1" ht="18" customHeight="1" x14ac:dyDescent="0.25">
      <c r="A4" s="2243" t="s">
        <v>25</v>
      </c>
      <c r="B4" s="2243" t="s">
        <v>26</v>
      </c>
      <c r="C4" s="2244" t="s">
        <v>27</v>
      </c>
      <c r="D4" s="2244"/>
      <c r="E4" s="2244" t="s">
        <v>544</v>
      </c>
      <c r="F4" s="2244"/>
      <c r="G4" s="2244" t="s">
        <v>65</v>
      </c>
      <c r="H4" s="2244"/>
      <c r="I4" s="2244" t="s">
        <v>29</v>
      </c>
      <c r="J4" s="2244"/>
      <c r="K4" s="2245" t="s">
        <v>14</v>
      </c>
      <c r="L4" s="2246"/>
      <c r="M4" s="2245" t="s">
        <v>429</v>
      </c>
      <c r="N4" s="2246"/>
      <c r="O4" s="2245" t="s">
        <v>441</v>
      </c>
      <c r="P4" s="2246"/>
      <c r="Q4" s="2245" t="s">
        <v>114</v>
      </c>
      <c r="R4" s="2246"/>
      <c r="S4" s="2244" t="s">
        <v>35</v>
      </c>
      <c r="T4" s="2244"/>
      <c r="U4" s="2245" t="s">
        <v>17</v>
      </c>
      <c r="V4" s="2246"/>
      <c r="W4" s="2247" t="s">
        <v>36</v>
      </c>
      <c r="X4" s="2248"/>
      <c r="Y4" s="2238" t="s">
        <v>30</v>
      </c>
    </row>
    <row r="5" spans="1:25" s="1883" customFormat="1" ht="25.5" customHeight="1" x14ac:dyDescent="0.25">
      <c r="A5" s="2243"/>
      <c r="B5" s="2243"/>
      <c r="C5" s="1882" t="s">
        <v>42</v>
      </c>
      <c r="D5" s="1882" t="s">
        <v>43</v>
      </c>
      <c r="E5" s="1882" t="s">
        <v>42</v>
      </c>
      <c r="F5" s="1882" t="s">
        <v>43</v>
      </c>
      <c r="G5" s="1882" t="s">
        <v>42</v>
      </c>
      <c r="H5" s="1882" t="s">
        <v>43</v>
      </c>
      <c r="I5" s="1882" t="s">
        <v>42</v>
      </c>
      <c r="J5" s="1882" t="s">
        <v>43</v>
      </c>
      <c r="K5" s="1882" t="s">
        <v>42</v>
      </c>
      <c r="L5" s="1882" t="s">
        <v>43</v>
      </c>
      <c r="M5" s="1882" t="s">
        <v>42</v>
      </c>
      <c r="N5" s="1882" t="s">
        <v>43</v>
      </c>
      <c r="O5" s="1882" t="s">
        <v>42</v>
      </c>
      <c r="P5" s="1882" t="s">
        <v>43</v>
      </c>
      <c r="Q5" s="1882" t="s">
        <v>42</v>
      </c>
      <c r="R5" s="1882" t="s">
        <v>43</v>
      </c>
      <c r="S5" s="33" t="s">
        <v>42</v>
      </c>
      <c r="T5" s="33" t="s">
        <v>43</v>
      </c>
      <c r="U5" s="30" t="s">
        <v>42</v>
      </c>
      <c r="V5" s="30" t="s">
        <v>43</v>
      </c>
      <c r="W5" s="30" t="s">
        <v>42</v>
      </c>
      <c r="X5" s="30" t="s">
        <v>43</v>
      </c>
      <c r="Y5" s="2239"/>
    </row>
    <row r="6" spans="1:25" ht="34.5" customHeight="1" x14ac:dyDescent="0.25">
      <c r="A6" s="12">
        <v>1409935200</v>
      </c>
      <c r="B6" s="1881" t="s">
        <v>71</v>
      </c>
      <c r="C6" s="1879">
        <v>26621</v>
      </c>
      <c r="D6" s="1878">
        <f t="shared" ref="D6:D11" si="0">0.9725*C6</f>
        <v>25888.922500000001</v>
      </c>
      <c r="E6" s="1879"/>
      <c r="F6" s="1878">
        <f>67.1*E6</f>
        <v>0</v>
      </c>
      <c r="G6" s="1879"/>
      <c r="H6" s="1879">
        <f>28.2*G6</f>
        <v>0</v>
      </c>
      <c r="I6" s="1879">
        <v>410</v>
      </c>
      <c r="J6" s="1879">
        <f>18.5*I6</f>
        <v>7585</v>
      </c>
      <c r="K6" s="1879"/>
      <c r="L6" s="1878">
        <f>28.2368*K6</f>
        <v>0</v>
      </c>
      <c r="M6" s="1879"/>
      <c r="N6" s="1878">
        <f>M6*47.6525</f>
        <v>0</v>
      </c>
      <c r="O6" s="1879"/>
      <c r="P6" s="1878">
        <f>O6*8.9</f>
        <v>0</v>
      </c>
      <c r="Q6" s="1878"/>
      <c r="R6" s="1878">
        <f>241*Q6</f>
        <v>0</v>
      </c>
      <c r="S6" s="1879"/>
      <c r="T6" s="1879">
        <f t="shared" ref="T6:T9" si="1">241*S6</f>
        <v>0</v>
      </c>
      <c r="U6" s="1879">
        <v>5</v>
      </c>
      <c r="V6" s="1879">
        <f>332*U6</f>
        <v>1660</v>
      </c>
      <c r="W6" s="1879"/>
      <c r="X6" s="19">
        <f>W6*100</f>
        <v>0</v>
      </c>
      <c r="Y6" s="20">
        <f t="shared" ref="Y6:Y12" si="2">D6+F6+H6+J6+L6+N6+P6+R6+T6+V6+X6</f>
        <v>35133.922500000001</v>
      </c>
    </row>
    <row r="7" spans="1:25" ht="31.5" customHeight="1" x14ac:dyDescent="0.25">
      <c r="A7" s="12">
        <v>1984225578</v>
      </c>
      <c r="B7" s="1881" t="s">
        <v>509</v>
      </c>
      <c r="C7" s="1879">
        <v>38329</v>
      </c>
      <c r="D7" s="1878">
        <f t="shared" si="0"/>
        <v>37274.952499999999</v>
      </c>
      <c r="E7" s="1879"/>
      <c r="F7" s="1879">
        <f t="shared" ref="F7:F11" si="3">67.1*E7</f>
        <v>0</v>
      </c>
      <c r="G7" s="1879"/>
      <c r="H7" s="1879">
        <f t="shared" ref="H7:H11" si="4">28.2*G7</f>
        <v>0</v>
      </c>
      <c r="I7" s="1879">
        <v>1000</v>
      </c>
      <c r="J7" s="1879">
        <f t="shared" ref="J7:J11" si="5">18.5*I7</f>
        <v>18500</v>
      </c>
      <c r="K7" s="1879"/>
      <c r="L7" s="1878">
        <f t="shared" ref="L7:L11" si="6">28.2368*K7</f>
        <v>0</v>
      </c>
      <c r="M7" s="1879"/>
      <c r="N7" s="1878">
        <f t="shared" ref="N7:N11" si="7">M7*47.6525</f>
        <v>0</v>
      </c>
      <c r="O7" s="1879"/>
      <c r="P7" s="1878">
        <f t="shared" ref="P7:P11" si="8">O7*8.9</f>
        <v>0</v>
      </c>
      <c r="Q7" s="1878"/>
      <c r="R7" s="1878">
        <f t="shared" ref="R7:R11" si="9">241*Q7</f>
        <v>0</v>
      </c>
      <c r="S7" s="1879"/>
      <c r="T7" s="1879">
        <f t="shared" si="1"/>
        <v>0</v>
      </c>
      <c r="U7" s="1879">
        <v>10</v>
      </c>
      <c r="V7" s="1879">
        <f t="shared" ref="V7:V11" si="10">332*U7</f>
        <v>3320</v>
      </c>
      <c r="W7" s="1879"/>
      <c r="X7" s="19">
        <f t="shared" ref="X7:X11" si="11">W7*100</f>
        <v>0</v>
      </c>
      <c r="Y7" s="20">
        <f t="shared" si="2"/>
        <v>59094.952499999999</v>
      </c>
    </row>
    <row r="8" spans="1:25" ht="35.25" customHeight="1" x14ac:dyDescent="0.25">
      <c r="A8" s="12">
        <v>1967020280</v>
      </c>
      <c r="B8" s="1881" t="s">
        <v>427</v>
      </c>
      <c r="C8" s="1879">
        <v>36407</v>
      </c>
      <c r="D8" s="1878">
        <f t="shared" si="0"/>
        <v>35405.807500000003</v>
      </c>
      <c r="E8" s="1879"/>
      <c r="F8" s="1879">
        <f t="shared" si="3"/>
        <v>0</v>
      </c>
      <c r="G8" s="1879"/>
      <c r="H8" s="1878">
        <f t="shared" si="4"/>
        <v>0</v>
      </c>
      <c r="I8" s="1879"/>
      <c r="J8" s="1879">
        <f t="shared" si="5"/>
        <v>0</v>
      </c>
      <c r="K8" s="1879"/>
      <c r="L8" s="1878">
        <f t="shared" si="6"/>
        <v>0</v>
      </c>
      <c r="M8" s="1879"/>
      <c r="N8" s="1878">
        <f t="shared" si="7"/>
        <v>0</v>
      </c>
      <c r="O8" s="1879"/>
      <c r="P8" s="1878">
        <f t="shared" si="8"/>
        <v>0</v>
      </c>
      <c r="Q8" s="1878"/>
      <c r="R8" s="1878">
        <f t="shared" si="9"/>
        <v>0</v>
      </c>
      <c r="S8" s="1879"/>
      <c r="T8" s="1879">
        <f t="shared" si="1"/>
        <v>0</v>
      </c>
      <c r="U8" s="1879"/>
      <c r="V8" s="1879">
        <f t="shared" si="10"/>
        <v>0</v>
      </c>
      <c r="W8" s="1879"/>
      <c r="X8" s="19">
        <f t="shared" si="11"/>
        <v>0</v>
      </c>
      <c r="Y8" s="20">
        <f t="shared" si="2"/>
        <v>35405.807500000003</v>
      </c>
    </row>
    <row r="9" spans="1:25" ht="38.25" customHeight="1" x14ac:dyDescent="0.25">
      <c r="A9" s="12">
        <v>1984225580</v>
      </c>
      <c r="B9" s="1881" t="s">
        <v>75</v>
      </c>
      <c r="C9" s="1879">
        <v>50000</v>
      </c>
      <c r="D9" s="1878">
        <f t="shared" si="0"/>
        <v>48625</v>
      </c>
      <c r="E9" s="1879"/>
      <c r="F9" s="1879">
        <f t="shared" si="3"/>
        <v>0</v>
      </c>
      <c r="G9" s="1879"/>
      <c r="H9" s="1879">
        <f t="shared" si="4"/>
        <v>0</v>
      </c>
      <c r="I9" s="1879">
        <v>500</v>
      </c>
      <c r="J9" s="1879">
        <f t="shared" si="5"/>
        <v>9250</v>
      </c>
      <c r="K9" s="1879"/>
      <c r="L9" s="1878">
        <f t="shared" si="6"/>
        <v>0</v>
      </c>
      <c r="M9" s="1879"/>
      <c r="N9" s="1878">
        <f t="shared" si="7"/>
        <v>0</v>
      </c>
      <c r="O9" s="1879"/>
      <c r="P9" s="1878">
        <f t="shared" si="8"/>
        <v>0</v>
      </c>
      <c r="Q9" s="1878"/>
      <c r="R9" s="1878">
        <f t="shared" si="9"/>
        <v>0</v>
      </c>
      <c r="S9" s="1879"/>
      <c r="T9" s="1879">
        <f t="shared" si="1"/>
        <v>0</v>
      </c>
      <c r="U9" s="1879"/>
      <c r="V9" s="1879">
        <f t="shared" si="10"/>
        <v>0</v>
      </c>
      <c r="W9" s="1879"/>
      <c r="X9" s="19">
        <f t="shared" si="11"/>
        <v>0</v>
      </c>
      <c r="Y9" s="20">
        <f t="shared" si="2"/>
        <v>57875</v>
      </c>
    </row>
    <row r="10" spans="1:25" ht="35.25" customHeight="1" x14ac:dyDescent="0.25">
      <c r="A10" s="12">
        <v>1409935199</v>
      </c>
      <c r="C10" s="1879">
        <v>33435</v>
      </c>
      <c r="D10" s="1878">
        <f t="shared" si="0"/>
        <v>32515.537500000002</v>
      </c>
      <c r="E10" s="1879"/>
      <c r="F10" s="1879">
        <f t="shared" si="3"/>
        <v>0</v>
      </c>
      <c r="G10" s="1879"/>
      <c r="H10" s="1879">
        <f t="shared" si="4"/>
        <v>0</v>
      </c>
      <c r="I10" s="1879"/>
      <c r="J10" s="1879">
        <f t="shared" si="5"/>
        <v>0</v>
      </c>
      <c r="K10" s="1879"/>
      <c r="L10" s="1878">
        <f t="shared" si="6"/>
        <v>0</v>
      </c>
      <c r="M10" s="1879"/>
      <c r="N10" s="1878">
        <f t="shared" si="7"/>
        <v>0</v>
      </c>
      <c r="O10" s="1879"/>
      <c r="P10" s="1878">
        <f t="shared" si="8"/>
        <v>0</v>
      </c>
      <c r="Q10" s="1878"/>
      <c r="R10" s="1878">
        <f t="shared" si="9"/>
        <v>0</v>
      </c>
      <c r="S10" s="1879">
        <v>10</v>
      </c>
      <c r="T10" s="1879">
        <f>470*S10</f>
        <v>4700</v>
      </c>
      <c r="U10" s="1879"/>
      <c r="V10" s="1879">
        <f t="shared" si="10"/>
        <v>0</v>
      </c>
      <c r="W10" s="1879"/>
      <c r="X10" s="19">
        <f t="shared" si="11"/>
        <v>0</v>
      </c>
      <c r="Y10" s="20">
        <f t="shared" si="2"/>
        <v>37215.537500000006</v>
      </c>
    </row>
    <row r="11" spans="1:25" ht="37.5" customHeight="1" x14ac:dyDescent="0.25">
      <c r="A11" s="12"/>
      <c r="B11" s="1880"/>
      <c r="C11" s="1879"/>
      <c r="D11" s="1878">
        <f t="shared" si="0"/>
        <v>0</v>
      </c>
      <c r="E11" s="1879"/>
      <c r="F11" s="1879">
        <f t="shared" si="3"/>
        <v>0</v>
      </c>
      <c r="G11" s="1879"/>
      <c r="H11" s="1879">
        <f t="shared" si="4"/>
        <v>0</v>
      </c>
      <c r="I11" s="1879"/>
      <c r="J11" s="1879">
        <f t="shared" si="5"/>
        <v>0</v>
      </c>
      <c r="K11" s="1879"/>
      <c r="L11" s="1878">
        <f t="shared" si="6"/>
        <v>0</v>
      </c>
      <c r="M11" s="1879"/>
      <c r="N11" s="1878">
        <f t="shared" si="7"/>
        <v>0</v>
      </c>
      <c r="O11" s="1879"/>
      <c r="P11" s="1878">
        <f t="shared" si="8"/>
        <v>0</v>
      </c>
      <c r="Q11" s="1878"/>
      <c r="R11" s="1878">
        <f t="shared" si="9"/>
        <v>0</v>
      </c>
      <c r="S11" s="1879"/>
      <c r="T11" s="1879">
        <f>341*S11</f>
        <v>0</v>
      </c>
      <c r="U11" s="1879"/>
      <c r="V11" s="1879">
        <f t="shared" si="10"/>
        <v>0</v>
      </c>
      <c r="W11" s="1879"/>
      <c r="X11" s="19">
        <f t="shared" si="11"/>
        <v>0</v>
      </c>
      <c r="Y11" s="20">
        <f t="shared" si="2"/>
        <v>0</v>
      </c>
    </row>
    <row r="12" spans="1:25" ht="29.25" customHeight="1" x14ac:dyDescent="0.25">
      <c r="A12" s="2235" t="s">
        <v>31</v>
      </c>
      <c r="B12" s="2235"/>
      <c r="C12" s="18">
        <f t="shared" ref="C12:X12" si="12">SUM(C6:C11)</f>
        <v>184792</v>
      </c>
      <c r="D12" s="18">
        <f t="shared" si="12"/>
        <v>179710.22</v>
      </c>
      <c r="E12" s="18">
        <f t="shared" si="12"/>
        <v>0</v>
      </c>
      <c r="F12" s="18">
        <f t="shared" si="12"/>
        <v>0</v>
      </c>
      <c r="G12" s="18">
        <f t="shared" si="12"/>
        <v>0</v>
      </c>
      <c r="H12" s="18">
        <f t="shared" si="12"/>
        <v>0</v>
      </c>
      <c r="I12" s="18">
        <f t="shared" si="12"/>
        <v>1910</v>
      </c>
      <c r="J12" s="18">
        <f t="shared" si="12"/>
        <v>35335</v>
      </c>
      <c r="K12" s="18">
        <f t="shared" si="12"/>
        <v>0</v>
      </c>
      <c r="L12" s="18">
        <f t="shared" si="12"/>
        <v>0</v>
      </c>
      <c r="M12" s="18">
        <f t="shared" si="12"/>
        <v>0</v>
      </c>
      <c r="N12" s="23">
        <f t="shared" si="12"/>
        <v>0</v>
      </c>
      <c r="O12" s="18">
        <f t="shared" si="12"/>
        <v>0</v>
      </c>
      <c r="P12" s="23">
        <f t="shared" si="12"/>
        <v>0</v>
      </c>
      <c r="Q12" s="23">
        <f t="shared" si="12"/>
        <v>0</v>
      </c>
      <c r="R12" s="23">
        <f>SUM(R6:R11)</f>
        <v>0</v>
      </c>
      <c r="S12" s="23">
        <f>SUM(S6:S11)</f>
        <v>10</v>
      </c>
      <c r="T12" s="18">
        <f t="shared" si="12"/>
        <v>4700</v>
      </c>
      <c r="U12" s="18">
        <f t="shared" si="12"/>
        <v>15</v>
      </c>
      <c r="V12" s="18">
        <f t="shared" si="12"/>
        <v>4980</v>
      </c>
      <c r="W12" s="18">
        <f t="shared" si="12"/>
        <v>0</v>
      </c>
      <c r="X12" s="18">
        <f t="shared" si="12"/>
        <v>0</v>
      </c>
      <c r="Y12" s="20">
        <f t="shared" si="2"/>
        <v>224725.22</v>
      </c>
    </row>
    <row r="14" spans="1:25" ht="43.5" customHeight="1" x14ac:dyDescent="0.25">
      <c r="A14" s="30" t="s">
        <v>32</v>
      </c>
      <c r="B14" s="2236" t="s">
        <v>27</v>
      </c>
      <c r="C14" s="2236"/>
      <c r="D14" s="30" t="s">
        <v>543</v>
      </c>
      <c r="E14" s="30" t="s">
        <v>65</v>
      </c>
      <c r="F14" s="30" t="s">
        <v>34</v>
      </c>
      <c r="G14" s="30" t="s">
        <v>14</v>
      </c>
      <c r="H14" s="469" t="s">
        <v>173</v>
      </c>
      <c r="I14" s="30" t="s">
        <v>17</v>
      </c>
      <c r="J14" s="1887" t="s">
        <v>174</v>
      </c>
      <c r="K14" s="30" t="s">
        <v>36</v>
      </c>
      <c r="L14" s="1887" t="s">
        <v>403</v>
      </c>
      <c r="M14" s="1887" t="s">
        <v>549</v>
      </c>
      <c r="N14" s="30" t="s">
        <v>442</v>
      </c>
      <c r="O14" s="1887" t="s">
        <v>114</v>
      </c>
      <c r="P14" s="30" t="s">
        <v>70</v>
      </c>
      <c r="Q14" s="2300" t="s">
        <v>479</v>
      </c>
      <c r="R14" s="2301"/>
      <c r="S14" s="1887" t="s">
        <v>401</v>
      </c>
      <c r="T14" s="2235" t="s">
        <v>46</v>
      </c>
      <c r="U14" s="1881" t="s">
        <v>176</v>
      </c>
      <c r="V14" s="2260">
        <v>166863</v>
      </c>
      <c r="W14" s="2268"/>
      <c r="X14" s="2261"/>
    </row>
    <row r="15" spans="1:25" ht="22.5" customHeight="1" x14ac:dyDescent="0.25">
      <c r="A15" s="100" t="s">
        <v>38</v>
      </c>
      <c r="B15" s="2260">
        <v>451122</v>
      </c>
      <c r="C15" s="2261"/>
      <c r="D15" s="1884">
        <v>500</v>
      </c>
      <c r="E15" s="1884">
        <v>0</v>
      </c>
      <c r="F15" s="1884">
        <v>2000</v>
      </c>
      <c r="G15" s="1884">
        <v>0</v>
      </c>
      <c r="H15" s="1884">
        <v>38</v>
      </c>
      <c r="I15" s="1884">
        <v>40</v>
      </c>
      <c r="J15" s="1884">
        <v>4</v>
      </c>
      <c r="K15" s="1884">
        <v>75</v>
      </c>
      <c r="L15" s="1884">
        <v>0</v>
      </c>
      <c r="M15" s="1884">
        <v>15</v>
      </c>
      <c r="N15" s="1884">
        <v>0</v>
      </c>
      <c r="O15" s="1884">
        <v>0</v>
      </c>
      <c r="P15" s="1884">
        <v>100</v>
      </c>
      <c r="Q15" s="2260">
        <v>10</v>
      </c>
      <c r="R15" s="2261"/>
      <c r="S15" s="1881">
        <v>2</v>
      </c>
      <c r="T15" s="2235"/>
      <c r="U15" s="1881" t="s">
        <v>64</v>
      </c>
      <c r="V15" s="2262">
        <v>15869</v>
      </c>
      <c r="W15" s="2262"/>
      <c r="X15" s="2262"/>
    </row>
    <row r="16" spans="1:25" ht="24.75" customHeight="1" x14ac:dyDescent="0.25">
      <c r="A16" s="100" t="s">
        <v>39</v>
      </c>
      <c r="B16" s="2260">
        <v>244465</v>
      </c>
      <c r="C16" s="2261"/>
      <c r="D16" s="1884"/>
      <c r="E16" s="1884">
        <v>500</v>
      </c>
      <c r="F16" s="1884">
        <v>7873</v>
      </c>
      <c r="G16" s="1884"/>
      <c r="H16" s="1884"/>
      <c r="I16" s="1884"/>
      <c r="J16" s="1884"/>
      <c r="K16" s="1884"/>
      <c r="L16" s="1884"/>
      <c r="M16" s="1884"/>
      <c r="N16" s="1884"/>
      <c r="O16" s="1884"/>
      <c r="P16" s="1884"/>
      <c r="Q16" s="2262"/>
      <c r="R16" s="2262"/>
      <c r="S16" s="1884"/>
      <c r="T16" s="2254" t="s">
        <v>55</v>
      </c>
      <c r="U16" s="2254"/>
      <c r="V16" s="2267">
        <f>Y12</f>
        <v>224725.22</v>
      </c>
      <c r="W16" s="2267"/>
      <c r="X16" s="2262"/>
    </row>
    <row r="17" spans="1:25" ht="28.5" customHeight="1" x14ac:dyDescent="0.25">
      <c r="A17" s="101" t="s">
        <v>44</v>
      </c>
      <c r="B17" s="2260"/>
      <c r="C17" s="2261"/>
      <c r="D17" s="1884"/>
      <c r="E17" s="1884"/>
      <c r="F17" s="1884"/>
      <c r="G17" s="1884"/>
      <c r="H17" s="1884"/>
      <c r="I17" s="1884"/>
      <c r="J17" s="1884"/>
      <c r="K17" s="1884"/>
      <c r="L17" s="1884"/>
      <c r="M17" s="1884"/>
      <c r="N17" s="1884"/>
      <c r="O17" s="1884"/>
      <c r="P17" s="1884"/>
      <c r="Q17" s="2225"/>
      <c r="R17" s="2225"/>
      <c r="S17" s="1880"/>
      <c r="T17" s="2294" t="s">
        <v>521</v>
      </c>
      <c r="U17" s="2295"/>
      <c r="V17" s="2296"/>
      <c r="W17" s="2296"/>
      <c r="X17" s="2296"/>
    </row>
    <row r="18" spans="1:25" ht="27" customHeight="1" x14ac:dyDescent="0.25">
      <c r="A18" s="100" t="s">
        <v>40</v>
      </c>
      <c r="B18" s="2264">
        <f>C12</f>
        <v>184792</v>
      </c>
      <c r="C18" s="2261"/>
      <c r="D18" s="1886">
        <f>E12</f>
        <v>0</v>
      </c>
      <c r="E18" s="1886">
        <f>G12</f>
        <v>0</v>
      </c>
      <c r="F18" s="1886">
        <f>I12</f>
        <v>1910</v>
      </c>
      <c r="G18" s="1886">
        <f>K12</f>
        <v>0</v>
      </c>
      <c r="H18" s="1884"/>
      <c r="I18" s="1886">
        <f>U12</f>
        <v>15</v>
      </c>
      <c r="J18" s="1884"/>
      <c r="K18" s="1886">
        <f>W12</f>
        <v>0</v>
      </c>
      <c r="L18" s="1884"/>
      <c r="M18" s="1886">
        <v>10</v>
      </c>
      <c r="N18" s="1886">
        <f>O12</f>
        <v>0</v>
      </c>
      <c r="O18" s="1885">
        <f>Q12</f>
        <v>0</v>
      </c>
      <c r="P18" s="1886"/>
      <c r="Q18" s="2262"/>
      <c r="R18" s="2262"/>
      <c r="S18" s="1881"/>
      <c r="T18" s="2254" t="s">
        <v>57</v>
      </c>
      <c r="U18" s="2254"/>
      <c r="V18" s="2262">
        <v>2670</v>
      </c>
      <c r="W18" s="2262"/>
      <c r="X18" s="2262"/>
      <c r="Y18" s="2269"/>
    </row>
    <row r="19" spans="1:25" ht="25.5" customHeight="1" x14ac:dyDescent="0.25">
      <c r="A19" s="100" t="s">
        <v>41</v>
      </c>
      <c r="B19" s="2260">
        <f>B15+B16+B17-B18</f>
        <v>510795</v>
      </c>
      <c r="C19" s="2261"/>
      <c r="D19" s="1884">
        <f>D15+D16+D17-D18</f>
        <v>500</v>
      </c>
      <c r="E19" s="1884">
        <f t="shared" ref="E19:N19" si="13">E15+E16+E17-E18</f>
        <v>500</v>
      </c>
      <c r="F19" s="1884">
        <f t="shared" si="13"/>
        <v>7963</v>
      </c>
      <c r="G19" s="1884">
        <f t="shared" si="13"/>
        <v>0</v>
      </c>
      <c r="H19" s="1884">
        <f t="shared" si="13"/>
        <v>38</v>
      </c>
      <c r="I19" s="1884">
        <f t="shared" si="13"/>
        <v>25</v>
      </c>
      <c r="J19" s="1884">
        <f t="shared" si="13"/>
        <v>4</v>
      </c>
      <c r="K19" s="1884">
        <f t="shared" si="13"/>
        <v>75</v>
      </c>
      <c r="L19" s="1884">
        <f t="shared" si="13"/>
        <v>0</v>
      </c>
      <c r="M19" s="1884">
        <f t="shared" si="13"/>
        <v>5</v>
      </c>
      <c r="N19" s="1884">
        <f t="shared" si="13"/>
        <v>0</v>
      </c>
      <c r="O19" s="1884">
        <f>O15+O16+O17-O18</f>
        <v>0</v>
      </c>
      <c r="P19" s="1884">
        <f t="shared" ref="P19:Q19" si="14">P15+P16+P17-P18</f>
        <v>100</v>
      </c>
      <c r="Q19" s="2260">
        <f t="shared" si="14"/>
        <v>10</v>
      </c>
      <c r="R19" s="2261"/>
      <c r="S19" s="1881">
        <f>S15+S16-S17-S18</f>
        <v>2</v>
      </c>
      <c r="T19" s="2256" t="s">
        <v>48</v>
      </c>
      <c r="U19" s="49" t="s">
        <v>58</v>
      </c>
      <c r="V19" s="2262">
        <v>200000</v>
      </c>
      <c r="W19" s="2262"/>
      <c r="X19" s="2262"/>
      <c r="Y19" s="2269"/>
    </row>
    <row r="20" spans="1:25" ht="23.25" customHeight="1" x14ac:dyDescent="0.25">
      <c r="A20" s="289" t="s">
        <v>187</v>
      </c>
      <c r="B20" s="2286">
        <f>B19*0.9625</f>
        <v>491640.1875</v>
      </c>
      <c r="C20" s="2287"/>
      <c r="D20" s="290">
        <f>D19*19.3</f>
        <v>9650</v>
      </c>
      <c r="E20" s="290">
        <f>27.9368*E19</f>
        <v>13968.400000000001</v>
      </c>
      <c r="F20" s="290">
        <f>18.31*F19</f>
        <v>145802.53</v>
      </c>
      <c r="G20" s="290">
        <f>27.9368*G19</f>
        <v>0</v>
      </c>
      <c r="H20" s="290">
        <f>241*H19</f>
        <v>9158</v>
      </c>
      <c r="I20" s="290">
        <f>323*I19</f>
        <v>8075</v>
      </c>
      <c r="J20" s="290">
        <f>241*J19</f>
        <v>964</v>
      </c>
      <c r="K20" s="290">
        <f>K19*100</f>
        <v>7500</v>
      </c>
      <c r="L20" s="290">
        <f>241*L19</f>
        <v>0</v>
      </c>
      <c r="M20" s="290">
        <f>470*M19</f>
        <v>2350</v>
      </c>
      <c r="N20" s="290">
        <f>N19*8.81</f>
        <v>0</v>
      </c>
      <c r="O20" s="290">
        <f>241*O19</f>
        <v>0</v>
      </c>
      <c r="P20" s="290">
        <f>P19*48.2</f>
        <v>4820</v>
      </c>
      <c r="Q20" s="2286">
        <f>470*Q19</f>
        <v>4700</v>
      </c>
      <c r="R20" s="2287"/>
      <c r="S20" s="290">
        <f>341*S19</f>
        <v>682</v>
      </c>
      <c r="T20" s="2257"/>
      <c r="U20" s="49" t="s">
        <v>59</v>
      </c>
      <c r="V20" s="2262">
        <v>158115</v>
      </c>
      <c r="W20" s="2262"/>
      <c r="X20" s="2262"/>
      <c r="Y20" s="2269"/>
    </row>
    <row r="21" spans="1:25" ht="32.25" customHeight="1" x14ac:dyDescent="0.25">
      <c r="A21" s="291" t="s">
        <v>186</v>
      </c>
      <c r="B21" s="2293">
        <f>SUM(B20:S20)</f>
        <v>699310.11750000005</v>
      </c>
      <c r="C21" s="2293"/>
      <c r="O21" s="1888"/>
      <c r="P21" s="1888"/>
      <c r="Q21" s="1888"/>
      <c r="R21" s="1888"/>
      <c r="T21" s="2294" t="s">
        <v>518</v>
      </c>
      <c r="U21" s="2295"/>
      <c r="V21" s="2297"/>
      <c r="W21" s="2298"/>
      <c r="X21" s="2299"/>
      <c r="Y21" s="2269"/>
    </row>
    <row r="22" spans="1:25" ht="35.25" customHeight="1" x14ac:dyDescent="0.25">
      <c r="A22" s="15"/>
      <c r="B22" s="2288" t="s">
        <v>49</v>
      </c>
      <c r="C22" s="2291">
        <v>200000</v>
      </c>
      <c r="D22" s="2291">
        <v>200000</v>
      </c>
      <c r="E22" s="2291">
        <v>235000</v>
      </c>
      <c r="F22" s="2291">
        <f>C22-D22+E22</f>
        <v>235000</v>
      </c>
      <c r="G22" s="1888"/>
      <c r="Q22" s="1888"/>
      <c r="R22" s="1888"/>
      <c r="T22" s="2251" t="s">
        <v>83</v>
      </c>
      <c r="U22" s="50" t="s">
        <v>60</v>
      </c>
      <c r="V22" s="2262">
        <v>355235</v>
      </c>
      <c r="W22" s="2262"/>
      <c r="X22" s="2262"/>
      <c r="Y22" s="2269"/>
    </row>
    <row r="23" spans="1:25" ht="39.75" customHeight="1" x14ac:dyDescent="0.25">
      <c r="A23" s="1888"/>
      <c r="B23" s="2289"/>
      <c r="C23" s="2292"/>
      <c r="D23" s="2292"/>
      <c r="E23" s="2292"/>
      <c r="F23" s="2292"/>
      <c r="G23" s="1888"/>
      <c r="Q23" s="1888"/>
      <c r="R23" s="1888"/>
      <c r="T23" s="2252"/>
      <c r="U23" s="50" t="s">
        <v>61</v>
      </c>
      <c r="V23" s="2262">
        <v>358115</v>
      </c>
      <c r="W23" s="2262"/>
      <c r="X23" s="2262"/>
      <c r="Y23" s="2269"/>
    </row>
    <row r="24" spans="1:25" ht="48" customHeight="1" x14ac:dyDescent="0.25">
      <c r="A24" s="1888"/>
      <c r="B24" s="2290"/>
      <c r="C24" s="290" t="s">
        <v>46</v>
      </c>
      <c r="D24" s="290" t="s">
        <v>50</v>
      </c>
      <c r="E24" s="290" t="s">
        <v>51</v>
      </c>
      <c r="F24" s="290" t="s">
        <v>52</v>
      </c>
      <c r="G24" s="1888"/>
      <c r="Q24" s="1888"/>
      <c r="R24" s="1888"/>
      <c r="T24" s="2235" t="s">
        <v>47</v>
      </c>
      <c r="U24" s="51" t="s">
        <v>62</v>
      </c>
      <c r="V24" s="2263">
        <f>V14+V16+V17-V18-V19-V20-V22+V23-V21</f>
        <v>33683.219999999972</v>
      </c>
      <c r="W24" s="2263"/>
      <c r="X24" s="2263"/>
      <c r="Y24" s="2269"/>
    </row>
    <row r="25" spans="1:25" ht="40.5" customHeight="1" x14ac:dyDescent="0.25">
      <c r="T25" s="2235"/>
      <c r="U25" s="51" t="s">
        <v>63</v>
      </c>
      <c r="V25" s="2262">
        <f>V15+V22-V23</f>
        <v>12989</v>
      </c>
      <c r="W25" s="2262"/>
      <c r="X25" s="2262"/>
    </row>
    <row r="26" spans="1:25" ht="36" customHeight="1" x14ac:dyDescent="0.25">
      <c r="K26" s="314"/>
    </row>
    <row r="28" spans="1:25" x14ac:dyDescent="0.25">
      <c r="J28" s="14" t="s">
        <v>139</v>
      </c>
    </row>
    <row r="32" spans="1:25" x14ac:dyDescent="0.25">
      <c r="I32" s="2280"/>
      <c r="J32" s="2280"/>
      <c r="K32" s="2280"/>
      <c r="L32" s="2280"/>
    </row>
    <row r="33" spans="9:12" x14ac:dyDescent="0.25">
      <c r="I33" s="1888"/>
      <c r="J33" s="1888"/>
      <c r="K33" s="2280"/>
      <c r="L33" s="2280"/>
    </row>
  </sheetData>
  <mergeCells count="62">
    <mergeCell ref="A1:Y1"/>
    <mergeCell ref="A2:Y2"/>
    <mergeCell ref="T3:Y3"/>
    <mergeCell ref="A4:A5"/>
    <mergeCell ref="B4:B5"/>
    <mergeCell ref="C4:D4"/>
    <mergeCell ref="E4:F4"/>
    <mergeCell ref="G4:H4"/>
    <mergeCell ref="I4:J4"/>
    <mergeCell ref="K4:L4"/>
    <mergeCell ref="Y4:Y5"/>
    <mergeCell ref="M4:N4"/>
    <mergeCell ref="O4:P4"/>
    <mergeCell ref="Q4:R4"/>
    <mergeCell ref="S4:T4"/>
    <mergeCell ref="U4:V4"/>
    <mergeCell ref="W4:X4"/>
    <mergeCell ref="B16:C16"/>
    <mergeCell ref="Q16:R16"/>
    <mergeCell ref="T16:U16"/>
    <mergeCell ref="V16:X16"/>
    <mergeCell ref="A12:B12"/>
    <mergeCell ref="B14:C14"/>
    <mergeCell ref="Q14:R14"/>
    <mergeCell ref="T14:T15"/>
    <mergeCell ref="V14:X14"/>
    <mergeCell ref="B15:C15"/>
    <mergeCell ref="Q15:R15"/>
    <mergeCell ref="V15:X15"/>
    <mergeCell ref="B17:C17"/>
    <mergeCell ref="Q17:R17"/>
    <mergeCell ref="T17:U17"/>
    <mergeCell ref="V17:X17"/>
    <mergeCell ref="B18:C18"/>
    <mergeCell ref="Q18:R18"/>
    <mergeCell ref="T18:U18"/>
    <mergeCell ref="V18:X18"/>
    <mergeCell ref="Y18:Y24"/>
    <mergeCell ref="B19:C19"/>
    <mergeCell ref="Q19:R19"/>
    <mergeCell ref="T19:T20"/>
    <mergeCell ref="V19:X19"/>
    <mergeCell ref="B20:C20"/>
    <mergeCell ref="B22:B24"/>
    <mergeCell ref="C22:C23"/>
    <mergeCell ref="D22:D23"/>
    <mergeCell ref="E22:E23"/>
    <mergeCell ref="F22:F23"/>
    <mergeCell ref="Q20:R20"/>
    <mergeCell ref="V20:X20"/>
    <mergeCell ref="B21:C21"/>
    <mergeCell ref="T21:U21"/>
    <mergeCell ref="V21:X21"/>
    <mergeCell ref="I32:J32"/>
    <mergeCell ref="K32:L32"/>
    <mergeCell ref="K33:L33"/>
    <mergeCell ref="T22:T23"/>
    <mergeCell ref="V22:X22"/>
    <mergeCell ref="V23:X23"/>
    <mergeCell ref="T24:T25"/>
    <mergeCell ref="V24:X24"/>
    <mergeCell ref="V25:X25"/>
  </mergeCells>
  <pageMargins left="0.15748031496063" right="0.15748031496063" top="0" bottom="0" header="0" footer="0"/>
  <pageSetup paperSize="9" scale="46" orientation="landscape" r:id="rId1"/>
</worksheet>
</file>

<file path=xl/worksheets/sheet29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B9D003C-16BE-4790-B770-250305BC1D74}">
  <sheetPr>
    <pageSetUpPr fitToPage="1"/>
  </sheetPr>
  <dimension ref="A1:Y33"/>
  <sheetViews>
    <sheetView topLeftCell="D7" zoomScale="70" zoomScaleNormal="70" zoomScaleSheetLayoutView="100" zoomScalePageLayoutView="68" workbookViewId="0">
      <selection sqref="A1:Y1"/>
    </sheetView>
  </sheetViews>
  <sheetFormatPr defaultColWidth="9.140625" defaultRowHeight="15" x14ac:dyDescent="0.25"/>
  <cols>
    <col min="1" max="1" width="18.28515625" style="14" customWidth="1"/>
    <col min="2" max="2" width="10.7109375" style="14" customWidth="1"/>
    <col min="3" max="3" width="12.28515625" style="14" customWidth="1"/>
    <col min="4" max="4" width="13.140625" style="14" bestFit="1" customWidth="1"/>
    <col min="5" max="5" width="12" style="14" customWidth="1"/>
    <col min="6" max="6" width="14" style="14" bestFit="1" customWidth="1"/>
    <col min="7" max="7" width="16" style="14" bestFit="1" customWidth="1"/>
    <col min="8" max="8" width="10.140625" style="14" bestFit="1" customWidth="1"/>
    <col min="9" max="9" width="10.5703125" style="14" bestFit="1" customWidth="1"/>
    <col min="10" max="10" width="10.5703125" style="14" customWidth="1"/>
    <col min="11" max="11" width="10.28515625" style="14" bestFit="1" customWidth="1"/>
    <col min="12" max="12" width="10.42578125" style="14" bestFit="1" customWidth="1"/>
    <col min="13" max="14" width="12" style="14" bestFit="1" customWidth="1"/>
    <col min="15" max="15" width="11" style="14" customWidth="1"/>
    <col min="16" max="16" width="12.85546875" style="14" bestFit="1" customWidth="1"/>
    <col min="17" max="18" width="9.42578125" style="14" customWidth="1"/>
    <col min="19" max="19" width="13.7109375" style="14" customWidth="1"/>
    <col min="20" max="20" width="12.140625" style="14" customWidth="1"/>
    <col min="21" max="21" width="21.7109375" style="14" customWidth="1"/>
    <col min="22" max="22" width="9.85546875" style="14" customWidth="1"/>
    <col min="23" max="23" width="10.140625" style="14" bestFit="1" customWidth="1"/>
    <col min="24" max="24" width="10.28515625" style="14" customWidth="1"/>
    <col min="25" max="25" width="15.7109375" style="14" customWidth="1"/>
    <col min="26" max="16384" width="9.140625" style="14"/>
  </cols>
  <sheetData>
    <row r="1" spans="1:25" ht="46.15" customHeight="1" x14ac:dyDescent="0.25">
      <c r="A1" s="2240" t="s">
        <v>148</v>
      </c>
      <c r="B1" s="2240"/>
      <c r="C1" s="2240"/>
      <c r="D1" s="2240"/>
      <c r="E1" s="2240"/>
      <c r="F1" s="2240"/>
      <c r="G1" s="2240"/>
      <c r="H1" s="2240"/>
      <c r="I1" s="2240"/>
      <c r="J1" s="2240"/>
      <c r="K1" s="2240"/>
      <c r="L1" s="2240"/>
      <c r="M1" s="2240"/>
      <c r="N1" s="2240"/>
      <c r="O1" s="2240"/>
      <c r="P1" s="2240"/>
      <c r="Q1" s="2240"/>
      <c r="R1" s="2240"/>
      <c r="S1" s="2240"/>
      <c r="T1" s="2240"/>
      <c r="U1" s="2240"/>
      <c r="V1" s="2240"/>
      <c r="W1" s="2240"/>
      <c r="X1" s="2240"/>
      <c r="Y1" s="2240"/>
    </row>
    <row r="2" spans="1:25" ht="21.6" customHeight="1" x14ac:dyDescent="0.25">
      <c r="A2" s="2241" t="s">
        <v>383</v>
      </c>
      <c r="B2" s="2241"/>
      <c r="C2" s="2241"/>
      <c r="D2" s="2241"/>
      <c r="E2" s="2241"/>
      <c r="F2" s="2241"/>
      <c r="G2" s="2241"/>
      <c r="H2" s="2241"/>
      <c r="I2" s="2241"/>
      <c r="J2" s="2241"/>
      <c r="K2" s="2241"/>
      <c r="L2" s="2241"/>
      <c r="M2" s="2241"/>
      <c r="N2" s="2241"/>
      <c r="O2" s="2241"/>
      <c r="P2" s="2241"/>
      <c r="Q2" s="2241"/>
      <c r="R2" s="2241"/>
      <c r="S2" s="2241"/>
      <c r="T2" s="2241"/>
      <c r="U2" s="2241"/>
      <c r="V2" s="2241"/>
      <c r="W2" s="2241"/>
      <c r="X2" s="2241"/>
      <c r="Y2" s="2241"/>
    </row>
    <row r="3" spans="1:25" ht="21" customHeight="1" x14ac:dyDescent="0.25">
      <c r="A3" s="1889"/>
      <c r="B3" s="1889"/>
      <c r="C3" s="1889"/>
      <c r="D3" s="1889"/>
      <c r="E3" s="1889"/>
      <c r="F3" s="1889"/>
      <c r="G3" s="1889"/>
      <c r="H3" s="1889"/>
      <c r="I3" s="1889"/>
      <c r="J3" s="1889"/>
      <c r="K3" s="1889"/>
      <c r="L3" s="1889"/>
      <c r="M3" s="1889"/>
      <c r="N3" s="1889"/>
      <c r="O3" s="1889"/>
      <c r="P3" s="1889"/>
      <c r="Q3" s="1889"/>
      <c r="R3" s="1889"/>
      <c r="S3" s="1889"/>
      <c r="T3" s="2242" t="s">
        <v>552</v>
      </c>
      <c r="U3" s="2242"/>
      <c r="V3" s="2242"/>
      <c r="W3" s="2242"/>
      <c r="X3" s="2242"/>
      <c r="Y3" s="2242"/>
    </row>
    <row r="4" spans="1:25" s="1889" customFormat="1" ht="18" customHeight="1" x14ac:dyDescent="0.25">
      <c r="A4" s="2243" t="s">
        <v>25</v>
      </c>
      <c r="B4" s="2243" t="s">
        <v>26</v>
      </c>
      <c r="C4" s="2244" t="s">
        <v>27</v>
      </c>
      <c r="D4" s="2244"/>
      <c r="E4" s="2244" t="s">
        <v>544</v>
      </c>
      <c r="F4" s="2244"/>
      <c r="G4" s="2244" t="s">
        <v>65</v>
      </c>
      <c r="H4" s="2244"/>
      <c r="I4" s="2244" t="s">
        <v>29</v>
      </c>
      <c r="J4" s="2244"/>
      <c r="K4" s="2245" t="s">
        <v>14</v>
      </c>
      <c r="L4" s="2246"/>
      <c r="M4" s="2245" t="s">
        <v>429</v>
      </c>
      <c r="N4" s="2246"/>
      <c r="O4" s="2245" t="s">
        <v>441</v>
      </c>
      <c r="P4" s="2246"/>
      <c r="Q4" s="2245" t="s">
        <v>114</v>
      </c>
      <c r="R4" s="2246"/>
      <c r="S4" s="2244" t="s">
        <v>35</v>
      </c>
      <c r="T4" s="2244"/>
      <c r="U4" s="2245" t="s">
        <v>17</v>
      </c>
      <c r="V4" s="2246"/>
      <c r="W4" s="2247" t="s">
        <v>36</v>
      </c>
      <c r="X4" s="2248"/>
      <c r="Y4" s="2238" t="s">
        <v>30</v>
      </c>
    </row>
    <row r="5" spans="1:25" s="1889" customFormat="1" ht="25.5" customHeight="1" x14ac:dyDescent="0.25">
      <c r="A5" s="2243"/>
      <c r="B5" s="2243"/>
      <c r="C5" s="1891" t="s">
        <v>42</v>
      </c>
      <c r="D5" s="1891" t="s">
        <v>43</v>
      </c>
      <c r="E5" s="1891" t="s">
        <v>42</v>
      </c>
      <c r="F5" s="1891" t="s">
        <v>43</v>
      </c>
      <c r="G5" s="1891" t="s">
        <v>42</v>
      </c>
      <c r="H5" s="1891" t="s">
        <v>43</v>
      </c>
      <c r="I5" s="1891" t="s">
        <v>42</v>
      </c>
      <c r="J5" s="1891" t="s">
        <v>43</v>
      </c>
      <c r="K5" s="1891" t="s">
        <v>42</v>
      </c>
      <c r="L5" s="1891" t="s">
        <v>43</v>
      </c>
      <c r="M5" s="1891" t="s">
        <v>42</v>
      </c>
      <c r="N5" s="1891" t="s">
        <v>43</v>
      </c>
      <c r="O5" s="1891" t="s">
        <v>42</v>
      </c>
      <c r="P5" s="1891" t="s">
        <v>43</v>
      </c>
      <c r="Q5" s="1891" t="s">
        <v>42</v>
      </c>
      <c r="R5" s="1891" t="s">
        <v>43</v>
      </c>
      <c r="S5" s="33" t="s">
        <v>42</v>
      </c>
      <c r="T5" s="33" t="s">
        <v>43</v>
      </c>
      <c r="U5" s="30" t="s">
        <v>42</v>
      </c>
      <c r="V5" s="30" t="s">
        <v>43</v>
      </c>
      <c r="W5" s="30" t="s">
        <v>42</v>
      </c>
      <c r="X5" s="30" t="s">
        <v>43</v>
      </c>
      <c r="Y5" s="2239"/>
    </row>
    <row r="6" spans="1:25" ht="34.5" customHeight="1" x14ac:dyDescent="0.25">
      <c r="A6" s="12">
        <v>1409935200</v>
      </c>
      <c r="B6" s="1890" t="s">
        <v>71</v>
      </c>
      <c r="C6" s="1893">
        <v>24328</v>
      </c>
      <c r="D6" s="1894">
        <f t="shared" ref="D6:D11" si="0">0.9725*C6</f>
        <v>23658.98</v>
      </c>
      <c r="E6" s="1893"/>
      <c r="F6" s="1894">
        <f>67.1*E6</f>
        <v>0</v>
      </c>
      <c r="G6" s="1893"/>
      <c r="H6" s="1893">
        <f>28.2*G6</f>
        <v>0</v>
      </c>
      <c r="I6" s="1893">
        <v>90</v>
      </c>
      <c r="J6" s="1893">
        <f>18.5*I6</f>
        <v>1665</v>
      </c>
      <c r="K6" s="1893"/>
      <c r="L6" s="1894">
        <f>28.2368*K6</f>
        <v>0</v>
      </c>
      <c r="M6" s="1893"/>
      <c r="N6" s="1894">
        <f>M6*47.6525</f>
        <v>0</v>
      </c>
      <c r="O6" s="1893"/>
      <c r="P6" s="1894">
        <f>O6*8.9</f>
        <v>0</v>
      </c>
      <c r="Q6" s="1894"/>
      <c r="R6" s="1894">
        <f>241*Q6</f>
        <v>0</v>
      </c>
      <c r="S6" s="1893">
        <v>3</v>
      </c>
      <c r="T6" s="1893">
        <f>470*S6</f>
        <v>1410</v>
      </c>
      <c r="U6" s="1893"/>
      <c r="V6" s="1893">
        <f>332*U6</f>
        <v>0</v>
      </c>
      <c r="W6" s="1893"/>
      <c r="X6" s="19">
        <f>W6*100</f>
        <v>0</v>
      </c>
      <c r="Y6" s="20">
        <f t="shared" ref="Y6:Y12" si="1">D6+F6+H6+J6+L6+N6+P6+R6+T6+V6+X6</f>
        <v>26733.98</v>
      </c>
    </row>
    <row r="7" spans="1:25" ht="31.5" customHeight="1" x14ac:dyDescent="0.25">
      <c r="A7" s="12">
        <v>1984225578</v>
      </c>
      <c r="B7" s="1890" t="s">
        <v>509</v>
      </c>
      <c r="C7" s="1893">
        <v>24870</v>
      </c>
      <c r="D7" s="1894">
        <f t="shared" si="0"/>
        <v>24186.075000000001</v>
      </c>
      <c r="E7" s="1893"/>
      <c r="F7" s="1893">
        <f t="shared" ref="F7:F11" si="2">67.1*E7</f>
        <v>0</v>
      </c>
      <c r="G7" s="1893"/>
      <c r="H7" s="1893">
        <f t="shared" ref="H7:H11" si="3">28.2*G7</f>
        <v>0</v>
      </c>
      <c r="I7" s="1893"/>
      <c r="J7" s="1893">
        <f t="shared" ref="J7:J11" si="4">18.5*I7</f>
        <v>0</v>
      </c>
      <c r="K7" s="1893"/>
      <c r="L7" s="1894">
        <f t="shared" ref="L7:L11" si="5">28.2368*K7</f>
        <v>0</v>
      </c>
      <c r="M7" s="1893"/>
      <c r="N7" s="1894">
        <f t="shared" ref="N7:N11" si="6">M7*47.6525</f>
        <v>0</v>
      </c>
      <c r="O7" s="1893"/>
      <c r="P7" s="1894">
        <f t="shared" ref="P7:P11" si="7">O7*8.9</f>
        <v>0</v>
      </c>
      <c r="Q7" s="1894"/>
      <c r="R7" s="1894">
        <f t="shared" ref="R7:R11" si="8">241*Q7</f>
        <v>0</v>
      </c>
      <c r="S7" s="1893"/>
      <c r="T7" s="1893">
        <f t="shared" ref="T7:T9" si="9">241*S7</f>
        <v>0</v>
      </c>
      <c r="U7" s="1893"/>
      <c r="V7" s="1893">
        <f t="shared" ref="V7:V11" si="10">332*U7</f>
        <v>0</v>
      </c>
      <c r="W7" s="1893"/>
      <c r="X7" s="19">
        <f t="shared" ref="X7:X11" si="11">W7*100</f>
        <v>0</v>
      </c>
      <c r="Y7" s="20">
        <f t="shared" si="1"/>
        <v>24186.075000000001</v>
      </c>
    </row>
    <row r="8" spans="1:25" ht="35.25" customHeight="1" x14ac:dyDescent="0.25">
      <c r="A8" s="12">
        <v>1967020280</v>
      </c>
      <c r="B8" s="1890" t="s">
        <v>427</v>
      </c>
      <c r="C8" s="1893">
        <v>22000</v>
      </c>
      <c r="D8" s="1894">
        <f t="shared" si="0"/>
        <v>21395</v>
      </c>
      <c r="E8" s="1893"/>
      <c r="F8" s="1893">
        <f t="shared" si="2"/>
        <v>0</v>
      </c>
      <c r="G8" s="1893"/>
      <c r="H8" s="1894">
        <f t="shared" si="3"/>
        <v>0</v>
      </c>
      <c r="I8" s="1893"/>
      <c r="J8" s="1893">
        <f t="shared" si="4"/>
        <v>0</v>
      </c>
      <c r="K8" s="1893"/>
      <c r="L8" s="1894">
        <f t="shared" si="5"/>
        <v>0</v>
      </c>
      <c r="M8" s="1893"/>
      <c r="N8" s="1894">
        <f t="shared" si="6"/>
        <v>0</v>
      </c>
      <c r="O8" s="1893"/>
      <c r="P8" s="1894">
        <f t="shared" si="7"/>
        <v>0</v>
      </c>
      <c r="Q8" s="1894"/>
      <c r="R8" s="1894">
        <f t="shared" si="8"/>
        <v>0</v>
      </c>
      <c r="S8" s="1893"/>
      <c r="T8" s="1893">
        <f t="shared" si="9"/>
        <v>0</v>
      </c>
      <c r="U8" s="1893"/>
      <c r="V8" s="1893">
        <f t="shared" si="10"/>
        <v>0</v>
      </c>
      <c r="W8" s="1893"/>
      <c r="X8" s="19">
        <f t="shared" si="11"/>
        <v>0</v>
      </c>
      <c r="Y8" s="20">
        <f t="shared" si="1"/>
        <v>21395</v>
      </c>
    </row>
    <row r="9" spans="1:25" ht="38.25" customHeight="1" x14ac:dyDescent="0.25">
      <c r="A9" s="12">
        <v>1984225580</v>
      </c>
      <c r="B9" s="1890" t="s">
        <v>75</v>
      </c>
      <c r="C9" s="1893">
        <v>19106</v>
      </c>
      <c r="D9" s="1894">
        <f t="shared" si="0"/>
        <v>18580.584999999999</v>
      </c>
      <c r="E9" s="1893"/>
      <c r="F9" s="1893">
        <f t="shared" si="2"/>
        <v>0</v>
      </c>
      <c r="G9" s="1893"/>
      <c r="H9" s="1893">
        <f t="shared" si="3"/>
        <v>0</v>
      </c>
      <c r="I9" s="1893"/>
      <c r="J9" s="1893">
        <f t="shared" si="4"/>
        <v>0</v>
      </c>
      <c r="K9" s="1893"/>
      <c r="L9" s="1894">
        <f t="shared" si="5"/>
        <v>0</v>
      </c>
      <c r="M9" s="1893"/>
      <c r="N9" s="1894">
        <f t="shared" si="6"/>
        <v>0</v>
      </c>
      <c r="O9" s="1893"/>
      <c r="P9" s="1894">
        <f t="shared" si="7"/>
        <v>0</v>
      </c>
      <c r="Q9" s="1894"/>
      <c r="R9" s="1894">
        <f t="shared" si="8"/>
        <v>0</v>
      </c>
      <c r="S9" s="1893"/>
      <c r="T9" s="1893">
        <f t="shared" si="9"/>
        <v>0</v>
      </c>
      <c r="U9" s="1893"/>
      <c r="V9" s="1893">
        <f t="shared" si="10"/>
        <v>0</v>
      </c>
      <c r="W9" s="1893"/>
      <c r="X9" s="19">
        <f t="shared" si="11"/>
        <v>0</v>
      </c>
      <c r="Y9" s="20">
        <f t="shared" si="1"/>
        <v>18580.584999999999</v>
      </c>
    </row>
    <row r="10" spans="1:25" ht="35.25" customHeight="1" x14ac:dyDescent="0.25">
      <c r="A10" s="12">
        <v>1409935199</v>
      </c>
      <c r="C10" s="1893"/>
      <c r="D10" s="1894">
        <f t="shared" si="0"/>
        <v>0</v>
      </c>
      <c r="E10" s="1893"/>
      <c r="F10" s="1893">
        <f t="shared" si="2"/>
        <v>0</v>
      </c>
      <c r="G10" s="1893"/>
      <c r="H10" s="1893">
        <f t="shared" si="3"/>
        <v>0</v>
      </c>
      <c r="I10" s="1893"/>
      <c r="J10" s="1893">
        <f t="shared" si="4"/>
        <v>0</v>
      </c>
      <c r="K10" s="1893"/>
      <c r="L10" s="1894">
        <f t="shared" si="5"/>
        <v>0</v>
      </c>
      <c r="M10" s="1893"/>
      <c r="N10" s="1894">
        <f t="shared" si="6"/>
        <v>0</v>
      </c>
      <c r="O10" s="1893"/>
      <c r="P10" s="1894">
        <f t="shared" si="7"/>
        <v>0</v>
      </c>
      <c r="Q10" s="1894"/>
      <c r="R10" s="1894">
        <f t="shared" si="8"/>
        <v>0</v>
      </c>
      <c r="S10" s="1893"/>
      <c r="T10" s="1893">
        <f>470*S10</f>
        <v>0</v>
      </c>
      <c r="U10" s="1893"/>
      <c r="V10" s="1893">
        <f t="shared" si="10"/>
        <v>0</v>
      </c>
      <c r="W10" s="1893"/>
      <c r="X10" s="19">
        <f t="shared" si="11"/>
        <v>0</v>
      </c>
      <c r="Y10" s="20">
        <f t="shared" si="1"/>
        <v>0</v>
      </c>
    </row>
    <row r="11" spans="1:25" ht="37.5" customHeight="1" x14ac:dyDescent="0.25">
      <c r="A11" s="12"/>
      <c r="B11" s="1892"/>
      <c r="C11" s="1893"/>
      <c r="D11" s="1894">
        <f t="shared" si="0"/>
        <v>0</v>
      </c>
      <c r="E11" s="1893"/>
      <c r="F11" s="1893">
        <f t="shared" si="2"/>
        <v>0</v>
      </c>
      <c r="G11" s="1893"/>
      <c r="H11" s="1893">
        <f t="shared" si="3"/>
        <v>0</v>
      </c>
      <c r="I11" s="1893"/>
      <c r="J11" s="1893">
        <f t="shared" si="4"/>
        <v>0</v>
      </c>
      <c r="K11" s="1893"/>
      <c r="L11" s="1894">
        <f t="shared" si="5"/>
        <v>0</v>
      </c>
      <c r="M11" s="1893"/>
      <c r="N11" s="1894">
        <f t="shared" si="6"/>
        <v>0</v>
      </c>
      <c r="O11" s="1893"/>
      <c r="P11" s="1894">
        <f t="shared" si="7"/>
        <v>0</v>
      </c>
      <c r="Q11" s="1894"/>
      <c r="R11" s="1894">
        <f t="shared" si="8"/>
        <v>0</v>
      </c>
      <c r="S11" s="1893"/>
      <c r="T11" s="1893">
        <f>341*S11</f>
        <v>0</v>
      </c>
      <c r="U11" s="1893"/>
      <c r="V11" s="1893">
        <f t="shared" si="10"/>
        <v>0</v>
      </c>
      <c r="W11" s="1893"/>
      <c r="X11" s="19">
        <f t="shared" si="11"/>
        <v>0</v>
      </c>
      <c r="Y11" s="20">
        <f t="shared" si="1"/>
        <v>0</v>
      </c>
    </row>
    <row r="12" spans="1:25" ht="29.25" customHeight="1" x14ac:dyDescent="0.25">
      <c r="A12" s="2235" t="s">
        <v>31</v>
      </c>
      <c r="B12" s="2235"/>
      <c r="C12" s="18">
        <f t="shared" ref="C12:X12" si="12">SUM(C6:C11)</f>
        <v>90304</v>
      </c>
      <c r="D12" s="18">
        <f t="shared" si="12"/>
        <v>87820.639999999985</v>
      </c>
      <c r="E12" s="18">
        <f t="shared" si="12"/>
        <v>0</v>
      </c>
      <c r="F12" s="18">
        <f t="shared" si="12"/>
        <v>0</v>
      </c>
      <c r="G12" s="18">
        <f t="shared" si="12"/>
        <v>0</v>
      </c>
      <c r="H12" s="18">
        <f t="shared" si="12"/>
        <v>0</v>
      </c>
      <c r="I12" s="18">
        <f t="shared" si="12"/>
        <v>90</v>
      </c>
      <c r="J12" s="18">
        <f t="shared" si="12"/>
        <v>1665</v>
      </c>
      <c r="K12" s="18">
        <f t="shared" si="12"/>
        <v>0</v>
      </c>
      <c r="L12" s="18">
        <f t="shared" si="12"/>
        <v>0</v>
      </c>
      <c r="M12" s="18">
        <f t="shared" si="12"/>
        <v>0</v>
      </c>
      <c r="N12" s="23">
        <f t="shared" si="12"/>
        <v>0</v>
      </c>
      <c r="O12" s="18">
        <f t="shared" si="12"/>
        <v>0</v>
      </c>
      <c r="P12" s="23">
        <f t="shared" si="12"/>
        <v>0</v>
      </c>
      <c r="Q12" s="23">
        <f t="shared" si="12"/>
        <v>0</v>
      </c>
      <c r="R12" s="23">
        <f>SUM(R6:R11)</f>
        <v>0</v>
      </c>
      <c r="S12" s="23">
        <f>SUM(S6:S11)</f>
        <v>3</v>
      </c>
      <c r="T12" s="18">
        <f t="shared" si="12"/>
        <v>1410</v>
      </c>
      <c r="U12" s="18">
        <f t="shared" si="12"/>
        <v>0</v>
      </c>
      <c r="V12" s="18">
        <f t="shared" si="12"/>
        <v>0</v>
      </c>
      <c r="W12" s="18">
        <f t="shared" si="12"/>
        <v>0</v>
      </c>
      <c r="X12" s="18">
        <f t="shared" si="12"/>
        <v>0</v>
      </c>
      <c r="Y12" s="20">
        <f t="shared" si="1"/>
        <v>90895.639999999985</v>
      </c>
    </row>
    <row r="14" spans="1:25" ht="43.5" customHeight="1" x14ac:dyDescent="0.25">
      <c r="A14" s="30" t="s">
        <v>32</v>
      </c>
      <c r="B14" s="2236" t="s">
        <v>27</v>
      </c>
      <c r="C14" s="2236"/>
      <c r="D14" s="30" t="s">
        <v>543</v>
      </c>
      <c r="E14" s="30" t="s">
        <v>65</v>
      </c>
      <c r="F14" s="30" t="s">
        <v>34</v>
      </c>
      <c r="G14" s="30" t="s">
        <v>14</v>
      </c>
      <c r="H14" s="469" t="s">
        <v>173</v>
      </c>
      <c r="I14" s="30" t="s">
        <v>17</v>
      </c>
      <c r="J14" s="1898" t="s">
        <v>174</v>
      </c>
      <c r="K14" s="30" t="s">
        <v>36</v>
      </c>
      <c r="L14" s="1898" t="s">
        <v>403</v>
      </c>
      <c r="M14" s="1898" t="s">
        <v>549</v>
      </c>
      <c r="N14" s="30" t="s">
        <v>442</v>
      </c>
      <c r="O14" s="1898" t="s">
        <v>114</v>
      </c>
      <c r="P14" s="30" t="s">
        <v>70</v>
      </c>
      <c r="Q14" s="2300" t="s">
        <v>479</v>
      </c>
      <c r="R14" s="2301"/>
      <c r="S14" s="1898" t="s">
        <v>401</v>
      </c>
      <c r="T14" s="2235" t="s">
        <v>46</v>
      </c>
      <c r="U14" s="1890" t="s">
        <v>176</v>
      </c>
      <c r="V14" s="2260">
        <v>33683</v>
      </c>
      <c r="W14" s="2268"/>
      <c r="X14" s="2261"/>
    </row>
    <row r="15" spans="1:25" ht="22.5" customHeight="1" x14ac:dyDescent="0.25">
      <c r="A15" s="100" t="s">
        <v>38</v>
      </c>
      <c r="B15" s="2260">
        <v>510795</v>
      </c>
      <c r="C15" s="2261"/>
      <c r="D15" s="1895">
        <v>500</v>
      </c>
      <c r="E15" s="1895">
        <v>500</v>
      </c>
      <c r="F15" s="1895">
        <v>7963</v>
      </c>
      <c r="G15" s="1895">
        <v>0</v>
      </c>
      <c r="H15" s="1895">
        <v>38</v>
      </c>
      <c r="I15" s="1895">
        <v>25</v>
      </c>
      <c r="J15" s="1895">
        <v>4</v>
      </c>
      <c r="K15" s="1895">
        <v>75</v>
      </c>
      <c r="L15" s="1895">
        <v>0</v>
      </c>
      <c r="M15" s="1895">
        <v>5</v>
      </c>
      <c r="N15" s="1895">
        <v>0</v>
      </c>
      <c r="O15" s="1895">
        <v>0</v>
      </c>
      <c r="P15" s="1895">
        <v>100</v>
      </c>
      <c r="Q15" s="2260">
        <v>10</v>
      </c>
      <c r="R15" s="2261"/>
      <c r="S15" s="1890">
        <v>2</v>
      </c>
      <c r="T15" s="2235"/>
      <c r="U15" s="1890" t="s">
        <v>64</v>
      </c>
      <c r="V15" s="2262">
        <v>12989</v>
      </c>
      <c r="W15" s="2262"/>
      <c r="X15" s="2262"/>
    </row>
    <row r="16" spans="1:25" ht="24.75" customHeight="1" x14ac:dyDescent="0.25">
      <c r="A16" s="100" t="s">
        <v>39</v>
      </c>
      <c r="B16" s="2260"/>
      <c r="C16" s="2261"/>
      <c r="D16" s="1895"/>
      <c r="E16" s="1895"/>
      <c r="F16" s="1895"/>
      <c r="G16" s="1895"/>
      <c r="H16" s="1895"/>
      <c r="I16" s="1895"/>
      <c r="J16" s="1895"/>
      <c r="K16" s="1895"/>
      <c r="L16" s="1895"/>
      <c r="M16" s="1895"/>
      <c r="N16" s="1895"/>
      <c r="O16" s="1895"/>
      <c r="P16" s="1895"/>
      <c r="Q16" s="2262"/>
      <c r="R16" s="2262"/>
      <c r="S16" s="1895"/>
      <c r="T16" s="2254" t="s">
        <v>55</v>
      </c>
      <c r="U16" s="2254"/>
      <c r="V16" s="2267">
        <f>Y12</f>
        <v>90895.639999999985</v>
      </c>
      <c r="W16" s="2267"/>
      <c r="X16" s="2262"/>
    </row>
    <row r="17" spans="1:25" ht="28.5" customHeight="1" x14ac:dyDescent="0.25">
      <c r="A17" s="101" t="s">
        <v>44</v>
      </c>
      <c r="B17" s="2260"/>
      <c r="C17" s="2261"/>
      <c r="D17" s="1895"/>
      <c r="E17" s="1895"/>
      <c r="F17" s="1895"/>
      <c r="G17" s="1895"/>
      <c r="H17" s="1895"/>
      <c r="I17" s="1895"/>
      <c r="J17" s="1895"/>
      <c r="K17" s="1895"/>
      <c r="L17" s="1895"/>
      <c r="M17" s="1895"/>
      <c r="N17" s="1895"/>
      <c r="O17" s="1895"/>
      <c r="P17" s="1895"/>
      <c r="Q17" s="2225"/>
      <c r="R17" s="2225"/>
      <c r="S17" s="1892"/>
      <c r="T17" s="2294" t="s">
        <v>521</v>
      </c>
      <c r="U17" s="2295"/>
      <c r="V17" s="2296"/>
      <c r="W17" s="2296"/>
      <c r="X17" s="2296"/>
    </row>
    <row r="18" spans="1:25" ht="27" customHeight="1" x14ac:dyDescent="0.25">
      <c r="A18" s="100" t="s">
        <v>40</v>
      </c>
      <c r="B18" s="2264">
        <f>C12</f>
        <v>90304</v>
      </c>
      <c r="C18" s="2261"/>
      <c r="D18" s="1896">
        <f>E12</f>
        <v>0</v>
      </c>
      <c r="E18" s="1896">
        <f>G12</f>
        <v>0</v>
      </c>
      <c r="F18" s="1896">
        <f>I12</f>
        <v>90</v>
      </c>
      <c r="G18" s="1896">
        <f>K12</f>
        <v>0</v>
      </c>
      <c r="H18" s="1895"/>
      <c r="I18" s="1896">
        <f>U12</f>
        <v>0</v>
      </c>
      <c r="J18" s="1895"/>
      <c r="K18" s="1896">
        <f>W12</f>
        <v>0</v>
      </c>
      <c r="L18" s="1895"/>
      <c r="M18" s="1896">
        <v>3</v>
      </c>
      <c r="N18" s="1896">
        <f>O12</f>
        <v>0</v>
      </c>
      <c r="O18" s="1897">
        <f>Q12</f>
        <v>0</v>
      </c>
      <c r="P18" s="1896"/>
      <c r="Q18" s="2262"/>
      <c r="R18" s="2262"/>
      <c r="S18" s="1890"/>
      <c r="T18" s="2254" t="s">
        <v>57</v>
      </c>
      <c r="U18" s="2254"/>
      <c r="V18" s="2262">
        <v>620</v>
      </c>
      <c r="W18" s="2262"/>
      <c r="X18" s="2262"/>
      <c r="Y18" s="2269"/>
    </row>
    <row r="19" spans="1:25" ht="25.5" customHeight="1" x14ac:dyDescent="0.25">
      <c r="A19" s="100" t="s">
        <v>41</v>
      </c>
      <c r="B19" s="2260">
        <f>B15+B16+B17-B18</f>
        <v>420491</v>
      </c>
      <c r="C19" s="2261"/>
      <c r="D19" s="1895">
        <f>D15+D16+D17-D18</f>
        <v>500</v>
      </c>
      <c r="E19" s="1895">
        <f t="shared" ref="E19:N19" si="13">E15+E16+E17-E18</f>
        <v>500</v>
      </c>
      <c r="F19" s="1895">
        <f t="shared" si="13"/>
        <v>7873</v>
      </c>
      <c r="G19" s="1895">
        <f t="shared" si="13"/>
        <v>0</v>
      </c>
      <c r="H19" s="1895">
        <f t="shared" si="13"/>
        <v>38</v>
      </c>
      <c r="I19" s="1895">
        <f t="shared" si="13"/>
        <v>25</v>
      </c>
      <c r="J19" s="1895">
        <f t="shared" si="13"/>
        <v>4</v>
      </c>
      <c r="K19" s="1895">
        <f t="shared" si="13"/>
        <v>75</v>
      </c>
      <c r="L19" s="1895">
        <f t="shared" si="13"/>
        <v>0</v>
      </c>
      <c r="M19" s="1895">
        <f t="shared" si="13"/>
        <v>2</v>
      </c>
      <c r="N19" s="1895">
        <f t="shared" si="13"/>
        <v>0</v>
      </c>
      <c r="O19" s="1895">
        <f>O15+O16+O17-O18</f>
        <v>0</v>
      </c>
      <c r="P19" s="1895">
        <f t="shared" ref="P19:Q19" si="14">P15+P16+P17-P18</f>
        <v>100</v>
      </c>
      <c r="Q19" s="2260">
        <f t="shared" si="14"/>
        <v>10</v>
      </c>
      <c r="R19" s="2261"/>
      <c r="S19" s="1890">
        <f>S15+S16-S17-S18</f>
        <v>2</v>
      </c>
      <c r="T19" s="2256" t="s">
        <v>48</v>
      </c>
      <c r="U19" s="49" t="s">
        <v>58</v>
      </c>
      <c r="V19" s="2262"/>
      <c r="W19" s="2262"/>
      <c r="X19" s="2262"/>
      <c r="Y19" s="2269"/>
    </row>
    <row r="20" spans="1:25" ht="23.25" customHeight="1" x14ac:dyDescent="0.25">
      <c r="A20" s="289" t="s">
        <v>187</v>
      </c>
      <c r="B20" s="2286">
        <f>B19*0.9625</f>
        <v>404722.58750000002</v>
      </c>
      <c r="C20" s="2287"/>
      <c r="D20" s="290">
        <f>D19*19.3</f>
        <v>9650</v>
      </c>
      <c r="E20" s="290">
        <f>27.9368*E19</f>
        <v>13968.400000000001</v>
      </c>
      <c r="F20" s="290">
        <f>18.31*F19</f>
        <v>144154.62999999998</v>
      </c>
      <c r="G20" s="290">
        <f>27.9368*G19</f>
        <v>0</v>
      </c>
      <c r="H20" s="290">
        <f>241*H19</f>
        <v>9158</v>
      </c>
      <c r="I20" s="290">
        <f>323*I19</f>
        <v>8075</v>
      </c>
      <c r="J20" s="290">
        <f>241*J19</f>
        <v>964</v>
      </c>
      <c r="K20" s="290">
        <f>K19*100</f>
        <v>7500</v>
      </c>
      <c r="L20" s="290">
        <f>241*L19</f>
        <v>0</v>
      </c>
      <c r="M20" s="290">
        <f>470*M19</f>
        <v>940</v>
      </c>
      <c r="N20" s="290">
        <f>N19*8.81</f>
        <v>0</v>
      </c>
      <c r="O20" s="290">
        <f>241*O19</f>
        <v>0</v>
      </c>
      <c r="P20" s="290">
        <f>P19*48.2</f>
        <v>4820</v>
      </c>
      <c r="Q20" s="2286">
        <f>470*Q19</f>
        <v>4700</v>
      </c>
      <c r="R20" s="2287"/>
      <c r="S20" s="290">
        <f>341*S19</f>
        <v>682</v>
      </c>
      <c r="T20" s="2257"/>
      <c r="U20" s="49" t="s">
        <v>59</v>
      </c>
      <c r="V20" s="2262"/>
      <c r="W20" s="2262"/>
      <c r="X20" s="2262"/>
      <c r="Y20" s="2269"/>
    </row>
    <row r="21" spans="1:25" ht="32.25" customHeight="1" x14ac:dyDescent="0.25">
      <c r="A21" s="291" t="s">
        <v>186</v>
      </c>
      <c r="B21" s="2293">
        <f>SUM(B20:S20)</f>
        <v>609334.61750000005</v>
      </c>
      <c r="C21" s="2293"/>
      <c r="T21" s="2294" t="s">
        <v>518</v>
      </c>
      <c r="U21" s="2295"/>
      <c r="V21" s="2297"/>
      <c r="W21" s="2298"/>
      <c r="X21" s="2299"/>
      <c r="Y21" s="2269"/>
    </row>
    <row r="22" spans="1:25" ht="35.25" customHeight="1" x14ac:dyDescent="0.25">
      <c r="A22" s="1911"/>
      <c r="B22" s="2288" t="s">
        <v>49</v>
      </c>
      <c r="C22" s="2291">
        <v>235000</v>
      </c>
      <c r="D22" s="2291"/>
      <c r="E22" s="2291"/>
      <c r="F22" s="2291">
        <f>C22-D22+E22</f>
        <v>235000</v>
      </c>
      <c r="T22" s="2251" t="s">
        <v>83</v>
      </c>
      <c r="U22" s="50" t="s">
        <v>60</v>
      </c>
      <c r="V22" s="2262"/>
      <c r="W22" s="2262"/>
      <c r="X22" s="2262"/>
      <c r="Y22" s="2269"/>
    </row>
    <row r="23" spans="1:25" ht="39.75" customHeight="1" x14ac:dyDescent="0.25">
      <c r="B23" s="2289"/>
      <c r="C23" s="2292"/>
      <c r="D23" s="2292"/>
      <c r="E23" s="2292"/>
      <c r="F23" s="2292"/>
      <c r="T23" s="2252"/>
      <c r="U23" s="50" t="s">
        <v>61</v>
      </c>
      <c r="V23" s="2262"/>
      <c r="W23" s="2262"/>
      <c r="X23" s="2262"/>
      <c r="Y23" s="2269"/>
    </row>
    <row r="24" spans="1:25" ht="48" customHeight="1" x14ac:dyDescent="0.25">
      <c r="B24" s="2290"/>
      <c r="C24" s="290" t="s">
        <v>46</v>
      </c>
      <c r="D24" s="290" t="s">
        <v>50</v>
      </c>
      <c r="E24" s="290" t="s">
        <v>51</v>
      </c>
      <c r="F24" s="290" t="s">
        <v>52</v>
      </c>
      <c r="T24" s="2235" t="s">
        <v>47</v>
      </c>
      <c r="U24" s="51" t="s">
        <v>62</v>
      </c>
      <c r="V24" s="2263">
        <f>V14+V16+V17-V18-V19-V20-V22+V23-V21</f>
        <v>123958.63999999998</v>
      </c>
      <c r="W24" s="2263"/>
      <c r="X24" s="2263"/>
      <c r="Y24" s="2269"/>
    </row>
    <row r="25" spans="1:25" ht="40.5" customHeight="1" x14ac:dyDescent="0.25">
      <c r="T25" s="2235"/>
      <c r="U25" s="51" t="s">
        <v>63</v>
      </c>
      <c r="V25" s="2262">
        <f>V15+V22-V23</f>
        <v>12989</v>
      </c>
      <c r="W25" s="2262"/>
      <c r="X25" s="2262"/>
    </row>
    <row r="26" spans="1:25" ht="36" customHeight="1" x14ac:dyDescent="0.25">
      <c r="K26" s="314"/>
    </row>
    <row r="28" spans="1:25" x14ac:dyDescent="0.25">
      <c r="J28" s="14" t="s">
        <v>139</v>
      </c>
    </row>
    <row r="32" spans="1:25" x14ac:dyDescent="0.25">
      <c r="I32" s="2280"/>
      <c r="J32" s="2280"/>
      <c r="K32" s="2280"/>
      <c r="L32" s="2280"/>
    </row>
    <row r="33" spans="9:12" x14ac:dyDescent="0.25">
      <c r="I33" s="1899"/>
      <c r="J33" s="1899"/>
      <c r="K33" s="2280"/>
      <c r="L33" s="2280"/>
    </row>
  </sheetData>
  <mergeCells count="62">
    <mergeCell ref="I32:J32"/>
    <mergeCell ref="K32:L32"/>
    <mergeCell ref="K33:L33"/>
    <mergeCell ref="T22:T23"/>
    <mergeCell ref="V22:X22"/>
    <mergeCell ref="V23:X23"/>
    <mergeCell ref="T24:T25"/>
    <mergeCell ref="V24:X24"/>
    <mergeCell ref="V25:X25"/>
    <mergeCell ref="Y18:Y24"/>
    <mergeCell ref="B19:C19"/>
    <mergeCell ref="Q19:R19"/>
    <mergeCell ref="T19:T20"/>
    <mergeCell ref="V19:X19"/>
    <mergeCell ref="B20:C20"/>
    <mergeCell ref="B22:B24"/>
    <mergeCell ref="C22:C23"/>
    <mergeCell ref="D22:D23"/>
    <mergeCell ref="E22:E23"/>
    <mergeCell ref="F22:F23"/>
    <mergeCell ref="Q20:R20"/>
    <mergeCell ref="V20:X20"/>
    <mergeCell ref="B21:C21"/>
    <mergeCell ref="T21:U21"/>
    <mergeCell ref="V21:X21"/>
    <mergeCell ref="B17:C17"/>
    <mergeCell ref="Q17:R17"/>
    <mergeCell ref="T17:U17"/>
    <mergeCell ref="V17:X17"/>
    <mergeCell ref="B18:C18"/>
    <mergeCell ref="Q18:R18"/>
    <mergeCell ref="T18:U18"/>
    <mergeCell ref="V18:X18"/>
    <mergeCell ref="W4:X4"/>
    <mergeCell ref="B16:C16"/>
    <mergeCell ref="Q16:R16"/>
    <mergeCell ref="T16:U16"/>
    <mergeCell ref="V16:X16"/>
    <mergeCell ref="A12:B12"/>
    <mergeCell ref="B14:C14"/>
    <mergeCell ref="Q14:R14"/>
    <mergeCell ref="T14:T15"/>
    <mergeCell ref="V14:X14"/>
    <mergeCell ref="B15:C15"/>
    <mergeCell ref="Q15:R15"/>
    <mergeCell ref="V15:X15"/>
    <mergeCell ref="A1:Y1"/>
    <mergeCell ref="A2:Y2"/>
    <mergeCell ref="T3:Y3"/>
    <mergeCell ref="A4:A5"/>
    <mergeCell ref="B4:B5"/>
    <mergeCell ref="C4:D4"/>
    <mergeCell ref="E4:F4"/>
    <mergeCell ref="G4:H4"/>
    <mergeCell ref="I4:J4"/>
    <mergeCell ref="K4:L4"/>
    <mergeCell ref="Y4:Y5"/>
    <mergeCell ref="M4:N4"/>
    <mergeCell ref="O4:P4"/>
    <mergeCell ref="Q4:R4"/>
    <mergeCell ref="S4:T4"/>
    <mergeCell ref="U4:V4"/>
  </mergeCells>
  <pageMargins left="0.15748031496063" right="0.15748031496063" top="0" bottom="0" header="0" footer="0"/>
  <pageSetup paperSize="9" scale="46" orientation="landscape" r:id="rId1"/>
</worksheet>
</file>

<file path=xl/worksheets/sheet30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F35DCC2-1E88-4831-852D-EDE2828ECB4A}">
  <sheetPr>
    <pageSetUpPr fitToPage="1"/>
  </sheetPr>
  <dimension ref="A1:Y33"/>
  <sheetViews>
    <sheetView topLeftCell="A10" zoomScale="70" zoomScaleNormal="70" zoomScaleSheetLayoutView="100" zoomScalePageLayoutView="68" workbookViewId="0">
      <selection activeCell="O23" sqref="O23"/>
    </sheetView>
  </sheetViews>
  <sheetFormatPr defaultColWidth="9.140625" defaultRowHeight="15" x14ac:dyDescent="0.25"/>
  <cols>
    <col min="1" max="1" width="18.28515625" style="14" customWidth="1"/>
    <col min="2" max="2" width="10.7109375" style="14" customWidth="1"/>
    <col min="3" max="3" width="12.28515625" style="14" customWidth="1"/>
    <col min="4" max="4" width="13.140625" style="14" bestFit="1" customWidth="1"/>
    <col min="5" max="5" width="12" style="14" customWidth="1"/>
    <col min="6" max="6" width="14" style="14" bestFit="1" customWidth="1"/>
    <col min="7" max="7" width="16" style="14" bestFit="1" customWidth="1"/>
    <col min="8" max="8" width="10.140625" style="14" bestFit="1" customWidth="1"/>
    <col min="9" max="9" width="10.5703125" style="14" bestFit="1" customWidth="1"/>
    <col min="10" max="10" width="10.5703125" style="14" customWidth="1"/>
    <col min="11" max="11" width="10.28515625" style="14" bestFit="1" customWidth="1"/>
    <col min="12" max="12" width="10.42578125" style="14" bestFit="1" customWidth="1"/>
    <col min="13" max="14" width="12" style="14" bestFit="1" customWidth="1"/>
    <col min="15" max="15" width="11" style="14" customWidth="1"/>
    <col min="16" max="16" width="12.85546875" style="14" bestFit="1" customWidth="1"/>
    <col min="17" max="18" width="9.42578125" style="14" customWidth="1"/>
    <col min="19" max="19" width="13.7109375" style="14" customWidth="1"/>
    <col min="20" max="20" width="12.140625" style="14" customWidth="1"/>
    <col min="21" max="21" width="21.7109375" style="14" customWidth="1"/>
    <col min="22" max="22" width="9.85546875" style="14" customWidth="1"/>
    <col min="23" max="23" width="10.140625" style="14" bestFit="1" customWidth="1"/>
    <col min="24" max="24" width="10.28515625" style="14" customWidth="1"/>
    <col min="25" max="25" width="15.7109375" style="14" customWidth="1"/>
    <col min="26" max="16384" width="9.140625" style="14"/>
  </cols>
  <sheetData>
    <row r="1" spans="1:25" ht="46.15" customHeight="1" x14ac:dyDescent="0.25">
      <c r="A1" s="2240" t="s">
        <v>148</v>
      </c>
      <c r="B1" s="2240"/>
      <c r="C1" s="2240"/>
      <c r="D1" s="2240"/>
      <c r="E1" s="2240"/>
      <c r="F1" s="2240"/>
      <c r="G1" s="2240"/>
      <c r="H1" s="2240"/>
      <c r="I1" s="2240"/>
      <c r="J1" s="2240"/>
      <c r="K1" s="2240"/>
      <c r="L1" s="2240"/>
      <c r="M1" s="2240"/>
      <c r="N1" s="2240"/>
      <c r="O1" s="2240"/>
      <c r="P1" s="2240"/>
      <c r="Q1" s="2240"/>
      <c r="R1" s="2240"/>
      <c r="S1" s="2240"/>
      <c r="T1" s="2240"/>
      <c r="U1" s="2240"/>
      <c r="V1" s="2240"/>
      <c r="W1" s="2240"/>
      <c r="X1" s="2240"/>
      <c r="Y1" s="2240"/>
    </row>
    <row r="2" spans="1:25" ht="21.6" customHeight="1" x14ac:dyDescent="0.25">
      <c r="A2" s="2241" t="s">
        <v>383</v>
      </c>
      <c r="B2" s="2241"/>
      <c r="C2" s="2241"/>
      <c r="D2" s="2241"/>
      <c r="E2" s="2241"/>
      <c r="F2" s="2241"/>
      <c r="G2" s="2241"/>
      <c r="H2" s="2241"/>
      <c r="I2" s="2241"/>
      <c r="J2" s="2241"/>
      <c r="K2" s="2241"/>
      <c r="L2" s="2241"/>
      <c r="M2" s="2241"/>
      <c r="N2" s="2241"/>
      <c r="O2" s="2241"/>
      <c r="P2" s="2241"/>
      <c r="Q2" s="2241"/>
      <c r="R2" s="2241"/>
      <c r="S2" s="2241"/>
      <c r="T2" s="2241"/>
      <c r="U2" s="2241"/>
      <c r="V2" s="2241"/>
      <c r="W2" s="2241"/>
      <c r="X2" s="2241"/>
      <c r="Y2" s="2241"/>
    </row>
    <row r="3" spans="1:25" ht="21" customHeight="1" x14ac:dyDescent="0.25">
      <c r="A3" s="1889"/>
      <c r="B3" s="1889"/>
      <c r="C3" s="1889"/>
      <c r="D3" s="1889"/>
      <c r="E3" s="1889"/>
      <c r="F3" s="1889"/>
      <c r="G3" s="1889"/>
      <c r="H3" s="1889"/>
      <c r="I3" s="1889"/>
      <c r="J3" s="1889"/>
      <c r="K3" s="1889"/>
      <c r="L3" s="1889"/>
      <c r="M3" s="1889"/>
      <c r="N3" s="1889"/>
      <c r="O3" s="1889"/>
      <c r="P3" s="1889"/>
      <c r="Q3" s="1889"/>
      <c r="R3" s="1889"/>
      <c r="S3" s="1889"/>
      <c r="T3" s="2242" t="s">
        <v>553</v>
      </c>
      <c r="U3" s="2242"/>
      <c r="V3" s="2242"/>
      <c r="W3" s="2242"/>
      <c r="X3" s="2242"/>
      <c r="Y3" s="2242"/>
    </row>
    <row r="4" spans="1:25" s="1889" customFormat="1" ht="18" customHeight="1" x14ac:dyDescent="0.25">
      <c r="A4" s="2243" t="s">
        <v>25</v>
      </c>
      <c r="B4" s="2243" t="s">
        <v>26</v>
      </c>
      <c r="C4" s="2244" t="s">
        <v>27</v>
      </c>
      <c r="D4" s="2244"/>
      <c r="E4" s="2244" t="s">
        <v>544</v>
      </c>
      <c r="F4" s="2244"/>
      <c r="G4" s="2244" t="s">
        <v>65</v>
      </c>
      <c r="H4" s="2244"/>
      <c r="I4" s="2244" t="s">
        <v>29</v>
      </c>
      <c r="J4" s="2244"/>
      <c r="K4" s="2245" t="s">
        <v>14</v>
      </c>
      <c r="L4" s="2246"/>
      <c r="M4" s="2245" t="s">
        <v>429</v>
      </c>
      <c r="N4" s="2246"/>
      <c r="O4" s="2245" t="s">
        <v>441</v>
      </c>
      <c r="P4" s="2246"/>
      <c r="Q4" s="2245" t="s">
        <v>114</v>
      </c>
      <c r="R4" s="2246"/>
      <c r="S4" s="2244" t="s">
        <v>35</v>
      </c>
      <c r="T4" s="2244"/>
      <c r="U4" s="2245" t="s">
        <v>17</v>
      </c>
      <c r="V4" s="2246"/>
      <c r="W4" s="2247" t="s">
        <v>36</v>
      </c>
      <c r="X4" s="2248"/>
      <c r="Y4" s="2238" t="s">
        <v>30</v>
      </c>
    </row>
    <row r="5" spans="1:25" s="1889" customFormat="1" ht="25.5" customHeight="1" x14ac:dyDescent="0.25">
      <c r="A5" s="2243"/>
      <c r="B5" s="2243"/>
      <c r="C5" s="1891" t="s">
        <v>42</v>
      </c>
      <c r="D5" s="1891" t="s">
        <v>43</v>
      </c>
      <c r="E5" s="1891" t="s">
        <v>42</v>
      </c>
      <c r="F5" s="1891" t="s">
        <v>43</v>
      </c>
      <c r="G5" s="1891" t="s">
        <v>42</v>
      </c>
      <c r="H5" s="1891" t="s">
        <v>43</v>
      </c>
      <c r="I5" s="1891" t="s">
        <v>42</v>
      </c>
      <c r="J5" s="1891" t="s">
        <v>43</v>
      </c>
      <c r="K5" s="1891" t="s">
        <v>42</v>
      </c>
      <c r="L5" s="1891" t="s">
        <v>43</v>
      </c>
      <c r="M5" s="1891" t="s">
        <v>42</v>
      </c>
      <c r="N5" s="1891" t="s">
        <v>43</v>
      </c>
      <c r="O5" s="1891" t="s">
        <v>42</v>
      </c>
      <c r="P5" s="1891" t="s">
        <v>43</v>
      </c>
      <c r="Q5" s="1891" t="s">
        <v>42</v>
      </c>
      <c r="R5" s="1891" t="s">
        <v>43</v>
      </c>
      <c r="S5" s="33" t="s">
        <v>42</v>
      </c>
      <c r="T5" s="33" t="s">
        <v>43</v>
      </c>
      <c r="U5" s="30" t="s">
        <v>42</v>
      </c>
      <c r="V5" s="30" t="s">
        <v>43</v>
      </c>
      <c r="W5" s="30" t="s">
        <v>42</v>
      </c>
      <c r="X5" s="30" t="s">
        <v>43</v>
      </c>
      <c r="Y5" s="2239"/>
    </row>
    <row r="6" spans="1:25" ht="34.5" customHeight="1" x14ac:dyDescent="0.25">
      <c r="A6" s="12">
        <v>1409935200</v>
      </c>
      <c r="B6" s="1890" t="s">
        <v>71</v>
      </c>
      <c r="C6" s="1893">
        <v>26821</v>
      </c>
      <c r="D6" s="1894">
        <f t="shared" ref="D6:D11" si="0">0.9725*C6</f>
        <v>26083.422500000001</v>
      </c>
      <c r="E6" s="1893"/>
      <c r="F6" s="1894">
        <f>67.1*E6</f>
        <v>0</v>
      </c>
      <c r="G6" s="1893">
        <v>200</v>
      </c>
      <c r="H6" s="1893">
        <f>28.2*G6</f>
        <v>5640</v>
      </c>
      <c r="I6" s="1893">
        <v>233</v>
      </c>
      <c r="J6" s="1893">
        <f>18.5*I6</f>
        <v>4310.5</v>
      </c>
      <c r="K6" s="1893"/>
      <c r="L6" s="1894">
        <f>28.2368*K6</f>
        <v>0</v>
      </c>
      <c r="M6" s="1893"/>
      <c r="N6" s="1894">
        <f>M6*47.6525</f>
        <v>0</v>
      </c>
      <c r="O6" s="1893"/>
      <c r="P6" s="1894">
        <f>O6*8.9</f>
        <v>0</v>
      </c>
      <c r="Q6" s="1894"/>
      <c r="R6" s="1894">
        <f>241*Q6</f>
        <v>0</v>
      </c>
      <c r="S6" s="1893"/>
      <c r="T6" s="1893">
        <f>470*S6</f>
        <v>0</v>
      </c>
      <c r="U6" s="1893"/>
      <c r="V6" s="1893">
        <f>332*U6</f>
        <v>0</v>
      </c>
      <c r="W6" s="1893"/>
      <c r="X6" s="19">
        <f>W6*100</f>
        <v>0</v>
      </c>
      <c r="Y6" s="20">
        <f t="shared" ref="Y6:Y12" si="1">D6+F6+H6+J6+L6+N6+P6+R6+T6+V6+X6</f>
        <v>36033.922500000001</v>
      </c>
    </row>
    <row r="7" spans="1:25" ht="36.75" customHeight="1" x14ac:dyDescent="0.25">
      <c r="A7" s="12">
        <v>1984225578</v>
      </c>
      <c r="B7" s="1890" t="s">
        <v>509</v>
      </c>
      <c r="C7" s="1893">
        <v>22657</v>
      </c>
      <c r="D7" s="1894">
        <f t="shared" si="0"/>
        <v>22033.932499999999</v>
      </c>
      <c r="E7" s="1893"/>
      <c r="F7" s="1893">
        <f t="shared" ref="F7:F11" si="2">67.1*E7</f>
        <v>0</v>
      </c>
      <c r="G7" s="1893"/>
      <c r="H7" s="1893">
        <f t="shared" ref="H7:H11" si="3">28.2*G7</f>
        <v>0</v>
      </c>
      <c r="I7" s="1893">
        <v>2000</v>
      </c>
      <c r="J7" s="1893">
        <f t="shared" ref="J7:J11" si="4">18.5*I7</f>
        <v>37000</v>
      </c>
      <c r="K7" s="1893"/>
      <c r="L7" s="1894">
        <f t="shared" ref="L7:L11" si="5">28.2368*K7</f>
        <v>0</v>
      </c>
      <c r="M7" s="1893"/>
      <c r="N7" s="1894">
        <f t="shared" ref="N7:N11" si="6">M7*47.6525</f>
        <v>0</v>
      </c>
      <c r="O7" s="1893"/>
      <c r="P7" s="1894">
        <f t="shared" ref="P7:P11" si="7">O7*8.9</f>
        <v>0</v>
      </c>
      <c r="Q7" s="1894"/>
      <c r="R7" s="1894">
        <f t="shared" ref="R7:R11" si="8">241*Q7</f>
        <v>0</v>
      </c>
      <c r="S7" s="1893"/>
      <c r="T7" s="1893">
        <f t="shared" ref="T7:T9" si="9">241*S7</f>
        <v>0</v>
      </c>
      <c r="U7" s="1893"/>
      <c r="V7" s="1893">
        <f t="shared" ref="V7:V11" si="10">332*U7</f>
        <v>0</v>
      </c>
      <c r="W7" s="1893"/>
      <c r="X7" s="19">
        <f t="shared" ref="X7:X11" si="11">W7*100</f>
        <v>0</v>
      </c>
      <c r="Y7" s="20">
        <f t="shared" si="1"/>
        <v>59033.932499999995</v>
      </c>
    </row>
    <row r="8" spans="1:25" ht="35.25" customHeight="1" x14ac:dyDescent="0.25">
      <c r="A8" s="12">
        <v>1967020280</v>
      </c>
      <c r="B8" s="1890" t="s">
        <v>427</v>
      </c>
      <c r="C8" s="1893">
        <v>24338</v>
      </c>
      <c r="D8" s="1894">
        <f t="shared" si="0"/>
        <v>23668.705000000002</v>
      </c>
      <c r="E8" s="1893"/>
      <c r="F8" s="1893">
        <f t="shared" si="2"/>
        <v>0</v>
      </c>
      <c r="G8" s="1893">
        <v>80</v>
      </c>
      <c r="H8" s="1894">
        <f t="shared" si="3"/>
        <v>2256</v>
      </c>
      <c r="I8" s="1893">
        <v>950</v>
      </c>
      <c r="J8" s="1893">
        <f t="shared" si="4"/>
        <v>17575</v>
      </c>
      <c r="K8" s="1893"/>
      <c r="L8" s="1894">
        <f t="shared" si="5"/>
        <v>0</v>
      </c>
      <c r="M8" s="1893"/>
      <c r="N8" s="1894">
        <f t="shared" si="6"/>
        <v>0</v>
      </c>
      <c r="O8" s="1893"/>
      <c r="P8" s="1894">
        <f t="shared" si="7"/>
        <v>0</v>
      </c>
      <c r="Q8" s="1894"/>
      <c r="R8" s="1894">
        <f t="shared" si="8"/>
        <v>0</v>
      </c>
      <c r="S8" s="1893"/>
      <c r="T8" s="1893">
        <f t="shared" si="9"/>
        <v>0</v>
      </c>
      <c r="U8" s="1893"/>
      <c r="V8" s="1893">
        <f t="shared" si="10"/>
        <v>0</v>
      </c>
      <c r="W8" s="1893"/>
      <c r="X8" s="19">
        <f t="shared" si="11"/>
        <v>0</v>
      </c>
      <c r="Y8" s="20">
        <f t="shared" si="1"/>
        <v>43499.705000000002</v>
      </c>
    </row>
    <row r="9" spans="1:25" ht="38.25" customHeight="1" x14ac:dyDescent="0.25">
      <c r="A9" s="12">
        <v>1984225580</v>
      </c>
      <c r="B9" s="1890" t="s">
        <v>75</v>
      </c>
      <c r="C9" s="1893">
        <v>39126</v>
      </c>
      <c r="D9" s="1894">
        <f t="shared" si="0"/>
        <v>38050.035000000003</v>
      </c>
      <c r="E9" s="1893"/>
      <c r="F9" s="1893">
        <f t="shared" si="2"/>
        <v>0</v>
      </c>
      <c r="G9" s="1893"/>
      <c r="H9" s="1893">
        <f t="shared" si="3"/>
        <v>0</v>
      </c>
      <c r="I9" s="1893">
        <v>540</v>
      </c>
      <c r="J9" s="1893">
        <f t="shared" si="4"/>
        <v>9990</v>
      </c>
      <c r="K9" s="1893"/>
      <c r="L9" s="1894">
        <f t="shared" si="5"/>
        <v>0</v>
      </c>
      <c r="M9" s="1893"/>
      <c r="N9" s="1894">
        <f t="shared" si="6"/>
        <v>0</v>
      </c>
      <c r="O9" s="1893"/>
      <c r="P9" s="1894">
        <f t="shared" si="7"/>
        <v>0</v>
      </c>
      <c r="Q9" s="1894"/>
      <c r="R9" s="1894">
        <f t="shared" si="8"/>
        <v>0</v>
      </c>
      <c r="S9" s="1893"/>
      <c r="T9" s="1893">
        <f t="shared" si="9"/>
        <v>0</v>
      </c>
      <c r="U9" s="1893"/>
      <c r="V9" s="1893">
        <f t="shared" si="10"/>
        <v>0</v>
      </c>
      <c r="W9" s="1893"/>
      <c r="X9" s="19">
        <f t="shared" si="11"/>
        <v>0</v>
      </c>
      <c r="Y9" s="20">
        <f t="shared" si="1"/>
        <v>48040.035000000003</v>
      </c>
    </row>
    <row r="10" spans="1:25" ht="35.25" customHeight="1" x14ac:dyDescent="0.25">
      <c r="A10" s="12">
        <v>1409935199</v>
      </c>
      <c r="C10" s="1893"/>
      <c r="D10" s="1894">
        <f t="shared" si="0"/>
        <v>0</v>
      </c>
      <c r="E10" s="1893"/>
      <c r="F10" s="1893">
        <f t="shared" si="2"/>
        <v>0</v>
      </c>
      <c r="G10" s="1893"/>
      <c r="H10" s="1893">
        <f t="shared" si="3"/>
        <v>0</v>
      </c>
      <c r="I10" s="1893"/>
      <c r="J10" s="1893">
        <f t="shared" si="4"/>
        <v>0</v>
      </c>
      <c r="K10" s="1893"/>
      <c r="L10" s="1894">
        <f t="shared" si="5"/>
        <v>0</v>
      </c>
      <c r="M10" s="1893"/>
      <c r="N10" s="1894">
        <f t="shared" si="6"/>
        <v>0</v>
      </c>
      <c r="O10" s="1893"/>
      <c r="P10" s="1894">
        <f t="shared" si="7"/>
        <v>0</v>
      </c>
      <c r="Q10" s="1894"/>
      <c r="R10" s="1894">
        <f t="shared" si="8"/>
        <v>0</v>
      </c>
      <c r="S10" s="1893"/>
      <c r="T10" s="1893">
        <f>470*S10</f>
        <v>0</v>
      </c>
      <c r="U10" s="1893"/>
      <c r="V10" s="1893">
        <f t="shared" si="10"/>
        <v>0</v>
      </c>
      <c r="W10" s="1893"/>
      <c r="X10" s="19">
        <f t="shared" si="11"/>
        <v>0</v>
      </c>
      <c r="Y10" s="20">
        <f t="shared" si="1"/>
        <v>0</v>
      </c>
    </row>
    <row r="11" spans="1:25" ht="37.5" customHeight="1" x14ac:dyDescent="0.25">
      <c r="A11" s="12"/>
      <c r="B11" s="1892"/>
      <c r="C11" s="1893"/>
      <c r="D11" s="1894">
        <f t="shared" si="0"/>
        <v>0</v>
      </c>
      <c r="E11" s="1893"/>
      <c r="F11" s="1893">
        <f t="shared" si="2"/>
        <v>0</v>
      </c>
      <c r="G11" s="1893"/>
      <c r="H11" s="1893">
        <f t="shared" si="3"/>
        <v>0</v>
      </c>
      <c r="I11" s="1893"/>
      <c r="J11" s="1893">
        <f t="shared" si="4"/>
        <v>0</v>
      </c>
      <c r="K11" s="1893"/>
      <c r="L11" s="1894">
        <f t="shared" si="5"/>
        <v>0</v>
      </c>
      <c r="M11" s="1893"/>
      <c r="N11" s="1894">
        <f t="shared" si="6"/>
        <v>0</v>
      </c>
      <c r="O11" s="1893"/>
      <c r="P11" s="1894">
        <f t="shared" si="7"/>
        <v>0</v>
      </c>
      <c r="Q11" s="1894"/>
      <c r="R11" s="1894">
        <f t="shared" si="8"/>
        <v>0</v>
      </c>
      <c r="S11" s="1893"/>
      <c r="T11" s="1893">
        <f>341*S11</f>
        <v>0</v>
      </c>
      <c r="U11" s="1893"/>
      <c r="V11" s="1893">
        <f t="shared" si="10"/>
        <v>0</v>
      </c>
      <c r="W11" s="1893"/>
      <c r="X11" s="19">
        <f t="shared" si="11"/>
        <v>0</v>
      </c>
      <c r="Y11" s="20">
        <f t="shared" si="1"/>
        <v>0</v>
      </c>
    </row>
    <row r="12" spans="1:25" ht="29.25" customHeight="1" x14ac:dyDescent="0.25">
      <c r="A12" s="2235" t="s">
        <v>31</v>
      </c>
      <c r="B12" s="2235"/>
      <c r="C12" s="18">
        <f t="shared" ref="C12:X12" si="12">SUM(C6:C11)</f>
        <v>112942</v>
      </c>
      <c r="D12" s="18">
        <f t="shared" si="12"/>
        <v>109836.095</v>
      </c>
      <c r="E12" s="18">
        <f t="shared" si="12"/>
        <v>0</v>
      </c>
      <c r="F12" s="18">
        <f t="shared" si="12"/>
        <v>0</v>
      </c>
      <c r="G12" s="18">
        <f t="shared" si="12"/>
        <v>280</v>
      </c>
      <c r="H12" s="18">
        <f t="shared" si="12"/>
        <v>7896</v>
      </c>
      <c r="I12" s="18">
        <f t="shared" si="12"/>
        <v>3723</v>
      </c>
      <c r="J12" s="18">
        <f t="shared" si="12"/>
        <v>68875.5</v>
      </c>
      <c r="K12" s="18">
        <f t="shared" si="12"/>
        <v>0</v>
      </c>
      <c r="L12" s="18">
        <f t="shared" si="12"/>
        <v>0</v>
      </c>
      <c r="M12" s="18">
        <f t="shared" si="12"/>
        <v>0</v>
      </c>
      <c r="N12" s="23">
        <f t="shared" si="12"/>
        <v>0</v>
      </c>
      <c r="O12" s="18">
        <f t="shared" si="12"/>
        <v>0</v>
      </c>
      <c r="P12" s="23">
        <f t="shared" si="12"/>
        <v>0</v>
      </c>
      <c r="Q12" s="23">
        <f t="shared" si="12"/>
        <v>0</v>
      </c>
      <c r="R12" s="23">
        <f>SUM(R6:R11)</f>
        <v>0</v>
      </c>
      <c r="S12" s="23">
        <f>SUM(S6:S11)</f>
        <v>0</v>
      </c>
      <c r="T12" s="18">
        <f t="shared" si="12"/>
        <v>0</v>
      </c>
      <c r="U12" s="18">
        <f t="shared" si="12"/>
        <v>0</v>
      </c>
      <c r="V12" s="18">
        <f t="shared" si="12"/>
        <v>0</v>
      </c>
      <c r="W12" s="18">
        <f t="shared" si="12"/>
        <v>0</v>
      </c>
      <c r="X12" s="18">
        <f t="shared" si="12"/>
        <v>0</v>
      </c>
      <c r="Y12" s="20">
        <f t="shared" si="1"/>
        <v>186607.595</v>
      </c>
    </row>
    <row r="14" spans="1:25" ht="43.5" customHeight="1" x14ac:dyDescent="0.25">
      <c r="A14" s="30" t="s">
        <v>32</v>
      </c>
      <c r="B14" s="2236" t="s">
        <v>27</v>
      </c>
      <c r="C14" s="2236"/>
      <c r="D14" s="30" t="s">
        <v>543</v>
      </c>
      <c r="E14" s="30" t="s">
        <v>65</v>
      </c>
      <c r="F14" s="30" t="s">
        <v>34</v>
      </c>
      <c r="G14" s="30" t="s">
        <v>14</v>
      </c>
      <c r="H14" s="469" t="s">
        <v>173</v>
      </c>
      <c r="I14" s="30" t="s">
        <v>17</v>
      </c>
      <c r="J14" s="1898" t="s">
        <v>174</v>
      </c>
      <c r="K14" s="30" t="s">
        <v>36</v>
      </c>
      <c r="L14" s="1898" t="s">
        <v>403</v>
      </c>
      <c r="M14" s="1898" t="s">
        <v>549</v>
      </c>
      <c r="N14" s="30" t="s">
        <v>442</v>
      </c>
      <c r="O14" s="1898" t="s">
        <v>114</v>
      </c>
      <c r="P14" s="30" t="s">
        <v>70</v>
      </c>
      <c r="Q14" s="2300" t="s">
        <v>479</v>
      </c>
      <c r="R14" s="2301"/>
      <c r="S14" s="1898" t="s">
        <v>401</v>
      </c>
      <c r="T14" s="2235" t="s">
        <v>46</v>
      </c>
      <c r="U14" s="1890" t="s">
        <v>176</v>
      </c>
      <c r="V14" s="2260">
        <v>123959</v>
      </c>
      <c r="W14" s="2268"/>
      <c r="X14" s="2261"/>
    </row>
    <row r="15" spans="1:25" ht="22.5" customHeight="1" x14ac:dyDescent="0.25">
      <c r="A15" s="100" t="s">
        <v>38</v>
      </c>
      <c r="B15" s="2260">
        <v>420491</v>
      </c>
      <c r="C15" s="2261"/>
      <c r="D15" s="1895">
        <v>500</v>
      </c>
      <c r="E15" s="1895">
        <v>500</v>
      </c>
      <c r="F15" s="1895">
        <v>7873</v>
      </c>
      <c r="G15" s="1895">
        <v>0</v>
      </c>
      <c r="H15" s="1895">
        <v>38</v>
      </c>
      <c r="I15" s="1895">
        <v>25</v>
      </c>
      <c r="J15" s="1895">
        <v>4</v>
      </c>
      <c r="K15" s="1895">
        <v>75</v>
      </c>
      <c r="L15" s="1895">
        <v>0</v>
      </c>
      <c r="M15" s="1895">
        <v>2</v>
      </c>
      <c r="N15" s="1895">
        <v>0</v>
      </c>
      <c r="O15" s="1895">
        <v>0</v>
      </c>
      <c r="P15" s="1895">
        <v>100</v>
      </c>
      <c r="Q15" s="2260">
        <v>10</v>
      </c>
      <c r="R15" s="2261"/>
      <c r="S15" s="1890">
        <v>2</v>
      </c>
      <c r="T15" s="2235"/>
      <c r="U15" s="1890" t="s">
        <v>64</v>
      </c>
      <c r="V15" s="2262">
        <v>12989</v>
      </c>
      <c r="W15" s="2262"/>
      <c r="X15" s="2262"/>
    </row>
    <row r="16" spans="1:25" ht="24.75" customHeight="1" x14ac:dyDescent="0.25">
      <c r="A16" s="100" t="s">
        <v>39</v>
      </c>
      <c r="B16" s="2260">
        <v>114285</v>
      </c>
      <c r="C16" s="2261"/>
      <c r="D16" s="1895"/>
      <c r="E16" s="1895"/>
      <c r="F16" s="1895"/>
      <c r="G16" s="1895"/>
      <c r="H16" s="1895"/>
      <c r="I16" s="1895"/>
      <c r="J16" s="1895"/>
      <c r="K16" s="1895"/>
      <c r="L16" s="1895"/>
      <c r="M16" s="1895"/>
      <c r="N16" s="1895"/>
      <c r="O16" s="1895"/>
      <c r="P16" s="1895"/>
      <c r="Q16" s="2262"/>
      <c r="R16" s="2262"/>
      <c r="S16" s="1895"/>
      <c r="T16" s="2254" t="s">
        <v>55</v>
      </c>
      <c r="U16" s="2254"/>
      <c r="V16" s="2267">
        <f>Y12</f>
        <v>186607.595</v>
      </c>
      <c r="W16" s="2267"/>
      <c r="X16" s="2262"/>
    </row>
    <row r="17" spans="1:25" ht="28.5" customHeight="1" x14ac:dyDescent="0.25">
      <c r="A17" s="101" t="s">
        <v>44</v>
      </c>
      <c r="B17" s="2260"/>
      <c r="C17" s="2261"/>
      <c r="D17" s="1895"/>
      <c r="E17" s="1895"/>
      <c r="F17" s="1895"/>
      <c r="G17" s="1895"/>
      <c r="H17" s="1895"/>
      <c r="I17" s="1895"/>
      <c r="J17" s="1895"/>
      <c r="K17" s="1895"/>
      <c r="L17" s="1895"/>
      <c r="M17" s="1895"/>
      <c r="N17" s="1895"/>
      <c r="O17" s="1895"/>
      <c r="P17" s="1895"/>
      <c r="Q17" s="2225"/>
      <c r="R17" s="2225"/>
      <c r="S17" s="1892"/>
      <c r="T17" s="2294" t="s">
        <v>521</v>
      </c>
      <c r="U17" s="2295"/>
      <c r="V17" s="2296"/>
      <c r="W17" s="2296"/>
      <c r="X17" s="2296"/>
    </row>
    <row r="18" spans="1:25" ht="27" customHeight="1" x14ac:dyDescent="0.25">
      <c r="A18" s="100" t="s">
        <v>40</v>
      </c>
      <c r="B18" s="2264">
        <f>C12</f>
        <v>112942</v>
      </c>
      <c r="C18" s="2261"/>
      <c r="D18" s="1896">
        <f>E12</f>
        <v>0</v>
      </c>
      <c r="E18" s="1896">
        <f>G12</f>
        <v>280</v>
      </c>
      <c r="F18" s="1896">
        <f>I12</f>
        <v>3723</v>
      </c>
      <c r="G18" s="1896">
        <f>K12</f>
        <v>0</v>
      </c>
      <c r="H18" s="1895"/>
      <c r="I18" s="1896">
        <f>U12</f>
        <v>0</v>
      </c>
      <c r="J18" s="1895"/>
      <c r="K18" s="1896">
        <f>W12</f>
        <v>0</v>
      </c>
      <c r="L18" s="1895"/>
      <c r="M18" s="1896"/>
      <c r="N18" s="1896">
        <f>O12</f>
        <v>0</v>
      </c>
      <c r="O18" s="1897">
        <f>Q12</f>
        <v>0</v>
      </c>
      <c r="P18" s="1896"/>
      <c r="Q18" s="2262"/>
      <c r="R18" s="2262"/>
      <c r="S18" s="1890"/>
      <c r="T18" s="2254" t="s">
        <v>57</v>
      </c>
      <c r="U18" s="2254"/>
      <c r="V18" s="2262">
        <v>520</v>
      </c>
      <c r="W18" s="2262"/>
      <c r="X18" s="2262"/>
      <c r="Y18" s="2269"/>
    </row>
    <row r="19" spans="1:25" ht="25.5" customHeight="1" x14ac:dyDescent="0.25">
      <c r="A19" s="100" t="s">
        <v>41</v>
      </c>
      <c r="B19" s="2260">
        <f>B15+B16+B17-B18</f>
        <v>421834</v>
      </c>
      <c r="C19" s="2261"/>
      <c r="D19" s="1895">
        <f>D15+D16+D17-D18</f>
        <v>500</v>
      </c>
      <c r="E19" s="1895">
        <f t="shared" ref="E19:N19" si="13">E15+E16+E17-E18</f>
        <v>220</v>
      </c>
      <c r="F19" s="1895">
        <f t="shared" si="13"/>
        <v>4150</v>
      </c>
      <c r="G19" s="1895">
        <f t="shared" si="13"/>
        <v>0</v>
      </c>
      <c r="H19" s="1895">
        <f t="shared" si="13"/>
        <v>38</v>
      </c>
      <c r="I19" s="1895">
        <f t="shared" si="13"/>
        <v>25</v>
      </c>
      <c r="J19" s="1895">
        <f t="shared" si="13"/>
        <v>4</v>
      </c>
      <c r="K19" s="1895">
        <f t="shared" si="13"/>
        <v>75</v>
      </c>
      <c r="L19" s="1895">
        <f t="shared" si="13"/>
        <v>0</v>
      </c>
      <c r="M19" s="1895">
        <f t="shared" si="13"/>
        <v>2</v>
      </c>
      <c r="N19" s="1895">
        <f t="shared" si="13"/>
        <v>0</v>
      </c>
      <c r="O19" s="1895">
        <f>O15+O16+O17-O18</f>
        <v>0</v>
      </c>
      <c r="P19" s="1895">
        <f t="shared" ref="P19:Q19" si="14">P15+P16+P17-P18</f>
        <v>100</v>
      </c>
      <c r="Q19" s="2260">
        <f t="shared" si="14"/>
        <v>10</v>
      </c>
      <c r="R19" s="2261"/>
      <c r="S19" s="1890">
        <f>S15+S16-S17-S18</f>
        <v>2</v>
      </c>
      <c r="T19" s="2256" t="s">
        <v>48</v>
      </c>
      <c r="U19" s="49" t="s">
        <v>58</v>
      </c>
      <c r="V19" s="2262">
        <v>235000</v>
      </c>
      <c r="W19" s="2262"/>
      <c r="X19" s="2262"/>
      <c r="Y19" s="2269"/>
    </row>
    <row r="20" spans="1:25" ht="23.25" customHeight="1" x14ac:dyDescent="0.25">
      <c r="A20" s="289" t="s">
        <v>187</v>
      </c>
      <c r="B20" s="2286">
        <f>B19*0.9625</f>
        <v>406015.22500000003</v>
      </c>
      <c r="C20" s="2287"/>
      <c r="D20" s="290">
        <f>D19*19.3</f>
        <v>9650</v>
      </c>
      <c r="E20" s="290">
        <f>27.9368*E19</f>
        <v>6146.0960000000005</v>
      </c>
      <c r="F20" s="290">
        <f>18.31*F19</f>
        <v>75986.5</v>
      </c>
      <c r="G20" s="290">
        <f>27.9368*G19</f>
        <v>0</v>
      </c>
      <c r="H20" s="290">
        <f>241*H19</f>
        <v>9158</v>
      </c>
      <c r="I20" s="290">
        <f>323*I19</f>
        <v>8075</v>
      </c>
      <c r="J20" s="290">
        <f>241*J19</f>
        <v>964</v>
      </c>
      <c r="K20" s="290">
        <f>K19*100</f>
        <v>7500</v>
      </c>
      <c r="L20" s="290">
        <f>241*L19</f>
        <v>0</v>
      </c>
      <c r="M20" s="290">
        <f>470*M19</f>
        <v>940</v>
      </c>
      <c r="N20" s="290">
        <f>N19*8.81</f>
        <v>0</v>
      </c>
      <c r="O20" s="290">
        <f>241*O19</f>
        <v>0</v>
      </c>
      <c r="P20" s="290">
        <f>P19*48.2</f>
        <v>4820</v>
      </c>
      <c r="Q20" s="2286">
        <f>470*Q19</f>
        <v>4700</v>
      </c>
      <c r="R20" s="2287"/>
      <c r="S20" s="290">
        <f>341*S19</f>
        <v>682</v>
      </c>
      <c r="T20" s="2257"/>
      <c r="U20" s="49" t="s">
        <v>59</v>
      </c>
      <c r="V20" s="2262"/>
      <c r="W20" s="2262"/>
      <c r="X20" s="2262"/>
      <c r="Y20" s="2269"/>
    </row>
    <row r="21" spans="1:25" ht="32.25" customHeight="1" x14ac:dyDescent="0.25">
      <c r="A21" s="291" t="s">
        <v>186</v>
      </c>
      <c r="B21" s="2293">
        <f>SUM(B20:S20)</f>
        <v>534636.821</v>
      </c>
      <c r="C21" s="2293"/>
      <c r="T21" s="2294" t="s">
        <v>518</v>
      </c>
      <c r="U21" s="2295"/>
      <c r="V21" s="2297"/>
      <c r="W21" s="2298"/>
      <c r="X21" s="2299"/>
      <c r="Y21" s="2269"/>
    </row>
    <row r="22" spans="1:25" ht="35.25" customHeight="1" x14ac:dyDescent="0.25">
      <c r="A22" s="1911"/>
      <c r="B22" s="2288" t="s">
        <v>49</v>
      </c>
      <c r="C22" s="2291">
        <v>235000</v>
      </c>
      <c r="D22" s="2291">
        <v>235000</v>
      </c>
      <c r="E22" s="2291">
        <v>110000</v>
      </c>
      <c r="F22" s="2291">
        <f>C22-D22+E22</f>
        <v>110000</v>
      </c>
      <c r="T22" s="2251" t="s">
        <v>83</v>
      </c>
      <c r="U22" s="50" t="s">
        <v>60</v>
      </c>
      <c r="V22" s="2262">
        <v>273675</v>
      </c>
      <c r="W22" s="2262"/>
      <c r="X22" s="2262"/>
      <c r="Y22" s="2269"/>
    </row>
    <row r="23" spans="1:25" ht="39.75" customHeight="1" x14ac:dyDescent="0.25">
      <c r="B23" s="2289"/>
      <c r="C23" s="2292"/>
      <c r="D23" s="2292"/>
      <c r="E23" s="2292"/>
      <c r="F23" s="2292"/>
      <c r="T23" s="2252"/>
      <c r="U23" s="50" t="s">
        <v>61</v>
      </c>
      <c r="V23" s="2262">
        <v>235000</v>
      </c>
      <c r="W23" s="2262"/>
      <c r="X23" s="2262"/>
      <c r="Y23" s="2269"/>
    </row>
    <row r="24" spans="1:25" ht="48" customHeight="1" x14ac:dyDescent="0.25">
      <c r="B24" s="2290"/>
      <c r="C24" s="290" t="s">
        <v>46</v>
      </c>
      <c r="D24" s="290" t="s">
        <v>50</v>
      </c>
      <c r="E24" s="290" t="s">
        <v>51</v>
      </c>
      <c r="F24" s="290" t="s">
        <v>52</v>
      </c>
      <c r="T24" s="2235" t="s">
        <v>47</v>
      </c>
      <c r="U24" s="51" t="s">
        <v>62</v>
      </c>
      <c r="V24" s="2263">
        <f>V14+V16+V17-V18-V19-V20-V22+V23-V21</f>
        <v>36371.594999999972</v>
      </c>
      <c r="W24" s="2263"/>
      <c r="X24" s="2263"/>
      <c r="Y24" s="2269"/>
    </row>
    <row r="25" spans="1:25" ht="40.5" customHeight="1" x14ac:dyDescent="0.25">
      <c r="T25" s="2235"/>
      <c r="U25" s="51" t="s">
        <v>63</v>
      </c>
      <c r="V25" s="2262">
        <f>V15+V22-V23</f>
        <v>51664</v>
      </c>
      <c r="W25" s="2262"/>
      <c r="X25" s="2262"/>
    </row>
    <row r="26" spans="1:25" ht="36" customHeight="1" x14ac:dyDescent="0.25">
      <c r="K26" s="314"/>
    </row>
    <row r="28" spans="1:25" x14ac:dyDescent="0.25">
      <c r="J28" s="14" t="s">
        <v>139</v>
      </c>
    </row>
    <row r="32" spans="1:25" x14ac:dyDescent="0.25">
      <c r="I32" s="2280"/>
      <c r="J32" s="2280"/>
      <c r="K32" s="2280"/>
      <c r="L32" s="2280"/>
    </row>
    <row r="33" spans="9:12" x14ac:dyDescent="0.25">
      <c r="I33" s="1899"/>
      <c r="J33" s="1899"/>
      <c r="K33" s="2280"/>
      <c r="L33" s="2280"/>
    </row>
  </sheetData>
  <mergeCells count="62">
    <mergeCell ref="I32:J32"/>
    <mergeCell ref="K32:L32"/>
    <mergeCell ref="K33:L33"/>
    <mergeCell ref="T22:T23"/>
    <mergeCell ref="V22:X22"/>
    <mergeCell ref="V23:X23"/>
    <mergeCell ref="T24:T25"/>
    <mergeCell ref="V24:X24"/>
    <mergeCell ref="V25:X25"/>
    <mergeCell ref="Y18:Y24"/>
    <mergeCell ref="B19:C19"/>
    <mergeCell ref="Q19:R19"/>
    <mergeCell ref="T19:T20"/>
    <mergeCell ref="V19:X19"/>
    <mergeCell ref="B20:C20"/>
    <mergeCell ref="B22:B24"/>
    <mergeCell ref="C22:C23"/>
    <mergeCell ref="D22:D23"/>
    <mergeCell ref="E22:E23"/>
    <mergeCell ref="F22:F23"/>
    <mergeCell ref="Q20:R20"/>
    <mergeCell ref="V20:X20"/>
    <mergeCell ref="B21:C21"/>
    <mergeCell ref="T21:U21"/>
    <mergeCell ref="V21:X21"/>
    <mergeCell ref="B17:C17"/>
    <mergeCell ref="Q17:R17"/>
    <mergeCell ref="T17:U17"/>
    <mergeCell ref="V17:X17"/>
    <mergeCell ref="B18:C18"/>
    <mergeCell ref="Q18:R18"/>
    <mergeCell ref="T18:U18"/>
    <mergeCell ref="V18:X18"/>
    <mergeCell ref="W4:X4"/>
    <mergeCell ref="B16:C16"/>
    <mergeCell ref="Q16:R16"/>
    <mergeCell ref="T16:U16"/>
    <mergeCell ref="V16:X16"/>
    <mergeCell ref="A12:B12"/>
    <mergeCell ref="B14:C14"/>
    <mergeCell ref="Q14:R14"/>
    <mergeCell ref="T14:T15"/>
    <mergeCell ref="V14:X14"/>
    <mergeCell ref="B15:C15"/>
    <mergeCell ref="Q15:R15"/>
    <mergeCell ref="V15:X15"/>
    <mergeCell ref="A1:Y1"/>
    <mergeCell ref="A2:Y2"/>
    <mergeCell ref="T3:Y3"/>
    <mergeCell ref="A4:A5"/>
    <mergeCell ref="B4:B5"/>
    <mergeCell ref="C4:D4"/>
    <mergeCell ref="E4:F4"/>
    <mergeCell ref="G4:H4"/>
    <mergeCell ref="I4:J4"/>
    <mergeCell ref="K4:L4"/>
    <mergeCell ref="Y4:Y5"/>
    <mergeCell ref="M4:N4"/>
    <mergeCell ref="O4:P4"/>
    <mergeCell ref="Q4:R4"/>
    <mergeCell ref="S4:T4"/>
    <mergeCell ref="U4:V4"/>
  </mergeCells>
  <pageMargins left="0.15748031496063" right="0.15748031496063" top="0" bottom="0" header="0" footer="0"/>
  <pageSetup paperSize="9" scale="46" orientation="landscape" r:id="rId1"/>
</worksheet>
</file>

<file path=xl/worksheets/sheet30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03BCA26-69F4-4E6D-B756-D306888BB4DA}">
  <sheetPr>
    <pageSetUpPr fitToPage="1"/>
  </sheetPr>
  <dimension ref="A1:Y33"/>
  <sheetViews>
    <sheetView topLeftCell="A7" zoomScale="70" zoomScaleNormal="70" zoomScaleSheetLayoutView="100" zoomScalePageLayoutView="68" workbookViewId="0">
      <selection activeCell="G10" sqref="G10"/>
    </sheetView>
  </sheetViews>
  <sheetFormatPr defaultColWidth="9.140625" defaultRowHeight="15" x14ac:dyDescent="0.25"/>
  <cols>
    <col min="1" max="1" width="18.28515625" style="14" customWidth="1"/>
    <col min="2" max="2" width="10.7109375" style="14" customWidth="1"/>
    <col min="3" max="3" width="12.28515625" style="14" customWidth="1"/>
    <col min="4" max="4" width="13.140625" style="14" bestFit="1" customWidth="1"/>
    <col min="5" max="5" width="12" style="14" customWidth="1"/>
    <col min="6" max="6" width="14" style="14" bestFit="1" customWidth="1"/>
    <col min="7" max="7" width="16" style="14" bestFit="1" customWidth="1"/>
    <col min="8" max="8" width="10.140625" style="14" bestFit="1" customWidth="1"/>
    <col min="9" max="9" width="10.5703125" style="14" bestFit="1" customWidth="1"/>
    <col min="10" max="10" width="10.5703125" style="14" customWidth="1"/>
    <col min="11" max="11" width="10.28515625" style="14" bestFit="1" customWidth="1"/>
    <col min="12" max="12" width="10.42578125" style="14" bestFit="1" customWidth="1"/>
    <col min="13" max="14" width="12" style="14" bestFit="1" customWidth="1"/>
    <col min="15" max="15" width="11" style="14" customWidth="1"/>
    <col min="16" max="16" width="12.85546875" style="14" bestFit="1" customWidth="1"/>
    <col min="17" max="18" width="9.42578125" style="14" customWidth="1"/>
    <col min="19" max="19" width="13.7109375" style="14" customWidth="1"/>
    <col min="20" max="20" width="12.140625" style="14" customWidth="1"/>
    <col min="21" max="21" width="21.7109375" style="14" customWidth="1"/>
    <col min="22" max="22" width="9.85546875" style="14" customWidth="1"/>
    <col min="23" max="23" width="10.140625" style="14" bestFit="1" customWidth="1"/>
    <col min="24" max="24" width="10.28515625" style="14" customWidth="1"/>
    <col min="25" max="25" width="15.7109375" style="14" customWidth="1"/>
    <col min="26" max="16384" width="9.140625" style="14"/>
  </cols>
  <sheetData>
    <row r="1" spans="1:25" ht="46.15" customHeight="1" x14ac:dyDescent="0.25">
      <c r="A1" s="2240" t="s">
        <v>148</v>
      </c>
      <c r="B1" s="2240"/>
      <c r="C1" s="2240"/>
      <c r="D1" s="2240"/>
      <c r="E1" s="2240"/>
      <c r="F1" s="2240"/>
      <c r="G1" s="2240"/>
      <c r="H1" s="2240"/>
      <c r="I1" s="2240"/>
      <c r="J1" s="2240"/>
      <c r="K1" s="2240"/>
      <c r="L1" s="2240"/>
      <c r="M1" s="2240"/>
      <c r="N1" s="2240"/>
      <c r="O1" s="2240"/>
      <c r="P1" s="2240"/>
      <c r="Q1" s="2240"/>
      <c r="R1" s="2240"/>
      <c r="S1" s="2240"/>
      <c r="T1" s="2240"/>
      <c r="U1" s="2240"/>
      <c r="V1" s="2240"/>
      <c r="W1" s="2240"/>
      <c r="X1" s="2240"/>
      <c r="Y1" s="2240"/>
    </row>
    <row r="2" spans="1:25" ht="21.6" customHeight="1" x14ac:dyDescent="0.25">
      <c r="A2" s="2241" t="s">
        <v>383</v>
      </c>
      <c r="B2" s="2241"/>
      <c r="C2" s="2241"/>
      <c r="D2" s="2241"/>
      <c r="E2" s="2241"/>
      <c r="F2" s="2241"/>
      <c r="G2" s="2241"/>
      <c r="H2" s="2241"/>
      <c r="I2" s="2241"/>
      <c r="J2" s="2241"/>
      <c r="K2" s="2241"/>
      <c r="L2" s="2241"/>
      <c r="M2" s="2241"/>
      <c r="N2" s="2241"/>
      <c r="O2" s="2241"/>
      <c r="P2" s="2241"/>
      <c r="Q2" s="2241"/>
      <c r="R2" s="2241"/>
      <c r="S2" s="2241"/>
      <c r="T2" s="2241"/>
      <c r="U2" s="2241"/>
      <c r="V2" s="2241"/>
      <c r="W2" s="2241"/>
      <c r="X2" s="2241"/>
      <c r="Y2" s="2241"/>
    </row>
    <row r="3" spans="1:25" ht="21" customHeight="1" x14ac:dyDescent="0.25">
      <c r="A3" s="1889"/>
      <c r="B3" s="1889"/>
      <c r="C3" s="1889"/>
      <c r="D3" s="1889"/>
      <c r="E3" s="1889"/>
      <c r="F3" s="1889"/>
      <c r="G3" s="1889"/>
      <c r="H3" s="1889"/>
      <c r="I3" s="1889"/>
      <c r="J3" s="1889"/>
      <c r="K3" s="1889"/>
      <c r="L3" s="1889"/>
      <c r="M3" s="1889"/>
      <c r="N3" s="1889"/>
      <c r="O3" s="1889"/>
      <c r="P3" s="1889"/>
      <c r="Q3" s="1889"/>
      <c r="R3" s="1889"/>
      <c r="S3" s="1889"/>
      <c r="T3" s="2242" t="s">
        <v>554</v>
      </c>
      <c r="U3" s="2242"/>
      <c r="V3" s="2242"/>
      <c r="W3" s="2242"/>
      <c r="X3" s="2242"/>
      <c r="Y3" s="2242"/>
    </row>
    <row r="4" spans="1:25" s="1889" customFormat="1" ht="18" customHeight="1" x14ac:dyDescent="0.25">
      <c r="A4" s="2243" t="s">
        <v>25</v>
      </c>
      <c r="B4" s="2243" t="s">
        <v>26</v>
      </c>
      <c r="C4" s="2244" t="s">
        <v>27</v>
      </c>
      <c r="D4" s="2244"/>
      <c r="E4" s="2244" t="s">
        <v>544</v>
      </c>
      <c r="F4" s="2244"/>
      <c r="G4" s="2244" t="s">
        <v>65</v>
      </c>
      <c r="H4" s="2244"/>
      <c r="I4" s="2244" t="s">
        <v>29</v>
      </c>
      <c r="J4" s="2244"/>
      <c r="K4" s="2245" t="s">
        <v>14</v>
      </c>
      <c r="L4" s="2246"/>
      <c r="M4" s="2245" t="s">
        <v>429</v>
      </c>
      <c r="N4" s="2246"/>
      <c r="O4" s="2245" t="s">
        <v>441</v>
      </c>
      <c r="P4" s="2246"/>
      <c r="Q4" s="2245" t="s">
        <v>114</v>
      </c>
      <c r="R4" s="2246"/>
      <c r="S4" s="2244" t="s">
        <v>35</v>
      </c>
      <c r="T4" s="2244"/>
      <c r="U4" s="2245" t="s">
        <v>17</v>
      </c>
      <c r="V4" s="2246"/>
      <c r="W4" s="2247" t="s">
        <v>36</v>
      </c>
      <c r="X4" s="2248"/>
      <c r="Y4" s="2238" t="s">
        <v>30</v>
      </c>
    </row>
    <row r="5" spans="1:25" s="1889" customFormat="1" ht="25.5" customHeight="1" x14ac:dyDescent="0.25">
      <c r="A5" s="2243"/>
      <c r="B5" s="2243"/>
      <c r="C5" s="1891" t="s">
        <v>42</v>
      </c>
      <c r="D5" s="1891" t="s">
        <v>43</v>
      </c>
      <c r="E5" s="1891" t="s">
        <v>42</v>
      </c>
      <c r="F5" s="1891" t="s">
        <v>43</v>
      </c>
      <c r="G5" s="1891" t="s">
        <v>42</v>
      </c>
      <c r="H5" s="1891" t="s">
        <v>43</v>
      </c>
      <c r="I5" s="1891" t="s">
        <v>42</v>
      </c>
      <c r="J5" s="1891" t="s">
        <v>43</v>
      </c>
      <c r="K5" s="1891" t="s">
        <v>42</v>
      </c>
      <c r="L5" s="1891" t="s">
        <v>43</v>
      </c>
      <c r="M5" s="1891" t="s">
        <v>42</v>
      </c>
      <c r="N5" s="1891" t="s">
        <v>43</v>
      </c>
      <c r="O5" s="1891" t="s">
        <v>42</v>
      </c>
      <c r="P5" s="1891" t="s">
        <v>43</v>
      </c>
      <c r="Q5" s="1891" t="s">
        <v>42</v>
      </c>
      <c r="R5" s="1891" t="s">
        <v>43</v>
      </c>
      <c r="S5" s="33" t="s">
        <v>42</v>
      </c>
      <c r="T5" s="33" t="s">
        <v>43</v>
      </c>
      <c r="U5" s="30" t="s">
        <v>42</v>
      </c>
      <c r="V5" s="30" t="s">
        <v>43</v>
      </c>
      <c r="W5" s="30" t="s">
        <v>42</v>
      </c>
      <c r="X5" s="30" t="s">
        <v>43</v>
      </c>
      <c r="Y5" s="2239"/>
    </row>
    <row r="6" spans="1:25" ht="34.5" customHeight="1" x14ac:dyDescent="0.25">
      <c r="A6" s="12">
        <v>1409935200</v>
      </c>
      <c r="B6" s="1890" t="s">
        <v>71</v>
      </c>
      <c r="C6" s="1893">
        <v>23361</v>
      </c>
      <c r="D6" s="1894">
        <f t="shared" ref="D6:D11" si="0">0.9725*C6</f>
        <v>22718.572500000002</v>
      </c>
      <c r="E6" s="1893"/>
      <c r="F6" s="1894">
        <f>67.1*E6</f>
        <v>0</v>
      </c>
      <c r="G6" s="1893">
        <v>80</v>
      </c>
      <c r="H6" s="1893">
        <f>28.2*G6</f>
        <v>2256</v>
      </c>
      <c r="I6" s="1893">
        <v>1350</v>
      </c>
      <c r="J6" s="1893">
        <f>18.5*I6</f>
        <v>24975</v>
      </c>
      <c r="K6" s="1893"/>
      <c r="L6" s="1894">
        <f>28.2368*K6</f>
        <v>0</v>
      </c>
      <c r="M6" s="1893"/>
      <c r="N6" s="1894">
        <f>M6*47.6525</f>
        <v>0</v>
      </c>
      <c r="O6" s="1893"/>
      <c r="P6" s="1894">
        <f>O6*8.9</f>
        <v>0</v>
      </c>
      <c r="Q6" s="1894"/>
      <c r="R6" s="1894">
        <f>241*Q6</f>
        <v>0</v>
      </c>
      <c r="S6" s="1893"/>
      <c r="T6" s="1893">
        <f>470*S6</f>
        <v>0</v>
      </c>
      <c r="U6" s="1893"/>
      <c r="V6" s="1893">
        <f>332*U6</f>
        <v>0</v>
      </c>
      <c r="W6" s="1893"/>
      <c r="X6" s="19">
        <f>W6*100</f>
        <v>0</v>
      </c>
      <c r="Y6" s="20">
        <f t="shared" ref="Y6:Y12" si="1">D6+F6+H6+J6+L6+N6+P6+R6+T6+V6+X6</f>
        <v>49949.572500000002</v>
      </c>
    </row>
    <row r="7" spans="1:25" ht="36.75" customHeight="1" x14ac:dyDescent="0.25">
      <c r="A7" s="12">
        <v>1984225578</v>
      </c>
      <c r="B7" s="1890" t="s">
        <v>509</v>
      </c>
      <c r="C7" s="1893">
        <v>20776</v>
      </c>
      <c r="D7" s="1894">
        <f t="shared" si="0"/>
        <v>20204.66</v>
      </c>
      <c r="E7" s="1893"/>
      <c r="F7" s="1893">
        <f t="shared" ref="F7:F11" si="2">67.1*E7</f>
        <v>0</v>
      </c>
      <c r="G7" s="1893"/>
      <c r="H7" s="1893">
        <f t="shared" ref="H7:H11" si="3">28.2*G7</f>
        <v>0</v>
      </c>
      <c r="I7" s="1893">
        <v>300</v>
      </c>
      <c r="J7" s="1893">
        <f t="shared" ref="J7:J11" si="4">18.5*I7</f>
        <v>5550</v>
      </c>
      <c r="K7" s="1893"/>
      <c r="L7" s="1894">
        <f t="shared" ref="L7:L11" si="5">28.2368*K7</f>
        <v>0</v>
      </c>
      <c r="M7" s="1893"/>
      <c r="N7" s="1894">
        <f t="shared" ref="N7:N11" si="6">M7*47.6525</f>
        <v>0</v>
      </c>
      <c r="O7" s="1893"/>
      <c r="P7" s="1894">
        <f t="shared" ref="P7:P11" si="7">O7*8.9</f>
        <v>0</v>
      </c>
      <c r="Q7" s="1894"/>
      <c r="R7" s="1894">
        <f t="shared" ref="R7:R11" si="8">241*Q7</f>
        <v>0</v>
      </c>
      <c r="S7" s="1893"/>
      <c r="T7" s="1893">
        <f t="shared" ref="T7:T9" si="9">241*S7</f>
        <v>0</v>
      </c>
      <c r="U7" s="1893"/>
      <c r="V7" s="1893">
        <f t="shared" ref="V7:V11" si="10">332*U7</f>
        <v>0</v>
      </c>
      <c r="W7" s="1893"/>
      <c r="X7" s="19">
        <f t="shared" ref="X7:X11" si="11">W7*100</f>
        <v>0</v>
      </c>
      <c r="Y7" s="20">
        <f t="shared" si="1"/>
        <v>25754.66</v>
      </c>
    </row>
    <row r="8" spans="1:25" ht="35.25" customHeight="1" x14ac:dyDescent="0.25">
      <c r="A8" s="12">
        <v>1967020280</v>
      </c>
      <c r="B8" s="1890" t="s">
        <v>427</v>
      </c>
      <c r="C8" s="1893">
        <v>17687</v>
      </c>
      <c r="D8" s="1894">
        <f t="shared" si="0"/>
        <v>17200.607500000002</v>
      </c>
      <c r="E8" s="1893"/>
      <c r="F8" s="1893">
        <f t="shared" si="2"/>
        <v>0</v>
      </c>
      <c r="G8" s="1893">
        <v>20</v>
      </c>
      <c r="H8" s="1894">
        <f t="shared" si="3"/>
        <v>564</v>
      </c>
      <c r="I8" s="1893">
        <v>1050</v>
      </c>
      <c r="J8" s="1893">
        <f t="shared" si="4"/>
        <v>19425</v>
      </c>
      <c r="K8" s="1893"/>
      <c r="L8" s="1894">
        <f t="shared" si="5"/>
        <v>0</v>
      </c>
      <c r="M8" s="1893"/>
      <c r="N8" s="1894">
        <f t="shared" si="6"/>
        <v>0</v>
      </c>
      <c r="O8" s="1893"/>
      <c r="P8" s="1894">
        <f t="shared" si="7"/>
        <v>0</v>
      </c>
      <c r="Q8" s="1894"/>
      <c r="R8" s="1894">
        <f t="shared" si="8"/>
        <v>0</v>
      </c>
      <c r="S8" s="1893"/>
      <c r="T8" s="1893">
        <f t="shared" si="9"/>
        <v>0</v>
      </c>
      <c r="U8" s="1893">
        <v>5</v>
      </c>
      <c r="V8" s="1893">
        <f t="shared" si="10"/>
        <v>1660</v>
      </c>
      <c r="W8" s="1893">
        <v>1</v>
      </c>
      <c r="X8" s="19">
        <f t="shared" si="11"/>
        <v>100</v>
      </c>
      <c r="Y8" s="20">
        <f t="shared" si="1"/>
        <v>38949.607499999998</v>
      </c>
    </row>
    <row r="9" spans="1:25" ht="38.25" customHeight="1" x14ac:dyDescent="0.25">
      <c r="A9" s="12">
        <v>1984225580</v>
      </c>
      <c r="B9" s="1890" t="s">
        <v>75</v>
      </c>
      <c r="C9" s="1893">
        <v>23223</v>
      </c>
      <c r="D9" s="1894">
        <f t="shared" si="0"/>
        <v>22584.3675</v>
      </c>
      <c r="E9" s="1893"/>
      <c r="F9" s="1893">
        <f t="shared" si="2"/>
        <v>0</v>
      </c>
      <c r="G9" s="1893"/>
      <c r="H9" s="1893">
        <f t="shared" si="3"/>
        <v>0</v>
      </c>
      <c r="I9" s="1893">
        <v>60</v>
      </c>
      <c r="J9" s="1893">
        <f t="shared" si="4"/>
        <v>1110</v>
      </c>
      <c r="K9" s="1893"/>
      <c r="L9" s="1894">
        <f t="shared" si="5"/>
        <v>0</v>
      </c>
      <c r="M9" s="1893"/>
      <c r="N9" s="1894">
        <f t="shared" si="6"/>
        <v>0</v>
      </c>
      <c r="O9" s="1893"/>
      <c r="P9" s="1894">
        <f t="shared" si="7"/>
        <v>0</v>
      </c>
      <c r="Q9" s="1894"/>
      <c r="R9" s="1894">
        <f t="shared" si="8"/>
        <v>0</v>
      </c>
      <c r="S9" s="1893"/>
      <c r="T9" s="1893">
        <f t="shared" si="9"/>
        <v>0</v>
      </c>
      <c r="U9" s="1893"/>
      <c r="V9" s="1893">
        <f t="shared" si="10"/>
        <v>0</v>
      </c>
      <c r="W9" s="1893"/>
      <c r="X9" s="19">
        <f t="shared" si="11"/>
        <v>0</v>
      </c>
      <c r="Y9" s="20">
        <f t="shared" si="1"/>
        <v>23694.3675</v>
      </c>
    </row>
    <row r="10" spans="1:25" ht="35.25" customHeight="1" x14ac:dyDescent="0.25">
      <c r="A10" s="12">
        <v>1409935199</v>
      </c>
      <c r="C10" s="1893"/>
      <c r="D10" s="1894">
        <f t="shared" si="0"/>
        <v>0</v>
      </c>
      <c r="E10" s="1893"/>
      <c r="F10" s="1893">
        <f t="shared" si="2"/>
        <v>0</v>
      </c>
      <c r="G10" s="1893"/>
      <c r="H10" s="1893">
        <f t="shared" si="3"/>
        <v>0</v>
      </c>
      <c r="I10" s="1893"/>
      <c r="J10" s="1893">
        <f t="shared" si="4"/>
        <v>0</v>
      </c>
      <c r="K10" s="1893"/>
      <c r="L10" s="1894">
        <f t="shared" si="5"/>
        <v>0</v>
      </c>
      <c r="M10" s="1893"/>
      <c r="N10" s="1894">
        <f t="shared" si="6"/>
        <v>0</v>
      </c>
      <c r="O10" s="1893"/>
      <c r="P10" s="1894">
        <f t="shared" si="7"/>
        <v>0</v>
      </c>
      <c r="Q10" s="1894"/>
      <c r="R10" s="1894">
        <f t="shared" si="8"/>
        <v>0</v>
      </c>
      <c r="S10" s="1893"/>
      <c r="T10" s="1893">
        <f>470*S10</f>
        <v>0</v>
      </c>
      <c r="U10" s="1893"/>
      <c r="V10" s="1893">
        <f t="shared" si="10"/>
        <v>0</v>
      </c>
      <c r="W10" s="1893"/>
      <c r="X10" s="19">
        <f t="shared" si="11"/>
        <v>0</v>
      </c>
      <c r="Y10" s="20">
        <f t="shared" si="1"/>
        <v>0</v>
      </c>
    </row>
    <row r="11" spans="1:25" ht="37.5" customHeight="1" x14ac:dyDescent="0.25">
      <c r="A11" s="12"/>
      <c r="B11" s="1892"/>
      <c r="C11" s="1893"/>
      <c r="D11" s="1894">
        <f t="shared" si="0"/>
        <v>0</v>
      </c>
      <c r="E11" s="1893"/>
      <c r="F11" s="1893">
        <f t="shared" si="2"/>
        <v>0</v>
      </c>
      <c r="G11" s="1893"/>
      <c r="H11" s="1893">
        <f t="shared" si="3"/>
        <v>0</v>
      </c>
      <c r="I11" s="1893"/>
      <c r="J11" s="1893">
        <f t="shared" si="4"/>
        <v>0</v>
      </c>
      <c r="K11" s="1893"/>
      <c r="L11" s="1894">
        <f t="shared" si="5"/>
        <v>0</v>
      </c>
      <c r="M11" s="1893"/>
      <c r="N11" s="1894">
        <f t="shared" si="6"/>
        <v>0</v>
      </c>
      <c r="O11" s="1893"/>
      <c r="P11" s="1894">
        <f t="shared" si="7"/>
        <v>0</v>
      </c>
      <c r="Q11" s="1894"/>
      <c r="R11" s="1894">
        <f t="shared" si="8"/>
        <v>0</v>
      </c>
      <c r="S11" s="1893"/>
      <c r="T11" s="1893">
        <f>341*S11</f>
        <v>0</v>
      </c>
      <c r="U11" s="1893"/>
      <c r="V11" s="1893">
        <f t="shared" si="10"/>
        <v>0</v>
      </c>
      <c r="W11" s="1893"/>
      <c r="X11" s="19">
        <f t="shared" si="11"/>
        <v>0</v>
      </c>
      <c r="Y11" s="20">
        <f t="shared" si="1"/>
        <v>0</v>
      </c>
    </row>
    <row r="12" spans="1:25" ht="29.25" customHeight="1" x14ac:dyDescent="0.25">
      <c r="A12" s="2235" t="s">
        <v>31</v>
      </c>
      <c r="B12" s="2235"/>
      <c r="C12" s="18">
        <f t="shared" ref="C12:X12" si="12">SUM(C6:C11)</f>
        <v>85047</v>
      </c>
      <c r="D12" s="18">
        <f t="shared" si="12"/>
        <v>82708.20749999999</v>
      </c>
      <c r="E12" s="18">
        <f t="shared" si="12"/>
        <v>0</v>
      </c>
      <c r="F12" s="18">
        <f t="shared" si="12"/>
        <v>0</v>
      </c>
      <c r="G12" s="18">
        <f t="shared" si="12"/>
        <v>100</v>
      </c>
      <c r="H12" s="18">
        <f t="shared" si="12"/>
        <v>2820</v>
      </c>
      <c r="I12" s="18">
        <f t="shared" si="12"/>
        <v>2760</v>
      </c>
      <c r="J12" s="18">
        <f t="shared" si="12"/>
        <v>51060</v>
      </c>
      <c r="K12" s="18">
        <f t="shared" si="12"/>
        <v>0</v>
      </c>
      <c r="L12" s="18">
        <f t="shared" si="12"/>
        <v>0</v>
      </c>
      <c r="M12" s="18">
        <f t="shared" si="12"/>
        <v>0</v>
      </c>
      <c r="N12" s="23">
        <f t="shared" si="12"/>
        <v>0</v>
      </c>
      <c r="O12" s="18">
        <f t="shared" si="12"/>
        <v>0</v>
      </c>
      <c r="P12" s="23">
        <f t="shared" si="12"/>
        <v>0</v>
      </c>
      <c r="Q12" s="23">
        <f t="shared" si="12"/>
        <v>0</v>
      </c>
      <c r="R12" s="23">
        <f>SUM(R6:R11)</f>
        <v>0</v>
      </c>
      <c r="S12" s="23">
        <f>SUM(S6:S11)</f>
        <v>0</v>
      </c>
      <c r="T12" s="18">
        <f t="shared" si="12"/>
        <v>0</v>
      </c>
      <c r="U12" s="18">
        <f t="shared" si="12"/>
        <v>5</v>
      </c>
      <c r="V12" s="18">
        <f t="shared" si="12"/>
        <v>1660</v>
      </c>
      <c r="W12" s="18">
        <f t="shared" si="12"/>
        <v>1</v>
      </c>
      <c r="X12" s="18">
        <f t="shared" si="12"/>
        <v>100</v>
      </c>
      <c r="Y12" s="20">
        <f t="shared" si="1"/>
        <v>138348.20749999999</v>
      </c>
    </row>
    <row r="14" spans="1:25" ht="43.5" customHeight="1" x14ac:dyDescent="0.25">
      <c r="A14" s="30" t="s">
        <v>32</v>
      </c>
      <c r="B14" s="2236" t="s">
        <v>27</v>
      </c>
      <c r="C14" s="2236"/>
      <c r="D14" s="30" t="s">
        <v>543</v>
      </c>
      <c r="E14" s="30" t="s">
        <v>65</v>
      </c>
      <c r="F14" s="30" t="s">
        <v>34</v>
      </c>
      <c r="G14" s="30" t="s">
        <v>14</v>
      </c>
      <c r="H14" s="469" t="s">
        <v>173</v>
      </c>
      <c r="I14" s="30" t="s">
        <v>17</v>
      </c>
      <c r="J14" s="1898" t="s">
        <v>174</v>
      </c>
      <c r="K14" s="30" t="s">
        <v>36</v>
      </c>
      <c r="L14" s="1898" t="s">
        <v>403</v>
      </c>
      <c r="M14" s="1898" t="s">
        <v>549</v>
      </c>
      <c r="N14" s="30" t="s">
        <v>442</v>
      </c>
      <c r="O14" s="1898" t="s">
        <v>114</v>
      </c>
      <c r="P14" s="30" t="s">
        <v>70</v>
      </c>
      <c r="Q14" s="2300" t="s">
        <v>479</v>
      </c>
      <c r="R14" s="2301"/>
      <c r="S14" s="1898" t="s">
        <v>401</v>
      </c>
      <c r="T14" s="2235" t="s">
        <v>46</v>
      </c>
      <c r="U14" s="1890" t="s">
        <v>176</v>
      </c>
      <c r="V14" s="2260">
        <v>36372</v>
      </c>
      <c r="W14" s="2268"/>
      <c r="X14" s="2261"/>
    </row>
    <row r="15" spans="1:25" ht="22.5" customHeight="1" x14ac:dyDescent="0.25">
      <c r="A15" s="100" t="s">
        <v>38</v>
      </c>
      <c r="B15" s="2260">
        <v>421834</v>
      </c>
      <c r="C15" s="2261"/>
      <c r="D15" s="1895">
        <v>500</v>
      </c>
      <c r="E15" s="1895">
        <v>220</v>
      </c>
      <c r="F15" s="1895">
        <v>4150</v>
      </c>
      <c r="G15" s="1895">
        <v>0</v>
      </c>
      <c r="H15" s="1895">
        <v>38</v>
      </c>
      <c r="I15" s="1895">
        <v>25</v>
      </c>
      <c r="J15" s="1895">
        <v>4</v>
      </c>
      <c r="K15" s="1895">
        <v>75</v>
      </c>
      <c r="L15" s="1895">
        <v>0</v>
      </c>
      <c r="M15" s="1895">
        <v>2</v>
      </c>
      <c r="N15" s="1895">
        <v>0</v>
      </c>
      <c r="O15" s="1895">
        <v>0</v>
      </c>
      <c r="P15" s="1895">
        <v>100</v>
      </c>
      <c r="Q15" s="2260">
        <v>10</v>
      </c>
      <c r="R15" s="2261"/>
      <c r="S15" s="1890">
        <v>2</v>
      </c>
      <c r="T15" s="2235"/>
      <c r="U15" s="1890" t="s">
        <v>64</v>
      </c>
      <c r="V15" s="2262">
        <v>51664</v>
      </c>
      <c r="W15" s="2262"/>
      <c r="X15" s="2262"/>
    </row>
    <row r="16" spans="1:25" ht="24.75" customHeight="1" x14ac:dyDescent="0.25">
      <c r="A16" s="100" t="s">
        <v>39</v>
      </c>
      <c r="B16" s="2260">
        <v>207792</v>
      </c>
      <c r="C16" s="2261"/>
      <c r="D16" s="1895"/>
      <c r="E16" s="1895"/>
      <c r="F16" s="1895"/>
      <c r="G16" s="1895"/>
      <c r="H16" s="1895"/>
      <c r="I16" s="1895"/>
      <c r="J16" s="1895"/>
      <c r="K16" s="1895"/>
      <c r="L16" s="1895"/>
      <c r="M16" s="1895"/>
      <c r="N16" s="1895"/>
      <c r="O16" s="1895"/>
      <c r="P16" s="1895"/>
      <c r="Q16" s="2262"/>
      <c r="R16" s="2262"/>
      <c r="S16" s="1895"/>
      <c r="T16" s="2254" t="s">
        <v>55</v>
      </c>
      <c r="U16" s="2254"/>
      <c r="V16" s="2267">
        <f>Y12</f>
        <v>138348.20749999999</v>
      </c>
      <c r="W16" s="2267"/>
      <c r="X16" s="2262"/>
    </row>
    <row r="17" spans="1:25" ht="28.5" customHeight="1" x14ac:dyDescent="0.25">
      <c r="A17" s="101" t="s">
        <v>44</v>
      </c>
      <c r="B17" s="2260"/>
      <c r="C17" s="2261"/>
      <c r="D17" s="1895"/>
      <c r="E17" s="1895"/>
      <c r="F17" s="1895"/>
      <c r="G17" s="1895"/>
      <c r="H17" s="1895"/>
      <c r="I17" s="1895"/>
      <c r="J17" s="1895"/>
      <c r="K17" s="1895"/>
      <c r="L17" s="1895"/>
      <c r="M17" s="1895"/>
      <c r="N17" s="1895"/>
      <c r="O17" s="1895"/>
      <c r="P17" s="1895"/>
      <c r="Q17" s="2225"/>
      <c r="R17" s="2225"/>
      <c r="S17" s="1892"/>
      <c r="T17" s="2294" t="s">
        <v>521</v>
      </c>
      <c r="U17" s="2295"/>
      <c r="V17" s="2296"/>
      <c r="W17" s="2296"/>
      <c r="X17" s="2296"/>
    </row>
    <row r="18" spans="1:25" ht="27" customHeight="1" x14ac:dyDescent="0.25">
      <c r="A18" s="100" t="s">
        <v>40</v>
      </c>
      <c r="B18" s="2264">
        <f>C12</f>
        <v>85047</v>
      </c>
      <c r="C18" s="2261"/>
      <c r="D18" s="1896">
        <f>E12</f>
        <v>0</v>
      </c>
      <c r="E18" s="1896">
        <f>G12</f>
        <v>100</v>
      </c>
      <c r="F18" s="1896">
        <f>I12</f>
        <v>2760</v>
      </c>
      <c r="G18" s="1896">
        <f>K12</f>
        <v>0</v>
      </c>
      <c r="H18" s="1895"/>
      <c r="I18" s="1896">
        <f>U12</f>
        <v>5</v>
      </c>
      <c r="J18" s="1895"/>
      <c r="K18" s="1896">
        <f>W12</f>
        <v>1</v>
      </c>
      <c r="L18" s="1895"/>
      <c r="M18" s="1896"/>
      <c r="N18" s="1896">
        <f>O12</f>
        <v>0</v>
      </c>
      <c r="O18" s="1897">
        <f>Q12</f>
        <v>0</v>
      </c>
      <c r="P18" s="1896"/>
      <c r="Q18" s="2262"/>
      <c r="R18" s="2262"/>
      <c r="S18" s="1890"/>
      <c r="T18" s="2254" t="s">
        <v>57</v>
      </c>
      <c r="U18" s="2254"/>
      <c r="V18" s="2262">
        <v>620</v>
      </c>
      <c r="W18" s="2262"/>
      <c r="X18" s="2262"/>
      <c r="Y18" s="2269"/>
    </row>
    <row r="19" spans="1:25" ht="25.5" customHeight="1" x14ac:dyDescent="0.25">
      <c r="A19" s="100" t="s">
        <v>41</v>
      </c>
      <c r="B19" s="2260">
        <f>B15+B16+B17-B18</f>
        <v>544579</v>
      </c>
      <c r="C19" s="2261"/>
      <c r="D19" s="1895">
        <f>D15+D16+D17-D18</f>
        <v>500</v>
      </c>
      <c r="E19" s="1895">
        <f t="shared" ref="E19:N19" si="13">E15+E16+E17-E18</f>
        <v>120</v>
      </c>
      <c r="F19" s="1895">
        <f t="shared" si="13"/>
        <v>1390</v>
      </c>
      <c r="G19" s="1895">
        <f t="shared" si="13"/>
        <v>0</v>
      </c>
      <c r="H19" s="1895">
        <f t="shared" si="13"/>
        <v>38</v>
      </c>
      <c r="I19" s="1895">
        <f t="shared" si="13"/>
        <v>20</v>
      </c>
      <c r="J19" s="1895">
        <f t="shared" si="13"/>
        <v>4</v>
      </c>
      <c r="K19" s="1895">
        <f t="shared" si="13"/>
        <v>74</v>
      </c>
      <c r="L19" s="1895">
        <f t="shared" si="13"/>
        <v>0</v>
      </c>
      <c r="M19" s="1895">
        <f t="shared" si="13"/>
        <v>2</v>
      </c>
      <c r="N19" s="1895">
        <f t="shared" si="13"/>
        <v>0</v>
      </c>
      <c r="O19" s="1895">
        <f>O15+O16+O17-O18</f>
        <v>0</v>
      </c>
      <c r="P19" s="1895">
        <f t="shared" ref="P19:Q19" si="14">P15+P16+P17-P18</f>
        <v>100</v>
      </c>
      <c r="Q19" s="2260">
        <f t="shared" si="14"/>
        <v>10</v>
      </c>
      <c r="R19" s="2261"/>
      <c r="S19" s="1890">
        <f>S15+S16-S17-S18</f>
        <v>2</v>
      </c>
      <c r="T19" s="2256" t="s">
        <v>48</v>
      </c>
      <c r="U19" s="49" t="s">
        <v>58</v>
      </c>
      <c r="V19" s="2262">
        <v>110000</v>
      </c>
      <c r="W19" s="2262"/>
      <c r="X19" s="2262"/>
      <c r="Y19" s="2269"/>
    </row>
    <row r="20" spans="1:25" ht="23.25" customHeight="1" x14ac:dyDescent="0.25">
      <c r="A20" s="289" t="s">
        <v>187</v>
      </c>
      <c r="B20" s="2286">
        <f>B19*0.9625</f>
        <v>524157.28750000003</v>
      </c>
      <c r="C20" s="2287"/>
      <c r="D20" s="290">
        <f>D19*19.3</f>
        <v>9650</v>
      </c>
      <c r="E20" s="290">
        <f>27.9368*E19</f>
        <v>3352.4160000000002</v>
      </c>
      <c r="F20" s="290">
        <f>18.31*F19</f>
        <v>25450.899999999998</v>
      </c>
      <c r="G20" s="290">
        <f>27.9368*G19</f>
        <v>0</v>
      </c>
      <c r="H20" s="290">
        <f>241*H19</f>
        <v>9158</v>
      </c>
      <c r="I20" s="290">
        <f>323*I19</f>
        <v>6460</v>
      </c>
      <c r="J20" s="290">
        <f>241*J19</f>
        <v>964</v>
      </c>
      <c r="K20" s="290">
        <f>K19*100</f>
        <v>7400</v>
      </c>
      <c r="L20" s="290">
        <f>241*L19</f>
        <v>0</v>
      </c>
      <c r="M20" s="290">
        <f>470*M19</f>
        <v>940</v>
      </c>
      <c r="N20" s="290">
        <f>N19*8.81</f>
        <v>0</v>
      </c>
      <c r="O20" s="290">
        <f>241*O19</f>
        <v>0</v>
      </c>
      <c r="P20" s="290">
        <f>P19*48.2</f>
        <v>4820</v>
      </c>
      <c r="Q20" s="2286">
        <f>470*Q19</f>
        <v>4700</v>
      </c>
      <c r="R20" s="2287"/>
      <c r="S20" s="290">
        <f>341*S19</f>
        <v>682</v>
      </c>
      <c r="T20" s="2257"/>
      <c r="U20" s="49" t="s">
        <v>59</v>
      </c>
      <c r="V20" s="2262"/>
      <c r="W20" s="2262"/>
      <c r="X20" s="2262"/>
      <c r="Y20" s="2269"/>
    </row>
    <row r="21" spans="1:25" ht="32.25" customHeight="1" x14ac:dyDescent="0.25">
      <c r="A21" s="291" t="s">
        <v>186</v>
      </c>
      <c r="B21" s="2293">
        <f>SUM(B20:S20)</f>
        <v>597734.60350000008</v>
      </c>
      <c r="C21" s="2293"/>
      <c r="T21" s="2294" t="s">
        <v>518</v>
      </c>
      <c r="U21" s="2295"/>
      <c r="V21" s="2297"/>
      <c r="W21" s="2298"/>
      <c r="X21" s="2299"/>
      <c r="Y21" s="2269"/>
    </row>
    <row r="22" spans="1:25" ht="35.25" customHeight="1" x14ac:dyDescent="0.25">
      <c r="A22" s="1911"/>
      <c r="B22" s="2288" t="s">
        <v>49</v>
      </c>
      <c r="C22" s="2291">
        <v>110000</v>
      </c>
      <c r="D22" s="2291">
        <v>110000</v>
      </c>
      <c r="E22" s="2291">
        <v>200000</v>
      </c>
      <c r="F22" s="2291">
        <f>C22-D22+E22</f>
        <v>200000</v>
      </c>
      <c r="T22" s="2251" t="s">
        <v>83</v>
      </c>
      <c r="U22" s="50" t="s">
        <v>60</v>
      </c>
      <c r="V22" s="2262">
        <v>135980</v>
      </c>
      <c r="W22" s="2262"/>
      <c r="X22" s="2262"/>
      <c r="Y22" s="2269"/>
    </row>
    <row r="23" spans="1:25" ht="39.75" customHeight="1" x14ac:dyDescent="0.25">
      <c r="B23" s="2289"/>
      <c r="C23" s="2292"/>
      <c r="D23" s="2292"/>
      <c r="E23" s="2292"/>
      <c r="F23" s="2292"/>
      <c r="T23" s="2252"/>
      <c r="U23" s="50" t="s">
        <v>61</v>
      </c>
      <c r="V23" s="2262">
        <v>110000</v>
      </c>
      <c r="W23" s="2262"/>
      <c r="X23" s="2262"/>
      <c r="Y23" s="2269"/>
    </row>
    <row r="24" spans="1:25" ht="48" customHeight="1" x14ac:dyDescent="0.25">
      <c r="B24" s="2290"/>
      <c r="C24" s="290" t="s">
        <v>46</v>
      </c>
      <c r="D24" s="290" t="s">
        <v>50</v>
      </c>
      <c r="E24" s="290" t="s">
        <v>51</v>
      </c>
      <c r="F24" s="290" t="s">
        <v>52</v>
      </c>
      <c r="T24" s="2235" t="s">
        <v>47</v>
      </c>
      <c r="U24" s="51" t="s">
        <v>62</v>
      </c>
      <c r="V24" s="2263">
        <f>V14+V16+V17-V18-V19-V20-V22+V23-V21</f>
        <v>38120.20749999999</v>
      </c>
      <c r="W24" s="2263"/>
      <c r="X24" s="2263"/>
      <c r="Y24" s="2269"/>
    </row>
    <row r="25" spans="1:25" ht="40.5" customHeight="1" x14ac:dyDescent="0.25">
      <c r="T25" s="2235"/>
      <c r="U25" s="51" t="s">
        <v>63</v>
      </c>
      <c r="V25" s="2262">
        <f>V15+V22-V23</f>
        <v>77644</v>
      </c>
      <c r="W25" s="2262"/>
      <c r="X25" s="2262"/>
    </row>
    <row r="26" spans="1:25" ht="36" customHeight="1" x14ac:dyDescent="0.25">
      <c r="K26" s="314"/>
    </row>
    <row r="28" spans="1:25" x14ac:dyDescent="0.25">
      <c r="J28" s="14" t="s">
        <v>139</v>
      </c>
    </row>
    <row r="32" spans="1:25" x14ac:dyDescent="0.25">
      <c r="I32" s="2280"/>
      <c r="J32" s="2280"/>
      <c r="K32" s="2280"/>
      <c r="L32" s="2280"/>
    </row>
    <row r="33" spans="9:12" x14ac:dyDescent="0.25">
      <c r="I33" s="1899"/>
      <c r="J33" s="1899"/>
      <c r="K33" s="2280"/>
      <c r="L33" s="2280"/>
    </row>
  </sheetData>
  <mergeCells count="62">
    <mergeCell ref="I32:J32"/>
    <mergeCell ref="K32:L32"/>
    <mergeCell ref="K33:L33"/>
    <mergeCell ref="T22:T23"/>
    <mergeCell ref="V22:X22"/>
    <mergeCell ref="V23:X23"/>
    <mergeCell ref="T24:T25"/>
    <mergeCell ref="V24:X24"/>
    <mergeCell ref="V25:X25"/>
    <mergeCell ref="Y18:Y24"/>
    <mergeCell ref="B19:C19"/>
    <mergeCell ref="Q19:R19"/>
    <mergeCell ref="T19:T20"/>
    <mergeCell ref="V19:X19"/>
    <mergeCell ref="B20:C20"/>
    <mergeCell ref="B22:B24"/>
    <mergeCell ref="C22:C23"/>
    <mergeCell ref="D22:D23"/>
    <mergeCell ref="E22:E23"/>
    <mergeCell ref="F22:F23"/>
    <mergeCell ref="Q20:R20"/>
    <mergeCell ref="V20:X20"/>
    <mergeCell ref="B21:C21"/>
    <mergeCell ref="T21:U21"/>
    <mergeCell ref="V21:X21"/>
    <mergeCell ref="B17:C17"/>
    <mergeCell ref="Q17:R17"/>
    <mergeCell ref="T17:U17"/>
    <mergeCell ref="V17:X17"/>
    <mergeCell ref="B18:C18"/>
    <mergeCell ref="Q18:R18"/>
    <mergeCell ref="T18:U18"/>
    <mergeCell ref="V18:X18"/>
    <mergeCell ref="W4:X4"/>
    <mergeCell ref="B16:C16"/>
    <mergeCell ref="Q16:R16"/>
    <mergeCell ref="T16:U16"/>
    <mergeCell ref="V16:X16"/>
    <mergeCell ref="A12:B12"/>
    <mergeCell ref="B14:C14"/>
    <mergeCell ref="Q14:R14"/>
    <mergeCell ref="T14:T15"/>
    <mergeCell ref="V14:X14"/>
    <mergeCell ref="B15:C15"/>
    <mergeCell ref="Q15:R15"/>
    <mergeCell ref="V15:X15"/>
    <mergeCell ref="A1:Y1"/>
    <mergeCell ref="A2:Y2"/>
    <mergeCell ref="T3:Y3"/>
    <mergeCell ref="A4:A5"/>
    <mergeCell ref="B4:B5"/>
    <mergeCell ref="C4:D4"/>
    <mergeCell ref="E4:F4"/>
    <mergeCell ref="G4:H4"/>
    <mergeCell ref="I4:J4"/>
    <mergeCell ref="K4:L4"/>
    <mergeCell ref="Y4:Y5"/>
    <mergeCell ref="M4:N4"/>
    <mergeCell ref="O4:P4"/>
    <mergeCell ref="Q4:R4"/>
    <mergeCell ref="S4:T4"/>
    <mergeCell ref="U4:V4"/>
  </mergeCells>
  <pageMargins left="0.15748031496063" right="0.15748031496063" top="0" bottom="0" header="0" footer="0"/>
  <pageSetup paperSize="9" scale="46" orientation="landscape" r:id="rId1"/>
</worksheet>
</file>

<file path=xl/worksheets/sheet30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7761FD0-CE94-4FF3-8B34-0CB2FAE8720A}">
  <sheetPr>
    <pageSetUpPr fitToPage="1"/>
  </sheetPr>
  <dimension ref="A1:Y33"/>
  <sheetViews>
    <sheetView topLeftCell="A12" zoomScale="70" zoomScaleNormal="70" zoomScaleSheetLayoutView="100" zoomScalePageLayoutView="68" workbookViewId="0">
      <selection activeCell="L25" sqref="L25"/>
    </sheetView>
  </sheetViews>
  <sheetFormatPr defaultColWidth="9.140625" defaultRowHeight="15" x14ac:dyDescent="0.25"/>
  <cols>
    <col min="1" max="1" width="18.28515625" style="14" customWidth="1"/>
    <col min="2" max="2" width="10.7109375" style="14" customWidth="1"/>
    <col min="3" max="3" width="12.28515625" style="14" customWidth="1"/>
    <col min="4" max="4" width="13.140625" style="14" bestFit="1" customWidth="1"/>
    <col min="5" max="5" width="12" style="14" customWidth="1"/>
    <col min="6" max="6" width="14" style="14" bestFit="1" customWidth="1"/>
    <col min="7" max="7" width="16" style="14" bestFit="1" customWidth="1"/>
    <col min="8" max="8" width="10.140625" style="14" bestFit="1" customWidth="1"/>
    <col min="9" max="9" width="10.5703125" style="14" bestFit="1" customWidth="1"/>
    <col min="10" max="10" width="10.5703125" style="14" customWidth="1"/>
    <col min="11" max="11" width="10.28515625" style="14" bestFit="1" customWidth="1"/>
    <col min="12" max="12" width="10.42578125" style="14" bestFit="1" customWidth="1"/>
    <col min="13" max="14" width="12" style="14" bestFit="1" customWidth="1"/>
    <col min="15" max="15" width="11" style="14" customWidth="1"/>
    <col min="16" max="16" width="12.85546875" style="14" bestFit="1" customWidth="1"/>
    <col min="17" max="18" width="9.42578125" style="14" customWidth="1"/>
    <col min="19" max="19" width="13.7109375" style="14" customWidth="1"/>
    <col min="20" max="20" width="12.140625" style="14" customWidth="1"/>
    <col min="21" max="21" width="21.7109375" style="14" customWidth="1"/>
    <col min="22" max="22" width="9.85546875" style="14" customWidth="1"/>
    <col min="23" max="23" width="10.140625" style="14" bestFit="1" customWidth="1"/>
    <col min="24" max="24" width="10.28515625" style="14" customWidth="1"/>
    <col min="25" max="25" width="15.7109375" style="14" customWidth="1"/>
    <col min="26" max="16384" width="9.140625" style="14"/>
  </cols>
  <sheetData>
    <row r="1" spans="1:25" ht="46.15" customHeight="1" x14ac:dyDescent="0.25">
      <c r="A1" s="2240" t="s">
        <v>148</v>
      </c>
      <c r="B1" s="2240"/>
      <c r="C1" s="2240"/>
      <c r="D1" s="2240"/>
      <c r="E1" s="2240"/>
      <c r="F1" s="2240"/>
      <c r="G1" s="2240"/>
      <c r="H1" s="2240"/>
      <c r="I1" s="2240"/>
      <c r="J1" s="2240"/>
      <c r="K1" s="2240"/>
      <c r="L1" s="2240"/>
      <c r="M1" s="2240"/>
      <c r="N1" s="2240"/>
      <c r="O1" s="2240"/>
      <c r="P1" s="2240"/>
      <c r="Q1" s="2240"/>
      <c r="R1" s="2240"/>
      <c r="S1" s="2240"/>
      <c r="T1" s="2240"/>
      <c r="U1" s="2240"/>
      <c r="V1" s="2240"/>
      <c r="W1" s="2240"/>
      <c r="X1" s="2240"/>
      <c r="Y1" s="2240"/>
    </row>
    <row r="2" spans="1:25" ht="21.6" customHeight="1" x14ac:dyDescent="0.25">
      <c r="A2" s="2241" t="s">
        <v>383</v>
      </c>
      <c r="B2" s="2241"/>
      <c r="C2" s="2241"/>
      <c r="D2" s="2241"/>
      <c r="E2" s="2241"/>
      <c r="F2" s="2241"/>
      <c r="G2" s="2241"/>
      <c r="H2" s="2241"/>
      <c r="I2" s="2241"/>
      <c r="J2" s="2241"/>
      <c r="K2" s="2241"/>
      <c r="L2" s="2241"/>
      <c r="M2" s="2241"/>
      <c r="N2" s="2241"/>
      <c r="O2" s="2241"/>
      <c r="P2" s="2241"/>
      <c r="Q2" s="2241"/>
      <c r="R2" s="2241"/>
      <c r="S2" s="2241"/>
      <c r="T2" s="2241"/>
      <c r="U2" s="2241"/>
      <c r="V2" s="2241"/>
      <c r="W2" s="2241"/>
      <c r="X2" s="2241"/>
      <c r="Y2" s="2241"/>
    </row>
    <row r="3" spans="1:25" ht="21" customHeight="1" x14ac:dyDescent="0.25">
      <c r="A3" s="1905"/>
      <c r="B3" s="1905"/>
      <c r="C3" s="1905"/>
      <c r="D3" s="1905"/>
      <c r="E3" s="1905"/>
      <c r="F3" s="1905"/>
      <c r="G3" s="1905"/>
      <c r="H3" s="1905"/>
      <c r="I3" s="1905"/>
      <c r="J3" s="1905"/>
      <c r="K3" s="1905"/>
      <c r="L3" s="1905"/>
      <c r="M3" s="1905"/>
      <c r="N3" s="1905"/>
      <c r="O3" s="1905"/>
      <c r="P3" s="1905"/>
      <c r="Q3" s="1905"/>
      <c r="R3" s="1905"/>
      <c r="S3" s="1905"/>
      <c r="T3" s="2242" t="s">
        <v>555</v>
      </c>
      <c r="U3" s="2242"/>
      <c r="V3" s="2242"/>
      <c r="W3" s="2242"/>
      <c r="X3" s="2242"/>
      <c r="Y3" s="2242"/>
    </row>
    <row r="4" spans="1:25" s="1905" customFormat="1" ht="18" customHeight="1" x14ac:dyDescent="0.25">
      <c r="A4" s="2243" t="s">
        <v>25</v>
      </c>
      <c r="B4" s="2243" t="s">
        <v>26</v>
      </c>
      <c r="C4" s="2244" t="s">
        <v>27</v>
      </c>
      <c r="D4" s="2244"/>
      <c r="E4" s="2244" t="s">
        <v>544</v>
      </c>
      <c r="F4" s="2244"/>
      <c r="G4" s="2244" t="s">
        <v>65</v>
      </c>
      <c r="H4" s="2244"/>
      <c r="I4" s="2244" t="s">
        <v>29</v>
      </c>
      <c r="J4" s="2244"/>
      <c r="K4" s="2245" t="s">
        <v>14</v>
      </c>
      <c r="L4" s="2246"/>
      <c r="M4" s="2245" t="s">
        <v>429</v>
      </c>
      <c r="N4" s="2246"/>
      <c r="O4" s="2245" t="s">
        <v>441</v>
      </c>
      <c r="P4" s="2246"/>
      <c r="Q4" s="2245" t="s">
        <v>114</v>
      </c>
      <c r="R4" s="2246"/>
      <c r="S4" s="2244" t="s">
        <v>35</v>
      </c>
      <c r="T4" s="2244"/>
      <c r="U4" s="2245" t="s">
        <v>17</v>
      </c>
      <c r="V4" s="2246"/>
      <c r="W4" s="2247" t="s">
        <v>36</v>
      </c>
      <c r="X4" s="2248"/>
      <c r="Y4" s="2238" t="s">
        <v>30</v>
      </c>
    </row>
    <row r="5" spans="1:25" s="1905" customFormat="1" ht="25.5" customHeight="1" x14ac:dyDescent="0.25">
      <c r="A5" s="2243"/>
      <c r="B5" s="2243"/>
      <c r="C5" s="1904" t="s">
        <v>42</v>
      </c>
      <c r="D5" s="1904" t="s">
        <v>43</v>
      </c>
      <c r="E5" s="1904" t="s">
        <v>42</v>
      </c>
      <c r="F5" s="1904" t="s">
        <v>43</v>
      </c>
      <c r="G5" s="1904" t="s">
        <v>42</v>
      </c>
      <c r="H5" s="1904" t="s">
        <v>43</v>
      </c>
      <c r="I5" s="1904" t="s">
        <v>42</v>
      </c>
      <c r="J5" s="1904" t="s">
        <v>43</v>
      </c>
      <c r="K5" s="1904" t="s">
        <v>42</v>
      </c>
      <c r="L5" s="1904" t="s">
        <v>43</v>
      </c>
      <c r="M5" s="1904" t="s">
        <v>42</v>
      </c>
      <c r="N5" s="1904" t="s">
        <v>43</v>
      </c>
      <c r="O5" s="1904" t="s">
        <v>42</v>
      </c>
      <c r="P5" s="1904" t="s">
        <v>43</v>
      </c>
      <c r="Q5" s="1904" t="s">
        <v>42</v>
      </c>
      <c r="R5" s="1904" t="s">
        <v>43</v>
      </c>
      <c r="S5" s="33" t="s">
        <v>42</v>
      </c>
      <c r="T5" s="33" t="s">
        <v>43</v>
      </c>
      <c r="U5" s="30" t="s">
        <v>42</v>
      </c>
      <c r="V5" s="30" t="s">
        <v>43</v>
      </c>
      <c r="W5" s="30" t="s">
        <v>42</v>
      </c>
      <c r="X5" s="30" t="s">
        <v>43</v>
      </c>
      <c r="Y5" s="2239"/>
    </row>
    <row r="6" spans="1:25" ht="34.5" customHeight="1" x14ac:dyDescent="0.25">
      <c r="A6" s="12">
        <v>1409935200</v>
      </c>
      <c r="B6" s="1903" t="s">
        <v>71</v>
      </c>
      <c r="C6" s="1901">
        <v>9051</v>
      </c>
      <c r="D6" s="1900">
        <f t="shared" ref="D6:D11" si="0">0.9725*C6</f>
        <v>8802.0974999999999</v>
      </c>
      <c r="E6" s="1901"/>
      <c r="F6" s="1900">
        <f>67.1*E6</f>
        <v>0</v>
      </c>
      <c r="G6" s="1901">
        <v>50</v>
      </c>
      <c r="H6" s="1901">
        <f>28.2*G6</f>
        <v>1410</v>
      </c>
      <c r="I6" s="1901">
        <v>190</v>
      </c>
      <c r="J6" s="1901">
        <f>18.5*I6</f>
        <v>3515</v>
      </c>
      <c r="K6" s="1901"/>
      <c r="L6" s="1900">
        <f>28.2368*K6</f>
        <v>0</v>
      </c>
      <c r="M6" s="1901"/>
      <c r="N6" s="1900">
        <f>M6*47.6525</f>
        <v>0</v>
      </c>
      <c r="O6" s="1901"/>
      <c r="P6" s="1900">
        <f>O6*8.9</f>
        <v>0</v>
      </c>
      <c r="Q6" s="1900"/>
      <c r="R6" s="1900">
        <f>241*Q6</f>
        <v>0</v>
      </c>
      <c r="S6" s="1901"/>
      <c r="T6" s="1901">
        <f>470*S6</f>
        <v>0</v>
      </c>
      <c r="U6" s="1901"/>
      <c r="V6" s="1901">
        <f>332*U6</f>
        <v>0</v>
      </c>
      <c r="W6" s="1901"/>
      <c r="X6" s="19">
        <f>W6*100</f>
        <v>0</v>
      </c>
      <c r="Y6" s="20">
        <f t="shared" ref="Y6:Y12" si="1">D6+F6+H6+J6+L6+N6+P6+R6+T6+V6+X6</f>
        <v>13727.0975</v>
      </c>
    </row>
    <row r="7" spans="1:25" ht="36.75" customHeight="1" x14ac:dyDescent="0.25">
      <c r="A7" s="12">
        <v>1984225578</v>
      </c>
      <c r="B7" s="1903" t="s">
        <v>509</v>
      </c>
      <c r="C7" s="1901">
        <v>17364</v>
      </c>
      <c r="D7" s="1900">
        <f t="shared" si="0"/>
        <v>16886.490000000002</v>
      </c>
      <c r="E7" s="1901"/>
      <c r="F7" s="1901">
        <f t="shared" ref="F7:F11" si="2">67.1*E7</f>
        <v>0</v>
      </c>
      <c r="G7" s="1901"/>
      <c r="H7" s="1901">
        <f t="shared" ref="H7:H11" si="3">28.2*G7</f>
        <v>0</v>
      </c>
      <c r="I7" s="1901"/>
      <c r="J7" s="1901">
        <f t="shared" ref="J7:J11" si="4">18.5*I7</f>
        <v>0</v>
      </c>
      <c r="K7" s="1901"/>
      <c r="L7" s="1900">
        <f t="shared" ref="L7:L11" si="5">28.2368*K7</f>
        <v>0</v>
      </c>
      <c r="M7" s="1901"/>
      <c r="N7" s="1900">
        <f t="shared" ref="N7:N11" si="6">M7*47.6525</f>
        <v>0</v>
      </c>
      <c r="O7" s="1901"/>
      <c r="P7" s="1900">
        <f t="shared" ref="P7:P11" si="7">O7*8.9</f>
        <v>0</v>
      </c>
      <c r="Q7" s="1900"/>
      <c r="R7" s="1900">
        <f t="shared" ref="R7:R11" si="8">241*Q7</f>
        <v>0</v>
      </c>
      <c r="S7" s="1901"/>
      <c r="T7" s="1901">
        <f t="shared" ref="T7:T9" si="9">241*S7</f>
        <v>0</v>
      </c>
      <c r="U7" s="1901">
        <v>10</v>
      </c>
      <c r="V7" s="1901">
        <f t="shared" ref="V7:V11" si="10">332*U7</f>
        <v>3320</v>
      </c>
      <c r="W7" s="1901"/>
      <c r="X7" s="19">
        <f t="shared" ref="X7:X11" si="11">W7*100</f>
        <v>0</v>
      </c>
      <c r="Y7" s="20">
        <f t="shared" si="1"/>
        <v>20206.490000000002</v>
      </c>
    </row>
    <row r="8" spans="1:25" ht="35.25" customHeight="1" x14ac:dyDescent="0.25">
      <c r="A8" s="12">
        <v>1967020280</v>
      </c>
      <c r="B8" s="1903" t="s">
        <v>427</v>
      </c>
      <c r="C8" s="1901">
        <v>21124</v>
      </c>
      <c r="D8" s="1900">
        <f t="shared" si="0"/>
        <v>20543.09</v>
      </c>
      <c r="E8" s="1901"/>
      <c r="F8" s="1901">
        <f t="shared" si="2"/>
        <v>0</v>
      </c>
      <c r="G8" s="1901"/>
      <c r="H8" s="1900">
        <f t="shared" si="3"/>
        <v>0</v>
      </c>
      <c r="I8" s="1901"/>
      <c r="J8" s="1901">
        <f t="shared" si="4"/>
        <v>0</v>
      </c>
      <c r="K8" s="1901"/>
      <c r="L8" s="1900">
        <f t="shared" si="5"/>
        <v>0</v>
      </c>
      <c r="M8" s="1901"/>
      <c r="N8" s="1900">
        <f t="shared" si="6"/>
        <v>0</v>
      </c>
      <c r="O8" s="1901"/>
      <c r="P8" s="1900">
        <f t="shared" si="7"/>
        <v>0</v>
      </c>
      <c r="Q8" s="1900"/>
      <c r="R8" s="1900">
        <f t="shared" si="8"/>
        <v>0</v>
      </c>
      <c r="S8" s="1901"/>
      <c r="T8" s="1901">
        <f t="shared" si="9"/>
        <v>0</v>
      </c>
      <c r="U8" s="1901"/>
      <c r="V8" s="1901">
        <f t="shared" si="10"/>
        <v>0</v>
      </c>
      <c r="W8" s="1901">
        <v>1</v>
      </c>
      <c r="X8" s="19">
        <f t="shared" si="11"/>
        <v>100</v>
      </c>
      <c r="Y8" s="20">
        <f t="shared" si="1"/>
        <v>20643.09</v>
      </c>
    </row>
    <row r="9" spans="1:25" ht="38.25" customHeight="1" x14ac:dyDescent="0.25">
      <c r="A9" s="12">
        <v>1984225580</v>
      </c>
      <c r="B9" s="1903" t="s">
        <v>75</v>
      </c>
      <c r="C9" s="1901">
        <v>34066</v>
      </c>
      <c r="D9" s="1900">
        <f t="shared" si="0"/>
        <v>33129.184999999998</v>
      </c>
      <c r="E9" s="1901"/>
      <c r="F9" s="1901">
        <f t="shared" si="2"/>
        <v>0</v>
      </c>
      <c r="G9" s="1901"/>
      <c r="H9" s="1901">
        <f t="shared" si="3"/>
        <v>0</v>
      </c>
      <c r="I9" s="1901">
        <v>210</v>
      </c>
      <c r="J9" s="1901">
        <f t="shared" si="4"/>
        <v>3885</v>
      </c>
      <c r="K9" s="1901"/>
      <c r="L9" s="1900">
        <f t="shared" si="5"/>
        <v>0</v>
      </c>
      <c r="M9" s="1901"/>
      <c r="N9" s="1900">
        <f t="shared" si="6"/>
        <v>0</v>
      </c>
      <c r="O9" s="1901"/>
      <c r="P9" s="1900">
        <f t="shared" si="7"/>
        <v>0</v>
      </c>
      <c r="Q9" s="1900"/>
      <c r="R9" s="1900">
        <f t="shared" si="8"/>
        <v>0</v>
      </c>
      <c r="S9" s="1901"/>
      <c r="T9" s="1901">
        <f t="shared" si="9"/>
        <v>0</v>
      </c>
      <c r="U9" s="1901"/>
      <c r="V9" s="1901">
        <f t="shared" si="10"/>
        <v>0</v>
      </c>
      <c r="W9" s="1901"/>
      <c r="X9" s="19">
        <f t="shared" si="11"/>
        <v>0</v>
      </c>
      <c r="Y9" s="20">
        <f t="shared" si="1"/>
        <v>37014.184999999998</v>
      </c>
    </row>
    <row r="10" spans="1:25" ht="35.25" customHeight="1" x14ac:dyDescent="0.25">
      <c r="A10" s="12">
        <v>1409935199</v>
      </c>
      <c r="C10" s="1901"/>
      <c r="D10" s="1900">
        <f t="shared" si="0"/>
        <v>0</v>
      </c>
      <c r="E10" s="1901"/>
      <c r="F10" s="1901">
        <f t="shared" si="2"/>
        <v>0</v>
      </c>
      <c r="G10" s="1901"/>
      <c r="H10" s="1901">
        <f t="shared" si="3"/>
        <v>0</v>
      </c>
      <c r="I10" s="1901"/>
      <c r="J10" s="1901">
        <f t="shared" si="4"/>
        <v>0</v>
      </c>
      <c r="K10" s="1901"/>
      <c r="L10" s="1900">
        <f t="shared" si="5"/>
        <v>0</v>
      </c>
      <c r="M10" s="1901"/>
      <c r="N10" s="1900">
        <f t="shared" si="6"/>
        <v>0</v>
      </c>
      <c r="O10" s="1901"/>
      <c r="P10" s="1900">
        <f t="shared" si="7"/>
        <v>0</v>
      </c>
      <c r="Q10" s="1900"/>
      <c r="R10" s="1900">
        <f t="shared" si="8"/>
        <v>0</v>
      </c>
      <c r="S10" s="1901"/>
      <c r="T10" s="1901">
        <f>470*S10</f>
        <v>0</v>
      </c>
      <c r="U10" s="1901"/>
      <c r="V10" s="1901">
        <f t="shared" si="10"/>
        <v>0</v>
      </c>
      <c r="W10" s="1901"/>
      <c r="X10" s="19">
        <f t="shared" si="11"/>
        <v>0</v>
      </c>
      <c r="Y10" s="20">
        <f t="shared" si="1"/>
        <v>0</v>
      </c>
    </row>
    <row r="11" spans="1:25" ht="37.5" customHeight="1" x14ac:dyDescent="0.25">
      <c r="A11" s="12"/>
      <c r="B11" s="1902"/>
      <c r="C11" s="1901"/>
      <c r="D11" s="1900">
        <f t="shared" si="0"/>
        <v>0</v>
      </c>
      <c r="E11" s="1901"/>
      <c r="F11" s="1901">
        <f t="shared" si="2"/>
        <v>0</v>
      </c>
      <c r="G11" s="1901"/>
      <c r="H11" s="1901">
        <f t="shared" si="3"/>
        <v>0</v>
      </c>
      <c r="I11" s="1901"/>
      <c r="J11" s="1901">
        <f t="shared" si="4"/>
        <v>0</v>
      </c>
      <c r="K11" s="1901"/>
      <c r="L11" s="1900">
        <f t="shared" si="5"/>
        <v>0</v>
      </c>
      <c r="M11" s="1901"/>
      <c r="N11" s="1900">
        <f t="shared" si="6"/>
        <v>0</v>
      </c>
      <c r="O11" s="1901"/>
      <c r="P11" s="1900">
        <f t="shared" si="7"/>
        <v>0</v>
      </c>
      <c r="Q11" s="1900"/>
      <c r="R11" s="1900">
        <f t="shared" si="8"/>
        <v>0</v>
      </c>
      <c r="S11" s="1901"/>
      <c r="T11" s="1901">
        <f>341*S11</f>
        <v>0</v>
      </c>
      <c r="U11" s="1901"/>
      <c r="V11" s="1901">
        <f t="shared" si="10"/>
        <v>0</v>
      </c>
      <c r="W11" s="1901"/>
      <c r="X11" s="19">
        <f t="shared" si="11"/>
        <v>0</v>
      </c>
      <c r="Y11" s="20">
        <f t="shared" si="1"/>
        <v>0</v>
      </c>
    </row>
    <row r="12" spans="1:25" ht="29.25" customHeight="1" x14ac:dyDescent="0.25">
      <c r="A12" s="2235" t="s">
        <v>31</v>
      </c>
      <c r="B12" s="2235"/>
      <c r="C12" s="18">
        <f t="shared" ref="C12:X12" si="12">SUM(C6:C11)</f>
        <v>81605</v>
      </c>
      <c r="D12" s="18">
        <f t="shared" si="12"/>
        <v>79360.862500000003</v>
      </c>
      <c r="E12" s="18">
        <f t="shared" si="12"/>
        <v>0</v>
      </c>
      <c r="F12" s="18">
        <f t="shared" si="12"/>
        <v>0</v>
      </c>
      <c r="G12" s="18">
        <f t="shared" si="12"/>
        <v>50</v>
      </c>
      <c r="H12" s="18">
        <f t="shared" si="12"/>
        <v>1410</v>
      </c>
      <c r="I12" s="18">
        <f t="shared" si="12"/>
        <v>400</v>
      </c>
      <c r="J12" s="18">
        <f t="shared" si="12"/>
        <v>7400</v>
      </c>
      <c r="K12" s="18">
        <f t="shared" si="12"/>
        <v>0</v>
      </c>
      <c r="L12" s="18">
        <f t="shared" si="12"/>
        <v>0</v>
      </c>
      <c r="M12" s="18">
        <f t="shared" si="12"/>
        <v>0</v>
      </c>
      <c r="N12" s="23">
        <f t="shared" si="12"/>
        <v>0</v>
      </c>
      <c r="O12" s="18">
        <f t="shared" si="12"/>
        <v>0</v>
      </c>
      <c r="P12" s="23">
        <f t="shared" si="12"/>
        <v>0</v>
      </c>
      <c r="Q12" s="23">
        <f t="shared" si="12"/>
        <v>0</v>
      </c>
      <c r="R12" s="23">
        <f>SUM(R6:R11)</f>
        <v>0</v>
      </c>
      <c r="S12" s="23">
        <f>SUM(S6:S11)</f>
        <v>0</v>
      </c>
      <c r="T12" s="18">
        <f t="shared" si="12"/>
        <v>0</v>
      </c>
      <c r="U12" s="18">
        <f t="shared" si="12"/>
        <v>10</v>
      </c>
      <c r="V12" s="18">
        <f t="shared" si="12"/>
        <v>3320</v>
      </c>
      <c r="W12" s="18">
        <f t="shared" si="12"/>
        <v>1</v>
      </c>
      <c r="X12" s="18">
        <f t="shared" si="12"/>
        <v>100</v>
      </c>
      <c r="Y12" s="20">
        <f t="shared" si="1"/>
        <v>91590.862500000003</v>
      </c>
    </row>
    <row r="14" spans="1:25" ht="43.5" customHeight="1" x14ac:dyDescent="0.25">
      <c r="A14" s="30" t="s">
        <v>32</v>
      </c>
      <c r="B14" s="2236" t="s">
        <v>27</v>
      </c>
      <c r="C14" s="2236"/>
      <c r="D14" s="30" t="s">
        <v>543</v>
      </c>
      <c r="E14" s="30" t="s">
        <v>65</v>
      </c>
      <c r="F14" s="30" t="s">
        <v>34</v>
      </c>
      <c r="G14" s="30" t="s">
        <v>14</v>
      </c>
      <c r="H14" s="469" t="s">
        <v>173</v>
      </c>
      <c r="I14" s="30" t="s">
        <v>17</v>
      </c>
      <c r="J14" s="1909" t="s">
        <v>174</v>
      </c>
      <c r="K14" s="30" t="s">
        <v>36</v>
      </c>
      <c r="L14" s="1909" t="s">
        <v>403</v>
      </c>
      <c r="M14" s="1909" t="s">
        <v>549</v>
      </c>
      <c r="N14" s="30" t="s">
        <v>442</v>
      </c>
      <c r="O14" s="1909" t="s">
        <v>114</v>
      </c>
      <c r="P14" s="30" t="s">
        <v>70</v>
      </c>
      <c r="Q14" s="2300" t="s">
        <v>479</v>
      </c>
      <c r="R14" s="2301"/>
      <c r="S14" s="1909" t="s">
        <v>401</v>
      </c>
      <c r="T14" s="2235" t="s">
        <v>46</v>
      </c>
      <c r="U14" s="1903" t="s">
        <v>176</v>
      </c>
      <c r="V14" s="2260">
        <v>38120</v>
      </c>
      <c r="W14" s="2268"/>
      <c r="X14" s="2261"/>
    </row>
    <row r="15" spans="1:25" ht="22.5" customHeight="1" x14ac:dyDescent="0.25">
      <c r="A15" s="100" t="s">
        <v>38</v>
      </c>
      <c r="B15" s="2260">
        <v>544579</v>
      </c>
      <c r="C15" s="2261"/>
      <c r="D15" s="1906">
        <v>500</v>
      </c>
      <c r="E15" s="1906">
        <v>120</v>
      </c>
      <c r="F15" s="1906">
        <v>1390</v>
      </c>
      <c r="G15" s="1906">
        <v>0</v>
      </c>
      <c r="H15" s="1906">
        <v>38</v>
      </c>
      <c r="I15" s="1906">
        <v>20</v>
      </c>
      <c r="J15" s="1906">
        <v>4</v>
      </c>
      <c r="K15" s="1906">
        <v>74</v>
      </c>
      <c r="L15" s="1906">
        <v>0</v>
      </c>
      <c r="M15" s="1906">
        <v>2</v>
      </c>
      <c r="N15" s="1906">
        <v>0</v>
      </c>
      <c r="O15" s="1906">
        <v>0</v>
      </c>
      <c r="P15" s="1906">
        <v>100</v>
      </c>
      <c r="Q15" s="2260">
        <v>10</v>
      </c>
      <c r="R15" s="2261"/>
      <c r="S15" s="1903">
        <v>2</v>
      </c>
      <c r="T15" s="2235"/>
      <c r="U15" s="1903" t="s">
        <v>64</v>
      </c>
      <c r="V15" s="2262">
        <v>77644</v>
      </c>
      <c r="W15" s="2262"/>
      <c r="X15" s="2262"/>
    </row>
    <row r="16" spans="1:25" ht="24.75" customHeight="1" x14ac:dyDescent="0.25">
      <c r="A16" s="100" t="s">
        <v>39</v>
      </c>
      <c r="B16" s="2260"/>
      <c r="C16" s="2261"/>
      <c r="D16" s="1906"/>
      <c r="E16" s="1906"/>
      <c r="F16" s="1906"/>
      <c r="G16" s="1906"/>
      <c r="H16" s="1906"/>
      <c r="I16" s="1906"/>
      <c r="J16" s="1906"/>
      <c r="K16" s="1906"/>
      <c r="L16" s="1906"/>
      <c r="M16" s="1906"/>
      <c r="N16" s="1906"/>
      <c r="O16" s="1906"/>
      <c r="P16" s="1906"/>
      <c r="Q16" s="2262"/>
      <c r="R16" s="2262"/>
      <c r="S16" s="1906"/>
      <c r="T16" s="2254" t="s">
        <v>55</v>
      </c>
      <c r="U16" s="2254"/>
      <c r="V16" s="2267">
        <f>Y12</f>
        <v>91590.862500000003</v>
      </c>
      <c r="W16" s="2267"/>
      <c r="X16" s="2262"/>
    </row>
    <row r="17" spans="1:25" ht="28.5" customHeight="1" x14ac:dyDescent="0.25">
      <c r="A17" s="101" t="s">
        <v>44</v>
      </c>
      <c r="B17" s="2260"/>
      <c r="C17" s="2261"/>
      <c r="D17" s="1906"/>
      <c r="E17" s="1906"/>
      <c r="F17" s="1906"/>
      <c r="G17" s="1906"/>
      <c r="H17" s="1906"/>
      <c r="I17" s="1906"/>
      <c r="J17" s="1906"/>
      <c r="K17" s="1906"/>
      <c r="L17" s="1906"/>
      <c r="M17" s="1906"/>
      <c r="N17" s="1906"/>
      <c r="O17" s="1906"/>
      <c r="P17" s="1906"/>
      <c r="Q17" s="2225"/>
      <c r="R17" s="2225"/>
      <c r="S17" s="1902"/>
      <c r="T17" s="2294" t="s">
        <v>521</v>
      </c>
      <c r="U17" s="2295"/>
      <c r="V17" s="2296"/>
      <c r="W17" s="2296"/>
      <c r="X17" s="2296"/>
    </row>
    <row r="18" spans="1:25" ht="27" customHeight="1" x14ac:dyDescent="0.25">
      <c r="A18" s="100" t="s">
        <v>40</v>
      </c>
      <c r="B18" s="2264">
        <f>C12</f>
        <v>81605</v>
      </c>
      <c r="C18" s="2261"/>
      <c r="D18" s="1908">
        <f>E12</f>
        <v>0</v>
      </c>
      <c r="E18" s="1908">
        <f>G12</f>
        <v>50</v>
      </c>
      <c r="F18" s="1908">
        <f>I12</f>
        <v>400</v>
      </c>
      <c r="G18" s="1908">
        <f>K12</f>
        <v>0</v>
      </c>
      <c r="H18" s="1906"/>
      <c r="I18" s="1908">
        <f>U12</f>
        <v>10</v>
      </c>
      <c r="J18" s="1906"/>
      <c r="K18" s="1908">
        <f>W12</f>
        <v>1</v>
      </c>
      <c r="L18" s="1906"/>
      <c r="M18" s="1908"/>
      <c r="N18" s="1908">
        <f>O12</f>
        <v>0</v>
      </c>
      <c r="O18" s="1907">
        <f>Q12</f>
        <v>0</v>
      </c>
      <c r="P18" s="1908"/>
      <c r="Q18" s="2262"/>
      <c r="R18" s="2262"/>
      <c r="S18" s="1903"/>
      <c r="T18" s="2254" t="s">
        <v>57</v>
      </c>
      <c r="U18" s="2254"/>
      <c r="V18" s="2262">
        <v>520</v>
      </c>
      <c r="W18" s="2262"/>
      <c r="X18" s="2262"/>
      <c r="Y18" s="2269"/>
    </row>
    <row r="19" spans="1:25" ht="25.5" customHeight="1" x14ac:dyDescent="0.25">
      <c r="A19" s="100" t="s">
        <v>41</v>
      </c>
      <c r="B19" s="2260">
        <f>B15+B16+B17-B18</f>
        <v>462974</v>
      </c>
      <c r="C19" s="2261"/>
      <c r="D19" s="1906">
        <f>D15+D16+D17-D18</f>
        <v>500</v>
      </c>
      <c r="E19" s="1906">
        <f t="shared" ref="E19:N19" si="13">E15+E16+E17-E18</f>
        <v>70</v>
      </c>
      <c r="F19" s="1906">
        <f t="shared" si="13"/>
        <v>990</v>
      </c>
      <c r="G19" s="1906">
        <f t="shared" si="13"/>
        <v>0</v>
      </c>
      <c r="H19" s="1906">
        <f t="shared" si="13"/>
        <v>38</v>
      </c>
      <c r="I19" s="1906">
        <f t="shared" si="13"/>
        <v>10</v>
      </c>
      <c r="J19" s="1906">
        <f t="shared" si="13"/>
        <v>4</v>
      </c>
      <c r="K19" s="1906">
        <f t="shared" si="13"/>
        <v>73</v>
      </c>
      <c r="L19" s="1906">
        <f t="shared" si="13"/>
        <v>0</v>
      </c>
      <c r="M19" s="1906">
        <f t="shared" si="13"/>
        <v>2</v>
      </c>
      <c r="N19" s="1906">
        <f t="shared" si="13"/>
        <v>0</v>
      </c>
      <c r="O19" s="1906">
        <f>O15+O16+O17-O18</f>
        <v>0</v>
      </c>
      <c r="P19" s="1906">
        <f t="shared" ref="P19:Q19" si="14">P15+P16+P17-P18</f>
        <v>100</v>
      </c>
      <c r="Q19" s="2260">
        <f t="shared" si="14"/>
        <v>10</v>
      </c>
      <c r="R19" s="2261"/>
      <c r="S19" s="1903">
        <f>S15+S16-S17-S18</f>
        <v>2</v>
      </c>
      <c r="T19" s="2256" t="s">
        <v>48</v>
      </c>
      <c r="U19" s="49" t="s">
        <v>58</v>
      </c>
      <c r="V19" s="2262"/>
      <c r="W19" s="2262"/>
      <c r="X19" s="2262"/>
      <c r="Y19" s="2269"/>
    </row>
    <row r="20" spans="1:25" ht="23.25" customHeight="1" x14ac:dyDescent="0.25">
      <c r="A20" s="289" t="s">
        <v>187</v>
      </c>
      <c r="B20" s="2286">
        <f>B19*0.9625</f>
        <v>445612.47500000003</v>
      </c>
      <c r="C20" s="2287"/>
      <c r="D20" s="290">
        <f>D19*19.3</f>
        <v>9650</v>
      </c>
      <c r="E20" s="290">
        <f>27.9368*E19</f>
        <v>1955.576</v>
      </c>
      <c r="F20" s="290">
        <f>18.31*F19</f>
        <v>18126.899999999998</v>
      </c>
      <c r="G20" s="290">
        <f>27.9368*G19</f>
        <v>0</v>
      </c>
      <c r="H20" s="290">
        <f>241*H19</f>
        <v>9158</v>
      </c>
      <c r="I20" s="290">
        <f>323*I19</f>
        <v>3230</v>
      </c>
      <c r="J20" s="290">
        <f>241*J19</f>
        <v>964</v>
      </c>
      <c r="K20" s="290">
        <f>K19*100</f>
        <v>7300</v>
      </c>
      <c r="L20" s="290">
        <f>241*L19</f>
        <v>0</v>
      </c>
      <c r="M20" s="290">
        <f>470*M19</f>
        <v>940</v>
      </c>
      <c r="N20" s="290">
        <f>N19*8.81</f>
        <v>0</v>
      </c>
      <c r="O20" s="290">
        <f>241*O19</f>
        <v>0</v>
      </c>
      <c r="P20" s="290">
        <f>P19*48.2</f>
        <v>4820</v>
      </c>
      <c r="Q20" s="2286">
        <f>470*Q19</f>
        <v>4700</v>
      </c>
      <c r="R20" s="2287"/>
      <c r="S20" s="290">
        <f>341*S19</f>
        <v>682</v>
      </c>
      <c r="T20" s="2257"/>
      <c r="U20" s="49" t="s">
        <v>59</v>
      </c>
      <c r="V20" s="2262"/>
      <c r="W20" s="2262"/>
      <c r="X20" s="2262"/>
      <c r="Y20" s="2269"/>
    </row>
    <row r="21" spans="1:25" ht="32.25" customHeight="1" x14ac:dyDescent="0.25">
      <c r="A21" s="291" t="s">
        <v>186</v>
      </c>
      <c r="B21" s="2293">
        <f>SUM(B20:S20)</f>
        <v>507138.95100000006</v>
      </c>
      <c r="C21" s="2293"/>
      <c r="T21" s="2294" t="s">
        <v>518</v>
      </c>
      <c r="U21" s="2295"/>
      <c r="V21" s="2297"/>
      <c r="W21" s="2298"/>
      <c r="X21" s="2299"/>
      <c r="Y21" s="2269"/>
    </row>
    <row r="22" spans="1:25" ht="35.25" customHeight="1" x14ac:dyDescent="0.25">
      <c r="A22" s="1911"/>
      <c r="B22" s="2288" t="s">
        <v>49</v>
      </c>
      <c r="C22" s="2291">
        <v>200000</v>
      </c>
      <c r="D22" s="2291"/>
      <c r="E22" s="2291"/>
      <c r="F22" s="2291">
        <f>C22-D22+E22</f>
        <v>200000</v>
      </c>
      <c r="T22" s="2251" t="s">
        <v>83</v>
      </c>
      <c r="U22" s="50" t="s">
        <v>60</v>
      </c>
      <c r="V22" s="2262"/>
      <c r="W22" s="2262"/>
      <c r="X22" s="2262"/>
      <c r="Y22" s="2269"/>
    </row>
    <row r="23" spans="1:25" ht="39.75" customHeight="1" x14ac:dyDescent="0.25">
      <c r="B23" s="2289"/>
      <c r="C23" s="2292"/>
      <c r="D23" s="2292"/>
      <c r="E23" s="2292"/>
      <c r="F23" s="2292"/>
      <c r="T23" s="2252"/>
      <c r="U23" s="50" t="s">
        <v>61</v>
      </c>
      <c r="V23" s="2262"/>
      <c r="W23" s="2262"/>
      <c r="X23" s="2262"/>
      <c r="Y23" s="2269"/>
    </row>
    <row r="24" spans="1:25" ht="48" customHeight="1" x14ac:dyDescent="0.25">
      <c r="B24" s="2290"/>
      <c r="C24" s="290" t="s">
        <v>46</v>
      </c>
      <c r="D24" s="290" t="s">
        <v>50</v>
      </c>
      <c r="E24" s="290" t="s">
        <v>51</v>
      </c>
      <c r="F24" s="290" t="s">
        <v>52</v>
      </c>
      <c r="T24" s="2235" t="s">
        <v>47</v>
      </c>
      <c r="U24" s="51" t="s">
        <v>62</v>
      </c>
      <c r="V24" s="2263">
        <f>V14+V16+V17-V18-V19-V20-V22+V23-V21</f>
        <v>129190.8625</v>
      </c>
      <c r="W24" s="2263"/>
      <c r="X24" s="2263"/>
      <c r="Y24" s="2269"/>
    </row>
    <row r="25" spans="1:25" ht="40.5" customHeight="1" x14ac:dyDescent="0.25">
      <c r="T25" s="2235"/>
      <c r="U25" s="51" t="s">
        <v>63</v>
      </c>
      <c r="V25" s="2262">
        <f>V15+V22-V23</f>
        <v>77644</v>
      </c>
      <c r="W25" s="2262"/>
      <c r="X25" s="2262"/>
    </row>
    <row r="26" spans="1:25" ht="36" customHeight="1" x14ac:dyDescent="0.25">
      <c r="K26" s="314"/>
    </row>
    <row r="28" spans="1:25" x14ac:dyDescent="0.25">
      <c r="J28" s="14" t="s">
        <v>139</v>
      </c>
    </row>
    <row r="32" spans="1:25" x14ac:dyDescent="0.25">
      <c r="I32" s="2280"/>
      <c r="J32" s="2280"/>
      <c r="K32" s="2280"/>
      <c r="L32" s="2280"/>
    </row>
    <row r="33" spans="9:12" x14ac:dyDescent="0.25">
      <c r="I33" s="1910"/>
      <c r="J33" s="1910"/>
      <c r="K33" s="2280"/>
      <c r="L33" s="2280"/>
    </row>
  </sheetData>
  <mergeCells count="62">
    <mergeCell ref="A1:Y1"/>
    <mergeCell ref="A2:Y2"/>
    <mergeCell ref="T3:Y3"/>
    <mergeCell ref="A4:A5"/>
    <mergeCell ref="B4:B5"/>
    <mergeCell ref="C4:D4"/>
    <mergeCell ref="E4:F4"/>
    <mergeCell ref="G4:H4"/>
    <mergeCell ref="I4:J4"/>
    <mergeCell ref="K4:L4"/>
    <mergeCell ref="Y4:Y5"/>
    <mergeCell ref="M4:N4"/>
    <mergeCell ref="O4:P4"/>
    <mergeCell ref="Q4:R4"/>
    <mergeCell ref="S4:T4"/>
    <mergeCell ref="U4:V4"/>
    <mergeCell ref="W4:X4"/>
    <mergeCell ref="B16:C16"/>
    <mergeCell ref="Q16:R16"/>
    <mergeCell ref="T16:U16"/>
    <mergeCell ref="V16:X16"/>
    <mergeCell ref="A12:B12"/>
    <mergeCell ref="B14:C14"/>
    <mergeCell ref="Q14:R14"/>
    <mergeCell ref="T14:T15"/>
    <mergeCell ref="V14:X14"/>
    <mergeCell ref="B15:C15"/>
    <mergeCell ref="Q15:R15"/>
    <mergeCell ref="V15:X15"/>
    <mergeCell ref="B17:C17"/>
    <mergeCell ref="Q17:R17"/>
    <mergeCell ref="T17:U17"/>
    <mergeCell ref="V17:X17"/>
    <mergeCell ref="B18:C18"/>
    <mergeCell ref="Q18:R18"/>
    <mergeCell ref="T18:U18"/>
    <mergeCell ref="V18:X18"/>
    <mergeCell ref="Y18:Y24"/>
    <mergeCell ref="B19:C19"/>
    <mergeCell ref="Q19:R19"/>
    <mergeCell ref="T19:T20"/>
    <mergeCell ref="V19:X19"/>
    <mergeCell ref="B20:C20"/>
    <mergeCell ref="B22:B24"/>
    <mergeCell ref="C22:C23"/>
    <mergeCell ref="D22:D23"/>
    <mergeCell ref="E22:E23"/>
    <mergeCell ref="F22:F23"/>
    <mergeCell ref="Q20:R20"/>
    <mergeCell ref="V20:X20"/>
    <mergeCell ref="B21:C21"/>
    <mergeCell ref="T21:U21"/>
    <mergeCell ref="V21:X21"/>
    <mergeCell ref="I32:J32"/>
    <mergeCell ref="K32:L32"/>
    <mergeCell ref="K33:L33"/>
    <mergeCell ref="T22:T23"/>
    <mergeCell ref="V22:X22"/>
    <mergeCell ref="V23:X23"/>
    <mergeCell ref="T24:T25"/>
    <mergeCell ref="V24:X24"/>
    <mergeCell ref="V25:X25"/>
  </mergeCells>
  <pageMargins left="0.15748031496063" right="0.15748031496063" top="0" bottom="0" header="0" footer="0"/>
  <pageSetup paperSize="9" scale="46" orientation="landscape" r:id="rId1"/>
</worksheet>
</file>

<file path=xl/worksheets/sheet30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EBCA7B3-FB46-468C-9B46-DA18DA2994FA}">
  <sheetPr>
    <pageSetUpPr fitToPage="1"/>
  </sheetPr>
  <dimension ref="A1:Y33"/>
  <sheetViews>
    <sheetView topLeftCell="A10" zoomScale="70" zoomScaleNormal="70" zoomScaleSheetLayoutView="100" zoomScalePageLayoutView="68" workbookViewId="0">
      <selection activeCell="J26" sqref="J26"/>
    </sheetView>
  </sheetViews>
  <sheetFormatPr defaultColWidth="9.140625" defaultRowHeight="15" x14ac:dyDescent="0.25"/>
  <cols>
    <col min="1" max="1" width="18.28515625" style="14" customWidth="1"/>
    <col min="2" max="2" width="10.7109375" style="14" customWidth="1"/>
    <col min="3" max="3" width="12.28515625" style="14" customWidth="1"/>
    <col min="4" max="4" width="13.140625" style="14" bestFit="1" customWidth="1"/>
    <col min="5" max="5" width="12" style="14" customWidth="1"/>
    <col min="6" max="6" width="14" style="14" bestFit="1" customWidth="1"/>
    <col min="7" max="7" width="16" style="14" bestFit="1" customWidth="1"/>
    <col min="8" max="8" width="10.140625" style="14" bestFit="1" customWidth="1"/>
    <col min="9" max="9" width="10.5703125" style="14" bestFit="1" customWidth="1"/>
    <col min="10" max="10" width="10.5703125" style="14" customWidth="1"/>
    <col min="11" max="11" width="10.28515625" style="14" bestFit="1" customWidth="1"/>
    <col min="12" max="12" width="10.42578125" style="14" bestFit="1" customWidth="1"/>
    <col min="13" max="14" width="12" style="14" bestFit="1" customWidth="1"/>
    <col min="15" max="15" width="11" style="14" customWidth="1"/>
    <col min="16" max="16" width="12.85546875" style="14" bestFit="1" customWidth="1"/>
    <col min="17" max="18" width="9.42578125" style="14" customWidth="1"/>
    <col min="19" max="19" width="13.7109375" style="14" customWidth="1"/>
    <col min="20" max="20" width="12.140625" style="14" customWidth="1"/>
    <col min="21" max="21" width="21.7109375" style="14" customWidth="1"/>
    <col min="22" max="22" width="9.85546875" style="14" customWidth="1"/>
    <col min="23" max="23" width="10.140625" style="14" bestFit="1" customWidth="1"/>
    <col min="24" max="24" width="10.28515625" style="14" customWidth="1"/>
    <col min="25" max="25" width="15.7109375" style="14" customWidth="1"/>
    <col min="26" max="16384" width="9.140625" style="14"/>
  </cols>
  <sheetData>
    <row r="1" spans="1:25" ht="46.15" customHeight="1" x14ac:dyDescent="0.25">
      <c r="A1" s="2240" t="s">
        <v>148</v>
      </c>
      <c r="B1" s="2240"/>
      <c r="C1" s="2240"/>
      <c r="D1" s="2240"/>
      <c r="E1" s="2240"/>
      <c r="F1" s="2240"/>
      <c r="G1" s="2240"/>
      <c r="H1" s="2240"/>
      <c r="I1" s="2240"/>
      <c r="J1" s="2240"/>
      <c r="K1" s="2240"/>
      <c r="L1" s="2240"/>
      <c r="M1" s="2240"/>
      <c r="N1" s="2240"/>
      <c r="O1" s="2240"/>
      <c r="P1" s="2240"/>
      <c r="Q1" s="2240"/>
      <c r="R1" s="2240"/>
      <c r="S1" s="2240"/>
      <c r="T1" s="2240"/>
      <c r="U1" s="2240"/>
      <c r="V1" s="2240"/>
      <c r="W1" s="2240"/>
      <c r="X1" s="2240"/>
      <c r="Y1" s="2240"/>
    </row>
    <row r="2" spans="1:25" ht="21.6" customHeight="1" x14ac:dyDescent="0.25">
      <c r="A2" s="2241" t="s">
        <v>383</v>
      </c>
      <c r="B2" s="2241"/>
      <c r="C2" s="2241"/>
      <c r="D2" s="2241"/>
      <c r="E2" s="2241"/>
      <c r="F2" s="2241"/>
      <c r="G2" s="2241"/>
      <c r="H2" s="2241"/>
      <c r="I2" s="2241"/>
      <c r="J2" s="2241"/>
      <c r="K2" s="2241"/>
      <c r="L2" s="2241"/>
      <c r="M2" s="2241"/>
      <c r="N2" s="2241"/>
      <c r="O2" s="2241"/>
      <c r="P2" s="2241"/>
      <c r="Q2" s="2241"/>
      <c r="R2" s="2241"/>
      <c r="S2" s="2241"/>
      <c r="T2" s="2241"/>
      <c r="U2" s="2241"/>
      <c r="V2" s="2241"/>
      <c r="W2" s="2241"/>
      <c r="X2" s="2241"/>
      <c r="Y2" s="2241"/>
    </row>
    <row r="3" spans="1:25" ht="21" customHeight="1" x14ac:dyDescent="0.25">
      <c r="A3" s="1905"/>
      <c r="B3" s="1905"/>
      <c r="C3" s="1905"/>
      <c r="D3" s="1905"/>
      <c r="E3" s="1905"/>
      <c r="F3" s="1905"/>
      <c r="G3" s="1905"/>
      <c r="H3" s="1905"/>
      <c r="I3" s="1905"/>
      <c r="J3" s="1905"/>
      <c r="K3" s="1905"/>
      <c r="L3" s="1905"/>
      <c r="M3" s="1905"/>
      <c r="N3" s="1905"/>
      <c r="O3" s="1905"/>
      <c r="P3" s="1905"/>
      <c r="Q3" s="1905"/>
      <c r="R3" s="1905"/>
      <c r="S3" s="1905"/>
      <c r="T3" s="2242" t="s">
        <v>556</v>
      </c>
      <c r="U3" s="2242"/>
      <c r="V3" s="2242"/>
      <c r="W3" s="2242"/>
      <c r="X3" s="2242"/>
      <c r="Y3" s="2242"/>
    </row>
    <row r="4" spans="1:25" s="1905" customFormat="1" ht="18" customHeight="1" x14ac:dyDescent="0.25">
      <c r="A4" s="2243" t="s">
        <v>25</v>
      </c>
      <c r="B4" s="2243" t="s">
        <v>26</v>
      </c>
      <c r="C4" s="2244" t="s">
        <v>27</v>
      </c>
      <c r="D4" s="2244"/>
      <c r="E4" s="2244" t="s">
        <v>544</v>
      </c>
      <c r="F4" s="2244"/>
      <c r="G4" s="2244" t="s">
        <v>65</v>
      </c>
      <c r="H4" s="2244"/>
      <c r="I4" s="2244" t="s">
        <v>29</v>
      </c>
      <c r="J4" s="2244"/>
      <c r="K4" s="2245" t="s">
        <v>14</v>
      </c>
      <c r="L4" s="2246"/>
      <c r="M4" s="2245" t="s">
        <v>429</v>
      </c>
      <c r="N4" s="2246"/>
      <c r="O4" s="2245" t="s">
        <v>441</v>
      </c>
      <c r="P4" s="2246"/>
      <c r="Q4" s="2245" t="s">
        <v>114</v>
      </c>
      <c r="R4" s="2246"/>
      <c r="S4" s="2244" t="s">
        <v>35</v>
      </c>
      <c r="T4" s="2244"/>
      <c r="U4" s="2245" t="s">
        <v>17</v>
      </c>
      <c r="V4" s="2246"/>
      <c r="W4" s="2247" t="s">
        <v>36</v>
      </c>
      <c r="X4" s="2248"/>
      <c r="Y4" s="2238" t="s">
        <v>30</v>
      </c>
    </row>
    <row r="5" spans="1:25" s="1905" customFormat="1" ht="25.5" customHeight="1" x14ac:dyDescent="0.25">
      <c r="A5" s="2243"/>
      <c r="B5" s="2243"/>
      <c r="C5" s="1904" t="s">
        <v>42</v>
      </c>
      <c r="D5" s="1904" t="s">
        <v>43</v>
      </c>
      <c r="E5" s="1904" t="s">
        <v>42</v>
      </c>
      <c r="F5" s="1904" t="s">
        <v>43</v>
      </c>
      <c r="G5" s="1904" t="s">
        <v>42</v>
      </c>
      <c r="H5" s="1904" t="s">
        <v>43</v>
      </c>
      <c r="I5" s="1904" t="s">
        <v>42</v>
      </c>
      <c r="J5" s="1904" t="s">
        <v>43</v>
      </c>
      <c r="K5" s="1904" t="s">
        <v>42</v>
      </c>
      <c r="L5" s="1904" t="s">
        <v>43</v>
      </c>
      <c r="M5" s="1904" t="s">
        <v>42</v>
      </c>
      <c r="N5" s="1904" t="s">
        <v>43</v>
      </c>
      <c r="O5" s="1904" t="s">
        <v>42</v>
      </c>
      <c r="P5" s="1904" t="s">
        <v>43</v>
      </c>
      <c r="Q5" s="1904" t="s">
        <v>42</v>
      </c>
      <c r="R5" s="1904" t="s">
        <v>43</v>
      </c>
      <c r="S5" s="33" t="s">
        <v>42</v>
      </c>
      <c r="T5" s="33" t="s">
        <v>43</v>
      </c>
      <c r="U5" s="30" t="s">
        <v>42</v>
      </c>
      <c r="V5" s="30" t="s">
        <v>43</v>
      </c>
      <c r="W5" s="30" t="s">
        <v>42</v>
      </c>
      <c r="X5" s="30" t="s">
        <v>43</v>
      </c>
      <c r="Y5" s="2239"/>
    </row>
    <row r="6" spans="1:25" ht="34.5" customHeight="1" x14ac:dyDescent="0.25">
      <c r="A6" s="12">
        <v>1409935200</v>
      </c>
      <c r="B6" s="1903" t="s">
        <v>71</v>
      </c>
      <c r="C6" s="1901">
        <v>57285</v>
      </c>
      <c r="D6" s="1900">
        <f t="shared" ref="D6:D11" si="0">0.9725*C6</f>
        <v>55709.662499999999</v>
      </c>
      <c r="E6" s="1901"/>
      <c r="F6" s="1900">
        <f>67.1*E6</f>
        <v>0</v>
      </c>
      <c r="G6" s="1901">
        <v>40</v>
      </c>
      <c r="H6" s="1901">
        <f>28.2*G6</f>
        <v>1128</v>
      </c>
      <c r="I6" s="1901">
        <v>300</v>
      </c>
      <c r="J6" s="1901">
        <f>18.5*I6</f>
        <v>5550</v>
      </c>
      <c r="K6" s="1901"/>
      <c r="L6" s="1900">
        <f>28.2368*K6</f>
        <v>0</v>
      </c>
      <c r="M6" s="1901"/>
      <c r="N6" s="1900">
        <f>M6*47.6525</f>
        <v>0</v>
      </c>
      <c r="O6" s="1901"/>
      <c r="P6" s="1900">
        <f>O6*8.9</f>
        <v>0</v>
      </c>
      <c r="Q6" s="1900"/>
      <c r="R6" s="1900">
        <f>241*Q6</f>
        <v>0</v>
      </c>
      <c r="S6" s="1901"/>
      <c r="T6" s="1901">
        <f>470*S6</f>
        <v>0</v>
      </c>
      <c r="U6" s="1901"/>
      <c r="V6" s="1901">
        <f>332*U6</f>
        <v>0</v>
      </c>
      <c r="W6" s="1901"/>
      <c r="X6" s="19">
        <f>W6*100</f>
        <v>0</v>
      </c>
      <c r="Y6" s="20">
        <f t="shared" ref="Y6:Y12" si="1">D6+F6+H6+J6+L6+N6+P6+R6+T6+V6+X6</f>
        <v>62387.662499999999</v>
      </c>
    </row>
    <row r="7" spans="1:25" ht="36.75" customHeight="1" x14ac:dyDescent="0.25">
      <c r="A7" s="12">
        <v>1984225578</v>
      </c>
      <c r="B7" s="1903" t="s">
        <v>509</v>
      </c>
      <c r="C7" s="1901">
        <v>43186</v>
      </c>
      <c r="D7" s="1900">
        <f t="shared" si="0"/>
        <v>41998.385000000002</v>
      </c>
      <c r="E7" s="1901"/>
      <c r="F7" s="1901">
        <f t="shared" ref="F7:F11" si="2">67.1*E7</f>
        <v>0</v>
      </c>
      <c r="G7" s="1901"/>
      <c r="H7" s="1901">
        <f t="shared" ref="H7:H11" si="3">28.2*G7</f>
        <v>0</v>
      </c>
      <c r="I7" s="1901"/>
      <c r="J7" s="1901">
        <f t="shared" ref="J7:J11" si="4">18.5*I7</f>
        <v>0</v>
      </c>
      <c r="K7" s="1901"/>
      <c r="L7" s="1900">
        <f t="shared" ref="L7:L11" si="5">28.2368*K7</f>
        <v>0</v>
      </c>
      <c r="M7" s="1901"/>
      <c r="N7" s="1900">
        <f t="shared" ref="N7:N11" si="6">M7*47.6525</f>
        <v>0</v>
      </c>
      <c r="O7" s="1901"/>
      <c r="P7" s="1900">
        <f t="shared" ref="P7:P11" si="7">O7*8.9</f>
        <v>0</v>
      </c>
      <c r="Q7" s="1900"/>
      <c r="R7" s="1900">
        <f t="shared" ref="R7:R11" si="8">241*Q7</f>
        <v>0</v>
      </c>
      <c r="S7" s="1901"/>
      <c r="T7" s="1901">
        <f t="shared" ref="T7:T9" si="9">241*S7</f>
        <v>0</v>
      </c>
      <c r="U7" s="1901"/>
      <c r="V7" s="1901">
        <f t="shared" ref="V7:V11" si="10">332*U7</f>
        <v>0</v>
      </c>
      <c r="W7" s="1901"/>
      <c r="X7" s="19">
        <f t="shared" ref="X7:X11" si="11">W7*100</f>
        <v>0</v>
      </c>
      <c r="Y7" s="20">
        <f t="shared" si="1"/>
        <v>41998.385000000002</v>
      </c>
    </row>
    <row r="8" spans="1:25" ht="35.25" customHeight="1" x14ac:dyDescent="0.25">
      <c r="A8" s="12">
        <v>1967020280</v>
      </c>
      <c r="B8" s="1903" t="s">
        <v>427</v>
      </c>
      <c r="C8" s="1901">
        <v>38330</v>
      </c>
      <c r="D8" s="1900">
        <f t="shared" si="0"/>
        <v>37275.925000000003</v>
      </c>
      <c r="E8" s="1901"/>
      <c r="F8" s="1901">
        <f t="shared" si="2"/>
        <v>0</v>
      </c>
      <c r="G8" s="1901"/>
      <c r="H8" s="1900">
        <f t="shared" si="3"/>
        <v>0</v>
      </c>
      <c r="I8" s="1901"/>
      <c r="J8" s="1901">
        <f t="shared" si="4"/>
        <v>0</v>
      </c>
      <c r="K8" s="1901"/>
      <c r="L8" s="1900">
        <f t="shared" si="5"/>
        <v>0</v>
      </c>
      <c r="M8" s="1901"/>
      <c r="N8" s="1900">
        <f t="shared" si="6"/>
        <v>0</v>
      </c>
      <c r="O8" s="1901"/>
      <c r="P8" s="1900">
        <f t="shared" si="7"/>
        <v>0</v>
      </c>
      <c r="Q8" s="1900"/>
      <c r="R8" s="1900">
        <f t="shared" si="8"/>
        <v>0</v>
      </c>
      <c r="S8" s="1901"/>
      <c r="T8" s="1901">
        <f t="shared" si="9"/>
        <v>0</v>
      </c>
      <c r="U8" s="1901">
        <v>1</v>
      </c>
      <c r="V8" s="1901">
        <f t="shared" si="10"/>
        <v>332</v>
      </c>
      <c r="W8" s="1901"/>
      <c r="X8" s="19">
        <f t="shared" si="11"/>
        <v>0</v>
      </c>
      <c r="Y8" s="20">
        <f t="shared" si="1"/>
        <v>37607.925000000003</v>
      </c>
    </row>
    <row r="9" spans="1:25" ht="38.25" customHeight="1" x14ac:dyDescent="0.25">
      <c r="A9" s="12">
        <v>1984225580</v>
      </c>
      <c r="B9" s="1903" t="s">
        <v>75</v>
      </c>
      <c r="C9" s="1901">
        <v>32019</v>
      </c>
      <c r="D9" s="1900">
        <f t="shared" si="0"/>
        <v>31138.477500000001</v>
      </c>
      <c r="E9" s="1901"/>
      <c r="F9" s="1901">
        <f t="shared" si="2"/>
        <v>0</v>
      </c>
      <c r="G9" s="1901"/>
      <c r="H9" s="1901">
        <f t="shared" si="3"/>
        <v>0</v>
      </c>
      <c r="I9" s="1901">
        <v>370</v>
      </c>
      <c r="J9" s="1901">
        <f t="shared" si="4"/>
        <v>6845</v>
      </c>
      <c r="K9" s="1901"/>
      <c r="L9" s="1900">
        <f t="shared" si="5"/>
        <v>0</v>
      </c>
      <c r="M9" s="1901"/>
      <c r="N9" s="1900">
        <f t="shared" si="6"/>
        <v>0</v>
      </c>
      <c r="O9" s="1901"/>
      <c r="P9" s="1900">
        <f t="shared" si="7"/>
        <v>0</v>
      </c>
      <c r="Q9" s="1900"/>
      <c r="R9" s="1900">
        <f t="shared" si="8"/>
        <v>0</v>
      </c>
      <c r="S9" s="1901"/>
      <c r="T9" s="1901">
        <f t="shared" si="9"/>
        <v>0</v>
      </c>
      <c r="U9" s="1901">
        <v>7</v>
      </c>
      <c r="V9" s="1901">
        <f t="shared" si="10"/>
        <v>2324</v>
      </c>
      <c r="W9" s="1901"/>
      <c r="X9" s="19">
        <f t="shared" si="11"/>
        <v>0</v>
      </c>
      <c r="Y9" s="20">
        <f t="shared" si="1"/>
        <v>40307.477500000001</v>
      </c>
    </row>
    <row r="10" spans="1:25" ht="35.25" customHeight="1" x14ac:dyDescent="0.25">
      <c r="A10" s="12">
        <v>1409935199</v>
      </c>
      <c r="C10" s="1901"/>
      <c r="D10" s="1900">
        <f t="shared" si="0"/>
        <v>0</v>
      </c>
      <c r="E10" s="1901"/>
      <c r="F10" s="1901">
        <f t="shared" si="2"/>
        <v>0</v>
      </c>
      <c r="G10" s="1901"/>
      <c r="H10" s="1901">
        <f t="shared" si="3"/>
        <v>0</v>
      </c>
      <c r="I10" s="1901"/>
      <c r="J10" s="1901">
        <f t="shared" si="4"/>
        <v>0</v>
      </c>
      <c r="K10" s="1901"/>
      <c r="L10" s="1900">
        <f t="shared" si="5"/>
        <v>0</v>
      </c>
      <c r="M10" s="1901"/>
      <c r="N10" s="1900">
        <f t="shared" si="6"/>
        <v>0</v>
      </c>
      <c r="O10" s="1901"/>
      <c r="P10" s="1900">
        <f t="shared" si="7"/>
        <v>0</v>
      </c>
      <c r="Q10" s="1900"/>
      <c r="R10" s="1900">
        <f t="shared" si="8"/>
        <v>0</v>
      </c>
      <c r="S10" s="1901"/>
      <c r="T10" s="1901">
        <f>470*S10</f>
        <v>0</v>
      </c>
      <c r="U10" s="1901"/>
      <c r="V10" s="1901">
        <f t="shared" si="10"/>
        <v>0</v>
      </c>
      <c r="W10" s="1901"/>
      <c r="X10" s="19">
        <f t="shared" si="11"/>
        <v>0</v>
      </c>
      <c r="Y10" s="20">
        <f t="shared" si="1"/>
        <v>0</v>
      </c>
    </row>
    <row r="11" spans="1:25" ht="37.5" customHeight="1" x14ac:dyDescent="0.25">
      <c r="A11" s="12"/>
      <c r="B11" s="1902"/>
      <c r="C11" s="1901"/>
      <c r="D11" s="1900">
        <f t="shared" si="0"/>
        <v>0</v>
      </c>
      <c r="E11" s="1901"/>
      <c r="F11" s="1901">
        <f t="shared" si="2"/>
        <v>0</v>
      </c>
      <c r="G11" s="1901"/>
      <c r="H11" s="1901">
        <f t="shared" si="3"/>
        <v>0</v>
      </c>
      <c r="I11" s="1901"/>
      <c r="J11" s="1901">
        <f t="shared" si="4"/>
        <v>0</v>
      </c>
      <c r="K11" s="1901"/>
      <c r="L11" s="1900">
        <f t="shared" si="5"/>
        <v>0</v>
      </c>
      <c r="M11" s="1901"/>
      <c r="N11" s="1900">
        <f t="shared" si="6"/>
        <v>0</v>
      </c>
      <c r="O11" s="1901"/>
      <c r="P11" s="1900">
        <f t="shared" si="7"/>
        <v>0</v>
      </c>
      <c r="Q11" s="1900"/>
      <c r="R11" s="1900">
        <f t="shared" si="8"/>
        <v>0</v>
      </c>
      <c r="S11" s="1901"/>
      <c r="T11" s="1901">
        <f>341*S11</f>
        <v>0</v>
      </c>
      <c r="U11" s="1901"/>
      <c r="V11" s="1901">
        <f t="shared" si="10"/>
        <v>0</v>
      </c>
      <c r="W11" s="1901"/>
      <c r="X11" s="19">
        <f t="shared" si="11"/>
        <v>0</v>
      </c>
      <c r="Y11" s="20">
        <f t="shared" si="1"/>
        <v>0</v>
      </c>
    </row>
    <row r="12" spans="1:25" ht="29.25" customHeight="1" x14ac:dyDescent="0.25">
      <c r="A12" s="2235" t="s">
        <v>31</v>
      </c>
      <c r="B12" s="2235"/>
      <c r="C12" s="18">
        <f t="shared" ref="C12:X12" si="12">SUM(C6:C11)</f>
        <v>170820</v>
      </c>
      <c r="D12" s="18">
        <f t="shared" si="12"/>
        <v>166122.45000000001</v>
      </c>
      <c r="E12" s="18">
        <f t="shared" si="12"/>
        <v>0</v>
      </c>
      <c r="F12" s="18">
        <f t="shared" si="12"/>
        <v>0</v>
      </c>
      <c r="G12" s="18">
        <f t="shared" si="12"/>
        <v>40</v>
      </c>
      <c r="H12" s="18">
        <f t="shared" si="12"/>
        <v>1128</v>
      </c>
      <c r="I12" s="18">
        <f t="shared" si="12"/>
        <v>670</v>
      </c>
      <c r="J12" s="18">
        <f t="shared" si="12"/>
        <v>12395</v>
      </c>
      <c r="K12" s="18">
        <f t="shared" si="12"/>
        <v>0</v>
      </c>
      <c r="L12" s="18">
        <f t="shared" si="12"/>
        <v>0</v>
      </c>
      <c r="M12" s="18">
        <f t="shared" si="12"/>
        <v>0</v>
      </c>
      <c r="N12" s="23">
        <f t="shared" si="12"/>
        <v>0</v>
      </c>
      <c r="O12" s="18">
        <f t="shared" si="12"/>
        <v>0</v>
      </c>
      <c r="P12" s="23">
        <f t="shared" si="12"/>
        <v>0</v>
      </c>
      <c r="Q12" s="23">
        <f t="shared" si="12"/>
        <v>0</v>
      </c>
      <c r="R12" s="23">
        <f>SUM(R6:R11)</f>
        <v>0</v>
      </c>
      <c r="S12" s="23">
        <f>SUM(S6:S11)</f>
        <v>0</v>
      </c>
      <c r="T12" s="18">
        <f t="shared" si="12"/>
        <v>0</v>
      </c>
      <c r="U12" s="18">
        <f t="shared" si="12"/>
        <v>8</v>
      </c>
      <c r="V12" s="18">
        <f t="shared" si="12"/>
        <v>2656</v>
      </c>
      <c r="W12" s="18">
        <f t="shared" si="12"/>
        <v>0</v>
      </c>
      <c r="X12" s="18">
        <f t="shared" si="12"/>
        <v>0</v>
      </c>
      <c r="Y12" s="20">
        <f t="shared" si="1"/>
        <v>182301.45</v>
      </c>
    </row>
    <row r="14" spans="1:25" ht="43.5" customHeight="1" x14ac:dyDescent="0.25">
      <c r="A14" s="30" t="s">
        <v>32</v>
      </c>
      <c r="B14" s="2236" t="s">
        <v>27</v>
      </c>
      <c r="C14" s="2236"/>
      <c r="D14" s="30" t="s">
        <v>543</v>
      </c>
      <c r="E14" s="30" t="s">
        <v>65</v>
      </c>
      <c r="F14" s="30" t="s">
        <v>34</v>
      </c>
      <c r="G14" s="30" t="s">
        <v>14</v>
      </c>
      <c r="H14" s="469" t="s">
        <v>173</v>
      </c>
      <c r="I14" s="30" t="s">
        <v>17</v>
      </c>
      <c r="J14" s="1909" t="s">
        <v>174</v>
      </c>
      <c r="K14" s="30" t="s">
        <v>36</v>
      </c>
      <c r="L14" s="1909" t="s">
        <v>403</v>
      </c>
      <c r="M14" s="1909" t="s">
        <v>549</v>
      </c>
      <c r="N14" s="30" t="s">
        <v>442</v>
      </c>
      <c r="O14" s="1909" t="s">
        <v>114</v>
      </c>
      <c r="P14" s="30" t="s">
        <v>70</v>
      </c>
      <c r="Q14" s="2300" t="s">
        <v>479</v>
      </c>
      <c r="R14" s="2301"/>
      <c r="S14" s="1909" t="s">
        <v>401</v>
      </c>
      <c r="T14" s="2235" t="s">
        <v>46</v>
      </c>
      <c r="U14" s="1903" t="s">
        <v>176</v>
      </c>
      <c r="V14" s="2260">
        <v>129191</v>
      </c>
      <c r="W14" s="2268"/>
      <c r="X14" s="2261"/>
    </row>
    <row r="15" spans="1:25" ht="22.5" customHeight="1" x14ac:dyDescent="0.25">
      <c r="A15" s="100" t="s">
        <v>38</v>
      </c>
      <c r="B15" s="2260">
        <v>462974</v>
      </c>
      <c r="C15" s="2261"/>
      <c r="D15" s="1906">
        <v>500</v>
      </c>
      <c r="E15" s="1906">
        <v>70</v>
      </c>
      <c r="F15" s="1906">
        <v>990</v>
      </c>
      <c r="G15" s="1906">
        <v>0</v>
      </c>
      <c r="H15" s="1906">
        <v>38</v>
      </c>
      <c r="I15" s="1906">
        <v>10</v>
      </c>
      <c r="J15" s="1906">
        <v>4</v>
      </c>
      <c r="K15" s="1906">
        <v>73</v>
      </c>
      <c r="L15" s="1906">
        <v>0</v>
      </c>
      <c r="M15" s="1906">
        <v>2</v>
      </c>
      <c r="N15" s="1906">
        <v>0</v>
      </c>
      <c r="O15" s="1906">
        <v>0</v>
      </c>
      <c r="P15" s="1906">
        <v>100</v>
      </c>
      <c r="Q15" s="2260">
        <v>10</v>
      </c>
      <c r="R15" s="2261"/>
      <c r="S15" s="1903">
        <v>2</v>
      </c>
      <c r="T15" s="2235"/>
      <c r="U15" s="1903" t="s">
        <v>64</v>
      </c>
      <c r="V15" s="2262">
        <v>77644</v>
      </c>
      <c r="W15" s="2262"/>
      <c r="X15" s="2262"/>
    </row>
    <row r="16" spans="1:25" ht="24.75" customHeight="1" x14ac:dyDescent="0.25">
      <c r="A16" s="100" t="s">
        <v>39</v>
      </c>
      <c r="B16" s="2260">
        <v>166234</v>
      </c>
      <c r="C16" s="2261"/>
      <c r="D16" s="1906"/>
      <c r="E16" s="1906"/>
      <c r="F16" s="1906">
        <v>7300</v>
      </c>
      <c r="G16" s="1906"/>
      <c r="H16" s="1906"/>
      <c r="I16" s="1906"/>
      <c r="J16" s="1906"/>
      <c r="K16" s="1906"/>
      <c r="L16" s="1906"/>
      <c r="M16" s="1906"/>
      <c r="N16" s="1906"/>
      <c r="O16" s="1906"/>
      <c r="P16" s="1906"/>
      <c r="Q16" s="2262"/>
      <c r="R16" s="2262"/>
      <c r="S16" s="1906"/>
      <c r="T16" s="2254" t="s">
        <v>55</v>
      </c>
      <c r="U16" s="2254"/>
      <c r="V16" s="2267">
        <f>Y12</f>
        <v>182301.45</v>
      </c>
      <c r="W16" s="2267"/>
      <c r="X16" s="2262"/>
    </row>
    <row r="17" spans="1:25" ht="28.5" customHeight="1" x14ac:dyDescent="0.25">
      <c r="A17" s="101" t="s">
        <v>44</v>
      </c>
      <c r="B17" s="2260"/>
      <c r="C17" s="2261"/>
      <c r="D17" s="1906"/>
      <c r="E17" s="1906"/>
      <c r="F17" s="1906"/>
      <c r="G17" s="1906"/>
      <c r="H17" s="1906"/>
      <c r="I17" s="1906"/>
      <c r="J17" s="1906"/>
      <c r="K17" s="1906"/>
      <c r="L17" s="1906"/>
      <c r="M17" s="1906"/>
      <c r="N17" s="1906"/>
      <c r="O17" s="1906"/>
      <c r="P17" s="1906"/>
      <c r="Q17" s="2225"/>
      <c r="R17" s="2225"/>
      <c r="S17" s="1902"/>
      <c r="T17" s="2294" t="s">
        <v>521</v>
      </c>
      <c r="U17" s="2295"/>
      <c r="V17" s="2296"/>
      <c r="W17" s="2296"/>
      <c r="X17" s="2296"/>
    </row>
    <row r="18" spans="1:25" ht="27" customHeight="1" x14ac:dyDescent="0.25">
      <c r="A18" s="100" t="s">
        <v>40</v>
      </c>
      <c r="B18" s="2264">
        <f>C12</f>
        <v>170820</v>
      </c>
      <c r="C18" s="2261"/>
      <c r="D18" s="1908">
        <f>E12</f>
        <v>0</v>
      </c>
      <c r="E18" s="1908">
        <f>G12</f>
        <v>40</v>
      </c>
      <c r="F18" s="1908">
        <f>I12</f>
        <v>670</v>
      </c>
      <c r="G18" s="1908">
        <f>K12</f>
        <v>0</v>
      </c>
      <c r="H18" s="1906"/>
      <c r="I18" s="1908">
        <f>U12</f>
        <v>8</v>
      </c>
      <c r="J18" s="1906"/>
      <c r="K18" s="1908">
        <f>W12</f>
        <v>0</v>
      </c>
      <c r="L18" s="1906"/>
      <c r="M18" s="1908"/>
      <c r="N18" s="1908">
        <f>O12</f>
        <v>0</v>
      </c>
      <c r="O18" s="1907">
        <f>Q12</f>
        <v>0</v>
      </c>
      <c r="P18" s="1908"/>
      <c r="Q18" s="2262"/>
      <c r="R18" s="2262"/>
      <c r="S18" s="1903"/>
      <c r="T18" s="2254" t="s">
        <v>57</v>
      </c>
      <c r="U18" s="2254"/>
      <c r="V18" s="2262">
        <v>1285</v>
      </c>
      <c r="W18" s="2262"/>
      <c r="X18" s="2262"/>
      <c r="Y18" s="2269"/>
    </row>
    <row r="19" spans="1:25" ht="25.5" customHeight="1" x14ac:dyDescent="0.25">
      <c r="A19" s="100" t="s">
        <v>41</v>
      </c>
      <c r="B19" s="2260">
        <f>B15+B16+B17-B18</f>
        <v>458388</v>
      </c>
      <c r="C19" s="2261"/>
      <c r="D19" s="1906">
        <f>D15+D16+D17-D18</f>
        <v>500</v>
      </c>
      <c r="E19" s="1906">
        <f t="shared" ref="E19:N19" si="13">E15+E16+E17-E18</f>
        <v>30</v>
      </c>
      <c r="F19" s="1906">
        <f t="shared" si="13"/>
        <v>7620</v>
      </c>
      <c r="G19" s="1906">
        <f t="shared" si="13"/>
        <v>0</v>
      </c>
      <c r="H19" s="1906">
        <f t="shared" si="13"/>
        <v>38</v>
      </c>
      <c r="I19" s="1906">
        <f t="shared" si="13"/>
        <v>2</v>
      </c>
      <c r="J19" s="1906">
        <f t="shared" si="13"/>
        <v>4</v>
      </c>
      <c r="K19" s="1906">
        <f t="shared" si="13"/>
        <v>73</v>
      </c>
      <c r="L19" s="1906">
        <f t="shared" si="13"/>
        <v>0</v>
      </c>
      <c r="M19" s="1906">
        <f t="shared" si="13"/>
        <v>2</v>
      </c>
      <c r="N19" s="1906">
        <f t="shared" si="13"/>
        <v>0</v>
      </c>
      <c r="O19" s="1906">
        <f>O15+O16+O17-O18</f>
        <v>0</v>
      </c>
      <c r="P19" s="1906">
        <f t="shared" ref="P19:Q19" si="14">P15+P16+P17-P18</f>
        <v>100</v>
      </c>
      <c r="Q19" s="2260">
        <f t="shared" si="14"/>
        <v>10</v>
      </c>
      <c r="R19" s="2261"/>
      <c r="S19" s="1903">
        <f>S15+S16-S17-S18</f>
        <v>2</v>
      </c>
      <c r="T19" s="2256" t="s">
        <v>48</v>
      </c>
      <c r="U19" s="49" t="s">
        <v>58</v>
      </c>
      <c r="V19" s="2262">
        <v>200000</v>
      </c>
      <c r="W19" s="2262"/>
      <c r="X19" s="2262"/>
      <c r="Y19" s="2269"/>
    </row>
    <row r="20" spans="1:25" ht="23.25" customHeight="1" x14ac:dyDescent="0.25">
      <c r="A20" s="289" t="s">
        <v>187</v>
      </c>
      <c r="B20" s="2286">
        <f>B19*0.9625</f>
        <v>441198.45</v>
      </c>
      <c r="C20" s="2287"/>
      <c r="D20" s="290">
        <f>D19*19.3</f>
        <v>9650</v>
      </c>
      <c r="E20" s="290">
        <f>27.9368*E19</f>
        <v>838.10400000000004</v>
      </c>
      <c r="F20" s="290">
        <f>18.31*F19</f>
        <v>139522.19999999998</v>
      </c>
      <c r="G20" s="290">
        <f>27.9368*G19</f>
        <v>0</v>
      </c>
      <c r="H20" s="290">
        <f>241*H19</f>
        <v>9158</v>
      </c>
      <c r="I20" s="290">
        <f>323*I19</f>
        <v>646</v>
      </c>
      <c r="J20" s="290">
        <f>241*J19</f>
        <v>964</v>
      </c>
      <c r="K20" s="290">
        <f>K19*100</f>
        <v>7300</v>
      </c>
      <c r="L20" s="290">
        <f>241*L19</f>
        <v>0</v>
      </c>
      <c r="M20" s="290">
        <f>470*M19</f>
        <v>940</v>
      </c>
      <c r="N20" s="290">
        <f>N19*8.81</f>
        <v>0</v>
      </c>
      <c r="O20" s="290">
        <f>241*O19</f>
        <v>0</v>
      </c>
      <c r="P20" s="290">
        <f>P19*48.2</f>
        <v>4820</v>
      </c>
      <c r="Q20" s="2286">
        <f>470*Q19</f>
        <v>4700</v>
      </c>
      <c r="R20" s="2287"/>
      <c r="S20" s="290">
        <f>341*S19</f>
        <v>682</v>
      </c>
      <c r="T20" s="2257"/>
      <c r="U20" s="49" t="s">
        <v>59</v>
      </c>
      <c r="V20" s="2262">
        <v>136000</v>
      </c>
      <c r="W20" s="2262"/>
      <c r="X20" s="2262"/>
      <c r="Y20" s="2269"/>
    </row>
    <row r="21" spans="1:25" ht="32.25" customHeight="1" x14ac:dyDescent="0.25">
      <c r="A21" s="291" t="s">
        <v>186</v>
      </c>
      <c r="B21" s="2302">
        <f>SUM(B20:S20)</f>
        <v>620418.75399999996</v>
      </c>
      <c r="C21" s="2302"/>
      <c r="T21" s="2294" t="s">
        <v>518</v>
      </c>
      <c r="U21" s="2295"/>
      <c r="V21" s="2297"/>
      <c r="W21" s="2298"/>
      <c r="X21" s="2299"/>
      <c r="Y21" s="2269"/>
    </row>
    <row r="22" spans="1:25" ht="35.25" customHeight="1" x14ac:dyDescent="0.25">
      <c r="A22" s="1911"/>
      <c r="B22" s="2288" t="s">
        <v>49</v>
      </c>
      <c r="C22" s="2291">
        <v>200000</v>
      </c>
      <c r="D22" s="2291">
        <v>200000</v>
      </c>
      <c r="E22" s="2291">
        <v>160000</v>
      </c>
      <c r="F22" s="2291">
        <f>C22-D22+E22</f>
        <v>160000</v>
      </c>
      <c r="T22" s="2251" t="s">
        <v>83</v>
      </c>
      <c r="U22" s="50" t="s">
        <v>60</v>
      </c>
      <c r="V22" s="2262">
        <v>271880</v>
      </c>
      <c r="W22" s="2262"/>
      <c r="X22" s="2262"/>
      <c r="Y22" s="2269"/>
    </row>
    <row r="23" spans="1:25" ht="39.75" customHeight="1" x14ac:dyDescent="0.25">
      <c r="B23" s="2289"/>
      <c r="C23" s="2292"/>
      <c r="D23" s="2292"/>
      <c r="E23" s="2292"/>
      <c r="F23" s="2292"/>
      <c r="T23" s="2252"/>
      <c r="U23" s="50" t="s">
        <v>61</v>
      </c>
      <c r="V23" s="2262">
        <v>336000</v>
      </c>
      <c r="W23" s="2262"/>
      <c r="X23" s="2262"/>
      <c r="Y23" s="2269"/>
    </row>
    <row r="24" spans="1:25" ht="48" customHeight="1" x14ac:dyDescent="0.25">
      <c r="B24" s="2290"/>
      <c r="C24" s="290" t="s">
        <v>46</v>
      </c>
      <c r="D24" s="290" t="s">
        <v>50</v>
      </c>
      <c r="E24" s="290" t="s">
        <v>51</v>
      </c>
      <c r="F24" s="290" t="s">
        <v>52</v>
      </c>
      <c r="T24" s="2235" t="s">
        <v>47</v>
      </c>
      <c r="U24" s="51" t="s">
        <v>62</v>
      </c>
      <c r="V24" s="2263">
        <f>V14+V16+V17-V18-V19-V20-V22+V23-V21</f>
        <v>38327.450000000012</v>
      </c>
      <c r="W24" s="2263"/>
      <c r="X24" s="2263"/>
      <c r="Y24" s="2269"/>
    </row>
    <row r="25" spans="1:25" ht="40.5" customHeight="1" x14ac:dyDescent="0.25">
      <c r="T25" s="2235"/>
      <c r="U25" s="51" t="s">
        <v>63</v>
      </c>
      <c r="V25" s="2262">
        <f>V15+V22-V23</f>
        <v>13524</v>
      </c>
      <c r="W25" s="2262"/>
      <c r="X25" s="2262"/>
    </row>
    <row r="26" spans="1:25" ht="36" customHeight="1" x14ac:dyDescent="0.25">
      <c r="K26" s="314"/>
    </row>
    <row r="28" spans="1:25" x14ac:dyDescent="0.25">
      <c r="J28" s="14" t="s">
        <v>139</v>
      </c>
    </row>
    <row r="32" spans="1:25" x14ac:dyDescent="0.25">
      <c r="I32" s="2280"/>
      <c r="J32" s="2280"/>
      <c r="K32" s="2280"/>
      <c r="L32" s="2280"/>
    </row>
    <row r="33" spans="9:12" x14ac:dyDescent="0.25">
      <c r="I33" s="1910"/>
      <c r="J33" s="1910"/>
      <c r="K33" s="2280"/>
      <c r="L33" s="2280"/>
    </row>
  </sheetData>
  <mergeCells count="62">
    <mergeCell ref="A1:Y1"/>
    <mergeCell ref="A2:Y2"/>
    <mergeCell ref="T3:Y3"/>
    <mergeCell ref="A4:A5"/>
    <mergeCell ref="B4:B5"/>
    <mergeCell ref="C4:D4"/>
    <mergeCell ref="E4:F4"/>
    <mergeCell ref="G4:H4"/>
    <mergeCell ref="I4:J4"/>
    <mergeCell ref="K4:L4"/>
    <mergeCell ref="Y4:Y5"/>
    <mergeCell ref="M4:N4"/>
    <mergeCell ref="O4:P4"/>
    <mergeCell ref="Q4:R4"/>
    <mergeCell ref="S4:T4"/>
    <mergeCell ref="U4:V4"/>
    <mergeCell ref="W4:X4"/>
    <mergeCell ref="B16:C16"/>
    <mergeCell ref="Q16:R16"/>
    <mergeCell ref="T16:U16"/>
    <mergeCell ref="V16:X16"/>
    <mergeCell ref="A12:B12"/>
    <mergeCell ref="B14:C14"/>
    <mergeCell ref="Q14:R14"/>
    <mergeCell ref="T14:T15"/>
    <mergeCell ref="V14:X14"/>
    <mergeCell ref="B15:C15"/>
    <mergeCell ref="Q15:R15"/>
    <mergeCell ref="V15:X15"/>
    <mergeCell ref="B17:C17"/>
    <mergeCell ref="Q17:R17"/>
    <mergeCell ref="T17:U17"/>
    <mergeCell ref="V17:X17"/>
    <mergeCell ref="B18:C18"/>
    <mergeCell ref="Q18:R18"/>
    <mergeCell ref="T18:U18"/>
    <mergeCell ref="V18:X18"/>
    <mergeCell ref="Y18:Y24"/>
    <mergeCell ref="B19:C19"/>
    <mergeCell ref="Q19:R19"/>
    <mergeCell ref="T19:T20"/>
    <mergeCell ref="V19:X19"/>
    <mergeCell ref="B20:C20"/>
    <mergeCell ref="B22:B24"/>
    <mergeCell ref="C22:C23"/>
    <mergeCell ref="D22:D23"/>
    <mergeCell ref="E22:E23"/>
    <mergeCell ref="F22:F23"/>
    <mergeCell ref="Q20:R20"/>
    <mergeCell ref="V20:X20"/>
    <mergeCell ref="B21:C21"/>
    <mergeCell ref="T21:U21"/>
    <mergeCell ref="V21:X21"/>
    <mergeCell ref="I32:J32"/>
    <mergeCell ref="K32:L32"/>
    <mergeCell ref="K33:L33"/>
    <mergeCell ref="T22:T23"/>
    <mergeCell ref="V22:X22"/>
    <mergeCell ref="V23:X23"/>
    <mergeCell ref="T24:T25"/>
    <mergeCell ref="V24:X24"/>
    <mergeCell ref="V25:X25"/>
  </mergeCells>
  <pageMargins left="0.15748031496063" right="0.15748031496063" top="0" bottom="0" header="0" footer="0"/>
  <pageSetup paperSize="9" scale="46" orientation="landscape" r:id="rId1"/>
</worksheet>
</file>

<file path=xl/worksheets/sheet30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3609530-F0CB-475A-BDA9-37DE84EE934C}">
  <sheetPr>
    <pageSetUpPr fitToPage="1"/>
  </sheetPr>
  <dimension ref="A1:Y33"/>
  <sheetViews>
    <sheetView topLeftCell="A10" zoomScale="70" zoomScaleNormal="70" zoomScaleSheetLayoutView="100" zoomScalePageLayoutView="68" workbookViewId="0">
      <selection activeCell="J25" sqref="J25"/>
    </sheetView>
  </sheetViews>
  <sheetFormatPr defaultColWidth="9.140625" defaultRowHeight="15" x14ac:dyDescent="0.25"/>
  <cols>
    <col min="1" max="1" width="18.28515625" style="14" customWidth="1"/>
    <col min="2" max="2" width="10.7109375" style="14" customWidth="1"/>
    <col min="3" max="3" width="12.28515625" style="14" customWidth="1"/>
    <col min="4" max="4" width="13.140625" style="14" bestFit="1" customWidth="1"/>
    <col min="5" max="5" width="12" style="14" customWidth="1"/>
    <col min="6" max="6" width="14" style="14" bestFit="1" customWidth="1"/>
    <col min="7" max="7" width="16" style="14" bestFit="1" customWidth="1"/>
    <col min="8" max="8" width="10.140625" style="14" bestFit="1" customWidth="1"/>
    <col min="9" max="9" width="10.5703125" style="14" bestFit="1" customWidth="1"/>
    <col min="10" max="10" width="10.5703125" style="14" customWidth="1"/>
    <col min="11" max="11" width="10.28515625" style="14" bestFit="1" customWidth="1"/>
    <col min="12" max="12" width="10.42578125" style="14" bestFit="1" customWidth="1"/>
    <col min="13" max="14" width="12" style="14" bestFit="1" customWidth="1"/>
    <col min="15" max="15" width="11" style="14" customWidth="1"/>
    <col min="16" max="16" width="12.85546875" style="14" bestFit="1" customWidth="1"/>
    <col min="17" max="18" width="9.42578125" style="14" customWidth="1"/>
    <col min="19" max="19" width="13.7109375" style="14" customWidth="1"/>
    <col min="20" max="20" width="12.140625" style="14" customWidth="1"/>
    <col min="21" max="21" width="21.7109375" style="14" customWidth="1"/>
    <col min="22" max="22" width="9.85546875" style="14" customWidth="1"/>
    <col min="23" max="23" width="10.140625" style="14" bestFit="1" customWidth="1"/>
    <col min="24" max="24" width="10.28515625" style="14" customWidth="1"/>
    <col min="25" max="25" width="15.7109375" style="14" customWidth="1"/>
    <col min="26" max="16384" width="9.140625" style="14"/>
  </cols>
  <sheetData>
    <row r="1" spans="1:25" ht="46.15" customHeight="1" x14ac:dyDescent="0.25">
      <c r="A1" s="2240" t="s">
        <v>148</v>
      </c>
      <c r="B1" s="2240"/>
      <c r="C1" s="2240"/>
      <c r="D1" s="2240"/>
      <c r="E1" s="2240"/>
      <c r="F1" s="2240"/>
      <c r="G1" s="2240"/>
      <c r="H1" s="2240"/>
      <c r="I1" s="2240"/>
      <c r="J1" s="2240"/>
      <c r="K1" s="2240"/>
      <c r="L1" s="2240"/>
      <c r="M1" s="2240"/>
      <c r="N1" s="2240"/>
      <c r="O1" s="2240"/>
      <c r="P1" s="2240"/>
      <c r="Q1" s="2240"/>
      <c r="R1" s="2240"/>
      <c r="S1" s="2240"/>
      <c r="T1" s="2240"/>
      <c r="U1" s="2240"/>
      <c r="V1" s="2240"/>
      <c r="W1" s="2240"/>
      <c r="X1" s="2240"/>
      <c r="Y1" s="2240"/>
    </row>
    <row r="2" spans="1:25" ht="21.6" customHeight="1" x14ac:dyDescent="0.25">
      <c r="A2" s="2241" t="s">
        <v>383</v>
      </c>
      <c r="B2" s="2241"/>
      <c r="C2" s="2241"/>
      <c r="D2" s="2241"/>
      <c r="E2" s="2241"/>
      <c r="F2" s="2241"/>
      <c r="G2" s="2241"/>
      <c r="H2" s="2241"/>
      <c r="I2" s="2241"/>
      <c r="J2" s="2241"/>
      <c r="K2" s="2241"/>
      <c r="L2" s="2241"/>
      <c r="M2" s="2241"/>
      <c r="N2" s="2241"/>
      <c r="O2" s="2241"/>
      <c r="P2" s="2241"/>
      <c r="Q2" s="2241"/>
      <c r="R2" s="2241"/>
      <c r="S2" s="2241"/>
      <c r="T2" s="2241"/>
      <c r="U2" s="2241"/>
      <c r="V2" s="2241"/>
      <c r="W2" s="2241"/>
      <c r="X2" s="2241"/>
      <c r="Y2" s="2241"/>
    </row>
    <row r="3" spans="1:25" ht="21" customHeight="1" x14ac:dyDescent="0.25">
      <c r="A3" s="1905"/>
      <c r="B3" s="1905"/>
      <c r="C3" s="1905"/>
      <c r="D3" s="1905"/>
      <c r="E3" s="1905"/>
      <c r="F3" s="1905"/>
      <c r="G3" s="1905"/>
      <c r="H3" s="1905"/>
      <c r="I3" s="1905"/>
      <c r="J3" s="1905"/>
      <c r="K3" s="1905"/>
      <c r="L3" s="1905"/>
      <c r="M3" s="1905"/>
      <c r="N3" s="1905"/>
      <c r="O3" s="1905"/>
      <c r="P3" s="1905"/>
      <c r="Q3" s="1905"/>
      <c r="R3" s="1905"/>
      <c r="S3" s="1905"/>
      <c r="T3" s="2242" t="s">
        <v>557</v>
      </c>
      <c r="U3" s="2242"/>
      <c r="V3" s="2242"/>
      <c r="W3" s="2242"/>
      <c r="X3" s="2242"/>
      <c r="Y3" s="2242"/>
    </row>
    <row r="4" spans="1:25" s="1905" customFormat="1" ht="18" customHeight="1" x14ac:dyDescent="0.25">
      <c r="A4" s="2243" t="s">
        <v>25</v>
      </c>
      <c r="B4" s="2243" t="s">
        <v>26</v>
      </c>
      <c r="C4" s="2244" t="s">
        <v>27</v>
      </c>
      <c r="D4" s="2244"/>
      <c r="E4" s="2244" t="s">
        <v>544</v>
      </c>
      <c r="F4" s="2244"/>
      <c r="G4" s="2244" t="s">
        <v>65</v>
      </c>
      <c r="H4" s="2244"/>
      <c r="I4" s="2244" t="s">
        <v>29</v>
      </c>
      <c r="J4" s="2244"/>
      <c r="K4" s="2245" t="s">
        <v>14</v>
      </c>
      <c r="L4" s="2246"/>
      <c r="M4" s="2245" t="s">
        <v>429</v>
      </c>
      <c r="N4" s="2246"/>
      <c r="O4" s="2245" t="s">
        <v>441</v>
      </c>
      <c r="P4" s="2246"/>
      <c r="Q4" s="2245" t="s">
        <v>114</v>
      </c>
      <c r="R4" s="2246"/>
      <c r="S4" s="2244" t="s">
        <v>35</v>
      </c>
      <c r="T4" s="2244"/>
      <c r="U4" s="2245" t="s">
        <v>17</v>
      </c>
      <c r="V4" s="2246"/>
      <c r="W4" s="2247" t="s">
        <v>36</v>
      </c>
      <c r="X4" s="2248"/>
      <c r="Y4" s="2238" t="s">
        <v>30</v>
      </c>
    </row>
    <row r="5" spans="1:25" s="1905" customFormat="1" ht="25.5" customHeight="1" x14ac:dyDescent="0.25">
      <c r="A5" s="2243"/>
      <c r="B5" s="2243"/>
      <c r="C5" s="1904" t="s">
        <v>42</v>
      </c>
      <c r="D5" s="1904" t="s">
        <v>43</v>
      </c>
      <c r="E5" s="1904" t="s">
        <v>42</v>
      </c>
      <c r="F5" s="1904" t="s">
        <v>43</v>
      </c>
      <c r="G5" s="1904" t="s">
        <v>42</v>
      </c>
      <c r="H5" s="1904" t="s">
        <v>43</v>
      </c>
      <c r="I5" s="1904" t="s">
        <v>42</v>
      </c>
      <c r="J5" s="1904" t="s">
        <v>43</v>
      </c>
      <c r="K5" s="1904" t="s">
        <v>42</v>
      </c>
      <c r="L5" s="1904" t="s">
        <v>43</v>
      </c>
      <c r="M5" s="1904" t="s">
        <v>42</v>
      </c>
      <c r="N5" s="1904" t="s">
        <v>43</v>
      </c>
      <c r="O5" s="1904" t="s">
        <v>42</v>
      </c>
      <c r="P5" s="1904" t="s">
        <v>43</v>
      </c>
      <c r="Q5" s="1904" t="s">
        <v>42</v>
      </c>
      <c r="R5" s="1904" t="s">
        <v>43</v>
      </c>
      <c r="S5" s="33" t="s">
        <v>42</v>
      </c>
      <c r="T5" s="33" t="s">
        <v>43</v>
      </c>
      <c r="U5" s="30" t="s">
        <v>42</v>
      </c>
      <c r="V5" s="30" t="s">
        <v>43</v>
      </c>
      <c r="W5" s="30" t="s">
        <v>42</v>
      </c>
      <c r="X5" s="30" t="s">
        <v>43</v>
      </c>
      <c r="Y5" s="2239"/>
    </row>
    <row r="6" spans="1:25" ht="34.5" customHeight="1" x14ac:dyDescent="0.25">
      <c r="A6" s="12">
        <v>1409935200</v>
      </c>
      <c r="B6" s="1903" t="s">
        <v>71</v>
      </c>
      <c r="C6" s="1901">
        <v>53887</v>
      </c>
      <c r="D6" s="1900">
        <f t="shared" ref="D6:D11" si="0">0.9725*C6</f>
        <v>52405.107499999998</v>
      </c>
      <c r="E6" s="1901"/>
      <c r="F6" s="1900">
        <f>19.68*E6</f>
        <v>0</v>
      </c>
      <c r="G6" s="1901">
        <v>30</v>
      </c>
      <c r="H6" s="1901">
        <f>28.26*G6</f>
        <v>847.80000000000007</v>
      </c>
      <c r="I6" s="1901">
        <v>610</v>
      </c>
      <c r="J6" s="1901">
        <f>18.82*I6</f>
        <v>11480.2</v>
      </c>
      <c r="K6" s="1901"/>
      <c r="L6" s="1900">
        <f>28.2368*K6</f>
        <v>0</v>
      </c>
      <c r="M6" s="1901"/>
      <c r="N6" s="1900">
        <f>M6*47.6525</f>
        <v>0</v>
      </c>
      <c r="O6" s="1901"/>
      <c r="P6" s="1900">
        <f>O6*8.9</f>
        <v>0</v>
      </c>
      <c r="Q6" s="1900"/>
      <c r="R6" s="1900">
        <f>241*Q6</f>
        <v>0</v>
      </c>
      <c r="S6" s="1901"/>
      <c r="T6" s="1901">
        <f>470*S6</f>
        <v>0</v>
      </c>
      <c r="U6" s="1901"/>
      <c r="V6" s="1901">
        <f>332*U6</f>
        <v>0</v>
      </c>
      <c r="W6" s="1901"/>
      <c r="X6" s="19">
        <f>W6*100</f>
        <v>0</v>
      </c>
      <c r="Y6" s="20">
        <f t="shared" ref="Y6:Y12" si="1">D6+F6+H6+J6+L6+N6+P6+R6+T6+V6+X6</f>
        <v>64733.107499999998</v>
      </c>
    </row>
    <row r="7" spans="1:25" ht="36.75" customHeight="1" x14ac:dyDescent="0.25">
      <c r="A7" s="12">
        <v>1984225578</v>
      </c>
      <c r="B7" s="1903" t="s">
        <v>509</v>
      </c>
      <c r="C7" s="1901">
        <v>85374</v>
      </c>
      <c r="D7" s="1900">
        <f t="shared" si="0"/>
        <v>83026.214999999997</v>
      </c>
      <c r="E7" s="1901">
        <v>180</v>
      </c>
      <c r="F7" s="1900">
        <f t="shared" ref="F7:F11" si="2">19.68*E7</f>
        <v>3542.4</v>
      </c>
      <c r="G7" s="1901"/>
      <c r="H7" s="1901">
        <f t="shared" ref="H7:H11" si="3">28.26*G7</f>
        <v>0</v>
      </c>
      <c r="I7" s="1901">
        <v>380</v>
      </c>
      <c r="J7" s="1901">
        <f t="shared" ref="J7:J11" si="4">18.82*I7</f>
        <v>7151.6</v>
      </c>
      <c r="K7" s="1901"/>
      <c r="L7" s="1900">
        <f t="shared" ref="L7:L11" si="5">28.2368*K7</f>
        <v>0</v>
      </c>
      <c r="M7" s="1901"/>
      <c r="N7" s="1900">
        <f t="shared" ref="N7:N11" si="6">M7*47.6525</f>
        <v>0</v>
      </c>
      <c r="O7" s="1901"/>
      <c r="P7" s="1900">
        <f t="shared" ref="P7:P11" si="7">O7*8.9</f>
        <v>0</v>
      </c>
      <c r="Q7" s="1900"/>
      <c r="R7" s="1900">
        <f t="shared" ref="R7:R11" si="8">241*Q7</f>
        <v>0</v>
      </c>
      <c r="S7" s="1901"/>
      <c r="T7" s="1901">
        <f t="shared" ref="T7:T9" si="9">241*S7</f>
        <v>0</v>
      </c>
      <c r="U7" s="1901"/>
      <c r="V7" s="1901">
        <f t="shared" ref="V7:V11" si="10">332*U7</f>
        <v>0</v>
      </c>
      <c r="W7" s="1901"/>
      <c r="X7" s="19">
        <f t="shared" ref="X7:X11" si="11">W7*100</f>
        <v>0</v>
      </c>
      <c r="Y7" s="20">
        <f t="shared" si="1"/>
        <v>93720.214999999997</v>
      </c>
    </row>
    <row r="8" spans="1:25" ht="35.25" customHeight="1" x14ac:dyDescent="0.25">
      <c r="A8" s="12">
        <v>1967020280</v>
      </c>
      <c r="B8" s="1903" t="s">
        <v>427</v>
      </c>
      <c r="C8" s="1901">
        <v>58428</v>
      </c>
      <c r="D8" s="1900">
        <f t="shared" si="0"/>
        <v>56821.23</v>
      </c>
      <c r="E8" s="1901"/>
      <c r="F8" s="1900">
        <f t="shared" si="2"/>
        <v>0</v>
      </c>
      <c r="G8" s="1901"/>
      <c r="H8" s="1901">
        <f t="shared" si="3"/>
        <v>0</v>
      </c>
      <c r="I8" s="1901">
        <v>820</v>
      </c>
      <c r="J8" s="1901">
        <f t="shared" si="4"/>
        <v>15432.4</v>
      </c>
      <c r="K8" s="1901"/>
      <c r="L8" s="1900">
        <f t="shared" si="5"/>
        <v>0</v>
      </c>
      <c r="M8" s="1901"/>
      <c r="N8" s="1900">
        <f t="shared" si="6"/>
        <v>0</v>
      </c>
      <c r="O8" s="1901"/>
      <c r="P8" s="1900">
        <f t="shared" si="7"/>
        <v>0</v>
      </c>
      <c r="Q8" s="1900"/>
      <c r="R8" s="1900">
        <f t="shared" si="8"/>
        <v>0</v>
      </c>
      <c r="S8" s="1901"/>
      <c r="T8" s="1901">
        <f t="shared" si="9"/>
        <v>0</v>
      </c>
      <c r="U8" s="1901"/>
      <c r="V8" s="1901">
        <f t="shared" si="10"/>
        <v>0</v>
      </c>
      <c r="W8" s="1901"/>
      <c r="X8" s="19">
        <f t="shared" si="11"/>
        <v>0</v>
      </c>
      <c r="Y8" s="20">
        <f t="shared" si="1"/>
        <v>72253.63</v>
      </c>
    </row>
    <row r="9" spans="1:25" ht="38.25" customHeight="1" x14ac:dyDescent="0.25">
      <c r="A9" s="12">
        <v>1984225580</v>
      </c>
      <c r="B9" s="1903" t="s">
        <v>75</v>
      </c>
      <c r="C9" s="1901">
        <v>63422</v>
      </c>
      <c r="D9" s="1900">
        <f t="shared" si="0"/>
        <v>61677.895000000004</v>
      </c>
      <c r="E9" s="1901"/>
      <c r="F9" s="1900">
        <f t="shared" si="2"/>
        <v>0</v>
      </c>
      <c r="G9" s="1901"/>
      <c r="H9" s="1901">
        <f t="shared" si="3"/>
        <v>0</v>
      </c>
      <c r="I9" s="1901">
        <v>320</v>
      </c>
      <c r="J9" s="1901">
        <f t="shared" si="4"/>
        <v>6022.4</v>
      </c>
      <c r="K9" s="1901"/>
      <c r="L9" s="1900">
        <f t="shared" si="5"/>
        <v>0</v>
      </c>
      <c r="M9" s="1901"/>
      <c r="N9" s="1900">
        <f t="shared" si="6"/>
        <v>0</v>
      </c>
      <c r="O9" s="1901"/>
      <c r="P9" s="1900">
        <f t="shared" si="7"/>
        <v>0</v>
      </c>
      <c r="Q9" s="1900"/>
      <c r="R9" s="1900">
        <f t="shared" si="8"/>
        <v>0</v>
      </c>
      <c r="S9" s="1901"/>
      <c r="T9" s="1901">
        <f t="shared" si="9"/>
        <v>0</v>
      </c>
      <c r="U9" s="1901"/>
      <c r="V9" s="1901">
        <f t="shared" si="10"/>
        <v>0</v>
      </c>
      <c r="W9" s="1901"/>
      <c r="X9" s="19">
        <f t="shared" si="11"/>
        <v>0</v>
      </c>
      <c r="Y9" s="20">
        <f t="shared" si="1"/>
        <v>67700.294999999998</v>
      </c>
    </row>
    <row r="10" spans="1:25" ht="35.25" customHeight="1" x14ac:dyDescent="0.25">
      <c r="A10" s="12">
        <v>1409935199</v>
      </c>
      <c r="C10" s="1901"/>
      <c r="D10" s="1900">
        <f t="shared" si="0"/>
        <v>0</v>
      </c>
      <c r="E10" s="1901"/>
      <c r="F10" s="1900">
        <f t="shared" si="2"/>
        <v>0</v>
      </c>
      <c r="G10" s="1901"/>
      <c r="H10" s="1901">
        <f t="shared" si="3"/>
        <v>0</v>
      </c>
      <c r="I10" s="1901"/>
      <c r="J10" s="1901">
        <f t="shared" si="4"/>
        <v>0</v>
      </c>
      <c r="K10" s="1901"/>
      <c r="L10" s="1900">
        <f t="shared" si="5"/>
        <v>0</v>
      </c>
      <c r="M10" s="1901"/>
      <c r="N10" s="1900">
        <f t="shared" si="6"/>
        <v>0</v>
      </c>
      <c r="O10" s="1901"/>
      <c r="P10" s="1900">
        <f t="shared" si="7"/>
        <v>0</v>
      </c>
      <c r="Q10" s="1900"/>
      <c r="R10" s="1900">
        <f t="shared" si="8"/>
        <v>0</v>
      </c>
      <c r="S10" s="1901"/>
      <c r="T10" s="1901">
        <f>470*S10</f>
        <v>0</v>
      </c>
      <c r="U10" s="1901"/>
      <c r="V10" s="1901">
        <f t="shared" si="10"/>
        <v>0</v>
      </c>
      <c r="W10" s="1901"/>
      <c r="X10" s="19">
        <f t="shared" si="11"/>
        <v>0</v>
      </c>
      <c r="Y10" s="20">
        <f t="shared" si="1"/>
        <v>0</v>
      </c>
    </row>
    <row r="11" spans="1:25" ht="37.5" customHeight="1" x14ac:dyDescent="0.25">
      <c r="A11" s="12"/>
      <c r="B11" s="1902"/>
      <c r="C11" s="1901"/>
      <c r="D11" s="1900">
        <f t="shared" si="0"/>
        <v>0</v>
      </c>
      <c r="E11" s="1901"/>
      <c r="F11" s="1900">
        <f t="shared" si="2"/>
        <v>0</v>
      </c>
      <c r="G11" s="1901"/>
      <c r="H11" s="1901">
        <f t="shared" si="3"/>
        <v>0</v>
      </c>
      <c r="I11" s="1901"/>
      <c r="J11" s="1901">
        <f t="shared" si="4"/>
        <v>0</v>
      </c>
      <c r="K11" s="1901"/>
      <c r="L11" s="1900">
        <f t="shared" si="5"/>
        <v>0</v>
      </c>
      <c r="M11" s="1901"/>
      <c r="N11" s="1900">
        <f t="shared" si="6"/>
        <v>0</v>
      </c>
      <c r="O11" s="1901"/>
      <c r="P11" s="1900">
        <f t="shared" si="7"/>
        <v>0</v>
      </c>
      <c r="Q11" s="1900"/>
      <c r="R11" s="1900">
        <f t="shared" si="8"/>
        <v>0</v>
      </c>
      <c r="S11" s="1901"/>
      <c r="T11" s="1901">
        <f>341*S11</f>
        <v>0</v>
      </c>
      <c r="U11" s="1901"/>
      <c r="V11" s="1901">
        <f t="shared" si="10"/>
        <v>0</v>
      </c>
      <c r="W11" s="1901"/>
      <c r="X11" s="19">
        <f t="shared" si="11"/>
        <v>0</v>
      </c>
      <c r="Y11" s="20">
        <f t="shared" si="1"/>
        <v>0</v>
      </c>
    </row>
    <row r="12" spans="1:25" ht="29.25" customHeight="1" x14ac:dyDescent="0.25">
      <c r="A12" s="2235" t="s">
        <v>31</v>
      </c>
      <c r="B12" s="2235"/>
      <c r="C12" s="18">
        <f t="shared" ref="C12:X12" si="12">SUM(C6:C11)</f>
        <v>261111</v>
      </c>
      <c r="D12" s="18">
        <f t="shared" si="12"/>
        <v>253930.44750000001</v>
      </c>
      <c r="E12" s="18">
        <f t="shared" si="12"/>
        <v>180</v>
      </c>
      <c r="F12" s="18">
        <f t="shared" si="12"/>
        <v>3542.4</v>
      </c>
      <c r="G12" s="18">
        <f t="shared" si="12"/>
        <v>30</v>
      </c>
      <c r="H12" s="18">
        <f t="shared" si="12"/>
        <v>847.80000000000007</v>
      </c>
      <c r="I12" s="18">
        <f t="shared" si="12"/>
        <v>2130</v>
      </c>
      <c r="J12" s="18">
        <f t="shared" si="12"/>
        <v>40086.600000000006</v>
      </c>
      <c r="K12" s="18">
        <f t="shared" si="12"/>
        <v>0</v>
      </c>
      <c r="L12" s="18">
        <f t="shared" si="12"/>
        <v>0</v>
      </c>
      <c r="M12" s="18">
        <f t="shared" si="12"/>
        <v>0</v>
      </c>
      <c r="N12" s="23">
        <f t="shared" si="12"/>
        <v>0</v>
      </c>
      <c r="O12" s="18">
        <f t="shared" si="12"/>
        <v>0</v>
      </c>
      <c r="P12" s="23">
        <f t="shared" si="12"/>
        <v>0</v>
      </c>
      <c r="Q12" s="23">
        <f t="shared" si="12"/>
        <v>0</v>
      </c>
      <c r="R12" s="23">
        <f>SUM(R6:R11)</f>
        <v>0</v>
      </c>
      <c r="S12" s="23">
        <f>SUM(S6:S11)</f>
        <v>0</v>
      </c>
      <c r="T12" s="18">
        <f t="shared" si="12"/>
        <v>0</v>
      </c>
      <c r="U12" s="18">
        <f t="shared" si="12"/>
        <v>0</v>
      </c>
      <c r="V12" s="18">
        <f t="shared" si="12"/>
        <v>0</v>
      </c>
      <c r="W12" s="18">
        <f t="shared" si="12"/>
        <v>0</v>
      </c>
      <c r="X12" s="18">
        <f t="shared" si="12"/>
        <v>0</v>
      </c>
      <c r="Y12" s="20">
        <f t="shared" si="1"/>
        <v>298407.2475</v>
      </c>
    </row>
    <row r="14" spans="1:25" ht="43.5" customHeight="1" x14ac:dyDescent="0.25">
      <c r="A14" s="30" t="s">
        <v>32</v>
      </c>
      <c r="B14" s="2236" t="s">
        <v>27</v>
      </c>
      <c r="C14" s="2236"/>
      <c r="D14" s="30" t="s">
        <v>543</v>
      </c>
      <c r="E14" s="30" t="s">
        <v>65</v>
      </c>
      <c r="F14" s="30" t="s">
        <v>34</v>
      </c>
      <c r="G14" s="30" t="s">
        <v>14</v>
      </c>
      <c r="H14" s="469" t="s">
        <v>173</v>
      </c>
      <c r="I14" s="30" t="s">
        <v>17</v>
      </c>
      <c r="J14" s="1909" t="s">
        <v>174</v>
      </c>
      <c r="K14" s="30" t="s">
        <v>36</v>
      </c>
      <c r="L14" s="1909" t="s">
        <v>403</v>
      </c>
      <c r="M14" s="1909" t="s">
        <v>549</v>
      </c>
      <c r="N14" s="30" t="s">
        <v>442</v>
      </c>
      <c r="O14" s="1909" t="s">
        <v>114</v>
      </c>
      <c r="P14" s="30" t="s">
        <v>70</v>
      </c>
      <c r="Q14" s="2300" t="s">
        <v>479</v>
      </c>
      <c r="R14" s="2301"/>
      <c r="S14" s="1909" t="s">
        <v>401</v>
      </c>
      <c r="T14" s="2235" t="s">
        <v>46</v>
      </c>
      <c r="U14" s="1903" t="s">
        <v>176</v>
      </c>
      <c r="V14" s="2260">
        <v>38327</v>
      </c>
      <c r="W14" s="2268"/>
      <c r="X14" s="2261"/>
    </row>
    <row r="15" spans="1:25" ht="22.5" customHeight="1" x14ac:dyDescent="0.25">
      <c r="A15" s="100" t="s">
        <v>38</v>
      </c>
      <c r="B15" s="2260">
        <v>458388</v>
      </c>
      <c r="C15" s="2261"/>
      <c r="D15" s="1906">
        <v>500</v>
      </c>
      <c r="E15" s="1906">
        <v>30</v>
      </c>
      <c r="F15" s="1906">
        <v>7620</v>
      </c>
      <c r="G15" s="1906">
        <v>0</v>
      </c>
      <c r="H15" s="1906">
        <v>38</v>
      </c>
      <c r="I15" s="1906">
        <v>2</v>
      </c>
      <c r="J15" s="1906">
        <v>4</v>
      </c>
      <c r="K15" s="1906">
        <v>73</v>
      </c>
      <c r="L15" s="1906">
        <v>0</v>
      </c>
      <c r="M15" s="1906">
        <v>2</v>
      </c>
      <c r="N15" s="1906">
        <v>0</v>
      </c>
      <c r="O15" s="1906">
        <v>0</v>
      </c>
      <c r="P15" s="1906">
        <v>100</v>
      </c>
      <c r="Q15" s="2260">
        <v>10</v>
      </c>
      <c r="R15" s="2261"/>
      <c r="S15" s="1903">
        <v>2</v>
      </c>
      <c r="T15" s="2235"/>
      <c r="U15" s="1903" t="s">
        <v>64</v>
      </c>
      <c r="V15" s="2262">
        <v>13524</v>
      </c>
      <c r="W15" s="2262"/>
      <c r="X15" s="2262"/>
    </row>
    <row r="16" spans="1:25" ht="24.75" customHeight="1" x14ac:dyDescent="0.25">
      <c r="A16" s="100" t="s">
        <v>39</v>
      </c>
      <c r="B16" s="2260">
        <v>311106</v>
      </c>
      <c r="C16" s="2261"/>
      <c r="D16" s="1906"/>
      <c r="E16" s="1906">
        <v>500</v>
      </c>
      <c r="F16" s="1906">
        <v>2500</v>
      </c>
      <c r="G16" s="1906"/>
      <c r="H16" s="1906"/>
      <c r="I16" s="1906"/>
      <c r="J16" s="1906"/>
      <c r="K16" s="1906"/>
      <c r="L16" s="1906"/>
      <c r="M16" s="1906"/>
      <c r="N16" s="1906"/>
      <c r="O16" s="1906"/>
      <c r="P16" s="1906"/>
      <c r="Q16" s="2262"/>
      <c r="R16" s="2262"/>
      <c r="S16" s="1906"/>
      <c r="T16" s="2254" t="s">
        <v>55</v>
      </c>
      <c r="U16" s="2254"/>
      <c r="V16" s="2267">
        <f>Y12</f>
        <v>298407.2475</v>
      </c>
      <c r="W16" s="2267"/>
      <c r="X16" s="2262"/>
    </row>
    <row r="17" spans="1:25" ht="28.5" customHeight="1" x14ac:dyDescent="0.25">
      <c r="A17" s="101" t="s">
        <v>44</v>
      </c>
      <c r="B17" s="2260"/>
      <c r="C17" s="2261"/>
      <c r="D17" s="1906"/>
      <c r="E17" s="1906"/>
      <c r="F17" s="1906"/>
      <c r="G17" s="1906"/>
      <c r="H17" s="1906"/>
      <c r="I17" s="1906"/>
      <c r="J17" s="1906"/>
      <c r="K17" s="1906"/>
      <c r="L17" s="1906"/>
      <c r="M17" s="1906"/>
      <c r="N17" s="1906"/>
      <c r="O17" s="1906"/>
      <c r="P17" s="1906"/>
      <c r="Q17" s="2225"/>
      <c r="R17" s="2225"/>
      <c r="S17" s="1902"/>
      <c r="T17" s="2294" t="s">
        <v>521</v>
      </c>
      <c r="U17" s="2295"/>
      <c r="V17" s="2296"/>
      <c r="W17" s="2296"/>
      <c r="X17" s="2296"/>
    </row>
    <row r="18" spans="1:25" ht="27" customHeight="1" x14ac:dyDescent="0.25">
      <c r="A18" s="100" t="s">
        <v>40</v>
      </c>
      <c r="B18" s="2264">
        <f>C12</f>
        <v>261111</v>
      </c>
      <c r="C18" s="2261"/>
      <c r="D18" s="1908">
        <f>E12</f>
        <v>180</v>
      </c>
      <c r="E18" s="1908">
        <f>G12</f>
        <v>30</v>
      </c>
      <c r="F18" s="1908">
        <f>I12</f>
        <v>2130</v>
      </c>
      <c r="G18" s="1908">
        <f>K12</f>
        <v>0</v>
      </c>
      <c r="H18" s="1906"/>
      <c r="I18" s="1908">
        <f>U12</f>
        <v>0</v>
      </c>
      <c r="J18" s="1906"/>
      <c r="K18" s="1908">
        <f>W12</f>
        <v>0</v>
      </c>
      <c r="L18" s="1906"/>
      <c r="M18" s="1908"/>
      <c r="N18" s="1908">
        <f>O12</f>
        <v>0</v>
      </c>
      <c r="O18" s="1907">
        <f>Q12</f>
        <v>0</v>
      </c>
      <c r="P18" s="1908"/>
      <c r="Q18" s="2262"/>
      <c r="R18" s="2262"/>
      <c r="S18" s="1903"/>
      <c r="T18" s="2254" t="s">
        <v>57</v>
      </c>
      <c r="U18" s="2254"/>
      <c r="V18" s="2262">
        <v>820</v>
      </c>
      <c r="W18" s="2262"/>
      <c r="X18" s="2262"/>
      <c r="Y18" s="2269"/>
    </row>
    <row r="19" spans="1:25" ht="25.5" customHeight="1" x14ac:dyDescent="0.25">
      <c r="A19" s="100" t="s">
        <v>41</v>
      </c>
      <c r="B19" s="2260">
        <f>B15+B16+B17-B18</f>
        <v>508383</v>
      </c>
      <c r="C19" s="2261"/>
      <c r="D19" s="1906">
        <f>D15+D16+D17-D18</f>
        <v>320</v>
      </c>
      <c r="E19" s="1906">
        <f t="shared" ref="E19:N19" si="13">E15+E16+E17-E18</f>
        <v>500</v>
      </c>
      <c r="F19" s="1906">
        <f t="shared" si="13"/>
        <v>7990</v>
      </c>
      <c r="G19" s="1906">
        <f t="shared" si="13"/>
        <v>0</v>
      </c>
      <c r="H19" s="1906">
        <f t="shared" si="13"/>
        <v>38</v>
      </c>
      <c r="I19" s="1906">
        <f t="shared" si="13"/>
        <v>2</v>
      </c>
      <c r="J19" s="1906">
        <f t="shared" si="13"/>
        <v>4</v>
      </c>
      <c r="K19" s="1906">
        <f t="shared" si="13"/>
        <v>73</v>
      </c>
      <c r="L19" s="1906">
        <f t="shared" si="13"/>
        <v>0</v>
      </c>
      <c r="M19" s="1906">
        <f t="shared" si="13"/>
        <v>2</v>
      </c>
      <c r="N19" s="1906">
        <f t="shared" si="13"/>
        <v>0</v>
      </c>
      <c r="O19" s="1906">
        <f>O15+O16+O17-O18</f>
        <v>0</v>
      </c>
      <c r="P19" s="1906">
        <f t="shared" ref="P19:Q19" si="14">P15+P16+P17-P18</f>
        <v>100</v>
      </c>
      <c r="Q19" s="2260">
        <f t="shared" si="14"/>
        <v>10</v>
      </c>
      <c r="R19" s="2261"/>
      <c r="S19" s="1903">
        <f>S15+S16-S17-S18</f>
        <v>2</v>
      </c>
      <c r="T19" s="2256" t="s">
        <v>48</v>
      </c>
      <c r="U19" s="49" t="s">
        <v>58</v>
      </c>
      <c r="V19" s="2262">
        <v>160000</v>
      </c>
      <c r="W19" s="2262"/>
      <c r="X19" s="2262"/>
      <c r="Y19" s="2269"/>
    </row>
    <row r="20" spans="1:25" ht="23.25" customHeight="1" x14ac:dyDescent="0.25">
      <c r="A20" s="289" t="s">
        <v>187</v>
      </c>
      <c r="B20" s="2286">
        <f>B19*0.9625</f>
        <v>489318.63750000001</v>
      </c>
      <c r="C20" s="2287"/>
      <c r="D20" s="290">
        <f>D19*19.48</f>
        <v>6233.6</v>
      </c>
      <c r="E20" s="290">
        <f>27.97*E19</f>
        <v>13985</v>
      </c>
      <c r="F20" s="290">
        <f>18.63*F19</f>
        <v>148853.69999999998</v>
      </c>
      <c r="G20" s="290">
        <f>27.9468*G19</f>
        <v>0</v>
      </c>
      <c r="H20" s="290">
        <f>241*H19</f>
        <v>9158</v>
      </c>
      <c r="I20" s="290">
        <f>323*I19</f>
        <v>646</v>
      </c>
      <c r="J20" s="290">
        <f>241*J19</f>
        <v>964</v>
      </c>
      <c r="K20" s="290">
        <f>K19*100</f>
        <v>7300</v>
      </c>
      <c r="L20" s="290">
        <f>241*L19</f>
        <v>0</v>
      </c>
      <c r="M20" s="290">
        <f>470*M19</f>
        <v>940</v>
      </c>
      <c r="N20" s="290">
        <f>N19*8.81</f>
        <v>0</v>
      </c>
      <c r="O20" s="290">
        <f>241*O19</f>
        <v>0</v>
      </c>
      <c r="P20" s="290">
        <f>P19*48.2</f>
        <v>4820</v>
      </c>
      <c r="Q20" s="2286">
        <f>470*Q19</f>
        <v>4700</v>
      </c>
      <c r="R20" s="2287"/>
      <c r="S20" s="290">
        <f>341*S19</f>
        <v>682</v>
      </c>
      <c r="T20" s="2257"/>
      <c r="U20" s="49" t="s">
        <v>59</v>
      </c>
      <c r="V20" s="2262">
        <v>120000</v>
      </c>
      <c r="W20" s="2262"/>
      <c r="X20" s="2262"/>
      <c r="Y20" s="2269"/>
    </row>
    <row r="21" spans="1:25" ht="32.25" customHeight="1" x14ac:dyDescent="0.25">
      <c r="A21" s="291" t="s">
        <v>186</v>
      </c>
      <c r="B21" s="2302">
        <f>SUM(B20:S20)</f>
        <v>687600.9375</v>
      </c>
      <c r="C21" s="2302"/>
      <c r="T21" s="2294" t="s">
        <v>518</v>
      </c>
      <c r="U21" s="2295"/>
      <c r="V21" s="2297"/>
      <c r="W21" s="2298"/>
      <c r="X21" s="2299"/>
      <c r="Y21" s="2269"/>
    </row>
    <row r="22" spans="1:25" ht="35.25" customHeight="1" x14ac:dyDescent="0.25">
      <c r="A22" s="1911"/>
      <c r="B22" s="2288" t="s">
        <v>49</v>
      </c>
      <c r="C22" s="2291">
        <v>160000</v>
      </c>
      <c r="D22" s="2291">
        <v>160000</v>
      </c>
      <c r="E22" s="2291">
        <v>240000</v>
      </c>
      <c r="F22" s="2291">
        <f>C22-D22+E22</f>
        <v>240000</v>
      </c>
      <c r="T22" s="2251" t="s">
        <v>83</v>
      </c>
      <c r="U22" s="50" t="s">
        <v>60</v>
      </c>
      <c r="V22" s="2262">
        <v>296660</v>
      </c>
      <c r="W22" s="2262"/>
      <c r="X22" s="2262"/>
      <c r="Y22" s="2269"/>
    </row>
    <row r="23" spans="1:25" ht="39.75" customHeight="1" x14ac:dyDescent="0.25">
      <c r="B23" s="2289"/>
      <c r="C23" s="2292"/>
      <c r="D23" s="2292"/>
      <c r="E23" s="2292"/>
      <c r="F23" s="2292"/>
      <c r="T23" s="2252"/>
      <c r="U23" s="50" t="s">
        <v>61</v>
      </c>
      <c r="V23" s="2262">
        <v>280000</v>
      </c>
      <c r="W23" s="2262"/>
      <c r="X23" s="2262"/>
      <c r="Y23" s="2269"/>
    </row>
    <row r="24" spans="1:25" ht="48" customHeight="1" x14ac:dyDescent="0.25">
      <c r="B24" s="2290"/>
      <c r="C24" s="290" t="s">
        <v>46</v>
      </c>
      <c r="D24" s="290" t="s">
        <v>50</v>
      </c>
      <c r="E24" s="290" t="s">
        <v>51</v>
      </c>
      <c r="F24" s="290" t="s">
        <v>52</v>
      </c>
      <c r="T24" s="2235" t="s">
        <v>47</v>
      </c>
      <c r="U24" s="51" t="s">
        <v>62</v>
      </c>
      <c r="V24" s="2263">
        <f>V14+V16+V17-V18-V19-V20-V22+V23-V21</f>
        <v>39254.247499999998</v>
      </c>
      <c r="W24" s="2263"/>
      <c r="X24" s="2263"/>
      <c r="Y24" s="2269"/>
    </row>
    <row r="25" spans="1:25" ht="40.5" customHeight="1" x14ac:dyDescent="0.25">
      <c r="T25" s="2235"/>
      <c r="U25" s="51" t="s">
        <v>63</v>
      </c>
      <c r="V25" s="2262">
        <f>V15+V22-V23</f>
        <v>30184</v>
      </c>
      <c r="W25" s="2262"/>
      <c r="X25" s="2262"/>
    </row>
    <row r="26" spans="1:25" ht="36" customHeight="1" x14ac:dyDescent="0.25">
      <c r="K26" s="314"/>
    </row>
    <row r="28" spans="1:25" x14ac:dyDescent="0.25">
      <c r="J28" s="14" t="s">
        <v>139</v>
      </c>
    </row>
    <row r="32" spans="1:25" x14ac:dyDescent="0.25">
      <c r="I32" s="2280"/>
      <c r="J32" s="2280"/>
      <c r="K32" s="2280"/>
      <c r="L32" s="2280"/>
    </row>
    <row r="33" spans="9:12" x14ac:dyDescent="0.25">
      <c r="I33" s="1910"/>
      <c r="J33" s="1910"/>
      <c r="K33" s="2280"/>
      <c r="L33" s="2280"/>
    </row>
  </sheetData>
  <mergeCells count="62">
    <mergeCell ref="A1:Y1"/>
    <mergeCell ref="A2:Y2"/>
    <mergeCell ref="T3:Y3"/>
    <mergeCell ref="A4:A5"/>
    <mergeCell ref="B4:B5"/>
    <mergeCell ref="C4:D4"/>
    <mergeCell ref="E4:F4"/>
    <mergeCell ref="G4:H4"/>
    <mergeCell ref="I4:J4"/>
    <mergeCell ref="K4:L4"/>
    <mergeCell ref="Y4:Y5"/>
    <mergeCell ref="M4:N4"/>
    <mergeCell ref="O4:P4"/>
    <mergeCell ref="Q4:R4"/>
    <mergeCell ref="S4:T4"/>
    <mergeCell ref="U4:V4"/>
    <mergeCell ref="W4:X4"/>
    <mergeCell ref="B16:C16"/>
    <mergeCell ref="Q16:R16"/>
    <mergeCell ref="T16:U16"/>
    <mergeCell ref="V16:X16"/>
    <mergeCell ref="A12:B12"/>
    <mergeCell ref="B14:C14"/>
    <mergeCell ref="Q14:R14"/>
    <mergeCell ref="T14:T15"/>
    <mergeCell ref="V14:X14"/>
    <mergeCell ref="B15:C15"/>
    <mergeCell ref="Q15:R15"/>
    <mergeCell ref="V15:X15"/>
    <mergeCell ref="B17:C17"/>
    <mergeCell ref="Q17:R17"/>
    <mergeCell ref="T17:U17"/>
    <mergeCell ref="V17:X17"/>
    <mergeCell ref="B18:C18"/>
    <mergeCell ref="Q18:R18"/>
    <mergeCell ref="T18:U18"/>
    <mergeCell ref="V18:X18"/>
    <mergeCell ref="Y18:Y24"/>
    <mergeCell ref="B19:C19"/>
    <mergeCell ref="Q19:R19"/>
    <mergeCell ref="T19:T20"/>
    <mergeCell ref="V19:X19"/>
    <mergeCell ref="B20:C20"/>
    <mergeCell ref="B22:B24"/>
    <mergeCell ref="C22:C23"/>
    <mergeCell ref="D22:D23"/>
    <mergeCell ref="E22:E23"/>
    <mergeCell ref="F22:F23"/>
    <mergeCell ref="Q20:R20"/>
    <mergeCell ref="V20:X20"/>
    <mergeCell ref="B21:C21"/>
    <mergeCell ref="T21:U21"/>
    <mergeCell ref="V21:X21"/>
    <mergeCell ref="I32:J32"/>
    <mergeCell ref="K32:L32"/>
    <mergeCell ref="K33:L33"/>
    <mergeCell ref="T22:T23"/>
    <mergeCell ref="V22:X22"/>
    <mergeCell ref="V23:X23"/>
    <mergeCell ref="T24:T25"/>
    <mergeCell ref="V24:X24"/>
    <mergeCell ref="V25:X25"/>
  </mergeCells>
  <pageMargins left="0.15748031496063" right="0.15748031496063" top="0" bottom="0" header="0" footer="0"/>
  <pageSetup paperSize="9" scale="46" orientation="landscape" r:id="rId1"/>
</worksheet>
</file>

<file path=xl/worksheets/sheet30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9EA738B-7C55-40A0-83D6-EAB7FF30701E}">
  <sheetPr>
    <pageSetUpPr fitToPage="1"/>
  </sheetPr>
  <dimension ref="A1:Y33"/>
  <sheetViews>
    <sheetView topLeftCell="D8" zoomScale="70" zoomScaleNormal="70" zoomScaleSheetLayoutView="100" zoomScalePageLayoutView="68" workbookViewId="0">
      <selection activeCell="N22" sqref="N22"/>
    </sheetView>
  </sheetViews>
  <sheetFormatPr defaultColWidth="9.140625" defaultRowHeight="15" x14ac:dyDescent="0.25"/>
  <cols>
    <col min="1" max="1" width="18.28515625" style="14" customWidth="1"/>
    <col min="2" max="2" width="10.7109375" style="14" customWidth="1"/>
    <col min="3" max="3" width="12.28515625" style="14" customWidth="1"/>
    <col min="4" max="4" width="13.140625" style="14" bestFit="1" customWidth="1"/>
    <col min="5" max="5" width="12" style="14" customWidth="1"/>
    <col min="6" max="6" width="14" style="14" bestFit="1" customWidth="1"/>
    <col min="7" max="7" width="16" style="14" bestFit="1" customWidth="1"/>
    <col min="8" max="8" width="10.140625" style="14" bestFit="1" customWidth="1"/>
    <col min="9" max="9" width="10.5703125" style="14" bestFit="1" customWidth="1"/>
    <col min="10" max="10" width="10.5703125" style="14" customWidth="1"/>
    <col min="11" max="11" width="10.28515625" style="14" bestFit="1" customWidth="1"/>
    <col min="12" max="12" width="10.42578125" style="14" bestFit="1" customWidth="1"/>
    <col min="13" max="14" width="12" style="14" bestFit="1" customWidth="1"/>
    <col min="15" max="15" width="11" style="14" customWidth="1"/>
    <col min="16" max="16" width="12.85546875" style="14" bestFit="1" customWidth="1"/>
    <col min="17" max="18" width="9.42578125" style="14" customWidth="1"/>
    <col min="19" max="19" width="13.7109375" style="14" customWidth="1"/>
    <col min="20" max="20" width="12.140625" style="14" customWidth="1"/>
    <col min="21" max="21" width="21.7109375" style="14" customWidth="1"/>
    <col min="22" max="22" width="9.85546875" style="14" customWidth="1"/>
    <col min="23" max="23" width="10.140625" style="14" bestFit="1" customWidth="1"/>
    <col min="24" max="24" width="10.28515625" style="14" customWidth="1"/>
    <col min="25" max="25" width="15.7109375" style="14" customWidth="1"/>
    <col min="26" max="16384" width="9.140625" style="14"/>
  </cols>
  <sheetData>
    <row r="1" spans="1:25" ht="46.15" customHeight="1" x14ac:dyDescent="0.25">
      <c r="A1" s="2240" t="s">
        <v>148</v>
      </c>
      <c r="B1" s="2240"/>
      <c r="C1" s="2240"/>
      <c r="D1" s="2240"/>
      <c r="E1" s="2240"/>
      <c r="F1" s="2240"/>
      <c r="G1" s="2240"/>
      <c r="H1" s="2240"/>
      <c r="I1" s="2240"/>
      <c r="J1" s="2240"/>
      <c r="K1" s="2240"/>
      <c r="L1" s="2240"/>
      <c r="M1" s="2240"/>
      <c r="N1" s="2240"/>
      <c r="O1" s="2240"/>
      <c r="P1" s="2240"/>
      <c r="Q1" s="2240"/>
      <c r="R1" s="2240"/>
      <c r="S1" s="2240"/>
      <c r="T1" s="2240"/>
      <c r="U1" s="2240"/>
      <c r="V1" s="2240"/>
      <c r="W1" s="2240"/>
      <c r="X1" s="2240"/>
      <c r="Y1" s="2240"/>
    </row>
    <row r="2" spans="1:25" ht="21.6" customHeight="1" x14ac:dyDescent="0.25">
      <c r="A2" s="2241" t="s">
        <v>383</v>
      </c>
      <c r="B2" s="2241"/>
      <c r="C2" s="2241"/>
      <c r="D2" s="2241"/>
      <c r="E2" s="2241"/>
      <c r="F2" s="2241"/>
      <c r="G2" s="2241"/>
      <c r="H2" s="2241"/>
      <c r="I2" s="2241"/>
      <c r="J2" s="2241"/>
      <c r="K2" s="2241"/>
      <c r="L2" s="2241"/>
      <c r="M2" s="2241"/>
      <c r="N2" s="2241"/>
      <c r="O2" s="2241"/>
      <c r="P2" s="2241"/>
      <c r="Q2" s="2241"/>
      <c r="R2" s="2241"/>
      <c r="S2" s="2241"/>
      <c r="T2" s="2241"/>
      <c r="U2" s="2241"/>
      <c r="V2" s="2241"/>
      <c r="W2" s="2241"/>
      <c r="X2" s="2241"/>
      <c r="Y2" s="2241"/>
    </row>
    <row r="3" spans="1:25" ht="21" customHeight="1" x14ac:dyDescent="0.25">
      <c r="A3" s="1905"/>
      <c r="B3" s="1905"/>
      <c r="C3" s="1905"/>
      <c r="D3" s="1905"/>
      <c r="E3" s="1905"/>
      <c r="F3" s="1905"/>
      <c r="G3" s="1905"/>
      <c r="H3" s="1905"/>
      <c r="I3" s="1905"/>
      <c r="J3" s="1905"/>
      <c r="K3" s="1905"/>
      <c r="L3" s="1905"/>
      <c r="M3" s="1905"/>
      <c r="N3" s="1905"/>
      <c r="O3" s="1905"/>
      <c r="P3" s="1905"/>
      <c r="Q3" s="1905"/>
      <c r="R3" s="1905"/>
      <c r="S3" s="1905"/>
      <c r="T3" s="2242" t="s">
        <v>558</v>
      </c>
      <c r="U3" s="2242"/>
      <c r="V3" s="2242"/>
      <c r="W3" s="2242"/>
      <c r="X3" s="2242"/>
      <c r="Y3" s="2242"/>
    </row>
    <row r="4" spans="1:25" s="1905" customFormat="1" ht="18" customHeight="1" x14ac:dyDescent="0.25">
      <c r="A4" s="2243" t="s">
        <v>25</v>
      </c>
      <c r="B4" s="2243" t="s">
        <v>26</v>
      </c>
      <c r="C4" s="2244" t="s">
        <v>27</v>
      </c>
      <c r="D4" s="2244"/>
      <c r="E4" s="2244" t="s">
        <v>544</v>
      </c>
      <c r="F4" s="2244"/>
      <c r="G4" s="2244" t="s">
        <v>65</v>
      </c>
      <c r="H4" s="2244"/>
      <c r="I4" s="2244" t="s">
        <v>29</v>
      </c>
      <c r="J4" s="2244"/>
      <c r="K4" s="2245" t="s">
        <v>14</v>
      </c>
      <c r="L4" s="2246"/>
      <c r="M4" s="2245" t="s">
        <v>429</v>
      </c>
      <c r="N4" s="2246"/>
      <c r="O4" s="2245" t="s">
        <v>441</v>
      </c>
      <c r="P4" s="2246"/>
      <c r="Q4" s="2245" t="s">
        <v>114</v>
      </c>
      <c r="R4" s="2246"/>
      <c r="S4" s="2244" t="s">
        <v>35</v>
      </c>
      <c r="T4" s="2244"/>
      <c r="U4" s="2245" t="s">
        <v>17</v>
      </c>
      <c r="V4" s="2246"/>
      <c r="W4" s="2247" t="s">
        <v>36</v>
      </c>
      <c r="X4" s="2248"/>
      <c r="Y4" s="2238" t="s">
        <v>30</v>
      </c>
    </row>
    <row r="5" spans="1:25" s="1905" customFormat="1" ht="25.5" customHeight="1" x14ac:dyDescent="0.25">
      <c r="A5" s="2243"/>
      <c r="B5" s="2243"/>
      <c r="C5" s="1904" t="s">
        <v>42</v>
      </c>
      <c r="D5" s="1904" t="s">
        <v>43</v>
      </c>
      <c r="E5" s="1904" t="s">
        <v>42</v>
      </c>
      <c r="F5" s="1904" t="s">
        <v>43</v>
      </c>
      <c r="G5" s="1904" t="s">
        <v>42</v>
      </c>
      <c r="H5" s="1904" t="s">
        <v>43</v>
      </c>
      <c r="I5" s="1904" t="s">
        <v>42</v>
      </c>
      <c r="J5" s="1904" t="s">
        <v>43</v>
      </c>
      <c r="K5" s="1904" t="s">
        <v>42</v>
      </c>
      <c r="L5" s="1904" t="s">
        <v>43</v>
      </c>
      <c r="M5" s="1904" t="s">
        <v>42</v>
      </c>
      <c r="N5" s="1904" t="s">
        <v>43</v>
      </c>
      <c r="O5" s="1904" t="s">
        <v>42</v>
      </c>
      <c r="P5" s="1904" t="s">
        <v>43</v>
      </c>
      <c r="Q5" s="1904" t="s">
        <v>42</v>
      </c>
      <c r="R5" s="1904" t="s">
        <v>43</v>
      </c>
      <c r="S5" s="33" t="s">
        <v>42</v>
      </c>
      <c r="T5" s="33" t="s">
        <v>43</v>
      </c>
      <c r="U5" s="30" t="s">
        <v>42</v>
      </c>
      <c r="V5" s="30" t="s">
        <v>43</v>
      </c>
      <c r="W5" s="30" t="s">
        <v>42</v>
      </c>
      <c r="X5" s="30" t="s">
        <v>43</v>
      </c>
      <c r="Y5" s="2239"/>
    </row>
    <row r="6" spans="1:25" ht="34.5" customHeight="1" x14ac:dyDescent="0.25">
      <c r="A6" s="12">
        <v>1409935200</v>
      </c>
      <c r="B6" s="1903" t="s">
        <v>71</v>
      </c>
      <c r="C6" s="1901">
        <v>25870</v>
      </c>
      <c r="D6" s="1900">
        <f t="shared" ref="D6:D11" si="0">0.9725*C6</f>
        <v>25158.575000000001</v>
      </c>
      <c r="E6" s="1901"/>
      <c r="F6" s="1900">
        <f>19.68*E6</f>
        <v>0</v>
      </c>
      <c r="G6" s="1901"/>
      <c r="H6" s="1901">
        <f>28.26*G6</f>
        <v>0</v>
      </c>
      <c r="I6" s="1901">
        <v>160</v>
      </c>
      <c r="J6" s="1901">
        <f>18.82*I6</f>
        <v>3011.2</v>
      </c>
      <c r="K6" s="1901"/>
      <c r="L6" s="1900">
        <f>28.2368*K6</f>
        <v>0</v>
      </c>
      <c r="M6" s="1901"/>
      <c r="N6" s="1900">
        <f>M6*47.6525</f>
        <v>0</v>
      </c>
      <c r="O6" s="1901"/>
      <c r="P6" s="1900">
        <f>O6*8.9</f>
        <v>0</v>
      </c>
      <c r="Q6" s="1900"/>
      <c r="R6" s="1900">
        <f>241*Q6</f>
        <v>0</v>
      </c>
      <c r="S6" s="1901"/>
      <c r="T6" s="1901">
        <f>470*S6</f>
        <v>0</v>
      </c>
      <c r="U6" s="1901"/>
      <c r="V6" s="1901">
        <f>332*U6</f>
        <v>0</v>
      </c>
      <c r="W6" s="1901"/>
      <c r="X6" s="19">
        <f>W6*100</f>
        <v>0</v>
      </c>
      <c r="Y6" s="20">
        <f t="shared" ref="Y6:Y12" si="1">D6+F6+H6+J6+L6+N6+P6+R6+T6+V6+X6</f>
        <v>28169.775000000001</v>
      </c>
    </row>
    <row r="7" spans="1:25" ht="36.75" customHeight="1" x14ac:dyDescent="0.25">
      <c r="A7" s="12">
        <v>1984225578</v>
      </c>
      <c r="B7" s="1903" t="s">
        <v>509</v>
      </c>
      <c r="C7" s="1901">
        <v>14906</v>
      </c>
      <c r="D7" s="1900">
        <f t="shared" si="0"/>
        <v>14496.085000000001</v>
      </c>
      <c r="E7" s="1901"/>
      <c r="F7" s="1900">
        <f t="shared" ref="F7:F11" si="2">19.68*E7</f>
        <v>0</v>
      </c>
      <c r="G7" s="1901"/>
      <c r="H7" s="1901">
        <f t="shared" ref="H7:H11" si="3">28.26*G7</f>
        <v>0</v>
      </c>
      <c r="I7" s="1901"/>
      <c r="J7" s="1901">
        <f t="shared" ref="J7:J11" si="4">18.82*I7</f>
        <v>0</v>
      </c>
      <c r="K7" s="1901"/>
      <c r="L7" s="1900">
        <f t="shared" ref="L7:L11" si="5">28.2368*K7</f>
        <v>0</v>
      </c>
      <c r="M7" s="1901"/>
      <c r="N7" s="1900">
        <f t="shared" ref="N7:N11" si="6">M7*47.6525</f>
        <v>0</v>
      </c>
      <c r="O7" s="1901"/>
      <c r="P7" s="1900">
        <f t="shared" ref="P7:P11" si="7">O7*8.9</f>
        <v>0</v>
      </c>
      <c r="Q7" s="1900"/>
      <c r="R7" s="1900">
        <f t="shared" ref="R7:R11" si="8">241*Q7</f>
        <v>0</v>
      </c>
      <c r="S7" s="1901"/>
      <c r="T7" s="1901">
        <f t="shared" ref="T7:T9" si="9">241*S7</f>
        <v>0</v>
      </c>
      <c r="U7" s="1901"/>
      <c r="V7" s="1901">
        <f t="shared" ref="V7:V11" si="10">332*U7</f>
        <v>0</v>
      </c>
      <c r="W7" s="1901"/>
      <c r="X7" s="19">
        <f t="shared" ref="X7:X11" si="11">W7*100</f>
        <v>0</v>
      </c>
      <c r="Y7" s="20">
        <f t="shared" si="1"/>
        <v>14496.085000000001</v>
      </c>
    </row>
    <row r="8" spans="1:25" ht="35.25" customHeight="1" x14ac:dyDescent="0.25">
      <c r="A8" s="12">
        <v>1967020280</v>
      </c>
      <c r="B8" s="1903" t="s">
        <v>427</v>
      </c>
      <c r="C8" s="1901">
        <v>26843</v>
      </c>
      <c r="D8" s="1900">
        <f t="shared" si="0"/>
        <v>26104.817500000001</v>
      </c>
      <c r="E8" s="1901"/>
      <c r="F8" s="1900">
        <f t="shared" si="2"/>
        <v>0</v>
      </c>
      <c r="G8" s="1901"/>
      <c r="H8" s="1901">
        <f t="shared" si="3"/>
        <v>0</v>
      </c>
      <c r="I8" s="1901">
        <v>1410</v>
      </c>
      <c r="J8" s="1901">
        <f t="shared" si="4"/>
        <v>26536.2</v>
      </c>
      <c r="K8" s="1901"/>
      <c r="L8" s="1900">
        <f t="shared" si="5"/>
        <v>0</v>
      </c>
      <c r="M8" s="1901"/>
      <c r="N8" s="1900">
        <f t="shared" si="6"/>
        <v>0</v>
      </c>
      <c r="O8" s="1901"/>
      <c r="P8" s="1900">
        <f t="shared" si="7"/>
        <v>0</v>
      </c>
      <c r="Q8" s="1900"/>
      <c r="R8" s="1900">
        <f t="shared" si="8"/>
        <v>0</v>
      </c>
      <c r="S8" s="1901"/>
      <c r="T8" s="1901">
        <f t="shared" si="9"/>
        <v>0</v>
      </c>
      <c r="U8" s="1901"/>
      <c r="V8" s="1901">
        <f t="shared" si="10"/>
        <v>0</v>
      </c>
      <c r="W8" s="1901"/>
      <c r="X8" s="19">
        <f t="shared" si="11"/>
        <v>0</v>
      </c>
      <c r="Y8" s="20">
        <f t="shared" si="1"/>
        <v>52641.017500000002</v>
      </c>
    </row>
    <row r="9" spans="1:25" ht="38.25" customHeight="1" x14ac:dyDescent="0.25">
      <c r="A9" s="12">
        <v>1984225580</v>
      </c>
      <c r="B9" s="1903" t="s">
        <v>75</v>
      </c>
      <c r="C9" s="1901">
        <v>29807</v>
      </c>
      <c r="D9" s="1900">
        <f t="shared" si="0"/>
        <v>28987.307500000003</v>
      </c>
      <c r="E9" s="1901"/>
      <c r="F9" s="1900">
        <f t="shared" si="2"/>
        <v>0</v>
      </c>
      <c r="G9" s="1901"/>
      <c r="H9" s="1901">
        <f t="shared" si="3"/>
        <v>0</v>
      </c>
      <c r="I9" s="1901">
        <v>410</v>
      </c>
      <c r="J9" s="1901">
        <f t="shared" si="4"/>
        <v>7716.2</v>
      </c>
      <c r="K9" s="1901"/>
      <c r="L9" s="1900">
        <f t="shared" si="5"/>
        <v>0</v>
      </c>
      <c r="M9" s="1901"/>
      <c r="N9" s="1900">
        <f t="shared" si="6"/>
        <v>0</v>
      </c>
      <c r="O9" s="1901"/>
      <c r="P9" s="1900">
        <f t="shared" si="7"/>
        <v>0</v>
      </c>
      <c r="Q9" s="1900"/>
      <c r="R9" s="1900">
        <f t="shared" si="8"/>
        <v>0</v>
      </c>
      <c r="S9" s="1901"/>
      <c r="T9" s="1901">
        <f t="shared" si="9"/>
        <v>0</v>
      </c>
      <c r="U9" s="1901"/>
      <c r="V9" s="1901">
        <f t="shared" si="10"/>
        <v>0</v>
      </c>
      <c r="W9" s="1901"/>
      <c r="X9" s="19">
        <f t="shared" si="11"/>
        <v>0</v>
      </c>
      <c r="Y9" s="20">
        <f t="shared" si="1"/>
        <v>36703.5075</v>
      </c>
    </row>
    <row r="10" spans="1:25" ht="35.25" customHeight="1" x14ac:dyDescent="0.25">
      <c r="A10" s="12">
        <v>1409935199</v>
      </c>
      <c r="C10" s="1901"/>
      <c r="D10" s="1900">
        <f t="shared" si="0"/>
        <v>0</v>
      </c>
      <c r="E10" s="1901"/>
      <c r="F10" s="1900">
        <f t="shared" si="2"/>
        <v>0</v>
      </c>
      <c r="G10" s="1901"/>
      <c r="H10" s="1901">
        <f t="shared" si="3"/>
        <v>0</v>
      </c>
      <c r="I10" s="1901"/>
      <c r="J10" s="1901">
        <f t="shared" si="4"/>
        <v>0</v>
      </c>
      <c r="K10" s="1901"/>
      <c r="L10" s="1900">
        <f t="shared" si="5"/>
        <v>0</v>
      </c>
      <c r="M10" s="1901"/>
      <c r="N10" s="1900">
        <f t="shared" si="6"/>
        <v>0</v>
      </c>
      <c r="O10" s="1901"/>
      <c r="P10" s="1900">
        <f t="shared" si="7"/>
        <v>0</v>
      </c>
      <c r="Q10" s="1900"/>
      <c r="R10" s="1900">
        <f t="shared" si="8"/>
        <v>0</v>
      </c>
      <c r="S10" s="1901"/>
      <c r="T10" s="1901">
        <f>470*S10</f>
        <v>0</v>
      </c>
      <c r="U10" s="1901"/>
      <c r="V10" s="1901">
        <f t="shared" si="10"/>
        <v>0</v>
      </c>
      <c r="W10" s="1901"/>
      <c r="X10" s="19">
        <f t="shared" si="11"/>
        <v>0</v>
      </c>
      <c r="Y10" s="20">
        <f t="shared" si="1"/>
        <v>0</v>
      </c>
    </row>
    <row r="11" spans="1:25" ht="37.5" customHeight="1" x14ac:dyDescent="0.25">
      <c r="A11" s="12"/>
      <c r="B11" s="1902"/>
      <c r="C11" s="1901"/>
      <c r="D11" s="1900">
        <f t="shared" si="0"/>
        <v>0</v>
      </c>
      <c r="E11" s="1901"/>
      <c r="F11" s="1900">
        <f t="shared" si="2"/>
        <v>0</v>
      </c>
      <c r="G11" s="1901"/>
      <c r="H11" s="1901">
        <f t="shared" si="3"/>
        <v>0</v>
      </c>
      <c r="I11" s="1901"/>
      <c r="J11" s="1901">
        <f t="shared" si="4"/>
        <v>0</v>
      </c>
      <c r="K11" s="1901"/>
      <c r="L11" s="1900">
        <f t="shared" si="5"/>
        <v>0</v>
      </c>
      <c r="M11" s="1901"/>
      <c r="N11" s="1900">
        <f t="shared" si="6"/>
        <v>0</v>
      </c>
      <c r="O11" s="1901"/>
      <c r="P11" s="1900">
        <f t="shared" si="7"/>
        <v>0</v>
      </c>
      <c r="Q11" s="1900"/>
      <c r="R11" s="1900">
        <f t="shared" si="8"/>
        <v>0</v>
      </c>
      <c r="S11" s="1901"/>
      <c r="T11" s="1901">
        <f>341*S11</f>
        <v>0</v>
      </c>
      <c r="U11" s="1901"/>
      <c r="V11" s="1901">
        <f t="shared" si="10"/>
        <v>0</v>
      </c>
      <c r="W11" s="1901"/>
      <c r="X11" s="19">
        <f t="shared" si="11"/>
        <v>0</v>
      </c>
      <c r="Y11" s="20">
        <f t="shared" si="1"/>
        <v>0</v>
      </c>
    </row>
    <row r="12" spans="1:25" ht="29.25" customHeight="1" x14ac:dyDescent="0.25">
      <c r="A12" s="2235" t="s">
        <v>31</v>
      </c>
      <c r="B12" s="2235"/>
      <c r="C12" s="18">
        <f t="shared" ref="C12:X12" si="12">SUM(C6:C11)</f>
        <v>97426</v>
      </c>
      <c r="D12" s="18">
        <f t="shared" si="12"/>
        <v>94746.785000000003</v>
      </c>
      <c r="E12" s="18">
        <f t="shared" si="12"/>
        <v>0</v>
      </c>
      <c r="F12" s="18">
        <f t="shared" si="12"/>
        <v>0</v>
      </c>
      <c r="G12" s="18">
        <f t="shared" si="12"/>
        <v>0</v>
      </c>
      <c r="H12" s="18">
        <f t="shared" si="12"/>
        <v>0</v>
      </c>
      <c r="I12" s="18">
        <f t="shared" si="12"/>
        <v>1980</v>
      </c>
      <c r="J12" s="18">
        <f t="shared" si="12"/>
        <v>37263.599999999999</v>
      </c>
      <c r="K12" s="18">
        <f t="shared" si="12"/>
        <v>0</v>
      </c>
      <c r="L12" s="18">
        <f t="shared" si="12"/>
        <v>0</v>
      </c>
      <c r="M12" s="18">
        <f t="shared" si="12"/>
        <v>0</v>
      </c>
      <c r="N12" s="23">
        <f t="shared" si="12"/>
        <v>0</v>
      </c>
      <c r="O12" s="18">
        <f t="shared" si="12"/>
        <v>0</v>
      </c>
      <c r="P12" s="23">
        <f t="shared" si="12"/>
        <v>0</v>
      </c>
      <c r="Q12" s="23">
        <f t="shared" si="12"/>
        <v>0</v>
      </c>
      <c r="R12" s="23">
        <f>SUM(R6:R11)</f>
        <v>0</v>
      </c>
      <c r="S12" s="23">
        <f>SUM(S6:S11)</f>
        <v>0</v>
      </c>
      <c r="T12" s="18">
        <f t="shared" si="12"/>
        <v>0</v>
      </c>
      <c r="U12" s="18">
        <f t="shared" si="12"/>
        <v>0</v>
      </c>
      <c r="V12" s="18">
        <f t="shared" si="12"/>
        <v>0</v>
      </c>
      <c r="W12" s="18">
        <f t="shared" si="12"/>
        <v>0</v>
      </c>
      <c r="X12" s="18">
        <f t="shared" si="12"/>
        <v>0</v>
      </c>
      <c r="Y12" s="20">
        <f t="shared" si="1"/>
        <v>132010.38500000001</v>
      </c>
    </row>
    <row r="14" spans="1:25" ht="43.5" customHeight="1" x14ac:dyDescent="0.25">
      <c r="A14" s="30" t="s">
        <v>32</v>
      </c>
      <c r="B14" s="2236" t="s">
        <v>27</v>
      </c>
      <c r="C14" s="2236"/>
      <c r="D14" s="30" t="s">
        <v>543</v>
      </c>
      <c r="E14" s="30" t="s">
        <v>65</v>
      </c>
      <c r="F14" s="30" t="s">
        <v>34</v>
      </c>
      <c r="G14" s="30" t="s">
        <v>14</v>
      </c>
      <c r="H14" s="469" t="s">
        <v>173</v>
      </c>
      <c r="I14" s="30" t="s">
        <v>17</v>
      </c>
      <c r="J14" s="1909" t="s">
        <v>174</v>
      </c>
      <c r="K14" s="30" t="s">
        <v>36</v>
      </c>
      <c r="L14" s="1909" t="s">
        <v>403</v>
      </c>
      <c r="M14" s="1909" t="s">
        <v>549</v>
      </c>
      <c r="N14" s="30" t="s">
        <v>442</v>
      </c>
      <c r="O14" s="1909" t="s">
        <v>114</v>
      </c>
      <c r="P14" s="30" t="s">
        <v>70</v>
      </c>
      <c r="Q14" s="2300" t="s">
        <v>479</v>
      </c>
      <c r="R14" s="2301"/>
      <c r="S14" s="1909" t="s">
        <v>401</v>
      </c>
      <c r="T14" s="2235" t="s">
        <v>46</v>
      </c>
      <c r="U14" s="1903" t="s">
        <v>176</v>
      </c>
      <c r="V14" s="2260">
        <v>39254</v>
      </c>
      <c r="W14" s="2268"/>
      <c r="X14" s="2261"/>
    </row>
    <row r="15" spans="1:25" ht="22.5" customHeight="1" x14ac:dyDescent="0.25">
      <c r="A15" s="100" t="s">
        <v>38</v>
      </c>
      <c r="B15" s="2260">
        <v>508383</v>
      </c>
      <c r="C15" s="2261"/>
      <c r="D15" s="1906">
        <v>320</v>
      </c>
      <c r="E15" s="1906">
        <v>500</v>
      </c>
      <c r="F15" s="1906">
        <v>7990</v>
      </c>
      <c r="G15" s="1906">
        <v>0</v>
      </c>
      <c r="H15" s="1906">
        <v>38</v>
      </c>
      <c r="I15" s="1906">
        <v>2</v>
      </c>
      <c r="J15" s="1906">
        <v>4</v>
      </c>
      <c r="K15" s="1906">
        <v>73</v>
      </c>
      <c r="L15" s="1906">
        <v>0</v>
      </c>
      <c r="M15" s="1906">
        <v>2</v>
      </c>
      <c r="N15" s="1906">
        <v>0</v>
      </c>
      <c r="O15" s="1906">
        <v>0</v>
      </c>
      <c r="P15" s="1906">
        <v>100</v>
      </c>
      <c r="Q15" s="2260">
        <v>10</v>
      </c>
      <c r="R15" s="2261"/>
      <c r="S15" s="1903">
        <v>2</v>
      </c>
      <c r="T15" s="2235"/>
      <c r="U15" s="1903" t="s">
        <v>64</v>
      </c>
      <c r="V15" s="2262">
        <v>30184</v>
      </c>
      <c r="W15" s="2262"/>
      <c r="X15" s="2262"/>
    </row>
    <row r="16" spans="1:25" ht="24.75" customHeight="1" x14ac:dyDescent="0.25">
      <c r="A16" s="100" t="s">
        <v>39</v>
      </c>
      <c r="B16" s="2260"/>
      <c r="C16" s="2261"/>
      <c r="D16" s="1906"/>
      <c r="E16" s="1906"/>
      <c r="F16" s="1906"/>
      <c r="G16" s="1906"/>
      <c r="H16" s="1906"/>
      <c r="I16" s="1906"/>
      <c r="J16" s="1906"/>
      <c r="K16" s="1906"/>
      <c r="L16" s="1906"/>
      <c r="M16" s="1906"/>
      <c r="N16" s="1906"/>
      <c r="O16" s="1906"/>
      <c r="P16" s="1906"/>
      <c r="Q16" s="2262"/>
      <c r="R16" s="2262"/>
      <c r="S16" s="1906"/>
      <c r="T16" s="2254" t="s">
        <v>55</v>
      </c>
      <c r="U16" s="2254"/>
      <c r="V16" s="2267">
        <f>Y12</f>
        <v>132010.38500000001</v>
      </c>
      <c r="W16" s="2267"/>
      <c r="X16" s="2262"/>
    </row>
    <row r="17" spans="1:25" ht="28.5" customHeight="1" x14ac:dyDescent="0.25">
      <c r="A17" s="101" t="s">
        <v>44</v>
      </c>
      <c r="B17" s="2260"/>
      <c r="C17" s="2261"/>
      <c r="D17" s="1906"/>
      <c r="E17" s="1906"/>
      <c r="F17" s="1906"/>
      <c r="G17" s="1906"/>
      <c r="H17" s="1906"/>
      <c r="I17" s="1906"/>
      <c r="J17" s="1906"/>
      <c r="K17" s="1906"/>
      <c r="L17" s="1906"/>
      <c r="M17" s="1906"/>
      <c r="N17" s="1906"/>
      <c r="O17" s="1906"/>
      <c r="P17" s="1906"/>
      <c r="Q17" s="2225"/>
      <c r="R17" s="2225"/>
      <c r="S17" s="1902"/>
      <c r="T17" s="2294" t="s">
        <v>521</v>
      </c>
      <c r="U17" s="2295"/>
      <c r="V17" s="2296"/>
      <c r="W17" s="2296"/>
      <c r="X17" s="2296"/>
    </row>
    <row r="18" spans="1:25" ht="27" customHeight="1" x14ac:dyDescent="0.25">
      <c r="A18" s="100" t="s">
        <v>40</v>
      </c>
      <c r="B18" s="2264">
        <f>C12</f>
        <v>97426</v>
      </c>
      <c r="C18" s="2261"/>
      <c r="D18" s="1908">
        <f>E12</f>
        <v>0</v>
      </c>
      <c r="E18" s="1908">
        <f>G12</f>
        <v>0</v>
      </c>
      <c r="F18" s="1908">
        <f>I12</f>
        <v>1980</v>
      </c>
      <c r="G18" s="1908">
        <f>K12</f>
        <v>0</v>
      </c>
      <c r="H18" s="1906"/>
      <c r="I18" s="1908">
        <f>U12</f>
        <v>0</v>
      </c>
      <c r="J18" s="1906"/>
      <c r="K18" s="1908">
        <f>W12</f>
        <v>0</v>
      </c>
      <c r="L18" s="1906"/>
      <c r="M18" s="1908"/>
      <c r="N18" s="1908">
        <f>O12</f>
        <v>0</v>
      </c>
      <c r="O18" s="1907">
        <f>Q12</f>
        <v>0</v>
      </c>
      <c r="P18" s="1908"/>
      <c r="Q18" s="2262"/>
      <c r="R18" s="2262"/>
      <c r="S18" s="1903"/>
      <c r="T18" s="2254" t="s">
        <v>57</v>
      </c>
      <c r="U18" s="2254"/>
      <c r="V18" s="2262">
        <v>620</v>
      </c>
      <c r="W18" s="2262"/>
      <c r="X18" s="2262"/>
      <c r="Y18" s="2269"/>
    </row>
    <row r="19" spans="1:25" ht="25.5" customHeight="1" x14ac:dyDescent="0.25">
      <c r="A19" s="100" t="s">
        <v>41</v>
      </c>
      <c r="B19" s="2260">
        <f>B15+B16+B17-B18</f>
        <v>410957</v>
      </c>
      <c r="C19" s="2261"/>
      <c r="D19" s="1906">
        <f>D15+D16+D17-D18</f>
        <v>320</v>
      </c>
      <c r="E19" s="1906">
        <f t="shared" ref="E19:N19" si="13">E15+E16+E17-E18</f>
        <v>500</v>
      </c>
      <c r="F19" s="1906">
        <f t="shared" si="13"/>
        <v>6010</v>
      </c>
      <c r="G19" s="1906">
        <f t="shared" si="13"/>
        <v>0</v>
      </c>
      <c r="H19" s="1906">
        <f t="shared" si="13"/>
        <v>38</v>
      </c>
      <c r="I19" s="1906">
        <f t="shared" si="13"/>
        <v>2</v>
      </c>
      <c r="J19" s="1906">
        <f t="shared" si="13"/>
        <v>4</v>
      </c>
      <c r="K19" s="1906">
        <f t="shared" si="13"/>
        <v>73</v>
      </c>
      <c r="L19" s="1906">
        <f t="shared" si="13"/>
        <v>0</v>
      </c>
      <c r="M19" s="1906">
        <f t="shared" si="13"/>
        <v>2</v>
      </c>
      <c r="N19" s="1906">
        <f t="shared" si="13"/>
        <v>0</v>
      </c>
      <c r="O19" s="1906">
        <f>O15+O16+O17-O18</f>
        <v>0</v>
      </c>
      <c r="P19" s="1906">
        <f t="shared" ref="P19:Q19" si="14">P15+P16+P17-P18</f>
        <v>100</v>
      </c>
      <c r="Q19" s="2260">
        <f t="shared" si="14"/>
        <v>10</v>
      </c>
      <c r="R19" s="2261"/>
      <c r="S19" s="1903">
        <f>S15+S16-S17-S18</f>
        <v>2</v>
      </c>
      <c r="T19" s="2256" t="s">
        <v>48</v>
      </c>
      <c r="U19" s="49" t="s">
        <v>58</v>
      </c>
      <c r="V19" s="2262"/>
      <c r="W19" s="2262"/>
      <c r="X19" s="2262"/>
      <c r="Y19" s="2269"/>
    </row>
    <row r="20" spans="1:25" ht="23.25" customHeight="1" x14ac:dyDescent="0.25">
      <c r="A20" s="289" t="s">
        <v>187</v>
      </c>
      <c r="B20" s="2286">
        <f>B19*0.9625</f>
        <v>395546.11249999999</v>
      </c>
      <c r="C20" s="2287"/>
      <c r="D20" s="290">
        <f>D19*19.48</f>
        <v>6233.6</v>
      </c>
      <c r="E20" s="290">
        <f>27.97*E19</f>
        <v>13985</v>
      </c>
      <c r="F20" s="290">
        <f>18.63*F19</f>
        <v>111966.29999999999</v>
      </c>
      <c r="G20" s="290">
        <f>27.9468*G19</f>
        <v>0</v>
      </c>
      <c r="H20" s="290">
        <f>241*H19</f>
        <v>9158</v>
      </c>
      <c r="I20" s="290">
        <f>323*I19</f>
        <v>646</v>
      </c>
      <c r="J20" s="290">
        <f>241*J19</f>
        <v>964</v>
      </c>
      <c r="K20" s="290">
        <f>K19*100</f>
        <v>7300</v>
      </c>
      <c r="L20" s="290">
        <f>241*L19</f>
        <v>0</v>
      </c>
      <c r="M20" s="290">
        <f>470*M19</f>
        <v>940</v>
      </c>
      <c r="N20" s="290">
        <f>N19*8.81</f>
        <v>0</v>
      </c>
      <c r="O20" s="290">
        <f>241*O19</f>
        <v>0</v>
      </c>
      <c r="P20" s="290">
        <f>P19*48.2</f>
        <v>4820</v>
      </c>
      <c r="Q20" s="2286">
        <f>470*Q19</f>
        <v>4700</v>
      </c>
      <c r="R20" s="2287"/>
      <c r="S20" s="290">
        <f>341*S19</f>
        <v>682</v>
      </c>
      <c r="T20" s="2257"/>
      <c r="U20" s="49" t="s">
        <v>59</v>
      </c>
      <c r="V20" s="2262"/>
      <c r="W20" s="2262"/>
      <c r="X20" s="2262"/>
      <c r="Y20" s="2269"/>
    </row>
    <row r="21" spans="1:25" ht="32.25" customHeight="1" x14ac:dyDescent="0.25">
      <c r="A21" s="291" t="s">
        <v>186</v>
      </c>
      <c r="B21" s="2302">
        <f>SUM(B20:S20)</f>
        <v>556941.01249999995</v>
      </c>
      <c r="C21" s="2302"/>
      <c r="T21" s="2294" t="s">
        <v>518</v>
      </c>
      <c r="U21" s="2295"/>
      <c r="V21" s="2297"/>
      <c r="W21" s="2298"/>
      <c r="X21" s="2299"/>
      <c r="Y21" s="2269"/>
    </row>
    <row r="22" spans="1:25" ht="35.25" customHeight="1" x14ac:dyDescent="0.25">
      <c r="A22" s="1911"/>
      <c r="B22" s="2288" t="s">
        <v>49</v>
      </c>
      <c r="C22" s="2291">
        <v>240000</v>
      </c>
      <c r="D22" s="2291"/>
      <c r="E22" s="2291"/>
      <c r="F22" s="2291">
        <f>C22-D22+E22</f>
        <v>240000</v>
      </c>
      <c r="T22" s="2251" t="s">
        <v>83</v>
      </c>
      <c r="U22" s="50" t="s">
        <v>60</v>
      </c>
      <c r="V22" s="2262"/>
      <c r="W22" s="2262"/>
      <c r="X22" s="2262"/>
      <c r="Y22" s="2269"/>
    </row>
    <row r="23" spans="1:25" ht="39.75" customHeight="1" x14ac:dyDescent="0.25">
      <c r="B23" s="2289"/>
      <c r="C23" s="2292"/>
      <c r="D23" s="2292"/>
      <c r="E23" s="2292"/>
      <c r="F23" s="2292"/>
      <c r="T23" s="2252"/>
      <c r="U23" s="50" t="s">
        <v>61</v>
      </c>
      <c r="V23" s="2262"/>
      <c r="W23" s="2262"/>
      <c r="X23" s="2262"/>
      <c r="Y23" s="2269"/>
    </row>
    <row r="24" spans="1:25" ht="48" customHeight="1" x14ac:dyDescent="0.25">
      <c r="B24" s="2290"/>
      <c r="C24" s="290" t="s">
        <v>46</v>
      </c>
      <c r="D24" s="290" t="s">
        <v>50</v>
      </c>
      <c r="E24" s="290" t="s">
        <v>51</v>
      </c>
      <c r="F24" s="290" t="s">
        <v>52</v>
      </c>
      <c r="T24" s="2235" t="s">
        <v>47</v>
      </c>
      <c r="U24" s="51" t="s">
        <v>62</v>
      </c>
      <c r="V24" s="2263">
        <f>V14+V16+V17-V18-V19-V20-V22+V23-V21</f>
        <v>170644.38500000001</v>
      </c>
      <c r="W24" s="2263"/>
      <c r="X24" s="2263"/>
      <c r="Y24" s="2269"/>
    </row>
    <row r="25" spans="1:25" ht="40.5" customHeight="1" x14ac:dyDescent="0.25">
      <c r="T25" s="2235"/>
      <c r="U25" s="51" t="s">
        <v>63</v>
      </c>
      <c r="V25" s="2262">
        <f>V15+V22-V23</f>
        <v>30184</v>
      </c>
      <c r="W25" s="2262"/>
      <c r="X25" s="2262"/>
    </row>
    <row r="26" spans="1:25" ht="36" customHeight="1" x14ac:dyDescent="0.25">
      <c r="K26" s="314"/>
    </row>
    <row r="28" spans="1:25" x14ac:dyDescent="0.25">
      <c r="J28" s="14" t="s">
        <v>139</v>
      </c>
    </row>
    <row r="32" spans="1:25" x14ac:dyDescent="0.25">
      <c r="I32" s="2280"/>
      <c r="J32" s="2280"/>
      <c r="K32" s="2280"/>
      <c r="L32" s="2280"/>
    </row>
    <row r="33" spans="9:12" x14ac:dyDescent="0.25">
      <c r="I33" s="1910"/>
      <c r="J33" s="1910"/>
      <c r="K33" s="2280"/>
      <c r="L33" s="2280"/>
    </row>
  </sheetData>
  <mergeCells count="62">
    <mergeCell ref="A1:Y1"/>
    <mergeCell ref="A2:Y2"/>
    <mergeCell ref="T3:Y3"/>
    <mergeCell ref="A4:A5"/>
    <mergeCell ref="B4:B5"/>
    <mergeCell ref="C4:D4"/>
    <mergeCell ref="E4:F4"/>
    <mergeCell ref="G4:H4"/>
    <mergeCell ref="I4:J4"/>
    <mergeCell ref="K4:L4"/>
    <mergeCell ref="Y4:Y5"/>
    <mergeCell ref="M4:N4"/>
    <mergeCell ref="O4:P4"/>
    <mergeCell ref="Q4:R4"/>
    <mergeCell ref="S4:T4"/>
    <mergeCell ref="U4:V4"/>
    <mergeCell ref="W4:X4"/>
    <mergeCell ref="B16:C16"/>
    <mergeCell ref="Q16:R16"/>
    <mergeCell ref="T16:U16"/>
    <mergeCell ref="V16:X16"/>
    <mergeCell ref="A12:B12"/>
    <mergeCell ref="B14:C14"/>
    <mergeCell ref="Q14:R14"/>
    <mergeCell ref="T14:T15"/>
    <mergeCell ref="V14:X14"/>
    <mergeCell ref="B15:C15"/>
    <mergeCell ref="Q15:R15"/>
    <mergeCell ref="V15:X15"/>
    <mergeCell ref="B17:C17"/>
    <mergeCell ref="Q17:R17"/>
    <mergeCell ref="T17:U17"/>
    <mergeCell ref="V17:X17"/>
    <mergeCell ref="B18:C18"/>
    <mergeCell ref="Q18:R18"/>
    <mergeCell ref="T18:U18"/>
    <mergeCell ref="V18:X18"/>
    <mergeCell ref="Y18:Y24"/>
    <mergeCell ref="B19:C19"/>
    <mergeCell ref="Q19:R19"/>
    <mergeCell ref="T19:T20"/>
    <mergeCell ref="V19:X19"/>
    <mergeCell ref="B20:C20"/>
    <mergeCell ref="B22:B24"/>
    <mergeCell ref="C22:C23"/>
    <mergeCell ref="D22:D23"/>
    <mergeCell ref="E22:E23"/>
    <mergeCell ref="F22:F23"/>
    <mergeCell ref="Q20:R20"/>
    <mergeCell ref="V20:X20"/>
    <mergeCell ref="B21:C21"/>
    <mergeCell ref="T21:U21"/>
    <mergeCell ref="V21:X21"/>
    <mergeCell ref="I32:J32"/>
    <mergeCell ref="K32:L32"/>
    <mergeCell ref="K33:L33"/>
    <mergeCell ref="T22:T23"/>
    <mergeCell ref="V22:X22"/>
    <mergeCell ref="V23:X23"/>
    <mergeCell ref="T24:T25"/>
    <mergeCell ref="V24:X24"/>
    <mergeCell ref="V25:X25"/>
  </mergeCells>
  <pageMargins left="0.15748031496063" right="0.15748031496063" top="0" bottom="0" header="0" footer="0"/>
  <pageSetup paperSize="9" scale="46" orientation="landscape" r:id="rId1"/>
</worksheet>
</file>

<file path=xl/worksheets/sheet30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36D7C62-FE0D-4BCB-97F9-13A0D9B7D170}">
  <sheetPr>
    <pageSetUpPr fitToPage="1"/>
  </sheetPr>
  <dimension ref="A1:Y33"/>
  <sheetViews>
    <sheetView topLeftCell="D5" zoomScale="70" zoomScaleNormal="70" zoomScaleSheetLayoutView="100" zoomScalePageLayoutView="68" workbookViewId="0">
      <selection activeCell="M18" sqref="M18"/>
    </sheetView>
  </sheetViews>
  <sheetFormatPr defaultColWidth="9.140625" defaultRowHeight="15" x14ac:dyDescent="0.25"/>
  <cols>
    <col min="1" max="1" width="18.28515625" style="14" customWidth="1"/>
    <col min="2" max="2" width="10.7109375" style="14" customWidth="1"/>
    <col min="3" max="3" width="12.28515625" style="14" customWidth="1"/>
    <col min="4" max="4" width="13.140625" style="14" bestFit="1" customWidth="1"/>
    <col min="5" max="5" width="12" style="14" customWidth="1"/>
    <col min="6" max="6" width="14" style="14" bestFit="1" customWidth="1"/>
    <col min="7" max="7" width="16" style="14" bestFit="1" customWidth="1"/>
    <col min="8" max="8" width="10.140625" style="14" bestFit="1" customWidth="1"/>
    <col min="9" max="9" width="10.5703125" style="14" bestFit="1" customWidth="1"/>
    <col min="10" max="10" width="10.5703125" style="14" customWidth="1"/>
    <col min="11" max="11" width="10.28515625" style="14" bestFit="1" customWidth="1"/>
    <col min="12" max="12" width="10.42578125" style="14" bestFit="1" customWidth="1"/>
    <col min="13" max="14" width="12" style="14" bestFit="1" customWidth="1"/>
    <col min="15" max="15" width="11" style="14" customWidth="1"/>
    <col min="16" max="16" width="12.85546875" style="14" bestFit="1" customWidth="1"/>
    <col min="17" max="18" width="9.42578125" style="14" customWidth="1"/>
    <col min="19" max="19" width="13.7109375" style="14" customWidth="1"/>
    <col min="20" max="20" width="12.140625" style="14" customWidth="1"/>
    <col min="21" max="21" width="21.7109375" style="14" customWidth="1"/>
    <col min="22" max="22" width="9.85546875" style="14" customWidth="1"/>
    <col min="23" max="23" width="10.140625" style="14" bestFit="1" customWidth="1"/>
    <col min="24" max="24" width="10.28515625" style="14" customWidth="1"/>
    <col min="25" max="25" width="15.7109375" style="14" customWidth="1"/>
    <col min="26" max="16384" width="9.140625" style="14"/>
  </cols>
  <sheetData>
    <row r="1" spans="1:25" ht="46.15" customHeight="1" x14ac:dyDescent="0.25">
      <c r="A1" s="2240" t="s">
        <v>148</v>
      </c>
      <c r="B1" s="2240"/>
      <c r="C1" s="2240"/>
      <c r="D1" s="2240"/>
      <c r="E1" s="2240"/>
      <c r="F1" s="2240"/>
      <c r="G1" s="2240"/>
      <c r="H1" s="2240"/>
      <c r="I1" s="2240"/>
      <c r="J1" s="2240"/>
      <c r="K1" s="2240"/>
      <c r="L1" s="2240"/>
      <c r="M1" s="2240"/>
      <c r="N1" s="2240"/>
      <c r="O1" s="2240"/>
      <c r="P1" s="2240"/>
      <c r="Q1" s="2240"/>
      <c r="R1" s="2240"/>
      <c r="S1" s="2240"/>
      <c r="T1" s="2240"/>
      <c r="U1" s="2240"/>
      <c r="V1" s="2240"/>
      <c r="W1" s="2240"/>
      <c r="X1" s="2240"/>
      <c r="Y1" s="2240"/>
    </row>
    <row r="2" spans="1:25" ht="21.6" customHeight="1" x14ac:dyDescent="0.25">
      <c r="A2" s="2241" t="s">
        <v>383</v>
      </c>
      <c r="B2" s="2241"/>
      <c r="C2" s="2241"/>
      <c r="D2" s="2241"/>
      <c r="E2" s="2241"/>
      <c r="F2" s="2241"/>
      <c r="G2" s="2241"/>
      <c r="H2" s="2241"/>
      <c r="I2" s="2241"/>
      <c r="J2" s="2241"/>
      <c r="K2" s="2241"/>
      <c r="L2" s="2241"/>
      <c r="M2" s="2241"/>
      <c r="N2" s="2241"/>
      <c r="O2" s="2241"/>
      <c r="P2" s="2241"/>
      <c r="Q2" s="2241"/>
      <c r="R2" s="2241"/>
      <c r="S2" s="2241"/>
      <c r="T2" s="2241"/>
      <c r="U2" s="2241"/>
      <c r="V2" s="2241"/>
      <c r="W2" s="2241"/>
      <c r="X2" s="2241"/>
      <c r="Y2" s="2241"/>
    </row>
    <row r="3" spans="1:25" ht="21" customHeight="1" x14ac:dyDescent="0.25">
      <c r="A3" s="1912"/>
      <c r="B3" s="1912"/>
      <c r="C3" s="1912"/>
      <c r="D3" s="1912"/>
      <c r="E3" s="1912"/>
      <c r="F3" s="1912"/>
      <c r="G3" s="1912"/>
      <c r="H3" s="1912"/>
      <c r="I3" s="1912"/>
      <c r="J3" s="1912"/>
      <c r="K3" s="1912"/>
      <c r="L3" s="1912"/>
      <c r="M3" s="1912"/>
      <c r="N3" s="1912"/>
      <c r="O3" s="1912"/>
      <c r="P3" s="1912"/>
      <c r="Q3" s="1912"/>
      <c r="R3" s="1912"/>
      <c r="S3" s="1912"/>
      <c r="T3" s="2242" t="s">
        <v>559</v>
      </c>
      <c r="U3" s="2242"/>
      <c r="V3" s="2242"/>
      <c r="W3" s="2242"/>
      <c r="X3" s="2242"/>
      <c r="Y3" s="2242"/>
    </row>
    <row r="4" spans="1:25" s="1912" customFormat="1" ht="18" customHeight="1" x14ac:dyDescent="0.25">
      <c r="A4" s="2243" t="s">
        <v>25</v>
      </c>
      <c r="B4" s="2243" t="s">
        <v>26</v>
      </c>
      <c r="C4" s="2244" t="s">
        <v>27</v>
      </c>
      <c r="D4" s="2244"/>
      <c r="E4" s="2244" t="s">
        <v>544</v>
      </c>
      <c r="F4" s="2244"/>
      <c r="G4" s="2244" t="s">
        <v>65</v>
      </c>
      <c r="H4" s="2244"/>
      <c r="I4" s="2244" t="s">
        <v>29</v>
      </c>
      <c r="J4" s="2244"/>
      <c r="K4" s="2245" t="s">
        <v>14</v>
      </c>
      <c r="L4" s="2246"/>
      <c r="M4" s="2245" t="s">
        <v>429</v>
      </c>
      <c r="N4" s="2246"/>
      <c r="O4" s="2245" t="s">
        <v>441</v>
      </c>
      <c r="P4" s="2246"/>
      <c r="Q4" s="2245" t="s">
        <v>114</v>
      </c>
      <c r="R4" s="2246"/>
      <c r="S4" s="2244" t="s">
        <v>35</v>
      </c>
      <c r="T4" s="2244"/>
      <c r="U4" s="2245" t="s">
        <v>17</v>
      </c>
      <c r="V4" s="2246"/>
      <c r="W4" s="2247" t="s">
        <v>36</v>
      </c>
      <c r="X4" s="2248"/>
      <c r="Y4" s="2238" t="s">
        <v>30</v>
      </c>
    </row>
    <row r="5" spans="1:25" s="1912" customFormat="1" ht="25.5" customHeight="1" x14ac:dyDescent="0.25">
      <c r="A5" s="2243"/>
      <c r="B5" s="2243"/>
      <c r="C5" s="1914" t="s">
        <v>42</v>
      </c>
      <c r="D5" s="1914" t="s">
        <v>43</v>
      </c>
      <c r="E5" s="1914" t="s">
        <v>42</v>
      </c>
      <c r="F5" s="1914" t="s">
        <v>43</v>
      </c>
      <c r="G5" s="1914" t="s">
        <v>42</v>
      </c>
      <c r="H5" s="1914" t="s">
        <v>43</v>
      </c>
      <c r="I5" s="1914" t="s">
        <v>42</v>
      </c>
      <c r="J5" s="1914" t="s">
        <v>43</v>
      </c>
      <c r="K5" s="1914" t="s">
        <v>42</v>
      </c>
      <c r="L5" s="1914" t="s">
        <v>43</v>
      </c>
      <c r="M5" s="1914" t="s">
        <v>42</v>
      </c>
      <c r="N5" s="1914" t="s">
        <v>43</v>
      </c>
      <c r="O5" s="1914" t="s">
        <v>42</v>
      </c>
      <c r="P5" s="1914" t="s">
        <v>43</v>
      </c>
      <c r="Q5" s="1914" t="s">
        <v>42</v>
      </c>
      <c r="R5" s="1914" t="s">
        <v>43</v>
      </c>
      <c r="S5" s="33" t="s">
        <v>42</v>
      </c>
      <c r="T5" s="33" t="s">
        <v>43</v>
      </c>
      <c r="U5" s="30" t="s">
        <v>42</v>
      </c>
      <c r="V5" s="30" t="s">
        <v>43</v>
      </c>
      <c r="W5" s="30" t="s">
        <v>42</v>
      </c>
      <c r="X5" s="30" t="s">
        <v>43</v>
      </c>
      <c r="Y5" s="2239"/>
    </row>
    <row r="6" spans="1:25" ht="34.5" customHeight="1" x14ac:dyDescent="0.25">
      <c r="A6" s="12">
        <v>1409935200</v>
      </c>
      <c r="B6" s="1913" t="s">
        <v>71</v>
      </c>
      <c r="C6" s="1916">
        <v>35078</v>
      </c>
      <c r="D6" s="1917">
        <f t="shared" ref="D6:D11" si="0">0.9725*C6</f>
        <v>34113.355000000003</v>
      </c>
      <c r="E6" s="1916"/>
      <c r="F6" s="1917">
        <f>19.68*E6</f>
        <v>0</v>
      </c>
      <c r="G6" s="1916"/>
      <c r="H6" s="1916">
        <f>28.26*G6</f>
        <v>0</v>
      </c>
      <c r="I6" s="1916">
        <v>250</v>
      </c>
      <c r="J6" s="1916">
        <f>18.82*I6</f>
        <v>4705</v>
      </c>
      <c r="K6" s="1916"/>
      <c r="L6" s="1917">
        <f>28.2368*K6</f>
        <v>0</v>
      </c>
      <c r="M6" s="1916"/>
      <c r="N6" s="1917">
        <f>M6*47.6525</f>
        <v>0</v>
      </c>
      <c r="O6" s="1916"/>
      <c r="P6" s="1917">
        <f>O6*8.9</f>
        <v>0</v>
      </c>
      <c r="Q6" s="1917"/>
      <c r="R6" s="1917">
        <f>241*Q6</f>
        <v>0</v>
      </c>
      <c r="S6" s="1916"/>
      <c r="T6" s="1916">
        <f>470*S6</f>
        <v>0</v>
      </c>
      <c r="U6" s="1916"/>
      <c r="V6" s="1916">
        <f>332*U6</f>
        <v>0</v>
      </c>
      <c r="W6" s="1916"/>
      <c r="X6" s="19">
        <f>W6*100</f>
        <v>0</v>
      </c>
      <c r="Y6" s="20">
        <f t="shared" ref="Y6:Y12" si="1">D6+F6+H6+J6+L6+N6+P6+R6+T6+V6+X6</f>
        <v>38818.355000000003</v>
      </c>
    </row>
    <row r="7" spans="1:25" ht="36.75" customHeight="1" x14ac:dyDescent="0.25">
      <c r="A7" s="12">
        <v>1984225578</v>
      </c>
      <c r="B7" s="1913" t="s">
        <v>509</v>
      </c>
      <c r="C7" s="1916">
        <v>20949</v>
      </c>
      <c r="D7" s="1917">
        <f t="shared" si="0"/>
        <v>20372.9025</v>
      </c>
      <c r="E7" s="1916"/>
      <c r="F7" s="1917">
        <f t="shared" ref="F7:F11" si="2">19.68*E7</f>
        <v>0</v>
      </c>
      <c r="G7" s="1916"/>
      <c r="H7" s="1916">
        <f t="shared" ref="H7:H11" si="3">28.26*G7</f>
        <v>0</v>
      </c>
      <c r="I7" s="1916">
        <v>1120</v>
      </c>
      <c r="J7" s="1916">
        <f t="shared" ref="J7:J11" si="4">18.82*I7</f>
        <v>21078.400000000001</v>
      </c>
      <c r="K7" s="1916"/>
      <c r="L7" s="1917">
        <f t="shared" ref="L7:L11" si="5">28.2368*K7</f>
        <v>0</v>
      </c>
      <c r="M7" s="1916"/>
      <c r="N7" s="1917">
        <f t="shared" ref="N7:N11" si="6">M7*47.6525</f>
        <v>0</v>
      </c>
      <c r="O7" s="1916"/>
      <c r="P7" s="1917">
        <f t="shared" ref="P7:P11" si="7">O7*8.9</f>
        <v>0</v>
      </c>
      <c r="Q7" s="1917"/>
      <c r="R7" s="1917">
        <f t="shared" ref="R7:R11" si="8">241*Q7</f>
        <v>0</v>
      </c>
      <c r="S7" s="1916"/>
      <c r="T7" s="1916">
        <f t="shared" ref="T7:T9" si="9">241*S7</f>
        <v>0</v>
      </c>
      <c r="U7" s="1916"/>
      <c r="V7" s="1916">
        <f t="shared" ref="V7:V11" si="10">332*U7</f>
        <v>0</v>
      </c>
      <c r="W7" s="1916">
        <v>1</v>
      </c>
      <c r="X7" s="19">
        <f t="shared" ref="X7:X11" si="11">W7*100</f>
        <v>100</v>
      </c>
      <c r="Y7" s="20">
        <f t="shared" si="1"/>
        <v>41551.302500000005</v>
      </c>
    </row>
    <row r="8" spans="1:25" ht="35.25" customHeight="1" x14ac:dyDescent="0.25">
      <c r="A8" s="12">
        <v>1967020280</v>
      </c>
      <c r="B8" s="1913" t="s">
        <v>427</v>
      </c>
      <c r="C8" s="1916">
        <v>21692</v>
      </c>
      <c r="D8" s="1917">
        <f t="shared" si="0"/>
        <v>21095.47</v>
      </c>
      <c r="E8" s="1916"/>
      <c r="F8" s="1917">
        <f t="shared" si="2"/>
        <v>0</v>
      </c>
      <c r="G8" s="1916">
        <v>30</v>
      </c>
      <c r="H8" s="1916">
        <f t="shared" si="3"/>
        <v>847.80000000000007</v>
      </c>
      <c r="I8" s="1916">
        <v>670</v>
      </c>
      <c r="J8" s="1916">
        <f t="shared" si="4"/>
        <v>12609.4</v>
      </c>
      <c r="K8" s="1916"/>
      <c r="L8" s="1917">
        <f t="shared" si="5"/>
        <v>0</v>
      </c>
      <c r="M8" s="1916"/>
      <c r="N8" s="1917">
        <f t="shared" si="6"/>
        <v>0</v>
      </c>
      <c r="O8" s="1916"/>
      <c r="P8" s="1917">
        <f t="shared" si="7"/>
        <v>0</v>
      </c>
      <c r="Q8" s="1917"/>
      <c r="R8" s="1917">
        <f t="shared" si="8"/>
        <v>0</v>
      </c>
      <c r="S8" s="1916"/>
      <c r="T8" s="1916">
        <f t="shared" si="9"/>
        <v>0</v>
      </c>
      <c r="U8" s="1916"/>
      <c r="V8" s="1916">
        <f t="shared" si="10"/>
        <v>0</v>
      </c>
      <c r="W8" s="1916"/>
      <c r="X8" s="19">
        <f t="shared" si="11"/>
        <v>0</v>
      </c>
      <c r="Y8" s="20">
        <f t="shared" si="1"/>
        <v>34552.67</v>
      </c>
    </row>
    <row r="9" spans="1:25" ht="38.25" customHeight="1" x14ac:dyDescent="0.25">
      <c r="A9" s="12">
        <v>1984225580</v>
      </c>
      <c r="B9" s="1913" t="s">
        <v>74</v>
      </c>
      <c r="C9" s="1916">
        <v>47592</v>
      </c>
      <c r="D9" s="1917">
        <f t="shared" si="0"/>
        <v>46283.22</v>
      </c>
      <c r="E9" s="1916"/>
      <c r="F9" s="1917">
        <f t="shared" si="2"/>
        <v>0</v>
      </c>
      <c r="G9" s="1916"/>
      <c r="H9" s="1916">
        <f t="shared" si="3"/>
        <v>0</v>
      </c>
      <c r="I9" s="1916">
        <v>590</v>
      </c>
      <c r="J9" s="1916">
        <f t="shared" si="4"/>
        <v>11103.8</v>
      </c>
      <c r="K9" s="1916"/>
      <c r="L9" s="1917">
        <f t="shared" si="5"/>
        <v>0</v>
      </c>
      <c r="M9" s="1916"/>
      <c r="N9" s="1917">
        <f t="shared" si="6"/>
        <v>0</v>
      </c>
      <c r="O9" s="1916"/>
      <c r="P9" s="1917">
        <f t="shared" si="7"/>
        <v>0</v>
      </c>
      <c r="Q9" s="1917"/>
      <c r="R9" s="1917">
        <f t="shared" si="8"/>
        <v>0</v>
      </c>
      <c r="S9" s="1916"/>
      <c r="T9" s="1916">
        <f t="shared" si="9"/>
        <v>0</v>
      </c>
      <c r="U9" s="1916"/>
      <c r="V9" s="1916">
        <f t="shared" si="10"/>
        <v>0</v>
      </c>
      <c r="W9" s="1916"/>
      <c r="X9" s="19">
        <f t="shared" si="11"/>
        <v>0</v>
      </c>
      <c r="Y9" s="20">
        <f t="shared" si="1"/>
        <v>57387.020000000004</v>
      </c>
    </row>
    <row r="10" spans="1:25" ht="35.25" customHeight="1" x14ac:dyDescent="0.25">
      <c r="A10" s="12">
        <v>1409935199</v>
      </c>
      <c r="C10" s="1916">
        <v>11414</v>
      </c>
      <c r="D10" s="1917">
        <f t="shared" si="0"/>
        <v>11100.115</v>
      </c>
      <c r="E10" s="1916"/>
      <c r="F10" s="1917">
        <f t="shared" si="2"/>
        <v>0</v>
      </c>
      <c r="G10" s="1916"/>
      <c r="H10" s="1916">
        <f t="shared" si="3"/>
        <v>0</v>
      </c>
      <c r="I10" s="1916"/>
      <c r="J10" s="1916">
        <f t="shared" si="4"/>
        <v>0</v>
      </c>
      <c r="K10" s="1916"/>
      <c r="L10" s="1917">
        <f t="shared" si="5"/>
        <v>0</v>
      </c>
      <c r="M10" s="1916"/>
      <c r="N10" s="1917">
        <f t="shared" si="6"/>
        <v>0</v>
      </c>
      <c r="O10" s="1916"/>
      <c r="P10" s="1917">
        <f t="shared" si="7"/>
        <v>0</v>
      </c>
      <c r="Q10" s="1917"/>
      <c r="R10" s="1917">
        <f t="shared" si="8"/>
        <v>0</v>
      </c>
      <c r="S10" s="1916">
        <v>2</v>
      </c>
      <c r="T10" s="1916">
        <f>470*S10</f>
        <v>940</v>
      </c>
      <c r="U10" s="1916"/>
      <c r="V10" s="1916">
        <f t="shared" si="10"/>
        <v>0</v>
      </c>
      <c r="W10" s="1916"/>
      <c r="X10" s="19">
        <f t="shared" si="11"/>
        <v>0</v>
      </c>
      <c r="Y10" s="20">
        <f t="shared" si="1"/>
        <v>12040.115</v>
      </c>
    </row>
    <row r="11" spans="1:25" ht="37.5" customHeight="1" x14ac:dyDescent="0.25">
      <c r="A11" s="12"/>
      <c r="B11" s="1915"/>
      <c r="C11" s="1916"/>
      <c r="D11" s="1917">
        <f t="shared" si="0"/>
        <v>0</v>
      </c>
      <c r="E11" s="1916"/>
      <c r="F11" s="1917">
        <f t="shared" si="2"/>
        <v>0</v>
      </c>
      <c r="G11" s="1916"/>
      <c r="H11" s="1916">
        <f t="shared" si="3"/>
        <v>0</v>
      </c>
      <c r="I11" s="1916"/>
      <c r="J11" s="1916">
        <f t="shared" si="4"/>
        <v>0</v>
      </c>
      <c r="K11" s="1916"/>
      <c r="L11" s="1917">
        <f t="shared" si="5"/>
        <v>0</v>
      </c>
      <c r="M11" s="1916"/>
      <c r="N11" s="1917">
        <f t="shared" si="6"/>
        <v>0</v>
      </c>
      <c r="O11" s="1916"/>
      <c r="P11" s="1917">
        <f t="shared" si="7"/>
        <v>0</v>
      </c>
      <c r="Q11" s="1917"/>
      <c r="R11" s="1917">
        <f t="shared" si="8"/>
        <v>0</v>
      </c>
      <c r="S11" s="1916"/>
      <c r="T11" s="1916">
        <f>341*S11</f>
        <v>0</v>
      </c>
      <c r="U11" s="1916"/>
      <c r="V11" s="1916">
        <f t="shared" si="10"/>
        <v>0</v>
      </c>
      <c r="W11" s="1916"/>
      <c r="X11" s="19">
        <f t="shared" si="11"/>
        <v>0</v>
      </c>
      <c r="Y11" s="20">
        <f t="shared" si="1"/>
        <v>0</v>
      </c>
    </row>
    <row r="12" spans="1:25" ht="29.25" customHeight="1" x14ac:dyDescent="0.25">
      <c r="A12" s="2235" t="s">
        <v>31</v>
      </c>
      <c r="B12" s="2235"/>
      <c r="C12" s="18">
        <f t="shared" ref="C12:X12" si="12">SUM(C6:C11)</f>
        <v>136725</v>
      </c>
      <c r="D12" s="18">
        <f t="shared" si="12"/>
        <v>132965.0625</v>
      </c>
      <c r="E12" s="18">
        <f t="shared" si="12"/>
        <v>0</v>
      </c>
      <c r="F12" s="18">
        <f t="shared" si="12"/>
        <v>0</v>
      </c>
      <c r="G12" s="18">
        <f t="shared" si="12"/>
        <v>30</v>
      </c>
      <c r="H12" s="18">
        <f t="shared" si="12"/>
        <v>847.80000000000007</v>
      </c>
      <c r="I12" s="18">
        <f t="shared" si="12"/>
        <v>2630</v>
      </c>
      <c r="J12" s="18">
        <f t="shared" si="12"/>
        <v>49496.600000000006</v>
      </c>
      <c r="K12" s="18">
        <f t="shared" si="12"/>
        <v>0</v>
      </c>
      <c r="L12" s="18">
        <f t="shared" si="12"/>
        <v>0</v>
      </c>
      <c r="M12" s="18">
        <f t="shared" si="12"/>
        <v>0</v>
      </c>
      <c r="N12" s="23">
        <f t="shared" si="12"/>
        <v>0</v>
      </c>
      <c r="O12" s="18">
        <f t="shared" si="12"/>
        <v>0</v>
      </c>
      <c r="P12" s="23">
        <f t="shared" si="12"/>
        <v>0</v>
      </c>
      <c r="Q12" s="23">
        <f t="shared" si="12"/>
        <v>0</v>
      </c>
      <c r="R12" s="23">
        <f>SUM(R6:R11)</f>
        <v>0</v>
      </c>
      <c r="S12" s="23">
        <f>SUM(S6:S11)</f>
        <v>2</v>
      </c>
      <c r="T12" s="18">
        <f t="shared" si="12"/>
        <v>940</v>
      </c>
      <c r="U12" s="18">
        <f t="shared" si="12"/>
        <v>0</v>
      </c>
      <c r="V12" s="18">
        <f t="shared" si="12"/>
        <v>0</v>
      </c>
      <c r="W12" s="18">
        <f t="shared" si="12"/>
        <v>1</v>
      </c>
      <c r="X12" s="18">
        <f t="shared" si="12"/>
        <v>100</v>
      </c>
      <c r="Y12" s="20">
        <f t="shared" si="1"/>
        <v>184349.46249999999</v>
      </c>
    </row>
    <row r="14" spans="1:25" ht="43.5" customHeight="1" x14ac:dyDescent="0.25">
      <c r="A14" s="30" t="s">
        <v>32</v>
      </c>
      <c r="B14" s="2236" t="s">
        <v>27</v>
      </c>
      <c r="C14" s="2236"/>
      <c r="D14" s="30" t="s">
        <v>543</v>
      </c>
      <c r="E14" s="30" t="s">
        <v>65</v>
      </c>
      <c r="F14" s="30" t="s">
        <v>34</v>
      </c>
      <c r="G14" s="30" t="s">
        <v>14</v>
      </c>
      <c r="H14" s="469" t="s">
        <v>173</v>
      </c>
      <c r="I14" s="30" t="s">
        <v>17</v>
      </c>
      <c r="J14" s="1921" t="s">
        <v>174</v>
      </c>
      <c r="K14" s="30" t="s">
        <v>36</v>
      </c>
      <c r="L14" s="1921" t="s">
        <v>403</v>
      </c>
      <c r="M14" s="1921" t="s">
        <v>549</v>
      </c>
      <c r="N14" s="30" t="s">
        <v>442</v>
      </c>
      <c r="O14" s="1921" t="s">
        <v>114</v>
      </c>
      <c r="P14" s="30" t="s">
        <v>70</v>
      </c>
      <c r="Q14" s="2300" t="s">
        <v>479</v>
      </c>
      <c r="R14" s="2301"/>
      <c r="S14" s="1921" t="s">
        <v>401</v>
      </c>
      <c r="T14" s="2235" t="s">
        <v>46</v>
      </c>
      <c r="U14" s="1913" t="s">
        <v>176</v>
      </c>
      <c r="V14" s="2260">
        <v>170644</v>
      </c>
      <c r="W14" s="2268"/>
      <c r="X14" s="2261"/>
    </row>
    <row r="15" spans="1:25" ht="22.5" customHeight="1" x14ac:dyDescent="0.25">
      <c r="A15" s="100" t="s">
        <v>38</v>
      </c>
      <c r="B15" s="2260">
        <v>410957</v>
      </c>
      <c r="C15" s="2261"/>
      <c r="D15" s="1918">
        <v>320</v>
      </c>
      <c r="E15" s="1918">
        <v>500</v>
      </c>
      <c r="F15" s="1918">
        <v>6010</v>
      </c>
      <c r="G15" s="1918">
        <v>0</v>
      </c>
      <c r="H15" s="1918">
        <v>38</v>
      </c>
      <c r="I15" s="1918">
        <v>2</v>
      </c>
      <c r="J15" s="1918">
        <v>4</v>
      </c>
      <c r="K15" s="1918">
        <v>73</v>
      </c>
      <c r="L15" s="1918">
        <v>0</v>
      </c>
      <c r="M15" s="1918">
        <v>2</v>
      </c>
      <c r="N15" s="1918">
        <v>0</v>
      </c>
      <c r="O15" s="1918">
        <v>0</v>
      </c>
      <c r="P15" s="1918">
        <v>100</v>
      </c>
      <c r="Q15" s="2260">
        <v>10</v>
      </c>
      <c r="R15" s="2261"/>
      <c r="S15" s="1913">
        <v>2</v>
      </c>
      <c r="T15" s="2235"/>
      <c r="U15" s="1913" t="s">
        <v>64</v>
      </c>
      <c r="V15" s="2262">
        <v>30184</v>
      </c>
      <c r="W15" s="2262"/>
      <c r="X15" s="2262"/>
    </row>
    <row r="16" spans="1:25" ht="24.75" customHeight="1" x14ac:dyDescent="0.25">
      <c r="A16" s="100" t="s">
        <v>39</v>
      </c>
      <c r="B16" s="2260">
        <v>116055</v>
      </c>
      <c r="C16" s="2261"/>
      <c r="D16" s="1918"/>
      <c r="E16" s="1918"/>
      <c r="F16" s="1918">
        <v>4000</v>
      </c>
      <c r="G16" s="1918">
        <v>1000</v>
      </c>
      <c r="H16" s="1918"/>
      <c r="I16" s="1918">
        <v>80</v>
      </c>
      <c r="J16" s="1918"/>
      <c r="K16" s="1918"/>
      <c r="L16" s="1918"/>
      <c r="M16" s="1918"/>
      <c r="N16" s="1918"/>
      <c r="O16" s="1918"/>
      <c r="P16" s="1918"/>
      <c r="Q16" s="2262"/>
      <c r="R16" s="2262"/>
      <c r="S16" s="1918"/>
      <c r="T16" s="2254" t="s">
        <v>55</v>
      </c>
      <c r="U16" s="2254"/>
      <c r="V16" s="2267">
        <f>Y12</f>
        <v>184349.46249999999</v>
      </c>
      <c r="W16" s="2267"/>
      <c r="X16" s="2262"/>
    </row>
    <row r="17" spans="1:25" ht="28.5" customHeight="1" x14ac:dyDescent="0.25">
      <c r="A17" s="101" t="s">
        <v>44</v>
      </c>
      <c r="B17" s="2260"/>
      <c r="C17" s="2261"/>
      <c r="D17" s="1918"/>
      <c r="E17" s="1918"/>
      <c r="F17" s="1918"/>
      <c r="G17" s="1918"/>
      <c r="H17" s="1918"/>
      <c r="I17" s="1918"/>
      <c r="J17" s="1918"/>
      <c r="K17" s="1918"/>
      <c r="L17" s="1918"/>
      <c r="M17" s="1918"/>
      <c r="N17" s="1918"/>
      <c r="O17" s="1918"/>
      <c r="P17" s="1918"/>
      <c r="Q17" s="2225"/>
      <c r="R17" s="2225"/>
      <c r="S17" s="1915"/>
      <c r="T17" s="2294" t="s">
        <v>560</v>
      </c>
      <c r="U17" s="2295"/>
      <c r="V17" s="2296">
        <v>9036</v>
      </c>
      <c r="W17" s="2296"/>
      <c r="X17" s="2296"/>
    </row>
    <row r="18" spans="1:25" ht="27" customHeight="1" x14ac:dyDescent="0.25">
      <c r="A18" s="100" t="s">
        <v>40</v>
      </c>
      <c r="B18" s="2264">
        <f>C12</f>
        <v>136725</v>
      </c>
      <c r="C18" s="2261"/>
      <c r="D18" s="1919">
        <f>E12</f>
        <v>0</v>
      </c>
      <c r="E18" s="1919">
        <f>G12</f>
        <v>30</v>
      </c>
      <c r="F18" s="1919">
        <f>I12</f>
        <v>2630</v>
      </c>
      <c r="G18" s="1919">
        <f>K12</f>
        <v>0</v>
      </c>
      <c r="H18" s="1918"/>
      <c r="I18" s="1919">
        <f>U12</f>
        <v>0</v>
      </c>
      <c r="J18" s="1918"/>
      <c r="K18" s="1919">
        <f>W12</f>
        <v>1</v>
      </c>
      <c r="L18" s="1918"/>
      <c r="M18" s="1919"/>
      <c r="N18" s="1919">
        <f>O12</f>
        <v>0</v>
      </c>
      <c r="O18" s="1920">
        <f>Q12</f>
        <v>0</v>
      </c>
      <c r="P18" s="1919"/>
      <c r="Q18" s="2262"/>
      <c r="R18" s="2262"/>
      <c r="S18" s="1913"/>
      <c r="T18" s="2254" t="s">
        <v>57</v>
      </c>
      <c r="U18" s="2254"/>
      <c r="V18" s="2262">
        <v>1940</v>
      </c>
      <c r="W18" s="2262"/>
      <c r="X18" s="2262"/>
      <c r="Y18" s="2269"/>
    </row>
    <row r="19" spans="1:25" ht="25.5" customHeight="1" x14ac:dyDescent="0.25">
      <c r="A19" s="100" t="s">
        <v>41</v>
      </c>
      <c r="B19" s="2260">
        <f>B15+B16+B17-B18</f>
        <v>390287</v>
      </c>
      <c r="C19" s="2261"/>
      <c r="D19" s="1918">
        <f>D15+D16+D17-D18</f>
        <v>320</v>
      </c>
      <c r="E19" s="1918">
        <f t="shared" ref="E19:N19" si="13">E15+E16+E17-E18</f>
        <v>470</v>
      </c>
      <c r="F19" s="1918">
        <f t="shared" si="13"/>
        <v>7380</v>
      </c>
      <c r="G19" s="1918">
        <f t="shared" si="13"/>
        <v>1000</v>
      </c>
      <c r="H19" s="1918">
        <f t="shared" si="13"/>
        <v>38</v>
      </c>
      <c r="I19" s="1918">
        <f t="shared" si="13"/>
        <v>82</v>
      </c>
      <c r="J19" s="1918">
        <f t="shared" si="13"/>
        <v>4</v>
      </c>
      <c r="K19" s="1918">
        <f t="shared" si="13"/>
        <v>72</v>
      </c>
      <c r="L19" s="1918">
        <f t="shared" si="13"/>
        <v>0</v>
      </c>
      <c r="M19" s="1918">
        <f t="shared" si="13"/>
        <v>2</v>
      </c>
      <c r="N19" s="1918">
        <f t="shared" si="13"/>
        <v>0</v>
      </c>
      <c r="O19" s="1918">
        <f>O15+O16+O17-O18</f>
        <v>0</v>
      </c>
      <c r="P19" s="1918">
        <f t="shared" ref="P19:Q19" si="14">P15+P16+P17-P18</f>
        <v>100</v>
      </c>
      <c r="Q19" s="2260">
        <f t="shared" si="14"/>
        <v>10</v>
      </c>
      <c r="R19" s="2261"/>
      <c r="S19" s="1913">
        <f>S15+S16-S17-S18</f>
        <v>2</v>
      </c>
      <c r="T19" s="2256" t="s">
        <v>48</v>
      </c>
      <c r="U19" s="49" t="s">
        <v>58</v>
      </c>
      <c r="V19" s="2262">
        <v>240000</v>
      </c>
      <c r="W19" s="2262"/>
      <c r="X19" s="2262"/>
      <c r="Y19" s="2269"/>
    </row>
    <row r="20" spans="1:25" ht="23.25" customHeight="1" x14ac:dyDescent="0.25">
      <c r="A20" s="289" t="s">
        <v>187</v>
      </c>
      <c r="B20" s="2286">
        <f>B19*0.9625</f>
        <v>375651.23749999999</v>
      </c>
      <c r="C20" s="2287"/>
      <c r="D20" s="290">
        <f>D19*19.48</f>
        <v>6233.6</v>
      </c>
      <c r="E20" s="290">
        <f>27.97*E19</f>
        <v>13145.9</v>
      </c>
      <c r="F20" s="290">
        <f>18.63*F19</f>
        <v>137489.4</v>
      </c>
      <c r="G20" s="290">
        <f>27.9468*G19</f>
        <v>27946.799999999999</v>
      </c>
      <c r="H20" s="290">
        <f>241*H19</f>
        <v>9158</v>
      </c>
      <c r="I20" s="290">
        <f>323*I19</f>
        <v>26486</v>
      </c>
      <c r="J20" s="290">
        <f>241*J19</f>
        <v>964</v>
      </c>
      <c r="K20" s="290">
        <f>K19*100</f>
        <v>7200</v>
      </c>
      <c r="L20" s="290">
        <f>241*L19</f>
        <v>0</v>
      </c>
      <c r="M20" s="290">
        <f>470*M19</f>
        <v>940</v>
      </c>
      <c r="N20" s="290">
        <f>N19*8.81</f>
        <v>0</v>
      </c>
      <c r="O20" s="290">
        <f>241*O19</f>
        <v>0</v>
      </c>
      <c r="P20" s="290">
        <f>P19*48.2</f>
        <v>4820</v>
      </c>
      <c r="Q20" s="2286">
        <f>470*Q19</f>
        <v>4700</v>
      </c>
      <c r="R20" s="2287"/>
      <c r="S20" s="290">
        <f>341*S19</f>
        <v>682</v>
      </c>
      <c r="T20" s="2257"/>
      <c r="U20" s="49" t="s">
        <v>59</v>
      </c>
      <c r="V20" s="2262">
        <v>100000</v>
      </c>
      <c r="W20" s="2262"/>
      <c r="X20" s="2262"/>
      <c r="Y20" s="2269"/>
    </row>
    <row r="21" spans="1:25" ht="32.25" customHeight="1" x14ac:dyDescent="0.25">
      <c r="A21" s="291" t="s">
        <v>186</v>
      </c>
      <c r="B21" s="2302">
        <f>SUM(B20:S20)</f>
        <v>615416.9375</v>
      </c>
      <c r="C21" s="2302"/>
      <c r="T21" s="2294" t="s">
        <v>561</v>
      </c>
      <c r="U21" s="2295"/>
      <c r="V21" s="2297">
        <v>9036</v>
      </c>
      <c r="W21" s="2298"/>
      <c r="X21" s="2299"/>
      <c r="Y21" s="2269"/>
    </row>
    <row r="22" spans="1:25" ht="35.25" customHeight="1" x14ac:dyDescent="0.25">
      <c r="A22" s="1911"/>
      <c r="B22" s="2288" t="s">
        <v>49</v>
      </c>
      <c r="C22" s="2291">
        <v>240000</v>
      </c>
      <c r="D22" s="2291">
        <v>240000</v>
      </c>
      <c r="E22" s="2291">
        <v>140000</v>
      </c>
      <c r="F22" s="2291">
        <f>C22-D22+E22</f>
        <v>140000</v>
      </c>
      <c r="T22" s="2251" t="s">
        <v>83</v>
      </c>
      <c r="U22" s="50" t="s">
        <v>60</v>
      </c>
      <c r="V22" s="2262">
        <v>319420</v>
      </c>
      <c r="W22" s="2262"/>
      <c r="X22" s="2262"/>
      <c r="Y22" s="2269"/>
    </row>
    <row r="23" spans="1:25" ht="39.75" customHeight="1" x14ac:dyDescent="0.25">
      <c r="B23" s="2289"/>
      <c r="C23" s="2292"/>
      <c r="D23" s="2292"/>
      <c r="E23" s="2292"/>
      <c r="F23" s="2292"/>
      <c r="T23" s="2252"/>
      <c r="U23" s="50" t="s">
        <v>61</v>
      </c>
      <c r="V23" s="2262">
        <v>340000</v>
      </c>
      <c r="W23" s="2262"/>
      <c r="X23" s="2262"/>
      <c r="Y23" s="2269"/>
    </row>
    <row r="24" spans="1:25" ht="48" customHeight="1" x14ac:dyDescent="0.25">
      <c r="B24" s="2290"/>
      <c r="C24" s="290" t="s">
        <v>46</v>
      </c>
      <c r="D24" s="290" t="s">
        <v>50</v>
      </c>
      <c r="E24" s="290" t="s">
        <v>51</v>
      </c>
      <c r="F24" s="290" t="s">
        <v>52</v>
      </c>
      <c r="T24" s="2235" t="s">
        <v>47</v>
      </c>
      <c r="U24" s="51" t="s">
        <v>62</v>
      </c>
      <c r="V24" s="2263">
        <f>V14+V16+V17-V18-V19-V20-V22+V23-V21</f>
        <v>33633.462500000023</v>
      </c>
      <c r="W24" s="2263"/>
      <c r="X24" s="2263"/>
      <c r="Y24" s="2269"/>
    </row>
    <row r="25" spans="1:25" ht="40.5" customHeight="1" x14ac:dyDescent="0.25">
      <c r="T25" s="2235"/>
      <c r="U25" s="51" t="s">
        <v>63</v>
      </c>
      <c r="V25" s="2262">
        <f>V15+V22-V23</f>
        <v>9604</v>
      </c>
      <c r="W25" s="2262"/>
      <c r="X25" s="2262"/>
    </row>
    <row r="26" spans="1:25" ht="36" customHeight="1" x14ac:dyDescent="0.25">
      <c r="K26" s="314"/>
    </row>
    <row r="28" spans="1:25" x14ac:dyDescent="0.25">
      <c r="J28" s="14" t="s">
        <v>139</v>
      </c>
    </row>
    <row r="32" spans="1:25" x14ac:dyDescent="0.25">
      <c r="I32" s="2280"/>
      <c r="J32" s="2280"/>
      <c r="K32" s="2280"/>
      <c r="L32" s="2280"/>
    </row>
    <row r="33" spans="9:12" x14ac:dyDescent="0.25">
      <c r="I33" s="1922"/>
      <c r="J33" s="1922"/>
      <c r="K33" s="2280"/>
      <c r="L33" s="2280"/>
    </row>
  </sheetData>
  <mergeCells count="62">
    <mergeCell ref="I32:J32"/>
    <mergeCell ref="K32:L32"/>
    <mergeCell ref="K33:L33"/>
    <mergeCell ref="T22:T23"/>
    <mergeCell ref="V22:X22"/>
    <mergeCell ref="V23:X23"/>
    <mergeCell ref="T24:T25"/>
    <mergeCell ref="V24:X24"/>
    <mergeCell ref="V25:X25"/>
    <mergeCell ref="Y18:Y24"/>
    <mergeCell ref="B19:C19"/>
    <mergeCell ref="Q19:R19"/>
    <mergeCell ref="T19:T20"/>
    <mergeCell ref="V19:X19"/>
    <mergeCell ref="B20:C20"/>
    <mergeCell ref="B22:B24"/>
    <mergeCell ref="C22:C23"/>
    <mergeCell ref="D22:D23"/>
    <mergeCell ref="E22:E23"/>
    <mergeCell ref="F22:F23"/>
    <mergeCell ref="Q20:R20"/>
    <mergeCell ref="V20:X20"/>
    <mergeCell ref="B21:C21"/>
    <mergeCell ref="T21:U21"/>
    <mergeCell ref="V21:X21"/>
    <mergeCell ref="B17:C17"/>
    <mergeCell ref="Q17:R17"/>
    <mergeCell ref="T17:U17"/>
    <mergeCell ref="V17:X17"/>
    <mergeCell ref="B18:C18"/>
    <mergeCell ref="Q18:R18"/>
    <mergeCell ref="T18:U18"/>
    <mergeCell ref="V18:X18"/>
    <mergeCell ref="W4:X4"/>
    <mergeCell ref="B16:C16"/>
    <mergeCell ref="Q16:R16"/>
    <mergeCell ref="T16:U16"/>
    <mergeCell ref="V16:X16"/>
    <mergeCell ref="A12:B12"/>
    <mergeCell ref="B14:C14"/>
    <mergeCell ref="Q14:R14"/>
    <mergeCell ref="T14:T15"/>
    <mergeCell ref="V14:X14"/>
    <mergeCell ref="B15:C15"/>
    <mergeCell ref="Q15:R15"/>
    <mergeCell ref="V15:X15"/>
    <mergeCell ref="A1:Y1"/>
    <mergeCell ref="A2:Y2"/>
    <mergeCell ref="T3:Y3"/>
    <mergeCell ref="A4:A5"/>
    <mergeCell ref="B4:B5"/>
    <mergeCell ref="C4:D4"/>
    <mergeCell ref="E4:F4"/>
    <mergeCell ref="G4:H4"/>
    <mergeCell ref="I4:J4"/>
    <mergeCell ref="K4:L4"/>
    <mergeCell ref="Y4:Y5"/>
    <mergeCell ref="M4:N4"/>
    <mergeCell ref="O4:P4"/>
    <mergeCell ref="Q4:R4"/>
    <mergeCell ref="S4:T4"/>
    <mergeCell ref="U4:V4"/>
  </mergeCells>
  <pageMargins left="0.15748031496063" right="0.15748031496063" top="0" bottom="0" header="0" footer="0"/>
  <pageSetup paperSize="9" scale="46" orientation="landscape" r:id="rId1"/>
</worksheet>
</file>

<file path=xl/worksheets/sheet30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40024B5-F754-4642-95B6-85D2F9D7AB86}">
  <sheetPr>
    <pageSetUpPr fitToPage="1"/>
  </sheetPr>
  <dimension ref="A1:Y33"/>
  <sheetViews>
    <sheetView topLeftCell="A2" zoomScale="70" zoomScaleNormal="70" zoomScaleSheetLayoutView="100" zoomScalePageLayoutView="68" workbookViewId="0">
      <selection activeCell="P23" sqref="P23"/>
    </sheetView>
  </sheetViews>
  <sheetFormatPr defaultColWidth="9.140625" defaultRowHeight="15" x14ac:dyDescent="0.25"/>
  <cols>
    <col min="1" max="1" width="18.28515625" style="14" customWidth="1"/>
    <col min="2" max="2" width="10.7109375" style="14" customWidth="1"/>
    <col min="3" max="3" width="12.28515625" style="14" customWidth="1"/>
    <col min="4" max="4" width="13.140625" style="14" bestFit="1" customWidth="1"/>
    <col min="5" max="5" width="12" style="14" customWidth="1"/>
    <col min="6" max="6" width="14" style="14" bestFit="1" customWidth="1"/>
    <col min="7" max="7" width="16" style="14" bestFit="1" customWidth="1"/>
    <col min="8" max="8" width="10.140625" style="14" bestFit="1" customWidth="1"/>
    <col min="9" max="9" width="10.5703125" style="14" bestFit="1" customWidth="1"/>
    <col min="10" max="10" width="10.5703125" style="14" customWidth="1"/>
    <col min="11" max="11" width="10.28515625" style="14" bestFit="1" customWidth="1"/>
    <col min="12" max="12" width="10.42578125" style="14" bestFit="1" customWidth="1"/>
    <col min="13" max="14" width="12" style="14" bestFit="1" customWidth="1"/>
    <col min="15" max="15" width="11" style="14" customWidth="1"/>
    <col min="16" max="16" width="12.85546875" style="14" bestFit="1" customWidth="1"/>
    <col min="17" max="18" width="9.42578125" style="14" customWidth="1"/>
    <col min="19" max="19" width="13.7109375" style="14" customWidth="1"/>
    <col min="20" max="20" width="12.140625" style="14" customWidth="1"/>
    <col min="21" max="21" width="21.7109375" style="14" customWidth="1"/>
    <col min="22" max="22" width="9.85546875" style="14" customWidth="1"/>
    <col min="23" max="23" width="10.140625" style="14" bestFit="1" customWidth="1"/>
    <col min="24" max="24" width="10.28515625" style="14" customWidth="1"/>
    <col min="25" max="25" width="15.7109375" style="14" customWidth="1"/>
    <col min="26" max="16384" width="9.140625" style="14"/>
  </cols>
  <sheetData>
    <row r="1" spans="1:25" ht="46.15" customHeight="1" x14ac:dyDescent="0.25">
      <c r="A1" s="2240" t="s">
        <v>148</v>
      </c>
      <c r="B1" s="2240"/>
      <c r="C1" s="2240"/>
      <c r="D1" s="2240"/>
      <c r="E1" s="2240"/>
      <c r="F1" s="2240"/>
      <c r="G1" s="2240"/>
      <c r="H1" s="2240"/>
      <c r="I1" s="2240"/>
      <c r="J1" s="2240"/>
      <c r="K1" s="2240"/>
      <c r="L1" s="2240"/>
      <c r="M1" s="2240"/>
      <c r="N1" s="2240"/>
      <c r="O1" s="2240"/>
      <c r="P1" s="2240"/>
      <c r="Q1" s="2240"/>
      <c r="R1" s="2240"/>
      <c r="S1" s="2240"/>
      <c r="T1" s="2240"/>
      <c r="U1" s="2240"/>
      <c r="V1" s="2240"/>
      <c r="W1" s="2240"/>
      <c r="X1" s="2240"/>
      <c r="Y1" s="2240"/>
    </row>
    <row r="2" spans="1:25" ht="21.6" customHeight="1" x14ac:dyDescent="0.25">
      <c r="A2" s="2241" t="s">
        <v>383</v>
      </c>
      <c r="B2" s="2241"/>
      <c r="C2" s="2241"/>
      <c r="D2" s="2241"/>
      <c r="E2" s="2241"/>
      <c r="F2" s="2241"/>
      <c r="G2" s="2241"/>
      <c r="H2" s="2241"/>
      <c r="I2" s="2241"/>
      <c r="J2" s="2241"/>
      <c r="K2" s="2241"/>
      <c r="L2" s="2241"/>
      <c r="M2" s="2241"/>
      <c r="N2" s="2241"/>
      <c r="O2" s="2241"/>
      <c r="P2" s="2241"/>
      <c r="Q2" s="2241"/>
      <c r="R2" s="2241"/>
      <c r="S2" s="2241"/>
      <c r="T2" s="2241"/>
      <c r="U2" s="2241"/>
      <c r="V2" s="2241"/>
      <c r="W2" s="2241"/>
      <c r="X2" s="2241"/>
      <c r="Y2" s="2241"/>
    </row>
    <row r="3" spans="1:25" ht="21" customHeight="1" x14ac:dyDescent="0.25">
      <c r="A3" s="1923"/>
      <c r="B3" s="1923"/>
      <c r="C3" s="1923"/>
      <c r="D3" s="1923"/>
      <c r="E3" s="1923"/>
      <c r="F3" s="1923"/>
      <c r="G3" s="1923"/>
      <c r="H3" s="1923"/>
      <c r="I3" s="1923"/>
      <c r="J3" s="1923"/>
      <c r="K3" s="1923"/>
      <c r="L3" s="1923"/>
      <c r="M3" s="1923"/>
      <c r="N3" s="1923"/>
      <c r="O3" s="1923"/>
      <c r="P3" s="1923"/>
      <c r="Q3" s="1923"/>
      <c r="R3" s="1923"/>
      <c r="S3" s="1923"/>
      <c r="T3" s="2242" t="s">
        <v>562</v>
      </c>
      <c r="U3" s="2242"/>
      <c r="V3" s="2242"/>
      <c r="W3" s="2242"/>
      <c r="X3" s="2242"/>
      <c r="Y3" s="2242"/>
    </row>
    <row r="4" spans="1:25" s="1923" customFormat="1" ht="18" customHeight="1" x14ac:dyDescent="0.25">
      <c r="A4" s="2243" t="s">
        <v>25</v>
      </c>
      <c r="B4" s="2243" t="s">
        <v>26</v>
      </c>
      <c r="C4" s="2244" t="s">
        <v>27</v>
      </c>
      <c r="D4" s="2244"/>
      <c r="E4" s="2244" t="s">
        <v>544</v>
      </c>
      <c r="F4" s="2244"/>
      <c r="G4" s="2244" t="s">
        <v>65</v>
      </c>
      <c r="H4" s="2244"/>
      <c r="I4" s="2244" t="s">
        <v>29</v>
      </c>
      <c r="J4" s="2244"/>
      <c r="K4" s="2245" t="s">
        <v>14</v>
      </c>
      <c r="L4" s="2246"/>
      <c r="M4" s="2245" t="s">
        <v>429</v>
      </c>
      <c r="N4" s="2246"/>
      <c r="O4" s="2245" t="s">
        <v>441</v>
      </c>
      <c r="P4" s="2246"/>
      <c r="Q4" s="2245" t="s">
        <v>114</v>
      </c>
      <c r="R4" s="2246"/>
      <c r="S4" s="2244" t="s">
        <v>35</v>
      </c>
      <c r="T4" s="2244"/>
      <c r="U4" s="2245" t="s">
        <v>17</v>
      </c>
      <c r="V4" s="2246"/>
      <c r="W4" s="2247" t="s">
        <v>36</v>
      </c>
      <c r="X4" s="2248"/>
      <c r="Y4" s="2238" t="s">
        <v>30</v>
      </c>
    </row>
    <row r="5" spans="1:25" s="1923" customFormat="1" ht="25.5" customHeight="1" x14ac:dyDescent="0.25">
      <c r="A5" s="2243"/>
      <c r="B5" s="2243"/>
      <c r="C5" s="1925" t="s">
        <v>42</v>
      </c>
      <c r="D5" s="1925" t="s">
        <v>43</v>
      </c>
      <c r="E5" s="1925" t="s">
        <v>42</v>
      </c>
      <c r="F5" s="1925" t="s">
        <v>43</v>
      </c>
      <c r="G5" s="1925" t="s">
        <v>42</v>
      </c>
      <c r="H5" s="1925" t="s">
        <v>43</v>
      </c>
      <c r="I5" s="1925" t="s">
        <v>42</v>
      </c>
      <c r="J5" s="1925" t="s">
        <v>43</v>
      </c>
      <c r="K5" s="1925" t="s">
        <v>42</v>
      </c>
      <c r="L5" s="1925" t="s">
        <v>43</v>
      </c>
      <c r="M5" s="1925" t="s">
        <v>42</v>
      </c>
      <c r="N5" s="1925" t="s">
        <v>43</v>
      </c>
      <c r="O5" s="1925" t="s">
        <v>42</v>
      </c>
      <c r="P5" s="1925" t="s">
        <v>43</v>
      </c>
      <c r="Q5" s="1925" t="s">
        <v>42</v>
      </c>
      <c r="R5" s="1925" t="s">
        <v>43</v>
      </c>
      <c r="S5" s="33" t="s">
        <v>42</v>
      </c>
      <c r="T5" s="33" t="s">
        <v>43</v>
      </c>
      <c r="U5" s="30" t="s">
        <v>42</v>
      </c>
      <c r="V5" s="30" t="s">
        <v>43</v>
      </c>
      <c r="W5" s="30" t="s">
        <v>42</v>
      </c>
      <c r="X5" s="30" t="s">
        <v>43</v>
      </c>
      <c r="Y5" s="2239"/>
    </row>
    <row r="6" spans="1:25" ht="34.5" customHeight="1" x14ac:dyDescent="0.25">
      <c r="A6" s="12">
        <v>1409935200</v>
      </c>
      <c r="B6" s="1924" t="s">
        <v>71</v>
      </c>
      <c r="C6" s="1927">
        <v>36600</v>
      </c>
      <c r="D6" s="1928">
        <f t="shared" ref="D6:D11" si="0">0.9725*C6</f>
        <v>35593.5</v>
      </c>
      <c r="E6" s="1927"/>
      <c r="F6" s="1928">
        <f>19.68*E6</f>
        <v>0</v>
      </c>
      <c r="G6" s="1927">
        <v>70</v>
      </c>
      <c r="H6" s="1927">
        <f>28.26*G6</f>
        <v>1978.2</v>
      </c>
      <c r="I6" s="1927">
        <v>210</v>
      </c>
      <c r="J6" s="1927">
        <f>18.82*I6</f>
        <v>3952.2000000000003</v>
      </c>
      <c r="K6" s="1927"/>
      <c r="L6" s="1928">
        <f>28.2368*K6</f>
        <v>0</v>
      </c>
      <c r="M6" s="1927"/>
      <c r="N6" s="1928">
        <f>M6*47.6525</f>
        <v>0</v>
      </c>
      <c r="O6" s="1927"/>
      <c r="P6" s="1928">
        <f>O6*8.9</f>
        <v>0</v>
      </c>
      <c r="Q6" s="1928"/>
      <c r="R6" s="1928">
        <f>241*Q6</f>
        <v>0</v>
      </c>
      <c r="S6" s="1927"/>
      <c r="T6" s="1927">
        <f>470*S6</f>
        <v>0</v>
      </c>
      <c r="U6" s="1927"/>
      <c r="V6" s="1927">
        <f>332*U6</f>
        <v>0</v>
      </c>
      <c r="W6" s="1927"/>
      <c r="X6" s="19">
        <f>W6*100</f>
        <v>0</v>
      </c>
      <c r="Y6" s="20">
        <f t="shared" ref="Y6:Y12" si="1">D6+F6+H6+J6+L6+N6+P6+R6+T6+V6+X6</f>
        <v>41523.899999999994</v>
      </c>
    </row>
    <row r="7" spans="1:25" ht="36.75" customHeight="1" x14ac:dyDescent="0.25">
      <c r="A7" s="12">
        <v>1984225578</v>
      </c>
      <c r="B7" s="1924" t="s">
        <v>509</v>
      </c>
      <c r="C7" s="1927">
        <v>21735</v>
      </c>
      <c r="D7" s="1928">
        <f t="shared" si="0"/>
        <v>21137.287500000002</v>
      </c>
      <c r="E7" s="1927"/>
      <c r="F7" s="1928">
        <f t="shared" ref="F7:F11" si="2">19.68*E7</f>
        <v>0</v>
      </c>
      <c r="G7" s="1927">
        <v>50</v>
      </c>
      <c r="H7" s="1927">
        <f t="shared" ref="H7:H11" si="3">28.26*G7</f>
        <v>1413</v>
      </c>
      <c r="I7" s="1927">
        <v>330</v>
      </c>
      <c r="J7" s="1927">
        <f t="shared" ref="J7:J11" si="4">18.82*I7</f>
        <v>6210.6</v>
      </c>
      <c r="K7" s="1927"/>
      <c r="L7" s="1928">
        <f t="shared" ref="L7:L11" si="5">28.2368*K7</f>
        <v>0</v>
      </c>
      <c r="M7" s="1927"/>
      <c r="N7" s="1928">
        <f t="shared" ref="N7:N11" si="6">M7*47.6525</f>
        <v>0</v>
      </c>
      <c r="O7" s="1927"/>
      <c r="P7" s="1928">
        <f t="shared" ref="P7:P11" si="7">O7*8.9</f>
        <v>0</v>
      </c>
      <c r="Q7" s="1928"/>
      <c r="R7" s="1928">
        <f t="shared" ref="R7:R11" si="8">241*Q7</f>
        <v>0</v>
      </c>
      <c r="S7" s="1927"/>
      <c r="T7" s="1927">
        <f t="shared" ref="T7:T9" si="9">241*S7</f>
        <v>0</v>
      </c>
      <c r="U7" s="1927"/>
      <c r="V7" s="1927">
        <f t="shared" ref="V7:V11" si="10">332*U7</f>
        <v>0</v>
      </c>
      <c r="W7" s="1927"/>
      <c r="X7" s="19">
        <f t="shared" ref="X7:X11" si="11">W7*100</f>
        <v>0</v>
      </c>
      <c r="Y7" s="20">
        <f t="shared" si="1"/>
        <v>28760.887500000004</v>
      </c>
    </row>
    <row r="8" spans="1:25" ht="35.25" customHeight="1" x14ac:dyDescent="0.25">
      <c r="A8" s="12">
        <v>1967020280</v>
      </c>
      <c r="B8" s="1924" t="s">
        <v>427</v>
      </c>
      <c r="C8" s="1927">
        <v>22551</v>
      </c>
      <c r="D8" s="1928">
        <f t="shared" si="0"/>
        <v>21930.8475</v>
      </c>
      <c r="E8" s="1927"/>
      <c r="F8" s="1928">
        <f t="shared" si="2"/>
        <v>0</v>
      </c>
      <c r="G8" s="1927">
        <v>20</v>
      </c>
      <c r="H8" s="1927">
        <f t="shared" si="3"/>
        <v>565.20000000000005</v>
      </c>
      <c r="I8" s="1927">
        <v>490</v>
      </c>
      <c r="J8" s="1927">
        <f t="shared" si="4"/>
        <v>9221.7999999999993</v>
      </c>
      <c r="K8" s="1927"/>
      <c r="L8" s="1928">
        <f t="shared" si="5"/>
        <v>0</v>
      </c>
      <c r="M8" s="1927"/>
      <c r="N8" s="1928">
        <f t="shared" si="6"/>
        <v>0</v>
      </c>
      <c r="O8" s="1927"/>
      <c r="P8" s="1928">
        <f t="shared" si="7"/>
        <v>0</v>
      </c>
      <c r="Q8" s="1928"/>
      <c r="R8" s="1928">
        <f t="shared" si="8"/>
        <v>0</v>
      </c>
      <c r="S8" s="1927"/>
      <c r="T8" s="1927">
        <f t="shared" si="9"/>
        <v>0</v>
      </c>
      <c r="U8" s="1927"/>
      <c r="V8" s="1927">
        <f t="shared" si="10"/>
        <v>0</v>
      </c>
      <c r="W8" s="1927"/>
      <c r="X8" s="19">
        <f t="shared" si="11"/>
        <v>0</v>
      </c>
      <c r="Y8" s="20">
        <f t="shared" si="1"/>
        <v>31717.8475</v>
      </c>
    </row>
    <row r="9" spans="1:25" ht="38.25" customHeight="1" x14ac:dyDescent="0.25">
      <c r="A9" s="12">
        <v>1984225580</v>
      </c>
      <c r="B9" s="1924" t="s">
        <v>74</v>
      </c>
      <c r="C9" s="1927">
        <v>35254</v>
      </c>
      <c r="D9" s="1928">
        <f t="shared" si="0"/>
        <v>34284.514999999999</v>
      </c>
      <c r="E9" s="1927"/>
      <c r="F9" s="1928">
        <f t="shared" si="2"/>
        <v>0</v>
      </c>
      <c r="G9" s="1927"/>
      <c r="H9" s="1927">
        <f t="shared" si="3"/>
        <v>0</v>
      </c>
      <c r="I9" s="1927">
        <v>500</v>
      </c>
      <c r="J9" s="1927">
        <f t="shared" si="4"/>
        <v>9410</v>
      </c>
      <c r="K9" s="1927"/>
      <c r="L9" s="1928">
        <f t="shared" si="5"/>
        <v>0</v>
      </c>
      <c r="M9" s="1927"/>
      <c r="N9" s="1928">
        <f t="shared" si="6"/>
        <v>0</v>
      </c>
      <c r="O9" s="1927"/>
      <c r="P9" s="1928">
        <f t="shared" si="7"/>
        <v>0</v>
      </c>
      <c r="Q9" s="1928"/>
      <c r="R9" s="1928">
        <f t="shared" si="8"/>
        <v>0</v>
      </c>
      <c r="S9" s="1927"/>
      <c r="T9" s="1927">
        <f t="shared" si="9"/>
        <v>0</v>
      </c>
      <c r="U9" s="1927"/>
      <c r="V9" s="1927">
        <f t="shared" si="10"/>
        <v>0</v>
      </c>
      <c r="W9" s="1927"/>
      <c r="X9" s="19">
        <f t="shared" si="11"/>
        <v>0</v>
      </c>
      <c r="Y9" s="20">
        <f t="shared" si="1"/>
        <v>43694.514999999999</v>
      </c>
    </row>
    <row r="10" spans="1:25" ht="35.25" customHeight="1" x14ac:dyDescent="0.25">
      <c r="A10" s="12">
        <v>1409935199</v>
      </c>
      <c r="C10" s="1927"/>
      <c r="D10" s="1928">
        <f t="shared" si="0"/>
        <v>0</v>
      </c>
      <c r="E10" s="1927"/>
      <c r="F10" s="1928">
        <f t="shared" si="2"/>
        <v>0</v>
      </c>
      <c r="G10" s="1927"/>
      <c r="H10" s="1927">
        <f t="shared" si="3"/>
        <v>0</v>
      </c>
      <c r="I10" s="1927"/>
      <c r="J10" s="1927">
        <f t="shared" si="4"/>
        <v>0</v>
      </c>
      <c r="K10" s="1927"/>
      <c r="L10" s="1928">
        <f t="shared" si="5"/>
        <v>0</v>
      </c>
      <c r="M10" s="1927"/>
      <c r="N10" s="1928">
        <f t="shared" si="6"/>
        <v>0</v>
      </c>
      <c r="O10" s="1927"/>
      <c r="P10" s="1928">
        <f t="shared" si="7"/>
        <v>0</v>
      </c>
      <c r="Q10" s="1928"/>
      <c r="R10" s="1928">
        <f t="shared" si="8"/>
        <v>0</v>
      </c>
      <c r="S10" s="1927"/>
      <c r="T10" s="1927">
        <f>470*S10</f>
        <v>0</v>
      </c>
      <c r="U10" s="1927"/>
      <c r="V10" s="1927">
        <f t="shared" si="10"/>
        <v>0</v>
      </c>
      <c r="W10" s="1927"/>
      <c r="X10" s="19">
        <f t="shared" si="11"/>
        <v>0</v>
      </c>
      <c r="Y10" s="20">
        <f t="shared" si="1"/>
        <v>0</v>
      </c>
    </row>
    <row r="11" spans="1:25" ht="37.5" customHeight="1" x14ac:dyDescent="0.25">
      <c r="A11" s="12"/>
      <c r="B11" s="1926"/>
      <c r="C11" s="1927"/>
      <c r="D11" s="1928">
        <f t="shared" si="0"/>
        <v>0</v>
      </c>
      <c r="E11" s="1927"/>
      <c r="F11" s="1928">
        <f t="shared" si="2"/>
        <v>0</v>
      </c>
      <c r="G11" s="1927"/>
      <c r="H11" s="1927">
        <f t="shared" si="3"/>
        <v>0</v>
      </c>
      <c r="I11" s="1927"/>
      <c r="J11" s="1927">
        <f t="shared" si="4"/>
        <v>0</v>
      </c>
      <c r="K11" s="1927"/>
      <c r="L11" s="1928">
        <f t="shared" si="5"/>
        <v>0</v>
      </c>
      <c r="M11" s="1927"/>
      <c r="N11" s="1928">
        <f t="shared" si="6"/>
        <v>0</v>
      </c>
      <c r="O11" s="1927"/>
      <c r="P11" s="1928">
        <f t="shared" si="7"/>
        <v>0</v>
      </c>
      <c r="Q11" s="1928"/>
      <c r="R11" s="1928">
        <f t="shared" si="8"/>
        <v>0</v>
      </c>
      <c r="S11" s="1927"/>
      <c r="T11" s="1927">
        <f>341*S11</f>
        <v>0</v>
      </c>
      <c r="U11" s="1927"/>
      <c r="V11" s="1927">
        <f t="shared" si="10"/>
        <v>0</v>
      </c>
      <c r="W11" s="1927"/>
      <c r="X11" s="19">
        <f t="shared" si="11"/>
        <v>0</v>
      </c>
      <c r="Y11" s="20">
        <f t="shared" si="1"/>
        <v>0</v>
      </c>
    </row>
    <row r="12" spans="1:25" ht="29.25" customHeight="1" x14ac:dyDescent="0.25">
      <c r="A12" s="2235" t="s">
        <v>31</v>
      </c>
      <c r="B12" s="2235"/>
      <c r="C12" s="18">
        <f t="shared" ref="C12:X12" si="12">SUM(C6:C11)</f>
        <v>116140</v>
      </c>
      <c r="D12" s="18">
        <f t="shared" si="12"/>
        <v>112946.15000000001</v>
      </c>
      <c r="E12" s="18">
        <f t="shared" si="12"/>
        <v>0</v>
      </c>
      <c r="F12" s="18">
        <f t="shared" si="12"/>
        <v>0</v>
      </c>
      <c r="G12" s="18">
        <f t="shared" si="12"/>
        <v>140</v>
      </c>
      <c r="H12" s="18">
        <f t="shared" si="12"/>
        <v>3956.3999999999996</v>
      </c>
      <c r="I12" s="18">
        <f t="shared" si="12"/>
        <v>1530</v>
      </c>
      <c r="J12" s="18">
        <f t="shared" si="12"/>
        <v>28794.6</v>
      </c>
      <c r="K12" s="18">
        <f t="shared" si="12"/>
        <v>0</v>
      </c>
      <c r="L12" s="18">
        <f t="shared" si="12"/>
        <v>0</v>
      </c>
      <c r="M12" s="18">
        <f t="shared" si="12"/>
        <v>0</v>
      </c>
      <c r="N12" s="23">
        <f t="shared" si="12"/>
        <v>0</v>
      </c>
      <c r="O12" s="18">
        <f t="shared" si="12"/>
        <v>0</v>
      </c>
      <c r="P12" s="23">
        <f t="shared" si="12"/>
        <v>0</v>
      </c>
      <c r="Q12" s="23">
        <f t="shared" si="12"/>
        <v>0</v>
      </c>
      <c r="R12" s="23">
        <f>SUM(R6:R11)</f>
        <v>0</v>
      </c>
      <c r="S12" s="23">
        <f>SUM(S6:S11)</f>
        <v>0</v>
      </c>
      <c r="T12" s="18">
        <f t="shared" si="12"/>
        <v>0</v>
      </c>
      <c r="U12" s="18">
        <f t="shared" si="12"/>
        <v>0</v>
      </c>
      <c r="V12" s="18">
        <f t="shared" si="12"/>
        <v>0</v>
      </c>
      <c r="W12" s="18">
        <f t="shared" si="12"/>
        <v>0</v>
      </c>
      <c r="X12" s="18">
        <f t="shared" si="12"/>
        <v>0</v>
      </c>
      <c r="Y12" s="20">
        <f t="shared" si="1"/>
        <v>145697.15</v>
      </c>
    </row>
    <row r="14" spans="1:25" ht="43.5" customHeight="1" x14ac:dyDescent="0.25">
      <c r="A14" s="30" t="s">
        <v>32</v>
      </c>
      <c r="B14" s="2236" t="s">
        <v>27</v>
      </c>
      <c r="C14" s="2236"/>
      <c r="D14" s="30" t="s">
        <v>543</v>
      </c>
      <c r="E14" s="30" t="s">
        <v>65</v>
      </c>
      <c r="F14" s="30" t="s">
        <v>34</v>
      </c>
      <c r="G14" s="30" t="s">
        <v>14</v>
      </c>
      <c r="H14" s="469" t="s">
        <v>173</v>
      </c>
      <c r="I14" s="30" t="s">
        <v>17</v>
      </c>
      <c r="J14" s="1932" t="s">
        <v>174</v>
      </c>
      <c r="K14" s="30" t="s">
        <v>36</v>
      </c>
      <c r="L14" s="1932" t="s">
        <v>403</v>
      </c>
      <c r="M14" s="1932" t="s">
        <v>549</v>
      </c>
      <c r="N14" s="30" t="s">
        <v>442</v>
      </c>
      <c r="O14" s="1932" t="s">
        <v>114</v>
      </c>
      <c r="P14" s="30" t="s">
        <v>70</v>
      </c>
      <c r="Q14" s="2300" t="s">
        <v>479</v>
      </c>
      <c r="R14" s="2301"/>
      <c r="S14" s="1932" t="s">
        <v>401</v>
      </c>
      <c r="T14" s="2235" t="s">
        <v>46</v>
      </c>
      <c r="U14" s="1924" t="s">
        <v>176</v>
      </c>
      <c r="V14" s="2260">
        <v>33633</v>
      </c>
      <c r="W14" s="2268"/>
      <c r="X14" s="2261"/>
    </row>
    <row r="15" spans="1:25" ht="22.5" customHeight="1" x14ac:dyDescent="0.25">
      <c r="A15" s="100" t="s">
        <v>38</v>
      </c>
      <c r="B15" s="2260">
        <v>390287</v>
      </c>
      <c r="C15" s="2261"/>
      <c r="D15" s="1929">
        <v>320</v>
      </c>
      <c r="E15" s="1929">
        <v>470</v>
      </c>
      <c r="F15" s="1929">
        <v>7380</v>
      </c>
      <c r="G15" s="1929">
        <v>1000</v>
      </c>
      <c r="H15" s="1929">
        <v>38</v>
      </c>
      <c r="I15" s="1929">
        <v>82</v>
      </c>
      <c r="J15" s="1929">
        <v>4</v>
      </c>
      <c r="K15" s="1929">
        <v>72</v>
      </c>
      <c r="L15" s="1929">
        <v>0</v>
      </c>
      <c r="M15" s="1929">
        <v>2</v>
      </c>
      <c r="N15" s="1929">
        <v>0</v>
      </c>
      <c r="O15" s="1929">
        <v>0</v>
      </c>
      <c r="P15" s="1929">
        <v>100</v>
      </c>
      <c r="Q15" s="2260">
        <v>10</v>
      </c>
      <c r="R15" s="2261"/>
      <c r="S15" s="1924">
        <v>2</v>
      </c>
      <c r="T15" s="2235"/>
      <c r="U15" s="1924" t="s">
        <v>64</v>
      </c>
      <c r="V15" s="2262">
        <v>9604</v>
      </c>
      <c r="W15" s="2262"/>
      <c r="X15" s="2262"/>
    </row>
    <row r="16" spans="1:25" ht="24.75" customHeight="1" x14ac:dyDescent="0.25">
      <c r="A16" s="100" t="s">
        <v>39</v>
      </c>
      <c r="B16" s="2260">
        <v>114285</v>
      </c>
      <c r="C16" s="2261"/>
      <c r="D16" s="1929"/>
      <c r="E16" s="1929"/>
      <c r="F16" s="1929"/>
      <c r="G16" s="1929"/>
      <c r="H16" s="1929"/>
      <c r="I16" s="1929"/>
      <c r="J16" s="1929"/>
      <c r="K16" s="1929"/>
      <c r="L16" s="1929"/>
      <c r="M16" s="1929"/>
      <c r="N16" s="1929"/>
      <c r="O16" s="1929"/>
      <c r="P16" s="1929"/>
      <c r="Q16" s="2262"/>
      <c r="R16" s="2262"/>
      <c r="S16" s="1929"/>
      <c r="T16" s="2254" t="s">
        <v>55</v>
      </c>
      <c r="U16" s="2254"/>
      <c r="V16" s="2267">
        <f>Y12</f>
        <v>145697.15</v>
      </c>
      <c r="W16" s="2267"/>
      <c r="X16" s="2262"/>
    </row>
    <row r="17" spans="1:25" ht="28.5" customHeight="1" x14ac:dyDescent="0.25">
      <c r="A17" s="101" t="s">
        <v>44</v>
      </c>
      <c r="B17" s="2260"/>
      <c r="C17" s="2261"/>
      <c r="D17" s="1929"/>
      <c r="E17" s="1929"/>
      <c r="F17" s="1929"/>
      <c r="G17" s="1929"/>
      <c r="H17" s="1929"/>
      <c r="I17" s="1929"/>
      <c r="J17" s="1929"/>
      <c r="K17" s="1929"/>
      <c r="L17" s="1929"/>
      <c r="M17" s="1929"/>
      <c r="N17" s="1929"/>
      <c r="O17" s="1929"/>
      <c r="P17" s="1929"/>
      <c r="Q17" s="2225"/>
      <c r="R17" s="2225"/>
      <c r="S17" s="1926"/>
      <c r="T17" s="2294" t="s">
        <v>521</v>
      </c>
      <c r="U17" s="2295"/>
      <c r="V17" s="2296"/>
      <c r="W17" s="2296"/>
      <c r="X17" s="2296"/>
    </row>
    <row r="18" spans="1:25" ht="27" customHeight="1" x14ac:dyDescent="0.25">
      <c r="A18" s="100" t="s">
        <v>40</v>
      </c>
      <c r="B18" s="2264">
        <f>C12</f>
        <v>116140</v>
      </c>
      <c r="C18" s="2261"/>
      <c r="D18" s="1930">
        <f>E12</f>
        <v>0</v>
      </c>
      <c r="E18" s="1930">
        <f>G12</f>
        <v>140</v>
      </c>
      <c r="F18" s="1930">
        <f>I12</f>
        <v>1530</v>
      </c>
      <c r="G18" s="1930">
        <f>K12</f>
        <v>0</v>
      </c>
      <c r="H18" s="1929"/>
      <c r="I18" s="1930">
        <f>U12</f>
        <v>0</v>
      </c>
      <c r="J18" s="1929"/>
      <c r="K18" s="1930">
        <f>W12</f>
        <v>0</v>
      </c>
      <c r="L18" s="1929"/>
      <c r="M18" s="1930"/>
      <c r="N18" s="1930">
        <f>O12</f>
        <v>0</v>
      </c>
      <c r="O18" s="1931">
        <f>Q12</f>
        <v>0</v>
      </c>
      <c r="P18" s="1930"/>
      <c r="Q18" s="2262"/>
      <c r="R18" s="2262"/>
      <c r="S18" s="1924"/>
      <c r="T18" s="2254" t="s">
        <v>57</v>
      </c>
      <c r="U18" s="2254"/>
      <c r="V18" s="2262">
        <v>2720</v>
      </c>
      <c r="W18" s="2262"/>
      <c r="X18" s="2262"/>
      <c r="Y18" s="2269"/>
    </row>
    <row r="19" spans="1:25" ht="25.5" customHeight="1" x14ac:dyDescent="0.25">
      <c r="A19" s="100" t="s">
        <v>41</v>
      </c>
      <c r="B19" s="2260">
        <f>B15+B16+B17-B18</f>
        <v>388432</v>
      </c>
      <c r="C19" s="2261"/>
      <c r="D19" s="1929">
        <f>D15+D16+D17-D18</f>
        <v>320</v>
      </c>
      <c r="E19" s="1929">
        <f t="shared" ref="E19:N19" si="13">E15+E16+E17-E18</f>
        <v>330</v>
      </c>
      <c r="F19" s="1929">
        <f t="shared" si="13"/>
        <v>5850</v>
      </c>
      <c r="G19" s="1929">
        <f t="shared" si="13"/>
        <v>1000</v>
      </c>
      <c r="H19" s="1929">
        <f t="shared" si="13"/>
        <v>38</v>
      </c>
      <c r="I19" s="1929">
        <f t="shared" si="13"/>
        <v>82</v>
      </c>
      <c r="J19" s="1929">
        <f t="shared" si="13"/>
        <v>4</v>
      </c>
      <c r="K19" s="1929">
        <f t="shared" si="13"/>
        <v>72</v>
      </c>
      <c r="L19" s="1929">
        <f t="shared" si="13"/>
        <v>0</v>
      </c>
      <c r="M19" s="1929">
        <f t="shared" si="13"/>
        <v>2</v>
      </c>
      <c r="N19" s="1929">
        <f t="shared" si="13"/>
        <v>0</v>
      </c>
      <c r="O19" s="1929">
        <f>O15+O16+O17-O18</f>
        <v>0</v>
      </c>
      <c r="P19" s="1929">
        <f t="shared" ref="P19:Q19" si="14">P15+P16+P17-P18</f>
        <v>100</v>
      </c>
      <c r="Q19" s="2260">
        <f t="shared" si="14"/>
        <v>10</v>
      </c>
      <c r="R19" s="2261"/>
      <c r="S19" s="1924">
        <f>S15+S16-S17-S18</f>
        <v>2</v>
      </c>
      <c r="T19" s="2256" t="s">
        <v>48</v>
      </c>
      <c r="U19" s="49" t="s">
        <v>58</v>
      </c>
      <c r="V19" s="2262">
        <v>140000</v>
      </c>
      <c r="W19" s="2262"/>
      <c r="X19" s="2262"/>
      <c r="Y19" s="2269"/>
    </row>
    <row r="20" spans="1:25" ht="23.25" customHeight="1" x14ac:dyDescent="0.25">
      <c r="A20" s="289" t="s">
        <v>187</v>
      </c>
      <c r="B20" s="2286">
        <f>B19*0.9625</f>
        <v>373865.8</v>
      </c>
      <c r="C20" s="2287"/>
      <c r="D20" s="290">
        <f>D19*19.48</f>
        <v>6233.6</v>
      </c>
      <c r="E20" s="290">
        <f>27.97*E19</f>
        <v>9230.1</v>
      </c>
      <c r="F20" s="290">
        <f>18.63*F19</f>
        <v>108985.5</v>
      </c>
      <c r="G20" s="290">
        <f>27.9468*G19</f>
        <v>27946.799999999999</v>
      </c>
      <c r="H20" s="290">
        <f>241*H19</f>
        <v>9158</v>
      </c>
      <c r="I20" s="290">
        <f>323*I19</f>
        <v>26486</v>
      </c>
      <c r="J20" s="290">
        <f>241*J19</f>
        <v>964</v>
      </c>
      <c r="K20" s="290">
        <f>K19*100</f>
        <v>7200</v>
      </c>
      <c r="L20" s="290">
        <f>241*L19</f>
        <v>0</v>
      </c>
      <c r="M20" s="290">
        <f>470*M19</f>
        <v>940</v>
      </c>
      <c r="N20" s="290">
        <f>N19*8.81</f>
        <v>0</v>
      </c>
      <c r="O20" s="290">
        <f>241*O19</f>
        <v>0</v>
      </c>
      <c r="P20" s="290">
        <f>P19*48.2</f>
        <v>4820</v>
      </c>
      <c r="Q20" s="2286">
        <f>470*Q19</f>
        <v>4700</v>
      </c>
      <c r="R20" s="2287"/>
      <c r="S20" s="290">
        <f>341*S19</f>
        <v>682</v>
      </c>
      <c r="T20" s="2257"/>
      <c r="U20" s="49" t="s">
        <v>59</v>
      </c>
      <c r="V20" s="2262"/>
      <c r="W20" s="2262"/>
      <c r="X20" s="2262"/>
      <c r="Y20" s="2269"/>
    </row>
    <row r="21" spans="1:25" ht="32.25" customHeight="1" x14ac:dyDescent="0.25">
      <c r="A21" s="291" t="s">
        <v>186</v>
      </c>
      <c r="B21" s="2302">
        <f>SUM(B20:S20)</f>
        <v>581211.79999999993</v>
      </c>
      <c r="C21" s="2302"/>
      <c r="T21" s="2294" t="s">
        <v>518</v>
      </c>
      <c r="U21" s="2295"/>
      <c r="V21" s="2297"/>
      <c r="W21" s="2298"/>
      <c r="X21" s="2299"/>
      <c r="Y21" s="2269"/>
    </row>
    <row r="22" spans="1:25" ht="35.25" customHeight="1" x14ac:dyDescent="0.25">
      <c r="A22" s="1911"/>
      <c r="B22" s="2288" t="s">
        <v>49</v>
      </c>
      <c r="C22" s="2291">
        <v>140000</v>
      </c>
      <c r="D22" s="2291">
        <v>140000</v>
      </c>
      <c r="E22" s="2291">
        <v>110000</v>
      </c>
      <c r="F22" s="2291">
        <f>C22-D22+E22</f>
        <v>110000</v>
      </c>
      <c r="T22" s="2251" t="s">
        <v>83</v>
      </c>
      <c r="U22" s="50" t="s">
        <v>60</v>
      </c>
      <c r="V22" s="2262">
        <v>146210</v>
      </c>
      <c r="W22" s="2262"/>
      <c r="X22" s="2262"/>
      <c r="Y22" s="2269"/>
    </row>
    <row r="23" spans="1:25" ht="39.75" customHeight="1" x14ac:dyDescent="0.25">
      <c r="B23" s="2289"/>
      <c r="C23" s="2292"/>
      <c r="D23" s="2292"/>
      <c r="E23" s="2292"/>
      <c r="F23" s="2292"/>
      <c r="T23" s="2252"/>
      <c r="U23" s="50" t="s">
        <v>61</v>
      </c>
      <c r="V23" s="2262">
        <v>140000</v>
      </c>
      <c r="W23" s="2262"/>
      <c r="X23" s="2262"/>
      <c r="Y23" s="2269"/>
    </row>
    <row r="24" spans="1:25" ht="48" customHeight="1" x14ac:dyDescent="0.25">
      <c r="B24" s="2290"/>
      <c r="C24" s="290" t="s">
        <v>46</v>
      </c>
      <c r="D24" s="290" t="s">
        <v>50</v>
      </c>
      <c r="E24" s="290" t="s">
        <v>51</v>
      </c>
      <c r="F24" s="290" t="s">
        <v>52</v>
      </c>
      <c r="T24" s="2235" t="s">
        <v>47</v>
      </c>
      <c r="U24" s="51" t="s">
        <v>62</v>
      </c>
      <c r="V24" s="2263">
        <f>V14+V16+V17-V18-V19-V20-V22+V23-V21</f>
        <v>30400.149999999994</v>
      </c>
      <c r="W24" s="2263"/>
      <c r="X24" s="2263"/>
      <c r="Y24" s="2269"/>
    </row>
    <row r="25" spans="1:25" ht="40.5" customHeight="1" x14ac:dyDescent="0.25">
      <c r="T25" s="2235"/>
      <c r="U25" s="51" t="s">
        <v>63</v>
      </c>
      <c r="V25" s="2262">
        <f>V15+V22-V23</f>
        <v>15814</v>
      </c>
      <c r="W25" s="2262"/>
      <c r="X25" s="2262"/>
    </row>
    <row r="26" spans="1:25" ht="36" customHeight="1" x14ac:dyDescent="0.25">
      <c r="K26" s="314"/>
    </row>
    <row r="28" spans="1:25" x14ac:dyDescent="0.25">
      <c r="J28" s="14" t="s">
        <v>139</v>
      </c>
    </row>
    <row r="32" spans="1:25" x14ac:dyDescent="0.25">
      <c r="I32" s="2280"/>
      <c r="J32" s="2280"/>
      <c r="K32" s="2280"/>
      <c r="L32" s="2280"/>
    </row>
    <row r="33" spans="9:12" x14ac:dyDescent="0.25">
      <c r="I33" s="1933"/>
      <c r="J33" s="1933"/>
      <c r="K33" s="2280"/>
      <c r="L33" s="2280"/>
    </row>
  </sheetData>
  <mergeCells count="62">
    <mergeCell ref="I32:J32"/>
    <mergeCell ref="K32:L32"/>
    <mergeCell ref="K33:L33"/>
    <mergeCell ref="T22:T23"/>
    <mergeCell ref="V22:X22"/>
    <mergeCell ref="V23:X23"/>
    <mergeCell ref="T24:T25"/>
    <mergeCell ref="V24:X24"/>
    <mergeCell ref="V25:X25"/>
    <mergeCell ref="Y18:Y24"/>
    <mergeCell ref="B19:C19"/>
    <mergeCell ref="Q19:R19"/>
    <mergeCell ref="T19:T20"/>
    <mergeCell ref="V19:X19"/>
    <mergeCell ref="B20:C20"/>
    <mergeCell ref="B22:B24"/>
    <mergeCell ref="C22:C23"/>
    <mergeCell ref="D22:D23"/>
    <mergeCell ref="E22:E23"/>
    <mergeCell ref="F22:F23"/>
    <mergeCell ref="Q20:R20"/>
    <mergeCell ref="V20:X20"/>
    <mergeCell ref="B21:C21"/>
    <mergeCell ref="T21:U21"/>
    <mergeCell ref="V21:X21"/>
    <mergeCell ref="B17:C17"/>
    <mergeCell ref="Q17:R17"/>
    <mergeCell ref="T17:U17"/>
    <mergeCell ref="V17:X17"/>
    <mergeCell ref="B18:C18"/>
    <mergeCell ref="Q18:R18"/>
    <mergeCell ref="T18:U18"/>
    <mergeCell ref="V18:X18"/>
    <mergeCell ref="W4:X4"/>
    <mergeCell ref="B16:C16"/>
    <mergeCell ref="Q16:R16"/>
    <mergeCell ref="T16:U16"/>
    <mergeCell ref="V16:X16"/>
    <mergeCell ref="A12:B12"/>
    <mergeCell ref="B14:C14"/>
    <mergeCell ref="Q14:R14"/>
    <mergeCell ref="T14:T15"/>
    <mergeCell ref="V14:X14"/>
    <mergeCell ref="B15:C15"/>
    <mergeCell ref="Q15:R15"/>
    <mergeCell ref="V15:X15"/>
    <mergeCell ref="A1:Y1"/>
    <mergeCell ref="A2:Y2"/>
    <mergeCell ref="T3:Y3"/>
    <mergeCell ref="A4:A5"/>
    <mergeCell ref="B4:B5"/>
    <mergeCell ref="C4:D4"/>
    <mergeCell ref="E4:F4"/>
    <mergeCell ref="G4:H4"/>
    <mergeCell ref="I4:J4"/>
    <mergeCell ref="K4:L4"/>
    <mergeCell ref="Y4:Y5"/>
    <mergeCell ref="M4:N4"/>
    <mergeCell ref="O4:P4"/>
    <mergeCell ref="Q4:R4"/>
    <mergeCell ref="S4:T4"/>
    <mergeCell ref="U4:V4"/>
  </mergeCells>
  <pageMargins left="0.15748031496063" right="0.15748031496063" top="0" bottom="0" header="0" footer="0"/>
  <pageSetup paperSize="9" scale="46" orientation="landscape" r:id="rId1"/>
</worksheet>
</file>

<file path=xl/worksheets/sheet30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372053E-4799-4FF0-A1E8-C83481127895}">
  <sheetPr>
    <pageSetUpPr fitToPage="1"/>
  </sheetPr>
  <dimension ref="A1:Y33"/>
  <sheetViews>
    <sheetView topLeftCell="A4" zoomScale="70" zoomScaleNormal="70" zoomScaleSheetLayoutView="100" zoomScalePageLayoutView="68" workbookViewId="0">
      <selection activeCell="K23" sqref="K23"/>
    </sheetView>
  </sheetViews>
  <sheetFormatPr defaultColWidth="9.140625" defaultRowHeight="15" x14ac:dyDescent="0.25"/>
  <cols>
    <col min="1" max="1" width="18.28515625" style="14" customWidth="1"/>
    <col min="2" max="2" width="10.7109375" style="14" customWidth="1"/>
    <col min="3" max="3" width="12.28515625" style="14" customWidth="1"/>
    <col min="4" max="4" width="13.140625" style="14" bestFit="1" customWidth="1"/>
    <col min="5" max="5" width="12" style="14" customWidth="1"/>
    <col min="6" max="6" width="14" style="14" bestFit="1" customWidth="1"/>
    <col min="7" max="7" width="16" style="14" bestFit="1" customWidth="1"/>
    <col min="8" max="8" width="10.140625" style="14" bestFit="1" customWidth="1"/>
    <col min="9" max="9" width="10.5703125" style="14" bestFit="1" customWidth="1"/>
    <col min="10" max="10" width="10.5703125" style="14" customWidth="1"/>
    <col min="11" max="11" width="10.28515625" style="14" bestFit="1" customWidth="1"/>
    <col min="12" max="12" width="10.42578125" style="14" bestFit="1" customWidth="1"/>
    <col min="13" max="14" width="12" style="14" bestFit="1" customWidth="1"/>
    <col min="15" max="15" width="11" style="14" customWidth="1"/>
    <col min="16" max="16" width="12.85546875" style="14" bestFit="1" customWidth="1"/>
    <col min="17" max="18" width="9.42578125" style="14" customWidth="1"/>
    <col min="19" max="19" width="13.7109375" style="14" customWidth="1"/>
    <col min="20" max="20" width="12.140625" style="14" customWidth="1"/>
    <col min="21" max="21" width="21.7109375" style="14" customWidth="1"/>
    <col min="22" max="22" width="9.85546875" style="14" customWidth="1"/>
    <col min="23" max="23" width="10.140625" style="14" bestFit="1" customWidth="1"/>
    <col min="24" max="24" width="10.28515625" style="14" customWidth="1"/>
    <col min="25" max="25" width="15.7109375" style="14" customWidth="1"/>
    <col min="26" max="16384" width="9.140625" style="14"/>
  </cols>
  <sheetData>
    <row r="1" spans="1:25" ht="46.15" customHeight="1" x14ac:dyDescent="0.25">
      <c r="A1" s="2240" t="s">
        <v>148</v>
      </c>
      <c r="B1" s="2240"/>
      <c r="C1" s="2240"/>
      <c r="D1" s="2240"/>
      <c r="E1" s="2240"/>
      <c r="F1" s="2240"/>
      <c r="G1" s="2240"/>
      <c r="H1" s="2240"/>
      <c r="I1" s="2240"/>
      <c r="J1" s="2240"/>
      <c r="K1" s="2240"/>
      <c r="L1" s="2240"/>
      <c r="M1" s="2240"/>
      <c r="N1" s="2240"/>
      <c r="O1" s="2240"/>
      <c r="P1" s="2240"/>
      <c r="Q1" s="2240"/>
      <c r="R1" s="2240"/>
      <c r="S1" s="2240"/>
      <c r="T1" s="2240"/>
      <c r="U1" s="2240"/>
      <c r="V1" s="2240"/>
      <c r="W1" s="2240"/>
      <c r="X1" s="2240"/>
      <c r="Y1" s="2240"/>
    </row>
    <row r="2" spans="1:25" ht="21.6" customHeight="1" x14ac:dyDescent="0.25">
      <c r="A2" s="2241" t="s">
        <v>383</v>
      </c>
      <c r="B2" s="2241"/>
      <c r="C2" s="2241"/>
      <c r="D2" s="2241"/>
      <c r="E2" s="2241"/>
      <c r="F2" s="2241"/>
      <c r="G2" s="2241"/>
      <c r="H2" s="2241"/>
      <c r="I2" s="2241"/>
      <c r="J2" s="2241"/>
      <c r="K2" s="2241"/>
      <c r="L2" s="2241"/>
      <c r="M2" s="2241"/>
      <c r="N2" s="2241"/>
      <c r="O2" s="2241"/>
      <c r="P2" s="2241"/>
      <c r="Q2" s="2241"/>
      <c r="R2" s="2241"/>
      <c r="S2" s="2241"/>
      <c r="T2" s="2241"/>
      <c r="U2" s="2241"/>
      <c r="V2" s="2241"/>
      <c r="W2" s="2241"/>
      <c r="X2" s="2241"/>
      <c r="Y2" s="2241"/>
    </row>
    <row r="3" spans="1:25" ht="21" customHeight="1" x14ac:dyDescent="0.25">
      <c r="A3" s="1939"/>
      <c r="B3" s="1939"/>
      <c r="C3" s="1939"/>
      <c r="D3" s="1939"/>
      <c r="E3" s="1939"/>
      <c r="F3" s="1939"/>
      <c r="G3" s="1939"/>
      <c r="H3" s="1939"/>
      <c r="I3" s="1939"/>
      <c r="J3" s="1939"/>
      <c r="K3" s="1939"/>
      <c r="L3" s="1939"/>
      <c r="M3" s="1939"/>
      <c r="N3" s="1939"/>
      <c r="O3" s="1939"/>
      <c r="P3" s="1939"/>
      <c r="Q3" s="1939"/>
      <c r="R3" s="1939"/>
      <c r="S3" s="1939"/>
      <c r="T3" s="2242" t="s">
        <v>563</v>
      </c>
      <c r="U3" s="2242"/>
      <c r="V3" s="2242"/>
      <c r="W3" s="2242"/>
      <c r="X3" s="2242"/>
      <c r="Y3" s="2242"/>
    </row>
    <row r="4" spans="1:25" s="1939" customFormat="1" ht="18" customHeight="1" x14ac:dyDescent="0.25">
      <c r="A4" s="2243" t="s">
        <v>25</v>
      </c>
      <c r="B4" s="2243" t="s">
        <v>26</v>
      </c>
      <c r="C4" s="2244" t="s">
        <v>27</v>
      </c>
      <c r="D4" s="2244"/>
      <c r="E4" s="2244" t="s">
        <v>544</v>
      </c>
      <c r="F4" s="2244"/>
      <c r="G4" s="2244" t="s">
        <v>65</v>
      </c>
      <c r="H4" s="2244"/>
      <c r="I4" s="2244" t="s">
        <v>29</v>
      </c>
      <c r="J4" s="2244"/>
      <c r="K4" s="2245" t="s">
        <v>14</v>
      </c>
      <c r="L4" s="2246"/>
      <c r="M4" s="2245" t="s">
        <v>429</v>
      </c>
      <c r="N4" s="2246"/>
      <c r="O4" s="2245" t="s">
        <v>441</v>
      </c>
      <c r="P4" s="2246"/>
      <c r="Q4" s="2245" t="s">
        <v>114</v>
      </c>
      <c r="R4" s="2246"/>
      <c r="S4" s="2244" t="s">
        <v>35</v>
      </c>
      <c r="T4" s="2244"/>
      <c r="U4" s="2245" t="s">
        <v>17</v>
      </c>
      <c r="V4" s="2246"/>
      <c r="W4" s="2247" t="s">
        <v>36</v>
      </c>
      <c r="X4" s="2248"/>
      <c r="Y4" s="2238" t="s">
        <v>30</v>
      </c>
    </row>
    <row r="5" spans="1:25" s="1939" customFormat="1" ht="25.5" customHeight="1" x14ac:dyDescent="0.25">
      <c r="A5" s="2243"/>
      <c r="B5" s="2243"/>
      <c r="C5" s="1938" t="s">
        <v>42</v>
      </c>
      <c r="D5" s="1938" t="s">
        <v>43</v>
      </c>
      <c r="E5" s="1938" t="s">
        <v>42</v>
      </c>
      <c r="F5" s="1938" t="s">
        <v>43</v>
      </c>
      <c r="G5" s="1938" t="s">
        <v>42</v>
      </c>
      <c r="H5" s="1938" t="s">
        <v>43</v>
      </c>
      <c r="I5" s="1938" t="s">
        <v>42</v>
      </c>
      <c r="J5" s="1938" t="s">
        <v>43</v>
      </c>
      <c r="K5" s="1938" t="s">
        <v>42</v>
      </c>
      <c r="L5" s="1938" t="s">
        <v>43</v>
      </c>
      <c r="M5" s="1938" t="s">
        <v>42</v>
      </c>
      <c r="N5" s="1938" t="s">
        <v>43</v>
      </c>
      <c r="O5" s="1938" t="s">
        <v>42</v>
      </c>
      <c r="P5" s="1938" t="s">
        <v>43</v>
      </c>
      <c r="Q5" s="1938" t="s">
        <v>42</v>
      </c>
      <c r="R5" s="1938" t="s">
        <v>43</v>
      </c>
      <c r="S5" s="33" t="s">
        <v>42</v>
      </c>
      <c r="T5" s="33" t="s">
        <v>43</v>
      </c>
      <c r="U5" s="30" t="s">
        <v>42</v>
      </c>
      <c r="V5" s="30" t="s">
        <v>43</v>
      </c>
      <c r="W5" s="30" t="s">
        <v>42</v>
      </c>
      <c r="X5" s="30" t="s">
        <v>43</v>
      </c>
      <c r="Y5" s="2239"/>
    </row>
    <row r="6" spans="1:25" ht="34.5" customHeight="1" x14ac:dyDescent="0.25">
      <c r="A6" s="12">
        <v>1409935200</v>
      </c>
      <c r="B6" s="1937" t="s">
        <v>71</v>
      </c>
      <c r="C6" s="1935">
        <v>26125</v>
      </c>
      <c r="D6" s="1934">
        <f t="shared" ref="D6:D11" si="0">0.9725*C6</f>
        <v>25406.5625</v>
      </c>
      <c r="E6" s="1935"/>
      <c r="F6" s="1934">
        <f>19.68*E6</f>
        <v>0</v>
      </c>
      <c r="G6" s="1935"/>
      <c r="H6" s="1935">
        <f>28.26*G6</f>
        <v>0</v>
      </c>
      <c r="I6" s="1935">
        <v>110</v>
      </c>
      <c r="J6" s="1935">
        <f>18.82*I6</f>
        <v>2070.1999999999998</v>
      </c>
      <c r="K6" s="1935"/>
      <c r="L6" s="1934">
        <f>28.2368*K6</f>
        <v>0</v>
      </c>
      <c r="M6" s="1935"/>
      <c r="N6" s="1934">
        <f>M6*47.6525</f>
        <v>0</v>
      </c>
      <c r="O6" s="1935"/>
      <c r="P6" s="1934">
        <f>O6*8.9</f>
        <v>0</v>
      </c>
      <c r="Q6" s="1934"/>
      <c r="R6" s="1934">
        <f>241*Q6</f>
        <v>0</v>
      </c>
      <c r="S6" s="1935"/>
      <c r="T6" s="1935">
        <f>470*S6</f>
        <v>0</v>
      </c>
      <c r="U6" s="1935"/>
      <c r="V6" s="1935">
        <f>332*U6</f>
        <v>0</v>
      </c>
      <c r="W6" s="1935"/>
      <c r="X6" s="19">
        <f>W6*100</f>
        <v>0</v>
      </c>
      <c r="Y6" s="20">
        <f t="shared" ref="Y6:Y12" si="1">D6+F6+H6+J6+L6+N6+P6+R6+T6+V6+X6</f>
        <v>27476.762500000001</v>
      </c>
    </row>
    <row r="7" spans="1:25" ht="36.75" customHeight="1" x14ac:dyDescent="0.25">
      <c r="A7" s="12">
        <v>1984225578</v>
      </c>
      <c r="B7" s="1937" t="s">
        <v>509</v>
      </c>
      <c r="C7" s="1935">
        <v>20712</v>
      </c>
      <c r="D7" s="1934">
        <f t="shared" si="0"/>
        <v>20142.420000000002</v>
      </c>
      <c r="E7" s="1935"/>
      <c r="F7" s="1934">
        <f t="shared" ref="F7:F11" si="2">19.68*E7</f>
        <v>0</v>
      </c>
      <c r="G7" s="1935">
        <v>50</v>
      </c>
      <c r="H7" s="1935">
        <f t="shared" ref="H7:H11" si="3">28.26*G7</f>
        <v>1413</v>
      </c>
      <c r="I7" s="1935">
        <v>90</v>
      </c>
      <c r="J7" s="1935">
        <f t="shared" ref="J7:J11" si="4">18.82*I7</f>
        <v>1693.8</v>
      </c>
      <c r="K7" s="1935"/>
      <c r="L7" s="1934">
        <f t="shared" ref="L7:L11" si="5">28.2368*K7</f>
        <v>0</v>
      </c>
      <c r="M7" s="1935"/>
      <c r="N7" s="1934">
        <f t="shared" ref="N7:N11" si="6">M7*47.6525</f>
        <v>0</v>
      </c>
      <c r="O7" s="1935"/>
      <c r="P7" s="1934">
        <f t="shared" ref="P7:P11" si="7">O7*8.9</f>
        <v>0</v>
      </c>
      <c r="Q7" s="1934"/>
      <c r="R7" s="1934">
        <f t="shared" ref="R7:R11" si="8">241*Q7</f>
        <v>0</v>
      </c>
      <c r="S7" s="1935"/>
      <c r="T7" s="1935">
        <f t="shared" ref="T7:T9" si="9">241*S7</f>
        <v>0</v>
      </c>
      <c r="U7" s="1935"/>
      <c r="V7" s="1935">
        <f t="shared" ref="V7:V11" si="10">332*U7</f>
        <v>0</v>
      </c>
      <c r="W7" s="1935"/>
      <c r="X7" s="19">
        <f t="shared" ref="X7:X11" si="11">W7*100</f>
        <v>0</v>
      </c>
      <c r="Y7" s="20">
        <f t="shared" si="1"/>
        <v>23249.22</v>
      </c>
    </row>
    <row r="8" spans="1:25" ht="35.25" customHeight="1" x14ac:dyDescent="0.25">
      <c r="A8" s="12">
        <v>1967020280</v>
      </c>
      <c r="B8" s="1937" t="s">
        <v>427</v>
      </c>
      <c r="C8" s="1935">
        <v>23078</v>
      </c>
      <c r="D8" s="1934">
        <f t="shared" si="0"/>
        <v>22443.355</v>
      </c>
      <c r="E8" s="1935"/>
      <c r="F8" s="1934">
        <f t="shared" si="2"/>
        <v>0</v>
      </c>
      <c r="G8" s="1935">
        <v>30</v>
      </c>
      <c r="H8" s="1935">
        <f t="shared" si="3"/>
        <v>847.80000000000007</v>
      </c>
      <c r="I8" s="1935">
        <v>350</v>
      </c>
      <c r="J8" s="1935">
        <f t="shared" si="4"/>
        <v>6587</v>
      </c>
      <c r="K8" s="1935"/>
      <c r="L8" s="1934">
        <f t="shared" si="5"/>
        <v>0</v>
      </c>
      <c r="M8" s="1935"/>
      <c r="N8" s="1934">
        <f t="shared" si="6"/>
        <v>0</v>
      </c>
      <c r="O8" s="1935"/>
      <c r="P8" s="1934">
        <f t="shared" si="7"/>
        <v>0</v>
      </c>
      <c r="Q8" s="1934"/>
      <c r="R8" s="1934">
        <f t="shared" si="8"/>
        <v>0</v>
      </c>
      <c r="S8" s="1935"/>
      <c r="T8" s="1935">
        <f t="shared" si="9"/>
        <v>0</v>
      </c>
      <c r="U8" s="1935"/>
      <c r="V8" s="1935">
        <f t="shared" si="10"/>
        <v>0</v>
      </c>
      <c r="W8" s="1935"/>
      <c r="X8" s="19">
        <f t="shared" si="11"/>
        <v>0</v>
      </c>
      <c r="Y8" s="20">
        <f t="shared" si="1"/>
        <v>29878.154999999999</v>
      </c>
    </row>
    <row r="9" spans="1:25" ht="38.25" customHeight="1" x14ac:dyDescent="0.25">
      <c r="A9" s="12">
        <v>1984225580</v>
      </c>
      <c r="B9" s="1937" t="s">
        <v>74</v>
      </c>
      <c r="C9" s="1935">
        <v>25692</v>
      </c>
      <c r="D9" s="1934">
        <f t="shared" si="0"/>
        <v>24985.47</v>
      </c>
      <c r="E9" s="1935"/>
      <c r="F9" s="1934">
        <f t="shared" si="2"/>
        <v>0</v>
      </c>
      <c r="G9" s="1935"/>
      <c r="H9" s="1935">
        <f t="shared" si="3"/>
        <v>0</v>
      </c>
      <c r="I9" s="1935">
        <v>340</v>
      </c>
      <c r="J9" s="1935">
        <f t="shared" si="4"/>
        <v>6398.8</v>
      </c>
      <c r="K9" s="1935"/>
      <c r="L9" s="1934">
        <f t="shared" si="5"/>
        <v>0</v>
      </c>
      <c r="M9" s="1935"/>
      <c r="N9" s="1934">
        <f t="shared" si="6"/>
        <v>0</v>
      </c>
      <c r="O9" s="1935"/>
      <c r="P9" s="1934">
        <f t="shared" si="7"/>
        <v>0</v>
      </c>
      <c r="Q9" s="1934"/>
      <c r="R9" s="1934">
        <f t="shared" si="8"/>
        <v>0</v>
      </c>
      <c r="S9" s="1935"/>
      <c r="T9" s="1935">
        <f t="shared" si="9"/>
        <v>0</v>
      </c>
      <c r="U9" s="1935"/>
      <c r="V9" s="1935">
        <f t="shared" si="10"/>
        <v>0</v>
      </c>
      <c r="W9" s="1935"/>
      <c r="X9" s="19">
        <f t="shared" si="11"/>
        <v>0</v>
      </c>
      <c r="Y9" s="20">
        <f t="shared" si="1"/>
        <v>31384.27</v>
      </c>
    </row>
    <row r="10" spans="1:25" ht="35.25" customHeight="1" x14ac:dyDescent="0.25">
      <c r="A10" s="12">
        <v>1409935199</v>
      </c>
      <c r="C10" s="1935"/>
      <c r="D10" s="1934">
        <f t="shared" si="0"/>
        <v>0</v>
      </c>
      <c r="E10" s="1935"/>
      <c r="F10" s="1934">
        <f t="shared" si="2"/>
        <v>0</v>
      </c>
      <c r="G10" s="1935"/>
      <c r="H10" s="1935">
        <f t="shared" si="3"/>
        <v>0</v>
      </c>
      <c r="I10" s="1935"/>
      <c r="J10" s="1935">
        <f t="shared" si="4"/>
        <v>0</v>
      </c>
      <c r="K10" s="1935"/>
      <c r="L10" s="1934">
        <f t="shared" si="5"/>
        <v>0</v>
      </c>
      <c r="M10" s="1935"/>
      <c r="N10" s="1934">
        <f t="shared" si="6"/>
        <v>0</v>
      </c>
      <c r="O10" s="1935"/>
      <c r="P10" s="1934">
        <f t="shared" si="7"/>
        <v>0</v>
      </c>
      <c r="Q10" s="1934"/>
      <c r="R10" s="1934">
        <f t="shared" si="8"/>
        <v>0</v>
      </c>
      <c r="S10" s="1935"/>
      <c r="T10" s="1935">
        <f>470*S10</f>
        <v>0</v>
      </c>
      <c r="U10" s="1935"/>
      <c r="V10" s="1935">
        <f t="shared" si="10"/>
        <v>0</v>
      </c>
      <c r="W10" s="1935"/>
      <c r="X10" s="19">
        <f t="shared" si="11"/>
        <v>0</v>
      </c>
      <c r="Y10" s="20">
        <f t="shared" si="1"/>
        <v>0</v>
      </c>
    </row>
    <row r="11" spans="1:25" ht="37.5" customHeight="1" x14ac:dyDescent="0.25">
      <c r="A11" s="12"/>
      <c r="B11" s="1936"/>
      <c r="C11" s="1935"/>
      <c r="D11" s="1934">
        <f t="shared" si="0"/>
        <v>0</v>
      </c>
      <c r="E11" s="1935"/>
      <c r="F11" s="1934">
        <f t="shared" si="2"/>
        <v>0</v>
      </c>
      <c r="G11" s="1935"/>
      <c r="H11" s="1935">
        <f t="shared" si="3"/>
        <v>0</v>
      </c>
      <c r="I11" s="1935"/>
      <c r="J11" s="1935">
        <f t="shared" si="4"/>
        <v>0</v>
      </c>
      <c r="K11" s="1935"/>
      <c r="L11" s="1934">
        <f t="shared" si="5"/>
        <v>0</v>
      </c>
      <c r="M11" s="1935"/>
      <c r="N11" s="1934">
        <f t="shared" si="6"/>
        <v>0</v>
      </c>
      <c r="O11" s="1935"/>
      <c r="P11" s="1934">
        <f t="shared" si="7"/>
        <v>0</v>
      </c>
      <c r="Q11" s="1934"/>
      <c r="R11" s="1934">
        <f t="shared" si="8"/>
        <v>0</v>
      </c>
      <c r="S11" s="1935"/>
      <c r="T11" s="1935">
        <f>341*S11</f>
        <v>0</v>
      </c>
      <c r="U11" s="1935"/>
      <c r="V11" s="1935">
        <f t="shared" si="10"/>
        <v>0</v>
      </c>
      <c r="W11" s="1935"/>
      <c r="X11" s="19">
        <f t="shared" si="11"/>
        <v>0</v>
      </c>
      <c r="Y11" s="20">
        <f t="shared" si="1"/>
        <v>0</v>
      </c>
    </row>
    <row r="12" spans="1:25" ht="29.25" customHeight="1" x14ac:dyDescent="0.25">
      <c r="A12" s="2235" t="s">
        <v>31</v>
      </c>
      <c r="B12" s="2235"/>
      <c r="C12" s="18">
        <f t="shared" ref="C12:X12" si="12">SUM(C6:C11)</f>
        <v>95607</v>
      </c>
      <c r="D12" s="18">
        <f t="shared" si="12"/>
        <v>92977.807499999995</v>
      </c>
      <c r="E12" s="18">
        <f t="shared" si="12"/>
        <v>0</v>
      </c>
      <c r="F12" s="18">
        <f t="shared" si="12"/>
        <v>0</v>
      </c>
      <c r="G12" s="18">
        <f t="shared" si="12"/>
        <v>80</v>
      </c>
      <c r="H12" s="18">
        <f t="shared" si="12"/>
        <v>2260.8000000000002</v>
      </c>
      <c r="I12" s="18">
        <f t="shared" si="12"/>
        <v>890</v>
      </c>
      <c r="J12" s="18">
        <f t="shared" si="12"/>
        <v>16749.8</v>
      </c>
      <c r="K12" s="18">
        <f t="shared" si="12"/>
        <v>0</v>
      </c>
      <c r="L12" s="18">
        <f t="shared" si="12"/>
        <v>0</v>
      </c>
      <c r="M12" s="18">
        <f t="shared" si="12"/>
        <v>0</v>
      </c>
      <c r="N12" s="23">
        <f t="shared" si="12"/>
        <v>0</v>
      </c>
      <c r="O12" s="18">
        <f t="shared" si="12"/>
        <v>0</v>
      </c>
      <c r="P12" s="23">
        <f t="shared" si="12"/>
        <v>0</v>
      </c>
      <c r="Q12" s="23">
        <f t="shared" si="12"/>
        <v>0</v>
      </c>
      <c r="R12" s="23">
        <f>SUM(R6:R11)</f>
        <v>0</v>
      </c>
      <c r="S12" s="23">
        <f>SUM(S6:S11)</f>
        <v>0</v>
      </c>
      <c r="T12" s="18">
        <f t="shared" si="12"/>
        <v>0</v>
      </c>
      <c r="U12" s="18">
        <f t="shared" si="12"/>
        <v>0</v>
      </c>
      <c r="V12" s="18">
        <f t="shared" si="12"/>
        <v>0</v>
      </c>
      <c r="W12" s="18">
        <f t="shared" si="12"/>
        <v>0</v>
      </c>
      <c r="X12" s="18">
        <f t="shared" si="12"/>
        <v>0</v>
      </c>
      <c r="Y12" s="20">
        <f t="shared" si="1"/>
        <v>111988.4075</v>
      </c>
    </row>
    <row r="14" spans="1:25" ht="43.5" customHeight="1" x14ac:dyDescent="0.25">
      <c r="A14" s="30" t="s">
        <v>32</v>
      </c>
      <c r="B14" s="2236" t="s">
        <v>27</v>
      </c>
      <c r="C14" s="2236"/>
      <c r="D14" s="30" t="s">
        <v>543</v>
      </c>
      <c r="E14" s="30" t="s">
        <v>65</v>
      </c>
      <c r="F14" s="30" t="s">
        <v>34</v>
      </c>
      <c r="G14" s="30" t="s">
        <v>14</v>
      </c>
      <c r="H14" s="469" t="s">
        <v>173</v>
      </c>
      <c r="I14" s="30" t="s">
        <v>17</v>
      </c>
      <c r="J14" s="1943" t="s">
        <v>174</v>
      </c>
      <c r="K14" s="30" t="s">
        <v>36</v>
      </c>
      <c r="L14" s="1943" t="s">
        <v>403</v>
      </c>
      <c r="M14" s="1943" t="s">
        <v>549</v>
      </c>
      <c r="N14" s="30" t="s">
        <v>442</v>
      </c>
      <c r="O14" s="1943" t="s">
        <v>114</v>
      </c>
      <c r="P14" s="30" t="s">
        <v>70</v>
      </c>
      <c r="Q14" s="2300" t="s">
        <v>479</v>
      </c>
      <c r="R14" s="2301"/>
      <c r="S14" s="1943" t="s">
        <v>401</v>
      </c>
      <c r="T14" s="2235" t="s">
        <v>46</v>
      </c>
      <c r="U14" s="1937" t="s">
        <v>176</v>
      </c>
      <c r="V14" s="2260">
        <v>30400</v>
      </c>
      <c r="W14" s="2268"/>
      <c r="X14" s="2261"/>
    </row>
    <row r="15" spans="1:25" ht="22.5" customHeight="1" x14ac:dyDescent="0.25">
      <c r="A15" s="100" t="s">
        <v>38</v>
      </c>
      <c r="B15" s="2260">
        <v>388432</v>
      </c>
      <c r="C15" s="2261"/>
      <c r="D15" s="1940">
        <v>320</v>
      </c>
      <c r="E15" s="1940">
        <v>330</v>
      </c>
      <c r="F15" s="1940">
        <v>5850</v>
      </c>
      <c r="G15" s="1940">
        <v>1000</v>
      </c>
      <c r="H15" s="1940">
        <v>38</v>
      </c>
      <c r="I15" s="1940">
        <v>82</v>
      </c>
      <c r="J15" s="1940">
        <v>4</v>
      </c>
      <c r="K15" s="1940">
        <v>72</v>
      </c>
      <c r="L15" s="1940">
        <v>0</v>
      </c>
      <c r="M15" s="1940">
        <v>2</v>
      </c>
      <c r="N15" s="1940">
        <v>0</v>
      </c>
      <c r="O15" s="1940">
        <v>0</v>
      </c>
      <c r="P15" s="1940">
        <v>100</v>
      </c>
      <c r="Q15" s="2260">
        <v>10</v>
      </c>
      <c r="R15" s="2261"/>
      <c r="S15" s="1937">
        <v>2</v>
      </c>
      <c r="T15" s="2235"/>
      <c r="U15" s="1937" t="s">
        <v>64</v>
      </c>
      <c r="V15" s="2262">
        <v>15814</v>
      </c>
      <c r="W15" s="2262"/>
      <c r="X15" s="2262"/>
    </row>
    <row r="16" spans="1:25" ht="24.75" customHeight="1" x14ac:dyDescent="0.25">
      <c r="A16" s="100" t="s">
        <v>39</v>
      </c>
      <c r="B16" s="2260">
        <v>93506</v>
      </c>
      <c r="C16" s="2261"/>
      <c r="D16" s="1940"/>
      <c r="E16" s="1940"/>
      <c r="F16" s="1940"/>
      <c r="G16" s="1940"/>
      <c r="H16" s="1940"/>
      <c r="I16" s="1940"/>
      <c r="J16" s="1940"/>
      <c r="K16" s="1940"/>
      <c r="L16" s="1940"/>
      <c r="M16" s="1940"/>
      <c r="N16" s="1940"/>
      <c r="O16" s="1940"/>
      <c r="P16" s="1940"/>
      <c r="Q16" s="2262"/>
      <c r="R16" s="2262"/>
      <c r="S16" s="1940"/>
      <c r="T16" s="2254" t="s">
        <v>55</v>
      </c>
      <c r="U16" s="2254"/>
      <c r="V16" s="2267">
        <f>Y12</f>
        <v>111988.4075</v>
      </c>
      <c r="W16" s="2267"/>
      <c r="X16" s="2262"/>
    </row>
    <row r="17" spans="1:25" ht="28.5" customHeight="1" x14ac:dyDescent="0.25">
      <c r="A17" s="101" t="s">
        <v>44</v>
      </c>
      <c r="B17" s="2260">
        <v>1558</v>
      </c>
      <c r="C17" s="2261"/>
      <c r="D17" s="1940"/>
      <c r="E17" s="1940"/>
      <c r="F17" s="1940"/>
      <c r="G17" s="1940"/>
      <c r="H17" s="1940"/>
      <c r="I17" s="1940"/>
      <c r="J17" s="1940"/>
      <c r="K17" s="1940"/>
      <c r="L17" s="1940"/>
      <c r="M17" s="1940"/>
      <c r="N17" s="1940"/>
      <c r="O17" s="1940"/>
      <c r="P17" s="1940"/>
      <c r="Q17" s="2225"/>
      <c r="R17" s="2225"/>
      <c r="S17" s="1936"/>
      <c r="T17" s="2294" t="s">
        <v>521</v>
      </c>
      <c r="U17" s="2295"/>
      <c r="V17" s="2296"/>
      <c r="W17" s="2296"/>
      <c r="X17" s="2296"/>
    </row>
    <row r="18" spans="1:25" ht="27" customHeight="1" x14ac:dyDescent="0.25">
      <c r="A18" s="100" t="s">
        <v>40</v>
      </c>
      <c r="B18" s="2264">
        <f>C12</f>
        <v>95607</v>
      </c>
      <c r="C18" s="2261"/>
      <c r="D18" s="1942">
        <f>E12</f>
        <v>0</v>
      </c>
      <c r="E18" s="1942">
        <f>G12</f>
        <v>80</v>
      </c>
      <c r="F18" s="1942">
        <f>I12</f>
        <v>890</v>
      </c>
      <c r="G18" s="1942">
        <f>K12</f>
        <v>0</v>
      </c>
      <c r="H18" s="1940"/>
      <c r="I18" s="1942">
        <f>U12</f>
        <v>0</v>
      </c>
      <c r="J18" s="1940"/>
      <c r="K18" s="1942">
        <f>W12</f>
        <v>0</v>
      </c>
      <c r="L18" s="1940"/>
      <c r="M18" s="1942"/>
      <c r="N18" s="1942">
        <f>O12</f>
        <v>0</v>
      </c>
      <c r="O18" s="1941">
        <f>Q12</f>
        <v>0</v>
      </c>
      <c r="P18" s="1942"/>
      <c r="Q18" s="2262"/>
      <c r="R18" s="2262"/>
      <c r="S18" s="1937"/>
      <c r="T18" s="2254" t="s">
        <v>57</v>
      </c>
      <c r="U18" s="2254"/>
      <c r="V18" s="2262">
        <v>520</v>
      </c>
      <c r="W18" s="2262"/>
      <c r="X18" s="2262"/>
      <c r="Y18" s="2269"/>
    </row>
    <row r="19" spans="1:25" ht="25.5" customHeight="1" x14ac:dyDescent="0.25">
      <c r="A19" s="100" t="s">
        <v>41</v>
      </c>
      <c r="B19" s="2260">
        <f>B15+B16+B17-B18</f>
        <v>387889</v>
      </c>
      <c r="C19" s="2261"/>
      <c r="D19" s="1940">
        <f>D15+D16+D17-D18</f>
        <v>320</v>
      </c>
      <c r="E19" s="1940">
        <f t="shared" ref="E19:N19" si="13">E15+E16+E17-E18</f>
        <v>250</v>
      </c>
      <c r="F19" s="1940">
        <f t="shared" si="13"/>
        <v>4960</v>
      </c>
      <c r="G19" s="1940">
        <f t="shared" si="13"/>
        <v>1000</v>
      </c>
      <c r="H19" s="1940">
        <f t="shared" si="13"/>
        <v>38</v>
      </c>
      <c r="I19" s="1940">
        <f t="shared" si="13"/>
        <v>82</v>
      </c>
      <c r="J19" s="1940">
        <f t="shared" si="13"/>
        <v>4</v>
      </c>
      <c r="K19" s="1940">
        <f t="shared" si="13"/>
        <v>72</v>
      </c>
      <c r="L19" s="1940">
        <f t="shared" si="13"/>
        <v>0</v>
      </c>
      <c r="M19" s="1940">
        <f t="shared" si="13"/>
        <v>2</v>
      </c>
      <c r="N19" s="1940">
        <f t="shared" si="13"/>
        <v>0</v>
      </c>
      <c r="O19" s="1940">
        <f>O15+O16+O17-O18</f>
        <v>0</v>
      </c>
      <c r="P19" s="1940">
        <f t="shared" ref="P19:Q19" si="14">P15+P16+P17-P18</f>
        <v>100</v>
      </c>
      <c r="Q19" s="2260">
        <f t="shared" si="14"/>
        <v>10</v>
      </c>
      <c r="R19" s="2261"/>
      <c r="S19" s="1937">
        <f>S15+S16-S17-S18</f>
        <v>2</v>
      </c>
      <c r="T19" s="2256" t="s">
        <v>48</v>
      </c>
      <c r="U19" s="49" t="s">
        <v>58</v>
      </c>
      <c r="V19" s="2262">
        <v>110000</v>
      </c>
      <c r="W19" s="2262"/>
      <c r="X19" s="2262"/>
      <c r="Y19" s="2269"/>
    </row>
    <row r="20" spans="1:25" ht="23.25" customHeight="1" x14ac:dyDescent="0.25">
      <c r="A20" s="289" t="s">
        <v>187</v>
      </c>
      <c r="B20" s="2286">
        <f>B19*0.9625</f>
        <v>373343.16250000003</v>
      </c>
      <c r="C20" s="2287"/>
      <c r="D20" s="290">
        <f>D19*19.48</f>
        <v>6233.6</v>
      </c>
      <c r="E20" s="290">
        <f>27.97*E19</f>
        <v>6992.5</v>
      </c>
      <c r="F20" s="290">
        <f>18.63*F19</f>
        <v>92404.799999999988</v>
      </c>
      <c r="G20" s="290">
        <f>27.9468*G19</f>
        <v>27946.799999999999</v>
      </c>
      <c r="H20" s="290">
        <f>241*H19</f>
        <v>9158</v>
      </c>
      <c r="I20" s="290">
        <f>323*I19</f>
        <v>26486</v>
      </c>
      <c r="J20" s="290">
        <f>241*J19</f>
        <v>964</v>
      </c>
      <c r="K20" s="290">
        <f>K19*100</f>
        <v>7200</v>
      </c>
      <c r="L20" s="290">
        <f>241*L19</f>
        <v>0</v>
      </c>
      <c r="M20" s="290">
        <f>470*M19</f>
        <v>940</v>
      </c>
      <c r="N20" s="290">
        <f>N19*8.81</f>
        <v>0</v>
      </c>
      <c r="O20" s="290">
        <f>241*O19</f>
        <v>0</v>
      </c>
      <c r="P20" s="290">
        <f>P19*48.2</f>
        <v>4820</v>
      </c>
      <c r="Q20" s="2286">
        <f>470*Q19</f>
        <v>4700</v>
      </c>
      <c r="R20" s="2287"/>
      <c r="S20" s="290">
        <f>341*S19</f>
        <v>682</v>
      </c>
      <c r="T20" s="2257"/>
      <c r="U20" s="49" t="s">
        <v>59</v>
      </c>
      <c r="V20" s="2262">
        <v>2000</v>
      </c>
      <c r="W20" s="2262"/>
      <c r="X20" s="2262"/>
      <c r="Y20" s="2269"/>
    </row>
    <row r="21" spans="1:25" ht="32.25" customHeight="1" x14ac:dyDescent="0.25">
      <c r="A21" s="291" t="s">
        <v>186</v>
      </c>
      <c r="B21" s="2302">
        <f>SUM(B20:S20)</f>
        <v>561870.86250000005</v>
      </c>
      <c r="C21" s="2302"/>
      <c r="T21" s="2294" t="s">
        <v>518</v>
      </c>
      <c r="U21" s="2295"/>
      <c r="V21" s="2297"/>
      <c r="W21" s="2298"/>
      <c r="X21" s="2299"/>
      <c r="Y21" s="2269"/>
    </row>
    <row r="22" spans="1:25" ht="35.25" customHeight="1" x14ac:dyDescent="0.25">
      <c r="A22" s="1911"/>
      <c r="B22" s="2288" t="s">
        <v>49</v>
      </c>
      <c r="C22" s="2291">
        <v>110000</v>
      </c>
      <c r="D22" s="2291">
        <v>110000</v>
      </c>
      <c r="E22" s="2291">
        <v>88000</v>
      </c>
      <c r="F22" s="2291">
        <f>C22-D22+E22</f>
        <v>88000</v>
      </c>
      <c r="T22" s="2251" t="s">
        <v>83</v>
      </c>
      <c r="U22" s="50" t="s">
        <v>60</v>
      </c>
      <c r="V22" s="2262">
        <v>111510</v>
      </c>
      <c r="W22" s="2262"/>
      <c r="X22" s="2262"/>
      <c r="Y22" s="2269"/>
    </row>
    <row r="23" spans="1:25" ht="39.75" customHeight="1" x14ac:dyDescent="0.25">
      <c r="B23" s="2289"/>
      <c r="C23" s="2292"/>
      <c r="D23" s="2292"/>
      <c r="E23" s="2292"/>
      <c r="F23" s="2292"/>
      <c r="T23" s="2252"/>
      <c r="U23" s="50" t="s">
        <v>61</v>
      </c>
      <c r="V23" s="2262">
        <v>110000</v>
      </c>
      <c r="W23" s="2262"/>
      <c r="X23" s="2262"/>
      <c r="Y23" s="2269"/>
    </row>
    <row r="24" spans="1:25" ht="48" customHeight="1" x14ac:dyDescent="0.25">
      <c r="B24" s="2290"/>
      <c r="C24" s="290" t="s">
        <v>46</v>
      </c>
      <c r="D24" s="290" t="s">
        <v>50</v>
      </c>
      <c r="E24" s="290" t="s">
        <v>51</v>
      </c>
      <c r="F24" s="290" t="s">
        <v>52</v>
      </c>
      <c r="T24" s="2235" t="s">
        <v>47</v>
      </c>
      <c r="U24" s="51" t="s">
        <v>62</v>
      </c>
      <c r="V24" s="2263">
        <f>V14+V16+V17-V18-V19-V20-V22+V23-V21</f>
        <v>28358.407500000001</v>
      </c>
      <c r="W24" s="2263"/>
      <c r="X24" s="2263"/>
      <c r="Y24" s="2269"/>
    </row>
    <row r="25" spans="1:25" ht="40.5" customHeight="1" x14ac:dyDescent="0.25">
      <c r="T25" s="2235"/>
      <c r="U25" s="51" t="s">
        <v>63</v>
      </c>
      <c r="V25" s="2262">
        <f>V15+V22-V23</f>
        <v>17324</v>
      </c>
      <c r="W25" s="2262"/>
      <c r="X25" s="2262"/>
    </row>
    <row r="26" spans="1:25" ht="36" customHeight="1" x14ac:dyDescent="0.25">
      <c r="K26" s="314"/>
    </row>
    <row r="28" spans="1:25" x14ac:dyDescent="0.25">
      <c r="J28" s="14" t="s">
        <v>139</v>
      </c>
    </row>
    <row r="32" spans="1:25" x14ac:dyDescent="0.25">
      <c r="I32" s="2280"/>
      <c r="J32" s="2280"/>
      <c r="K32" s="2280"/>
      <c r="L32" s="2280"/>
    </row>
    <row r="33" spans="9:12" x14ac:dyDescent="0.25">
      <c r="I33" s="1944"/>
      <c r="J33" s="1944"/>
      <c r="K33" s="2280"/>
      <c r="L33" s="2280"/>
    </row>
  </sheetData>
  <mergeCells count="62">
    <mergeCell ref="A1:Y1"/>
    <mergeCell ref="A2:Y2"/>
    <mergeCell ref="T3:Y3"/>
    <mergeCell ref="A4:A5"/>
    <mergeCell ref="B4:B5"/>
    <mergeCell ref="C4:D4"/>
    <mergeCell ref="E4:F4"/>
    <mergeCell ref="G4:H4"/>
    <mergeCell ref="I4:J4"/>
    <mergeCell ref="K4:L4"/>
    <mergeCell ref="Y4:Y5"/>
    <mergeCell ref="M4:N4"/>
    <mergeCell ref="O4:P4"/>
    <mergeCell ref="Q4:R4"/>
    <mergeCell ref="S4:T4"/>
    <mergeCell ref="U4:V4"/>
    <mergeCell ref="W4:X4"/>
    <mergeCell ref="B16:C16"/>
    <mergeCell ref="Q16:R16"/>
    <mergeCell ref="T16:U16"/>
    <mergeCell ref="V16:X16"/>
    <mergeCell ref="A12:B12"/>
    <mergeCell ref="B14:C14"/>
    <mergeCell ref="Q14:R14"/>
    <mergeCell ref="T14:T15"/>
    <mergeCell ref="V14:X14"/>
    <mergeCell ref="B15:C15"/>
    <mergeCell ref="Q15:R15"/>
    <mergeCell ref="V15:X15"/>
    <mergeCell ref="B17:C17"/>
    <mergeCell ref="Q17:R17"/>
    <mergeCell ref="T17:U17"/>
    <mergeCell ref="V17:X17"/>
    <mergeCell ref="B18:C18"/>
    <mergeCell ref="Q18:R18"/>
    <mergeCell ref="T18:U18"/>
    <mergeCell ref="V18:X18"/>
    <mergeCell ref="Y18:Y24"/>
    <mergeCell ref="B19:C19"/>
    <mergeCell ref="Q19:R19"/>
    <mergeCell ref="T19:T20"/>
    <mergeCell ref="V19:X19"/>
    <mergeCell ref="B20:C20"/>
    <mergeCell ref="B22:B24"/>
    <mergeCell ref="C22:C23"/>
    <mergeCell ref="D22:D23"/>
    <mergeCell ref="E22:E23"/>
    <mergeCell ref="F22:F23"/>
    <mergeCell ref="Q20:R20"/>
    <mergeCell ref="V20:X20"/>
    <mergeCell ref="B21:C21"/>
    <mergeCell ref="T21:U21"/>
    <mergeCell ref="V21:X21"/>
    <mergeCell ref="I32:J32"/>
    <mergeCell ref="K32:L32"/>
    <mergeCell ref="K33:L33"/>
    <mergeCell ref="T22:T23"/>
    <mergeCell ref="V22:X22"/>
    <mergeCell ref="V23:X23"/>
    <mergeCell ref="T24:T25"/>
    <mergeCell ref="V24:X24"/>
    <mergeCell ref="V25:X25"/>
  </mergeCells>
  <pageMargins left="0.15748031496063" right="0.15748031496063" top="0" bottom="0" header="0" footer="0"/>
  <pageSetup paperSize="9" scale="46" orientation="landscape" r:id="rId1"/>
</worksheet>
</file>

<file path=xl/worksheets/sheet30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499A6BD-A32D-4984-94FC-0703654153A9}">
  <sheetPr>
    <pageSetUpPr fitToPage="1"/>
  </sheetPr>
  <dimension ref="A1:Y33"/>
  <sheetViews>
    <sheetView topLeftCell="D5" zoomScale="70" zoomScaleNormal="70" zoomScaleSheetLayoutView="100" zoomScalePageLayoutView="68" workbookViewId="0">
      <selection activeCell="M25" sqref="M25"/>
    </sheetView>
  </sheetViews>
  <sheetFormatPr defaultColWidth="9.140625" defaultRowHeight="15" x14ac:dyDescent="0.25"/>
  <cols>
    <col min="1" max="1" width="18.28515625" style="14" customWidth="1"/>
    <col min="2" max="2" width="10.7109375" style="14" customWidth="1"/>
    <col min="3" max="3" width="12.28515625" style="14" customWidth="1"/>
    <col min="4" max="4" width="13.140625" style="14" bestFit="1" customWidth="1"/>
    <col min="5" max="5" width="12" style="14" customWidth="1"/>
    <col min="6" max="6" width="14" style="14" bestFit="1" customWidth="1"/>
    <col min="7" max="7" width="16" style="14" bestFit="1" customWidth="1"/>
    <col min="8" max="8" width="10.140625" style="14" bestFit="1" customWidth="1"/>
    <col min="9" max="9" width="10.5703125" style="14" bestFit="1" customWidth="1"/>
    <col min="10" max="10" width="10.5703125" style="14" customWidth="1"/>
    <col min="11" max="11" width="10.28515625" style="14" bestFit="1" customWidth="1"/>
    <col min="12" max="12" width="10.42578125" style="14" bestFit="1" customWidth="1"/>
    <col min="13" max="14" width="12" style="14" bestFit="1" customWidth="1"/>
    <col min="15" max="15" width="11" style="14" customWidth="1"/>
    <col min="16" max="16" width="12.85546875" style="14" bestFit="1" customWidth="1"/>
    <col min="17" max="18" width="9.42578125" style="14" customWidth="1"/>
    <col min="19" max="19" width="13.7109375" style="14" customWidth="1"/>
    <col min="20" max="20" width="12.140625" style="14" customWidth="1"/>
    <col min="21" max="21" width="21.7109375" style="14" customWidth="1"/>
    <col min="22" max="22" width="9.85546875" style="14" customWidth="1"/>
    <col min="23" max="23" width="10.140625" style="14" bestFit="1" customWidth="1"/>
    <col min="24" max="24" width="10.28515625" style="14" customWidth="1"/>
    <col min="25" max="25" width="15.7109375" style="14" customWidth="1"/>
    <col min="26" max="16384" width="9.140625" style="14"/>
  </cols>
  <sheetData>
    <row r="1" spans="1:25" ht="46.15" customHeight="1" x14ac:dyDescent="0.25">
      <c r="A1" s="2240" t="s">
        <v>148</v>
      </c>
      <c r="B1" s="2240"/>
      <c r="C1" s="2240"/>
      <c r="D1" s="2240"/>
      <c r="E1" s="2240"/>
      <c r="F1" s="2240"/>
      <c r="G1" s="2240"/>
      <c r="H1" s="2240"/>
      <c r="I1" s="2240"/>
      <c r="J1" s="2240"/>
      <c r="K1" s="2240"/>
      <c r="L1" s="2240"/>
      <c r="M1" s="2240"/>
      <c r="N1" s="2240"/>
      <c r="O1" s="2240"/>
      <c r="P1" s="2240"/>
      <c r="Q1" s="2240"/>
      <c r="R1" s="2240"/>
      <c r="S1" s="2240"/>
      <c r="T1" s="2240"/>
      <c r="U1" s="2240"/>
      <c r="V1" s="2240"/>
      <c r="W1" s="2240"/>
      <c r="X1" s="2240"/>
      <c r="Y1" s="2240"/>
    </row>
    <row r="2" spans="1:25" ht="21.6" customHeight="1" x14ac:dyDescent="0.25">
      <c r="A2" s="2241" t="s">
        <v>383</v>
      </c>
      <c r="B2" s="2241"/>
      <c r="C2" s="2241"/>
      <c r="D2" s="2241"/>
      <c r="E2" s="2241"/>
      <c r="F2" s="2241"/>
      <c r="G2" s="2241"/>
      <c r="H2" s="2241"/>
      <c r="I2" s="2241"/>
      <c r="J2" s="2241"/>
      <c r="K2" s="2241"/>
      <c r="L2" s="2241"/>
      <c r="M2" s="2241"/>
      <c r="N2" s="2241"/>
      <c r="O2" s="2241"/>
      <c r="P2" s="2241"/>
      <c r="Q2" s="2241"/>
      <c r="R2" s="2241"/>
      <c r="S2" s="2241"/>
      <c r="T2" s="2241"/>
      <c r="U2" s="2241"/>
      <c r="V2" s="2241"/>
      <c r="W2" s="2241"/>
      <c r="X2" s="2241"/>
      <c r="Y2" s="2241"/>
    </row>
    <row r="3" spans="1:25" ht="21" customHeight="1" x14ac:dyDescent="0.25">
      <c r="A3" s="1950"/>
      <c r="B3" s="1950"/>
      <c r="C3" s="1950"/>
      <c r="D3" s="1950"/>
      <c r="E3" s="1950"/>
      <c r="F3" s="1950"/>
      <c r="G3" s="1950"/>
      <c r="H3" s="1950"/>
      <c r="I3" s="1950"/>
      <c r="J3" s="1950"/>
      <c r="K3" s="1950"/>
      <c r="L3" s="1950"/>
      <c r="M3" s="1950"/>
      <c r="N3" s="1950"/>
      <c r="O3" s="1950"/>
      <c r="P3" s="1950"/>
      <c r="Q3" s="1950"/>
      <c r="R3" s="1950"/>
      <c r="S3" s="1950"/>
      <c r="T3" s="2242" t="s">
        <v>564</v>
      </c>
      <c r="U3" s="2242"/>
      <c r="V3" s="2242"/>
      <c r="W3" s="2242"/>
      <c r="X3" s="2242"/>
      <c r="Y3" s="2242"/>
    </row>
    <row r="4" spans="1:25" s="1950" customFormat="1" ht="18" customHeight="1" x14ac:dyDescent="0.25">
      <c r="A4" s="2243" t="s">
        <v>25</v>
      </c>
      <c r="B4" s="2243" t="s">
        <v>26</v>
      </c>
      <c r="C4" s="2244" t="s">
        <v>27</v>
      </c>
      <c r="D4" s="2244"/>
      <c r="E4" s="2244" t="s">
        <v>544</v>
      </c>
      <c r="F4" s="2244"/>
      <c r="G4" s="2244" t="s">
        <v>65</v>
      </c>
      <c r="H4" s="2244"/>
      <c r="I4" s="2244" t="s">
        <v>29</v>
      </c>
      <c r="J4" s="2244"/>
      <c r="K4" s="2245" t="s">
        <v>14</v>
      </c>
      <c r="L4" s="2246"/>
      <c r="M4" s="2245" t="s">
        <v>429</v>
      </c>
      <c r="N4" s="2246"/>
      <c r="O4" s="2245" t="s">
        <v>441</v>
      </c>
      <c r="P4" s="2246"/>
      <c r="Q4" s="2245" t="s">
        <v>114</v>
      </c>
      <c r="R4" s="2246"/>
      <c r="S4" s="2244" t="s">
        <v>35</v>
      </c>
      <c r="T4" s="2244"/>
      <c r="U4" s="2245" t="s">
        <v>17</v>
      </c>
      <c r="V4" s="2246"/>
      <c r="W4" s="2247" t="s">
        <v>36</v>
      </c>
      <c r="X4" s="2248"/>
      <c r="Y4" s="2238" t="s">
        <v>30</v>
      </c>
    </row>
    <row r="5" spans="1:25" s="1950" customFormat="1" ht="25.5" customHeight="1" x14ac:dyDescent="0.25">
      <c r="A5" s="2243"/>
      <c r="B5" s="2243"/>
      <c r="C5" s="1949" t="s">
        <v>42</v>
      </c>
      <c r="D5" s="1949" t="s">
        <v>43</v>
      </c>
      <c r="E5" s="1949" t="s">
        <v>42</v>
      </c>
      <c r="F5" s="1949" t="s">
        <v>43</v>
      </c>
      <c r="G5" s="1949" t="s">
        <v>42</v>
      </c>
      <c r="H5" s="1949" t="s">
        <v>43</v>
      </c>
      <c r="I5" s="1949" t="s">
        <v>42</v>
      </c>
      <c r="J5" s="1949" t="s">
        <v>43</v>
      </c>
      <c r="K5" s="1949" t="s">
        <v>42</v>
      </c>
      <c r="L5" s="1949" t="s">
        <v>43</v>
      </c>
      <c r="M5" s="1949" t="s">
        <v>42</v>
      </c>
      <c r="N5" s="1949" t="s">
        <v>43</v>
      </c>
      <c r="O5" s="1949" t="s">
        <v>42</v>
      </c>
      <c r="P5" s="1949" t="s">
        <v>43</v>
      </c>
      <c r="Q5" s="1949" t="s">
        <v>42</v>
      </c>
      <c r="R5" s="1949" t="s">
        <v>43</v>
      </c>
      <c r="S5" s="33" t="s">
        <v>42</v>
      </c>
      <c r="T5" s="33" t="s">
        <v>43</v>
      </c>
      <c r="U5" s="30" t="s">
        <v>42</v>
      </c>
      <c r="V5" s="30" t="s">
        <v>43</v>
      </c>
      <c r="W5" s="30" t="s">
        <v>42</v>
      </c>
      <c r="X5" s="30" t="s">
        <v>43</v>
      </c>
      <c r="Y5" s="2239"/>
    </row>
    <row r="6" spans="1:25" ht="34.5" customHeight="1" x14ac:dyDescent="0.25">
      <c r="A6" s="12">
        <v>1409935200</v>
      </c>
      <c r="B6" s="1948" t="s">
        <v>71</v>
      </c>
      <c r="C6" s="1946">
        <v>44717</v>
      </c>
      <c r="D6" s="1945">
        <f t="shared" ref="D6:D11" si="0">0.9725*C6</f>
        <v>43487.282500000001</v>
      </c>
      <c r="E6" s="1946"/>
      <c r="F6" s="1945">
        <f>19.68*E6</f>
        <v>0</v>
      </c>
      <c r="G6" s="1946"/>
      <c r="H6" s="1946">
        <f>28.26*G6</f>
        <v>0</v>
      </c>
      <c r="I6" s="1946">
        <v>310</v>
      </c>
      <c r="J6" s="1946">
        <f>18.82*I6</f>
        <v>5834.2</v>
      </c>
      <c r="K6" s="1946"/>
      <c r="L6" s="1945">
        <f>28.2368*K6</f>
        <v>0</v>
      </c>
      <c r="M6" s="1946"/>
      <c r="N6" s="1945">
        <f>M6*47.6525</f>
        <v>0</v>
      </c>
      <c r="O6" s="1946"/>
      <c r="P6" s="1945">
        <f>O6*8.9</f>
        <v>0</v>
      </c>
      <c r="Q6" s="1945"/>
      <c r="R6" s="1945">
        <f>241*Q6</f>
        <v>0</v>
      </c>
      <c r="S6" s="1946"/>
      <c r="T6" s="1946">
        <f>470*S6</f>
        <v>0</v>
      </c>
      <c r="U6" s="1946"/>
      <c r="V6" s="1946">
        <f>332*U6</f>
        <v>0</v>
      </c>
      <c r="W6" s="1946"/>
      <c r="X6" s="19">
        <f>W6*100</f>
        <v>0</v>
      </c>
      <c r="Y6" s="20">
        <f t="shared" ref="Y6:Y12" si="1">D6+F6+H6+J6+L6+N6+P6+R6+T6+V6+X6</f>
        <v>49321.482499999998</v>
      </c>
    </row>
    <row r="7" spans="1:25" ht="36.75" customHeight="1" x14ac:dyDescent="0.25">
      <c r="A7" s="12">
        <v>1984225578</v>
      </c>
      <c r="B7" s="1948" t="s">
        <v>509</v>
      </c>
      <c r="C7" s="1946">
        <v>24787</v>
      </c>
      <c r="D7" s="1945">
        <f t="shared" si="0"/>
        <v>24105.357500000002</v>
      </c>
      <c r="E7" s="1946"/>
      <c r="F7" s="1945">
        <f t="shared" ref="F7:F11" si="2">19.68*E7</f>
        <v>0</v>
      </c>
      <c r="G7" s="1946"/>
      <c r="H7" s="1946">
        <f t="shared" ref="H7:H11" si="3">28.26*G7</f>
        <v>0</v>
      </c>
      <c r="I7" s="1946">
        <v>80</v>
      </c>
      <c r="J7" s="1946">
        <f t="shared" ref="J7:J11" si="4">18.82*I7</f>
        <v>1505.6</v>
      </c>
      <c r="K7" s="1946"/>
      <c r="L7" s="1945">
        <f t="shared" ref="L7:L11" si="5">28.2368*K7</f>
        <v>0</v>
      </c>
      <c r="M7" s="1946"/>
      <c r="N7" s="1945">
        <f t="shared" ref="N7:N11" si="6">M7*47.6525</f>
        <v>0</v>
      </c>
      <c r="O7" s="1946"/>
      <c r="P7" s="1945">
        <f t="shared" ref="P7:P11" si="7">O7*8.9</f>
        <v>0</v>
      </c>
      <c r="Q7" s="1945"/>
      <c r="R7" s="1945">
        <f t="shared" ref="R7:R11" si="8">241*Q7</f>
        <v>0</v>
      </c>
      <c r="S7" s="1946"/>
      <c r="T7" s="1946">
        <f t="shared" ref="T7:T9" si="9">241*S7</f>
        <v>0</v>
      </c>
      <c r="U7" s="1946"/>
      <c r="V7" s="1946">
        <f t="shared" ref="V7:V11" si="10">332*U7</f>
        <v>0</v>
      </c>
      <c r="W7" s="1946"/>
      <c r="X7" s="19">
        <f t="shared" ref="X7:X11" si="11">W7*100</f>
        <v>0</v>
      </c>
      <c r="Y7" s="20">
        <f t="shared" si="1"/>
        <v>25610.9575</v>
      </c>
    </row>
    <row r="8" spans="1:25" ht="35.25" customHeight="1" x14ac:dyDescent="0.25">
      <c r="A8" s="12">
        <v>1967020280</v>
      </c>
      <c r="B8" s="1948" t="s">
        <v>427</v>
      </c>
      <c r="C8" s="1946">
        <v>34031</v>
      </c>
      <c r="D8" s="1945">
        <f t="shared" si="0"/>
        <v>33095.147499999999</v>
      </c>
      <c r="E8" s="1946"/>
      <c r="F8" s="1945">
        <f t="shared" si="2"/>
        <v>0</v>
      </c>
      <c r="G8" s="1946">
        <v>20</v>
      </c>
      <c r="H8" s="1946">
        <f t="shared" si="3"/>
        <v>565.20000000000005</v>
      </c>
      <c r="I8" s="1946">
        <v>260</v>
      </c>
      <c r="J8" s="1946">
        <f t="shared" si="4"/>
        <v>4893.2</v>
      </c>
      <c r="K8" s="1946"/>
      <c r="L8" s="1945">
        <f t="shared" si="5"/>
        <v>0</v>
      </c>
      <c r="M8" s="1946"/>
      <c r="N8" s="1945">
        <f t="shared" si="6"/>
        <v>0</v>
      </c>
      <c r="O8" s="1946"/>
      <c r="P8" s="1945">
        <f t="shared" si="7"/>
        <v>0</v>
      </c>
      <c r="Q8" s="1945"/>
      <c r="R8" s="1945">
        <f t="shared" si="8"/>
        <v>0</v>
      </c>
      <c r="S8" s="1946"/>
      <c r="T8" s="1946">
        <f t="shared" si="9"/>
        <v>0</v>
      </c>
      <c r="U8" s="1946"/>
      <c r="V8" s="1946">
        <f t="shared" si="10"/>
        <v>0</v>
      </c>
      <c r="W8" s="1946"/>
      <c r="X8" s="19">
        <f t="shared" si="11"/>
        <v>0</v>
      </c>
      <c r="Y8" s="20">
        <f t="shared" si="1"/>
        <v>38553.547499999993</v>
      </c>
    </row>
    <row r="9" spans="1:25" ht="38.25" customHeight="1" x14ac:dyDescent="0.25">
      <c r="A9" s="12">
        <v>1984225580</v>
      </c>
      <c r="B9" s="1948" t="s">
        <v>74</v>
      </c>
      <c r="C9" s="1946">
        <v>33817</v>
      </c>
      <c r="D9" s="1945">
        <f t="shared" si="0"/>
        <v>32887.032500000001</v>
      </c>
      <c r="E9" s="1946"/>
      <c r="F9" s="1945">
        <f t="shared" si="2"/>
        <v>0</v>
      </c>
      <c r="G9" s="1946"/>
      <c r="H9" s="1946">
        <f t="shared" si="3"/>
        <v>0</v>
      </c>
      <c r="I9" s="1946">
        <v>160</v>
      </c>
      <c r="J9" s="1946">
        <f t="shared" si="4"/>
        <v>3011.2</v>
      </c>
      <c r="K9" s="1946"/>
      <c r="L9" s="1945">
        <f t="shared" si="5"/>
        <v>0</v>
      </c>
      <c r="M9" s="1946"/>
      <c r="N9" s="1945">
        <f t="shared" si="6"/>
        <v>0</v>
      </c>
      <c r="O9" s="1946"/>
      <c r="P9" s="1945">
        <f t="shared" si="7"/>
        <v>0</v>
      </c>
      <c r="Q9" s="1945"/>
      <c r="R9" s="1945">
        <f t="shared" si="8"/>
        <v>0</v>
      </c>
      <c r="S9" s="1946"/>
      <c r="T9" s="1946">
        <f t="shared" si="9"/>
        <v>0</v>
      </c>
      <c r="U9" s="1946"/>
      <c r="V9" s="1946">
        <f t="shared" si="10"/>
        <v>0</v>
      </c>
      <c r="W9" s="1946"/>
      <c r="X9" s="19">
        <f t="shared" si="11"/>
        <v>0</v>
      </c>
      <c r="Y9" s="20">
        <f t="shared" si="1"/>
        <v>35898.232499999998</v>
      </c>
    </row>
    <row r="10" spans="1:25" ht="35.25" customHeight="1" x14ac:dyDescent="0.25">
      <c r="A10" s="12">
        <v>1409935199</v>
      </c>
      <c r="C10" s="1946"/>
      <c r="D10" s="1945">
        <f t="shared" si="0"/>
        <v>0</v>
      </c>
      <c r="E10" s="1946"/>
      <c r="F10" s="1945">
        <f t="shared" si="2"/>
        <v>0</v>
      </c>
      <c r="G10" s="1946"/>
      <c r="H10" s="1946">
        <f t="shared" si="3"/>
        <v>0</v>
      </c>
      <c r="I10" s="1946"/>
      <c r="J10" s="1946">
        <f t="shared" si="4"/>
        <v>0</v>
      </c>
      <c r="K10" s="1946"/>
      <c r="L10" s="1945">
        <f t="shared" si="5"/>
        <v>0</v>
      </c>
      <c r="M10" s="1946"/>
      <c r="N10" s="1945">
        <f t="shared" si="6"/>
        <v>0</v>
      </c>
      <c r="O10" s="1946"/>
      <c r="P10" s="1945">
        <f t="shared" si="7"/>
        <v>0</v>
      </c>
      <c r="Q10" s="1945"/>
      <c r="R10" s="1945">
        <f t="shared" si="8"/>
        <v>0</v>
      </c>
      <c r="S10" s="1946"/>
      <c r="T10" s="1946">
        <f>470*S10</f>
        <v>0</v>
      </c>
      <c r="U10" s="1946"/>
      <c r="V10" s="1946">
        <f t="shared" si="10"/>
        <v>0</v>
      </c>
      <c r="W10" s="1946"/>
      <c r="X10" s="19">
        <f t="shared" si="11"/>
        <v>0</v>
      </c>
      <c r="Y10" s="20">
        <f t="shared" si="1"/>
        <v>0</v>
      </c>
    </row>
    <row r="11" spans="1:25" ht="37.5" customHeight="1" x14ac:dyDescent="0.25">
      <c r="A11" s="12"/>
      <c r="B11" s="1947"/>
      <c r="C11" s="1946"/>
      <c r="D11" s="1945">
        <f t="shared" si="0"/>
        <v>0</v>
      </c>
      <c r="E11" s="1946"/>
      <c r="F11" s="1945">
        <f t="shared" si="2"/>
        <v>0</v>
      </c>
      <c r="G11" s="1946"/>
      <c r="H11" s="1946">
        <f t="shared" si="3"/>
        <v>0</v>
      </c>
      <c r="I11" s="1946"/>
      <c r="J11" s="1946">
        <f t="shared" si="4"/>
        <v>0</v>
      </c>
      <c r="K11" s="1946"/>
      <c r="L11" s="1945">
        <f t="shared" si="5"/>
        <v>0</v>
      </c>
      <c r="M11" s="1946"/>
      <c r="N11" s="1945">
        <f t="shared" si="6"/>
        <v>0</v>
      </c>
      <c r="O11" s="1946"/>
      <c r="P11" s="1945">
        <f t="shared" si="7"/>
        <v>0</v>
      </c>
      <c r="Q11" s="1945"/>
      <c r="R11" s="1945">
        <f t="shared" si="8"/>
        <v>0</v>
      </c>
      <c r="S11" s="1946"/>
      <c r="T11" s="1946">
        <f>341*S11</f>
        <v>0</v>
      </c>
      <c r="U11" s="1946"/>
      <c r="V11" s="1946">
        <f t="shared" si="10"/>
        <v>0</v>
      </c>
      <c r="W11" s="1946"/>
      <c r="X11" s="19">
        <f t="shared" si="11"/>
        <v>0</v>
      </c>
      <c r="Y11" s="20">
        <f t="shared" si="1"/>
        <v>0</v>
      </c>
    </row>
    <row r="12" spans="1:25" ht="29.25" customHeight="1" x14ac:dyDescent="0.25">
      <c r="A12" s="2235" t="s">
        <v>31</v>
      </c>
      <c r="B12" s="2235"/>
      <c r="C12" s="18">
        <f t="shared" ref="C12:X12" si="12">SUM(C6:C11)</f>
        <v>137352</v>
      </c>
      <c r="D12" s="18">
        <f t="shared" si="12"/>
        <v>133574.82</v>
      </c>
      <c r="E12" s="18">
        <f t="shared" si="12"/>
        <v>0</v>
      </c>
      <c r="F12" s="18">
        <f t="shared" si="12"/>
        <v>0</v>
      </c>
      <c r="G12" s="18">
        <f t="shared" si="12"/>
        <v>20</v>
      </c>
      <c r="H12" s="18">
        <f t="shared" si="12"/>
        <v>565.20000000000005</v>
      </c>
      <c r="I12" s="18">
        <f t="shared" si="12"/>
        <v>810</v>
      </c>
      <c r="J12" s="18">
        <f t="shared" si="12"/>
        <v>15244.2</v>
      </c>
      <c r="K12" s="18">
        <f t="shared" si="12"/>
        <v>0</v>
      </c>
      <c r="L12" s="18">
        <f t="shared" si="12"/>
        <v>0</v>
      </c>
      <c r="M12" s="18">
        <f t="shared" si="12"/>
        <v>0</v>
      </c>
      <c r="N12" s="23">
        <f t="shared" si="12"/>
        <v>0</v>
      </c>
      <c r="O12" s="18">
        <f t="shared" si="12"/>
        <v>0</v>
      </c>
      <c r="P12" s="23">
        <f t="shared" si="12"/>
        <v>0</v>
      </c>
      <c r="Q12" s="23">
        <f t="shared" si="12"/>
        <v>0</v>
      </c>
      <c r="R12" s="23">
        <f>SUM(R6:R11)</f>
        <v>0</v>
      </c>
      <c r="S12" s="23">
        <f>SUM(S6:S11)</f>
        <v>0</v>
      </c>
      <c r="T12" s="18">
        <f t="shared" si="12"/>
        <v>0</v>
      </c>
      <c r="U12" s="18">
        <f t="shared" si="12"/>
        <v>0</v>
      </c>
      <c r="V12" s="18">
        <f t="shared" si="12"/>
        <v>0</v>
      </c>
      <c r="W12" s="18">
        <f t="shared" si="12"/>
        <v>0</v>
      </c>
      <c r="X12" s="18">
        <f t="shared" si="12"/>
        <v>0</v>
      </c>
      <c r="Y12" s="20">
        <f t="shared" si="1"/>
        <v>149384.22000000003</v>
      </c>
    </row>
    <row r="14" spans="1:25" ht="43.5" customHeight="1" x14ac:dyDescent="0.25">
      <c r="A14" s="30" t="s">
        <v>32</v>
      </c>
      <c r="B14" s="2236" t="s">
        <v>27</v>
      </c>
      <c r="C14" s="2236"/>
      <c r="D14" s="30" t="s">
        <v>543</v>
      </c>
      <c r="E14" s="30" t="s">
        <v>65</v>
      </c>
      <c r="F14" s="30" t="s">
        <v>34</v>
      </c>
      <c r="G14" s="30" t="s">
        <v>14</v>
      </c>
      <c r="H14" s="469" t="s">
        <v>173</v>
      </c>
      <c r="I14" s="30" t="s">
        <v>17</v>
      </c>
      <c r="J14" s="1954" t="s">
        <v>174</v>
      </c>
      <c r="K14" s="30" t="s">
        <v>36</v>
      </c>
      <c r="L14" s="1954" t="s">
        <v>403</v>
      </c>
      <c r="M14" s="1954" t="s">
        <v>549</v>
      </c>
      <c r="N14" s="30" t="s">
        <v>442</v>
      </c>
      <c r="O14" s="1954" t="s">
        <v>114</v>
      </c>
      <c r="P14" s="30" t="s">
        <v>70</v>
      </c>
      <c r="Q14" s="2300" t="s">
        <v>479</v>
      </c>
      <c r="R14" s="2301"/>
      <c r="S14" s="1954" t="s">
        <v>401</v>
      </c>
      <c r="T14" s="2235" t="s">
        <v>46</v>
      </c>
      <c r="U14" s="1948" t="s">
        <v>176</v>
      </c>
      <c r="V14" s="2260">
        <v>28358</v>
      </c>
      <c r="W14" s="2268"/>
      <c r="X14" s="2261"/>
    </row>
    <row r="15" spans="1:25" ht="22.5" customHeight="1" x14ac:dyDescent="0.25">
      <c r="A15" s="100" t="s">
        <v>38</v>
      </c>
      <c r="B15" s="2260">
        <v>387889</v>
      </c>
      <c r="C15" s="2261"/>
      <c r="D15" s="1951">
        <v>320</v>
      </c>
      <c r="E15" s="1951">
        <v>250</v>
      </c>
      <c r="F15" s="1951">
        <v>4960</v>
      </c>
      <c r="G15" s="1951">
        <v>1000</v>
      </c>
      <c r="H15" s="1951">
        <v>38</v>
      </c>
      <c r="I15" s="1951">
        <v>82</v>
      </c>
      <c r="J15" s="1951">
        <v>4</v>
      </c>
      <c r="K15" s="1951">
        <v>72</v>
      </c>
      <c r="L15" s="1951">
        <v>0</v>
      </c>
      <c r="M15" s="1951">
        <v>2</v>
      </c>
      <c r="N15" s="1951">
        <v>0</v>
      </c>
      <c r="O15" s="1951">
        <v>0</v>
      </c>
      <c r="P15" s="1951">
        <v>100</v>
      </c>
      <c r="Q15" s="2260">
        <v>10</v>
      </c>
      <c r="R15" s="2261"/>
      <c r="S15" s="1948">
        <v>2</v>
      </c>
      <c r="T15" s="2235"/>
      <c r="U15" s="1948" t="s">
        <v>64</v>
      </c>
      <c r="V15" s="2262">
        <v>17324</v>
      </c>
      <c r="W15" s="2262"/>
      <c r="X15" s="2262"/>
    </row>
    <row r="16" spans="1:25" ht="24.75" customHeight="1" x14ac:dyDescent="0.25">
      <c r="A16" s="100" t="s">
        <v>39</v>
      </c>
      <c r="B16" s="2260">
        <v>136000</v>
      </c>
      <c r="C16" s="2261"/>
      <c r="D16" s="1951"/>
      <c r="E16" s="1951"/>
      <c r="F16" s="1951"/>
      <c r="G16" s="1951"/>
      <c r="H16" s="1951"/>
      <c r="I16" s="1951"/>
      <c r="J16" s="1951"/>
      <c r="K16" s="1951"/>
      <c r="L16" s="1951"/>
      <c r="M16" s="1951">
        <v>30</v>
      </c>
      <c r="N16" s="1951"/>
      <c r="O16" s="1951"/>
      <c r="P16" s="1951"/>
      <c r="Q16" s="2262"/>
      <c r="R16" s="2262"/>
      <c r="S16" s="1951"/>
      <c r="T16" s="2254" t="s">
        <v>55</v>
      </c>
      <c r="U16" s="2254"/>
      <c r="V16" s="2267">
        <f>Y12</f>
        <v>149384.22000000003</v>
      </c>
      <c r="W16" s="2267"/>
      <c r="X16" s="2262"/>
    </row>
    <row r="17" spans="1:25" ht="28.5" customHeight="1" x14ac:dyDescent="0.25">
      <c r="A17" s="101" t="s">
        <v>44</v>
      </c>
      <c r="B17" s="2260"/>
      <c r="C17" s="2261"/>
      <c r="D17" s="1951"/>
      <c r="E17" s="1951"/>
      <c r="F17" s="1951"/>
      <c r="G17" s="1951"/>
      <c r="H17" s="1951"/>
      <c r="I17" s="1951"/>
      <c r="J17" s="1951"/>
      <c r="K17" s="1951"/>
      <c r="L17" s="1951"/>
      <c r="M17" s="1951"/>
      <c r="N17" s="1951"/>
      <c r="O17" s="1951"/>
      <c r="P17" s="1951"/>
      <c r="Q17" s="2225"/>
      <c r="R17" s="2225"/>
      <c r="S17" s="1947"/>
      <c r="T17" s="2294" t="s">
        <v>521</v>
      </c>
      <c r="U17" s="2295"/>
      <c r="V17" s="2296"/>
      <c r="W17" s="2296"/>
      <c r="X17" s="2296"/>
    </row>
    <row r="18" spans="1:25" ht="27" customHeight="1" x14ac:dyDescent="0.25">
      <c r="A18" s="100" t="s">
        <v>40</v>
      </c>
      <c r="B18" s="2264">
        <f>C12</f>
        <v>137352</v>
      </c>
      <c r="C18" s="2261"/>
      <c r="D18" s="1953">
        <f>E12</f>
        <v>0</v>
      </c>
      <c r="E18" s="1953">
        <f>G12</f>
        <v>20</v>
      </c>
      <c r="F18" s="1953">
        <f>I12</f>
        <v>810</v>
      </c>
      <c r="G18" s="1953">
        <f>K12</f>
        <v>0</v>
      </c>
      <c r="H18" s="1951"/>
      <c r="I18" s="1953">
        <f>U12</f>
        <v>0</v>
      </c>
      <c r="J18" s="1951"/>
      <c r="K18" s="1953">
        <f>W12</f>
        <v>0</v>
      </c>
      <c r="L18" s="1951"/>
      <c r="M18" s="1953"/>
      <c r="N18" s="1953">
        <f>O12</f>
        <v>0</v>
      </c>
      <c r="O18" s="1952">
        <f>Q12</f>
        <v>0</v>
      </c>
      <c r="P18" s="1953"/>
      <c r="Q18" s="2262"/>
      <c r="R18" s="2262"/>
      <c r="S18" s="1948"/>
      <c r="T18" s="2254" t="s">
        <v>57</v>
      </c>
      <c r="U18" s="2254"/>
      <c r="V18" s="2262">
        <v>8620</v>
      </c>
      <c r="W18" s="2262"/>
      <c r="X18" s="2262"/>
      <c r="Y18" s="2269"/>
    </row>
    <row r="19" spans="1:25" ht="25.5" customHeight="1" x14ac:dyDescent="0.25">
      <c r="A19" s="100" t="s">
        <v>41</v>
      </c>
      <c r="B19" s="2260">
        <f>B15+B16+B17-B18</f>
        <v>386537</v>
      </c>
      <c r="C19" s="2261"/>
      <c r="D19" s="1951">
        <f>D15+D16+D17-D18</f>
        <v>320</v>
      </c>
      <c r="E19" s="1951">
        <f t="shared" ref="E19:N19" si="13">E15+E16+E17-E18</f>
        <v>230</v>
      </c>
      <c r="F19" s="1951">
        <f t="shared" si="13"/>
        <v>4150</v>
      </c>
      <c r="G19" s="1951">
        <f t="shared" si="13"/>
        <v>1000</v>
      </c>
      <c r="H19" s="1951">
        <f t="shared" si="13"/>
        <v>38</v>
      </c>
      <c r="I19" s="1951">
        <f t="shared" si="13"/>
        <v>82</v>
      </c>
      <c r="J19" s="1951">
        <f t="shared" si="13"/>
        <v>4</v>
      </c>
      <c r="K19" s="1951">
        <f t="shared" si="13"/>
        <v>72</v>
      </c>
      <c r="L19" s="1951">
        <f t="shared" si="13"/>
        <v>0</v>
      </c>
      <c r="M19" s="1951">
        <f t="shared" si="13"/>
        <v>32</v>
      </c>
      <c r="N19" s="1951">
        <f t="shared" si="13"/>
        <v>0</v>
      </c>
      <c r="O19" s="1951">
        <f>O15+O16+O17-O18</f>
        <v>0</v>
      </c>
      <c r="P19" s="1951">
        <f t="shared" ref="P19:Q19" si="14">P15+P16+P17-P18</f>
        <v>100</v>
      </c>
      <c r="Q19" s="2260">
        <f t="shared" si="14"/>
        <v>10</v>
      </c>
      <c r="R19" s="2261"/>
      <c r="S19" s="1948">
        <f>S15+S16-S17-S18</f>
        <v>2</v>
      </c>
      <c r="T19" s="2256" t="s">
        <v>48</v>
      </c>
      <c r="U19" s="49" t="s">
        <v>58</v>
      </c>
      <c r="V19" s="2262">
        <v>88000</v>
      </c>
      <c r="W19" s="2262"/>
      <c r="X19" s="2262"/>
      <c r="Y19" s="2269"/>
    </row>
    <row r="20" spans="1:25" ht="23.25" customHeight="1" x14ac:dyDescent="0.25">
      <c r="A20" s="289" t="s">
        <v>187</v>
      </c>
      <c r="B20" s="2286">
        <f>B19*0.9625</f>
        <v>372041.86249999999</v>
      </c>
      <c r="C20" s="2287"/>
      <c r="D20" s="290">
        <f>D19*19.48</f>
        <v>6233.6</v>
      </c>
      <c r="E20" s="290">
        <f>27.97*E19</f>
        <v>6433.0999999999995</v>
      </c>
      <c r="F20" s="290">
        <f>18.63*F19</f>
        <v>77314.5</v>
      </c>
      <c r="G20" s="290">
        <f>27.9468*G19</f>
        <v>27946.799999999999</v>
      </c>
      <c r="H20" s="290">
        <f>241*H19</f>
        <v>9158</v>
      </c>
      <c r="I20" s="290">
        <f>323*I19</f>
        <v>26486</v>
      </c>
      <c r="J20" s="290">
        <f>241*J19</f>
        <v>964</v>
      </c>
      <c r="K20" s="290">
        <f>K19*100</f>
        <v>7200</v>
      </c>
      <c r="L20" s="290">
        <f>241*L19</f>
        <v>0</v>
      </c>
      <c r="M20" s="290">
        <f>470*M19</f>
        <v>15040</v>
      </c>
      <c r="N20" s="290">
        <f>N19*8.81</f>
        <v>0</v>
      </c>
      <c r="O20" s="290">
        <f>241*O19</f>
        <v>0</v>
      </c>
      <c r="P20" s="290">
        <f>P19*48.2</f>
        <v>4820</v>
      </c>
      <c r="Q20" s="2286">
        <f>470*Q19</f>
        <v>4700</v>
      </c>
      <c r="R20" s="2287"/>
      <c r="S20" s="290">
        <f>341*S19</f>
        <v>682</v>
      </c>
      <c r="T20" s="2257"/>
      <c r="U20" s="49" t="s">
        <v>59</v>
      </c>
      <c r="V20" s="2262">
        <v>65000</v>
      </c>
      <c r="W20" s="2262"/>
      <c r="X20" s="2262"/>
      <c r="Y20" s="2269"/>
    </row>
    <row r="21" spans="1:25" ht="32.25" customHeight="1" x14ac:dyDescent="0.25">
      <c r="A21" s="291" t="s">
        <v>186</v>
      </c>
      <c r="B21" s="2302">
        <f>SUM(B20:S20)</f>
        <v>559019.86249999993</v>
      </c>
      <c r="C21" s="2302"/>
      <c r="T21" s="2294" t="s">
        <v>518</v>
      </c>
      <c r="U21" s="2295"/>
      <c r="V21" s="2297"/>
      <c r="W21" s="2298"/>
      <c r="X21" s="2299"/>
      <c r="Y21" s="2269"/>
    </row>
    <row r="22" spans="1:25" ht="35.25" customHeight="1" x14ac:dyDescent="0.25">
      <c r="A22" s="1911"/>
      <c r="B22" s="2288" t="s">
        <v>49</v>
      </c>
      <c r="C22" s="2291">
        <v>88000</v>
      </c>
      <c r="D22" s="2291">
        <v>88000</v>
      </c>
      <c r="E22" s="2291">
        <v>80000</v>
      </c>
      <c r="F22" s="2291">
        <f>C22-D22+E22</f>
        <v>80000</v>
      </c>
      <c r="T22" s="2251" t="s">
        <v>83</v>
      </c>
      <c r="U22" s="50" t="s">
        <v>60</v>
      </c>
      <c r="V22" s="2262">
        <v>146650</v>
      </c>
      <c r="W22" s="2262"/>
      <c r="X22" s="2262"/>
      <c r="Y22" s="2269"/>
    </row>
    <row r="23" spans="1:25" ht="39.75" customHeight="1" x14ac:dyDescent="0.25">
      <c r="B23" s="2289"/>
      <c r="C23" s="2292"/>
      <c r="D23" s="2292"/>
      <c r="E23" s="2292"/>
      <c r="F23" s="2292"/>
      <c r="T23" s="2252"/>
      <c r="U23" s="50" t="s">
        <v>61</v>
      </c>
      <c r="V23" s="2262">
        <v>153000</v>
      </c>
      <c r="W23" s="2262"/>
      <c r="X23" s="2262"/>
      <c r="Y23" s="2269"/>
    </row>
    <row r="24" spans="1:25" ht="48" customHeight="1" x14ac:dyDescent="0.25">
      <c r="B24" s="2290"/>
      <c r="C24" s="290" t="s">
        <v>46</v>
      </c>
      <c r="D24" s="290" t="s">
        <v>50</v>
      </c>
      <c r="E24" s="290" t="s">
        <v>51</v>
      </c>
      <c r="F24" s="290" t="s">
        <v>52</v>
      </c>
      <c r="T24" s="2235" t="s">
        <v>47</v>
      </c>
      <c r="U24" s="51" t="s">
        <v>62</v>
      </c>
      <c r="V24" s="2263">
        <f>V14+V16+V17-V18-V19-V20-V22+V23-V21</f>
        <v>22472.22000000003</v>
      </c>
      <c r="W24" s="2263"/>
      <c r="X24" s="2263"/>
      <c r="Y24" s="2269"/>
    </row>
    <row r="25" spans="1:25" ht="40.5" customHeight="1" x14ac:dyDescent="0.25">
      <c r="T25" s="2235"/>
      <c r="U25" s="51" t="s">
        <v>63</v>
      </c>
      <c r="V25" s="2262">
        <f>V15+V22-V23</f>
        <v>10974</v>
      </c>
      <c r="W25" s="2262"/>
      <c r="X25" s="2262"/>
    </row>
    <row r="26" spans="1:25" ht="36" customHeight="1" x14ac:dyDescent="0.25">
      <c r="K26" s="314"/>
    </row>
    <row r="28" spans="1:25" x14ac:dyDescent="0.25">
      <c r="J28" s="14" t="s">
        <v>139</v>
      </c>
    </row>
    <row r="32" spans="1:25" x14ac:dyDescent="0.25">
      <c r="I32" s="2280"/>
      <c r="J32" s="2280"/>
      <c r="K32" s="2280"/>
      <c r="L32" s="2280"/>
    </row>
    <row r="33" spans="9:12" x14ac:dyDescent="0.25">
      <c r="I33" s="1955"/>
      <c r="J33" s="1955"/>
      <c r="K33" s="2280"/>
      <c r="L33" s="2280"/>
    </row>
  </sheetData>
  <mergeCells count="62">
    <mergeCell ref="A1:Y1"/>
    <mergeCell ref="A2:Y2"/>
    <mergeCell ref="T3:Y3"/>
    <mergeCell ref="A4:A5"/>
    <mergeCell ref="B4:B5"/>
    <mergeCell ref="C4:D4"/>
    <mergeCell ref="E4:F4"/>
    <mergeCell ref="G4:H4"/>
    <mergeCell ref="I4:J4"/>
    <mergeCell ref="K4:L4"/>
    <mergeCell ref="Y4:Y5"/>
    <mergeCell ref="M4:N4"/>
    <mergeCell ref="O4:P4"/>
    <mergeCell ref="Q4:R4"/>
    <mergeCell ref="S4:T4"/>
    <mergeCell ref="U4:V4"/>
    <mergeCell ref="W4:X4"/>
    <mergeCell ref="B16:C16"/>
    <mergeCell ref="Q16:R16"/>
    <mergeCell ref="T16:U16"/>
    <mergeCell ref="V16:X16"/>
    <mergeCell ref="A12:B12"/>
    <mergeCell ref="B14:C14"/>
    <mergeCell ref="Q14:R14"/>
    <mergeCell ref="T14:T15"/>
    <mergeCell ref="V14:X14"/>
    <mergeCell ref="B15:C15"/>
    <mergeCell ref="Q15:R15"/>
    <mergeCell ref="V15:X15"/>
    <mergeCell ref="B17:C17"/>
    <mergeCell ref="Q17:R17"/>
    <mergeCell ref="T17:U17"/>
    <mergeCell ref="V17:X17"/>
    <mergeCell ref="B18:C18"/>
    <mergeCell ref="Q18:R18"/>
    <mergeCell ref="T18:U18"/>
    <mergeCell ref="V18:X18"/>
    <mergeCell ref="Y18:Y24"/>
    <mergeCell ref="B19:C19"/>
    <mergeCell ref="Q19:R19"/>
    <mergeCell ref="T19:T20"/>
    <mergeCell ref="V19:X19"/>
    <mergeCell ref="B20:C20"/>
    <mergeCell ref="B22:B24"/>
    <mergeCell ref="C22:C23"/>
    <mergeCell ref="D22:D23"/>
    <mergeCell ref="E22:E23"/>
    <mergeCell ref="F22:F23"/>
    <mergeCell ref="Q20:R20"/>
    <mergeCell ref="V20:X20"/>
    <mergeCell ref="B21:C21"/>
    <mergeCell ref="T21:U21"/>
    <mergeCell ref="V21:X21"/>
    <mergeCell ref="I32:J32"/>
    <mergeCell ref="K32:L32"/>
    <mergeCell ref="K33:L33"/>
    <mergeCell ref="T22:T23"/>
    <mergeCell ref="V22:X22"/>
    <mergeCell ref="V23:X23"/>
    <mergeCell ref="T24:T25"/>
    <mergeCell ref="V24:X24"/>
    <mergeCell ref="V25:X25"/>
  </mergeCells>
  <pageMargins left="0.15748031496063" right="0.15748031496063" top="0" bottom="0" header="0" footer="0"/>
  <pageSetup paperSize="9" scale="46" orientation="landscape" r:id="rId1"/>
</worksheet>
</file>

<file path=xl/worksheets/sheet3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30CD935-A936-40EC-9668-81D2C1C34ACD}">
  <sheetPr>
    <pageSetUpPr fitToPage="1"/>
  </sheetPr>
  <dimension ref="A1:Y33"/>
  <sheetViews>
    <sheetView topLeftCell="A14" zoomScale="70" zoomScaleNormal="70" zoomScaleSheetLayoutView="100" zoomScalePageLayoutView="68" workbookViewId="0">
      <selection activeCell="I32" sqref="I32:J32"/>
    </sheetView>
  </sheetViews>
  <sheetFormatPr defaultColWidth="9.140625" defaultRowHeight="15" x14ac:dyDescent="0.25"/>
  <cols>
    <col min="1" max="1" width="18.28515625" style="14" customWidth="1"/>
    <col min="2" max="2" width="10.7109375" style="14" customWidth="1"/>
    <col min="3" max="3" width="12.28515625" style="14" customWidth="1"/>
    <col min="4" max="4" width="13.140625" style="14" bestFit="1" customWidth="1"/>
    <col min="5" max="5" width="12" style="14" customWidth="1"/>
    <col min="6" max="6" width="14" style="14" bestFit="1" customWidth="1"/>
    <col min="7" max="7" width="16" style="14" bestFit="1" customWidth="1"/>
    <col min="8" max="8" width="10.140625" style="14" bestFit="1" customWidth="1"/>
    <col min="9" max="9" width="10.5703125" style="14" bestFit="1" customWidth="1"/>
    <col min="10" max="10" width="10.5703125" style="14" customWidth="1"/>
    <col min="11" max="11" width="10.28515625" style="14" bestFit="1" customWidth="1"/>
    <col min="12" max="12" width="10.42578125" style="14" bestFit="1" customWidth="1"/>
    <col min="13" max="14" width="12" style="14" bestFit="1" customWidth="1"/>
    <col min="15" max="15" width="11" style="14" customWidth="1"/>
    <col min="16" max="16" width="12.85546875" style="14" bestFit="1" customWidth="1"/>
    <col min="17" max="18" width="9.42578125" style="14" customWidth="1"/>
    <col min="19" max="19" width="13.7109375" style="14" customWidth="1"/>
    <col min="20" max="20" width="12.140625" style="14" customWidth="1"/>
    <col min="21" max="21" width="21.7109375" style="14" customWidth="1"/>
    <col min="22" max="22" width="9.85546875" style="14" customWidth="1"/>
    <col min="23" max="23" width="10.140625" style="14" bestFit="1" customWidth="1"/>
    <col min="24" max="24" width="10.28515625" style="14" customWidth="1"/>
    <col min="25" max="25" width="15.7109375" style="14" customWidth="1"/>
    <col min="26" max="16384" width="9.140625" style="14"/>
  </cols>
  <sheetData>
    <row r="1" spans="1:25" ht="46.15" customHeight="1" x14ac:dyDescent="0.25">
      <c r="A1" s="2240" t="s">
        <v>148</v>
      </c>
      <c r="B1" s="2240"/>
      <c r="C1" s="2240"/>
      <c r="D1" s="2240"/>
      <c r="E1" s="2240"/>
      <c r="F1" s="2240"/>
      <c r="G1" s="2240"/>
      <c r="H1" s="2240"/>
      <c r="I1" s="2240"/>
      <c r="J1" s="2240"/>
      <c r="K1" s="2240"/>
      <c r="L1" s="2240"/>
      <c r="M1" s="2240"/>
      <c r="N1" s="2240"/>
      <c r="O1" s="2240"/>
      <c r="P1" s="2240"/>
      <c r="Q1" s="2240"/>
      <c r="R1" s="2240"/>
      <c r="S1" s="2240"/>
      <c r="T1" s="2240"/>
      <c r="U1" s="2240"/>
      <c r="V1" s="2240"/>
      <c r="W1" s="2240"/>
      <c r="X1" s="2240"/>
      <c r="Y1" s="2240"/>
    </row>
    <row r="2" spans="1:25" ht="21.6" customHeight="1" x14ac:dyDescent="0.25">
      <c r="A2" s="2241" t="s">
        <v>383</v>
      </c>
      <c r="B2" s="2241"/>
      <c r="C2" s="2241"/>
      <c r="D2" s="2241"/>
      <c r="E2" s="2241"/>
      <c r="F2" s="2241"/>
      <c r="G2" s="2241"/>
      <c r="H2" s="2241"/>
      <c r="I2" s="2241"/>
      <c r="J2" s="2241"/>
      <c r="K2" s="2241"/>
      <c r="L2" s="2241"/>
      <c r="M2" s="2241"/>
      <c r="N2" s="2241"/>
      <c r="O2" s="2241"/>
      <c r="P2" s="2241"/>
      <c r="Q2" s="2241"/>
      <c r="R2" s="2241"/>
      <c r="S2" s="2241"/>
      <c r="T2" s="2241"/>
      <c r="U2" s="2241"/>
      <c r="V2" s="2241"/>
      <c r="W2" s="2241"/>
      <c r="X2" s="2241"/>
      <c r="Y2" s="2241"/>
    </row>
    <row r="3" spans="1:25" ht="21" customHeight="1" x14ac:dyDescent="0.25">
      <c r="A3" s="1956"/>
      <c r="B3" s="1956"/>
      <c r="C3" s="1956"/>
      <c r="D3" s="1956"/>
      <c r="E3" s="1956"/>
      <c r="F3" s="1956"/>
      <c r="G3" s="1956"/>
      <c r="H3" s="1956"/>
      <c r="I3" s="1956"/>
      <c r="J3" s="1956"/>
      <c r="K3" s="1956"/>
      <c r="L3" s="1956"/>
      <c r="M3" s="1956"/>
      <c r="N3" s="1956"/>
      <c r="O3" s="1956"/>
      <c r="P3" s="1956"/>
      <c r="Q3" s="1956"/>
      <c r="R3" s="1956"/>
      <c r="S3" s="1956"/>
      <c r="T3" s="2242" t="s">
        <v>565</v>
      </c>
      <c r="U3" s="2242"/>
      <c r="V3" s="2242"/>
      <c r="W3" s="2242"/>
      <c r="X3" s="2242"/>
      <c r="Y3" s="2242"/>
    </row>
    <row r="4" spans="1:25" s="1956" customFormat="1" ht="18" customHeight="1" x14ac:dyDescent="0.25">
      <c r="A4" s="2243" t="s">
        <v>25</v>
      </c>
      <c r="B4" s="2243" t="s">
        <v>26</v>
      </c>
      <c r="C4" s="2244" t="s">
        <v>27</v>
      </c>
      <c r="D4" s="2244"/>
      <c r="E4" s="2244" t="s">
        <v>544</v>
      </c>
      <c r="F4" s="2244"/>
      <c r="G4" s="2244" t="s">
        <v>65</v>
      </c>
      <c r="H4" s="2244"/>
      <c r="I4" s="2244" t="s">
        <v>29</v>
      </c>
      <c r="J4" s="2244"/>
      <c r="K4" s="2245" t="s">
        <v>14</v>
      </c>
      <c r="L4" s="2246"/>
      <c r="M4" s="2245" t="s">
        <v>429</v>
      </c>
      <c r="N4" s="2246"/>
      <c r="O4" s="2245" t="s">
        <v>441</v>
      </c>
      <c r="P4" s="2246"/>
      <c r="Q4" s="2245" t="s">
        <v>114</v>
      </c>
      <c r="R4" s="2246"/>
      <c r="S4" s="2244" t="s">
        <v>35</v>
      </c>
      <c r="T4" s="2244"/>
      <c r="U4" s="2245" t="s">
        <v>17</v>
      </c>
      <c r="V4" s="2246"/>
      <c r="W4" s="2247" t="s">
        <v>36</v>
      </c>
      <c r="X4" s="2248"/>
      <c r="Y4" s="2238" t="s">
        <v>30</v>
      </c>
    </row>
    <row r="5" spans="1:25" s="1956" customFormat="1" ht="25.5" customHeight="1" x14ac:dyDescent="0.25">
      <c r="A5" s="2243"/>
      <c r="B5" s="2243"/>
      <c r="C5" s="1958" t="s">
        <v>42</v>
      </c>
      <c r="D5" s="1958" t="s">
        <v>43</v>
      </c>
      <c r="E5" s="1958" t="s">
        <v>42</v>
      </c>
      <c r="F5" s="1958" t="s">
        <v>43</v>
      </c>
      <c r="G5" s="1958" t="s">
        <v>42</v>
      </c>
      <c r="H5" s="1958" t="s">
        <v>43</v>
      </c>
      <c r="I5" s="1958" t="s">
        <v>42</v>
      </c>
      <c r="J5" s="1958" t="s">
        <v>43</v>
      </c>
      <c r="K5" s="1958" t="s">
        <v>42</v>
      </c>
      <c r="L5" s="1958" t="s">
        <v>43</v>
      </c>
      <c r="M5" s="1958" t="s">
        <v>42</v>
      </c>
      <c r="N5" s="1958" t="s">
        <v>43</v>
      </c>
      <c r="O5" s="1958" t="s">
        <v>42</v>
      </c>
      <c r="P5" s="1958" t="s">
        <v>43</v>
      </c>
      <c r="Q5" s="1958" t="s">
        <v>42</v>
      </c>
      <c r="R5" s="1958" t="s">
        <v>43</v>
      </c>
      <c r="S5" s="33" t="s">
        <v>42</v>
      </c>
      <c r="T5" s="33" t="s">
        <v>43</v>
      </c>
      <c r="U5" s="30" t="s">
        <v>42</v>
      </c>
      <c r="V5" s="30" t="s">
        <v>43</v>
      </c>
      <c r="W5" s="30" t="s">
        <v>42</v>
      </c>
      <c r="X5" s="30" t="s">
        <v>43</v>
      </c>
      <c r="Y5" s="2239"/>
    </row>
    <row r="6" spans="1:25" ht="34.5" customHeight="1" x14ac:dyDescent="0.25">
      <c r="A6" s="12">
        <v>1409935200</v>
      </c>
      <c r="B6" s="1957" t="s">
        <v>71</v>
      </c>
      <c r="C6" s="1960">
        <v>29275</v>
      </c>
      <c r="D6" s="1961">
        <f t="shared" ref="D6:D11" si="0">0.9725*C6</f>
        <v>28469.9375</v>
      </c>
      <c r="E6" s="1960"/>
      <c r="F6" s="1961">
        <f>19.68*E6</f>
        <v>0</v>
      </c>
      <c r="G6" s="1960"/>
      <c r="H6" s="1961">
        <f t="shared" ref="H6:H11" si="1">28.26*G6</f>
        <v>0</v>
      </c>
      <c r="I6" s="1960">
        <v>170</v>
      </c>
      <c r="J6" s="1960">
        <f>18.82*I6</f>
        <v>3199.4</v>
      </c>
      <c r="K6" s="1960"/>
      <c r="L6" s="1961">
        <f>28.2368*K6</f>
        <v>0</v>
      </c>
      <c r="M6" s="1960"/>
      <c r="N6" s="1961">
        <f>M6*47.6525</f>
        <v>0</v>
      </c>
      <c r="O6" s="1960"/>
      <c r="P6" s="1961">
        <f>O6*8.9</f>
        <v>0</v>
      </c>
      <c r="Q6" s="1961"/>
      <c r="R6" s="1961">
        <f>241*Q6</f>
        <v>0</v>
      </c>
      <c r="S6" s="1960"/>
      <c r="T6" s="1960">
        <f>470*S6</f>
        <v>0</v>
      </c>
      <c r="U6" s="1960">
        <v>10</v>
      </c>
      <c r="V6" s="1960">
        <f>332*U6</f>
        <v>3320</v>
      </c>
      <c r="W6" s="1960">
        <v>1</v>
      </c>
      <c r="X6" s="19">
        <f>W6*100</f>
        <v>100</v>
      </c>
      <c r="Y6" s="20">
        <f t="shared" ref="Y6:Y12" si="2">D6+F6+H6+J6+L6+N6+P6+R6+T6+V6+X6</f>
        <v>35089.337500000001</v>
      </c>
    </row>
    <row r="7" spans="1:25" ht="36.75" customHeight="1" x14ac:dyDescent="0.25">
      <c r="A7" s="12">
        <v>1984225578</v>
      </c>
      <c r="B7" s="1957" t="s">
        <v>509</v>
      </c>
      <c r="C7" s="1960">
        <v>45936</v>
      </c>
      <c r="D7" s="1961">
        <f t="shared" si="0"/>
        <v>44672.76</v>
      </c>
      <c r="E7" s="1960"/>
      <c r="F7" s="1961">
        <f t="shared" ref="F7:F11" si="3">19.68*E7</f>
        <v>0</v>
      </c>
      <c r="G7" s="1960"/>
      <c r="H7" s="1961">
        <f t="shared" si="1"/>
        <v>0</v>
      </c>
      <c r="I7" s="1960">
        <v>810</v>
      </c>
      <c r="J7" s="1960">
        <f t="shared" ref="J7:J11" si="4">18.82*I7</f>
        <v>15244.2</v>
      </c>
      <c r="K7" s="1960"/>
      <c r="L7" s="1961">
        <f t="shared" ref="L7:L11" si="5">28.2368*K7</f>
        <v>0</v>
      </c>
      <c r="M7" s="1960"/>
      <c r="N7" s="1961">
        <f t="shared" ref="N7:N11" si="6">M7*47.6525</f>
        <v>0</v>
      </c>
      <c r="O7" s="1960"/>
      <c r="P7" s="1961">
        <f t="shared" ref="P7:P11" si="7">O7*8.9</f>
        <v>0</v>
      </c>
      <c r="Q7" s="1961"/>
      <c r="R7" s="1961">
        <f t="shared" ref="R7:R11" si="8">241*Q7</f>
        <v>0</v>
      </c>
      <c r="S7" s="1960"/>
      <c r="T7" s="1960">
        <f t="shared" ref="T7:T9" si="9">241*S7</f>
        <v>0</v>
      </c>
      <c r="U7" s="1960">
        <v>25</v>
      </c>
      <c r="V7" s="1960">
        <f t="shared" ref="V7:V11" si="10">332*U7</f>
        <v>8300</v>
      </c>
      <c r="W7" s="1960"/>
      <c r="X7" s="19">
        <f t="shared" ref="X7:X11" si="11">W7*100</f>
        <v>0</v>
      </c>
      <c r="Y7" s="20">
        <f t="shared" si="2"/>
        <v>68216.960000000006</v>
      </c>
    </row>
    <row r="8" spans="1:25" ht="35.25" customHeight="1" x14ac:dyDescent="0.25">
      <c r="A8" s="12">
        <v>1967020280</v>
      </c>
      <c r="B8" s="1957" t="s">
        <v>427</v>
      </c>
      <c r="C8" s="1960">
        <v>35540</v>
      </c>
      <c r="D8" s="1961">
        <f t="shared" si="0"/>
        <v>34562.65</v>
      </c>
      <c r="E8" s="1960"/>
      <c r="F8" s="1961">
        <f t="shared" si="3"/>
        <v>0</v>
      </c>
      <c r="G8" s="1960">
        <v>30</v>
      </c>
      <c r="H8" s="1961">
        <f t="shared" si="1"/>
        <v>847.80000000000007</v>
      </c>
      <c r="I8" s="1960">
        <v>500</v>
      </c>
      <c r="J8" s="1960">
        <f t="shared" si="4"/>
        <v>9410</v>
      </c>
      <c r="K8" s="1960"/>
      <c r="L8" s="1961">
        <f t="shared" si="5"/>
        <v>0</v>
      </c>
      <c r="M8" s="1960"/>
      <c r="N8" s="1961">
        <f t="shared" si="6"/>
        <v>0</v>
      </c>
      <c r="O8" s="1960"/>
      <c r="P8" s="1961">
        <f t="shared" si="7"/>
        <v>0</v>
      </c>
      <c r="Q8" s="1961"/>
      <c r="R8" s="1961">
        <f t="shared" si="8"/>
        <v>0</v>
      </c>
      <c r="S8" s="1960"/>
      <c r="T8" s="1960">
        <f t="shared" si="9"/>
        <v>0</v>
      </c>
      <c r="U8" s="1960">
        <v>7</v>
      </c>
      <c r="V8" s="1960">
        <f t="shared" si="10"/>
        <v>2324</v>
      </c>
      <c r="W8" s="1960"/>
      <c r="X8" s="19">
        <f t="shared" si="11"/>
        <v>0</v>
      </c>
      <c r="Y8" s="20">
        <f t="shared" si="2"/>
        <v>47144.450000000004</v>
      </c>
    </row>
    <row r="9" spans="1:25" ht="38.25" customHeight="1" x14ac:dyDescent="0.25">
      <c r="A9" s="12">
        <v>1984225580</v>
      </c>
      <c r="B9" s="1957" t="s">
        <v>74</v>
      </c>
      <c r="C9" s="1960">
        <v>64350</v>
      </c>
      <c r="D9" s="1961">
        <f t="shared" si="0"/>
        <v>62580.375</v>
      </c>
      <c r="E9" s="1960"/>
      <c r="F9" s="1961">
        <f t="shared" si="3"/>
        <v>0</v>
      </c>
      <c r="G9" s="1960"/>
      <c r="H9" s="1961">
        <f t="shared" si="1"/>
        <v>0</v>
      </c>
      <c r="I9" s="1960">
        <v>620</v>
      </c>
      <c r="J9" s="1960">
        <f t="shared" si="4"/>
        <v>11668.4</v>
      </c>
      <c r="K9" s="1960"/>
      <c r="L9" s="1961">
        <f t="shared" si="5"/>
        <v>0</v>
      </c>
      <c r="M9" s="1960"/>
      <c r="N9" s="1961">
        <f t="shared" si="6"/>
        <v>0</v>
      </c>
      <c r="O9" s="1960"/>
      <c r="P9" s="1961">
        <f t="shared" si="7"/>
        <v>0</v>
      </c>
      <c r="Q9" s="1961"/>
      <c r="R9" s="1961">
        <f t="shared" si="8"/>
        <v>0</v>
      </c>
      <c r="S9" s="1960"/>
      <c r="T9" s="1960">
        <f t="shared" si="9"/>
        <v>0</v>
      </c>
      <c r="U9" s="1960">
        <v>4</v>
      </c>
      <c r="V9" s="1960">
        <f t="shared" si="10"/>
        <v>1328</v>
      </c>
      <c r="W9" s="1960"/>
      <c r="X9" s="19">
        <f t="shared" si="11"/>
        <v>0</v>
      </c>
      <c r="Y9" s="20">
        <f t="shared" si="2"/>
        <v>75576.774999999994</v>
      </c>
    </row>
    <row r="10" spans="1:25" ht="35.25" customHeight="1" x14ac:dyDescent="0.25">
      <c r="A10" s="12">
        <v>1409935199</v>
      </c>
      <c r="C10" s="1960"/>
      <c r="D10" s="1961">
        <f t="shared" si="0"/>
        <v>0</v>
      </c>
      <c r="E10" s="1960"/>
      <c r="F10" s="1961">
        <f t="shared" si="3"/>
        <v>0</v>
      </c>
      <c r="G10" s="1960"/>
      <c r="H10" s="1961">
        <f t="shared" si="1"/>
        <v>0</v>
      </c>
      <c r="I10" s="1960"/>
      <c r="J10" s="1960">
        <f t="shared" si="4"/>
        <v>0</v>
      </c>
      <c r="K10" s="1960"/>
      <c r="L10" s="1961">
        <f t="shared" si="5"/>
        <v>0</v>
      </c>
      <c r="M10" s="1960"/>
      <c r="N10" s="1961">
        <f t="shared" si="6"/>
        <v>0</v>
      </c>
      <c r="O10" s="1960"/>
      <c r="P10" s="1961">
        <f t="shared" si="7"/>
        <v>0</v>
      </c>
      <c r="Q10" s="1961"/>
      <c r="R10" s="1961">
        <f t="shared" si="8"/>
        <v>0</v>
      </c>
      <c r="S10" s="1960"/>
      <c r="T10" s="1960">
        <f>470*S10</f>
        <v>0</v>
      </c>
      <c r="U10" s="1960"/>
      <c r="V10" s="1960">
        <f t="shared" si="10"/>
        <v>0</v>
      </c>
      <c r="W10" s="1960"/>
      <c r="X10" s="19">
        <f t="shared" si="11"/>
        <v>0</v>
      </c>
      <c r="Y10" s="20">
        <f t="shared" si="2"/>
        <v>0</v>
      </c>
    </row>
    <row r="11" spans="1:25" ht="37.5" customHeight="1" x14ac:dyDescent="0.25">
      <c r="A11" s="12"/>
      <c r="B11" s="1959"/>
      <c r="C11" s="1960"/>
      <c r="D11" s="1961">
        <f t="shared" si="0"/>
        <v>0</v>
      </c>
      <c r="E11" s="1960"/>
      <c r="F11" s="1961">
        <f t="shared" si="3"/>
        <v>0</v>
      </c>
      <c r="G11" s="1960"/>
      <c r="H11" s="1961">
        <f t="shared" si="1"/>
        <v>0</v>
      </c>
      <c r="I11" s="1960"/>
      <c r="J11" s="1960">
        <f t="shared" si="4"/>
        <v>0</v>
      </c>
      <c r="K11" s="1960"/>
      <c r="L11" s="1961">
        <f t="shared" si="5"/>
        <v>0</v>
      </c>
      <c r="M11" s="1960"/>
      <c r="N11" s="1961">
        <f t="shared" si="6"/>
        <v>0</v>
      </c>
      <c r="O11" s="1960"/>
      <c r="P11" s="1961">
        <f t="shared" si="7"/>
        <v>0</v>
      </c>
      <c r="Q11" s="1961"/>
      <c r="R11" s="1961">
        <f t="shared" si="8"/>
        <v>0</v>
      </c>
      <c r="S11" s="1960"/>
      <c r="T11" s="1960">
        <f>341*S11</f>
        <v>0</v>
      </c>
      <c r="U11" s="1960"/>
      <c r="V11" s="1960">
        <f t="shared" si="10"/>
        <v>0</v>
      </c>
      <c r="W11" s="1960"/>
      <c r="X11" s="19">
        <f t="shared" si="11"/>
        <v>0</v>
      </c>
      <c r="Y11" s="20">
        <f t="shared" si="2"/>
        <v>0</v>
      </c>
    </row>
    <row r="12" spans="1:25" ht="29.25" customHeight="1" x14ac:dyDescent="0.25">
      <c r="A12" s="2235" t="s">
        <v>31</v>
      </c>
      <c r="B12" s="2235"/>
      <c r="C12" s="18">
        <f t="shared" ref="C12:X12" si="12">SUM(C6:C11)</f>
        <v>175101</v>
      </c>
      <c r="D12" s="18">
        <f t="shared" si="12"/>
        <v>170285.7225</v>
      </c>
      <c r="E12" s="18">
        <f t="shared" si="12"/>
        <v>0</v>
      </c>
      <c r="F12" s="18">
        <f t="shared" si="12"/>
        <v>0</v>
      </c>
      <c r="G12" s="18">
        <f t="shared" si="12"/>
        <v>30</v>
      </c>
      <c r="H12" s="18">
        <f t="shared" si="12"/>
        <v>847.80000000000007</v>
      </c>
      <c r="I12" s="18">
        <f t="shared" si="12"/>
        <v>2100</v>
      </c>
      <c r="J12" s="18">
        <f t="shared" si="12"/>
        <v>39522</v>
      </c>
      <c r="K12" s="18">
        <f t="shared" si="12"/>
        <v>0</v>
      </c>
      <c r="L12" s="18">
        <f t="shared" si="12"/>
        <v>0</v>
      </c>
      <c r="M12" s="18">
        <f t="shared" si="12"/>
        <v>0</v>
      </c>
      <c r="N12" s="23">
        <f t="shared" si="12"/>
        <v>0</v>
      </c>
      <c r="O12" s="18">
        <f t="shared" si="12"/>
        <v>0</v>
      </c>
      <c r="P12" s="23">
        <f t="shared" si="12"/>
        <v>0</v>
      </c>
      <c r="Q12" s="23">
        <f t="shared" si="12"/>
        <v>0</v>
      </c>
      <c r="R12" s="23">
        <f>SUM(R6:R11)</f>
        <v>0</v>
      </c>
      <c r="S12" s="23">
        <f>SUM(S6:S11)</f>
        <v>0</v>
      </c>
      <c r="T12" s="18">
        <f t="shared" si="12"/>
        <v>0</v>
      </c>
      <c r="U12" s="18">
        <f t="shared" si="12"/>
        <v>46</v>
      </c>
      <c r="V12" s="18">
        <f t="shared" si="12"/>
        <v>15272</v>
      </c>
      <c r="W12" s="18">
        <f t="shared" si="12"/>
        <v>1</v>
      </c>
      <c r="X12" s="18">
        <f t="shared" si="12"/>
        <v>100</v>
      </c>
      <c r="Y12" s="20">
        <f t="shared" si="2"/>
        <v>226027.52249999999</v>
      </c>
    </row>
    <row r="14" spans="1:25" ht="43.5" customHeight="1" x14ac:dyDescent="0.25">
      <c r="A14" s="30" t="s">
        <v>32</v>
      </c>
      <c r="B14" s="2236" t="s">
        <v>27</v>
      </c>
      <c r="C14" s="2236"/>
      <c r="D14" s="30" t="s">
        <v>543</v>
      </c>
      <c r="E14" s="30" t="s">
        <v>65</v>
      </c>
      <c r="F14" s="30" t="s">
        <v>34</v>
      </c>
      <c r="G14" s="30" t="s">
        <v>14</v>
      </c>
      <c r="H14" s="469" t="s">
        <v>173</v>
      </c>
      <c r="I14" s="30" t="s">
        <v>17</v>
      </c>
      <c r="J14" s="1965" t="s">
        <v>174</v>
      </c>
      <c r="K14" s="30" t="s">
        <v>36</v>
      </c>
      <c r="L14" s="1965" t="s">
        <v>403</v>
      </c>
      <c r="M14" s="1965" t="s">
        <v>549</v>
      </c>
      <c r="N14" s="30" t="s">
        <v>442</v>
      </c>
      <c r="O14" s="1965" t="s">
        <v>114</v>
      </c>
      <c r="P14" s="30" t="s">
        <v>70</v>
      </c>
      <c r="Q14" s="2300" t="s">
        <v>479</v>
      </c>
      <c r="R14" s="2301"/>
      <c r="S14" s="1965" t="s">
        <v>401</v>
      </c>
      <c r="T14" s="2235" t="s">
        <v>46</v>
      </c>
      <c r="U14" s="1957" t="s">
        <v>176</v>
      </c>
      <c r="V14" s="2260">
        <v>22472</v>
      </c>
      <c r="W14" s="2268"/>
      <c r="X14" s="2261"/>
    </row>
    <row r="15" spans="1:25" ht="22.5" customHeight="1" x14ac:dyDescent="0.25">
      <c r="A15" s="100" t="s">
        <v>38</v>
      </c>
      <c r="B15" s="2260">
        <v>386537</v>
      </c>
      <c r="C15" s="2261"/>
      <c r="D15" s="1962">
        <v>320</v>
      </c>
      <c r="E15" s="1962">
        <v>230</v>
      </c>
      <c r="F15" s="1962">
        <v>4150</v>
      </c>
      <c r="G15" s="1962">
        <v>1000</v>
      </c>
      <c r="H15" s="1962">
        <v>38</v>
      </c>
      <c r="I15" s="1962">
        <v>82</v>
      </c>
      <c r="J15" s="1962">
        <v>4</v>
      </c>
      <c r="K15" s="1962">
        <v>72</v>
      </c>
      <c r="L15" s="1962">
        <v>0</v>
      </c>
      <c r="M15" s="1962">
        <v>32</v>
      </c>
      <c r="N15" s="1962">
        <v>0</v>
      </c>
      <c r="O15" s="1962">
        <v>0</v>
      </c>
      <c r="P15" s="1962">
        <v>100</v>
      </c>
      <c r="Q15" s="2260">
        <v>10</v>
      </c>
      <c r="R15" s="2261"/>
      <c r="S15" s="1957">
        <v>2</v>
      </c>
      <c r="T15" s="2235"/>
      <c r="U15" s="1957" t="s">
        <v>64</v>
      </c>
      <c r="V15" s="2262">
        <v>10974</v>
      </c>
      <c r="W15" s="2262"/>
      <c r="X15" s="2262"/>
    </row>
    <row r="16" spans="1:25" ht="24.75" customHeight="1" x14ac:dyDescent="0.25">
      <c r="A16" s="100" t="s">
        <v>39</v>
      </c>
      <c r="B16" s="2260">
        <v>432107</v>
      </c>
      <c r="C16" s="2261"/>
      <c r="D16" s="1962"/>
      <c r="E16" s="1962"/>
      <c r="F16" s="1962">
        <v>5000</v>
      </c>
      <c r="G16" s="1962">
        <v>1000</v>
      </c>
      <c r="H16" s="1962"/>
      <c r="I16" s="1962"/>
      <c r="J16" s="1962"/>
      <c r="K16" s="1962"/>
      <c r="L16" s="1962"/>
      <c r="M16" s="1962"/>
      <c r="N16" s="1962"/>
      <c r="O16" s="1962"/>
      <c r="P16" s="1962"/>
      <c r="Q16" s="2262"/>
      <c r="R16" s="2262"/>
      <c r="S16" s="1962"/>
      <c r="T16" s="2254" t="s">
        <v>55</v>
      </c>
      <c r="U16" s="2254"/>
      <c r="V16" s="2267">
        <f>Y12</f>
        <v>226027.52249999999</v>
      </c>
      <c r="W16" s="2267"/>
      <c r="X16" s="2262"/>
    </row>
    <row r="17" spans="1:25" ht="28.5" customHeight="1" x14ac:dyDescent="0.25">
      <c r="A17" s="101" t="s">
        <v>44</v>
      </c>
      <c r="B17" s="2260"/>
      <c r="C17" s="2261"/>
      <c r="D17" s="1962"/>
      <c r="E17" s="1962"/>
      <c r="F17" s="1962"/>
      <c r="G17" s="1962"/>
      <c r="H17" s="1962"/>
      <c r="I17" s="1962"/>
      <c r="J17" s="1962"/>
      <c r="K17" s="1962"/>
      <c r="L17" s="1962"/>
      <c r="M17" s="1962"/>
      <c r="N17" s="1962"/>
      <c r="O17" s="1962"/>
      <c r="P17" s="1962"/>
      <c r="Q17" s="2225"/>
      <c r="R17" s="2225"/>
      <c r="S17" s="1959"/>
      <c r="T17" s="2294" t="s">
        <v>521</v>
      </c>
      <c r="U17" s="2295"/>
      <c r="V17" s="2296"/>
      <c r="W17" s="2296"/>
      <c r="X17" s="2296"/>
    </row>
    <row r="18" spans="1:25" ht="27" customHeight="1" x14ac:dyDescent="0.25">
      <c r="A18" s="100" t="s">
        <v>40</v>
      </c>
      <c r="B18" s="2264">
        <f>C12</f>
        <v>175101</v>
      </c>
      <c r="C18" s="2261"/>
      <c r="D18" s="1963">
        <f>E12</f>
        <v>0</v>
      </c>
      <c r="E18" s="1963">
        <f>G12</f>
        <v>30</v>
      </c>
      <c r="F18" s="1963">
        <f>I12</f>
        <v>2100</v>
      </c>
      <c r="G18" s="1963">
        <f>K12</f>
        <v>0</v>
      </c>
      <c r="H18" s="1962"/>
      <c r="I18" s="1963">
        <f>U12</f>
        <v>46</v>
      </c>
      <c r="J18" s="1962"/>
      <c r="K18" s="1963">
        <f>W12</f>
        <v>1</v>
      </c>
      <c r="L18" s="1962"/>
      <c r="M18" s="1963">
        <v>2</v>
      </c>
      <c r="N18" s="1963">
        <f>O12</f>
        <v>0</v>
      </c>
      <c r="O18" s="1964">
        <f>Q12</f>
        <v>0</v>
      </c>
      <c r="P18" s="1963"/>
      <c r="Q18" s="2262"/>
      <c r="R18" s="2262"/>
      <c r="S18" s="1957"/>
      <c r="T18" s="2254" t="s">
        <v>57</v>
      </c>
      <c r="U18" s="2254"/>
      <c r="V18" s="2262">
        <v>520</v>
      </c>
      <c r="W18" s="2262"/>
      <c r="X18" s="2262"/>
      <c r="Y18" s="2269"/>
    </row>
    <row r="19" spans="1:25" ht="25.5" customHeight="1" x14ac:dyDescent="0.25">
      <c r="A19" s="100" t="s">
        <v>41</v>
      </c>
      <c r="B19" s="2260">
        <f>B15+B16+B17-B18</f>
        <v>643543</v>
      </c>
      <c r="C19" s="2261"/>
      <c r="D19" s="1962">
        <f>D15+D16+D17-D18</f>
        <v>320</v>
      </c>
      <c r="E19" s="1962">
        <f t="shared" ref="E19:N19" si="13">E15+E16+E17-E18</f>
        <v>200</v>
      </c>
      <c r="F19" s="1962">
        <f t="shared" si="13"/>
        <v>7050</v>
      </c>
      <c r="G19" s="1962">
        <f t="shared" si="13"/>
        <v>2000</v>
      </c>
      <c r="H19" s="1962">
        <f t="shared" si="13"/>
        <v>38</v>
      </c>
      <c r="I19" s="1962">
        <f t="shared" si="13"/>
        <v>36</v>
      </c>
      <c r="J19" s="1962">
        <f t="shared" si="13"/>
        <v>4</v>
      </c>
      <c r="K19" s="1962">
        <f t="shared" si="13"/>
        <v>71</v>
      </c>
      <c r="L19" s="1962">
        <f t="shared" si="13"/>
        <v>0</v>
      </c>
      <c r="M19" s="1962">
        <f t="shared" si="13"/>
        <v>30</v>
      </c>
      <c r="N19" s="1962">
        <f t="shared" si="13"/>
        <v>0</v>
      </c>
      <c r="O19" s="1962">
        <f>O15+O16+O17-O18</f>
        <v>0</v>
      </c>
      <c r="P19" s="1962">
        <f t="shared" ref="P19:Q19" si="14">P15+P16+P17-P18</f>
        <v>100</v>
      </c>
      <c r="Q19" s="2260">
        <f t="shared" si="14"/>
        <v>10</v>
      </c>
      <c r="R19" s="2261"/>
      <c r="S19" s="1957">
        <f>S15+S16-S17-S18</f>
        <v>2</v>
      </c>
      <c r="T19" s="2256" t="s">
        <v>48</v>
      </c>
      <c r="U19" s="49" t="s">
        <v>58</v>
      </c>
      <c r="V19" s="2262">
        <v>80000</v>
      </c>
      <c r="W19" s="2262"/>
      <c r="X19" s="2262"/>
      <c r="Y19" s="2269"/>
    </row>
    <row r="20" spans="1:25" ht="23.25" customHeight="1" x14ac:dyDescent="0.25">
      <c r="A20" s="289" t="s">
        <v>187</v>
      </c>
      <c r="B20" s="2286">
        <f>B19*0.9625</f>
        <v>619410.13750000007</v>
      </c>
      <c r="C20" s="2287"/>
      <c r="D20" s="290">
        <f>D19*19.48</f>
        <v>6233.6</v>
      </c>
      <c r="E20" s="290">
        <f>27.97*E19</f>
        <v>5594</v>
      </c>
      <c r="F20" s="290">
        <f>18.63*F19</f>
        <v>131341.5</v>
      </c>
      <c r="G20" s="290">
        <f>27.9468*G19</f>
        <v>55893.599999999999</v>
      </c>
      <c r="H20" s="290">
        <f>241*H19</f>
        <v>9158</v>
      </c>
      <c r="I20" s="290">
        <f>323*I19</f>
        <v>11628</v>
      </c>
      <c r="J20" s="290">
        <f>241*J19</f>
        <v>964</v>
      </c>
      <c r="K20" s="290">
        <f>K19*100</f>
        <v>7100</v>
      </c>
      <c r="L20" s="290">
        <f>241*L19</f>
        <v>0</v>
      </c>
      <c r="M20" s="290">
        <f>470*M19</f>
        <v>14100</v>
      </c>
      <c r="N20" s="290">
        <f>N19*8.81</f>
        <v>0</v>
      </c>
      <c r="O20" s="290">
        <f>241*O19</f>
        <v>0</v>
      </c>
      <c r="P20" s="290">
        <f>P19*48.2</f>
        <v>4820</v>
      </c>
      <c r="Q20" s="2286">
        <f>470*Q19</f>
        <v>4700</v>
      </c>
      <c r="R20" s="2287"/>
      <c r="S20" s="290">
        <f>341*S19</f>
        <v>682</v>
      </c>
      <c r="T20" s="2257"/>
      <c r="U20" s="49" t="s">
        <v>59</v>
      </c>
      <c r="V20" s="2262">
        <v>137000</v>
      </c>
      <c r="W20" s="2262"/>
      <c r="X20" s="2262"/>
      <c r="Y20" s="2269"/>
    </row>
    <row r="21" spans="1:25" ht="32.25" customHeight="1" x14ac:dyDescent="0.25">
      <c r="A21" s="291" t="s">
        <v>186</v>
      </c>
      <c r="B21" s="2302">
        <f>SUM(B20:S20)</f>
        <v>871624.83750000002</v>
      </c>
      <c r="C21" s="2302"/>
      <c r="T21" s="2294" t="s">
        <v>518</v>
      </c>
      <c r="U21" s="2295"/>
      <c r="V21" s="2297"/>
      <c r="W21" s="2298"/>
      <c r="X21" s="2299"/>
      <c r="Y21" s="2269"/>
    </row>
    <row r="22" spans="1:25" ht="35.25" customHeight="1" x14ac:dyDescent="0.25">
      <c r="A22" s="1911"/>
      <c r="B22" s="2288" t="s">
        <v>49</v>
      </c>
      <c r="C22" s="2291">
        <v>80000</v>
      </c>
      <c r="D22" s="2291">
        <v>80000</v>
      </c>
      <c r="E22" s="2291">
        <v>400000</v>
      </c>
      <c r="F22" s="2291">
        <f>C22-D22+E22</f>
        <v>400000</v>
      </c>
      <c r="T22" s="2251" t="s">
        <v>83</v>
      </c>
      <c r="U22" s="50" t="s">
        <v>60</v>
      </c>
      <c r="V22" s="2262">
        <v>220170</v>
      </c>
      <c r="W22" s="2262"/>
      <c r="X22" s="2262"/>
      <c r="Y22" s="2269"/>
    </row>
    <row r="23" spans="1:25" ht="39.75" customHeight="1" x14ac:dyDescent="0.25">
      <c r="B23" s="2289"/>
      <c r="C23" s="2292"/>
      <c r="D23" s="2292"/>
      <c r="E23" s="2292"/>
      <c r="F23" s="2292"/>
      <c r="T23" s="2252"/>
      <c r="U23" s="50" t="s">
        <v>61</v>
      </c>
      <c r="V23" s="2262">
        <v>217000</v>
      </c>
      <c r="W23" s="2262"/>
      <c r="X23" s="2262"/>
      <c r="Y23" s="2269"/>
    </row>
    <row r="24" spans="1:25" ht="48" customHeight="1" x14ac:dyDescent="0.25">
      <c r="B24" s="2290"/>
      <c r="C24" s="290" t="s">
        <v>46</v>
      </c>
      <c r="D24" s="290" t="s">
        <v>50</v>
      </c>
      <c r="E24" s="290" t="s">
        <v>51</v>
      </c>
      <c r="F24" s="290" t="s">
        <v>52</v>
      </c>
      <c r="T24" s="2235" t="s">
        <v>47</v>
      </c>
      <c r="U24" s="51" t="s">
        <v>62</v>
      </c>
      <c r="V24" s="2263">
        <f>V14+V16+V17-V18-V19-V20-V22+V23-V21</f>
        <v>27809.522499999992</v>
      </c>
      <c r="W24" s="2263"/>
      <c r="X24" s="2263"/>
      <c r="Y24" s="2269"/>
    </row>
    <row r="25" spans="1:25" ht="40.5" customHeight="1" x14ac:dyDescent="0.25">
      <c r="T25" s="2235"/>
      <c r="U25" s="51" t="s">
        <v>63</v>
      </c>
      <c r="V25" s="2262">
        <f>V15+V22-V23</f>
        <v>14144</v>
      </c>
      <c r="W25" s="2262"/>
      <c r="X25" s="2262"/>
    </row>
    <row r="26" spans="1:25" ht="36" customHeight="1" x14ac:dyDescent="0.25">
      <c r="K26" s="314"/>
    </row>
    <row r="28" spans="1:25" x14ac:dyDescent="0.25">
      <c r="J28" s="14" t="s">
        <v>139</v>
      </c>
    </row>
    <row r="32" spans="1:25" x14ac:dyDescent="0.25">
      <c r="I32" s="2280"/>
      <c r="J32" s="2280"/>
      <c r="K32" s="2280"/>
      <c r="L32" s="2280"/>
    </row>
    <row r="33" spans="9:12" x14ac:dyDescent="0.25">
      <c r="I33" s="1966"/>
      <c r="J33" s="1966"/>
      <c r="K33" s="2280"/>
      <c r="L33" s="2280"/>
    </row>
  </sheetData>
  <mergeCells count="62">
    <mergeCell ref="I32:J32"/>
    <mergeCell ref="K32:L32"/>
    <mergeCell ref="K33:L33"/>
    <mergeCell ref="T22:T23"/>
    <mergeCell ref="V22:X22"/>
    <mergeCell ref="V23:X23"/>
    <mergeCell ref="T24:T25"/>
    <mergeCell ref="V24:X24"/>
    <mergeCell ref="V25:X25"/>
    <mergeCell ref="Y18:Y24"/>
    <mergeCell ref="B19:C19"/>
    <mergeCell ref="Q19:R19"/>
    <mergeCell ref="T19:T20"/>
    <mergeCell ref="V19:X19"/>
    <mergeCell ref="B20:C20"/>
    <mergeCell ref="B22:B24"/>
    <mergeCell ref="C22:C23"/>
    <mergeCell ref="D22:D23"/>
    <mergeCell ref="E22:E23"/>
    <mergeCell ref="F22:F23"/>
    <mergeCell ref="Q20:R20"/>
    <mergeCell ref="V20:X20"/>
    <mergeCell ref="B21:C21"/>
    <mergeCell ref="T21:U21"/>
    <mergeCell ref="V21:X21"/>
    <mergeCell ref="B17:C17"/>
    <mergeCell ref="Q17:R17"/>
    <mergeCell ref="T17:U17"/>
    <mergeCell ref="V17:X17"/>
    <mergeCell ref="B18:C18"/>
    <mergeCell ref="Q18:R18"/>
    <mergeCell ref="T18:U18"/>
    <mergeCell ref="V18:X18"/>
    <mergeCell ref="W4:X4"/>
    <mergeCell ref="B16:C16"/>
    <mergeCell ref="Q16:R16"/>
    <mergeCell ref="T16:U16"/>
    <mergeCell ref="V16:X16"/>
    <mergeCell ref="A12:B12"/>
    <mergeCell ref="B14:C14"/>
    <mergeCell ref="Q14:R14"/>
    <mergeCell ref="T14:T15"/>
    <mergeCell ref="V14:X14"/>
    <mergeCell ref="B15:C15"/>
    <mergeCell ref="Q15:R15"/>
    <mergeCell ref="V15:X15"/>
    <mergeCell ref="A1:Y1"/>
    <mergeCell ref="A2:Y2"/>
    <mergeCell ref="T3:Y3"/>
    <mergeCell ref="A4:A5"/>
    <mergeCell ref="B4:B5"/>
    <mergeCell ref="C4:D4"/>
    <mergeCell ref="E4:F4"/>
    <mergeCell ref="G4:H4"/>
    <mergeCell ref="I4:J4"/>
    <mergeCell ref="K4:L4"/>
    <mergeCell ref="Y4:Y5"/>
    <mergeCell ref="M4:N4"/>
    <mergeCell ref="O4:P4"/>
    <mergeCell ref="Q4:R4"/>
    <mergeCell ref="S4:T4"/>
    <mergeCell ref="U4:V4"/>
  </mergeCells>
  <pageMargins left="0.15748031496063" right="0.15748031496063" top="0" bottom="0" header="0" footer="0"/>
  <pageSetup paperSize="9" scale="46" orientation="landscape" r:id="rId1"/>
</worksheet>
</file>

<file path=xl/worksheets/sheet3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4CEB976-481F-4CCF-9EA0-5EA033DA5E3B}">
  <sheetPr>
    <pageSetUpPr fitToPage="1"/>
  </sheetPr>
  <dimension ref="A1:Y33"/>
  <sheetViews>
    <sheetView topLeftCell="A11" zoomScale="70" zoomScaleNormal="70" zoomScaleSheetLayoutView="100" zoomScalePageLayoutView="68" workbookViewId="0">
      <selection activeCell="J28" sqref="J28"/>
    </sheetView>
  </sheetViews>
  <sheetFormatPr defaultColWidth="9.140625" defaultRowHeight="15" x14ac:dyDescent="0.25"/>
  <cols>
    <col min="1" max="1" width="18.28515625" style="14" customWidth="1"/>
    <col min="2" max="2" width="10.7109375" style="14" customWidth="1"/>
    <col min="3" max="3" width="12.28515625" style="14" customWidth="1"/>
    <col min="4" max="4" width="13.140625" style="14" bestFit="1" customWidth="1"/>
    <col min="5" max="5" width="12" style="14" customWidth="1"/>
    <col min="6" max="6" width="14" style="14" bestFit="1" customWidth="1"/>
    <col min="7" max="7" width="16" style="14" bestFit="1" customWidth="1"/>
    <col min="8" max="8" width="10.140625" style="14" bestFit="1" customWidth="1"/>
    <col min="9" max="9" width="10.5703125" style="14" bestFit="1" customWidth="1"/>
    <col min="10" max="10" width="10.5703125" style="14" customWidth="1"/>
    <col min="11" max="11" width="10.28515625" style="14" bestFit="1" customWidth="1"/>
    <col min="12" max="12" width="10.42578125" style="14" bestFit="1" customWidth="1"/>
    <col min="13" max="14" width="12" style="14" bestFit="1" customWidth="1"/>
    <col min="15" max="15" width="11" style="14" customWidth="1"/>
    <col min="16" max="16" width="12.85546875" style="14" bestFit="1" customWidth="1"/>
    <col min="17" max="18" width="9.42578125" style="14" customWidth="1"/>
    <col min="19" max="19" width="13.7109375" style="14" customWidth="1"/>
    <col min="20" max="20" width="12.140625" style="14" customWidth="1"/>
    <col min="21" max="21" width="21.7109375" style="14" customWidth="1"/>
    <col min="22" max="22" width="9.85546875" style="14" customWidth="1"/>
    <col min="23" max="23" width="10.140625" style="14" bestFit="1" customWidth="1"/>
    <col min="24" max="24" width="10.28515625" style="14" customWidth="1"/>
    <col min="25" max="25" width="15.7109375" style="14" customWidth="1"/>
    <col min="26" max="16384" width="9.140625" style="14"/>
  </cols>
  <sheetData>
    <row r="1" spans="1:25" ht="46.15" customHeight="1" x14ac:dyDescent="0.25">
      <c r="A1" s="2240" t="s">
        <v>148</v>
      </c>
      <c r="B1" s="2240"/>
      <c r="C1" s="2240"/>
      <c r="D1" s="2240"/>
      <c r="E1" s="2240"/>
      <c r="F1" s="2240"/>
      <c r="G1" s="2240"/>
      <c r="H1" s="2240"/>
      <c r="I1" s="2240"/>
      <c r="J1" s="2240"/>
      <c r="K1" s="2240"/>
      <c r="L1" s="2240"/>
      <c r="M1" s="2240"/>
      <c r="N1" s="2240"/>
      <c r="O1" s="2240"/>
      <c r="P1" s="2240"/>
      <c r="Q1" s="2240"/>
      <c r="R1" s="2240"/>
      <c r="S1" s="2240"/>
      <c r="T1" s="2240"/>
      <c r="U1" s="2240"/>
      <c r="V1" s="2240"/>
      <c r="W1" s="2240"/>
      <c r="X1" s="2240"/>
      <c r="Y1" s="2240"/>
    </row>
    <row r="2" spans="1:25" ht="21.6" customHeight="1" x14ac:dyDescent="0.25">
      <c r="A2" s="2241" t="s">
        <v>383</v>
      </c>
      <c r="B2" s="2241"/>
      <c r="C2" s="2241"/>
      <c r="D2" s="2241"/>
      <c r="E2" s="2241"/>
      <c r="F2" s="2241"/>
      <c r="G2" s="2241"/>
      <c r="H2" s="2241"/>
      <c r="I2" s="2241"/>
      <c r="J2" s="2241"/>
      <c r="K2" s="2241"/>
      <c r="L2" s="2241"/>
      <c r="M2" s="2241"/>
      <c r="N2" s="2241"/>
      <c r="O2" s="2241"/>
      <c r="P2" s="2241"/>
      <c r="Q2" s="2241"/>
      <c r="R2" s="2241"/>
      <c r="S2" s="2241"/>
      <c r="T2" s="2241"/>
      <c r="U2" s="2241"/>
      <c r="V2" s="2241"/>
      <c r="W2" s="2241"/>
      <c r="X2" s="2241"/>
      <c r="Y2" s="2241"/>
    </row>
    <row r="3" spans="1:25" ht="21" customHeight="1" x14ac:dyDescent="0.25">
      <c r="A3" s="1967"/>
      <c r="B3" s="1967"/>
      <c r="C3" s="1967"/>
      <c r="D3" s="1967"/>
      <c r="E3" s="1967"/>
      <c r="F3" s="1967"/>
      <c r="G3" s="1967"/>
      <c r="H3" s="1967"/>
      <c r="I3" s="1967"/>
      <c r="J3" s="1967"/>
      <c r="K3" s="1967"/>
      <c r="L3" s="1967"/>
      <c r="M3" s="1967"/>
      <c r="N3" s="1967"/>
      <c r="O3" s="1967"/>
      <c r="P3" s="1967"/>
      <c r="Q3" s="1967"/>
      <c r="R3" s="1967"/>
      <c r="S3" s="1967"/>
      <c r="T3" s="2242" t="s">
        <v>566</v>
      </c>
      <c r="U3" s="2242"/>
      <c r="V3" s="2242"/>
      <c r="W3" s="2242"/>
      <c r="X3" s="2242"/>
      <c r="Y3" s="2242"/>
    </row>
    <row r="4" spans="1:25" s="1967" customFormat="1" ht="18" customHeight="1" x14ac:dyDescent="0.25">
      <c r="A4" s="2243" t="s">
        <v>25</v>
      </c>
      <c r="B4" s="2243" t="s">
        <v>26</v>
      </c>
      <c r="C4" s="2244" t="s">
        <v>27</v>
      </c>
      <c r="D4" s="2244"/>
      <c r="E4" s="2244" t="s">
        <v>544</v>
      </c>
      <c r="F4" s="2244"/>
      <c r="G4" s="2244" t="s">
        <v>65</v>
      </c>
      <c r="H4" s="2244"/>
      <c r="I4" s="2244" t="s">
        <v>29</v>
      </c>
      <c r="J4" s="2244"/>
      <c r="K4" s="2245" t="s">
        <v>14</v>
      </c>
      <c r="L4" s="2246"/>
      <c r="M4" s="2245" t="s">
        <v>429</v>
      </c>
      <c r="N4" s="2246"/>
      <c r="O4" s="2245" t="s">
        <v>441</v>
      </c>
      <c r="P4" s="2246"/>
      <c r="Q4" s="2245" t="s">
        <v>114</v>
      </c>
      <c r="R4" s="2246"/>
      <c r="S4" s="2244" t="s">
        <v>35</v>
      </c>
      <c r="T4" s="2244"/>
      <c r="U4" s="2245" t="s">
        <v>17</v>
      </c>
      <c r="V4" s="2246"/>
      <c r="W4" s="2247" t="s">
        <v>36</v>
      </c>
      <c r="X4" s="2248"/>
      <c r="Y4" s="2238" t="s">
        <v>30</v>
      </c>
    </row>
    <row r="5" spans="1:25" s="1967" customFormat="1" ht="25.5" customHeight="1" x14ac:dyDescent="0.25">
      <c r="A5" s="2243"/>
      <c r="B5" s="2243"/>
      <c r="C5" s="1969" t="s">
        <v>42</v>
      </c>
      <c r="D5" s="1969" t="s">
        <v>43</v>
      </c>
      <c r="E5" s="1969" t="s">
        <v>42</v>
      </c>
      <c r="F5" s="1969" t="s">
        <v>43</v>
      </c>
      <c r="G5" s="1969" t="s">
        <v>42</v>
      </c>
      <c r="H5" s="1969" t="s">
        <v>43</v>
      </c>
      <c r="I5" s="1969" t="s">
        <v>42</v>
      </c>
      <c r="J5" s="1969" t="s">
        <v>43</v>
      </c>
      <c r="K5" s="1969" t="s">
        <v>42</v>
      </c>
      <c r="L5" s="1969" t="s">
        <v>43</v>
      </c>
      <c r="M5" s="1969" t="s">
        <v>42</v>
      </c>
      <c r="N5" s="1969" t="s">
        <v>43</v>
      </c>
      <c r="O5" s="1969" t="s">
        <v>42</v>
      </c>
      <c r="P5" s="1969" t="s">
        <v>43</v>
      </c>
      <c r="Q5" s="1969" t="s">
        <v>42</v>
      </c>
      <c r="R5" s="1969" t="s">
        <v>43</v>
      </c>
      <c r="S5" s="33" t="s">
        <v>42</v>
      </c>
      <c r="T5" s="33" t="s">
        <v>43</v>
      </c>
      <c r="U5" s="30" t="s">
        <v>42</v>
      </c>
      <c r="V5" s="30" t="s">
        <v>43</v>
      </c>
      <c r="W5" s="30" t="s">
        <v>42</v>
      </c>
      <c r="X5" s="30" t="s">
        <v>43</v>
      </c>
      <c r="Y5" s="2239"/>
    </row>
    <row r="6" spans="1:25" ht="34.5" customHeight="1" x14ac:dyDescent="0.25">
      <c r="A6" s="12">
        <v>1409935200</v>
      </c>
      <c r="B6" s="1968" t="s">
        <v>71</v>
      </c>
      <c r="C6" s="1971">
        <v>22947</v>
      </c>
      <c r="D6" s="1972">
        <f t="shared" ref="D6:D11" si="0">0.9725*C6</f>
        <v>22315.9575</v>
      </c>
      <c r="E6" s="1971"/>
      <c r="F6" s="1972">
        <f>19.68*E6</f>
        <v>0</v>
      </c>
      <c r="G6" s="1971">
        <v>20</v>
      </c>
      <c r="H6" s="1972">
        <f t="shared" ref="H6:H11" si="1">28.26*G6</f>
        <v>565.20000000000005</v>
      </c>
      <c r="I6" s="1971">
        <v>390</v>
      </c>
      <c r="J6" s="1971">
        <f>18.82*I6</f>
        <v>7339.8</v>
      </c>
      <c r="K6" s="1971"/>
      <c r="L6" s="1972">
        <f>28.2368*K6</f>
        <v>0</v>
      </c>
      <c r="M6" s="1971"/>
      <c r="N6" s="1972">
        <f>M6*47.6525</f>
        <v>0</v>
      </c>
      <c r="O6" s="1971"/>
      <c r="P6" s="1972">
        <f>O6*8.9</f>
        <v>0</v>
      </c>
      <c r="Q6" s="1972"/>
      <c r="R6" s="1972">
        <f>241*Q6</f>
        <v>0</v>
      </c>
      <c r="S6" s="1971"/>
      <c r="T6" s="1971">
        <f>470*S6</f>
        <v>0</v>
      </c>
      <c r="U6" s="1971">
        <v>2</v>
      </c>
      <c r="V6" s="1971">
        <f>332*U6</f>
        <v>664</v>
      </c>
      <c r="W6" s="1971">
        <v>1</v>
      </c>
      <c r="X6" s="19">
        <f>W6*100</f>
        <v>100</v>
      </c>
      <c r="Y6" s="20">
        <f t="shared" ref="Y6:Y12" si="2">D6+F6+H6+J6+L6+N6+P6+R6+T6+V6+X6</f>
        <v>30984.9575</v>
      </c>
    </row>
    <row r="7" spans="1:25" ht="36.75" customHeight="1" x14ac:dyDescent="0.25">
      <c r="A7" s="12">
        <v>1984225578</v>
      </c>
      <c r="B7" s="1968" t="s">
        <v>509</v>
      </c>
      <c r="C7" s="1971">
        <v>20513</v>
      </c>
      <c r="D7" s="1972">
        <f t="shared" si="0"/>
        <v>19948.892500000002</v>
      </c>
      <c r="E7" s="1971"/>
      <c r="F7" s="1972">
        <f t="shared" ref="F7:F11" si="3">19.68*E7</f>
        <v>0</v>
      </c>
      <c r="G7" s="1971"/>
      <c r="H7" s="1972">
        <f t="shared" si="1"/>
        <v>0</v>
      </c>
      <c r="I7" s="1971">
        <v>30</v>
      </c>
      <c r="J7" s="1971">
        <f t="shared" ref="J7:J11" si="4">18.82*I7</f>
        <v>564.6</v>
      </c>
      <c r="K7" s="1971"/>
      <c r="L7" s="1972">
        <f t="shared" ref="L7:L11" si="5">28.2368*K7</f>
        <v>0</v>
      </c>
      <c r="M7" s="1971"/>
      <c r="N7" s="1972">
        <f t="shared" ref="N7:N11" si="6">M7*47.6525</f>
        <v>0</v>
      </c>
      <c r="O7" s="1971"/>
      <c r="P7" s="1972">
        <f t="shared" ref="P7:P11" si="7">O7*8.9</f>
        <v>0</v>
      </c>
      <c r="Q7" s="1972"/>
      <c r="R7" s="1972">
        <f t="shared" ref="R7:R11" si="8">241*Q7</f>
        <v>0</v>
      </c>
      <c r="S7" s="1971"/>
      <c r="T7" s="1971">
        <f t="shared" ref="T7:T9" si="9">241*S7</f>
        <v>0</v>
      </c>
      <c r="U7" s="1971"/>
      <c r="V7" s="1971">
        <f t="shared" ref="V7:V11" si="10">332*U7</f>
        <v>0</v>
      </c>
      <c r="W7" s="1971"/>
      <c r="X7" s="19">
        <f t="shared" ref="X7:X11" si="11">W7*100</f>
        <v>0</v>
      </c>
      <c r="Y7" s="20">
        <f t="shared" si="2"/>
        <v>20513.4925</v>
      </c>
    </row>
    <row r="8" spans="1:25" ht="35.25" customHeight="1" x14ac:dyDescent="0.25">
      <c r="A8" s="12">
        <v>1967020280</v>
      </c>
      <c r="B8" s="1968" t="s">
        <v>427</v>
      </c>
      <c r="C8" s="1971">
        <v>21511</v>
      </c>
      <c r="D8" s="1972">
        <f t="shared" si="0"/>
        <v>20919.447500000002</v>
      </c>
      <c r="E8" s="1971"/>
      <c r="F8" s="1972">
        <f t="shared" si="3"/>
        <v>0</v>
      </c>
      <c r="G8" s="1971">
        <v>40</v>
      </c>
      <c r="H8" s="1972">
        <f t="shared" si="1"/>
        <v>1130.4000000000001</v>
      </c>
      <c r="I8" s="1971">
        <v>500</v>
      </c>
      <c r="J8" s="1971">
        <f t="shared" si="4"/>
        <v>9410</v>
      </c>
      <c r="K8" s="1971"/>
      <c r="L8" s="1972">
        <f t="shared" si="5"/>
        <v>0</v>
      </c>
      <c r="M8" s="1971"/>
      <c r="N8" s="1972">
        <f t="shared" si="6"/>
        <v>0</v>
      </c>
      <c r="O8" s="1971"/>
      <c r="P8" s="1972">
        <f t="shared" si="7"/>
        <v>0</v>
      </c>
      <c r="Q8" s="1972"/>
      <c r="R8" s="1972">
        <f t="shared" si="8"/>
        <v>0</v>
      </c>
      <c r="S8" s="1971"/>
      <c r="T8" s="1971">
        <f t="shared" si="9"/>
        <v>0</v>
      </c>
      <c r="U8" s="1971">
        <v>2</v>
      </c>
      <c r="V8" s="1971">
        <f t="shared" si="10"/>
        <v>664</v>
      </c>
      <c r="W8" s="1971">
        <v>1</v>
      </c>
      <c r="X8" s="19">
        <f t="shared" si="11"/>
        <v>100</v>
      </c>
      <c r="Y8" s="20">
        <f t="shared" si="2"/>
        <v>32223.847500000003</v>
      </c>
    </row>
    <row r="9" spans="1:25" ht="38.25" customHeight="1" x14ac:dyDescent="0.25">
      <c r="A9" s="12">
        <v>1984225580</v>
      </c>
      <c r="B9" s="1968" t="s">
        <v>74</v>
      </c>
      <c r="C9" s="1971">
        <v>26894</v>
      </c>
      <c r="D9" s="1972">
        <f t="shared" si="0"/>
        <v>26154.415000000001</v>
      </c>
      <c r="E9" s="1971"/>
      <c r="F9" s="1972">
        <f t="shared" si="3"/>
        <v>0</v>
      </c>
      <c r="G9" s="1971"/>
      <c r="H9" s="1972">
        <f t="shared" si="1"/>
        <v>0</v>
      </c>
      <c r="I9" s="1971">
        <v>380</v>
      </c>
      <c r="J9" s="1971">
        <f t="shared" si="4"/>
        <v>7151.6</v>
      </c>
      <c r="K9" s="1971"/>
      <c r="L9" s="1972">
        <f t="shared" si="5"/>
        <v>0</v>
      </c>
      <c r="M9" s="1971"/>
      <c r="N9" s="1972">
        <f t="shared" si="6"/>
        <v>0</v>
      </c>
      <c r="O9" s="1971"/>
      <c r="P9" s="1972">
        <f t="shared" si="7"/>
        <v>0</v>
      </c>
      <c r="Q9" s="1972"/>
      <c r="R9" s="1972">
        <f t="shared" si="8"/>
        <v>0</v>
      </c>
      <c r="S9" s="1971"/>
      <c r="T9" s="1971">
        <f t="shared" si="9"/>
        <v>0</v>
      </c>
      <c r="U9" s="1971">
        <v>6</v>
      </c>
      <c r="V9" s="1971">
        <f t="shared" si="10"/>
        <v>1992</v>
      </c>
      <c r="W9" s="1971"/>
      <c r="X9" s="19">
        <f t="shared" si="11"/>
        <v>0</v>
      </c>
      <c r="Y9" s="20">
        <f t="shared" si="2"/>
        <v>35298.014999999999</v>
      </c>
    </row>
    <row r="10" spans="1:25" ht="35.25" customHeight="1" x14ac:dyDescent="0.25">
      <c r="A10" s="12">
        <v>1409935199</v>
      </c>
      <c r="C10" s="1971"/>
      <c r="D10" s="1972">
        <f t="shared" si="0"/>
        <v>0</v>
      </c>
      <c r="E10" s="1971"/>
      <c r="F10" s="1972">
        <f t="shared" si="3"/>
        <v>0</v>
      </c>
      <c r="G10" s="1971"/>
      <c r="H10" s="1972">
        <f t="shared" si="1"/>
        <v>0</v>
      </c>
      <c r="I10" s="1971"/>
      <c r="J10" s="1971">
        <f t="shared" si="4"/>
        <v>0</v>
      </c>
      <c r="K10" s="1971"/>
      <c r="L10" s="1972">
        <f t="shared" si="5"/>
        <v>0</v>
      </c>
      <c r="M10" s="1971"/>
      <c r="N10" s="1972">
        <f t="shared" si="6"/>
        <v>0</v>
      </c>
      <c r="O10" s="1971"/>
      <c r="P10" s="1972">
        <f t="shared" si="7"/>
        <v>0</v>
      </c>
      <c r="Q10" s="1972"/>
      <c r="R10" s="1972">
        <f t="shared" si="8"/>
        <v>0</v>
      </c>
      <c r="S10" s="1971"/>
      <c r="T10" s="1971">
        <f>470*S10</f>
        <v>0</v>
      </c>
      <c r="U10" s="1971"/>
      <c r="V10" s="1971">
        <f t="shared" si="10"/>
        <v>0</v>
      </c>
      <c r="W10" s="1971"/>
      <c r="X10" s="19">
        <f t="shared" si="11"/>
        <v>0</v>
      </c>
      <c r="Y10" s="20">
        <f t="shared" si="2"/>
        <v>0</v>
      </c>
    </row>
    <row r="11" spans="1:25" ht="37.5" customHeight="1" x14ac:dyDescent="0.25">
      <c r="A11" s="12"/>
      <c r="B11" s="1970"/>
      <c r="C11" s="1971"/>
      <c r="D11" s="1972">
        <f t="shared" si="0"/>
        <v>0</v>
      </c>
      <c r="E11" s="1971"/>
      <c r="F11" s="1972">
        <f t="shared" si="3"/>
        <v>0</v>
      </c>
      <c r="G11" s="1971"/>
      <c r="H11" s="1972">
        <f t="shared" si="1"/>
        <v>0</v>
      </c>
      <c r="I11" s="1971"/>
      <c r="J11" s="1971">
        <f t="shared" si="4"/>
        <v>0</v>
      </c>
      <c r="K11" s="1971"/>
      <c r="L11" s="1972">
        <f t="shared" si="5"/>
        <v>0</v>
      </c>
      <c r="M11" s="1971"/>
      <c r="N11" s="1972">
        <f t="shared" si="6"/>
        <v>0</v>
      </c>
      <c r="O11" s="1971"/>
      <c r="P11" s="1972">
        <f t="shared" si="7"/>
        <v>0</v>
      </c>
      <c r="Q11" s="1972"/>
      <c r="R11" s="1972">
        <f t="shared" si="8"/>
        <v>0</v>
      </c>
      <c r="S11" s="1971"/>
      <c r="T11" s="1971">
        <f>341*S11</f>
        <v>0</v>
      </c>
      <c r="U11" s="1971"/>
      <c r="V11" s="1971">
        <f t="shared" si="10"/>
        <v>0</v>
      </c>
      <c r="W11" s="1971"/>
      <c r="X11" s="19">
        <f t="shared" si="11"/>
        <v>0</v>
      </c>
      <c r="Y11" s="20">
        <f t="shared" si="2"/>
        <v>0</v>
      </c>
    </row>
    <row r="12" spans="1:25" ht="29.25" customHeight="1" x14ac:dyDescent="0.25">
      <c r="A12" s="2235" t="s">
        <v>31</v>
      </c>
      <c r="B12" s="2235"/>
      <c r="C12" s="18">
        <f t="shared" ref="C12:X12" si="12">SUM(C6:C11)</f>
        <v>91865</v>
      </c>
      <c r="D12" s="18">
        <f t="shared" si="12"/>
        <v>89338.712500000009</v>
      </c>
      <c r="E12" s="18">
        <f t="shared" si="12"/>
        <v>0</v>
      </c>
      <c r="F12" s="18">
        <f t="shared" si="12"/>
        <v>0</v>
      </c>
      <c r="G12" s="18">
        <f t="shared" si="12"/>
        <v>60</v>
      </c>
      <c r="H12" s="18">
        <f t="shared" si="12"/>
        <v>1695.6000000000001</v>
      </c>
      <c r="I12" s="18">
        <f t="shared" si="12"/>
        <v>1300</v>
      </c>
      <c r="J12" s="18">
        <f t="shared" si="12"/>
        <v>24466</v>
      </c>
      <c r="K12" s="18">
        <f t="shared" si="12"/>
        <v>0</v>
      </c>
      <c r="L12" s="18">
        <f t="shared" si="12"/>
        <v>0</v>
      </c>
      <c r="M12" s="18">
        <f t="shared" si="12"/>
        <v>0</v>
      </c>
      <c r="N12" s="23">
        <f t="shared" si="12"/>
        <v>0</v>
      </c>
      <c r="O12" s="18">
        <f t="shared" si="12"/>
        <v>0</v>
      </c>
      <c r="P12" s="23">
        <f t="shared" si="12"/>
        <v>0</v>
      </c>
      <c r="Q12" s="23">
        <f t="shared" si="12"/>
        <v>0</v>
      </c>
      <c r="R12" s="23">
        <f>SUM(R6:R11)</f>
        <v>0</v>
      </c>
      <c r="S12" s="23">
        <f>SUM(S6:S11)</f>
        <v>0</v>
      </c>
      <c r="T12" s="18">
        <f t="shared" si="12"/>
        <v>0</v>
      </c>
      <c r="U12" s="18">
        <f t="shared" si="12"/>
        <v>10</v>
      </c>
      <c r="V12" s="18">
        <f t="shared" si="12"/>
        <v>3320</v>
      </c>
      <c r="W12" s="18">
        <f t="shared" si="12"/>
        <v>2</v>
      </c>
      <c r="X12" s="18">
        <f t="shared" si="12"/>
        <v>200</v>
      </c>
      <c r="Y12" s="20">
        <f t="shared" si="2"/>
        <v>119020.31250000001</v>
      </c>
    </row>
    <row r="14" spans="1:25" ht="43.5" customHeight="1" x14ac:dyDescent="0.25">
      <c r="A14" s="30" t="s">
        <v>32</v>
      </c>
      <c r="B14" s="2236" t="s">
        <v>27</v>
      </c>
      <c r="C14" s="2236"/>
      <c r="D14" s="30" t="s">
        <v>543</v>
      </c>
      <c r="E14" s="30" t="s">
        <v>65</v>
      </c>
      <c r="F14" s="30" t="s">
        <v>34</v>
      </c>
      <c r="G14" s="30" t="s">
        <v>14</v>
      </c>
      <c r="H14" s="469" t="s">
        <v>173</v>
      </c>
      <c r="I14" s="30" t="s">
        <v>17</v>
      </c>
      <c r="J14" s="1976" t="s">
        <v>174</v>
      </c>
      <c r="K14" s="30" t="s">
        <v>36</v>
      </c>
      <c r="L14" s="1976" t="s">
        <v>403</v>
      </c>
      <c r="M14" s="1976" t="s">
        <v>549</v>
      </c>
      <c r="N14" s="30" t="s">
        <v>442</v>
      </c>
      <c r="O14" s="1976" t="s">
        <v>114</v>
      </c>
      <c r="P14" s="30" t="s">
        <v>70</v>
      </c>
      <c r="Q14" s="2300" t="s">
        <v>479</v>
      </c>
      <c r="R14" s="2301"/>
      <c r="S14" s="1976" t="s">
        <v>401</v>
      </c>
      <c r="T14" s="2235" t="s">
        <v>46</v>
      </c>
      <c r="U14" s="1968" t="s">
        <v>176</v>
      </c>
      <c r="V14" s="2260">
        <v>27810</v>
      </c>
      <c r="W14" s="2268"/>
      <c r="X14" s="2261"/>
    </row>
    <row r="15" spans="1:25" ht="22.5" customHeight="1" x14ac:dyDescent="0.25">
      <c r="A15" s="100" t="s">
        <v>38</v>
      </c>
      <c r="B15" s="2260">
        <v>643543</v>
      </c>
      <c r="C15" s="2261"/>
      <c r="D15" s="1973">
        <v>320</v>
      </c>
      <c r="E15" s="1973">
        <v>200</v>
      </c>
      <c r="F15" s="1973">
        <v>7050</v>
      </c>
      <c r="G15" s="1973">
        <v>2000</v>
      </c>
      <c r="H15" s="1973">
        <v>38</v>
      </c>
      <c r="I15" s="1973">
        <v>36</v>
      </c>
      <c r="J15" s="1973">
        <v>4</v>
      </c>
      <c r="K15" s="1973">
        <v>71</v>
      </c>
      <c r="L15" s="1973">
        <v>0</v>
      </c>
      <c r="M15" s="1973">
        <v>30</v>
      </c>
      <c r="N15" s="1973">
        <v>0</v>
      </c>
      <c r="O15" s="1973">
        <v>0</v>
      </c>
      <c r="P15" s="1973">
        <v>100</v>
      </c>
      <c r="Q15" s="2260">
        <v>10</v>
      </c>
      <c r="R15" s="2261"/>
      <c r="S15" s="1968">
        <v>2</v>
      </c>
      <c r="T15" s="2235"/>
      <c r="U15" s="1968" t="s">
        <v>64</v>
      </c>
      <c r="V15" s="2262">
        <v>14144</v>
      </c>
      <c r="W15" s="2262"/>
      <c r="X15" s="2262"/>
    </row>
    <row r="16" spans="1:25" ht="24.75" customHeight="1" x14ac:dyDescent="0.25">
      <c r="A16" s="100" t="s">
        <v>39</v>
      </c>
      <c r="B16" s="2260"/>
      <c r="C16" s="2261"/>
      <c r="D16" s="1973"/>
      <c r="E16" s="1973"/>
      <c r="F16" s="1973"/>
      <c r="G16" s="1973"/>
      <c r="H16" s="1973"/>
      <c r="I16" s="1973"/>
      <c r="J16" s="1973"/>
      <c r="K16" s="1973"/>
      <c r="L16" s="1973"/>
      <c r="M16" s="1973"/>
      <c r="N16" s="1973"/>
      <c r="O16" s="1973"/>
      <c r="P16" s="1973"/>
      <c r="Q16" s="2262"/>
      <c r="R16" s="2262"/>
      <c r="S16" s="1973"/>
      <c r="T16" s="2254" t="s">
        <v>55</v>
      </c>
      <c r="U16" s="2254"/>
      <c r="V16" s="2267">
        <f>Y12</f>
        <v>119020.31250000001</v>
      </c>
      <c r="W16" s="2267"/>
      <c r="X16" s="2262"/>
    </row>
    <row r="17" spans="1:25" ht="28.5" customHeight="1" x14ac:dyDescent="0.25">
      <c r="A17" s="101" t="s">
        <v>44</v>
      </c>
      <c r="B17" s="2260"/>
      <c r="C17" s="2261"/>
      <c r="D17" s="1973"/>
      <c r="E17" s="1973"/>
      <c r="F17" s="1973"/>
      <c r="G17" s="1973"/>
      <c r="H17" s="1973"/>
      <c r="I17" s="1973"/>
      <c r="J17" s="1973"/>
      <c r="K17" s="1973"/>
      <c r="L17" s="1973"/>
      <c r="M17" s="1973"/>
      <c r="N17" s="1973"/>
      <c r="O17" s="1973"/>
      <c r="P17" s="1973"/>
      <c r="Q17" s="2225"/>
      <c r="R17" s="2225"/>
      <c r="S17" s="1970"/>
      <c r="T17" s="2294" t="s">
        <v>521</v>
      </c>
      <c r="U17" s="2295"/>
      <c r="V17" s="2296"/>
      <c r="W17" s="2296"/>
      <c r="X17" s="2296"/>
    </row>
    <row r="18" spans="1:25" ht="27" customHeight="1" x14ac:dyDescent="0.25">
      <c r="A18" s="100" t="s">
        <v>40</v>
      </c>
      <c r="B18" s="2264">
        <f>C12</f>
        <v>91865</v>
      </c>
      <c r="C18" s="2261"/>
      <c r="D18" s="1974">
        <f>E12</f>
        <v>0</v>
      </c>
      <c r="E18" s="1974">
        <f>G12</f>
        <v>60</v>
      </c>
      <c r="F18" s="1974">
        <f>I12</f>
        <v>1300</v>
      </c>
      <c r="G18" s="1974">
        <f>K12</f>
        <v>0</v>
      </c>
      <c r="H18" s="1973"/>
      <c r="I18" s="1974">
        <f>U12</f>
        <v>10</v>
      </c>
      <c r="J18" s="1973"/>
      <c r="K18" s="1974">
        <f>W12</f>
        <v>2</v>
      </c>
      <c r="L18" s="1973"/>
      <c r="M18" s="1974"/>
      <c r="N18" s="1974">
        <f>O12</f>
        <v>0</v>
      </c>
      <c r="O18" s="1975">
        <f>Q12</f>
        <v>0</v>
      </c>
      <c r="P18" s="1974"/>
      <c r="Q18" s="2262"/>
      <c r="R18" s="2262"/>
      <c r="S18" s="1968"/>
      <c r="T18" s="2254" t="s">
        <v>57</v>
      </c>
      <c r="U18" s="2254"/>
      <c r="V18" s="2262">
        <v>620</v>
      </c>
      <c r="W18" s="2262"/>
      <c r="X18" s="2262"/>
      <c r="Y18" s="2269"/>
    </row>
    <row r="19" spans="1:25" ht="25.5" customHeight="1" x14ac:dyDescent="0.25">
      <c r="A19" s="100" t="s">
        <v>41</v>
      </c>
      <c r="B19" s="2260">
        <f>B15+B16+B17-B18</f>
        <v>551678</v>
      </c>
      <c r="C19" s="2261"/>
      <c r="D19" s="1973">
        <f>D15+D16+D17-D18</f>
        <v>320</v>
      </c>
      <c r="E19" s="1973">
        <f t="shared" ref="E19:N19" si="13">E15+E16+E17-E18</f>
        <v>140</v>
      </c>
      <c r="F19" s="1973">
        <f t="shared" si="13"/>
        <v>5750</v>
      </c>
      <c r="G19" s="1973">
        <f t="shared" si="13"/>
        <v>2000</v>
      </c>
      <c r="H19" s="1973">
        <f t="shared" si="13"/>
        <v>38</v>
      </c>
      <c r="I19" s="1973">
        <f t="shared" si="13"/>
        <v>26</v>
      </c>
      <c r="J19" s="1973">
        <f t="shared" si="13"/>
        <v>4</v>
      </c>
      <c r="K19" s="1973">
        <f t="shared" si="13"/>
        <v>69</v>
      </c>
      <c r="L19" s="1973">
        <f t="shared" si="13"/>
        <v>0</v>
      </c>
      <c r="M19" s="1973">
        <f t="shared" si="13"/>
        <v>30</v>
      </c>
      <c r="N19" s="1973">
        <f t="shared" si="13"/>
        <v>0</v>
      </c>
      <c r="O19" s="1973">
        <f>O15+O16+O17-O18</f>
        <v>0</v>
      </c>
      <c r="P19" s="1973">
        <f t="shared" ref="P19:Q19" si="14">P15+P16+P17-P18</f>
        <v>100</v>
      </c>
      <c r="Q19" s="2260">
        <f t="shared" si="14"/>
        <v>10</v>
      </c>
      <c r="R19" s="2261"/>
      <c r="S19" s="1968">
        <f>S15+S16-S17-S18</f>
        <v>2</v>
      </c>
      <c r="T19" s="2256" t="s">
        <v>48</v>
      </c>
      <c r="U19" s="49" t="s">
        <v>58</v>
      </c>
      <c r="V19" s="2262"/>
      <c r="W19" s="2262"/>
      <c r="X19" s="2262"/>
      <c r="Y19" s="2269"/>
    </row>
    <row r="20" spans="1:25" ht="23.25" customHeight="1" x14ac:dyDescent="0.25">
      <c r="A20" s="289" t="s">
        <v>187</v>
      </c>
      <c r="B20" s="2286">
        <f>B19*0.9625</f>
        <v>530990.07500000007</v>
      </c>
      <c r="C20" s="2287"/>
      <c r="D20" s="290">
        <f>D19*19.48</f>
        <v>6233.6</v>
      </c>
      <c r="E20" s="290">
        <f>27.97*E19</f>
        <v>3915.7999999999997</v>
      </c>
      <c r="F20" s="290">
        <f>18.63*F19</f>
        <v>107122.5</v>
      </c>
      <c r="G20" s="290">
        <f>27.9468*G19</f>
        <v>55893.599999999999</v>
      </c>
      <c r="H20" s="290">
        <f>241*H19</f>
        <v>9158</v>
      </c>
      <c r="I20" s="290">
        <f>323*I19</f>
        <v>8398</v>
      </c>
      <c r="J20" s="290">
        <f>241*J19</f>
        <v>964</v>
      </c>
      <c r="K20" s="290">
        <f>K19*100</f>
        <v>6900</v>
      </c>
      <c r="L20" s="290">
        <f>241*L19</f>
        <v>0</v>
      </c>
      <c r="M20" s="290">
        <f>470*M19</f>
        <v>14100</v>
      </c>
      <c r="N20" s="290">
        <f>N19*8.81</f>
        <v>0</v>
      </c>
      <c r="O20" s="290">
        <f>241*O19</f>
        <v>0</v>
      </c>
      <c r="P20" s="290">
        <f>P19*48.2</f>
        <v>4820</v>
      </c>
      <c r="Q20" s="2286">
        <f>470*Q19</f>
        <v>4700</v>
      </c>
      <c r="R20" s="2287"/>
      <c r="S20" s="290">
        <f>341*S19</f>
        <v>682</v>
      </c>
      <c r="T20" s="2257"/>
      <c r="U20" s="49" t="s">
        <v>59</v>
      </c>
      <c r="V20" s="2262"/>
      <c r="W20" s="2262"/>
      <c r="X20" s="2262"/>
      <c r="Y20" s="2269"/>
    </row>
    <row r="21" spans="1:25" ht="32.25" customHeight="1" x14ac:dyDescent="0.25">
      <c r="A21" s="291" t="s">
        <v>186</v>
      </c>
      <c r="B21" s="2302">
        <f>SUM(B20:S20)</f>
        <v>753877.57500000007</v>
      </c>
      <c r="C21" s="2302"/>
      <c r="T21" s="2294" t="s">
        <v>518</v>
      </c>
      <c r="U21" s="2295"/>
      <c r="V21" s="2297"/>
      <c r="W21" s="2298"/>
      <c r="X21" s="2299"/>
      <c r="Y21" s="2269"/>
    </row>
    <row r="22" spans="1:25" ht="35.25" customHeight="1" x14ac:dyDescent="0.25">
      <c r="A22" s="1911"/>
      <c r="B22" s="2288" t="s">
        <v>49</v>
      </c>
      <c r="C22" s="2291">
        <v>400000</v>
      </c>
      <c r="D22" s="2291"/>
      <c r="E22" s="2291"/>
      <c r="F22" s="2291">
        <f>C22-D22+E22</f>
        <v>400000</v>
      </c>
      <c r="T22" s="2251" t="s">
        <v>83</v>
      </c>
      <c r="U22" s="50" t="s">
        <v>60</v>
      </c>
      <c r="V22" s="2262"/>
      <c r="W22" s="2262"/>
      <c r="X22" s="2262"/>
      <c r="Y22" s="2269"/>
    </row>
    <row r="23" spans="1:25" ht="39.75" customHeight="1" x14ac:dyDescent="0.25">
      <c r="B23" s="2289"/>
      <c r="C23" s="2292"/>
      <c r="D23" s="2292"/>
      <c r="E23" s="2292"/>
      <c r="F23" s="2292"/>
      <c r="T23" s="2252"/>
      <c r="U23" s="50" t="s">
        <v>61</v>
      </c>
      <c r="V23" s="2262"/>
      <c r="W23" s="2262"/>
      <c r="X23" s="2262"/>
      <c r="Y23" s="2269"/>
    </row>
    <row r="24" spans="1:25" ht="48" customHeight="1" x14ac:dyDescent="0.25">
      <c r="B24" s="2290"/>
      <c r="C24" s="290" t="s">
        <v>46</v>
      </c>
      <c r="D24" s="290" t="s">
        <v>50</v>
      </c>
      <c r="E24" s="290" t="s">
        <v>51</v>
      </c>
      <c r="F24" s="290" t="s">
        <v>52</v>
      </c>
      <c r="T24" s="2235" t="s">
        <v>47</v>
      </c>
      <c r="U24" s="51" t="s">
        <v>62</v>
      </c>
      <c r="V24" s="2263">
        <f>V14+V16+V17-V18-V19-V20-V22+V23-V21</f>
        <v>146210.3125</v>
      </c>
      <c r="W24" s="2263"/>
      <c r="X24" s="2263"/>
      <c r="Y24" s="2269"/>
    </row>
    <row r="25" spans="1:25" ht="40.5" customHeight="1" x14ac:dyDescent="0.25">
      <c r="T25" s="2235"/>
      <c r="U25" s="51" t="s">
        <v>63</v>
      </c>
      <c r="V25" s="2262">
        <f>V15+V22-V23</f>
        <v>14144</v>
      </c>
      <c r="W25" s="2262"/>
      <c r="X25" s="2262"/>
    </row>
    <row r="26" spans="1:25" ht="36" customHeight="1" x14ac:dyDescent="0.25">
      <c r="K26" s="314"/>
    </row>
    <row r="28" spans="1:25" x14ac:dyDescent="0.25">
      <c r="J28" s="14" t="s">
        <v>139</v>
      </c>
    </row>
    <row r="32" spans="1:25" x14ac:dyDescent="0.25">
      <c r="I32" s="2280"/>
      <c r="J32" s="2280"/>
      <c r="K32" s="2280"/>
      <c r="L32" s="2280"/>
    </row>
    <row r="33" spans="9:12" x14ac:dyDescent="0.25">
      <c r="I33" s="1977"/>
      <c r="J33" s="1977"/>
      <c r="K33" s="2280"/>
      <c r="L33" s="2280"/>
    </row>
  </sheetData>
  <mergeCells count="62">
    <mergeCell ref="I32:J32"/>
    <mergeCell ref="K32:L32"/>
    <mergeCell ref="K33:L33"/>
    <mergeCell ref="T22:T23"/>
    <mergeCell ref="V22:X22"/>
    <mergeCell ref="V23:X23"/>
    <mergeCell ref="T24:T25"/>
    <mergeCell ref="V24:X24"/>
    <mergeCell ref="V25:X25"/>
    <mergeCell ref="Y18:Y24"/>
    <mergeCell ref="B19:C19"/>
    <mergeCell ref="Q19:R19"/>
    <mergeCell ref="T19:T20"/>
    <mergeCell ref="V19:X19"/>
    <mergeCell ref="B20:C20"/>
    <mergeCell ref="B22:B24"/>
    <mergeCell ref="C22:C23"/>
    <mergeCell ref="D22:D23"/>
    <mergeCell ref="E22:E23"/>
    <mergeCell ref="F22:F23"/>
    <mergeCell ref="Q20:R20"/>
    <mergeCell ref="V20:X20"/>
    <mergeCell ref="B21:C21"/>
    <mergeCell ref="T21:U21"/>
    <mergeCell ref="V21:X21"/>
    <mergeCell ref="B17:C17"/>
    <mergeCell ref="Q17:R17"/>
    <mergeCell ref="T17:U17"/>
    <mergeCell ref="V17:X17"/>
    <mergeCell ref="B18:C18"/>
    <mergeCell ref="Q18:R18"/>
    <mergeCell ref="T18:U18"/>
    <mergeCell ref="V18:X18"/>
    <mergeCell ref="W4:X4"/>
    <mergeCell ref="B16:C16"/>
    <mergeCell ref="Q16:R16"/>
    <mergeCell ref="T16:U16"/>
    <mergeCell ref="V16:X16"/>
    <mergeCell ref="A12:B12"/>
    <mergeCell ref="B14:C14"/>
    <mergeCell ref="Q14:R14"/>
    <mergeCell ref="T14:T15"/>
    <mergeCell ref="V14:X14"/>
    <mergeCell ref="B15:C15"/>
    <mergeCell ref="Q15:R15"/>
    <mergeCell ref="V15:X15"/>
    <mergeCell ref="A1:Y1"/>
    <mergeCell ref="A2:Y2"/>
    <mergeCell ref="T3:Y3"/>
    <mergeCell ref="A4:A5"/>
    <mergeCell ref="B4:B5"/>
    <mergeCell ref="C4:D4"/>
    <mergeCell ref="E4:F4"/>
    <mergeCell ref="G4:H4"/>
    <mergeCell ref="I4:J4"/>
    <mergeCell ref="K4:L4"/>
    <mergeCell ref="Y4:Y5"/>
    <mergeCell ref="M4:N4"/>
    <mergeCell ref="O4:P4"/>
    <mergeCell ref="Q4:R4"/>
    <mergeCell ref="S4:T4"/>
    <mergeCell ref="U4:V4"/>
  </mergeCells>
  <pageMargins left="0.15748031496063" right="0.15748031496063" top="0" bottom="0" header="0" footer="0"/>
  <pageSetup paperSize="9" scale="46" orientation="landscape" r:id="rId1"/>
</worksheet>
</file>

<file path=xl/worksheets/sheet3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02E6C01-74A4-427C-82F2-110508C204F6}">
  <sheetPr>
    <pageSetUpPr fitToPage="1"/>
  </sheetPr>
  <dimension ref="A1:Y33"/>
  <sheetViews>
    <sheetView topLeftCell="A11" zoomScale="70" zoomScaleNormal="70" zoomScaleSheetLayoutView="100" zoomScalePageLayoutView="68" workbookViewId="0">
      <selection activeCell="L24" sqref="L24"/>
    </sheetView>
  </sheetViews>
  <sheetFormatPr defaultColWidth="9.140625" defaultRowHeight="15" x14ac:dyDescent="0.25"/>
  <cols>
    <col min="1" max="1" width="18.28515625" style="14" customWidth="1"/>
    <col min="2" max="2" width="10.7109375" style="14" customWidth="1"/>
    <col min="3" max="3" width="12.28515625" style="14" customWidth="1"/>
    <col min="4" max="4" width="13.140625" style="14" bestFit="1" customWidth="1"/>
    <col min="5" max="5" width="12" style="14" customWidth="1"/>
    <col min="6" max="6" width="14" style="14" bestFit="1" customWidth="1"/>
    <col min="7" max="7" width="16" style="14" bestFit="1" customWidth="1"/>
    <col min="8" max="8" width="10.140625" style="14" bestFit="1" customWidth="1"/>
    <col min="9" max="9" width="10.5703125" style="14" bestFit="1" customWidth="1"/>
    <col min="10" max="10" width="10.5703125" style="14" customWidth="1"/>
    <col min="11" max="11" width="10.28515625" style="14" bestFit="1" customWidth="1"/>
    <col min="12" max="12" width="10.42578125" style="14" bestFit="1" customWidth="1"/>
    <col min="13" max="14" width="12" style="14" bestFit="1" customWidth="1"/>
    <col min="15" max="15" width="11" style="14" customWidth="1"/>
    <col min="16" max="16" width="12.85546875" style="14" bestFit="1" customWidth="1"/>
    <col min="17" max="18" width="9.42578125" style="14" customWidth="1"/>
    <col min="19" max="19" width="13.7109375" style="14" customWidth="1"/>
    <col min="20" max="20" width="12.140625" style="14" customWidth="1"/>
    <col min="21" max="21" width="21.7109375" style="14" customWidth="1"/>
    <col min="22" max="22" width="9.85546875" style="14" customWidth="1"/>
    <col min="23" max="23" width="10.140625" style="14" bestFit="1" customWidth="1"/>
    <col min="24" max="24" width="10.28515625" style="14" customWidth="1"/>
    <col min="25" max="25" width="15.7109375" style="14" customWidth="1"/>
    <col min="26" max="16384" width="9.140625" style="14"/>
  </cols>
  <sheetData>
    <row r="1" spans="1:25" ht="46.15" customHeight="1" x14ac:dyDescent="0.25">
      <c r="A1" s="2240" t="s">
        <v>148</v>
      </c>
      <c r="B1" s="2240"/>
      <c r="C1" s="2240"/>
      <c r="D1" s="2240"/>
      <c r="E1" s="2240"/>
      <c r="F1" s="2240"/>
      <c r="G1" s="2240"/>
      <c r="H1" s="2240"/>
      <c r="I1" s="2240"/>
      <c r="J1" s="2240"/>
      <c r="K1" s="2240"/>
      <c r="L1" s="2240"/>
      <c r="M1" s="2240"/>
      <c r="N1" s="2240"/>
      <c r="O1" s="2240"/>
      <c r="P1" s="2240"/>
      <c r="Q1" s="2240"/>
      <c r="R1" s="2240"/>
      <c r="S1" s="2240"/>
      <c r="T1" s="2240"/>
      <c r="U1" s="2240"/>
      <c r="V1" s="2240"/>
      <c r="W1" s="2240"/>
      <c r="X1" s="2240"/>
      <c r="Y1" s="2240"/>
    </row>
    <row r="2" spans="1:25" ht="21.6" customHeight="1" x14ac:dyDescent="0.25">
      <c r="A2" s="2241" t="s">
        <v>383</v>
      </c>
      <c r="B2" s="2241"/>
      <c r="C2" s="2241"/>
      <c r="D2" s="2241"/>
      <c r="E2" s="2241"/>
      <c r="F2" s="2241"/>
      <c r="G2" s="2241"/>
      <c r="H2" s="2241"/>
      <c r="I2" s="2241"/>
      <c r="J2" s="2241"/>
      <c r="K2" s="2241"/>
      <c r="L2" s="2241"/>
      <c r="M2" s="2241"/>
      <c r="N2" s="2241"/>
      <c r="O2" s="2241"/>
      <c r="P2" s="2241"/>
      <c r="Q2" s="2241"/>
      <c r="R2" s="2241"/>
      <c r="S2" s="2241"/>
      <c r="T2" s="2241"/>
      <c r="U2" s="2241"/>
      <c r="V2" s="2241"/>
      <c r="W2" s="2241"/>
      <c r="X2" s="2241"/>
      <c r="Y2" s="2241"/>
    </row>
    <row r="3" spans="1:25" ht="21" customHeight="1" x14ac:dyDescent="0.25">
      <c r="A3" s="1967"/>
      <c r="B3" s="1967"/>
      <c r="C3" s="1967"/>
      <c r="D3" s="1967"/>
      <c r="E3" s="1967"/>
      <c r="F3" s="1967"/>
      <c r="G3" s="1967"/>
      <c r="H3" s="1967"/>
      <c r="I3" s="1967"/>
      <c r="J3" s="1967"/>
      <c r="K3" s="1967"/>
      <c r="L3" s="1967"/>
      <c r="M3" s="1967"/>
      <c r="N3" s="1967"/>
      <c r="O3" s="1967"/>
      <c r="P3" s="1967"/>
      <c r="Q3" s="1967"/>
      <c r="R3" s="1967"/>
      <c r="S3" s="1967"/>
      <c r="T3" s="2242" t="s">
        <v>567</v>
      </c>
      <c r="U3" s="2242"/>
      <c r="V3" s="2242"/>
      <c r="W3" s="2242"/>
      <c r="X3" s="2242"/>
      <c r="Y3" s="2242"/>
    </row>
    <row r="4" spans="1:25" s="1967" customFormat="1" ht="18" customHeight="1" x14ac:dyDescent="0.25">
      <c r="A4" s="2243" t="s">
        <v>25</v>
      </c>
      <c r="B4" s="2243" t="s">
        <v>26</v>
      </c>
      <c r="C4" s="2244" t="s">
        <v>27</v>
      </c>
      <c r="D4" s="2244"/>
      <c r="E4" s="2244" t="s">
        <v>544</v>
      </c>
      <c r="F4" s="2244"/>
      <c r="G4" s="2244" t="s">
        <v>65</v>
      </c>
      <c r="H4" s="2244"/>
      <c r="I4" s="2244" t="s">
        <v>29</v>
      </c>
      <c r="J4" s="2244"/>
      <c r="K4" s="2245" t="s">
        <v>14</v>
      </c>
      <c r="L4" s="2246"/>
      <c r="M4" s="2245" t="s">
        <v>429</v>
      </c>
      <c r="N4" s="2246"/>
      <c r="O4" s="2245" t="s">
        <v>441</v>
      </c>
      <c r="P4" s="2246"/>
      <c r="Q4" s="2245" t="s">
        <v>114</v>
      </c>
      <c r="R4" s="2246"/>
      <c r="S4" s="2244" t="s">
        <v>35</v>
      </c>
      <c r="T4" s="2244"/>
      <c r="U4" s="2245" t="s">
        <v>17</v>
      </c>
      <c r="V4" s="2246"/>
      <c r="W4" s="2247" t="s">
        <v>36</v>
      </c>
      <c r="X4" s="2248"/>
      <c r="Y4" s="2238" t="s">
        <v>30</v>
      </c>
    </row>
    <row r="5" spans="1:25" s="1967" customFormat="1" ht="25.5" customHeight="1" x14ac:dyDescent="0.25">
      <c r="A5" s="2243"/>
      <c r="B5" s="2243"/>
      <c r="C5" s="1969" t="s">
        <v>42</v>
      </c>
      <c r="D5" s="1969" t="s">
        <v>43</v>
      </c>
      <c r="E5" s="1969" t="s">
        <v>42</v>
      </c>
      <c r="F5" s="1969" t="s">
        <v>43</v>
      </c>
      <c r="G5" s="1969" t="s">
        <v>42</v>
      </c>
      <c r="H5" s="1969" t="s">
        <v>43</v>
      </c>
      <c r="I5" s="1969" t="s">
        <v>42</v>
      </c>
      <c r="J5" s="1969" t="s">
        <v>43</v>
      </c>
      <c r="K5" s="1969" t="s">
        <v>42</v>
      </c>
      <c r="L5" s="1969" t="s">
        <v>43</v>
      </c>
      <c r="M5" s="1969" t="s">
        <v>42</v>
      </c>
      <c r="N5" s="1969" t="s">
        <v>43</v>
      </c>
      <c r="O5" s="1969" t="s">
        <v>42</v>
      </c>
      <c r="P5" s="1969" t="s">
        <v>43</v>
      </c>
      <c r="Q5" s="1969" t="s">
        <v>42</v>
      </c>
      <c r="R5" s="1969" t="s">
        <v>43</v>
      </c>
      <c r="S5" s="33" t="s">
        <v>42</v>
      </c>
      <c r="T5" s="33" t="s">
        <v>43</v>
      </c>
      <c r="U5" s="30" t="s">
        <v>42</v>
      </c>
      <c r="V5" s="30" t="s">
        <v>43</v>
      </c>
      <c r="W5" s="30" t="s">
        <v>42</v>
      </c>
      <c r="X5" s="30" t="s">
        <v>43</v>
      </c>
      <c r="Y5" s="2239"/>
    </row>
    <row r="6" spans="1:25" ht="34.5" customHeight="1" x14ac:dyDescent="0.25">
      <c r="A6" s="12">
        <v>1409935200</v>
      </c>
      <c r="B6" s="1968" t="s">
        <v>71</v>
      </c>
      <c r="C6" s="1971">
        <v>28431</v>
      </c>
      <c r="D6" s="1972">
        <f t="shared" ref="D6:D11" si="0">0.9725*C6</f>
        <v>27649.147499999999</v>
      </c>
      <c r="E6" s="1971"/>
      <c r="F6" s="1972">
        <f>19.68*E6</f>
        <v>0</v>
      </c>
      <c r="G6" s="1971"/>
      <c r="H6" s="1972">
        <f t="shared" ref="H6:H11" si="1">28.26*G6</f>
        <v>0</v>
      </c>
      <c r="I6" s="1971">
        <v>160</v>
      </c>
      <c r="J6" s="1971">
        <f>18.82*I6</f>
        <v>3011.2</v>
      </c>
      <c r="K6" s="1971"/>
      <c r="L6" s="1972">
        <f>28.2368*K6</f>
        <v>0</v>
      </c>
      <c r="M6" s="1971"/>
      <c r="N6" s="1972">
        <f>M6*47.6525</f>
        <v>0</v>
      </c>
      <c r="O6" s="1971"/>
      <c r="P6" s="1972">
        <f>O6*8.9</f>
        <v>0</v>
      </c>
      <c r="Q6" s="1972"/>
      <c r="R6" s="1972">
        <f>241*Q6</f>
        <v>0</v>
      </c>
      <c r="S6" s="1971"/>
      <c r="T6" s="1971">
        <f>470*S6</f>
        <v>0</v>
      </c>
      <c r="U6" s="1971">
        <v>1</v>
      </c>
      <c r="V6" s="1971">
        <f>332*U6</f>
        <v>332</v>
      </c>
      <c r="W6" s="1971"/>
      <c r="X6" s="19">
        <f>W6*100</f>
        <v>0</v>
      </c>
      <c r="Y6" s="20">
        <f t="shared" ref="Y6:Y12" si="2">D6+F6+H6+J6+L6+N6+P6+R6+T6+V6+X6</f>
        <v>30992.3475</v>
      </c>
    </row>
    <row r="7" spans="1:25" ht="36.75" customHeight="1" x14ac:dyDescent="0.25">
      <c r="A7" s="12">
        <v>1984225578</v>
      </c>
      <c r="B7" s="1968" t="s">
        <v>509</v>
      </c>
      <c r="C7" s="1971">
        <v>28107</v>
      </c>
      <c r="D7" s="1972">
        <f t="shared" si="0"/>
        <v>27334.057500000003</v>
      </c>
      <c r="E7" s="1971"/>
      <c r="F7" s="1972">
        <f t="shared" ref="F7:F11" si="3">19.68*E7</f>
        <v>0</v>
      </c>
      <c r="G7" s="1971"/>
      <c r="H7" s="1972">
        <f t="shared" si="1"/>
        <v>0</v>
      </c>
      <c r="I7" s="1971">
        <v>90</v>
      </c>
      <c r="J7" s="1971">
        <f t="shared" ref="J7:J11" si="4">18.82*I7</f>
        <v>1693.8</v>
      </c>
      <c r="K7" s="1971"/>
      <c r="L7" s="1972">
        <f t="shared" ref="L7:L11" si="5">28.2368*K7</f>
        <v>0</v>
      </c>
      <c r="M7" s="1971"/>
      <c r="N7" s="1972">
        <f t="shared" ref="N7:N11" si="6">M7*47.6525</f>
        <v>0</v>
      </c>
      <c r="O7" s="1971"/>
      <c r="P7" s="1972">
        <f t="shared" ref="P7:P11" si="7">O7*8.9</f>
        <v>0</v>
      </c>
      <c r="Q7" s="1972"/>
      <c r="R7" s="1972">
        <f t="shared" ref="R7:R11" si="8">241*Q7</f>
        <v>0</v>
      </c>
      <c r="S7" s="1971">
        <v>5</v>
      </c>
      <c r="T7" s="1971">
        <f t="shared" ref="T7:T9" si="9">470*S7</f>
        <v>2350</v>
      </c>
      <c r="U7" s="1971"/>
      <c r="V7" s="1971">
        <f t="shared" ref="V7:V11" si="10">332*U7</f>
        <v>0</v>
      </c>
      <c r="W7" s="1971"/>
      <c r="X7" s="19">
        <f t="shared" ref="X7:X11" si="11">W7*100</f>
        <v>0</v>
      </c>
      <c r="Y7" s="20">
        <f t="shared" si="2"/>
        <v>31377.857500000002</v>
      </c>
    </row>
    <row r="8" spans="1:25" ht="35.25" customHeight="1" x14ac:dyDescent="0.25">
      <c r="A8" s="12">
        <v>1967020280</v>
      </c>
      <c r="B8" s="1968" t="s">
        <v>427</v>
      </c>
      <c r="C8" s="1971">
        <v>22690</v>
      </c>
      <c r="D8" s="1972">
        <f t="shared" si="0"/>
        <v>22066.025000000001</v>
      </c>
      <c r="E8" s="1971"/>
      <c r="F8" s="1972">
        <f t="shared" si="3"/>
        <v>0</v>
      </c>
      <c r="G8" s="1971"/>
      <c r="H8" s="1972">
        <f t="shared" si="1"/>
        <v>0</v>
      </c>
      <c r="I8" s="1971">
        <v>150</v>
      </c>
      <c r="J8" s="1971">
        <f t="shared" si="4"/>
        <v>2823</v>
      </c>
      <c r="K8" s="1971">
        <v>20</v>
      </c>
      <c r="L8" s="1972">
        <f t="shared" si="5"/>
        <v>564.73599999999999</v>
      </c>
      <c r="M8" s="1971"/>
      <c r="N8" s="1972">
        <f t="shared" si="6"/>
        <v>0</v>
      </c>
      <c r="O8" s="1971"/>
      <c r="P8" s="1972">
        <f t="shared" si="7"/>
        <v>0</v>
      </c>
      <c r="Q8" s="1972"/>
      <c r="R8" s="1972">
        <f t="shared" si="8"/>
        <v>0</v>
      </c>
      <c r="S8" s="1971">
        <v>10</v>
      </c>
      <c r="T8" s="1971">
        <f t="shared" si="9"/>
        <v>4700</v>
      </c>
      <c r="U8" s="1971"/>
      <c r="V8" s="1971">
        <f t="shared" si="10"/>
        <v>0</v>
      </c>
      <c r="W8" s="1971"/>
      <c r="X8" s="19">
        <f t="shared" si="11"/>
        <v>0</v>
      </c>
      <c r="Y8" s="20">
        <f t="shared" si="2"/>
        <v>30153.761000000002</v>
      </c>
    </row>
    <row r="9" spans="1:25" ht="38.25" customHeight="1" x14ac:dyDescent="0.25">
      <c r="A9" s="12">
        <v>1984225580</v>
      </c>
      <c r="B9" s="1968" t="s">
        <v>74</v>
      </c>
      <c r="C9" s="1971">
        <v>29600</v>
      </c>
      <c r="D9" s="1972">
        <f t="shared" si="0"/>
        <v>28786</v>
      </c>
      <c r="E9" s="1971"/>
      <c r="F9" s="1972">
        <f t="shared" si="3"/>
        <v>0</v>
      </c>
      <c r="G9" s="1971">
        <v>60</v>
      </c>
      <c r="H9" s="1972">
        <f t="shared" si="1"/>
        <v>1695.6000000000001</v>
      </c>
      <c r="I9" s="1971">
        <v>500</v>
      </c>
      <c r="J9" s="1971">
        <f t="shared" si="4"/>
        <v>9410</v>
      </c>
      <c r="K9" s="1971">
        <v>260</v>
      </c>
      <c r="L9" s="1972">
        <f t="shared" si="5"/>
        <v>7341.5679999999993</v>
      </c>
      <c r="M9" s="1971"/>
      <c r="N9" s="1972">
        <f t="shared" si="6"/>
        <v>0</v>
      </c>
      <c r="O9" s="1971"/>
      <c r="P9" s="1972">
        <f t="shared" si="7"/>
        <v>0</v>
      </c>
      <c r="Q9" s="1972"/>
      <c r="R9" s="1972">
        <f t="shared" si="8"/>
        <v>0</v>
      </c>
      <c r="S9" s="1971"/>
      <c r="T9" s="1971">
        <f t="shared" si="9"/>
        <v>0</v>
      </c>
      <c r="U9" s="1971">
        <v>5</v>
      </c>
      <c r="V9" s="1971">
        <f t="shared" si="10"/>
        <v>1660</v>
      </c>
      <c r="W9" s="1971"/>
      <c r="X9" s="19">
        <f t="shared" si="11"/>
        <v>0</v>
      </c>
      <c r="Y9" s="20">
        <f t="shared" si="2"/>
        <v>48893.167999999998</v>
      </c>
    </row>
    <row r="10" spans="1:25" ht="35.25" customHeight="1" x14ac:dyDescent="0.25">
      <c r="A10" s="12">
        <v>1409935199</v>
      </c>
      <c r="C10" s="1971">
        <v>14962</v>
      </c>
      <c r="D10" s="1972">
        <f t="shared" si="0"/>
        <v>14550.545</v>
      </c>
      <c r="E10" s="1971"/>
      <c r="F10" s="1972">
        <f t="shared" si="3"/>
        <v>0</v>
      </c>
      <c r="G10" s="1971"/>
      <c r="H10" s="1972">
        <f t="shared" si="1"/>
        <v>0</v>
      </c>
      <c r="I10" s="1971">
        <v>500</v>
      </c>
      <c r="J10" s="1971">
        <f t="shared" si="4"/>
        <v>9410</v>
      </c>
      <c r="K10" s="1971"/>
      <c r="L10" s="1972">
        <f t="shared" si="5"/>
        <v>0</v>
      </c>
      <c r="M10" s="1971"/>
      <c r="N10" s="1972">
        <f t="shared" si="6"/>
        <v>0</v>
      </c>
      <c r="O10" s="1971"/>
      <c r="P10" s="1972">
        <f t="shared" si="7"/>
        <v>0</v>
      </c>
      <c r="Q10" s="1972"/>
      <c r="R10" s="1972">
        <f t="shared" si="8"/>
        <v>0</v>
      </c>
      <c r="S10" s="1971"/>
      <c r="T10" s="1971">
        <f>341*S10</f>
        <v>0</v>
      </c>
      <c r="U10" s="1971"/>
      <c r="V10" s="1971">
        <f t="shared" si="10"/>
        <v>0</v>
      </c>
      <c r="W10" s="1971"/>
      <c r="X10" s="19">
        <f t="shared" si="11"/>
        <v>0</v>
      </c>
      <c r="Y10" s="20">
        <f t="shared" si="2"/>
        <v>23960.544999999998</v>
      </c>
    </row>
    <row r="11" spans="1:25" ht="37.5" customHeight="1" x14ac:dyDescent="0.25">
      <c r="A11" s="12"/>
      <c r="B11" s="1970"/>
      <c r="C11" s="1971"/>
      <c r="D11" s="1972">
        <f t="shared" si="0"/>
        <v>0</v>
      </c>
      <c r="E11" s="1971"/>
      <c r="F11" s="1972">
        <f t="shared" si="3"/>
        <v>0</v>
      </c>
      <c r="G11" s="1971"/>
      <c r="H11" s="1972">
        <f t="shared" si="1"/>
        <v>0</v>
      </c>
      <c r="I11" s="1971"/>
      <c r="J11" s="1971">
        <f t="shared" si="4"/>
        <v>0</v>
      </c>
      <c r="K11" s="1971"/>
      <c r="L11" s="1972">
        <f t="shared" si="5"/>
        <v>0</v>
      </c>
      <c r="M11" s="1971"/>
      <c r="N11" s="1972">
        <f t="shared" si="6"/>
        <v>0</v>
      </c>
      <c r="O11" s="1971"/>
      <c r="P11" s="1972">
        <f t="shared" si="7"/>
        <v>0</v>
      </c>
      <c r="Q11" s="1972"/>
      <c r="R11" s="1972">
        <f t="shared" si="8"/>
        <v>0</v>
      </c>
      <c r="S11" s="1971"/>
      <c r="T11" s="1971">
        <f>241*S11</f>
        <v>0</v>
      </c>
      <c r="U11" s="1971"/>
      <c r="V11" s="1971">
        <f t="shared" si="10"/>
        <v>0</v>
      </c>
      <c r="W11" s="1971"/>
      <c r="X11" s="19">
        <f t="shared" si="11"/>
        <v>0</v>
      </c>
      <c r="Y11" s="20">
        <f t="shared" si="2"/>
        <v>0</v>
      </c>
    </row>
    <row r="12" spans="1:25" ht="29.25" customHeight="1" x14ac:dyDescent="0.25">
      <c r="A12" s="2235" t="s">
        <v>31</v>
      </c>
      <c r="B12" s="2235"/>
      <c r="C12" s="18">
        <f t="shared" ref="C12:X12" si="12">SUM(C6:C11)</f>
        <v>123790</v>
      </c>
      <c r="D12" s="18">
        <f t="shared" si="12"/>
        <v>120385.77500000001</v>
      </c>
      <c r="E12" s="18">
        <f t="shared" si="12"/>
        <v>0</v>
      </c>
      <c r="F12" s="18">
        <f t="shared" si="12"/>
        <v>0</v>
      </c>
      <c r="G12" s="18">
        <f t="shared" si="12"/>
        <v>60</v>
      </c>
      <c r="H12" s="18">
        <f t="shared" si="12"/>
        <v>1695.6000000000001</v>
      </c>
      <c r="I12" s="18">
        <f t="shared" si="12"/>
        <v>1400</v>
      </c>
      <c r="J12" s="18">
        <f t="shared" si="12"/>
        <v>26348</v>
      </c>
      <c r="K12" s="18">
        <f t="shared" si="12"/>
        <v>280</v>
      </c>
      <c r="L12" s="18">
        <f t="shared" si="12"/>
        <v>7906.3039999999992</v>
      </c>
      <c r="M12" s="18">
        <f t="shared" si="12"/>
        <v>0</v>
      </c>
      <c r="N12" s="23">
        <f t="shared" si="12"/>
        <v>0</v>
      </c>
      <c r="O12" s="18">
        <f t="shared" si="12"/>
        <v>0</v>
      </c>
      <c r="P12" s="23">
        <f t="shared" si="12"/>
        <v>0</v>
      </c>
      <c r="Q12" s="23">
        <f t="shared" si="12"/>
        <v>0</v>
      </c>
      <c r="R12" s="23">
        <f>SUM(R6:R11)</f>
        <v>0</v>
      </c>
      <c r="S12" s="23">
        <f>SUM(S6:S11)</f>
        <v>15</v>
      </c>
      <c r="T12" s="18">
        <f t="shared" si="12"/>
        <v>7050</v>
      </c>
      <c r="U12" s="18">
        <f t="shared" si="12"/>
        <v>6</v>
      </c>
      <c r="V12" s="18">
        <f t="shared" si="12"/>
        <v>1992</v>
      </c>
      <c r="W12" s="18">
        <f t="shared" si="12"/>
        <v>0</v>
      </c>
      <c r="X12" s="18">
        <f t="shared" si="12"/>
        <v>0</v>
      </c>
      <c r="Y12" s="20">
        <f t="shared" si="2"/>
        <v>165377.679</v>
      </c>
    </row>
    <row r="14" spans="1:25" ht="43.5" customHeight="1" x14ac:dyDescent="0.25">
      <c r="A14" s="30" t="s">
        <v>32</v>
      </c>
      <c r="B14" s="2236" t="s">
        <v>27</v>
      </c>
      <c r="C14" s="2236"/>
      <c r="D14" s="30" t="s">
        <v>543</v>
      </c>
      <c r="E14" s="30" t="s">
        <v>65</v>
      </c>
      <c r="F14" s="30" t="s">
        <v>34</v>
      </c>
      <c r="G14" s="30" t="s">
        <v>14</v>
      </c>
      <c r="H14" s="469" t="s">
        <v>173</v>
      </c>
      <c r="I14" s="30" t="s">
        <v>17</v>
      </c>
      <c r="J14" s="1976" t="s">
        <v>174</v>
      </c>
      <c r="K14" s="30" t="s">
        <v>36</v>
      </c>
      <c r="L14" s="1976" t="s">
        <v>403</v>
      </c>
      <c r="M14" s="1976" t="s">
        <v>549</v>
      </c>
      <c r="N14" s="30" t="s">
        <v>442</v>
      </c>
      <c r="O14" s="1976" t="s">
        <v>114</v>
      </c>
      <c r="P14" s="30" t="s">
        <v>70</v>
      </c>
      <c r="Q14" s="2300" t="s">
        <v>479</v>
      </c>
      <c r="R14" s="2301"/>
      <c r="S14" s="1976" t="s">
        <v>401</v>
      </c>
      <c r="T14" s="2235" t="s">
        <v>46</v>
      </c>
      <c r="U14" s="1968" t="s">
        <v>176</v>
      </c>
      <c r="V14" s="2260">
        <v>146210</v>
      </c>
      <c r="W14" s="2268"/>
      <c r="X14" s="2261"/>
    </row>
    <row r="15" spans="1:25" ht="22.5" customHeight="1" x14ac:dyDescent="0.25">
      <c r="A15" s="100" t="s">
        <v>38</v>
      </c>
      <c r="B15" s="2260">
        <v>551678</v>
      </c>
      <c r="C15" s="2261"/>
      <c r="D15" s="1973">
        <v>320</v>
      </c>
      <c r="E15" s="1973">
        <v>140</v>
      </c>
      <c r="F15" s="1973">
        <v>5750</v>
      </c>
      <c r="G15" s="1973">
        <v>2000</v>
      </c>
      <c r="H15" s="1973">
        <v>38</v>
      </c>
      <c r="I15" s="1973">
        <v>26</v>
      </c>
      <c r="J15" s="1973">
        <v>4</v>
      </c>
      <c r="K15" s="1973">
        <v>69</v>
      </c>
      <c r="L15" s="1973">
        <v>0</v>
      </c>
      <c r="M15" s="1973">
        <v>30</v>
      </c>
      <c r="N15" s="1973">
        <v>0</v>
      </c>
      <c r="O15" s="1973">
        <v>0</v>
      </c>
      <c r="P15" s="1973">
        <v>100</v>
      </c>
      <c r="Q15" s="2260">
        <v>10</v>
      </c>
      <c r="R15" s="2261"/>
      <c r="S15" s="1968">
        <v>2</v>
      </c>
      <c r="T15" s="2235"/>
      <c r="U15" s="1968" t="s">
        <v>64</v>
      </c>
      <c r="V15" s="2262">
        <v>14144</v>
      </c>
      <c r="W15" s="2262"/>
      <c r="X15" s="2262"/>
    </row>
    <row r="16" spans="1:25" ht="24.75" customHeight="1" x14ac:dyDescent="0.25">
      <c r="A16" s="100" t="s">
        <v>39</v>
      </c>
      <c r="B16" s="2260"/>
      <c r="C16" s="2261"/>
      <c r="D16" s="1973"/>
      <c r="E16" s="1973"/>
      <c r="F16" s="1973"/>
      <c r="G16" s="1973"/>
      <c r="H16" s="1973"/>
      <c r="I16" s="1973"/>
      <c r="J16" s="1973"/>
      <c r="K16" s="1973"/>
      <c r="L16" s="1973"/>
      <c r="M16" s="1973"/>
      <c r="N16" s="1973"/>
      <c r="O16" s="1973"/>
      <c r="P16" s="1973"/>
      <c r="Q16" s="2262"/>
      <c r="R16" s="2262"/>
      <c r="S16" s="1973"/>
      <c r="T16" s="2254" t="s">
        <v>55</v>
      </c>
      <c r="U16" s="2254"/>
      <c r="V16" s="2267">
        <f>Y12</f>
        <v>165377.679</v>
      </c>
      <c r="W16" s="2267"/>
      <c r="X16" s="2262"/>
    </row>
    <row r="17" spans="1:25" ht="28.5" customHeight="1" x14ac:dyDescent="0.25">
      <c r="A17" s="101" t="s">
        <v>44</v>
      </c>
      <c r="B17" s="2260"/>
      <c r="C17" s="2261"/>
      <c r="D17" s="1973"/>
      <c r="E17" s="1973"/>
      <c r="F17" s="1973"/>
      <c r="G17" s="1973"/>
      <c r="H17" s="1973"/>
      <c r="I17" s="1973"/>
      <c r="J17" s="1973"/>
      <c r="K17" s="1973"/>
      <c r="L17" s="1973"/>
      <c r="M17" s="1973"/>
      <c r="N17" s="1973"/>
      <c r="O17" s="1973"/>
      <c r="P17" s="1973"/>
      <c r="Q17" s="2225"/>
      <c r="R17" s="2225"/>
      <c r="S17" s="1970"/>
      <c r="T17" s="2294" t="s">
        <v>568</v>
      </c>
      <c r="U17" s="2295"/>
      <c r="V17" s="2296">
        <v>120000</v>
      </c>
      <c r="W17" s="2296"/>
      <c r="X17" s="2296"/>
    </row>
    <row r="18" spans="1:25" ht="27" customHeight="1" x14ac:dyDescent="0.25">
      <c r="A18" s="100" t="s">
        <v>40</v>
      </c>
      <c r="B18" s="2264">
        <f>C12</f>
        <v>123790</v>
      </c>
      <c r="C18" s="2261"/>
      <c r="D18" s="1974">
        <f>E12</f>
        <v>0</v>
      </c>
      <c r="E18" s="1974">
        <f>G12</f>
        <v>60</v>
      </c>
      <c r="F18" s="1974">
        <f>I12</f>
        <v>1400</v>
      </c>
      <c r="G18" s="1974">
        <f>K12</f>
        <v>280</v>
      </c>
      <c r="H18" s="1973"/>
      <c r="I18" s="1974">
        <f>U12</f>
        <v>6</v>
      </c>
      <c r="J18" s="1973"/>
      <c r="K18" s="1974">
        <f>W12</f>
        <v>0</v>
      </c>
      <c r="L18" s="1973"/>
      <c r="M18" s="1974">
        <v>15</v>
      </c>
      <c r="N18" s="1974">
        <f>O12</f>
        <v>0</v>
      </c>
      <c r="O18" s="1975">
        <f>Q12</f>
        <v>0</v>
      </c>
      <c r="P18" s="1974"/>
      <c r="Q18" s="2262"/>
      <c r="R18" s="2262"/>
      <c r="S18" s="1968"/>
      <c r="T18" s="2254" t="s">
        <v>57</v>
      </c>
      <c r="U18" s="2254"/>
      <c r="V18" s="2262">
        <v>980</v>
      </c>
      <c r="W18" s="2262"/>
      <c r="X18" s="2262"/>
      <c r="Y18" s="2269"/>
    </row>
    <row r="19" spans="1:25" ht="25.5" customHeight="1" x14ac:dyDescent="0.25">
      <c r="A19" s="100" t="s">
        <v>41</v>
      </c>
      <c r="B19" s="2260">
        <f>B15+B16+B17-B18</f>
        <v>427888</v>
      </c>
      <c r="C19" s="2261"/>
      <c r="D19" s="1973">
        <f>D15+D16+D17-D18</f>
        <v>320</v>
      </c>
      <c r="E19" s="1973">
        <f t="shared" ref="E19:N19" si="13">E15+E16+E17-E18</f>
        <v>80</v>
      </c>
      <c r="F19" s="1973">
        <f t="shared" si="13"/>
        <v>4350</v>
      </c>
      <c r="G19" s="1973">
        <f t="shared" si="13"/>
        <v>1720</v>
      </c>
      <c r="H19" s="1973">
        <f t="shared" si="13"/>
        <v>38</v>
      </c>
      <c r="I19" s="1973">
        <f t="shared" si="13"/>
        <v>20</v>
      </c>
      <c r="J19" s="1973">
        <f t="shared" si="13"/>
        <v>4</v>
      </c>
      <c r="K19" s="1973">
        <f t="shared" si="13"/>
        <v>69</v>
      </c>
      <c r="L19" s="1973">
        <f t="shared" si="13"/>
        <v>0</v>
      </c>
      <c r="M19" s="1973">
        <f t="shared" si="13"/>
        <v>15</v>
      </c>
      <c r="N19" s="1973">
        <f t="shared" si="13"/>
        <v>0</v>
      </c>
      <c r="O19" s="1973">
        <f>O15+O16+O17-O18</f>
        <v>0</v>
      </c>
      <c r="P19" s="1973">
        <f t="shared" ref="P19:Q19" si="14">P15+P16+P17-P18</f>
        <v>100</v>
      </c>
      <c r="Q19" s="2260">
        <f t="shared" si="14"/>
        <v>10</v>
      </c>
      <c r="R19" s="2261"/>
      <c r="S19" s="1968">
        <f>S15+S16-S17-S18</f>
        <v>2</v>
      </c>
      <c r="T19" s="2256" t="s">
        <v>48</v>
      </c>
      <c r="U19" s="49" t="s">
        <v>58</v>
      </c>
      <c r="V19" s="2262">
        <v>400000</v>
      </c>
      <c r="W19" s="2262"/>
      <c r="X19" s="2262"/>
      <c r="Y19" s="2269"/>
    </row>
    <row r="20" spans="1:25" ht="23.25" customHeight="1" x14ac:dyDescent="0.25">
      <c r="A20" s="289" t="s">
        <v>187</v>
      </c>
      <c r="B20" s="2286">
        <f>B19*0.9625</f>
        <v>411842.2</v>
      </c>
      <c r="C20" s="2287"/>
      <c r="D20" s="290">
        <f>D19*19.48</f>
        <v>6233.6</v>
      </c>
      <c r="E20" s="290">
        <f>27.97*E19</f>
        <v>2237.6</v>
      </c>
      <c r="F20" s="290">
        <f>18.63*F19</f>
        <v>81040.5</v>
      </c>
      <c r="G20" s="290">
        <f>27.9468*G19</f>
        <v>48068.495999999999</v>
      </c>
      <c r="H20" s="290">
        <f>241*H19</f>
        <v>9158</v>
      </c>
      <c r="I20" s="290">
        <f>323*I19</f>
        <v>6460</v>
      </c>
      <c r="J20" s="290">
        <f>241*J19</f>
        <v>964</v>
      </c>
      <c r="K20" s="290">
        <f>K19*100</f>
        <v>6900</v>
      </c>
      <c r="L20" s="290">
        <f>241*L19</f>
        <v>0</v>
      </c>
      <c r="M20" s="290">
        <f>470*M19</f>
        <v>7050</v>
      </c>
      <c r="N20" s="290">
        <f>N19*8.81</f>
        <v>0</v>
      </c>
      <c r="O20" s="290">
        <f>241*O19</f>
        <v>0</v>
      </c>
      <c r="P20" s="290">
        <f>P19*48.2</f>
        <v>4820</v>
      </c>
      <c r="Q20" s="2286">
        <f>470*Q19</f>
        <v>4700</v>
      </c>
      <c r="R20" s="2287"/>
      <c r="S20" s="290">
        <f>341*S19</f>
        <v>682</v>
      </c>
      <c r="T20" s="2257"/>
      <c r="U20" s="49" t="s">
        <v>59</v>
      </c>
      <c r="V20" s="2262"/>
      <c r="W20" s="2262"/>
      <c r="X20" s="2262"/>
      <c r="Y20" s="2269"/>
    </row>
    <row r="21" spans="1:25" ht="32.25" customHeight="1" x14ac:dyDescent="0.25">
      <c r="A21" s="291" t="s">
        <v>186</v>
      </c>
      <c r="B21" s="2302">
        <f>SUM(B20:S20)</f>
        <v>590156.39599999995</v>
      </c>
      <c r="C21" s="2302"/>
      <c r="T21" s="2294" t="s">
        <v>518</v>
      </c>
      <c r="U21" s="2295"/>
      <c r="V21" s="2297"/>
      <c r="W21" s="2298"/>
      <c r="X21" s="2299"/>
      <c r="Y21" s="2269"/>
    </row>
    <row r="22" spans="1:25" ht="35.25" customHeight="1" x14ac:dyDescent="0.25">
      <c r="A22" s="1911"/>
      <c r="B22" s="2288" t="s">
        <v>49</v>
      </c>
      <c r="C22" s="2291">
        <v>400000</v>
      </c>
      <c r="D22" s="2291">
        <v>400000</v>
      </c>
      <c r="E22" s="2291"/>
      <c r="F22" s="2291">
        <f>C22-D22+E22</f>
        <v>0</v>
      </c>
      <c r="T22" s="2251" t="s">
        <v>83</v>
      </c>
      <c r="U22" s="50" t="s">
        <v>60</v>
      </c>
      <c r="V22" s="2262">
        <v>400490</v>
      </c>
      <c r="W22" s="2262"/>
      <c r="X22" s="2262"/>
      <c r="Y22" s="2269"/>
    </row>
    <row r="23" spans="1:25" ht="39.75" customHeight="1" x14ac:dyDescent="0.25">
      <c r="B23" s="2289"/>
      <c r="C23" s="2292"/>
      <c r="D23" s="2292"/>
      <c r="E23" s="2292"/>
      <c r="F23" s="2292"/>
      <c r="T23" s="2252"/>
      <c r="U23" s="50" t="s">
        <v>61</v>
      </c>
      <c r="V23" s="2262">
        <v>400000</v>
      </c>
      <c r="W23" s="2262"/>
      <c r="X23" s="2262"/>
      <c r="Y23" s="2269"/>
    </row>
    <row r="24" spans="1:25" ht="48" customHeight="1" x14ac:dyDescent="0.25">
      <c r="B24" s="2290"/>
      <c r="C24" s="290" t="s">
        <v>46</v>
      </c>
      <c r="D24" s="290" t="s">
        <v>50</v>
      </c>
      <c r="E24" s="290" t="s">
        <v>51</v>
      </c>
      <c r="F24" s="290" t="s">
        <v>52</v>
      </c>
      <c r="T24" s="2235" t="s">
        <v>47</v>
      </c>
      <c r="U24" s="51" t="s">
        <v>62</v>
      </c>
      <c r="V24" s="2263">
        <f>V14+V16+V17-V18-V19-V20-V22+V23-V21</f>
        <v>30117.679000000004</v>
      </c>
      <c r="W24" s="2263"/>
      <c r="X24" s="2263"/>
      <c r="Y24" s="2269"/>
    </row>
    <row r="25" spans="1:25" ht="40.5" customHeight="1" x14ac:dyDescent="0.25">
      <c r="T25" s="2235"/>
      <c r="U25" s="51" t="s">
        <v>63</v>
      </c>
      <c r="V25" s="2262">
        <f>V15+V22-V23</f>
        <v>14634</v>
      </c>
      <c r="W25" s="2262"/>
      <c r="X25" s="2262"/>
    </row>
    <row r="26" spans="1:25" ht="36" customHeight="1" x14ac:dyDescent="0.25">
      <c r="K26" s="314"/>
    </row>
    <row r="28" spans="1:25" x14ac:dyDescent="0.25">
      <c r="J28" s="14" t="s">
        <v>139</v>
      </c>
    </row>
    <row r="32" spans="1:25" x14ac:dyDescent="0.25">
      <c r="I32" s="2280"/>
      <c r="J32" s="2280"/>
      <c r="K32" s="2280"/>
      <c r="L32" s="2280"/>
    </row>
    <row r="33" spans="9:12" x14ac:dyDescent="0.25">
      <c r="I33" s="1977"/>
      <c r="J33" s="1977"/>
      <c r="K33" s="2280"/>
      <c r="L33" s="2280"/>
    </row>
  </sheetData>
  <mergeCells count="62">
    <mergeCell ref="I32:J32"/>
    <mergeCell ref="K32:L32"/>
    <mergeCell ref="K33:L33"/>
    <mergeCell ref="T22:T23"/>
    <mergeCell ref="V22:X22"/>
    <mergeCell ref="V23:X23"/>
    <mergeCell ref="T24:T25"/>
    <mergeCell ref="V24:X24"/>
    <mergeCell ref="V25:X25"/>
    <mergeCell ref="Y18:Y24"/>
    <mergeCell ref="B19:C19"/>
    <mergeCell ref="Q19:R19"/>
    <mergeCell ref="T19:T20"/>
    <mergeCell ref="V19:X19"/>
    <mergeCell ref="B20:C20"/>
    <mergeCell ref="B22:B24"/>
    <mergeCell ref="C22:C23"/>
    <mergeCell ref="D22:D23"/>
    <mergeCell ref="E22:E23"/>
    <mergeCell ref="F22:F23"/>
    <mergeCell ref="Q20:R20"/>
    <mergeCell ref="V20:X20"/>
    <mergeCell ref="B21:C21"/>
    <mergeCell ref="T21:U21"/>
    <mergeCell ref="V21:X21"/>
    <mergeCell ref="B17:C17"/>
    <mergeCell ref="Q17:R17"/>
    <mergeCell ref="T17:U17"/>
    <mergeCell ref="V17:X17"/>
    <mergeCell ref="B18:C18"/>
    <mergeCell ref="Q18:R18"/>
    <mergeCell ref="T18:U18"/>
    <mergeCell ref="V18:X18"/>
    <mergeCell ref="W4:X4"/>
    <mergeCell ref="B16:C16"/>
    <mergeCell ref="Q16:R16"/>
    <mergeCell ref="T16:U16"/>
    <mergeCell ref="V16:X16"/>
    <mergeCell ref="A12:B12"/>
    <mergeCell ref="B14:C14"/>
    <mergeCell ref="Q14:R14"/>
    <mergeCell ref="T14:T15"/>
    <mergeCell ref="V14:X14"/>
    <mergeCell ref="B15:C15"/>
    <mergeCell ref="Q15:R15"/>
    <mergeCell ref="V15:X15"/>
    <mergeCell ref="A1:Y1"/>
    <mergeCell ref="A2:Y2"/>
    <mergeCell ref="T3:Y3"/>
    <mergeCell ref="A4:A5"/>
    <mergeCell ref="B4:B5"/>
    <mergeCell ref="C4:D4"/>
    <mergeCell ref="E4:F4"/>
    <mergeCell ref="G4:H4"/>
    <mergeCell ref="I4:J4"/>
    <mergeCell ref="K4:L4"/>
    <mergeCell ref="Y4:Y5"/>
    <mergeCell ref="M4:N4"/>
    <mergeCell ref="O4:P4"/>
    <mergeCell ref="Q4:R4"/>
    <mergeCell ref="S4:T4"/>
    <mergeCell ref="U4:V4"/>
  </mergeCells>
  <pageMargins left="0.15748031496063" right="0.15748031496063" top="0" bottom="0" header="0" footer="0"/>
  <pageSetup paperSize="9" scale="46" orientation="landscape" r:id="rId1"/>
</worksheet>
</file>

<file path=xl/worksheets/sheet31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9810E4E-7B92-4B0B-9075-C9AF661C111A}">
  <sheetPr>
    <pageSetUpPr fitToPage="1"/>
  </sheetPr>
  <dimension ref="A1:Y33"/>
  <sheetViews>
    <sheetView topLeftCell="A11" zoomScale="70" zoomScaleNormal="70" zoomScaleSheetLayoutView="100" zoomScalePageLayoutView="68" workbookViewId="0">
      <selection activeCell="N22" sqref="N22"/>
    </sheetView>
  </sheetViews>
  <sheetFormatPr defaultColWidth="9.140625" defaultRowHeight="15" x14ac:dyDescent="0.25"/>
  <cols>
    <col min="1" max="1" width="18.28515625" style="14" customWidth="1"/>
    <col min="2" max="2" width="10.7109375" style="14" customWidth="1"/>
    <col min="3" max="3" width="12.28515625" style="14" customWidth="1"/>
    <col min="4" max="4" width="13.140625" style="14" bestFit="1" customWidth="1"/>
    <col min="5" max="5" width="12" style="14" customWidth="1"/>
    <col min="6" max="6" width="14" style="14" bestFit="1" customWidth="1"/>
    <col min="7" max="7" width="16" style="14" bestFit="1" customWidth="1"/>
    <col min="8" max="8" width="10.140625" style="14" bestFit="1" customWidth="1"/>
    <col min="9" max="9" width="10.5703125" style="14" bestFit="1" customWidth="1"/>
    <col min="10" max="10" width="10.5703125" style="14" customWidth="1"/>
    <col min="11" max="11" width="10.28515625" style="14" bestFit="1" customWidth="1"/>
    <col min="12" max="12" width="10.42578125" style="14" bestFit="1" customWidth="1"/>
    <col min="13" max="14" width="12" style="14" bestFit="1" customWidth="1"/>
    <col min="15" max="15" width="11" style="14" customWidth="1"/>
    <col min="16" max="16" width="12.85546875" style="14" bestFit="1" customWidth="1"/>
    <col min="17" max="18" width="9.42578125" style="14" customWidth="1"/>
    <col min="19" max="19" width="13.7109375" style="14" customWidth="1"/>
    <col min="20" max="20" width="12.140625" style="14" customWidth="1"/>
    <col min="21" max="21" width="21.7109375" style="14" customWidth="1"/>
    <col min="22" max="22" width="9.85546875" style="14" customWidth="1"/>
    <col min="23" max="23" width="10.140625" style="14" bestFit="1" customWidth="1"/>
    <col min="24" max="24" width="10.28515625" style="14" customWidth="1"/>
    <col min="25" max="25" width="15.7109375" style="14" customWidth="1"/>
    <col min="26" max="16384" width="9.140625" style="14"/>
  </cols>
  <sheetData>
    <row r="1" spans="1:25" ht="46.15" customHeight="1" x14ac:dyDescent="0.25">
      <c r="A1" s="2240" t="s">
        <v>148</v>
      </c>
      <c r="B1" s="2240"/>
      <c r="C1" s="2240"/>
      <c r="D1" s="2240"/>
      <c r="E1" s="2240"/>
      <c r="F1" s="2240"/>
      <c r="G1" s="2240"/>
      <c r="H1" s="2240"/>
      <c r="I1" s="2240"/>
      <c r="J1" s="2240"/>
      <c r="K1" s="2240"/>
      <c r="L1" s="2240"/>
      <c r="M1" s="2240"/>
      <c r="N1" s="2240"/>
      <c r="O1" s="2240"/>
      <c r="P1" s="2240"/>
      <c r="Q1" s="2240"/>
      <c r="R1" s="2240"/>
      <c r="S1" s="2240"/>
      <c r="T1" s="2240"/>
      <c r="U1" s="2240"/>
      <c r="V1" s="2240"/>
      <c r="W1" s="2240"/>
      <c r="X1" s="2240"/>
      <c r="Y1" s="2240"/>
    </row>
    <row r="2" spans="1:25" ht="21.6" customHeight="1" x14ac:dyDescent="0.25">
      <c r="A2" s="2241" t="s">
        <v>383</v>
      </c>
      <c r="B2" s="2241"/>
      <c r="C2" s="2241"/>
      <c r="D2" s="2241"/>
      <c r="E2" s="2241"/>
      <c r="F2" s="2241"/>
      <c r="G2" s="2241"/>
      <c r="H2" s="2241"/>
      <c r="I2" s="2241"/>
      <c r="J2" s="2241"/>
      <c r="K2" s="2241"/>
      <c r="L2" s="2241"/>
      <c r="M2" s="2241"/>
      <c r="N2" s="2241"/>
      <c r="O2" s="2241"/>
      <c r="P2" s="2241"/>
      <c r="Q2" s="2241"/>
      <c r="R2" s="2241"/>
      <c r="S2" s="2241"/>
      <c r="T2" s="2241"/>
      <c r="U2" s="2241"/>
      <c r="V2" s="2241"/>
      <c r="W2" s="2241"/>
      <c r="X2" s="2241"/>
      <c r="Y2" s="2241"/>
    </row>
    <row r="3" spans="1:25" ht="21" customHeight="1" x14ac:dyDescent="0.25">
      <c r="A3" s="1967"/>
      <c r="B3" s="1967"/>
      <c r="C3" s="1967"/>
      <c r="D3" s="1967"/>
      <c r="E3" s="1967"/>
      <c r="F3" s="1967"/>
      <c r="G3" s="1967"/>
      <c r="H3" s="1967"/>
      <c r="I3" s="1967"/>
      <c r="J3" s="1967"/>
      <c r="K3" s="1967"/>
      <c r="L3" s="1967"/>
      <c r="M3" s="1967"/>
      <c r="N3" s="1967"/>
      <c r="O3" s="1967"/>
      <c r="P3" s="1967"/>
      <c r="Q3" s="1967"/>
      <c r="R3" s="1967"/>
      <c r="S3" s="1967"/>
      <c r="T3" s="2242" t="s">
        <v>567</v>
      </c>
      <c r="U3" s="2242"/>
      <c r="V3" s="2242"/>
      <c r="W3" s="2242"/>
      <c r="X3" s="2242"/>
      <c r="Y3" s="2242"/>
    </row>
    <row r="4" spans="1:25" s="1967" customFormat="1" ht="18" customHeight="1" x14ac:dyDescent="0.25">
      <c r="A4" s="2243" t="s">
        <v>25</v>
      </c>
      <c r="B4" s="2243" t="s">
        <v>26</v>
      </c>
      <c r="C4" s="2244" t="s">
        <v>27</v>
      </c>
      <c r="D4" s="2244"/>
      <c r="E4" s="2244" t="s">
        <v>544</v>
      </c>
      <c r="F4" s="2244"/>
      <c r="G4" s="2244" t="s">
        <v>65</v>
      </c>
      <c r="H4" s="2244"/>
      <c r="I4" s="2244" t="s">
        <v>29</v>
      </c>
      <c r="J4" s="2244"/>
      <c r="K4" s="2245" t="s">
        <v>14</v>
      </c>
      <c r="L4" s="2246"/>
      <c r="M4" s="2245" t="s">
        <v>429</v>
      </c>
      <c r="N4" s="2246"/>
      <c r="O4" s="2245" t="s">
        <v>441</v>
      </c>
      <c r="P4" s="2246"/>
      <c r="Q4" s="2245" t="s">
        <v>114</v>
      </c>
      <c r="R4" s="2246"/>
      <c r="S4" s="2244" t="s">
        <v>35</v>
      </c>
      <c r="T4" s="2244"/>
      <c r="U4" s="2245" t="s">
        <v>17</v>
      </c>
      <c r="V4" s="2246"/>
      <c r="W4" s="2247" t="s">
        <v>36</v>
      </c>
      <c r="X4" s="2248"/>
      <c r="Y4" s="2238" t="s">
        <v>30</v>
      </c>
    </row>
    <row r="5" spans="1:25" s="1967" customFormat="1" ht="25.5" customHeight="1" x14ac:dyDescent="0.25">
      <c r="A5" s="2243"/>
      <c r="B5" s="2243"/>
      <c r="C5" s="1969" t="s">
        <v>42</v>
      </c>
      <c r="D5" s="1969" t="s">
        <v>43</v>
      </c>
      <c r="E5" s="1969" t="s">
        <v>42</v>
      </c>
      <c r="F5" s="1969" t="s">
        <v>43</v>
      </c>
      <c r="G5" s="1969" t="s">
        <v>42</v>
      </c>
      <c r="H5" s="1969" t="s">
        <v>43</v>
      </c>
      <c r="I5" s="1969" t="s">
        <v>42</v>
      </c>
      <c r="J5" s="1969" t="s">
        <v>43</v>
      </c>
      <c r="K5" s="1969" t="s">
        <v>42</v>
      </c>
      <c r="L5" s="1969" t="s">
        <v>43</v>
      </c>
      <c r="M5" s="1969" t="s">
        <v>42</v>
      </c>
      <c r="N5" s="1969" t="s">
        <v>43</v>
      </c>
      <c r="O5" s="1969" t="s">
        <v>42</v>
      </c>
      <c r="P5" s="1969" t="s">
        <v>43</v>
      </c>
      <c r="Q5" s="1969" t="s">
        <v>42</v>
      </c>
      <c r="R5" s="1969" t="s">
        <v>43</v>
      </c>
      <c r="S5" s="33" t="s">
        <v>42</v>
      </c>
      <c r="T5" s="33" t="s">
        <v>43</v>
      </c>
      <c r="U5" s="30" t="s">
        <v>42</v>
      </c>
      <c r="V5" s="30" t="s">
        <v>43</v>
      </c>
      <c r="W5" s="30" t="s">
        <v>42</v>
      </c>
      <c r="X5" s="30" t="s">
        <v>43</v>
      </c>
      <c r="Y5" s="2239"/>
    </row>
    <row r="6" spans="1:25" ht="34.5" customHeight="1" x14ac:dyDescent="0.25">
      <c r="A6" s="12">
        <v>1409935200</v>
      </c>
      <c r="B6" s="1968" t="s">
        <v>71</v>
      </c>
      <c r="C6" s="1971">
        <v>33618</v>
      </c>
      <c r="D6" s="1972">
        <f t="shared" ref="D6:D11" si="0">0.9725*C6</f>
        <v>32693.505000000001</v>
      </c>
      <c r="E6" s="1971"/>
      <c r="F6" s="1972">
        <f>19.68*E6</f>
        <v>0</v>
      </c>
      <c r="G6" s="1971"/>
      <c r="H6" s="1972">
        <f t="shared" ref="H6:H11" si="1">28.26*G6</f>
        <v>0</v>
      </c>
      <c r="I6" s="1971">
        <v>280</v>
      </c>
      <c r="J6" s="1972">
        <f>18.82*I6</f>
        <v>5269.6</v>
      </c>
      <c r="K6" s="1971">
        <v>70</v>
      </c>
      <c r="L6" s="1972">
        <f>28.2368*K6</f>
        <v>1976.576</v>
      </c>
      <c r="M6" s="1971"/>
      <c r="N6" s="1972">
        <f>M6*47.6525</f>
        <v>0</v>
      </c>
      <c r="O6" s="1971"/>
      <c r="P6" s="1972">
        <f>O6*8.9</f>
        <v>0</v>
      </c>
      <c r="Q6" s="1972"/>
      <c r="R6" s="1972">
        <f>241*Q6</f>
        <v>0</v>
      </c>
      <c r="S6" s="1971"/>
      <c r="T6" s="1971">
        <f>470*S6</f>
        <v>0</v>
      </c>
      <c r="U6" s="1971">
        <v>4</v>
      </c>
      <c r="V6" s="1971">
        <f>332*U6</f>
        <v>1328</v>
      </c>
      <c r="W6" s="1971"/>
      <c r="X6" s="19">
        <f>W6*100</f>
        <v>0</v>
      </c>
      <c r="Y6" s="20">
        <f t="shared" ref="Y6:Y12" si="2">D6+F6+H6+J6+L6+N6+P6+R6+T6+V6+X6</f>
        <v>41267.681000000004</v>
      </c>
    </row>
    <row r="7" spans="1:25" ht="36.75" customHeight="1" x14ac:dyDescent="0.25">
      <c r="A7" s="12">
        <v>1984225578</v>
      </c>
      <c r="B7" s="1968" t="s">
        <v>509</v>
      </c>
      <c r="C7" s="1971">
        <v>30688</v>
      </c>
      <c r="D7" s="1972">
        <f t="shared" si="0"/>
        <v>29844.080000000002</v>
      </c>
      <c r="E7" s="1971"/>
      <c r="F7" s="1972">
        <f t="shared" ref="F7:F11" si="3">19.68*E7</f>
        <v>0</v>
      </c>
      <c r="G7" s="1971">
        <v>20</v>
      </c>
      <c r="H7" s="1972">
        <f t="shared" si="1"/>
        <v>565.20000000000005</v>
      </c>
      <c r="I7" s="1971">
        <v>1070</v>
      </c>
      <c r="J7" s="1972">
        <f t="shared" ref="J7:J11" si="4">18.82*I7</f>
        <v>20137.400000000001</v>
      </c>
      <c r="K7" s="1971">
        <v>140</v>
      </c>
      <c r="L7" s="1972">
        <f t="shared" ref="L7:L11" si="5">28.2368*K7</f>
        <v>3953.152</v>
      </c>
      <c r="M7" s="1971"/>
      <c r="N7" s="1972">
        <f t="shared" ref="N7:N11" si="6">M7*47.6525</f>
        <v>0</v>
      </c>
      <c r="O7" s="1971"/>
      <c r="P7" s="1972">
        <f t="shared" ref="P7:P11" si="7">O7*8.9</f>
        <v>0</v>
      </c>
      <c r="Q7" s="1972"/>
      <c r="R7" s="1972">
        <f t="shared" ref="R7:R11" si="8">241*Q7</f>
        <v>0</v>
      </c>
      <c r="S7" s="1971"/>
      <c r="T7" s="1971">
        <f t="shared" ref="T7:T9" si="9">470*S7</f>
        <v>0</v>
      </c>
      <c r="U7" s="1971"/>
      <c r="V7" s="1971">
        <f t="shared" ref="V7:V11" si="10">332*U7</f>
        <v>0</v>
      </c>
      <c r="W7" s="1971"/>
      <c r="X7" s="19">
        <f t="shared" ref="X7:X11" si="11">W7*100</f>
        <v>0</v>
      </c>
      <c r="Y7" s="20">
        <f t="shared" si="2"/>
        <v>54499.832000000009</v>
      </c>
    </row>
    <row r="8" spans="1:25" ht="35.25" customHeight="1" x14ac:dyDescent="0.25">
      <c r="A8" s="12">
        <v>1967020280</v>
      </c>
      <c r="B8" s="1968" t="s">
        <v>427</v>
      </c>
      <c r="C8" s="1971">
        <v>26496</v>
      </c>
      <c r="D8" s="1972">
        <f t="shared" si="0"/>
        <v>25767.360000000001</v>
      </c>
      <c r="E8" s="1971"/>
      <c r="F8" s="1972">
        <f t="shared" si="3"/>
        <v>0</v>
      </c>
      <c r="G8" s="1971">
        <v>30</v>
      </c>
      <c r="H8" s="1972">
        <f t="shared" si="1"/>
        <v>847.80000000000007</v>
      </c>
      <c r="I8" s="1971">
        <v>560</v>
      </c>
      <c r="J8" s="1972">
        <f t="shared" si="4"/>
        <v>10539.2</v>
      </c>
      <c r="K8" s="1971"/>
      <c r="L8" s="1972">
        <f t="shared" si="5"/>
        <v>0</v>
      </c>
      <c r="M8" s="1971"/>
      <c r="N8" s="1972">
        <f t="shared" si="6"/>
        <v>0</v>
      </c>
      <c r="O8" s="1971"/>
      <c r="P8" s="1972">
        <f t="shared" si="7"/>
        <v>0</v>
      </c>
      <c r="Q8" s="1972"/>
      <c r="R8" s="1972">
        <f t="shared" si="8"/>
        <v>0</v>
      </c>
      <c r="S8" s="1971"/>
      <c r="T8" s="1971">
        <f t="shared" si="9"/>
        <v>0</v>
      </c>
      <c r="U8" s="1971">
        <v>2</v>
      </c>
      <c r="V8" s="1971">
        <f t="shared" si="10"/>
        <v>664</v>
      </c>
      <c r="W8" s="1971"/>
      <c r="X8" s="19">
        <f t="shared" si="11"/>
        <v>0</v>
      </c>
      <c r="Y8" s="20">
        <f t="shared" si="2"/>
        <v>37818.36</v>
      </c>
    </row>
    <row r="9" spans="1:25" ht="38.25" customHeight="1" x14ac:dyDescent="0.25">
      <c r="A9" s="12">
        <v>1984225580</v>
      </c>
      <c r="B9" s="1968" t="s">
        <v>74</v>
      </c>
      <c r="C9" s="1971">
        <v>24459</v>
      </c>
      <c r="D9" s="1972">
        <f t="shared" si="0"/>
        <v>23786.377500000002</v>
      </c>
      <c r="E9" s="1971"/>
      <c r="F9" s="1972">
        <f t="shared" si="3"/>
        <v>0</v>
      </c>
      <c r="G9" s="1971">
        <v>30</v>
      </c>
      <c r="H9" s="1972">
        <f t="shared" si="1"/>
        <v>847.80000000000007</v>
      </c>
      <c r="I9" s="1971">
        <v>860</v>
      </c>
      <c r="J9" s="1972">
        <f t="shared" si="4"/>
        <v>16185.2</v>
      </c>
      <c r="K9" s="1971"/>
      <c r="L9" s="1972">
        <f t="shared" si="5"/>
        <v>0</v>
      </c>
      <c r="M9" s="1971"/>
      <c r="N9" s="1972">
        <f t="shared" si="6"/>
        <v>0</v>
      </c>
      <c r="O9" s="1971"/>
      <c r="P9" s="1972">
        <f t="shared" si="7"/>
        <v>0</v>
      </c>
      <c r="Q9" s="1972"/>
      <c r="R9" s="1972">
        <f t="shared" si="8"/>
        <v>0</v>
      </c>
      <c r="S9" s="1971"/>
      <c r="T9" s="1971">
        <f t="shared" si="9"/>
        <v>0</v>
      </c>
      <c r="U9" s="1971"/>
      <c r="V9" s="1971">
        <f t="shared" si="10"/>
        <v>0</v>
      </c>
      <c r="W9" s="1971"/>
      <c r="X9" s="19">
        <f t="shared" si="11"/>
        <v>0</v>
      </c>
      <c r="Y9" s="20">
        <f t="shared" si="2"/>
        <v>40819.377500000002</v>
      </c>
    </row>
    <row r="10" spans="1:25" ht="35.25" customHeight="1" x14ac:dyDescent="0.25">
      <c r="A10" s="12">
        <v>1409935199</v>
      </c>
      <c r="C10" s="1971"/>
      <c r="D10" s="1972">
        <f t="shared" si="0"/>
        <v>0</v>
      </c>
      <c r="E10" s="1971"/>
      <c r="F10" s="1972">
        <f t="shared" si="3"/>
        <v>0</v>
      </c>
      <c r="G10" s="1971"/>
      <c r="H10" s="1972">
        <f t="shared" si="1"/>
        <v>0</v>
      </c>
      <c r="I10" s="1971"/>
      <c r="J10" s="1972">
        <f t="shared" si="4"/>
        <v>0</v>
      </c>
      <c r="K10" s="1971"/>
      <c r="L10" s="1972">
        <f t="shared" si="5"/>
        <v>0</v>
      </c>
      <c r="M10" s="1971"/>
      <c r="N10" s="1972">
        <f t="shared" si="6"/>
        <v>0</v>
      </c>
      <c r="O10" s="1971"/>
      <c r="P10" s="1972">
        <f t="shared" si="7"/>
        <v>0</v>
      </c>
      <c r="Q10" s="1972"/>
      <c r="R10" s="1972">
        <f t="shared" si="8"/>
        <v>0</v>
      </c>
      <c r="S10" s="1971"/>
      <c r="T10" s="1971">
        <f>341*S10</f>
        <v>0</v>
      </c>
      <c r="U10" s="1971"/>
      <c r="V10" s="1971">
        <f t="shared" si="10"/>
        <v>0</v>
      </c>
      <c r="W10" s="1971"/>
      <c r="X10" s="19">
        <f t="shared" si="11"/>
        <v>0</v>
      </c>
      <c r="Y10" s="20">
        <f t="shared" si="2"/>
        <v>0</v>
      </c>
    </row>
    <row r="11" spans="1:25" ht="37.5" customHeight="1" x14ac:dyDescent="0.25">
      <c r="A11" s="12"/>
      <c r="B11" s="1970"/>
      <c r="C11" s="1971"/>
      <c r="D11" s="1972">
        <f t="shared" si="0"/>
        <v>0</v>
      </c>
      <c r="E11" s="1971"/>
      <c r="F11" s="1972">
        <f t="shared" si="3"/>
        <v>0</v>
      </c>
      <c r="G11" s="1971"/>
      <c r="H11" s="1972">
        <f t="shared" si="1"/>
        <v>0</v>
      </c>
      <c r="I11" s="1971"/>
      <c r="J11" s="1972">
        <f t="shared" si="4"/>
        <v>0</v>
      </c>
      <c r="K11" s="1971"/>
      <c r="L11" s="1972">
        <f t="shared" si="5"/>
        <v>0</v>
      </c>
      <c r="M11" s="1971"/>
      <c r="N11" s="1972">
        <f t="shared" si="6"/>
        <v>0</v>
      </c>
      <c r="O11" s="1971"/>
      <c r="P11" s="1972">
        <f t="shared" si="7"/>
        <v>0</v>
      </c>
      <c r="Q11" s="1972"/>
      <c r="R11" s="1972">
        <f t="shared" si="8"/>
        <v>0</v>
      </c>
      <c r="S11" s="1971"/>
      <c r="T11" s="1971">
        <f>241*S11</f>
        <v>0</v>
      </c>
      <c r="U11" s="1971"/>
      <c r="V11" s="1971">
        <f t="shared" si="10"/>
        <v>0</v>
      </c>
      <c r="W11" s="1971"/>
      <c r="X11" s="19">
        <f t="shared" si="11"/>
        <v>0</v>
      </c>
      <c r="Y11" s="20">
        <f t="shared" si="2"/>
        <v>0</v>
      </c>
    </row>
    <row r="12" spans="1:25" ht="29.25" customHeight="1" x14ac:dyDescent="0.25">
      <c r="A12" s="2235" t="s">
        <v>31</v>
      </c>
      <c r="B12" s="2235"/>
      <c r="C12" s="18">
        <f t="shared" ref="C12:X12" si="12">SUM(C6:C11)</f>
        <v>115261</v>
      </c>
      <c r="D12" s="18">
        <f t="shared" si="12"/>
        <v>112091.32250000001</v>
      </c>
      <c r="E12" s="18">
        <f t="shared" si="12"/>
        <v>0</v>
      </c>
      <c r="F12" s="18">
        <f t="shared" si="12"/>
        <v>0</v>
      </c>
      <c r="G12" s="18">
        <f t="shared" si="12"/>
        <v>80</v>
      </c>
      <c r="H12" s="18">
        <f t="shared" si="12"/>
        <v>2260.8000000000002</v>
      </c>
      <c r="I12" s="18">
        <f t="shared" si="12"/>
        <v>2770</v>
      </c>
      <c r="J12" s="18">
        <f t="shared" si="12"/>
        <v>52131.399999999994</v>
      </c>
      <c r="K12" s="18">
        <f t="shared" si="12"/>
        <v>210</v>
      </c>
      <c r="L12" s="18">
        <f t="shared" si="12"/>
        <v>5929.7280000000001</v>
      </c>
      <c r="M12" s="18">
        <f t="shared" si="12"/>
        <v>0</v>
      </c>
      <c r="N12" s="23">
        <f t="shared" si="12"/>
        <v>0</v>
      </c>
      <c r="O12" s="18">
        <f t="shared" si="12"/>
        <v>0</v>
      </c>
      <c r="P12" s="23">
        <f t="shared" si="12"/>
        <v>0</v>
      </c>
      <c r="Q12" s="23">
        <f t="shared" si="12"/>
        <v>0</v>
      </c>
      <c r="R12" s="23">
        <f>SUM(R6:R11)</f>
        <v>0</v>
      </c>
      <c r="S12" s="23">
        <f>SUM(S6:S11)</f>
        <v>0</v>
      </c>
      <c r="T12" s="18">
        <f t="shared" si="12"/>
        <v>0</v>
      </c>
      <c r="U12" s="18">
        <f t="shared" si="12"/>
        <v>6</v>
      </c>
      <c r="V12" s="18">
        <f t="shared" si="12"/>
        <v>1992</v>
      </c>
      <c r="W12" s="18">
        <f t="shared" si="12"/>
        <v>0</v>
      </c>
      <c r="X12" s="18">
        <f t="shared" si="12"/>
        <v>0</v>
      </c>
      <c r="Y12" s="20">
        <f t="shared" si="2"/>
        <v>174405.25050000002</v>
      </c>
    </row>
    <row r="14" spans="1:25" ht="43.5" customHeight="1" x14ac:dyDescent="0.25">
      <c r="A14" s="30" t="s">
        <v>32</v>
      </c>
      <c r="B14" s="2236" t="s">
        <v>27</v>
      </c>
      <c r="C14" s="2236"/>
      <c r="D14" s="30" t="s">
        <v>543</v>
      </c>
      <c r="E14" s="30" t="s">
        <v>65</v>
      </c>
      <c r="F14" s="30" t="s">
        <v>34</v>
      </c>
      <c r="G14" s="30" t="s">
        <v>14</v>
      </c>
      <c r="H14" s="469" t="s">
        <v>173</v>
      </c>
      <c r="I14" s="30" t="s">
        <v>17</v>
      </c>
      <c r="J14" s="1976" t="s">
        <v>174</v>
      </c>
      <c r="K14" s="30" t="s">
        <v>36</v>
      </c>
      <c r="L14" s="1976" t="s">
        <v>403</v>
      </c>
      <c r="M14" s="1976" t="s">
        <v>549</v>
      </c>
      <c r="N14" s="30" t="s">
        <v>442</v>
      </c>
      <c r="O14" s="1976" t="s">
        <v>114</v>
      </c>
      <c r="P14" s="30" t="s">
        <v>70</v>
      </c>
      <c r="Q14" s="2300" t="s">
        <v>479</v>
      </c>
      <c r="R14" s="2301"/>
      <c r="S14" s="1976" t="s">
        <v>401</v>
      </c>
      <c r="T14" s="2235" t="s">
        <v>46</v>
      </c>
      <c r="U14" s="1968" t="s">
        <v>176</v>
      </c>
      <c r="V14" s="2260">
        <v>30118</v>
      </c>
      <c r="W14" s="2268"/>
      <c r="X14" s="2261"/>
    </row>
    <row r="15" spans="1:25" ht="22.5" customHeight="1" x14ac:dyDescent="0.25">
      <c r="A15" s="100" t="s">
        <v>38</v>
      </c>
      <c r="B15" s="2260">
        <v>427888</v>
      </c>
      <c r="C15" s="2261"/>
      <c r="D15" s="1973">
        <v>320</v>
      </c>
      <c r="E15" s="1973">
        <v>80</v>
      </c>
      <c r="F15" s="1973">
        <v>4350</v>
      </c>
      <c r="G15" s="1973">
        <v>1720</v>
      </c>
      <c r="H15" s="1973">
        <v>38</v>
      </c>
      <c r="I15" s="1973">
        <v>20</v>
      </c>
      <c r="J15" s="1973">
        <v>4</v>
      </c>
      <c r="K15" s="1973">
        <v>69</v>
      </c>
      <c r="L15" s="1973">
        <v>0</v>
      </c>
      <c r="M15" s="1973">
        <v>15</v>
      </c>
      <c r="N15" s="1973">
        <v>0</v>
      </c>
      <c r="O15" s="1973">
        <v>0</v>
      </c>
      <c r="P15" s="1973">
        <v>100</v>
      </c>
      <c r="Q15" s="2260">
        <v>10</v>
      </c>
      <c r="R15" s="2261"/>
      <c r="S15" s="1968">
        <v>2</v>
      </c>
      <c r="T15" s="2235"/>
      <c r="U15" s="1968" t="s">
        <v>64</v>
      </c>
      <c r="V15" s="2262">
        <v>14634</v>
      </c>
      <c r="W15" s="2262"/>
      <c r="X15" s="2262"/>
    </row>
    <row r="16" spans="1:25" ht="24.75" customHeight="1" x14ac:dyDescent="0.25">
      <c r="A16" s="100" t="s">
        <v>39</v>
      </c>
      <c r="B16" s="2260">
        <v>59018</v>
      </c>
      <c r="C16" s="2261"/>
      <c r="D16" s="1973"/>
      <c r="E16" s="1973"/>
      <c r="F16" s="1973"/>
      <c r="G16" s="1973">
        <v>2000</v>
      </c>
      <c r="H16" s="1973"/>
      <c r="I16" s="1973">
        <v>100</v>
      </c>
      <c r="J16" s="1973"/>
      <c r="K16" s="1973"/>
      <c r="L16" s="1973"/>
      <c r="M16" s="1973"/>
      <c r="N16" s="1973"/>
      <c r="O16" s="1973"/>
      <c r="P16" s="1973"/>
      <c r="Q16" s="2262"/>
      <c r="R16" s="2262"/>
      <c r="S16" s="1973"/>
      <c r="T16" s="2254" t="s">
        <v>55</v>
      </c>
      <c r="U16" s="2254"/>
      <c r="V16" s="2267">
        <f>Y12</f>
        <v>174405.25050000002</v>
      </c>
      <c r="W16" s="2267"/>
      <c r="X16" s="2262"/>
    </row>
    <row r="17" spans="1:25" ht="28.5" customHeight="1" x14ac:dyDescent="0.25">
      <c r="A17" s="101" t="s">
        <v>44</v>
      </c>
      <c r="B17" s="2260"/>
      <c r="C17" s="2261"/>
      <c r="D17" s="1973"/>
      <c r="E17" s="1973"/>
      <c r="F17" s="1973"/>
      <c r="G17" s="1973"/>
      <c r="H17" s="1973"/>
      <c r="I17" s="1973"/>
      <c r="J17" s="1973"/>
      <c r="K17" s="1973"/>
      <c r="L17" s="1973"/>
      <c r="M17" s="1973"/>
      <c r="N17" s="1973"/>
      <c r="O17" s="1973"/>
      <c r="P17" s="1973"/>
      <c r="Q17" s="2225"/>
      <c r="R17" s="2225"/>
      <c r="S17" s="1970"/>
      <c r="T17" s="2294" t="s">
        <v>521</v>
      </c>
      <c r="U17" s="2295"/>
      <c r="V17" s="2296"/>
      <c r="W17" s="2296"/>
      <c r="X17" s="2296"/>
    </row>
    <row r="18" spans="1:25" ht="27" customHeight="1" x14ac:dyDescent="0.25">
      <c r="A18" s="100" t="s">
        <v>40</v>
      </c>
      <c r="B18" s="2264">
        <f>C12</f>
        <v>115261</v>
      </c>
      <c r="C18" s="2261"/>
      <c r="D18" s="1974">
        <f>E12</f>
        <v>0</v>
      </c>
      <c r="E18" s="1974">
        <f>G12</f>
        <v>80</v>
      </c>
      <c r="F18" s="1974">
        <f>I12</f>
        <v>2770</v>
      </c>
      <c r="G18" s="1974">
        <f>K12</f>
        <v>210</v>
      </c>
      <c r="H18" s="1973"/>
      <c r="I18" s="1974">
        <f>U12</f>
        <v>6</v>
      </c>
      <c r="J18" s="1973"/>
      <c r="K18" s="1974">
        <f>W12</f>
        <v>0</v>
      </c>
      <c r="L18" s="1973"/>
      <c r="M18" s="1974"/>
      <c r="N18" s="1974">
        <f>O12</f>
        <v>0</v>
      </c>
      <c r="O18" s="1975">
        <f>Q12</f>
        <v>0</v>
      </c>
      <c r="P18" s="1974"/>
      <c r="Q18" s="2262"/>
      <c r="R18" s="2262"/>
      <c r="S18" s="1968"/>
      <c r="T18" s="2254" t="s">
        <v>57</v>
      </c>
      <c r="U18" s="2254"/>
      <c r="V18" s="2262">
        <v>1530</v>
      </c>
      <c r="W18" s="2262"/>
      <c r="X18" s="2262"/>
      <c r="Y18" s="2269"/>
    </row>
    <row r="19" spans="1:25" ht="25.5" customHeight="1" x14ac:dyDescent="0.25">
      <c r="A19" s="100" t="s">
        <v>41</v>
      </c>
      <c r="B19" s="2260">
        <f>B15+B16+B17-B18</f>
        <v>371645</v>
      </c>
      <c r="C19" s="2261"/>
      <c r="D19" s="1973">
        <f>D15+D16+D17-D18</f>
        <v>320</v>
      </c>
      <c r="E19" s="1973">
        <f t="shared" ref="E19:N19" si="13">E15+E16+E17-E18</f>
        <v>0</v>
      </c>
      <c r="F19" s="1973">
        <f t="shared" si="13"/>
        <v>1580</v>
      </c>
      <c r="G19" s="1973">
        <f t="shared" si="13"/>
        <v>3510</v>
      </c>
      <c r="H19" s="1973">
        <f t="shared" si="13"/>
        <v>38</v>
      </c>
      <c r="I19" s="1973">
        <f t="shared" si="13"/>
        <v>114</v>
      </c>
      <c r="J19" s="1973">
        <f t="shared" si="13"/>
        <v>4</v>
      </c>
      <c r="K19" s="1973">
        <f t="shared" si="13"/>
        <v>69</v>
      </c>
      <c r="L19" s="1973">
        <f t="shared" si="13"/>
        <v>0</v>
      </c>
      <c r="M19" s="1973">
        <f t="shared" si="13"/>
        <v>15</v>
      </c>
      <c r="N19" s="1973">
        <f t="shared" si="13"/>
        <v>0</v>
      </c>
      <c r="O19" s="1973">
        <f>O15+O16+O17-O18</f>
        <v>0</v>
      </c>
      <c r="P19" s="1973">
        <f t="shared" ref="P19:Q19" si="14">P15+P16+P17-P18</f>
        <v>100</v>
      </c>
      <c r="Q19" s="2260">
        <f t="shared" si="14"/>
        <v>10</v>
      </c>
      <c r="R19" s="2261"/>
      <c r="S19" s="1968">
        <f>S15+S16-S17-S18</f>
        <v>2</v>
      </c>
      <c r="T19" s="2256" t="s">
        <v>48</v>
      </c>
      <c r="U19" s="49" t="s">
        <v>58</v>
      </c>
      <c r="V19" s="2262"/>
      <c r="W19" s="2262"/>
      <c r="X19" s="2262"/>
      <c r="Y19" s="2269"/>
    </row>
    <row r="20" spans="1:25" ht="23.25" customHeight="1" x14ac:dyDescent="0.25">
      <c r="A20" s="289" t="s">
        <v>187</v>
      </c>
      <c r="B20" s="2286">
        <f>B19*0.9625</f>
        <v>357708.3125</v>
      </c>
      <c r="C20" s="2287"/>
      <c r="D20" s="290">
        <f>D19*19.48</f>
        <v>6233.6</v>
      </c>
      <c r="E20" s="290">
        <f>27.97*E19</f>
        <v>0</v>
      </c>
      <c r="F20" s="290">
        <f>18.63*F19</f>
        <v>29435.399999999998</v>
      </c>
      <c r="G20" s="290">
        <f>27.9468*G19</f>
        <v>98093.267999999996</v>
      </c>
      <c r="H20" s="290">
        <f>241*H19</f>
        <v>9158</v>
      </c>
      <c r="I20" s="290">
        <f>323*I19</f>
        <v>36822</v>
      </c>
      <c r="J20" s="290">
        <f>241*J19</f>
        <v>964</v>
      </c>
      <c r="K20" s="290">
        <f>K19*100</f>
        <v>6900</v>
      </c>
      <c r="L20" s="290">
        <f>241*L19</f>
        <v>0</v>
      </c>
      <c r="M20" s="290">
        <f>470*M19</f>
        <v>7050</v>
      </c>
      <c r="N20" s="290">
        <f>N19*8.81</f>
        <v>0</v>
      </c>
      <c r="O20" s="290">
        <f>241*O19</f>
        <v>0</v>
      </c>
      <c r="P20" s="290">
        <f>P19*48.2</f>
        <v>4820</v>
      </c>
      <c r="Q20" s="2286">
        <f>470*Q19</f>
        <v>4700</v>
      </c>
      <c r="R20" s="2287"/>
      <c r="S20" s="290">
        <f>341*S19</f>
        <v>682</v>
      </c>
      <c r="T20" s="2257"/>
      <c r="U20" s="49" t="s">
        <v>59</v>
      </c>
      <c r="V20" s="2262">
        <v>35000</v>
      </c>
      <c r="W20" s="2262"/>
      <c r="X20" s="2262"/>
      <c r="Y20" s="2269"/>
    </row>
    <row r="21" spans="1:25" ht="32.25" customHeight="1" x14ac:dyDescent="0.25">
      <c r="A21" s="291" t="s">
        <v>186</v>
      </c>
      <c r="B21" s="2302">
        <f>SUM(B20:S20)</f>
        <v>562566.58049999992</v>
      </c>
      <c r="C21" s="2302"/>
      <c r="T21" s="2294" t="s">
        <v>569</v>
      </c>
      <c r="U21" s="2295"/>
      <c r="V21" s="2297">
        <v>140000</v>
      </c>
      <c r="W21" s="2298"/>
      <c r="X21" s="2299"/>
      <c r="Y21" s="2269"/>
    </row>
    <row r="22" spans="1:25" ht="35.25" customHeight="1" x14ac:dyDescent="0.25">
      <c r="A22" s="1911"/>
      <c r="B22" s="2288" t="s">
        <v>49</v>
      </c>
      <c r="C22" s="2291"/>
      <c r="D22" s="2291"/>
      <c r="E22" s="2291">
        <v>110000</v>
      </c>
      <c r="F22" s="2291">
        <f>C22-D22+E22</f>
        <v>110000</v>
      </c>
      <c r="T22" s="2251" t="s">
        <v>83</v>
      </c>
      <c r="U22" s="50" t="s">
        <v>60</v>
      </c>
      <c r="V22" s="2262">
        <v>173230</v>
      </c>
      <c r="W22" s="2262"/>
      <c r="X22" s="2262"/>
      <c r="Y22" s="2269"/>
    </row>
    <row r="23" spans="1:25" ht="39.75" customHeight="1" x14ac:dyDescent="0.25">
      <c r="B23" s="2289"/>
      <c r="C23" s="2292"/>
      <c r="D23" s="2292"/>
      <c r="E23" s="2292"/>
      <c r="F23" s="2292"/>
      <c r="T23" s="2252"/>
      <c r="U23" s="50" t="s">
        <v>61</v>
      </c>
      <c r="V23" s="2262">
        <v>175000</v>
      </c>
      <c r="W23" s="2262"/>
      <c r="X23" s="2262"/>
      <c r="Y23" s="2269"/>
    </row>
    <row r="24" spans="1:25" ht="48" customHeight="1" x14ac:dyDescent="0.25">
      <c r="B24" s="2290"/>
      <c r="C24" s="290" t="s">
        <v>46</v>
      </c>
      <c r="D24" s="290" t="s">
        <v>50</v>
      </c>
      <c r="E24" s="290" t="s">
        <v>51</v>
      </c>
      <c r="F24" s="290" t="s">
        <v>52</v>
      </c>
      <c r="T24" s="2235" t="s">
        <v>47</v>
      </c>
      <c r="U24" s="51" t="s">
        <v>62</v>
      </c>
      <c r="V24" s="2263">
        <f>V14+V16+V17-V18-V19-V20-V22+V23-V21</f>
        <v>29763.250500000024</v>
      </c>
      <c r="W24" s="2263"/>
      <c r="X24" s="2263"/>
      <c r="Y24" s="2269"/>
    </row>
    <row r="25" spans="1:25" ht="40.5" customHeight="1" x14ac:dyDescent="0.25">
      <c r="T25" s="2235"/>
      <c r="U25" s="51" t="s">
        <v>63</v>
      </c>
      <c r="V25" s="2262">
        <f>V15+V22-V23</f>
        <v>12864</v>
      </c>
      <c r="W25" s="2262"/>
      <c r="X25" s="2262"/>
    </row>
    <row r="26" spans="1:25" ht="36" customHeight="1" x14ac:dyDescent="0.25">
      <c r="K26" s="314"/>
    </row>
    <row r="28" spans="1:25" x14ac:dyDescent="0.25">
      <c r="J28" s="14" t="s">
        <v>139</v>
      </c>
    </row>
    <row r="32" spans="1:25" x14ac:dyDescent="0.25">
      <c r="I32" s="2280"/>
      <c r="J32" s="2280"/>
      <c r="K32" s="2280"/>
      <c r="L32" s="2280"/>
    </row>
    <row r="33" spans="9:12" x14ac:dyDescent="0.25">
      <c r="I33" s="1977"/>
      <c r="J33" s="1977"/>
      <c r="K33" s="2280"/>
      <c r="L33" s="2280"/>
    </row>
  </sheetData>
  <mergeCells count="62">
    <mergeCell ref="I32:J32"/>
    <mergeCell ref="K32:L32"/>
    <mergeCell ref="K33:L33"/>
    <mergeCell ref="T22:T23"/>
    <mergeCell ref="V22:X22"/>
    <mergeCell ref="V23:X23"/>
    <mergeCell ref="T24:T25"/>
    <mergeCell ref="V24:X24"/>
    <mergeCell ref="V25:X25"/>
    <mergeCell ref="Y18:Y24"/>
    <mergeCell ref="B19:C19"/>
    <mergeCell ref="Q19:R19"/>
    <mergeCell ref="T19:T20"/>
    <mergeCell ref="V19:X19"/>
    <mergeCell ref="B20:C20"/>
    <mergeCell ref="B22:B24"/>
    <mergeCell ref="C22:C23"/>
    <mergeCell ref="D22:D23"/>
    <mergeCell ref="E22:E23"/>
    <mergeCell ref="F22:F23"/>
    <mergeCell ref="Q20:R20"/>
    <mergeCell ref="V20:X20"/>
    <mergeCell ref="B21:C21"/>
    <mergeCell ref="T21:U21"/>
    <mergeCell ref="V21:X21"/>
    <mergeCell ref="B17:C17"/>
    <mergeCell ref="Q17:R17"/>
    <mergeCell ref="T17:U17"/>
    <mergeCell ref="V17:X17"/>
    <mergeCell ref="B18:C18"/>
    <mergeCell ref="Q18:R18"/>
    <mergeCell ref="T18:U18"/>
    <mergeCell ref="V18:X18"/>
    <mergeCell ref="W4:X4"/>
    <mergeCell ref="B16:C16"/>
    <mergeCell ref="Q16:R16"/>
    <mergeCell ref="T16:U16"/>
    <mergeCell ref="V16:X16"/>
    <mergeCell ref="A12:B12"/>
    <mergeCell ref="B14:C14"/>
    <mergeCell ref="Q14:R14"/>
    <mergeCell ref="T14:T15"/>
    <mergeCell ref="V14:X14"/>
    <mergeCell ref="B15:C15"/>
    <mergeCell ref="Q15:R15"/>
    <mergeCell ref="V15:X15"/>
    <mergeCell ref="A1:Y1"/>
    <mergeCell ref="A2:Y2"/>
    <mergeCell ref="T3:Y3"/>
    <mergeCell ref="A4:A5"/>
    <mergeCell ref="B4:B5"/>
    <mergeCell ref="C4:D4"/>
    <mergeCell ref="E4:F4"/>
    <mergeCell ref="G4:H4"/>
    <mergeCell ref="I4:J4"/>
    <mergeCell ref="K4:L4"/>
    <mergeCell ref="Y4:Y5"/>
    <mergeCell ref="M4:N4"/>
    <mergeCell ref="O4:P4"/>
    <mergeCell ref="Q4:R4"/>
    <mergeCell ref="S4:T4"/>
    <mergeCell ref="U4:V4"/>
  </mergeCells>
  <pageMargins left="0.15748031496063" right="0.15748031496063" top="0" bottom="0" header="0" footer="0"/>
  <pageSetup paperSize="9" scale="46" orientation="landscape" r:id="rId1"/>
  <legacyDrawing r:id="rId2"/>
</worksheet>
</file>

<file path=xl/worksheets/sheet3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4F6F7F7-6BC2-4CD4-98B0-F38A5AAD28A9}">
  <sheetPr>
    <pageSetUpPr fitToPage="1"/>
  </sheetPr>
  <dimension ref="A1:Y33"/>
  <sheetViews>
    <sheetView topLeftCell="A4" zoomScale="70" zoomScaleNormal="70" zoomScaleSheetLayoutView="100" zoomScalePageLayoutView="68" workbookViewId="0">
      <selection activeCell="N23" sqref="N23"/>
    </sheetView>
  </sheetViews>
  <sheetFormatPr defaultColWidth="9.140625" defaultRowHeight="15" x14ac:dyDescent="0.25"/>
  <cols>
    <col min="1" max="1" width="18.28515625" style="14" customWidth="1"/>
    <col min="2" max="2" width="10.7109375" style="14" customWidth="1"/>
    <col min="3" max="3" width="12.28515625" style="14" customWidth="1"/>
    <col min="4" max="4" width="13.140625" style="14" bestFit="1" customWidth="1"/>
    <col min="5" max="5" width="12" style="14" customWidth="1"/>
    <col min="6" max="6" width="14" style="14" bestFit="1" customWidth="1"/>
    <col min="7" max="7" width="16" style="14" bestFit="1" customWidth="1"/>
    <col min="8" max="8" width="10.140625" style="14" bestFit="1" customWidth="1"/>
    <col min="9" max="9" width="10.5703125" style="14" bestFit="1" customWidth="1"/>
    <col min="10" max="10" width="10.5703125" style="14" customWidth="1"/>
    <col min="11" max="11" width="10.28515625" style="14" bestFit="1" customWidth="1"/>
    <col min="12" max="12" width="10.42578125" style="14" bestFit="1" customWidth="1"/>
    <col min="13" max="14" width="12" style="14" bestFit="1" customWidth="1"/>
    <col min="15" max="15" width="11" style="14" customWidth="1"/>
    <col min="16" max="16" width="12.85546875" style="14" bestFit="1" customWidth="1"/>
    <col min="17" max="18" width="9.42578125" style="14" customWidth="1"/>
    <col min="19" max="19" width="13.7109375" style="14" customWidth="1"/>
    <col min="20" max="20" width="12.140625" style="14" customWidth="1"/>
    <col min="21" max="21" width="21.7109375" style="14" customWidth="1"/>
    <col min="22" max="22" width="9.85546875" style="14" customWidth="1"/>
    <col min="23" max="23" width="10.140625" style="14" bestFit="1" customWidth="1"/>
    <col min="24" max="24" width="10.28515625" style="14" customWidth="1"/>
    <col min="25" max="25" width="15.7109375" style="14" customWidth="1"/>
    <col min="26" max="16384" width="9.140625" style="14"/>
  </cols>
  <sheetData>
    <row r="1" spans="1:25" ht="46.15" customHeight="1" x14ac:dyDescent="0.25">
      <c r="A1" s="2240" t="s">
        <v>148</v>
      </c>
      <c r="B1" s="2240"/>
      <c r="C1" s="2240"/>
      <c r="D1" s="2240"/>
      <c r="E1" s="2240"/>
      <c r="F1" s="2240"/>
      <c r="G1" s="2240"/>
      <c r="H1" s="2240"/>
      <c r="I1" s="2240"/>
      <c r="J1" s="2240"/>
      <c r="K1" s="2240"/>
      <c r="L1" s="2240"/>
      <c r="M1" s="2240"/>
      <c r="N1" s="2240"/>
      <c r="O1" s="2240"/>
      <c r="P1" s="2240"/>
      <c r="Q1" s="2240"/>
      <c r="R1" s="2240"/>
      <c r="S1" s="2240"/>
      <c r="T1" s="2240"/>
      <c r="U1" s="2240"/>
      <c r="V1" s="2240"/>
      <c r="W1" s="2240"/>
      <c r="X1" s="2240"/>
      <c r="Y1" s="2240"/>
    </row>
    <row r="2" spans="1:25" ht="21.6" customHeight="1" x14ac:dyDescent="0.25">
      <c r="A2" s="2241" t="s">
        <v>383</v>
      </c>
      <c r="B2" s="2241"/>
      <c r="C2" s="2241"/>
      <c r="D2" s="2241"/>
      <c r="E2" s="2241"/>
      <c r="F2" s="2241"/>
      <c r="G2" s="2241"/>
      <c r="H2" s="2241"/>
      <c r="I2" s="2241"/>
      <c r="J2" s="2241"/>
      <c r="K2" s="2241"/>
      <c r="L2" s="2241"/>
      <c r="M2" s="2241"/>
      <c r="N2" s="2241"/>
      <c r="O2" s="2241"/>
      <c r="P2" s="2241"/>
      <c r="Q2" s="2241"/>
      <c r="R2" s="2241"/>
      <c r="S2" s="2241"/>
      <c r="T2" s="2241"/>
      <c r="U2" s="2241"/>
      <c r="V2" s="2241"/>
      <c r="W2" s="2241"/>
      <c r="X2" s="2241"/>
      <c r="Y2" s="2241"/>
    </row>
    <row r="3" spans="1:25" ht="21" customHeight="1" x14ac:dyDescent="0.25">
      <c r="A3" s="1978"/>
      <c r="B3" s="1978"/>
      <c r="C3" s="1978"/>
      <c r="D3" s="1978"/>
      <c r="E3" s="1978"/>
      <c r="F3" s="1978"/>
      <c r="G3" s="1978"/>
      <c r="H3" s="1978"/>
      <c r="I3" s="1978"/>
      <c r="J3" s="1978"/>
      <c r="K3" s="1978"/>
      <c r="L3" s="1978"/>
      <c r="M3" s="1978"/>
      <c r="N3" s="1978"/>
      <c r="O3" s="1978"/>
      <c r="P3" s="1978"/>
      <c r="Q3" s="1978"/>
      <c r="R3" s="1978"/>
      <c r="S3" s="1978"/>
      <c r="T3" s="2242" t="s">
        <v>570</v>
      </c>
      <c r="U3" s="2242"/>
      <c r="V3" s="2242"/>
      <c r="W3" s="2242"/>
      <c r="X3" s="2242"/>
      <c r="Y3" s="2242"/>
    </row>
    <row r="4" spans="1:25" s="1978" customFormat="1" ht="18" customHeight="1" x14ac:dyDescent="0.25">
      <c r="A4" s="2243" t="s">
        <v>25</v>
      </c>
      <c r="B4" s="2243" t="s">
        <v>26</v>
      </c>
      <c r="C4" s="2244" t="s">
        <v>27</v>
      </c>
      <c r="D4" s="2244"/>
      <c r="E4" s="2244" t="s">
        <v>544</v>
      </c>
      <c r="F4" s="2244"/>
      <c r="G4" s="2244" t="s">
        <v>65</v>
      </c>
      <c r="H4" s="2244"/>
      <c r="I4" s="2244" t="s">
        <v>29</v>
      </c>
      <c r="J4" s="2244"/>
      <c r="K4" s="2245" t="s">
        <v>14</v>
      </c>
      <c r="L4" s="2246"/>
      <c r="M4" s="2245" t="s">
        <v>429</v>
      </c>
      <c r="N4" s="2246"/>
      <c r="O4" s="2245" t="s">
        <v>441</v>
      </c>
      <c r="P4" s="2246"/>
      <c r="Q4" s="2245" t="s">
        <v>114</v>
      </c>
      <c r="R4" s="2246"/>
      <c r="S4" s="2244" t="s">
        <v>35</v>
      </c>
      <c r="T4" s="2244"/>
      <c r="U4" s="2245" t="s">
        <v>17</v>
      </c>
      <c r="V4" s="2246"/>
      <c r="W4" s="2247" t="s">
        <v>36</v>
      </c>
      <c r="X4" s="2248"/>
      <c r="Y4" s="2238" t="s">
        <v>30</v>
      </c>
    </row>
    <row r="5" spans="1:25" s="1978" customFormat="1" ht="25.5" customHeight="1" x14ac:dyDescent="0.25">
      <c r="A5" s="2243"/>
      <c r="B5" s="2243"/>
      <c r="C5" s="1980" t="s">
        <v>42</v>
      </c>
      <c r="D5" s="1980" t="s">
        <v>43</v>
      </c>
      <c r="E5" s="1980" t="s">
        <v>42</v>
      </c>
      <c r="F5" s="1980" t="s">
        <v>43</v>
      </c>
      <c r="G5" s="1980" t="s">
        <v>42</v>
      </c>
      <c r="H5" s="1980" t="s">
        <v>43</v>
      </c>
      <c r="I5" s="1980" t="s">
        <v>42</v>
      </c>
      <c r="J5" s="1980" t="s">
        <v>43</v>
      </c>
      <c r="K5" s="1980" t="s">
        <v>42</v>
      </c>
      <c r="L5" s="1980" t="s">
        <v>43</v>
      </c>
      <c r="M5" s="1980" t="s">
        <v>42</v>
      </c>
      <c r="N5" s="1980" t="s">
        <v>43</v>
      </c>
      <c r="O5" s="1980" t="s">
        <v>42</v>
      </c>
      <c r="P5" s="1980" t="s">
        <v>43</v>
      </c>
      <c r="Q5" s="1980" t="s">
        <v>42</v>
      </c>
      <c r="R5" s="1980" t="s">
        <v>43</v>
      </c>
      <c r="S5" s="33" t="s">
        <v>42</v>
      </c>
      <c r="T5" s="33" t="s">
        <v>43</v>
      </c>
      <c r="U5" s="30" t="s">
        <v>42</v>
      </c>
      <c r="V5" s="30" t="s">
        <v>43</v>
      </c>
      <c r="W5" s="30" t="s">
        <v>42</v>
      </c>
      <c r="X5" s="30" t="s">
        <v>43</v>
      </c>
      <c r="Y5" s="2239"/>
    </row>
    <row r="6" spans="1:25" ht="34.5" customHeight="1" x14ac:dyDescent="0.25">
      <c r="A6" s="12">
        <v>1409935200</v>
      </c>
      <c r="B6" s="1979" t="s">
        <v>71</v>
      </c>
      <c r="C6" s="1982">
        <v>32260</v>
      </c>
      <c r="D6" s="1983">
        <f t="shared" ref="D6:D11" si="0">0.9725*C6</f>
        <v>31372.850000000002</v>
      </c>
      <c r="E6" s="1982"/>
      <c r="F6" s="1983">
        <f>19.68*E6</f>
        <v>0</v>
      </c>
      <c r="G6" s="1982"/>
      <c r="H6" s="1983">
        <f t="shared" ref="H6:H11" si="1">28.26*G6</f>
        <v>0</v>
      </c>
      <c r="I6" s="1982">
        <v>150</v>
      </c>
      <c r="J6" s="1983">
        <f>18.82*I6</f>
        <v>2823</v>
      </c>
      <c r="K6" s="1982">
        <v>20</v>
      </c>
      <c r="L6" s="1983">
        <f>28.25*K6</f>
        <v>565</v>
      </c>
      <c r="M6" s="1982"/>
      <c r="N6" s="1983">
        <f>M6*47.6525</f>
        <v>0</v>
      </c>
      <c r="O6" s="1982"/>
      <c r="P6" s="1983">
        <f>O6*8.9</f>
        <v>0</v>
      </c>
      <c r="Q6" s="1983"/>
      <c r="R6" s="1983">
        <f>241*Q6</f>
        <v>0</v>
      </c>
      <c r="S6" s="1982"/>
      <c r="T6" s="1982">
        <f>470*S6</f>
        <v>0</v>
      </c>
      <c r="U6" s="1982"/>
      <c r="V6" s="1982">
        <f>332*U6</f>
        <v>0</v>
      </c>
      <c r="W6" s="1982">
        <v>1</v>
      </c>
      <c r="X6" s="19">
        <f>W6*100</f>
        <v>100</v>
      </c>
      <c r="Y6" s="20">
        <f t="shared" ref="Y6:Y12" si="2">D6+F6+H6+J6+L6+N6+P6+R6+T6+V6+X6</f>
        <v>34860.850000000006</v>
      </c>
    </row>
    <row r="7" spans="1:25" ht="36.75" customHeight="1" x14ac:dyDescent="0.25">
      <c r="A7" s="12">
        <v>1984225578</v>
      </c>
      <c r="B7" s="1979" t="s">
        <v>509</v>
      </c>
      <c r="C7" s="1982">
        <v>26948</v>
      </c>
      <c r="D7" s="1983">
        <f t="shared" si="0"/>
        <v>26206.93</v>
      </c>
      <c r="E7" s="1982"/>
      <c r="F7" s="1983">
        <f t="shared" ref="F7:F11" si="3">19.68*E7</f>
        <v>0</v>
      </c>
      <c r="G7" s="1982"/>
      <c r="H7" s="1983">
        <f t="shared" si="1"/>
        <v>0</v>
      </c>
      <c r="I7" s="1982">
        <v>290</v>
      </c>
      <c r="J7" s="1983">
        <f t="shared" ref="J7:J11" si="4">18.82*I7</f>
        <v>5457.8</v>
      </c>
      <c r="K7" s="1982"/>
      <c r="L7" s="1983">
        <f t="shared" ref="L7:L11" si="5">28.25*K7</f>
        <v>0</v>
      </c>
      <c r="M7" s="1982"/>
      <c r="N7" s="1983">
        <f t="shared" ref="N7:N11" si="6">M7*47.6525</f>
        <v>0</v>
      </c>
      <c r="O7" s="1982"/>
      <c r="P7" s="1983">
        <f t="shared" ref="P7:P11" si="7">O7*8.9</f>
        <v>0</v>
      </c>
      <c r="Q7" s="1983"/>
      <c r="R7" s="1983">
        <f t="shared" ref="R7:R11" si="8">241*Q7</f>
        <v>0</v>
      </c>
      <c r="S7" s="1982"/>
      <c r="T7" s="1982">
        <f t="shared" ref="T7:T9" si="9">470*S7</f>
        <v>0</v>
      </c>
      <c r="U7" s="1982">
        <v>10</v>
      </c>
      <c r="V7" s="1982">
        <f t="shared" ref="V7:V11" si="10">332*U7</f>
        <v>3320</v>
      </c>
      <c r="W7" s="1982"/>
      <c r="X7" s="19">
        <f t="shared" ref="X7:X11" si="11">W7*100</f>
        <v>0</v>
      </c>
      <c r="Y7" s="20">
        <f t="shared" si="2"/>
        <v>34984.729999999996</v>
      </c>
    </row>
    <row r="8" spans="1:25" ht="35.25" customHeight="1" x14ac:dyDescent="0.25">
      <c r="A8" s="12">
        <v>1967020280</v>
      </c>
      <c r="B8" s="1979" t="s">
        <v>427</v>
      </c>
      <c r="C8" s="1982">
        <v>27453</v>
      </c>
      <c r="D8" s="1983">
        <f t="shared" si="0"/>
        <v>26698.0425</v>
      </c>
      <c r="E8" s="1982"/>
      <c r="F8" s="1983">
        <f t="shared" si="3"/>
        <v>0</v>
      </c>
      <c r="G8" s="1982"/>
      <c r="H8" s="1983">
        <f t="shared" si="1"/>
        <v>0</v>
      </c>
      <c r="I8" s="1982">
        <v>500</v>
      </c>
      <c r="J8" s="1983">
        <f t="shared" si="4"/>
        <v>9410</v>
      </c>
      <c r="K8" s="1982"/>
      <c r="L8" s="1983">
        <f t="shared" si="5"/>
        <v>0</v>
      </c>
      <c r="M8" s="1982"/>
      <c r="N8" s="1983">
        <f t="shared" si="6"/>
        <v>0</v>
      </c>
      <c r="O8" s="1982"/>
      <c r="P8" s="1983">
        <f t="shared" si="7"/>
        <v>0</v>
      </c>
      <c r="Q8" s="1983"/>
      <c r="R8" s="1983">
        <f t="shared" si="8"/>
        <v>0</v>
      </c>
      <c r="S8" s="1982"/>
      <c r="T8" s="1982">
        <f t="shared" si="9"/>
        <v>0</v>
      </c>
      <c r="U8" s="1982"/>
      <c r="V8" s="1982">
        <f t="shared" si="10"/>
        <v>0</v>
      </c>
      <c r="W8" s="1982"/>
      <c r="X8" s="19">
        <f t="shared" si="11"/>
        <v>0</v>
      </c>
      <c r="Y8" s="20">
        <f t="shared" si="2"/>
        <v>36108.042499999996</v>
      </c>
    </row>
    <row r="9" spans="1:25" ht="38.25" customHeight="1" x14ac:dyDescent="0.25">
      <c r="A9" s="12">
        <v>1984225580</v>
      </c>
      <c r="B9" s="1979" t="s">
        <v>74</v>
      </c>
      <c r="C9" s="1982">
        <v>32809</v>
      </c>
      <c r="D9" s="1983">
        <f t="shared" si="0"/>
        <v>31906.752500000002</v>
      </c>
      <c r="E9" s="1982"/>
      <c r="F9" s="1983">
        <f t="shared" si="3"/>
        <v>0</v>
      </c>
      <c r="G9" s="1982"/>
      <c r="H9" s="1983">
        <f t="shared" si="1"/>
        <v>0</v>
      </c>
      <c r="I9" s="1982">
        <v>270</v>
      </c>
      <c r="J9" s="1983">
        <f t="shared" si="4"/>
        <v>5081.3999999999996</v>
      </c>
      <c r="K9" s="1982">
        <v>80</v>
      </c>
      <c r="L9" s="1983">
        <f t="shared" si="5"/>
        <v>2260</v>
      </c>
      <c r="M9" s="1982"/>
      <c r="N9" s="1983">
        <f t="shared" si="6"/>
        <v>0</v>
      </c>
      <c r="O9" s="1982"/>
      <c r="P9" s="1983">
        <f t="shared" si="7"/>
        <v>0</v>
      </c>
      <c r="Q9" s="1983"/>
      <c r="R9" s="1983">
        <f t="shared" si="8"/>
        <v>0</v>
      </c>
      <c r="S9" s="1982"/>
      <c r="T9" s="1982">
        <f t="shared" si="9"/>
        <v>0</v>
      </c>
      <c r="U9" s="1982"/>
      <c r="V9" s="1982">
        <f t="shared" si="10"/>
        <v>0</v>
      </c>
      <c r="W9" s="1982"/>
      <c r="X9" s="19">
        <f t="shared" si="11"/>
        <v>0</v>
      </c>
      <c r="Y9" s="20">
        <f t="shared" si="2"/>
        <v>39248.152500000004</v>
      </c>
    </row>
    <row r="10" spans="1:25" ht="35.25" customHeight="1" x14ac:dyDescent="0.25">
      <c r="A10" s="12">
        <v>1409935199</v>
      </c>
      <c r="C10" s="1982"/>
      <c r="D10" s="1983">
        <f t="shared" si="0"/>
        <v>0</v>
      </c>
      <c r="E10" s="1982"/>
      <c r="F10" s="1983">
        <f t="shared" si="3"/>
        <v>0</v>
      </c>
      <c r="G10" s="1982"/>
      <c r="H10" s="1983">
        <f t="shared" si="1"/>
        <v>0</v>
      </c>
      <c r="I10" s="1982"/>
      <c r="J10" s="1983">
        <f t="shared" si="4"/>
        <v>0</v>
      </c>
      <c r="K10" s="1982"/>
      <c r="L10" s="1983">
        <f t="shared" si="5"/>
        <v>0</v>
      </c>
      <c r="M10" s="1982"/>
      <c r="N10" s="1983">
        <f t="shared" si="6"/>
        <v>0</v>
      </c>
      <c r="O10" s="1982"/>
      <c r="P10" s="1983">
        <f t="shared" si="7"/>
        <v>0</v>
      </c>
      <c r="Q10" s="1983"/>
      <c r="R10" s="1983">
        <f t="shared" si="8"/>
        <v>0</v>
      </c>
      <c r="S10" s="1982">
        <v>2</v>
      </c>
      <c r="T10" s="1982">
        <f>341*S10</f>
        <v>682</v>
      </c>
      <c r="U10" s="1982"/>
      <c r="V10" s="1982">
        <f t="shared" si="10"/>
        <v>0</v>
      </c>
      <c r="W10" s="1982"/>
      <c r="X10" s="19">
        <f t="shared" si="11"/>
        <v>0</v>
      </c>
      <c r="Y10" s="20">
        <f t="shared" si="2"/>
        <v>682</v>
      </c>
    </row>
    <row r="11" spans="1:25" ht="37.5" customHeight="1" x14ac:dyDescent="0.25">
      <c r="A11" s="12"/>
      <c r="B11" s="1981"/>
      <c r="C11" s="1982"/>
      <c r="D11" s="1983">
        <f t="shared" si="0"/>
        <v>0</v>
      </c>
      <c r="E11" s="1982"/>
      <c r="F11" s="1983">
        <f t="shared" si="3"/>
        <v>0</v>
      </c>
      <c r="G11" s="1982"/>
      <c r="H11" s="1983">
        <f t="shared" si="1"/>
        <v>0</v>
      </c>
      <c r="I11" s="1982"/>
      <c r="J11" s="1983">
        <f t="shared" si="4"/>
        <v>0</v>
      </c>
      <c r="K11" s="1982"/>
      <c r="L11" s="1983">
        <f t="shared" si="5"/>
        <v>0</v>
      </c>
      <c r="M11" s="1982"/>
      <c r="N11" s="1983">
        <f t="shared" si="6"/>
        <v>0</v>
      </c>
      <c r="O11" s="1982"/>
      <c r="P11" s="1983">
        <f t="shared" si="7"/>
        <v>0</v>
      </c>
      <c r="Q11" s="1983"/>
      <c r="R11" s="1983">
        <f t="shared" si="8"/>
        <v>0</v>
      </c>
      <c r="S11" s="1982">
        <v>4</v>
      </c>
      <c r="T11" s="1982">
        <f>241*S11</f>
        <v>964</v>
      </c>
      <c r="U11" s="1982"/>
      <c r="V11" s="1982">
        <f t="shared" si="10"/>
        <v>0</v>
      </c>
      <c r="W11" s="1982"/>
      <c r="X11" s="19">
        <f t="shared" si="11"/>
        <v>0</v>
      </c>
      <c r="Y11" s="20">
        <f t="shared" si="2"/>
        <v>964</v>
      </c>
    </row>
    <row r="12" spans="1:25" ht="29.25" customHeight="1" x14ac:dyDescent="0.25">
      <c r="A12" s="2235" t="s">
        <v>31</v>
      </c>
      <c r="B12" s="2235"/>
      <c r="C12" s="18">
        <f t="shared" ref="C12:X12" si="12">SUM(C6:C11)</f>
        <v>119470</v>
      </c>
      <c r="D12" s="18">
        <f t="shared" si="12"/>
        <v>116184.575</v>
      </c>
      <c r="E12" s="18">
        <f t="shared" si="12"/>
        <v>0</v>
      </c>
      <c r="F12" s="18">
        <f t="shared" si="12"/>
        <v>0</v>
      </c>
      <c r="G12" s="18">
        <f t="shared" si="12"/>
        <v>0</v>
      </c>
      <c r="H12" s="18">
        <f t="shared" si="12"/>
        <v>0</v>
      </c>
      <c r="I12" s="18">
        <f t="shared" si="12"/>
        <v>1210</v>
      </c>
      <c r="J12" s="18">
        <f t="shared" si="12"/>
        <v>22772.199999999997</v>
      </c>
      <c r="K12" s="18">
        <f t="shared" si="12"/>
        <v>100</v>
      </c>
      <c r="L12" s="18">
        <f t="shared" si="12"/>
        <v>2825</v>
      </c>
      <c r="M12" s="18">
        <f t="shared" si="12"/>
        <v>0</v>
      </c>
      <c r="N12" s="23">
        <f t="shared" si="12"/>
        <v>0</v>
      </c>
      <c r="O12" s="18">
        <f t="shared" si="12"/>
        <v>0</v>
      </c>
      <c r="P12" s="23">
        <f t="shared" si="12"/>
        <v>0</v>
      </c>
      <c r="Q12" s="23">
        <f t="shared" si="12"/>
        <v>0</v>
      </c>
      <c r="R12" s="23">
        <f>SUM(R6:R11)</f>
        <v>0</v>
      </c>
      <c r="S12" s="23">
        <f>SUM(S6:S11)</f>
        <v>6</v>
      </c>
      <c r="T12" s="18">
        <f t="shared" si="12"/>
        <v>1646</v>
      </c>
      <c r="U12" s="18">
        <f t="shared" si="12"/>
        <v>10</v>
      </c>
      <c r="V12" s="18">
        <f t="shared" si="12"/>
        <v>3320</v>
      </c>
      <c r="W12" s="18">
        <f t="shared" si="12"/>
        <v>1</v>
      </c>
      <c r="X12" s="18">
        <f t="shared" si="12"/>
        <v>100</v>
      </c>
      <c r="Y12" s="20">
        <f t="shared" si="2"/>
        <v>146847.77499999999</v>
      </c>
    </row>
    <row r="14" spans="1:25" ht="43.5" customHeight="1" x14ac:dyDescent="0.25">
      <c r="A14" s="30" t="s">
        <v>32</v>
      </c>
      <c r="B14" s="2236" t="s">
        <v>27</v>
      </c>
      <c r="C14" s="2236"/>
      <c r="D14" s="30" t="s">
        <v>543</v>
      </c>
      <c r="E14" s="30" t="s">
        <v>65</v>
      </c>
      <c r="F14" s="30" t="s">
        <v>34</v>
      </c>
      <c r="G14" s="30" t="s">
        <v>14</v>
      </c>
      <c r="H14" s="469" t="s">
        <v>173</v>
      </c>
      <c r="I14" s="30" t="s">
        <v>17</v>
      </c>
      <c r="J14" s="1987" t="s">
        <v>174</v>
      </c>
      <c r="K14" s="30" t="s">
        <v>36</v>
      </c>
      <c r="L14" s="1987" t="s">
        <v>403</v>
      </c>
      <c r="M14" s="1987" t="s">
        <v>549</v>
      </c>
      <c r="N14" s="30" t="s">
        <v>442</v>
      </c>
      <c r="O14" s="1987" t="s">
        <v>114</v>
      </c>
      <c r="P14" s="30" t="s">
        <v>70</v>
      </c>
      <c r="Q14" s="2300" t="s">
        <v>479</v>
      </c>
      <c r="R14" s="2301"/>
      <c r="S14" s="1987" t="s">
        <v>401</v>
      </c>
      <c r="T14" s="2235" t="s">
        <v>46</v>
      </c>
      <c r="U14" s="1979" t="s">
        <v>176</v>
      </c>
      <c r="V14" s="2260">
        <v>29763</v>
      </c>
      <c r="W14" s="2268"/>
      <c r="X14" s="2261"/>
    </row>
    <row r="15" spans="1:25" ht="22.5" customHeight="1" x14ac:dyDescent="0.25">
      <c r="A15" s="100" t="s">
        <v>38</v>
      </c>
      <c r="B15" s="2260">
        <v>371645</v>
      </c>
      <c r="C15" s="2261"/>
      <c r="D15" s="1984">
        <v>320</v>
      </c>
      <c r="E15" s="1984">
        <v>0</v>
      </c>
      <c r="F15" s="1984">
        <v>1580</v>
      </c>
      <c r="G15" s="1984">
        <v>3510</v>
      </c>
      <c r="H15" s="1984">
        <v>38</v>
      </c>
      <c r="I15" s="1984">
        <v>114</v>
      </c>
      <c r="J15" s="1984">
        <v>4</v>
      </c>
      <c r="K15" s="1984">
        <v>69</v>
      </c>
      <c r="L15" s="1984">
        <v>0</v>
      </c>
      <c r="M15" s="1984">
        <v>15</v>
      </c>
      <c r="N15" s="1984">
        <v>0</v>
      </c>
      <c r="O15" s="1984">
        <v>0</v>
      </c>
      <c r="P15" s="1984">
        <v>100</v>
      </c>
      <c r="Q15" s="2260">
        <v>10</v>
      </c>
      <c r="R15" s="2261"/>
      <c r="S15" s="1979">
        <v>2</v>
      </c>
      <c r="T15" s="2235"/>
      <c r="U15" s="1979" t="s">
        <v>64</v>
      </c>
      <c r="V15" s="2262">
        <v>12864</v>
      </c>
      <c r="W15" s="2262"/>
      <c r="X15" s="2262"/>
    </row>
    <row r="16" spans="1:25" ht="24.75" customHeight="1" x14ac:dyDescent="0.25">
      <c r="A16" s="100" t="s">
        <v>39</v>
      </c>
      <c r="B16" s="2260">
        <v>110327</v>
      </c>
      <c r="C16" s="2261"/>
      <c r="D16" s="1984"/>
      <c r="E16" s="1984"/>
      <c r="F16" s="1984">
        <v>2000</v>
      </c>
      <c r="G16" s="1984"/>
      <c r="H16" s="1984"/>
      <c r="I16" s="1984"/>
      <c r="J16" s="1984"/>
      <c r="K16" s="1984">
        <v>25</v>
      </c>
      <c r="L16" s="1984"/>
      <c r="M16" s="1984">
        <v>15</v>
      </c>
      <c r="N16" s="1984"/>
      <c r="O16" s="1984"/>
      <c r="P16" s="1984"/>
      <c r="Q16" s="2262"/>
      <c r="R16" s="2262"/>
      <c r="S16" s="1984"/>
      <c r="T16" s="2254" t="s">
        <v>55</v>
      </c>
      <c r="U16" s="2254"/>
      <c r="V16" s="2267">
        <f>Y12</f>
        <v>146847.77499999999</v>
      </c>
      <c r="W16" s="2267"/>
      <c r="X16" s="2262"/>
    </row>
    <row r="17" spans="1:25" ht="28.5" customHeight="1" x14ac:dyDescent="0.25">
      <c r="A17" s="101" t="s">
        <v>44</v>
      </c>
      <c r="B17" s="2260">
        <v>2843</v>
      </c>
      <c r="C17" s="2261"/>
      <c r="D17" s="1984"/>
      <c r="E17" s="1984"/>
      <c r="F17" s="1984"/>
      <c r="G17" s="1984"/>
      <c r="H17" s="1984"/>
      <c r="I17" s="1984"/>
      <c r="J17" s="1984"/>
      <c r="K17" s="1984"/>
      <c r="L17" s="1984"/>
      <c r="M17" s="1984"/>
      <c r="N17" s="1984"/>
      <c r="O17" s="1984"/>
      <c r="P17" s="1984"/>
      <c r="Q17" s="2225"/>
      <c r="R17" s="2225"/>
      <c r="S17" s="1981"/>
      <c r="T17" s="2294" t="s">
        <v>571</v>
      </c>
      <c r="U17" s="2295"/>
      <c r="V17" s="2296">
        <v>20000</v>
      </c>
      <c r="W17" s="2296"/>
      <c r="X17" s="2296"/>
    </row>
    <row r="18" spans="1:25" ht="27" customHeight="1" x14ac:dyDescent="0.25">
      <c r="A18" s="100" t="s">
        <v>40</v>
      </c>
      <c r="B18" s="2264">
        <f>C12</f>
        <v>119470</v>
      </c>
      <c r="C18" s="2261"/>
      <c r="D18" s="1985">
        <f>E12</f>
        <v>0</v>
      </c>
      <c r="E18" s="1985">
        <f>G12</f>
        <v>0</v>
      </c>
      <c r="F18" s="1985">
        <f>I12</f>
        <v>1210</v>
      </c>
      <c r="G18" s="1985">
        <f>K12</f>
        <v>100</v>
      </c>
      <c r="H18" s="1984"/>
      <c r="I18" s="1985">
        <f>U12</f>
        <v>10</v>
      </c>
      <c r="J18" s="1984">
        <v>4</v>
      </c>
      <c r="K18" s="1985">
        <f>W12</f>
        <v>1</v>
      </c>
      <c r="L18" s="1984"/>
      <c r="M18" s="1985"/>
      <c r="N18" s="1985">
        <f>O12</f>
        <v>0</v>
      </c>
      <c r="O18" s="1986">
        <f>Q12</f>
        <v>0</v>
      </c>
      <c r="P18" s="1985"/>
      <c r="Q18" s="2262"/>
      <c r="R18" s="2262"/>
      <c r="S18" s="1979">
        <v>2</v>
      </c>
      <c r="T18" s="2254" t="s">
        <v>57</v>
      </c>
      <c r="U18" s="2254"/>
      <c r="V18" s="2262">
        <v>520</v>
      </c>
      <c r="W18" s="2262"/>
      <c r="X18" s="2262"/>
      <c r="Y18" s="2269"/>
    </row>
    <row r="19" spans="1:25" ht="25.5" customHeight="1" x14ac:dyDescent="0.25">
      <c r="A19" s="100" t="s">
        <v>41</v>
      </c>
      <c r="B19" s="2260">
        <f>B15+B16+B17-B18</f>
        <v>365345</v>
      </c>
      <c r="C19" s="2261"/>
      <c r="D19" s="1984">
        <f>D15+D16+D17-D18</f>
        <v>320</v>
      </c>
      <c r="E19" s="1984">
        <f t="shared" ref="E19:N19" si="13">E15+E16+E17-E18</f>
        <v>0</v>
      </c>
      <c r="F19" s="1984">
        <f t="shared" si="13"/>
        <v>2370</v>
      </c>
      <c r="G19" s="1984">
        <f t="shared" si="13"/>
        <v>3410</v>
      </c>
      <c r="H19" s="1984">
        <f t="shared" si="13"/>
        <v>38</v>
      </c>
      <c r="I19" s="1984">
        <f t="shared" si="13"/>
        <v>104</v>
      </c>
      <c r="J19" s="1984">
        <f t="shared" si="13"/>
        <v>0</v>
      </c>
      <c r="K19" s="1984">
        <f t="shared" si="13"/>
        <v>93</v>
      </c>
      <c r="L19" s="1984">
        <f t="shared" si="13"/>
        <v>0</v>
      </c>
      <c r="M19" s="1984">
        <f t="shared" si="13"/>
        <v>30</v>
      </c>
      <c r="N19" s="1984">
        <f t="shared" si="13"/>
        <v>0</v>
      </c>
      <c r="O19" s="1984">
        <f>O15+O16+O17-O18</f>
        <v>0</v>
      </c>
      <c r="P19" s="1984">
        <f t="shared" ref="P19:Q19" si="14">P15+P16+P17-P18</f>
        <v>100</v>
      </c>
      <c r="Q19" s="2260">
        <f t="shared" si="14"/>
        <v>10</v>
      </c>
      <c r="R19" s="2261"/>
      <c r="S19" s="1979">
        <f>S15+S16-S17-S18</f>
        <v>0</v>
      </c>
      <c r="T19" s="2256" t="s">
        <v>48</v>
      </c>
      <c r="U19" s="49" t="s">
        <v>58</v>
      </c>
      <c r="V19" s="2262">
        <v>110000</v>
      </c>
      <c r="W19" s="2262"/>
      <c r="X19" s="2262"/>
      <c r="Y19" s="2269"/>
    </row>
    <row r="20" spans="1:25" ht="23.25" customHeight="1" x14ac:dyDescent="0.25">
      <c r="A20" s="289" t="s">
        <v>187</v>
      </c>
      <c r="B20" s="2286">
        <f>B19*0.9625</f>
        <v>351644.5625</v>
      </c>
      <c r="C20" s="2287"/>
      <c r="D20" s="290">
        <f>D19*19.48</f>
        <v>6233.6</v>
      </c>
      <c r="E20" s="290">
        <f>27.97*E19</f>
        <v>0</v>
      </c>
      <c r="F20" s="290">
        <f>18.63*F19</f>
        <v>44153.1</v>
      </c>
      <c r="G20" s="290">
        <f>27.9468*G19</f>
        <v>95298.588000000003</v>
      </c>
      <c r="H20" s="290">
        <f>241*H19</f>
        <v>9158</v>
      </c>
      <c r="I20" s="290">
        <f>323*I19</f>
        <v>33592</v>
      </c>
      <c r="J20" s="290">
        <f>241*J19</f>
        <v>0</v>
      </c>
      <c r="K20" s="290">
        <f>K19*100</f>
        <v>9300</v>
      </c>
      <c r="L20" s="290">
        <f>241*L19</f>
        <v>0</v>
      </c>
      <c r="M20" s="290">
        <f>470*M19</f>
        <v>14100</v>
      </c>
      <c r="N20" s="290">
        <f>N19*8.81</f>
        <v>0</v>
      </c>
      <c r="O20" s="290">
        <f>241*O19</f>
        <v>0</v>
      </c>
      <c r="P20" s="290">
        <f>P19*48.2</f>
        <v>4820</v>
      </c>
      <c r="Q20" s="2286">
        <f>470*Q19</f>
        <v>4700</v>
      </c>
      <c r="R20" s="2287"/>
      <c r="S20" s="290">
        <f>341*S19</f>
        <v>0</v>
      </c>
      <c r="T20" s="2257"/>
      <c r="U20" s="49" t="s">
        <v>59</v>
      </c>
      <c r="V20" s="2262">
        <v>36000</v>
      </c>
      <c r="W20" s="2262"/>
      <c r="X20" s="2262"/>
      <c r="Y20" s="2269"/>
    </row>
    <row r="21" spans="1:25" ht="32.25" customHeight="1" x14ac:dyDescent="0.25">
      <c r="A21" s="291" t="s">
        <v>186</v>
      </c>
      <c r="B21" s="2302">
        <f>SUM(B20:S20)</f>
        <v>572999.85049999994</v>
      </c>
      <c r="C21" s="2302"/>
      <c r="T21" s="2294" t="s">
        <v>518</v>
      </c>
      <c r="U21" s="2295"/>
      <c r="V21" s="2297"/>
      <c r="W21" s="2298"/>
      <c r="X21" s="2299"/>
      <c r="Y21" s="2269"/>
    </row>
    <row r="22" spans="1:25" ht="35.25" customHeight="1" x14ac:dyDescent="0.25">
      <c r="A22" s="1911"/>
      <c r="B22" s="2288" t="s">
        <v>49</v>
      </c>
      <c r="C22" s="2291">
        <v>110000</v>
      </c>
      <c r="D22" s="2291">
        <v>110000</v>
      </c>
      <c r="E22" s="2291">
        <v>117000</v>
      </c>
      <c r="F22" s="2291">
        <f>C22-D22+E22</f>
        <v>117000</v>
      </c>
      <c r="T22" s="2251" t="s">
        <v>83</v>
      </c>
      <c r="U22" s="50" t="s">
        <v>60</v>
      </c>
      <c r="V22" s="2262">
        <v>145820</v>
      </c>
      <c r="W22" s="2262"/>
      <c r="X22" s="2262"/>
      <c r="Y22" s="2269"/>
    </row>
    <row r="23" spans="1:25" ht="39.75" customHeight="1" x14ac:dyDescent="0.25">
      <c r="B23" s="2289"/>
      <c r="C23" s="2292"/>
      <c r="D23" s="2292"/>
      <c r="E23" s="2292"/>
      <c r="F23" s="2292"/>
      <c r="T23" s="2252"/>
      <c r="U23" s="50" t="s">
        <v>61</v>
      </c>
      <c r="V23" s="2262">
        <v>146000</v>
      </c>
      <c r="W23" s="2262"/>
      <c r="X23" s="2262"/>
      <c r="Y23" s="2269"/>
    </row>
    <row r="24" spans="1:25" ht="48" customHeight="1" x14ac:dyDescent="0.25">
      <c r="B24" s="2290"/>
      <c r="C24" s="290" t="s">
        <v>46</v>
      </c>
      <c r="D24" s="290" t="s">
        <v>50</v>
      </c>
      <c r="E24" s="290" t="s">
        <v>51</v>
      </c>
      <c r="F24" s="290" t="s">
        <v>52</v>
      </c>
      <c r="T24" s="2235" t="s">
        <v>47</v>
      </c>
      <c r="U24" s="51" t="s">
        <v>62</v>
      </c>
      <c r="V24" s="2263">
        <f>V14+V16+V17-V18-V19-V20-V22+V23-V21</f>
        <v>50270.774999999994</v>
      </c>
      <c r="W24" s="2263"/>
      <c r="X24" s="2263"/>
      <c r="Y24" s="2269"/>
    </row>
    <row r="25" spans="1:25" ht="40.5" customHeight="1" x14ac:dyDescent="0.25">
      <c r="T25" s="2235"/>
      <c r="U25" s="51" t="s">
        <v>63</v>
      </c>
      <c r="V25" s="2262">
        <f>V15+V22-V23</f>
        <v>12684</v>
      </c>
      <c r="W25" s="2262"/>
      <c r="X25" s="2262"/>
    </row>
    <row r="26" spans="1:25" ht="36" customHeight="1" x14ac:dyDescent="0.25">
      <c r="K26" s="314"/>
    </row>
    <row r="28" spans="1:25" x14ac:dyDescent="0.25">
      <c r="J28" s="14" t="s">
        <v>139</v>
      </c>
    </row>
    <row r="32" spans="1:25" x14ac:dyDescent="0.25">
      <c r="I32" s="2280"/>
      <c r="J32" s="2280"/>
      <c r="K32" s="2280"/>
      <c r="L32" s="2280"/>
    </row>
    <row r="33" spans="9:12" x14ac:dyDescent="0.25">
      <c r="I33" s="1988"/>
      <c r="J33" s="1988"/>
      <c r="K33" s="2280"/>
      <c r="L33" s="2280"/>
    </row>
  </sheetData>
  <mergeCells count="62">
    <mergeCell ref="I32:J32"/>
    <mergeCell ref="K32:L32"/>
    <mergeCell ref="K33:L33"/>
    <mergeCell ref="T22:T23"/>
    <mergeCell ref="V22:X22"/>
    <mergeCell ref="V23:X23"/>
    <mergeCell ref="T24:T25"/>
    <mergeCell ref="V24:X24"/>
    <mergeCell ref="V25:X25"/>
    <mergeCell ref="Y18:Y24"/>
    <mergeCell ref="B19:C19"/>
    <mergeCell ref="Q19:R19"/>
    <mergeCell ref="T19:T20"/>
    <mergeCell ref="V19:X19"/>
    <mergeCell ref="B20:C20"/>
    <mergeCell ref="B22:B24"/>
    <mergeCell ref="C22:C23"/>
    <mergeCell ref="D22:D23"/>
    <mergeCell ref="E22:E23"/>
    <mergeCell ref="F22:F23"/>
    <mergeCell ref="Q20:R20"/>
    <mergeCell ref="V20:X20"/>
    <mergeCell ref="B21:C21"/>
    <mergeCell ref="T21:U21"/>
    <mergeCell ref="V21:X21"/>
    <mergeCell ref="B17:C17"/>
    <mergeCell ref="Q17:R17"/>
    <mergeCell ref="T17:U17"/>
    <mergeCell ref="V17:X17"/>
    <mergeCell ref="B18:C18"/>
    <mergeCell ref="Q18:R18"/>
    <mergeCell ref="T18:U18"/>
    <mergeCell ref="V18:X18"/>
    <mergeCell ref="W4:X4"/>
    <mergeCell ref="B16:C16"/>
    <mergeCell ref="Q16:R16"/>
    <mergeCell ref="T16:U16"/>
    <mergeCell ref="V16:X16"/>
    <mergeCell ref="A12:B12"/>
    <mergeCell ref="B14:C14"/>
    <mergeCell ref="Q14:R14"/>
    <mergeCell ref="T14:T15"/>
    <mergeCell ref="V14:X14"/>
    <mergeCell ref="B15:C15"/>
    <mergeCell ref="Q15:R15"/>
    <mergeCell ref="V15:X15"/>
    <mergeCell ref="A1:Y1"/>
    <mergeCell ref="A2:Y2"/>
    <mergeCell ref="T3:Y3"/>
    <mergeCell ref="A4:A5"/>
    <mergeCell ref="B4:B5"/>
    <mergeCell ref="C4:D4"/>
    <mergeCell ref="E4:F4"/>
    <mergeCell ref="G4:H4"/>
    <mergeCell ref="I4:J4"/>
    <mergeCell ref="K4:L4"/>
    <mergeCell ref="Y4:Y5"/>
    <mergeCell ref="M4:N4"/>
    <mergeCell ref="O4:P4"/>
    <mergeCell ref="Q4:R4"/>
    <mergeCell ref="S4:T4"/>
    <mergeCell ref="U4:V4"/>
  </mergeCells>
  <pageMargins left="0.15748031496063" right="0.15748031496063" top="0" bottom="0" header="0" footer="0"/>
  <pageSetup paperSize="9" scale="46" orientation="landscape" r:id="rId1"/>
</worksheet>
</file>

<file path=xl/worksheets/sheet3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C08EBCF-94B1-481D-BD2C-E4910C56A217}">
  <sheetPr>
    <pageSetUpPr fitToPage="1"/>
  </sheetPr>
  <dimension ref="A1:Y33"/>
  <sheetViews>
    <sheetView topLeftCell="A7" zoomScale="70" zoomScaleNormal="70" zoomScaleSheetLayoutView="100" zoomScalePageLayoutView="68" workbookViewId="0">
      <selection activeCell="E22" sqref="E22:E23"/>
    </sheetView>
  </sheetViews>
  <sheetFormatPr defaultColWidth="9.140625" defaultRowHeight="15" x14ac:dyDescent="0.25"/>
  <cols>
    <col min="1" max="1" width="18.28515625" style="14" customWidth="1"/>
    <col min="2" max="2" width="10.7109375" style="14" customWidth="1"/>
    <col min="3" max="3" width="12.28515625" style="14" customWidth="1"/>
    <col min="4" max="4" width="13.140625" style="14" bestFit="1" customWidth="1"/>
    <col min="5" max="5" width="12" style="14" customWidth="1"/>
    <col min="6" max="6" width="14" style="14" bestFit="1" customWidth="1"/>
    <col min="7" max="7" width="16" style="14" bestFit="1" customWidth="1"/>
    <col min="8" max="8" width="10.140625" style="14" bestFit="1" customWidth="1"/>
    <col min="9" max="9" width="10.5703125" style="14" bestFit="1" customWidth="1"/>
    <col min="10" max="10" width="10.5703125" style="14" customWidth="1"/>
    <col min="11" max="11" width="10.28515625" style="14" bestFit="1" customWidth="1"/>
    <col min="12" max="12" width="10.42578125" style="14" bestFit="1" customWidth="1"/>
    <col min="13" max="14" width="12" style="14" bestFit="1" customWidth="1"/>
    <col min="15" max="15" width="11" style="14" customWidth="1"/>
    <col min="16" max="16" width="12.85546875" style="14" bestFit="1" customWidth="1"/>
    <col min="17" max="18" width="9.42578125" style="14" customWidth="1"/>
    <col min="19" max="19" width="13.7109375" style="14" customWidth="1"/>
    <col min="20" max="20" width="12.140625" style="14" customWidth="1"/>
    <col min="21" max="21" width="21.7109375" style="14" customWidth="1"/>
    <col min="22" max="22" width="9.85546875" style="14" customWidth="1"/>
    <col min="23" max="23" width="10.140625" style="14" bestFit="1" customWidth="1"/>
    <col min="24" max="24" width="10.28515625" style="14" customWidth="1"/>
    <col min="25" max="25" width="15.7109375" style="14" customWidth="1"/>
    <col min="26" max="16384" width="9.140625" style="14"/>
  </cols>
  <sheetData>
    <row r="1" spans="1:25" ht="46.15" customHeight="1" x14ac:dyDescent="0.25">
      <c r="A1" s="2240" t="s">
        <v>148</v>
      </c>
      <c r="B1" s="2240"/>
      <c r="C1" s="2240"/>
      <c r="D1" s="2240"/>
      <c r="E1" s="2240"/>
      <c r="F1" s="2240"/>
      <c r="G1" s="2240"/>
      <c r="H1" s="2240"/>
      <c r="I1" s="2240"/>
      <c r="J1" s="2240"/>
      <c r="K1" s="2240"/>
      <c r="L1" s="2240"/>
      <c r="M1" s="2240"/>
      <c r="N1" s="2240"/>
      <c r="O1" s="2240"/>
      <c r="P1" s="2240"/>
      <c r="Q1" s="2240"/>
      <c r="R1" s="2240"/>
      <c r="S1" s="2240"/>
      <c r="T1" s="2240"/>
      <c r="U1" s="2240"/>
      <c r="V1" s="2240"/>
      <c r="W1" s="2240"/>
      <c r="X1" s="2240"/>
      <c r="Y1" s="2240"/>
    </row>
    <row r="2" spans="1:25" ht="21.6" customHeight="1" x14ac:dyDescent="0.25">
      <c r="A2" s="2241" t="s">
        <v>383</v>
      </c>
      <c r="B2" s="2241"/>
      <c r="C2" s="2241"/>
      <c r="D2" s="2241"/>
      <c r="E2" s="2241"/>
      <c r="F2" s="2241"/>
      <c r="G2" s="2241"/>
      <c r="H2" s="2241"/>
      <c r="I2" s="2241"/>
      <c r="J2" s="2241"/>
      <c r="K2" s="2241"/>
      <c r="L2" s="2241"/>
      <c r="M2" s="2241"/>
      <c r="N2" s="2241"/>
      <c r="O2" s="2241"/>
      <c r="P2" s="2241"/>
      <c r="Q2" s="2241"/>
      <c r="R2" s="2241"/>
      <c r="S2" s="2241"/>
      <c r="T2" s="2241"/>
      <c r="U2" s="2241"/>
      <c r="V2" s="2241"/>
      <c r="W2" s="2241"/>
      <c r="X2" s="2241"/>
      <c r="Y2" s="2241"/>
    </row>
    <row r="3" spans="1:25" ht="21" customHeight="1" x14ac:dyDescent="0.25">
      <c r="A3" s="1989"/>
      <c r="B3" s="1989"/>
      <c r="C3" s="1989"/>
      <c r="D3" s="1989"/>
      <c r="E3" s="1989"/>
      <c r="F3" s="1989"/>
      <c r="G3" s="1989"/>
      <c r="H3" s="1989"/>
      <c r="I3" s="1989"/>
      <c r="J3" s="1989"/>
      <c r="K3" s="1989"/>
      <c r="L3" s="1989"/>
      <c r="M3" s="1989"/>
      <c r="N3" s="1989"/>
      <c r="O3" s="1989"/>
      <c r="P3" s="1989"/>
      <c r="Q3" s="1989"/>
      <c r="R3" s="1989"/>
      <c r="S3" s="1989"/>
      <c r="T3" s="2242" t="s">
        <v>572</v>
      </c>
      <c r="U3" s="2242"/>
      <c r="V3" s="2242"/>
      <c r="W3" s="2242"/>
      <c r="X3" s="2242"/>
      <c r="Y3" s="2242"/>
    </row>
    <row r="4" spans="1:25" s="1989" customFormat="1" ht="18" customHeight="1" x14ac:dyDescent="0.25">
      <c r="A4" s="2243" t="s">
        <v>25</v>
      </c>
      <c r="B4" s="2243" t="s">
        <v>26</v>
      </c>
      <c r="C4" s="2244" t="s">
        <v>27</v>
      </c>
      <c r="D4" s="2244"/>
      <c r="E4" s="2244" t="s">
        <v>544</v>
      </c>
      <c r="F4" s="2244"/>
      <c r="G4" s="2244" t="s">
        <v>65</v>
      </c>
      <c r="H4" s="2244"/>
      <c r="I4" s="2244" t="s">
        <v>29</v>
      </c>
      <c r="J4" s="2244"/>
      <c r="K4" s="2245" t="s">
        <v>14</v>
      </c>
      <c r="L4" s="2246"/>
      <c r="M4" s="2245" t="s">
        <v>429</v>
      </c>
      <c r="N4" s="2246"/>
      <c r="O4" s="2245" t="s">
        <v>441</v>
      </c>
      <c r="P4" s="2246"/>
      <c r="Q4" s="2245" t="s">
        <v>114</v>
      </c>
      <c r="R4" s="2246"/>
      <c r="S4" s="2244" t="s">
        <v>35</v>
      </c>
      <c r="T4" s="2244"/>
      <c r="U4" s="2245" t="s">
        <v>17</v>
      </c>
      <c r="V4" s="2246"/>
      <c r="W4" s="2247" t="s">
        <v>36</v>
      </c>
      <c r="X4" s="2248"/>
      <c r="Y4" s="2238" t="s">
        <v>30</v>
      </c>
    </row>
    <row r="5" spans="1:25" s="1989" customFormat="1" ht="25.5" customHeight="1" x14ac:dyDescent="0.25">
      <c r="A5" s="2243"/>
      <c r="B5" s="2243"/>
      <c r="C5" s="1991" t="s">
        <v>42</v>
      </c>
      <c r="D5" s="1991" t="s">
        <v>43</v>
      </c>
      <c r="E5" s="1991" t="s">
        <v>42</v>
      </c>
      <c r="F5" s="1991" t="s">
        <v>43</v>
      </c>
      <c r="G5" s="1991" t="s">
        <v>42</v>
      </c>
      <c r="H5" s="1991" t="s">
        <v>43</v>
      </c>
      <c r="I5" s="1991" t="s">
        <v>42</v>
      </c>
      <c r="J5" s="1991" t="s">
        <v>43</v>
      </c>
      <c r="K5" s="1991" t="s">
        <v>42</v>
      </c>
      <c r="L5" s="1991" t="s">
        <v>43</v>
      </c>
      <c r="M5" s="1991" t="s">
        <v>42</v>
      </c>
      <c r="N5" s="1991" t="s">
        <v>43</v>
      </c>
      <c r="O5" s="1991" t="s">
        <v>42</v>
      </c>
      <c r="P5" s="1991" t="s">
        <v>43</v>
      </c>
      <c r="Q5" s="1991" t="s">
        <v>42</v>
      </c>
      <c r="R5" s="1991" t="s">
        <v>43</v>
      </c>
      <c r="S5" s="33" t="s">
        <v>42</v>
      </c>
      <c r="T5" s="33" t="s">
        <v>43</v>
      </c>
      <c r="U5" s="30" t="s">
        <v>42</v>
      </c>
      <c r="V5" s="30" t="s">
        <v>43</v>
      </c>
      <c r="W5" s="30" t="s">
        <v>42</v>
      </c>
      <c r="X5" s="30" t="s">
        <v>43</v>
      </c>
      <c r="Y5" s="2239"/>
    </row>
    <row r="6" spans="1:25" ht="34.5" customHeight="1" x14ac:dyDescent="0.25">
      <c r="A6" s="12">
        <v>1409935200</v>
      </c>
      <c r="B6" s="1990" t="s">
        <v>71</v>
      </c>
      <c r="C6" s="1993">
        <v>37106</v>
      </c>
      <c r="D6" s="1994">
        <f t="shared" ref="D6:D11" si="0">0.9725*C6</f>
        <v>36085.584999999999</v>
      </c>
      <c r="E6" s="1993"/>
      <c r="F6" s="1994">
        <f>19.68*E6</f>
        <v>0</v>
      </c>
      <c r="G6" s="1993"/>
      <c r="H6" s="1994">
        <f t="shared" ref="H6:H11" si="1">28.26*G6</f>
        <v>0</v>
      </c>
      <c r="I6" s="1993"/>
      <c r="J6" s="1994">
        <f>18.82*I6</f>
        <v>0</v>
      </c>
      <c r="K6" s="1993">
        <v>70</v>
      </c>
      <c r="L6" s="1994">
        <f>28.25*K6</f>
        <v>1977.5</v>
      </c>
      <c r="M6" s="1993"/>
      <c r="N6" s="1994">
        <f>M6*47.6525</f>
        <v>0</v>
      </c>
      <c r="O6" s="1993"/>
      <c r="P6" s="1994">
        <f>O6*8.9</f>
        <v>0</v>
      </c>
      <c r="Q6" s="1994"/>
      <c r="R6" s="1994">
        <f>241*Q6</f>
        <v>0</v>
      </c>
      <c r="S6" s="1993"/>
      <c r="T6" s="1993">
        <f>470*S6</f>
        <v>0</v>
      </c>
      <c r="U6" s="1993"/>
      <c r="V6" s="1993">
        <f>332*U6</f>
        <v>0</v>
      </c>
      <c r="W6" s="1993"/>
      <c r="X6" s="19">
        <f>W6*100</f>
        <v>0</v>
      </c>
      <c r="Y6" s="20">
        <f t="shared" ref="Y6:Y12" si="2">D6+F6+H6+J6+L6+N6+P6+R6+T6+V6+X6</f>
        <v>38063.084999999999</v>
      </c>
    </row>
    <row r="7" spans="1:25" ht="36.75" customHeight="1" x14ac:dyDescent="0.25">
      <c r="A7" s="12">
        <v>1984225578</v>
      </c>
      <c r="B7" s="1990" t="s">
        <v>509</v>
      </c>
      <c r="C7" s="1993">
        <v>25248</v>
      </c>
      <c r="D7" s="1994">
        <f t="shared" si="0"/>
        <v>24553.68</v>
      </c>
      <c r="E7" s="1993"/>
      <c r="F7" s="1994">
        <f t="shared" ref="F7:F11" si="3">19.68*E7</f>
        <v>0</v>
      </c>
      <c r="G7" s="1993"/>
      <c r="H7" s="1994">
        <f t="shared" si="1"/>
        <v>0</v>
      </c>
      <c r="I7" s="1993"/>
      <c r="J7" s="1994">
        <f t="shared" ref="J7:J11" si="4">18.82*I7</f>
        <v>0</v>
      </c>
      <c r="K7" s="1993"/>
      <c r="L7" s="1994">
        <f t="shared" ref="L7:L11" si="5">28.25*K7</f>
        <v>0</v>
      </c>
      <c r="M7" s="1993"/>
      <c r="N7" s="1994">
        <f t="shared" ref="N7:N11" si="6">M7*47.6525</f>
        <v>0</v>
      </c>
      <c r="O7" s="1993"/>
      <c r="P7" s="1994">
        <f t="shared" ref="P7:P11" si="7">O7*8.9</f>
        <v>0</v>
      </c>
      <c r="Q7" s="1994"/>
      <c r="R7" s="1994">
        <f t="shared" ref="R7:R11" si="8">241*Q7</f>
        <v>0</v>
      </c>
      <c r="S7" s="1993"/>
      <c r="T7" s="1993">
        <f t="shared" ref="T7:T9" si="9">470*S7</f>
        <v>0</v>
      </c>
      <c r="U7" s="1993"/>
      <c r="V7" s="1993">
        <f t="shared" ref="V7:V11" si="10">332*U7</f>
        <v>0</v>
      </c>
      <c r="W7" s="1993"/>
      <c r="X7" s="19">
        <f t="shared" ref="X7:X11" si="11">W7*100</f>
        <v>0</v>
      </c>
      <c r="Y7" s="20">
        <f t="shared" si="2"/>
        <v>24553.68</v>
      </c>
    </row>
    <row r="8" spans="1:25" ht="35.25" customHeight="1" x14ac:dyDescent="0.25">
      <c r="A8" s="12">
        <v>1967020280</v>
      </c>
      <c r="B8" s="1990" t="s">
        <v>427</v>
      </c>
      <c r="C8" s="1993">
        <v>31283</v>
      </c>
      <c r="D8" s="1994">
        <f t="shared" si="0"/>
        <v>30422.717500000002</v>
      </c>
      <c r="E8" s="1993"/>
      <c r="F8" s="1994">
        <f t="shared" si="3"/>
        <v>0</v>
      </c>
      <c r="G8" s="1993"/>
      <c r="H8" s="1994">
        <f t="shared" si="1"/>
        <v>0</v>
      </c>
      <c r="I8" s="1993"/>
      <c r="J8" s="1994">
        <f t="shared" si="4"/>
        <v>0</v>
      </c>
      <c r="K8" s="1993">
        <v>140</v>
      </c>
      <c r="L8" s="1994">
        <f t="shared" si="5"/>
        <v>3955</v>
      </c>
      <c r="M8" s="1993"/>
      <c r="N8" s="1994">
        <f t="shared" si="6"/>
        <v>0</v>
      </c>
      <c r="O8" s="1993"/>
      <c r="P8" s="1994">
        <f t="shared" si="7"/>
        <v>0</v>
      </c>
      <c r="Q8" s="1994"/>
      <c r="R8" s="1994">
        <f t="shared" si="8"/>
        <v>0</v>
      </c>
      <c r="S8" s="1993"/>
      <c r="T8" s="1993">
        <f t="shared" si="9"/>
        <v>0</v>
      </c>
      <c r="U8" s="1993"/>
      <c r="V8" s="1993">
        <f t="shared" si="10"/>
        <v>0</v>
      </c>
      <c r="W8" s="1993">
        <v>1</v>
      </c>
      <c r="X8" s="19">
        <f t="shared" si="11"/>
        <v>100</v>
      </c>
      <c r="Y8" s="20">
        <f t="shared" si="2"/>
        <v>34477.717499999999</v>
      </c>
    </row>
    <row r="9" spans="1:25" ht="38.25" customHeight="1" x14ac:dyDescent="0.25">
      <c r="A9" s="12">
        <v>1984225580</v>
      </c>
      <c r="B9" s="1990" t="s">
        <v>74</v>
      </c>
      <c r="C9" s="1993">
        <v>34124</v>
      </c>
      <c r="D9" s="1994">
        <f t="shared" si="0"/>
        <v>33185.590000000004</v>
      </c>
      <c r="E9" s="1993"/>
      <c r="F9" s="1994">
        <f t="shared" si="3"/>
        <v>0</v>
      </c>
      <c r="G9" s="1993"/>
      <c r="H9" s="1994">
        <f t="shared" si="1"/>
        <v>0</v>
      </c>
      <c r="I9" s="1993">
        <v>310</v>
      </c>
      <c r="J9" s="1994">
        <f t="shared" si="4"/>
        <v>5834.2</v>
      </c>
      <c r="K9" s="1993">
        <v>70</v>
      </c>
      <c r="L9" s="1994">
        <f t="shared" si="5"/>
        <v>1977.5</v>
      </c>
      <c r="M9" s="1993"/>
      <c r="N9" s="1994">
        <f t="shared" si="6"/>
        <v>0</v>
      </c>
      <c r="O9" s="1993"/>
      <c r="P9" s="1994">
        <f t="shared" si="7"/>
        <v>0</v>
      </c>
      <c r="Q9" s="1994"/>
      <c r="R9" s="1994">
        <f t="shared" si="8"/>
        <v>0</v>
      </c>
      <c r="S9" s="1993"/>
      <c r="T9" s="1993">
        <f t="shared" si="9"/>
        <v>0</v>
      </c>
      <c r="U9" s="1993"/>
      <c r="V9" s="1993">
        <f t="shared" si="10"/>
        <v>0</v>
      </c>
      <c r="W9" s="1993"/>
      <c r="X9" s="19">
        <f t="shared" si="11"/>
        <v>0</v>
      </c>
      <c r="Y9" s="20">
        <f t="shared" si="2"/>
        <v>40997.29</v>
      </c>
    </row>
    <row r="10" spans="1:25" ht="35.25" customHeight="1" x14ac:dyDescent="0.25">
      <c r="A10" s="12">
        <v>1409935199</v>
      </c>
      <c r="C10" s="1993"/>
      <c r="D10" s="1994">
        <f t="shared" si="0"/>
        <v>0</v>
      </c>
      <c r="E10" s="1993"/>
      <c r="F10" s="1994">
        <f t="shared" si="3"/>
        <v>0</v>
      </c>
      <c r="G10" s="1993"/>
      <c r="H10" s="1994">
        <f t="shared" si="1"/>
        <v>0</v>
      </c>
      <c r="I10" s="1993"/>
      <c r="J10" s="1994">
        <f t="shared" si="4"/>
        <v>0</v>
      </c>
      <c r="K10" s="1993"/>
      <c r="L10" s="1994">
        <f t="shared" si="5"/>
        <v>0</v>
      </c>
      <c r="M10" s="1993"/>
      <c r="N10" s="1994">
        <f t="shared" si="6"/>
        <v>0</v>
      </c>
      <c r="O10" s="1993"/>
      <c r="P10" s="1994">
        <f t="shared" si="7"/>
        <v>0</v>
      </c>
      <c r="Q10" s="1994"/>
      <c r="R10" s="1994">
        <f t="shared" si="8"/>
        <v>0</v>
      </c>
      <c r="S10" s="1993"/>
      <c r="T10" s="1993">
        <f>341*S10</f>
        <v>0</v>
      </c>
      <c r="U10" s="1993"/>
      <c r="V10" s="1993">
        <f t="shared" si="10"/>
        <v>0</v>
      </c>
      <c r="W10" s="1993"/>
      <c r="X10" s="19">
        <f t="shared" si="11"/>
        <v>0</v>
      </c>
      <c r="Y10" s="20">
        <f t="shared" si="2"/>
        <v>0</v>
      </c>
    </row>
    <row r="11" spans="1:25" ht="37.5" customHeight="1" x14ac:dyDescent="0.25">
      <c r="A11" s="12"/>
      <c r="B11" s="1992"/>
      <c r="C11" s="1993"/>
      <c r="D11" s="1994">
        <f t="shared" si="0"/>
        <v>0</v>
      </c>
      <c r="E11" s="1993"/>
      <c r="F11" s="1994">
        <f t="shared" si="3"/>
        <v>0</v>
      </c>
      <c r="G11" s="1993"/>
      <c r="H11" s="1994">
        <f t="shared" si="1"/>
        <v>0</v>
      </c>
      <c r="I11" s="1993"/>
      <c r="J11" s="1994">
        <f t="shared" si="4"/>
        <v>0</v>
      </c>
      <c r="K11" s="1993"/>
      <c r="L11" s="1994">
        <f t="shared" si="5"/>
        <v>0</v>
      </c>
      <c r="M11" s="1993"/>
      <c r="N11" s="1994">
        <f t="shared" si="6"/>
        <v>0</v>
      </c>
      <c r="O11" s="1993"/>
      <c r="P11" s="1994">
        <f t="shared" si="7"/>
        <v>0</v>
      </c>
      <c r="Q11" s="1994"/>
      <c r="R11" s="1994">
        <f t="shared" si="8"/>
        <v>0</v>
      </c>
      <c r="S11" s="1993"/>
      <c r="T11" s="1993">
        <f>241*S11</f>
        <v>0</v>
      </c>
      <c r="U11" s="1993"/>
      <c r="V11" s="1993">
        <f t="shared" si="10"/>
        <v>0</v>
      </c>
      <c r="W11" s="1993"/>
      <c r="X11" s="19">
        <f t="shared" si="11"/>
        <v>0</v>
      </c>
      <c r="Y11" s="20">
        <f t="shared" si="2"/>
        <v>0</v>
      </c>
    </row>
    <row r="12" spans="1:25" ht="29.25" customHeight="1" x14ac:dyDescent="0.25">
      <c r="A12" s="2235" t="s">
        <v>31</v>
      </c>
      <c r="B12" s="2235"/>
      <c r="C12" s="18">
        <f t="shared" ref="C12:X12" si="12">SUM(C6:C11)</f>
        <v>127761</v>
      </c>
      <c r="D12" s="18">
        <f t="shared" si="12"/>
        <v>124247.57250000001</v>
      </c>
      <c r="E12" s="18">
        <f t="shared" si="12"/>
        <v>0</v>
      </c>
      <c r="F12" s="18">
        <f t="shared" si="12"/>
        <v>0</v>
      </c>
      <c r="G12" s="18">
        <f t="shared" si="12"/>
        <v>0</v>
      </c>
      <c r="H12" s="18">
        <f t="shared" si="12"/>
        <v>0</v>
      </c>
      <c r="I12" s="18">
        <f t="shared" si="12"/>
        <v>310</v>
      </c>
      <c r="J12" s="18">
        <f t="shared" si="12"/>
        <v>5834.2</v>
      </c>
      <c r="K12" s="18">
        <f t="shared" si="12"/>
        <v>280</v>
      </c>
      <c r="L12" s="18">
        <f t="shared" si="12"/>
        <v>7910</v>
      </c>
      <c r="M12" s="18">
        <f t="shared" si="12"/>
        <v>0</v>
      </c>
      <c r="N12" s="23">
        <f t="shared" si="12"/>
        <v>0</v>
      </c>
      <c r="O12" s="18">
        <f t="shared" si="12"/>
        <v>0</v>
      </c>
      <c r="P12" s="23">
        <f t="shared" si="12"/>
        <v>0</v>
      </c>
      <c r="Q12" s="23">
        <f t="shared" si="12"/>
        <v>0</v>
      </c>
      <c r="R12" s="23">
        <f>SUM(R6:R11)</f>
        <v>0</v>
      </c>
      <c r="S12" s="23">
        <f>SUM(S6:S11)</f>
        <v>0</v>
      </c>
      <c r="T12" s="18">
        <f t="shared" si="12"/>
        <v>0</v>
      </c>
      <c r="U12" s="18">
        <f t="shared" si="12"/>
        <v>0</v>
      </c>
      <c r="V12" s="18">
        <f t="shared" si="12"/>
        <v>0</v>
      </c>
      <c r="W12" s="18">
        <f t="shared" si="12"/>
        <v>1</v>
      </c>
      <c r="X12" s="18">
        <f t="shared" si="12"/>
        <v>100</v>
      </c>
      <c r="Y12" s="20">
        <f t="shared" si="2"/>
        <v>138091.77250000002</v>
      </c>
    </row>
    <row r="14" spans="1:25" ht="43.5" customHeight="1" x14ac:dyDescent="0.25">
      <c r="A14" s="30" t="s">
        <v>32</v>
      </c>
      <c r="B14" s="2236" t="s">
        <v>27</v>
      </c>
      <c r="C14" s="2236"/>
      <c r="D14" s="30" t="s">
        <v>543</v>
      </c>
      <c r="E14" s="30" t="s">
        <v>65</v>
      </c>
      <c r="F14" s="30" t="s">
        <v>34</v>
      </c>
      <c r="G14" s="30" t="s">
        <v>14</v>
      </c>
      <c r="H14" s="469" t="s">
        <v>173</v>
      </c>
      <c r="I14" s="30" t="s">
        <v>17</v>
      </c>
      <c r="J14" s="1998" t="s">
        <v>174</v>
      </c>
      <c r="K14" s="30" t="s">
        <v>36</v>
      </c>
      <c r="L14" s="1998" t="s">
        <v>403</v>
      </c>
      <c r="M14" s="1998" t="s">
        <v>549</v>
      </c>
      <c r="N14" s="30" t="s">
        <v>442</v>
      </c>
      <c r="O14" s="1998" t="s">
        <v>114</v>
      </c>
      <c r="P14" s="30" t="s">
        <v>70</v>
      </c>
      <c r="Q14" s="2300" t="s">
        <v>479</v>
      </c>
      <c r="R14" s="2301"/>
      <c r="S14" s="1998" t="s">
        <v>401</v>
      </c>
      <c r="T14" s="2235" t="s">
        <v>46</v>
      </c>
      <c r="U14" s="1990" t="s">
        <v>176</v>
      </c>
      <c r="V14" s="2260">
        <v>50271</v>
      </c>
      <c r="W14" s="2268"/>
      <c r="X14" s="2261"/>
    </row>
    <row r="15" spans="1:25" ht="22.5" customHeight="1" x14ac:dyDescent="0.25">
      <c r="A15" s="100" t="s">
        <v>38</v>
      </c>
      <c r="B15" s="2260">
        <v>365345</v>
      </c>
      <c r="C15" s="2261"/>
      <c r="D15" s="1995">
        <v>320</v>
      </c>
      <c r="E15" s="1995">
        <v>0</v>
      </c>
      <c r="F15" s="1995">
        <v>2370</v>
      </c>
      <c r="G15" s="1995">
        <v>3410</v>
      </c>
      <c r="H15" s="1995">
        <v>38</v>
      </c>
      <c r="I15" s="1995">
        <v>104</v>
      </c>
      <c r="J15" s="1995"/>
      <c r="K15" s="1995">
        <v>93</v>
      </c>
      <c r="L15" s="1995">
        <v>0</v>
      </c>
      <c r="M15" s="1995">
        <v>30</v>
      </c>
      <c r="N15" s="1995">
        <v>0</v>
      </c>
      <c r="O15" s="1995">
        <v>0</v>
      </c>
      <c r="P15" s="1995">
        <v>100</v>
      </c>
      <c r="Q15" s="2260">
        <v>10</v>
      </c>
      <c r="R15" s="2261"/>
      <c r="S15" s="1990"/>
      <c r="T15" s="2235"/>
      <c r="U15" s="1990" t="s">
        <v>64</v>
      </c>
      <c r="V15" s="2262">
        <v>12684</v>
      </c>
      <c r="W15" s="2262"/>
      <c r="X15" s="2262"/>
    </row>
    <row r="16" spans="1:25" ht="24.75" customHeight="1" x14ac:dyDescent="0.25">
      <c r="A16" s="100" t="s">
        <v>39</v>
      </c>
      <c r="B16" s="2260"/>
      <c r="C16" s="2261"/>
      <c r="D16" s="1995"/>
      <c r="E16" s="1995"/>
      <c r="F16" s="1995"/>
      <c r="G16" s="1995"/>
      <c r="H16" s="1995"/>
      <c r="I16" s="1995"/>
      <c r="J16" s="1995"/>
      <c r="K16" s="1995"/>
      <c r="L16" s="1995"/>
      <c r="M16" s="1995"/>
      <c r="N16" s="1995"/>
      <c r="O16" s="1995"/>
      <c r="P16" s="1995"/>
      <c r="Q16" s="2262"/>
      <c r="R16" s="2262"/>
      <c r="S16" s="1995"/>
      <c r="T16" s="2254" t="s">
        <v>55</v>
      </c>
      <c r="U16" s="2254"/>
      <c r="V16" s="2267">
        <f>Y12</f>
        <v>138091.77250000002</v>
      </c>
      <c r="W16" s="2267"/>
      <c r="X16" s="2262"/>
    </row>
    <row r="17" spans="1:25" ht="28.5" customHeight="1" x14ac:dyDescent="0.25">
      <c r="A17" s="101" t="s">
        <v>44</v>
      </c>
      <c r="B17" s="2260"/>
      <c r="C17" s="2261"/>
      <c r="D17" s="1995"/>
      <c r="E17" s="1995"/>
      <c r="F17" s="1995"/>
      <c r="G17" s="1995"/>
      <c r="H17" s="1995"/>
      <c r="I17" s="1995"/>
      <c r="J17" s="1995"/>
      <c r="K17" s="1995"/>
      <c r="L17" s="1995"/>
      <c r="M17" s="1995"/>
      <c r="N17" s="1995"/>
      <c r="O17" s="1995"/>
      <c r="P17" s="1995"/>
      <c r="Q17" s="2225"/>
      <c r="R17" s="2225"/>
      <c r="S17" s="1992"/>
      <c r="T17" s="2294" t="s">
        <v>521</v>
      </c>
      <c r="U17" s="2295"/>
      <c r="V17" s="2296"/>
      <c r="W17" s="2296"/>
      <c r="X17" s="2296"/>
    </row>
    <row r="18" spans="1:25" ht="27" customHeight="1" x14ac:dyDescent="0.25">
      <c r="A18" s="100" t="s">
        <v>40</v>
      </c>
      <c r="B18" s="2264">
        <f>C12</f>
        <v>127761</v>
      </c>
      <c r="C18" s="2261"/>
      <c r="D18" s="1996">
        <f>E12</f>
        <v>0</v>
      </c>
      <c r="E18" s="1996">
        <f>G12</f>
        <v>0</v>
      </c>
      <c r="F18" s="1996">
        <f>I12</f>
        <v>310</v>
      </c>
      <c r="G18" s="1996">
        <f>K12</f>
        <v>280</v>
      </c>
      <c r="H18" s="1995"/>
      <c r="I18" s="1996">
        <f>U12</f>
        <v>0</v>
      </c>
      <c r="J18" s="1995"/>
      <c r="K18" s="1996">
        <f>W12</f>
        <v>1</v>
      </c>
      <c r="L18" s="1995"/>
      <c r="M18" s="1996"/>
      <c r="N18" s="1996">
        <f>O12</f>
        <v>0</v>
      </c>
      <c r="O18" s="1997">
        <f>Q12</f>
        <v>0</v>
      </c>
      <c r="P18" s="1996"/>
      <c r="Q18" s="2262"/>
      <c r="R18" s="2262"/>
      <c r="S18" s="1990"/>
      <c r="T18" s="2254" t="s">
        <v>57</v>
      </c>
      <c r="U18" s="2254"/>
      <c r="V18" s="2262">
        <v>620</v>
      </c>
      <c r="W18" s="2262"/>
      <c r="X18" s="2262"/>
      <c r="Y18" s="2269"/>
    </row>
    <row r="19" spans="1:25" ht="25.5" customHeight="1" x14ac:dyDescent="0.25">
      <c r="A19" s="100" t="s">
        <v>41</v>
      </c>
      <c r="B19" s="2260">
        <f>B15+B16+B17-B18</f>
        <v>237584</v>
      </c>
      <c r="C19" s="2261"/>
      <c r="D19" s="1995">
        <f>D15+D16+D17-D18</f>
        <v>320</v>
      </c>
      <c r="E19" s="1995">
        <f t="shared" ref="E19:N19" si="13">E15+E16+E17-E18</f>
        <v>0</v>
      </c>
      <c r="F19" s="1995">
        <f t="shared" si="13"/>
        <v>2060</v>
      </c>
      <c r="G19" s="1995">
        <f t="shared" si="13"/>
        <v>3130</v>
      </c>
      <c r="H19" s="1995">
        <f t="shared" si="13"/>
        <v>38</v>
      </c>
      <c r="I19" s="1995">
        <f t="shared" si="13"/>
        <v>104</v>
      </c>
      <c r="J19" s="1995">
        <f t="shared" si="13"/>
        <v>0</v>
      </c>
      <c r="K19" s="1995">
        <f t="shared" si="13"/>
        <v>92</v>
      </c>
      <c r="L19" s="1995">
        <f t="shared" si="13"/>
        <v>0</v>
      </c>
      <c r="M19" s="1995">
        <f t="shared" si="13"/>
        <v>30</v>
      </c>
      <c r="N19" s="1995">
        <f t="shared" si="13"/>
        <v>0</v>
      </c>
      <c r="O19" s="1995">
        <f>O15+O16+O17-O18</f>
        <v>0</v>
      </c>
      <c r="P19" s="1995">
        <f t="shared" ref="P19:Q19" si="14">P15+P16+P17-P18</f>
        <v>100</v>
      </c>
      <c r="Q19" s="2260">
        <f t="shared" si="14"/>
        <v>10</v>
      </c>
      <c r="R19" s="2261"/>
      <c r="S19" s="1990">
        <f>S15+S16-S17-S18</f>
        <v>0</v>
      </c>
      <c r="T19" s="2256" t="s">
        <v>48</v>
      </c>
      <c r="U19" s="49" t="s">
        <v>58</v>
      </c>
      <c r="V19" s="2262">
        <v>117000</v>
      </c>
      <c r="W19" s="2262"/>
      <c r="X19" s="2262"/>
      <c r="Y19" s="2269"/>
    </row>
    <row r="20" spans="1:25" ht="23.25" customHeight="1" x14ac:dyDescent="0.25">
      <c r="A20" s="289" t="s">
        <v>187</v>
      </c>
      <c r="B20" s="2286">
        <f>B19*0.9625</f>
        <v>228674.6</v>
      </c>
      <c r="C20" s="2287"/>
      <c r="D20" s="290">
        <f>D19*19.48</f>
        <v>6233.6</v>
      </c>
      <c r="E20" s="290">
        <f>27.97*E19</f>
        <v>0</v>
      </c>
      <c r="F20" s="290">
        <f>18.63*F19</f>
        <v>38377.799999999996</v>
      </c>
      <c r="G20" s="290">
        <f>27.9468*G19</f>
        <v>87473.483999999997</v>
      </c>
      <c r="H20" s="290">
        <f>241*H19</f>
        <v>9158</v>
      </c>
      <c r="I20" s="290">
        <f>323*I19</f>
        <v>33592</v>
      </c>
      <c r="J20" s="290">
        <f>241*J19</f>
        <v>0</v>
      </c>
      <c r="K20" s="290">
        <f>K19*100</f>
        <v>9200</v>
      </c>
      <c r="L20" s="290">
        <f>241*L19</f>
        <v>0</v>
      </c>
      <c r="M20" s="290">
        <f>470*M19</f>
        <v>14100</v>
      </c>
      <c r="N20" s="290">
        <f>N19*8.81</f>
        <v>0</v>
      </c>
      <c r="O20" s="290">
        <f>241*O19</f>
        <v>0</v>
      </c>
      <c r="P20" s="290">
        <f>P19*48.2</f>
        <v>4820</v>
      </c>
      <c r="Q20" s="2286">
        <f>470*Q19</f>
        <v>4700</v>
      </c>
      <c r="R20" s="2287"/>
      <c r="S20" s="290">
        <f>341*S19</f>
        <v>0</v>
      </c>
      <c r="T20" s="2257"/>
      <c r="U20" s="49" t="s">
        <v>59</v>
      </c>
      <c r="V20" s="2262"/>
      <c r="W20" s="2262"/>
      <c r="X20" s="2262"/>
      <c r="Y20" s="2269"/>
    </row>
    <row r="21" spans="1:25" ht="32.25" customHeight="1" x14ac:dyDescent="0.25">
      <c r="A21" s="291" t="s">
        <v>186</v>
      </c>
      <c r="B21" s="2302">
        <f>SUM(B20:S20)</f>
        <v>436329.484</v>
      </c>
      <c r="C21" s="2302"/>
      <c r="T21" s="2294" t="s">
        <v>518</v>
      </c>
      <c r="U21" s="2295"/>
      <c r="V21" s="2297"/>
      <c r="W21" s="2298"/>
      <c r="X21" s="2299"/>
      <c r="Y21" s="2269"/>
    </row>
    <row r="22" spans="1:25" ht="35.25" customHeight="1" x14ac:dyDescent="0.25">
      <c r="A22" s="1911"/>
      <c r="B22" s="2288" t="s">
        <v>49</v>
      </c>
      <c r="C22" s="2291">
        <v>117000</v>
      </c>
      <c r="D22" s="2291">
        <v>117000</v>
      </c>
      <c r="E22" s="2291"/>
      <c r="F22" s="2291">
        <f>C22-D22+E22</f>
        <v>0</v>
      </c>
      <c r="T22" s="2251" t="s">
        <v>83</v>
      </c>
      <c r="U22" s="50" t="s">
        <v>60</v>
      </c>
      <c r="V22" s="2262">
        <v>137200</v>
      </c>
      <c r="W22" s="2262"/>
      <c r="X22" s="2262"/>
      <c r="Y22" s="2269"/>
    </row>
    <row r="23" spans="1:25" ht="39.75" customHeight="1" x14ac:dyDescent="0.25">
      <c r="B23" s="2289"/>
      <c r="C23" s="2292"/>
      <c r="D23" s="2292"/>
      <c r="E23" s="2292"/>
      <c r="F23" s="2292"/>
      <c r="T23" s="2252"/>
      <c r="U23" s="50" t="s">
        <v>61</v>
      </c>
      <c r="V23" s="2262">
        <v>117000</v>
      </c>
      <c r="W23" s="2262"/>
      <c r="X23" s="2262"/>
      <c r="Y23" s="2269"/>
    </row>
    <row r="24" spans="1:25" ht="48" customHeight="1" x14ac:dyDescent="0.25">
      <c r="B24" s="2290"/>
      <c r="C24" s="290" t="s">
        <v>46</v>
      </c>
      <c r="D24" s="290" t="s">
        <v>50</v>
      </c>
      <c r="E24" s="290" t="s">
        <v>51</v>
      </c>
      <c r="F24" s="290" t="s">
        <v>52</v>
      </c>
      <c r="T24" s="2235" t="s">
        <v>47</v>
      </c>
      <c r="U24" s="51" t="s">
        <v>62</v>
      </c>
      <c r="V24" s="2263">
        <f>V14+V16+V17-V18-V19-V20-V22+V23-V21</f>
        <v>50542.772500000021</v>
      </c>
      <c r="W24" s="2263"/>
      <c r="X24" s="2263"/>
      <c r="Y24" s="2269"/>
    </row>
    <row r="25" spans="1:25" ht="40.5" customHeight="1" x14ac:dyDescent="0.25">
      <c r="T25" s="2235"/>
      <c r="U25" s="51" t="s">
        <v>63</v>
      </c>
      <c r="V25" s="2262">
        <f>V15+V22-V23</f>
        <v>32884</v>
      </c>
      <c r="W25" s="2262"/>
      <c r="X25" s="2262"/>
    </row>
    <row r="26" spans="1:25" ht="36" customHeight="1" x14ac:dyDescent="0.25">
      <c r="K26" s="314"/>
    </row>
    <row r="28" spans="1:25" x14ac:dyDescent="0.25">
      <c r="J28" s="14" t="s">
        <v>139</v>
      </c>
    </row>
    <row r="32" spans="1:25" x14ac:dyDescent="0.25">
      <c r="I32" s="2280"/>
      <c r="J32" s="2280"/>
      <c r="K32" s="2280"/>
      <c r="L32" s="2280"/>
    </row>
    <row r="33" spans="9:12" x14ac:dyDescent="0.25">
      <c r="I33" s="1999"/>
      <c r="J33" s="1999"/>
      <c r="K33" s="2280"/>
      <c r="L33" s="2280"/>
    </row>
  </sheetData>
  <mergeCells count="62">
    <mergeCell ref="I32:J32"/>
    <mergeCell ref="K32:L32"/>
    <mergeCell ref="K33:L33"/>
    <mergeCell ref="T22:T23"/>
    <mergeCell ref="V22:X22"/>
    <mergeCell ref="V23:X23"/>
    <mergeCell ref="T24:T25"/>
    <mergeCell ref="V24:X24"/>
    <mergeCell ref="V25:X25"/>
    <mergeCell ref="Y18:Y24"/>
    <mergeCell ref="B19:C19"/>
    <mergeCell ref="Q19:R19"/>
    <mergeCell ref="T19:T20"/>
    <mergeCell ref="V19:X19"/>
    <mergeCell ref="B20:C20"/>
    <mergeCell ref="B22:B24"/>
    <mergeCell ref="C22:C23"/>
    <mergeCell ref="D22:D23"/>
    <mergeCell ref="E22:E23"/>
    <mergeCell ref="F22:F23"/>
    <mergeCell ref="Q20:R20"/>
    <mergeCell ref="V20:X20"/>
    <mergeCell ref="B21:C21"/>
    <mergeCell ref="T21:U21"/>
    <mergeCell ref="V21:X21"/>
    <mergeCell ref="B17:C17"/>
    <mergeCell ref="Q17:R17"/>
    <mergeCell ref="T17:U17"/>
    <mergeCell ref="V17:X17"/>
    <mergeCell ref="B18:C18"/>
    <mergeCell ref="Q18:R18"/>
    <mergeCell ref="T18:U18"/>
    <mergeCell ref="V18:X18"/>
    <mergeCell ref="W4:X4"/>
    <mergeCell ref="B16:C16"/>
    <mergeCell ref="Q16:R16"/>
    <mergeCell ref="T16:U16"/>
    <mergeCell ref="V16:X16"/>
    <mergeCell ref="A12:B12"/>
    <mergeCell ref="B14:C14"/>
    <mergeCell ref="Q14:R14"/>
    <mergeCell ref="T14:T15"/>
    <mergeCell ref="V14:X14"/>
    <mergeCell ref="B15:C15"/>
    <mergeCell ref="Q15:R15"/>
    <mergeCell ref="V15:X15"/>
    <mergeCell ref="A1:Y1"/>
    <mergeCell ref="A2:Y2"/>
    <mergeCell ref="T3:Y3"/>
    <mergeCell ref="A4:A5"/>
    <mergeCell ref="B4:B5"/>
    <mergeCell ref="C4:D4"/>
    <mergeCell ref="E4:F4"/>
    <mergeCell ref="G4:H4"/>
    <mergeCell ref="I4:J4"/>
    <mergeCell ref="K4:L4"/>
    <mergeCell ref="Y4:Y5"/>
    <mergeCell ref="M4:N4"/>
    <mergeCell ref="O4:P4"/>
    <mergeCell ref="Q4:R4"/>
    <mergeCell ref="S4:T4"/>
    <mergeCell ref="U4:V4"/>
  </mergeCells>
  <pageMargins left="0.15748031496063" right="0.15748031496063" top="0" bottom="0" header="0" footer="0"/>
  <pageSetup paperSize="9" scale="46" orientation="landscape" r:id="rId1"/>
</worksheet>
</file>

<file path=xl/worksheets/sheet3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A48D97D-E348-441D-B358-479119848E9C}">
  <sheetPr>
    <pageSetUpPr fitToPage="1"/>
  </sheetPr>
  <dimension ref="A1:Y33"/>
  <sheetViews>
    <sheetView topLeftCell="D8" zoomScale="70" zoomScaleNormal="70" zoomScaleSheetLayoutView="100" zoomScalePageLayoutView="68" workbookViewId="0">
      <selection activeCell="N24" sqref="N24"/>
    </sheetView>
  </sheetViews>
  <sheetFormatPr defaultColWidth="9.140625" defaultRowHeight="15" x14ac:dyDescent="0.25"/>
  <cols>
    <col min="1" max="1" width="18.28515625" style="14" customWidth="1"/>
    <col min="2" max="2" width="10.7109375" style="14" customWidth="1"/>
    <col min="3" max="3" width="12.28515625" style="14" customWidth="1"/>
    <col min="4" max="4" width="13.140625" style="14" bestFit="1" customWidth="1"/>
    <col min="5" max="5" width="12" style="14" customWidth="1"/>
    <col min="6" max="6" width="14" style="14" bestFit="1" customWidth="1"/>
    <col min="7" max="7" width="16" style="14" bestFit="1" customWidth="1"/>
    <col min="8" max="8" width="10.140625" style="14" bestFit="1" customWidth="1"/>
    <col min="9" max="9" width="10.5703125" style="14" bestFit="1" customWidth="1"/>
    <col min="10" max="10" width="10.5703125" style="14" customWidth="1"/>
    <col min="11" max="11" width="10.28515625" style="14" bestFit="1" customWidth="1"/>
    <col min="12" max="12" width="10.42578125" style="14" bestFit="1" customWidth="1"/>
    <col min="13" max="14" width="12" style="14" bestFit="1" customWidth="1"/>
    <col min="15" max="15" width="11" style="14" customWidth="1"/>
    <col min="16" max="16" width="12.85546875" style="14" bestFit="1" customWidth="1"/>
    <col min="17" max="18" width="9.42578125" style="14" customWidth="1"/>
    <col min="19" max="19" width="13.7109375" style="14" customWidth="1"/>
    <col min="20" max="20" width="12.140625" style="14" customWidth="1"/>
    <col min="21" max="21" width="21.7109375" style="14" customWidth="1"/>
    <col min="22" max="22" width="9.85546875" style="14" customWidth="1"/>
    <col min="23" max="23" width="10.140625" style="14" bestFit="1" customWidth="1"/>
    <col min="24" max="24" width="10.28515625" style="14" customWidth="1"/>
    <col min="25" max="25" width="15.7109375" style="14" customWidth="1"/>
    <col min="26" max="16384" width="9.140625" style="14"/>
  </cols>
  <sheetData>
    <row r="1" spans="1:25" ht="46.15" customHeight="1" x14ac:dyDescent="0.25">
      <c r="A1" s="2240" t="s">
        <v>148</v>
      </c>
      <c r="B1" s="2240"/>
      <c r="C1" s="2240"/>
      <c r="D1" s="2240"/>
      <c r="E1" s="2240"/>
      <c r="F1" s="2240"/>
      <c r="G1" s="2240"/>
      <c r="H1" s="2240"/>
      <c r="I1" s="2240"/>
      <c r="J1" s="2240"/>
      <c r="K1" s="2240"/>
      <c r="L1" s="2240"/>
      <c r="M1" s="2240"/>
      <c r="N1" s="2240"/>
      <c r="O1" s="2240"/>
      <c r="P1" s="2240"/>
      <c r="Q1" s="2240"/>
      <c r="R1" s="2240"/>
      <c r="S1" s="2240"/>
      <c r="T1" s="2240"/>
      <c r="U1" s="2240"/>
      <c r="V1" s="2240"/>
      <c r="W1" s="2240"/>
      <c r="X1" s="2240"/>
      <c r="Y1" s="2240"/>
    </row>
    <row r="2" spans="1:25" ht="21.6" customHeight="1" x14ac:dyDescent="0.25">
      <c r="A2" s="2241" t="s">
        <v>383</v>
      </c>
      <c r="B2" s="2241"/>
      <c r="C2" s="2241"/>
      <c r="D2" s="2241"/>
      <c r="E2" s="2241"/>
      <c r="F2" s="2241"/>
      <c r="G2" s="2241"/>
      <c r="H2" s="2241"/>
      <c r="I2" s="2241"/>
      <c r="J2" s="2241"/>
      <c r="K2" s="2241"/>
      <c r="L2" s="2241"/>
      <c r="M2" s="2241"/>
      <c r="N2" s="2241"/>
      <c r="O2" s="2241"/>
      <c r="P2" s="2241"/>
      <c r="Q2" s="2241"/>
      <c r="R2" s="2241"/>
      <c r="S2" s="2241"/>
      <c r="T2" s="2241"/>
      <c r="U2" s="2241"/>
      <c r="V2" s="2241"/>
      <c r="W2" s="2241"/>
      <c r="X2" s="2241"/>
      <c r="Y2" s="2241"/>
    </row>
    <row r="3" spans="1:25" ht="21" customHeight="1" x14ac:dyDescent="0.25">
      <c r="A3" s="2005"/>
      <c r="B3" s="2005"/>
      <c r="C3" s="2005"/>
      <c r="D3" s="2005"/>
      <c r="E3" s="2005"/>
      <c r="F3" s="2005"/>
      <c r="G3" s="2005"/>
      <c r="H3" s="2005"/>
      <c r="I3" s="2005"/>
      <c r="J3" s="2005"/>
      <c r="K3" s="2005"/>
      <c r="L3" s="2005"/>
      <c r="M3" s="2005"/>
      <c r="N3" s="2005"/>
      <c r="O3" s="2005"/>
      <c r="P3" s="2005"/>
      <c r="Q3" s="2005"/>
      <c r="R3" s="2005"/>
      <c r="S3" s="2005"/>
      <c r="T3" s="2242" t="s">
        <v>573</v>
      </c>
      <c r="U3" s="2242"/>
      <c r="V3" s="2242"/>
      <c r="W3" s="2242"/>
      <c r="X3" s="2242"/>
      <c r="Y3" s="2242"/>
    </row>
    <row r="4" spans="1:25" s="2005" customFormat="1" ht="18" customHeight="1" x14ac:dyDescent="0.25">
      <c r="A4" s="2243" t="s">
        <v>25</v>
      </c>
      <c r="B4" s="2243" t="s">
        <v>26</v>
      </c>
      <c r="C4" s="2244" t="s">
        <v>27</v>
      </c>
      <c r="D4" s="2244"/>
      <c r="E4" s="2244" t="s">
        <v>544</v>
      </c>
      <c r="F4" s="2244"/>
      <c r="G4" s="2244" t="s">
        <v>65</v>
      </c>
      <c r="H4" s="2244"/>
      <c r="I4" s="2244" t="s">
        <v>29</v>
      </c>
      <c r="J4" s="2244"/>
      <c r="K4" s="2245" t="s">
        <v>14</v>
      </c>
      <c r="L4" s="2246"/>
      <c r="M4" s="2245" t="s">
        <v>429</v>
      </c>
      <c r="N4" s="2246"/>
      <c r="O4" s="2245" t="s">
        <v>441</v>
      </c>
      <c r="P4" s="2246"/>
      <c r="Q4" s="2245" t="s">
        <v>114</v>
      </c>
      <c r="R4" s="2246"/>
      <c r="S4" s="2244" t="s">
        <v>35</v>
      </c>
      <c r="T4" s="2244"/>
      <c r="U4" s="2245" t="s">
        <v>17</v>
      </c>
      <c r="V4" s="2246"/>
      <c r="W4" s="2247" t="s">
        <v>36</v>
      </c>
      <c r="X4" s="2248"/>
      <c r="Y4" s="2238" t="s">
        <v>30</v>
      </c>
    </row>
    <row r="5" spans="1:25" s="2005" customFormat="1" ht="25.5" customHeight="1" x14ac:dyDescent="0.25">
      <c r="A5" s="2243"/>
      <c r="B5" s="2243"/>
      <c r="C5" s="2004" t="s">
        <v>42</v>
      </c>
      <c r="D5" s="2004" t="s">
        <v>43</v>
      </c>
      <c r="E5" s="2004" t="s">
        <v>42</v>
      </c>
      <c r="F5" s="2004" t="s">
        <v>43</v>
      </c>
      <c r="G5" s="2004" t="s">
        <v>42</v>
      </c>
      <c r="H5" s="2004" t="s">
        <v>43</v>
      </c>
      <c r="I5" s="2004" t="s">
        <v>42</v>
      </c>
      <c r="J5" s="2004" t="s">
        <v>43</v>
      </c>
      <c r="K5" s="2004" t="s">
        <v>42</v>
      </c>
      <c r="L5" s="2004" t="s">
        <v>43</v>
      </c>
      <c r="M5" s="2004" t="s">
        <v>42</v>
      </c>
      <c r="N5" s="2004" t="s">
        <v>43</v>
      </c>
      <c r="O5" s="2004" t="s">
        <v>42</v>
      </c>
      <c r="P5" s="2004" t="s">
        <v>43</v>
      </c>
      <c r="Q5" s="2004" t="s">
        <v>42</v>
      </c>
      <c r="R5" s="2004" t="s">
        <v>43</v>
      </c>
      <c r="S5" s="33" t="s">
        <v>42</v>
      </c>
      <c r="T5" s="33" t="s">
        <v>43</v>
      </c>
      <c r="U5" s="30" t="s">
        <v>42</v>
      </c>
      <c r="V5" s="30" t="s">
        <v>43</v>
      </c>
      <c r="W5" s="30" t="s">
        <v>42</v>
      </c>
      <c r="X5" s="30" t="s">
        <v>43</v>
      </c>
      <c r="Y5" s="2239"/>
    </row>
    <row r="6" spans="1:25" ht="34.5" customHeight="1" x14ac:dyDescent="0.25">
      <c r="A6" s="12">
        <v>1409935200</v>
      </c>
      <c r="B6" s="2003" t="s">
        <v>71</v>
      </c>
      <c r="C6" s="2001">
        <v>33349</v>
      </c>
      <c r="D6" s="2000">
        <f t="shared" ref="D6:D11" si="0">0.9725*C6</f>
        <v>32431.9025</v>
      </c>
      <c r="E6" s="2001"/>
      <c r="F6" s="2000">
        <f>19.68*E6</f>
        <v>0</v>
      </c>
      <c r="G6" s="2001"/>
      <c r="H6" s="2000">
        <f t="shared" ref="H6:H11" si="1">28.26*G6</f>
        <v>0</v>
      </c>
      <c r="I6" s="2001"/>
      <c r="J6" s="2000">
        <f>18.82*I6</f>
        <v>0</v>
      </c>
      <c r="K6" s="2001">
        <v>30</v>
      </c>
      <c r="L6" s="2000">
        <f>28.25*K6</f>
        <v>847.5</v>
      </c>
      <c r="M6" s="2001"/>
      <c r="N6" s="2000">
        <f>M6*47.6525</f>
        <v>0</v>
      </c>
      <c r="O6" s="2001"/>
      <c r="P6" s="2000">
        <f>O6*8.9</f>
        <v>0</v>
      </c>
      <c r="Q6" s="2000"/>
      <c r="R6" s="2000">
        <f>241*Q6</f>
        <v>0</v>
      </c>
      <c r="S6" s="2001"/>
      <c r="T6" s="2001">
        <f>470*S6</f>
        <v>0</v>
      </c>
      <c r="U6" s="2001"/>
      <c r="V6" s="2001">
        <f>332*U6</f>
        <v>0</v>
      </c>
      <c r="W6" s="2001"/>
      <c r="X6" s="19">
        <f>W6*100</f>
        <v>0</v>
      </c>
      <c r="Y6" s="20">
        <f t="shared" ref="Y6:Y12" si="2">D6+F6+H6+J6+L6+N6+P6+R6+T6+V6+X6</f>
        <v>33279.402499999997</v>
      </c>
    </row>
    <row r="7" spans="1:25" ht="36.75" customHeight="1" x14ac:dyDescent="0.25">
      <c r="A7" s="12">
        <v>1984225578</v>
      </c>
      <c r="B7" s="2003" t="s">
        <v>509</v>
      </c>
      <c r="C7" s="2001">
        <v>52418</v>
      </c>
      <c r="D7" s="2000">
        <f t="shared" si="0"/>
        <v>50976.505000000005</v>
      </c>
      <c r="E7" s="2001"/>
      <c r="F7" s="2000">
        <f t="shared" ref="F7:F11" si="3">19.68*E7</f>
        <v>0</v>
      </c>
      <c r="G7" s="2001"/>
      <c r="H7" s="2000">
        <f t="shared" si="1"/>
        <v>0</v>
      </c>
      <c r="I7" s="2001"/>
      <c r="J7" s="2000">
        <f t="shared" ref="J7:J11" si="4">18.82*I7</f>
        <v>0</v>
      </c>
      <c r="K7" s="2001">
        <v>150</v>
      </c>
      <c r="L7" s="2000">
        <f t="shared" ref="L7:L11" si="5">28.25*K7</f>
        <v>4237.5</v>
      </c>
      <c r="M7" s="2001"/>
      <c r="N7" s="2000">
        <f t="shared" ref="N7:N11" si="6">M7*47.6525</f>
        <v>0</v>
      </c>
      <c r="O7" s="2001"/>
      <c r="P7" s="2000">
        <f t="shared" ref="P7:P11" si="7">O7*8.9</f>
        <v>0</v>
      </c>
      <c r="Q7" s="2000"/>
      <c r="R7" s="2000">
        <f t="shared" ref="R7:R11" si="8">241*Q7</f>
        <v>0</v>
      </c>
      <c r="S7" s="2001"/>
      <c r="T7" s="2001">
        <f t="shared" ref="T7:T9" si="9">470*S7</f>
        <v>0</v>
      </c>
      <c r="U7" s="2001"/>
      <c r="V7" s="2001">
        <f t="shared" ref="V7:V11" si="10">332*U7</f>
        <v>0</v>
      </c>
      <c r="W7" s="2001"/>
      <c r="X7" s="19">
        <f t="shared" ref="X7:X11" si="11">W7*100</f>
        <v>0</v>
      </c>
      <c r="Y7" s="20">
        <f t="shared" si="2"/>
        <v>55214.005000000005</v>
      </c>
    </row>
    <row r="8" spans="1:25" ht="35.25" customHeight="1" x14ac:dyDescent="0.25">
      <c r="A8" s="12">
        <v>1967020280</v>
      </c>
      <c r="B8" s="2003" t="s">
        <v>427</v>
      </c>
      <c r="C8" s="2001">
        <v>44992</v>
      </c>
      <c r="D8" s="2000">
        <f t="shared" si="0"/>
        <v>43754.720000000001</v>
      </c>
      <c r="E8" s="2001"/>
      <c r="F8" s="2000">
        <f t="shared" si="3"/>
        <v>0</v>
      </c>
      <c r="G8" s="2001"/>
      <c r="H8" s="2000">
        <f t="shared" si="1"/>
        <v>0</v>
      </c>
      <c r="I8" s="2001"/>
      <c r="J8" s="2000">
        <f t="shared" si="4"/>
        <v>0</v>
      </c>
      <c r="K8" s="2001">
        <v>120</v>
      </c>
      <c r="L8" s="2000">
        <f t="shared" si="5"/>
        <v>3390</v>
      </c>
      <c r="M8" s="2001"/>
      <c r="N8" s="2000">
        <f t="shared" si="6"/>
        <v>0</v>
      </c>
      <c r="O8" s="2001"/>
      <c r="P8" s="2000">
        <f t="shared" si="7"/>
        <v>0</v>
      </c>
      <c r="Q8" s="2000"/>
      <c r="R8" s="2000">
        <f t="shared" si="8"/>
        <v>0</v>
      </c>
      <c r="S8" s="2001"/>
      <c r="T8" s="2001">
        <f t="shared" si="9"/>
        <v>0</v>
      </c>
      <c r="U8" s="2001">
        <v>5</v>
      </c>
      <c r="V8" s="2001">
        <f t="shared" si="10"/>
        <v>1660</v>
      </c>
      <c r="W8" s="2001"/>
      <c r="X8" s="19">
        <f t="shared" si="11"/>
        <v>0</v>
      </c>
      <c r="Y8" s="20">
        <f t="shared" si="2"/>
        <v>48804.72</v>
      </c>
    </row>
    <row r="9" spans="1:25" ht="38.25" customHeight="1" x14ac:dyDescent="0.25">
      <c r="A9" s="12">
        <v>1984225580</v>
      </c>
      <c r="B9" s="2003" t="s">
        <v>74</v>
      </c>
      <c r="C9" s="2001">
        <v>53042</v>
      </c>
      <c r="D9" s="2000">
        <f t="shared" si="0"/>
        <v>51583.345000000001</v>
      </c>
      <c r="E9" s="2001"/>
      <c r="F9" s="2000">
        <f t="shared" si="3"/>
        <v>0</v>
      </c>
      <c r="G9" s="2001"/>
      <c r="H9" s="2000">
        <f t="shared" si="1"/>
        <v>0</v>
      </c>
      <c r="I9" s="2001">
        <v>60</v>
      </c>
      <c r="J9" s="2000">
        <f t="shared" si="4"/>
        <v>1129.2</v>
      </c>
      <c r="K9" s="2001">
        <v>180</v>
      </c>
      <c r="L9" s="2000">
        <f t="shared" si="5"/>
        <v>5085</v>
      </c>
      <c r="M9" s="2001"/>
      <c r="N9" s="2000">
        <f t="shared" si="6"/>
        <v>0</v>
      </c>
      <c r="O9" s="2001"/>
      <c r="P9" s="2000">
        <f t="shared" si="7"/>
        <v>0</v>
      </c>
      <c r="Q9" s="2000"/>
      <c r="R9" s="2000">
        <f t="shared" si="8"/>
        <v>0</v>
      </c>
      <c r="S9" s="2001"/>
      <c r="T9" s="2001">
        <f t="shared" si="9"/>
        <v>0</v>
      </c>
      <c r="U9" s="2001">
        <v>10</v>
      </c>
      <c r="V9" s="2001">
        <f t="shared" si="10"/>
        <v>3320</v>
      </c>
      <c r="W9" s="2001"/>
      <c r="X9" s="19">
        <f t="shared" si="11"/>
        <v>0</v>
      </c>
      <c r="Y9" s="20">
        <f t="shared" si="2"/>
        <v>61117.544999999998</v>
      </c>
    </row>
    <row r="10" spans="1:25" ht="35.25" customHeight="1" x14ac:dyDescent="0.25">
      <c r="A10" s="12">
        <v>1409935199</v>
      </c>
      <c r="C10" s="2001">
        <v>3575</v>
      </c>
      <c r="D10" s="2000">
        <f t="shared" si="0"/>
        <v>3476.6875</v>
      </c>
      <c r="E10" s="2001">
        <v>320</v>
      </c>
      <c r="F10" s="2000">
        <f t="shared" si="3"/>
        <v>6297.6</v>
      </c>
      <c r="G10" s="2001"/>
      <c r="H10" s="2000">
        <f t="shared" si="1"/>
        <v>0</v>
      </c>
      <c r="I10" s="2001"/>
      <c r="J10" s="2000">
        <f t="shared" si="4"/>
        <v>0</v>
      </c>
      <c r="K10" s="2001">
        <v>500</v>
      </c>
      <c r="L10" s="2000">
        <f t="shared" si="5"/>
        <v>14125</v>
      </c>
      <c r="M10" s="2001"/>
      <c r="N10" s="2000">
        <f t="shared" si="6"/>
        <v>0</v>
      </c>
      <c r="O10" s="2001"/>
      <c r="P10" s="2000">
        <f t="shared" si="7"/>
        <v>0</v>
      </c>
      <c r="Q10" s="2000"/>
      <c r="R10" s="2000">
        <f t="shared" si="8"/>
        <v>0</v>
      </c>
      <c r="S10" s="2001"/>
      <c r="T10" s="2001">
        <f>341*S10</f>
        <v>0</v>
      </c>
      <c r="U10" s="2001"/>
      <c r="V10" s="2001">
        <f t="shared" si="10"/>
        <v>0</v>
      </c>
      <c r="W10" s="2001"/>
      <c r="X10" s="19">
        <f t="shared" si="11"/>
        <v>0</v>
      </c>
      <c r="Y10" s="20">
        <f t="shared" si="2"/>
        <v>23899.287499999999</v>
      </c>
    </row>
    <row r="11" spans="1:25" ht="37.5" customHeight="1" x14ac:dyDescent="0.25">
      <c r="A11" s="12"/>
      <c r="B11" s="2002"/>
      <c r="C11" s="2001"/>
      <c r="D11" s="2000">
        <f t="shared" si="0"/>
        <v>0</v>
      </c>
      <c r="E11" s="2001"/>
      <c r="F11" s="2000">
        <f t="shared" si="3"/>
        <v>0</v>
      </c>
      <c r="G11" s="2001"/>
      <c r="H11" s="2000">
        <f t="shared" si="1"/>
        <v>0</v>
      </c>
      <c r="I11" s="2001"/>
      <c r="J11" s="2000">
        <f t="shared" si="4"/>
        <v>0</v>
      </c>
      <c r="K11" s="2001"/>
      <c r="L11" s="2000">
        <f t="shared" si="5"/>
        <v>0</v>
      </c>
      <c r="M11" s="2001"/>
      <c r="N11" s="2000">
        <f t="shared" si="6"/>
        <v>0</v>
      </c>
      <c r="O11" s="2001"/>
      <c r="P11" s="2000">
        <f t="shared" si="7"/>
        <v>0</v>
      </c>
      <c r="Q11" s="2000"/>
      <c r="R11" s="2000">
        <f t="shared" si="8"/>
        <v>0</v>
      </c>
      <c r="S11" s="2001"/>
      <c r="T11" s="2001">
        <f>241*S11</f>
        <v>0</v>
      </c>
      <c r="U11" s="2001"/>
      <c r="V11" s="2001">
        <f t="shared" si="10"/>
        <v>0</v>
      </c>
      <c r="W11" s="2001"/>
      <c r="X11" s="19">
        <f t="shared" si="11"/>
        <v>0</v>
      </c>
      <c r="Y11" s="20">
        <f t="shared" si="2"/>
        <v>0</v>
      </c>
    </row>
    <row r="12" spans="1:25" ht="29.25" customHeight="1" x14ac:dyDescent="0.25">
      <c r="A12" s="2235" t="s">
        <v>31</v>
      </c>
      <c r="B12" s="2235"/>
      <c r="C12" s="18">
        <f t="shared" ref="C12:X12" si="12">SUM(C6:C11)</f>
        <v>187376</v>
      </c>
      <c r="D12" s="18">
        <f t="shared" si="12"/>
        <v>182223.16</v>
      </c>
      <c r="E12" s="18">
        <f t="shared" si="12"/>
        <v>320</v>
      </c>
      <c r="F12" s="18">
        <f t="shared" si="12"/>
        <v>6297.6</v>
      </c>
      <c r="G12" s="18">
        <f t="shared" si="12"/>
        <v>0</v>
      </c>
      <c r="H12" s="18">
        <f t="shared" si="12"/>
        <v>0</v>
      </c>
      <c r="I12" s="18">
        <f t="shared" si="12"/>
        <v>60</v>
      </c>
      <c r="J12" s="18">
        <f t="shared" si="12"/>
        <v>1129.2</v>
      </c>
      <c r="K12" s="18">
        <f t="shared" si="12"/>
        <v>980</v>
      </c>
      <c r="L12" s="18">
        <f t="shared" si="12"/>
        <v>27685</v>
      </c>
      <c r="M12" s="18">
        <f t="shared" si="12"/>
        <v>0</v>
      </c>
      <c r="N12" s="23">
        <f t="shared" si="12"/>
        <v>0</v>
      </c>
      <c r="O12" s="18">
        <f t="shared" si="12"/>
        <v>0</v>
      </c>
      <c r="P12" s="23">
        <f t="shared" si="12"/>
        <v>0</v>
      </c>
      <c r="Q12" s="23">
        <f t="shared" si="12"/>
        <v>0</v>
      </c>
      <c r="R12" s="23">
        <f>SUM(R6:R11)</f>
        <v>0</v>
      </c>
      <c r="S12" s="23">
        <f>SUM(S6:S11)</f>
        <v>0</v>
      </c>
      <c r="T12" s="18">
        <f t="shared" si="12"/>
        <v>0</v>
      </c>
      <c r="U12" s="18">
        <f t="shared" si="12"/>
        <v>15</v>
      </c>
      <c r="V12" s="18">
        <f t="shared" si="12"/>
        <v>4980</v>
      </c>
      <c r="W12" s="18">
        <f t="shared" si="12"/>
        <v>0</v>
      </c>
      <c r="X12" s="18">
        <f t="shared" si="12"/>
        <v>0</v>
      </c>
      <c r="Y12" s="20">
        <f t="shared" si="2"/>
        <v>222314.96000000002</v>
      </c>
    </row>
    <row r="14" spans="1:25" ht="43.5" customHeight="1" x14ac:dyDescent="0.25">
      <c r="A14" s="30" t="s">
        <v>32</v>
      </c>
      <c r="B14" s="2236" t="s">
        <v>27</v>
      </c>
      <c r="C14" s="2236"/>
      <c r="D14" s="30" t="s">
        <v>543</v>
      </c>
      <c r="E14" s="30" t="s">
        <v>65</v>
      </c>
      <c r="F14" s="30" t="s">
        <v>34</v>
      </c>
      <c r="G14" s="30" t="s">
        <v>14</v>
      </c>
      <c r="H14" s="469" t="s">
        <v>173</v>
      </c>
      <c r="I14" s="30" t="s">
        <v>17</v>
      </c>
      <c r="J14" s="2009" t="s">
        <v>174</v>
      </c>
      <c r="K14" s="30" t="s">
        <v>36</v>
      </c>
      <c r="L14" s="2009" t="s">
        <v>403</v>
      </c>
      <c r="M14" s="2009" t="s">
        <v>549</v>
      </c>
      <c r="N14" s="30" t="s">
        <v>442</v>
      </c>
      <c r="O14" s="2009" t="s">
        <v>114</v>
      </c>
      <c r="P14" s="30" t="s">
        <v>70</v>
      </c>
      <c r="Q14" s="2300" t="s">
        <v>479</v>
      </c>
      <c r="R14" s="2301"/>
      <c r="S14" s="2009" t="s">
        <v>401</v>
      </c>
      <c r="T14" s="2235" t="s">
        <v>46</v>
      </c>
      <c r="U14" s="2003" t="s">
        <v>176</v>
      </c>
      <c r="V14" s="2260">
        <v>50543</v>
      </c>
      <c r="W14" s="2268"/>
      <c r="X14" s="2261"/>
    </row>
    <row r="15" spans="1:25" ht="22.5" customHeight="1" x14ac:dyDescent="0.25">
      <c r="A15" s="100" t="s">
        <v>38</v>
      </c>
      <c r="B15" s="2260">
        <v>237584</v>
      </c>
      <c r="C15" s="2261"/>
      <c r="D15" s="2006">
        <v>320</v>
      </c>
      <c r="E15" s="2006">
        <v>0</v>
      </c>
      <c r="F15" s="2006">
        <v>2060</v>
      </c>
      <c r="G15" s="2006">
        <v>3130</v>
      </c>
      <c r="H15" s="2006">
        <v>38</v>
      </c>
      <c r="I15" s="2006">
        <v>104</v>
      </c>
      <c r="J15" s="2006"/>
      <c r="K15" s="2006">
        <v>92</v>
      </c>
      <c r="L15" s="2006">
        <v>0</v>
      </c>
      <c r="M15" s="2006">
        <v>30</v>
      </c>
      <c r="N15" s="2006">
        <v>0</v>
      </c>
      <c r="O15" s="2006">
        <v>0</v>
      </c>
      <c r="P15" s="2006">
        <v>100</v>
      </c>
      <c r="Q15" s="2260">
        <v>10</v>
      </c>
      <c r="R15" s="2261"/>
      <c r="S15" s="2003"/>
      <c r="T15" s="2235"/>
      <c r="U15" s="2003" t="s">
        <v>64</v>
      </c>
      <c r="V15" s="2262">
        <v>32884</v>
      </c>
      <c r="W15" s="2262"/>
      <c r="X15" s="2262"/>
    </row>
    <row r="16" spans="1:25" ht="24.75" customHeight="1" x14ac:dyDescent="0.25">
      <c r="A16" s="100" t="s">
        <v>39</v>
      </c>
      <c r="B16" s="2260">
        <v>425967</v>
      </c>
      <c r="C16" s="2261"/>
      <c r="D16" s="2006"/>
      <c r="E16" s="2006">
        <v>500</v>
      </c>
      <c r="F16" s="2006">
        <v>2500</v>
      </c>
      <c r="G16" s="2006">
        <v>1000</v>
      </c>
      <c r="H16" s="2006"/>
      <c r="I16" s="2006">
        <v>25</v>
      </c>
      <c r="J16" s="2006"/>
      <c r="K16" s="2006"/>
      <c r="L16" s="2006">
        <v>12</v>
      </c>
      <c r="M16" s="2006"/>
      <c r="N16" s="2006"/>
      <c r="O16" s="2006"/>
      <c r="P16" s="2006"/>
      <c r="Q16" s="2262"/>
      <c r="R16" s="2262"/>
      <c r="S16" s="2006"/>
      <c r="T16" s="2254" t="s">
        <v>55</v>
      </c>
      <c r="U16" s="2254"/>
      <c r="V16" s="2267">
        <f>Y12</f>
        <v>222314.96000000002</v>
      </c>
      <c r="W16" s="2267"/>
      <c r="X16" s="2262"/>
    </row>
    <row r="17" spans="1:25" ht="28.5" customHeight="1" x14ac:dyDescent="0.25">
      <c r="A17" s="101" t="s">
        <v>44</v>
      </c>
      <c r="B17" s="2260"/>
      <c r="C17" s="2261"/>
      <c r="D17" s="2006"/>
      <c r="E17" s="2006"/>
      <c r="F17" s="2006"/>
      <c r="G17" s="2006"/>
      <c r="H17" s="2006"/>
      <c r="I17" s="2006"/>
      <c r="J17" s="2006"/>
      <c r="K17" s="2006"/>
      <c r="L17" s="2006"/>
      <c r="M17" s="2006"/>
      <c r="N17" s="2006"/>
      <c r="O17" s="2006"/>
      <c r="P17" s="2006"/>
      <c r="Q17" s="2225"/>
      <c r="R17" s="2225"/>
      <c r="S17" s="2002"/>
      <c r="T17" s="2294" t="s">
        <v>521</v>
      </c>
      <c r="U17" s="2295"/>
      <c r="V17" s="2296"/>
      <c r="W17" s="2296"/>
      <c r="X17" s="2296"/>
    </row>
    <row r="18" spans="1:25" ht="27" customHeight="1" x14ac:dyDescent="0.25">
      <c r="A18" s="100" t="s">
        <v>40</v>
      </c>
      <c r="B18" s="2264">
        <f>C12</f>
        <v>187376</v>
      </c>
      <c r="C18" s="2261"/>
      <c r="D18" s="2008">
        <f>E12</f>
        <v>320</v>
      </c>
      <c r="E18" s="2008">
        <f>G12</f>
        <v>0</v>
      </c>
      <c r="F18" s="2008">
        <f>I12</f>
        <v>60</v>
      </c>
      <c r="G18" s="2008">
        <f>K12</f>
        <v>980</v>
      </c>
      <c r="H18" s="2006"/>
      <c r="I18" s="2008">
        <f>U12</f>
        <v>15</v>
      </c>
      <c r="J18" s="2006"/>
      <c r="K18" s="2008">
        <f>W12</f>
        <v>0</v>
      </c>
      <c r="L18" s="2006"/>
      <c r="M18" s="2008">
        <v>12</v>
      </c>
      <c r="N18" s="2008">
        <f>O12</f>
        <v>0</v>
      </c>
      <c r="O18" s="2007">
        <f>Q12</f>
        <v>0</v>
      </c>
      <c r="P18" s="2008"/>
      <c r="Q18" s="2262"/>
      <c r="R18" s="2262"/>
      <c r="S18" s="2003"/>
      <c r="T18" s="2254" t="s">
        <v>57</v>
      </c>
      <c r="U18" s="2254"/>
      <c r="V18" s="2262">
        <v>25740</v>
      </c>
      <c r="W18" s="2262"/>
      <c r="X18" s="2262"/>
      <c r="Y18" s="2269"/>
    </row>
    <row r="19" spans="1:25" ht="25.5" customHeight="1" x14ac:dyDescent="0.25">
      <c r="A19" s="100" t="s">
        <v>41</v>
      </c>
      <c r="B19" s="2260">
        <f>B15+B16+B17-B18</f>
        <v>476175</v>
      </c>
      <c r="C19" s="2261"/>
      <c r="D19" s="2006">
        <f>D15+D16+D17-D18</f>
        <v>0</v>
      </c>
      <c r="E19" s="2006">
        <f t="shared" ref="E19:N19" si="13">E15+E16+E17-E18</f>
        <v>500</v>
      </c>
      <c r="F19" s="2006">
        <f t="shared" si="13"/>
        <v>4500</v>
      </c>
      <c r="G19" s="2006">
        <f t="shared" si="13"/>
        <v>3150</v>
      </c>
      <c r="H19" s="2006">
        <f t="shared" si="13"/>
        <v>38</v>
      </c>
      <c r="I19" s="2006">
        <f t="shared" si="13"/>
        <v>114</v>
      </c>
      <c r="J19" s="2006">
        <f t="shared" si="13"/>
        <v>0</v>
      </c>
      <c r="K19" s="2006">
        <f t="shared" si="13"/>
        <v>92</v>
      </c>
      <c r="L19" s="2006">
        <f t="shared" si="13"/>
        <v>12</v>
      </c>
      <c r="M19" s="2006">
        <f t="shared" si="13"/>
        <v>18</v>
      </c>
      <c r="N19" s="2006">
        <f t="shared" si="13"/>
        <v>0</v>
      </c>
      <c r="O19" s="2006">
        <f>O15+O16+O17-O18</f>
        <v>0</v>
      </c>
      <c r="P19" s="2006">
        <f t="shared" ref="P19:Q19" si="14">P15+P16+P17-P18</f>
        <v>100</v>
      </c>
      <c r="Q19" s="2260">
        <f t="shared" si="14"/>
        <v>10</v>
      </c>
      <c r="R19" s="2261"/>
      <c r="S19" s="2003">
        <f>S15+S16-S17-S18</f>
        <v>0</v>
      </c>
      <c r="T19" s="2256" t="s">
        <v>48</v>
      </c>
      <c r="U19" s="49" t="s">
        <v>58</v>
      </c>
      <c r="V19" s="2262">
        <v>255575</v>
      </c>
      <c r="W19" s="2262"/>
      <c r="X19" s="2262"/>
      <c r="Y19" s="2269"/>
    </row>
    <row r="20" spans="1:25" ht="23.25" customHeight="1" x14ac:dyDescent="0.25">
      <c r="A20" s="289" t="s">
        <v>187</v>
      </c>
      <c r="B20" s="2286">
        <f>B19*0.9625</f>
        <v>458318.4375</v>
      </c>
      <c r="C20" s="2287"/>
      <c r="D20" s="290">
        <f>D19*19.48</f>
        <v>0</v>
      </c>
      <c r="E20" s="290">
        <f>27.97*E19</f>
        <v>13985</v>
      </c>
      <c r="F20" s="290">
        <f>18.63*F19</f>
        <v>83835</v>
      </c>
      <c r="G20" s="290">
        <f>27.9468*G19</f>
        <v>88032.42</v>
      </c>
      <c r="H20" s="290">
        <f>241*H19</f>
        <v>9158</v>
      </c>
      <c r="I20" s="290">
        <f>323*I19</f>
        <v>36822</v>
      </c>
      <c r="J20" s="290">
        <f>241*J19</f>
        <v>0</v>
      </c>
      <c r="K20" s="290">
        <f>K19*100</f>
        <v>9200</v>
      </c>
      <c r="L20" s="290">
        <f>470*L19</f>
        <v>5640</v>
      </c>
      <c r="M20" s="290">
        <f>470*M19</f>
        <v>8460</v>
      </c>
      <c r="N20" s="290">
        <f>N19*8.81</f>
        <v>0</v>
      </c>
      <c r="O20" s="290">
        <f>241*O19</f>
        <v>0</v>
      </c>
      <c r="P20" s="290">
        <f>P19*48.2</f>
        <v>4820</v>
      </c>
      <c r="Q20" s="2286">
        <f>470*Q19</f>
        <v>4700</v>
      </c>
      <c r="R20" s="2287"/>
      <c r="S20" s="290">
        <f>341*S19</f>
        <v>0</v>
      </c>
      <c r="T20" s="2257"/>
      <c r="U20" s="49" t="s">
        <v>59</v>
      </c>
      <c r="V20" s="2262"/>
      <c r="W20" s="2262"/>
      <c r="X20" s="2262"/>
      <c r="Y20" s="2269"/>
    </row>
    <row r="21" spans="1:25" ht="32.25" customHeight="1" x14ac:dyDescent="0.25">
      <c r="A21" s="291" t="s">
        <v>186</v>
      </c>
      <c r="B21" s="2302">
        <f>SUM(B20:S20)</f>
        <v>722970.85750000004</v>
      </c>
      <c r="C21" s="2302"/>
      <c r="T21" s="2294" t="s">
        <v>518</v>
      </c>
      <c r="U21" s="2295"/>
      <c r="V21" s="2297"/>
      <c r="W21" s="2298"/>
      <c r="X21" s="2299"/>
      <c r="Y21" s="2269"/>
    </row>
    <row r="22" spans="1:25" ht="35.25" customHeight="1" x14ac:dyDescent="0.25">
      <c r="A22" s="1911"/>
      <c r="B22" s="2288" t="s">
        <v>49</v>
      </c>
      <c r="C22" s="2291"/>
      <c r="D22" s="2291"/>
      <c r="E22" s="2291">
        <v>251000</v>
      </c>
      <c r="F22" s="2291">
        <f>C22-D22+E22</f>
        <v>251000</v>
      </c>
      <c r="T22" s="2251" t="s">
        <v>83</v>
      </c>
      <c r="U22" s="50" t="s">
        <v>60</v>
      </c>
      <c r="V22" s="2262">
        <v>236185</v>
      </c>
      <c r="W22" s="2262"/>
      <c r="X22" s="2262"/>
      <c r="Y22" s="2269"/>
    </row>
    <row r="23" spans="1:25" ht="39.75" customHeight="1" x14ac:dyDescent="0.25">
      <c r="B23" s="2289"/>
      <c r="C23" s="2292"/>
      <c r="D23" s="2292"/>
      <c r="E23" s="2292"/>
      <c r="F23" s="2292"/>
      <c r="T23" s="2252"/>
      <c r="U23" s="50" t="s">
        <v>61</v>
      </c>
      <c r="V23" s="2262">
        <v>255575</v>
      </c>
      <c r="W23" s="2262"/>
      <c r="X23" s="2262"/>
      <c r="Y23" s="2269"/>
    </row>
    <row r="24" spans="1:25" ht="48" customHeight="1" x14ac:dyDescent="0.25">
      <c r="B24" s="2290"/>
      <c r="C24" s="290" t="s">
        <v>46</v>
      </c>
      <c r="D24" s="290" t="s">
        <v>50</v>
      </c>
      <c r="E24" s="290" t="s">
        <v>51</v>
      </c>
      <c r="F24" s="290" t="s">
        <v>52</v>
      </c>
      <c r="T24" s="2235" t="s">
        <v>47</v>
      </c>
      <c r="U24" s="51" t="s">
        <v>62</v>
      </c>
      <c r="V24" s="2263">
        <f>V14+V16+V17-V18-V19-V20-V22+V23-V21</f>
        <v>10932.960000000021</v>
      </c>
      <c r="W24" s="2263"/>
      <c r="X24" s="2263"/>
      <c r="Y24" s="2269"/>
    </row>
    <row r="25" spans="1:25" ht="40.5" customHeight="1" x14ac:dyDescent="0.25">
      <c r="T25" s="2235"/>
      <c r="U25" s="51" t="s">
        <v>63</v>
      </c>
      <c r="V25" s="2262">
        <f>V15+V22-V23</f>
        <v>13494</v>
      </c>
      <c r="W25" s="2262"/>
      <c r="X25" s="2262"/>
    </row>
    <row r="26" spans="1:25" ht="36" customHeight="1" x14ac:dyDescent="0.25">
      <c r="K26" s="314"/>
    </row>
    <row r="28" spans="1:25" x14ac:dyDescent="0.25">
      <c r="J28" s="14" t="s">
        <v>139</v>
      </c>
    </row>
    <row r="32" spans="1:25" x14ac:dyDescent="0.25">
      <c r="I32" s="2280"/>
      <c r="J32" s="2280"/>
      <c r="K32" s="2280"/>
      <c r="L32" s="2280"/>
    </row>
    <row r="33" spans="9:12" x14ac:dyDescent="0.25">
      <c r="I33" s="2010"/>
      <c r="J33" s="2010"/>
      <c r="K33" s="2280"/>
      <c r="L33" s="2280"/>
    </row>
  </sheetData>
  <mergeCells count="62">
    <mergeCell ref="A1:Y1"/>
    <mergeCell ref="A2:Y2"/>
    <mergeCell ref="T3:Y3"/>
    <mergeCell ref="A4:A5"/>
    <mergeCell ref="B4:B5"/>
    <mergeCell ref="C4:D4"/>
    <mergeCell ref="E4:F4"/>
    <mergeCell ref="G4:H4"/>
    <mergeCell ref="I4:J4"/>
    <mergeCell ref="K4:L4"/>
    <mergeCell ref="Y4:Y5"/>
    <mergeCell ref="M4:N4"/>
    <mergeCell ref="O4:P4"/>
    <mergeCell ref="Q4:R4"/>
    <mergeCell ref="S4:T4"/>
    <mergeCell ref="U4:V4"/>
    <mergeCell ref="W4:X4"/>
    <mergeCell ref="B16:C16"/>
    <mergeCell ref="Q16:R16"/>
    <mergeCell ref="T16:U16"/>
    <mergeCell ref="V16:X16"/>
    <mergeCell ref="A12:B12"/>
    <mergeCell ref="B14:C14"/>
    <mergeCell ref="Q14:R14"/>
    <mergeCell ref="T14:T15"/>
    <mergeCell ref="V14:X14"/>
    <mergeCell ref="B15:C15"/>
    <mergeCell ref="Q15:R15"/>
    <mergeCell ref="V15:X15"/>
    <mergeCell ref="B17:C17"/>
    <mergeCell ref="Q17:R17"/>
    <mergeCell ref="T17:U17"/>
    <mergeCell ref="V17:X17"/>
    <mergeCell ref="B18:C18"/>
    <mergeCell ref="Q18:R18"/>
    <mergeCell ref="T18:U18"/>
    <mergeCell ref="V18:X18"/>
    <mergeCell ref="Y18:Y24"/>
    <mergeCell ref="B19:C19"/>
    <mergeCell ref="Q19:R19"/>
    <mergeCell ref="T19:T20"/>
    <mergeCell ref="V19:X19"/>
    <mergeCell ref="B20:C20"/>
    <mergeCell ref="B22:B24"/>
    <mergeCell ref="C22:C23"/>
    <mergeCell ref="D22:D23"/>
    <mergeCell ref="E22:E23"/>
    <mergeCell ref="F22:F23"/>
    <mergeCell ref="Q20:R20"/>
    <mergeCell ref="V20:X20"/>
    <mergeCell ref="B21:C21"/>
    <mergeCell ref="T21:U21"/>
    <mergeCell ref="V21:X21"/>
    <mergeCell ref="I32:J32"/>
    <mergeCell ref="K32:L32"/>
    <mergeCell ref="K33:L33"/>
    <mergeCell ref="T22:T23"/>
    <mergeCell ref="V22:X22"/>
    <mergeCell ref="V23:X23"/>
    <mergeCell ref="T24:T25"/>
    <mergeCell ref="V24:X24"/>
    <mergeCell ref="V25:X25"/>
  </mergeCells>
  <pageMargins left="0.15748031496063" right="0.15748031496063" top="0" bottom="0" header="0" footer="0"/>
  <pageSetup paperSize="9" scale="46" orientation="landscape" r:id="rId1"/>
</worksheet>
</file>

<file path=xl/worksheets/sheet3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6589B49-02A6-4334-A6E4-6A948B38F8BD}">
  <sheetPr>
    <pageSetUpPr fitToPage="1"/>
  </sheetPr>
  <dimension ref="A1:Y33"/>
  <sheetViews>
    <sheetView topLeftCell="A10" zoomScale="70" zoomScaleNormal="70" zoomScaleSheetLayoutView="100" zoomScalePageLayoutView="68" workbookViewId="0">
      <selection activeCell="K25" sqref="K25"/>
    </sheetView>
  </sheetViews>
  <sheetFormatPr defaultColWidth="9.140625" defaultRowHeight="15" x14ac:dyDescent="0.25"/>
  <cols>
    <col min="1" max="1" width="18.28515625" style="14" customWidth="1"/>
    <col min="2" max="2" width="10.7109375" style="14" customWidth="1"/>
    <col min="3" max="3" width="12.28515625" style="14" customWidth="1"/>
    <col min="4" max="4" width="13.140625" style="14" bestFit="1" customWidth="1"/>
    <col min="5" max="5" width="12" style="14" customWidth="1"/>
    <col min="6" max="6" width="14" style="14" bestFit="1" customWidth="1"/>
    <col min="7" max="7" width="16" style="14" bestFit="1" customWidth="1"/>
    <col min="8" max="8" width="10.140625" style="14" bestFit="1" customWidth="1"/>
    <col min="9" max="9" width="10.5703125" style="14" bestFit="1" customWidth="1"/>
    <col min="10" max="10" width="10.5703125" style="14" customWidth="1"/>
    <col min="11" max="11" width="10.28515625" style="14" bestFit="1" customWidth="1"/>
    <col min="12" max="12" width="10.42578125" style="14" bestFit="1" customWidth="1"/>
    <col min="13" max="14" width="12" style="14" bestFit="1" customWidth="1"/>
    <col min="15" max="15" width="11" style="14" customWidth="1"/>
    <col min="16" max="16" width="12.85546875" style="14" bestFit="1" customWidth="1"/>
    <col min="17" max="18" width="9.42578125" style="14" customWidth="1"/>
    <col min="19" max="19" width="13.7109375" style="14" customWidth="1"/>
    <col min="20" max="20" width="12.140625" style="14" customWidth="1"/>
    <col min="21" max="21" width="21.7109375" style="14" customWidth="1"/>
    <col min="22" max="22" width="9.85546875" style="14" customWidth="1"/>
    <col min="23" max="23" width="10.140625" style="14" bestFit="1" customWidth="1"/>
    <col min="24" max="24" width="10.28515625" style="14" customWidth="1"/>
    <col min="25" max="25" width="15.7109375" style="14" customWidth="1"/>
    <col min="26" max="16384" width="9.140625" style="14"/>
  </cols>
  <sheetData>
    <row r="1" spans="1:25" ht="46.15" customHeight="1" x14ac:dyDescent="0.25">
      <c r="A1" s="2240" t="s">
        <v>148</v>
      </c>
      <c r="B1" s="2240"/>
      <c r="C1" s="2240"/>
      <c r="D1" s="2240"/>
      <c r="E1" s="2240"/>
      <c r="F1" s="2240"/>
      <c r="G1" s="2240"/>
      <c r="H1" s="2240"/>
      <c r="I1" s="2240"/>
      <c r="J1" s="2240"/>
      <c r="K1" s="2240"/>
      <c r="L1" s="2240"/>
      <c r="M1" s="2240"/>
      <c r="N1" s="2240"/>
      <c r="O1" s="2240"/>
      <c r="P1" s="2240"/>
      <c r="Q1" s="2240"/>
      <c r="R1" s="2240"/>
      <c r="S1" s="2240"/>
      <c r="T1" s="2240"/>
      <c r="U1" s="2240"/>
      <c r="V1" s="2240"/>
      <c r="W1" s="2240"/>
      <c r="X1" s="2240"/>
      <c r="Y1" s="2240"/>
    </row>
    <row r="2" spans="1:25" ht="21.6" customHeight="1" x14ac:dyDescent="0.25">
      <c r="A2" s="2241" t="s">
        <v>383</v>
      </c>
      <c r="B2" s="2241"/>
      <c r="C2" s="2241"/>
      <c r="D2" s="2241"/>
      <c r="E2" s="2241"/>
      <c r="F2" s="2241"/>
      <c r="G2" s="2241"/>
      <c r="H2" s="2241"/>
      <c r="I2" s="2241"/>
      <c r="J2" s="2241"/>
      <c r="K2" s="2241"/>
      <c r="L2" s="2241"/>
      <c r="M2" s="2241"/>
      <c r="N2" s="2241"/>
      <c r="O2" s="2241"/>
      <c r="P2" s="2241"/>
      <c r="Q2" s="2241"/>
      <c r="R2" s="2241"/>
      <c r="S2" s="2241"/>
      <c r="T2" s="2241"/>
      <c r="U2" s="2241"/>
      <c r="V2" s="2241"/>
      <c r="W2" s="2241"/>
      <c r="X2" s="2241"/>
      <c r="Y2" s="2241"/>
    </row>
    <row r="3" spans="1:25" ht="21" customHeight="1" x14ac:dyDescent="0.25">
      <c r="A3" s="2011"/>
      <c r="B3" s="2011"/>
      <c r="C3" s="2011"/>
      <c r="D3" s="2011"/>
      <c r="E3" s="2011"/>
      <c r="F3" s="2011"/>
      <c r="G3" s="2011"/>
      <c r="H3" s="2011"/>
      <c r="I3" s="2011"/>
      <c r="J3" s="2011"/>
      <c r="K3" s="2011"/>
      <c r="L3" s="2011"/>
      <c r="M3" s="2011"/>
      <c r="N3" s="2011"/>
      <c r="O3" s="2011"/>
      <c r="P3" s="2011"/>
      <c r="Q3" s="2011"/>
      <c r="R3" s="2011"/>
      <c r="S3" s="2011"/>
      <c r="T3" s="2242" t="s">
        <v>574</v>
      </c>
      <c r="U3" s="2242"/>
      <c r="V3" s="2242"/>
      <c r="W3" s="2242"/>
      <c r="X3" s="2242"/>
      <c r="Y3" s="2242"/>
    </row>
    <row r="4" spans="1:25" s="2011" customFormat="1" ht="18" customHeight="1" x14ac:dyDescent="0.25">
      <c r="A4" s="2243" t="s">
        <v>25</v>
      </c>
      <c r="B4" s="2243" t="s">
        <v>26</v>
      </c>
      <c r="C4" s="2244" t="s">
        <v>27</v>
      </c>
      <c r="D4" s="2244"/>
      <c r="E4" s="2244" t="s">
        <v>544</v>
      </c>
      <c r="F4" s="2244"/>
      <c r="G4" s="2244" t="s">
        <v>65</v>
      </c>
      <c r="H4" s="2244"/>
      <c r="I4" s="2244" t="s">
        <v>29</v>
      </c>
      <c r="J4" s="2244"/>
      <c r="K4" s="2245" t="s">
        <v>14</v>
      </c>
      <c r="L4" s="2246"/>
      <c r="M4" s="2245" t="s">
        <v>429</v>
      </c>
      <c r="N4" s="2246"/>
      <c r="O4" s="2245" t="s">
        <v>441</v>
      </c>
      <c r="P4" s="2246"/>
      <c r="Q4" s="2245" t="s">
        <v>114</v>
      </c>
      <c r="R4" s="2246"/>
      <c r="S4" s="2244" t="s">
        <v>35</v>
      </c>
      <c r="T4" s="2244"/>
      <c r="U4" s="2245" t="s">
        <v>17</v>
      </c>
      <c r="V4" s="2246"/>
      <c r="W4" s="2247" t="s">
        <v>36</v>
      </c>
      <c r="X4" s="2248"/>
      <c r="Y4" s="2238" t="s">
        <v>30</v>
      </c>
    </row>
    <row r="5" spans="1:25" s="2011" customFormat="1" ht="25.5" customHeight="1" x14ac:dyDescent="0.25">
      <c r="A5" s="2243"/>
      <c r="B5" s="2243"/>
      <c r="C5" s="2013" t="s">
        <v>42</v>
      </c>
      <c r="D5" s="2013" t="s">
        <v>43</v>
      </c>
      <c r="E5" s="2013" t="s">
        <v>42</v>
      </c>
      <c r="F5" s="2013" t="s">
        <v>43</v>
      </c>
      <c r="G5" s="2013" t="s">
        <v>42</v>
      </c>
      <c r="H5" s="2013" t="s">
        <v>43</v>
      </c>
      <c r="I5" s="2013" t="s">
        <v>42</v>
      </c>
      <c r="J5" s="2013" t="s">
        <v>43</v>
      </c>
      <c r="K5" s="2013" t="s">
        <v>42</v>
      </c>
      <c r="L5" s="2013" t="s">
        <v>43</v>
      </c>
      <c r="M5" s="2013" t="s">
        <v>42</v>
      </c>
      <c r="N5" s="2013" t="s">
        <v>43</v>
      </c>
      <c r="O5" s="2013" t="s">
        <v>42</v>
      </c>
      <c r="P5" s="2013" t="s">
        <v>43</v>
      </c>
      <c r="Q5" s="2013" t="s">
        <v>42</v>
      </c>
      <c r="R5" s="2013" t="s">
        <v>43</v>
      </c>
      <c r="S5" s="33" t="s">
        <v>42</v>
      </c>
      <c r="T5" s="33" t="s">
        <v>43</v>
      </c>
      <c r="U5" s="30" t="s">
        <v>42</v>
      </c>
      <c r="V5" s="30" t="s">
        <v>43</v>
      </c>
      <c r="W5" s="30" t="s">
        <v>42</v>
      </c>
      <c r="X5" s="30" t="s">
        <v>43</v>
      </c>
      <c r="Y5" s="2239"/>
    </row>
    <row r="6" spans="1:25" ht="34.5" customHeight="1" x14ac:dyDescent="0.25">
      <c r="A6" s="12">
        <v>1409935200</v>
      </c>
      <c r="B6" s="2012" t="s">
        <v>71</v>
      </c>
      <c r="C6" s="2015">
        <v>28166</v>
      </c>
      <c r="D6" s="2016">
        <f t="shared" ref="D6:D11" si="0">0.9725*C6</f>
        <v>27391.435000000001</v>
      </c>
      <c r="E6" s="2015"/>
      <c r="F6" s="2016">
        <f>19.68*E6</f>
        <v>0</v>
      </c>
      <c r="G6" s="2015"/>
      <c r="H6" s="2016">
        <f t="shared" ref="H6:H11" si="1">28.26*G6</f>
        <v>0</v>
      </c>
      <c r="I6" s="2015"/>
      <c r="J6" s="2016">
        <f>18.82*I6</f>
        <v>0</v>
      </c>
      <c r="K6" s="2015">
        <v>500</v>
      </c>
      <c r="L6" s="2016">
        <f>28.25*K6</f>
        <v>14125</v>
      </c>
      <c r="M6" s="2015"/>
      <c r="N6" s="2016">
        <f>M6*47.6525</f>
        <v>0</v>
      </c>
      <c r="O6" s="2015"/>
      <c r="P6" s="2016">
        <f>O6*8.9</f>
        <v>0</v>
      </c>
      <c r="Q6" s="2016"/>
      <c r="R6" s="2016">
        <f>241*Q6</f>
        <v>0</v>
      </c>
      <c r="S6" s="2015"/>
      <c r="T6" s="2015">
        <f>470*S6</f>
        <v>0</v>
      </c>
      <c r="U6" s="2015"/>
      <c r="V6" s="2015">
        <f>332*U6</f>
        <v>0</v>
      </c>
      <c r="W6" s="2015"/>
      <c r="X6" s="19">
        <f>W6*100</f>
        <v>0</v>
      </c>
      <c r="Y6" s="20">
        <f t="shared" ref="Y6:Y12" si="2">D6+F6+H6+J6+L6+N6+P6+R6+T6+V6+X6</f>
        <v>41516.434999999998</v>
      </c>
    </row>
    <row r="7" spans="1:25" ht="36.75" customHeight="1" x14ac:dyDescent="0.25">
      <c r="A7" s="12">
        <v>1984225578</v>
      </c>
      <c r="B7" s="2012" t="s">
        <v>509</v>
      </c>
      <c r="C7" s="2015">
        <v>20000</v>
      </c>
      <c r="D7" s="2016">
        <f t="shared" si="0"/>
        <v>19450</v>
      </c>
      <c r="E7" s="2015"/>
      <c r="F7" s="2016">
        <f t="shared" ref="F7:F11" si="3">19.68*E7</f>
        <v>0</v>
      </c>
      <c r="G7" s="2015"/>
      <c r="H7" s="2016">
        <f t="shared" si="1"/>
        <v>0</v>
      </c>
      <c r="I7" s="2015"/>
      <c r="J7" s="2016">
        <f t="shared" ref="J7:J11" si="4">18.82*I7</f>
        <v>0</v>
      </c>
      <c r="K7" s="2015">
        <v>60</v>
      </c>
      <c r="L7" s="2016">
        <f t="shared" ref="L7:L11" si="5">28.25*K7</f>
        <v>1695</v>
      </c>
      <c r="M7" s="2015"/>
      <c r="N7" s="2016">
        <f t="shared" ref="N7:N11" si="6">M7*47.6525</f>
        <v>0</v>
      </c>
      <c r="O7" s="2015"/>
      <c r="P7" s="2016">
        <f t="shared" ref="P7:P11" si="7">O7*8.9</f>
        <v>0</v>
      </c>
      <c r="Q7" s="2016"/>
      <c r="R7" s="2016">
        <f t="shared" ref="R7:R11" si="8">241*Q7</f>
        <v>0</v>
      </c>
      <c r="S7" s="2015"/>
      <c r="T7" s="2015">
        <f t="shared" ref="T7:T9" si="9">470*S7</f>
        <v>0</v>
      </c>
      <c r="U7" s="2015">
        <v>25</v>
      </c>
      <c r="V7" s="2015">
        <f t="shared" ref="V7:V11" si="10">332*U7</f>
        <v>8300</v>
      </c>
      <c r="W7" s="2015"/>
      <c r="X7" s="19">
        <f t="shared" ref="X7:X11" si="11">W7*100</f>
        <v>0</v>
      </c>
      <c r="Y7" s="20">
        <f t="shared" si="2"/>
        <v>29445</v>
      </c>
    </row>
    <row r="8" spans="1:25" ht="35.25" customHeight="1" x14ac:dyDescent="0.25">
      <c r="A8" s="12">
        <v>1967020280</v>
      </c>
      <c r="B8" s="2012" t="s">
        <v>427</v>
      </c>
      <c r="C8" s="2015">
        <v>23887</v>
      </c>
      <c r="D8" s="2016">
        <f t="shared" si="0"/>
        <v>23230.107500000002</v>
      </c>
      <c r="E8" s="2015"/>
      <c r="F8" s="2016">
        <f t="shared" si="3"/>
        <v>0</v>
      </c>
      <c r="G8" s="2015"/>
      <c r="H8" s="2016">
        <f t="shared" si="1"/>
        <v>0</v>
      </c>
      <c r="I8" s="2015"/>
      <c r="J8" s="2016">
        <f t="shared" si="4"/>
        <v>0</v>
      </c>
      <c r="K8" s="2015">
        <v>40</v>
      </c>
      <c r="L8" s="2016">
        <f t="shared" si="5"/>
        <v>1130</v>
      </c>
      <c r="M8" s="2015"/>
      <c r="N8" s="2016">
        <f t="shared" si="6"/>
        <v>0</v>
      </c>
      <c r="O8" s="2015"/>
      <c r="P8" s="2016">
        <f t="shared" si="7"/>
        <v>0</v>
      </c>
      <c r="Q8" s="2016"/>
      <c r="R8" s="2016">
        <f t="shared" si="8"/>
        <v>0</v>
      </c>
      <c r="S8" s="2015"/>
      <c r="T8" s="2015">
        <f t="shared" si="9"/>
        <v>0</v>
      </c>
      <c r="U8" s="2015"/>
      <c r="V8" s="2015">
        <f t="shared" si="10"/>
        <v>0</v>
      </c>
      <c r="W8" s="2015"/>
      <c r="X8" s="19">
        <f t="shared" si="11"/>
        <v>0</v>
      </c>
      <c r="Y8" s="20">
        <f t="shared" si="2"/>
        <v>24360.107500000002</v>
      </c>
    </row>
    <row r="9" spans="1:25" ht="38.25" customHeight="1" x14ac:dyDescent="0.25">
      <c r="A9" s="12">
        <v>1984225580</v>
      </c>
      <c r="B9" s="2012" t="s">
        <v>74</v>
      </c>
      <c r="C9" s="2015">
        <v>32992</v>
      </c>
      <c r="D9" s="2016">
        <f t="shared" si="0"/>
        <v>32084.720000000001</v>
      </c>
      <c r="E9" s="2015"/>
      <c r="F9" s="2016">
        <f t="shared" si="3"/>
        <v>0</v>
      </c>
      <c r="G9" s="2015"/>
      <c r="H9" s="2016">
        <f t="shared" si="1"/>
        <v>0</v>
      </c>
      <c r="I9" s="2015"/>
      <c r="J9" s="2016">
        <f t="shared" si="4"/>
        <v>0</v>
      </c>
      <c r="K9" s="2015">
        <v>100</v>
      </c>
      <c r="L9" s="2016">
        <f t="shared" si="5"/>
        <v>2825</v>
      </c>
      <c r="M9" s="2015"/>
      <c r="N9" s="2016">
        <f t="shared" si="6"/>
        <v>0</v>
      </c>
      <c r="O9" s="2015"/>
      <c r="P9" s="2016">
        <f t="shared" si="7"/>
        <v>0</v>
      </c>
      <c r="Q9" s="2016"/>
      <c r="R9" s="2016">
        <f t="shared" si="8"/>
        <v>0</v>
      </c>
      <c r="S9" s="2015"/>
      <c r="T9" s="2015">
        <f t="shared" si="9"/>
        <v>0</v>
      </c>
      <c r="U9" s="2015">
        <v>3</v>
      </c>
      <c r="V9" s="2015">
        <f t="shared" si="10"/>
        <v>996</v>
      </c>
      <c r="W9" s="2015"/>
      <c r="X9" s="19">
        <f t="shared" si="11"/>
        <v>0</v>
      </c>
      <c r="Y9" s="20">
        <f t="shared" si="2"/>
        <v>35905.72</v>
      </c>
    </row>
    <row r="10" spans="1:25" ht="35.25" customHeight="1" x14ac:dyDescent="0.25">
      <c r="A10" s="12">
        <v>1409935199</v>
      </c>
      <c r="C10" s="2015"/>
      <c r="D10" s="2016">
        <f t="shared" si="0"/>
        <v>0</v>
      </c>
      <c r="E10" s="2015"/>
      <c r="F10" s="2016">
        <f t="shared" si="3"/>
        <v>0</v>
      </c>
      <c r="G10" s="2015"/>
      <c r="H10" s="2016">
        <f t="shared" si="1"/>
        <v>0</v>
      </c>
      <c r="I10" s="2015"/>
      <c r="J10" s="2016">
        <f t="shared" si="4"/>
        <v>0</v>
      </c>
      <c r="K10" s="2015"/>
      <c r="L10" s="2016">
        <f t="shared" si="5"/>
        <v>0</v>
      </c>
      <c r="M10" s="2015"/>
      <c r="N10" s="2016">
        <f t="shared" si="6"/>
        <v>0</v>
      </c>
      <c r="O10" s="2015"/>
      <c r="P10" s="2016">
        <f t="shared" si="7"/>
        <v>0</v>
      </c>
      <c r="Q10" s="2016"/>
      <c r="R10" s="2016">
        <f t="shared" si="8"/>
        <v>0</v>
      </c>
      <c r="S10" s="2015"/>
      <c r="T10" s="2015">
        <f>341*S10</f>
        <v>0</v>
      </c>
      <c r="U10" s="2015">
        <v>1</v>
      </c>
      <c r="V10" s="2015">
        <f t="shared" si="10"/>
        <v>332</v>
      </c>
      <c r="W10" s="2015"/>
      <c r="X10" s="19">
        <f t="shared" si="11"/>
        <v>0</v>
      </c>
      <c r="Y10" s="20">
        <f t="shared" si="2"/>
        <v>332</v>
      </c>
    </row>
    <row r="11" spans="1:25" ht="37.5" customHeight="1" x14ac:dyDescent="0.25">
      <c r="A11" s="12"/>
      <c r="B11" s="2014"/>
      <c r="C11" s="2015"/>
      <c r="D11" s="2016">
        <f t="shared" si="0"/>
        <v>0</v>
      </c>
      <c r="E11" s="2015"/>
      <c r="F11" s="2016">
        <f t="shared" si="3"/>
        <v>0</v>
      </c>
      <c r="G11" s="2015"/>
      <c r="H11" s="2016">
        <f t="shared" si="1"/>
        <v>0</v>
      </c>
      <c r="I11" s="2015"/>
      <c r="J11" s="2016">
        <f t="shared" si="4"/>
        <v>0</v>
      </c>
      <c r="K11" s="2015"/>
      <c r="L11" s="2016">
        <f t="shared" si="5"/>
        <v>0</v>
      </c>
      <c r="M11" s="2015"/>
      <c r="N11" s="2016">
        <f t="shared" si="6"/>
        <v>0</v>
      </c>
      <c r="O11" s="2015"/>
      <c r="P11" s="2016">
        <f t="shared" si="7"/>
        <v>0</v>
      </c>
      <c r="Q11" s="2016"/>
      <c r="R11" s="2016">
        <f t="shared" si="8"/>
        <v>0</v>
      </c>
      <c r="S11" s="2015"/>
      <c r="T11" s="2015">
        <f>241*S11</f>
        <v>0</v>
      </c>
      <c r="U11" s="2015"/>
      <c r="V11" s="2015">
        <f t="shared" si="10"/>
        <v>0</v>
      </c>
      <c r="W11" s="2015"/>
      <c r="X11" s="19">
        <f t="shared" si="11"/>
        <v>0</v>
      </c>
      <c r="Y11" s="20">
        <f t="shared" si="2"/>
        <v>0</v>
      </c>
    </row>
    <row r="12" spans="1:25" ht="29.25" customHeight="1" x14ac:dyDescent="0.25">
      <c r="A12" s="2235" t="s">
        <v>31</v>
      </c>
      <c r="B12" s="2235"/>
      <c r="C12" s="18">
        <f t="shared" ref="C12:X12" si="12">SUM(C6:C11)</f>
        <v>105045</v>
      </c>
      <c r="D12" s="18">
        <f t="shared" si="12"/>
        <v>102156.2625</v>
      </c>
      <c r="E12" s="18">
        <f t="shared" si="12"/>
        <v>0</v>
      </c>
      <c r="F12" s="18">
        <f t="shared" si="12"/>
        <v>0</v>
      </c>
      <c r="G12" s="18">
        <f t="shared" si="12"/>
        <v>0</v>
      </c>
      <c r="H12" s="18">
        <f t="shared" si="12"/>
        <v>0</v>
      </c>
      <c r="I12" s="18">
        <f t="shared" si="12"/>
        <v>0</v>
      </c>
      <c r="J12" s="18">
        <f t="shared" si="12"/>
        <v>0</v>
      </c>
      <c r="K12" s="18">
        <f t="shared" si="12"/>
        <v>700</v>
      </c>
      <c r="L12" s="18">
        <f t="shared" si="12"/>
        <v>19775</v>
      </c>
      <c r="M12" s="18">
        <f t="shared" si="12"/>
        <v>0</v>
      </c>
      <c r="N12" s="23">
        <f t="shared" si="12"/>
        <v>0</v>
      </c>
      <c r="O12" s="18">
        <f t="shared" si="12"/>
        <v>0</v>
      </c>
      <c r="P12" s="23">
        <f t="shared" si="12"/>
        <v>0</v>
      </c>
      <c r="Q12" s="23">
        <f t="shared" si="12"/>
        <v>0</v>
      </c>
      <c r="R12" s="23">
        <f>SUM(R6:R11)</f>
        <v>0</v>
      </c>
      <c r="S12" s="23">
        <f>SUM(S6:S11)</f>
        <v>0</v>
      </c>
      <c r="T12" s="18">
        <f t="shared" si="12"/>
        <v>0</v>
      </c>
      <c r="U12" s="18">
        <f t="shared" si="12"/>
        <v>29</v>
      </c>
      <c r="V12" s="18">
        <f t="shared" si="12"/>
        <v>9628</v>
      </c>
      <c r="W12" s="18">
        <f t="shared" si="12"/>
        <v>0</v>
      </c>
      <c r="X12" s="18">
        <f t="shared" si="12"/>
        <v>0</v>
      </c>
      <c r="Y12" s="20">
        <f t="shared" si="2"/>
        <v>131559.26250000001</v>
      </c>
    </row>
    <row r="14" spans="1:25" ht="43.5" customHeight="1" x14ac:dyDescent="0.25">
      <c r="A14" s="30" t="s">
        <v>32</v>
      </c>
      <c r="B14" s="2236" t="s">
        <v>27</v>
      </c>
      <c r="C14" s="2236"/>
      <c r="D14" s="30" t="s">
        <v>543</v>
      </c>
      <c r="E14" s="30" t="s">
        <v>65</v>
      </c>
      <c r="F14" s="30" t="s">
        <v>34</v>
      </c>
      <c r="G14" s="30" t="s">
        <v>14</v>
      </c>
      <c r="H14" s="469" t="s">
        <v>173</v>
      </c>
      <c r="I14" s="30" t="s">
        <v>17</v>
      </c>
      <c r="J14" s="2020" t="s">
        <v>174</v>
      </c>
      <c r="K14" s="30" t="s">
        <v>36</v>
      </c>
      <c r="L14" s="2020" t="s">
        <v>403</v>
      </c>
      <c r="M14" s="2020" t="s">
        <v>549</v>
      </c>
      <c r="N14" s="30" t="s">
        <v>442</v>
      </c>
      <c r="O14" s="2020" t="s">
        <v>114</v>
      </c>
      <c r="P14" s="30" t="s">
        <v>70</v>
      </c>
      <c r="Q14" s="2300" t="s">
        <v>479</v>
      </c>
      <c r="R14" s="2301"/>
      <c r="S14" s="2020" t="s">
        <v>401</v>
      </c>
      <c r="T14" s="2235" t="s">
        <v>46</v>
      </c>
      <c r="U14" s="2012" t="s">
        <v>176</v>
      </c>
      <c r="V14" s="2260">
        <v>10933</v>
      </c>
      <c r="W14" s="2268"/>
      <c r="X14" s="2261"/>
    </row>
    <row r="15" spans="1:25" ht="22.5" customHeight="1" x14ac:dyDescent="0.25">
      <c r="A15" s="100" t="s">
        <v>38</v>
      </c>
      <c r="B15" s="2260">
        <v>476175</v>
      </c>
      <c r="C15" s="2261"/>
      <c r="D15" s="2017">
        <v>0</v>
      </c>
      <c r="E15" s="2017">
        <v>500</v>
      </c>
      <c r="F15" s="2017">
        <v>4500</v>
      </c>
      <c r="G15" s="2017">
        <v>3150</v>
      </c>
      <c r="H15" s="2017">
        <v>38</v>
      </c>
      <c r="I15" s="2017">
        <v>114</v>
      </c>
      <c r="J15" s="2017"/>
      <c r="K15" s="2017">
        <v>92</v>
      </c>
      <c r="L15" s="2017">
        <v>12</v>
      </c>
      <c r="M15" s="2017">
        <v>18</v>
      </c>
      <c r="N15" s="2017">
        <v>0</v>
      </c>
      <c r="O15" s="2017">
        <v>0</v>
      </c>
      <c r="P15" s="2017">
        <v>100</v>
      </c>
      <c r="Q15" s="2260">
        <v>10</v>
      </c>
      <c r="R15" s="2261"/>
      <c r="S15" s="2012"/>
      <c r="T15" s="2235"/>
      <c r="U15" s="2012" t="s">
        <v>64</v>
      </c>
      <c r="V15" s="2262">
        <v>13494</v>
      </c>
      <c r="W15" s="2262"/>
      <c r="X15" s="2262"/>
    </row>
    <row r="16" spans="1:25" ht="24.75" customHeight="1" x14ac:dyDescent="0.25">
      <c r="A16" s="100" t="s">
        <v>39</v>
      </c>
      <c r="B16" s="2260"/>
      <c r="C16" s="2261"/>
      <c r="D16" s="2017"/>
      <c r="E16" s="2017"/>
      <c r="F16" s="2017"/>
      <c r="G16" s="2017"/>
      <c r="H16" s="2017">
        <v>1</v>
      </c>
      <c r="I16" s="2017"/>
      <c r="J16" s="2017"/>
      <c r="K16" s="2017"/>
      <c r="L16" s="2017"/>
      <c r="M16" s="2017"/>
      <c r="N16" s="2017"/>
      <c r="O16" s="2017"/>
      <c r="P16" s="2017"/>
      <c r="Q16" s="2262"/>
      <c r="R16" s="2262"/>
      <c r="S16" s="2017"/>
      <c r="T16" s="2254" t="s">
        <v>55</v>
      </c>
      <c r="U16" s="2254"/>
      <c r="V16" s="2267">
        <f>Y12</f>
        <v>131559.26250000001</v>
      </c>
      <c r="W16" s="2267"/>
      <c r="X16" s="2262"/>
    </row>
    <row r="17" spans="1:25" ht="28.5" customHeight="1" x14ac:dyDescent="0.25">
      <c r="A17" s="101" t="s">
        <v>44</v>
      </c>
      <c r="B17" s="2260"/>
      <c r="C17" s="2261"/>
      <c r="D17" s="2017"/>
      <c r="E17" s="2017"/>
      <c r="F17" s="2017"/>
      <c r="G17" s="2017"/>
      <c r="H17" s="2017"/>
      <c r="I17" s="2017"/>
      <c r="J17" s="2017"/>
      <c r="K17" s="2017"/>
      <c r="L17" s="2017"/>
      <c r="M17" s="2017"/>
      <c r="N17" s="2017"/>
      <c r="O17" s="2017"/>
      <c r="P17" s="2017"/>
      <c r="Q17" s="2225"/>
      <c r="R17" s="2225"/>
      <c r="S17" s="2014"/>
      <c r="T17" s="2294" t="s">
        <v>521</v>
      </c>
      <c r="U17" s="2295"/>
      <c r="V17" s="2296"/>
      <c r="W17" s="2296"/>
      <c r="X17" s="2296"/>
    </row>
    <row r="18" spans="1:25" ht="27" customHeight="1" x14ac:dyDescent="0.25">
      <c r="A18" s="100" t="s">
        <v>40</v>
      </c>
      <c r="B18" s="2264">
        <f>C12</f>
        <v>105045</v>
      </c>
      <c r="C18" s="2261"/>
      <c r="D18" s="2018">
        <f>E12</f>
        <v>0</v>
      </c>
      <c r="E18" s="2018">
        <f>G12</f>
        <v>0</v>
      </c>
      <c r="F18" s="2018">
        <f>I12</f>
        <v>0</v>
      </c>
      <c r="G18" s="2018">
        <f>K12</f>
        <v>700</v>
      </c>
      <c r="H18" s="2017"/>
      <c r="I18" s="2018">
        <f>U12</f>
        <v>29</v>
      </c>
      <c r="J18" s="2017"/>
      <c r="K18" s="2018">
        <f>W12</f>
        <v>0</v>
      </c>
      <c r="L18" s="2017"/>
      <c r="M18" s="2018"/>
      <c r="N18" s="2018">
        <f>O12</f>
        <v>0</v>
      </c>
      <c r="O18" s="2019">
        <f>Q12</f>
        <v>0</v>
      </c>
      <c r="P18" s="2018"/>
      <c r="Q18" s="2262"/>
      <c r="R18" s="2262"/>
      <c r="S18" s="2012"/>
      <c r="T18" s="2254" t="s">
        <v>57</v>
      </c>
      <c r="U18" s="2254"/>
      <c r="V18" s="2262">
        <v>620</v>
      </c>
      <c r="W18" s="2262"/>
      <c r="X18" s="2262"/>
      <c r="Y18" s="2269"/>
    </row>
    <row r="19" spans="1:25" ht="25.5" customHeight="1" x14ac:dyDescent="0.25">
      <c r="A19" s="100" t="s">
        <v>41</v>
      </c>
      <c r="B19" s="2260">
        <f>B15+B16+B17-B18</f>
        <v>371130</v>
      </c>
      <c r="C19" s="2261"/>
      <c r="D19" s="2017">
        <f>D15+D16+D17-D18</f>
        <v>0</v>
      </c>
      <c r="E19" s="2017">
        <f t="shared" ref="E19:N19" si="13">E15+E16+E17-E18</f>
        <v>500</v>
      </c>
      <c r="F19" s="2017">
        <f t="shared" si="13"/>
        <v>4500</v>
      </c>
      <c r="G19" s="2017">
        <f t="shared" si="13"/>
        <v>2450</v>
      </c>
      <c r="H19" s="2017">
        <f t="shared" si="13"/>
        <v>39</v>
      </c>
      <c r="I19" s="2017">
        <f t="shared" si="13"/>
        <v>85</v>
      </c>
      <c r="J19" s="2017">
        <f t="shared" si="13"/>
        <v>0</v>
      </c>
      <c r="K19" s="2017">
        <f t="shared" si="13"/>
        <v>92</v>
      </c>
      <c r="L19" s="2017">
        <f t="shared" si="13"/>
        <v>12</v>
      </c>
      <c r="M19" s="2017">
        <f t="shared" si="13"/>
        <v>18</v>
      </c>
      <c r="N19" s="2017">
        <f t="shared" si="13"/>
        <v>0</v>
      </c>
      <c r="O19" s="2017">
        <f>O15+O16+O17-O18</f>
        <v>0</v>
      </c>
      <c r="P19" s="2017">
        <f t="shared" ref="P19:Q19" si="14">P15+P16+P17-P18</f>
        <v>100</v>
      </c>
      <c r="Q19" s="2260">
        <f t="shared" si="14"/>
        <v>10</v>
      </c>
      <c r="R19" s="2261"/>
      <c r="S19" s="2012">
        <f>S15+S16-S17-S18</f>
        <v>0</v>
      </c>
      <c r="T19" s="2256" t="s">
        <v>48</v>
      </c>
      <c r="U19" s="49" t="s">
        <v>58</v>
      </c>
      <c r="V19" s="2262"/>
      <c r="W19" s="2262"/>
      <c r="X19" s="2262"/>
      <c r="Y19" s="2269"/>
    </row>
    <row r="20" spans="1:25" ht="23.25" customHeight="1" x14ac:dyDescent="0.25">
      <c r="A20" s="289" t="s">
        <v>187</v>
      </c>
      <c r="B20" s="2286">
        <f>B19*0.9625</f>
        <v>357212.625</v>
      </c>
      <c r="C20" s="2287"/>
      <c r="D20" s="290">
        <f>D19*19.48</f>
        <v>0</v>
      </c>
      <c r="E20" s="290">
        <f>27.97*E19</f>
        <v>13985</v>
      </c>
      <c r="F20" s="290">
        <f>18.63*F19</f>
        <v>83835</v>
      </c>
      <c r="G20" s="290">
        <f>27.9468*G19</f>
        <v>68469.66</v>
      </c>
      <c r="H20" s="290">
        <f>241*H19</f>
        <v>9399</v>
      </c>
      <c r="I20" s="290">
        <f>323*I19</f>
        <v>27455</v>
      </c>
      <c r="J20" s="290">
        <f>241*J19</f>
        <v>0</v>
      </c>
      <c r="K20" s="290">
        <f>K19*100</f>
        <v>9200</v>
      </c>
      <c r="L20" s="290">
        <f>470*L19</f>
        <v>5640</v>
      </c>
      <c r="M20" s="290">
        <f>470*M19</f>
        <v>8460</v>
      </c>
      <c r="N20" s="290">
        <f>N19*8.81</f>
        <v>0</v>
      </c>
      <c r="O20" s="290">
        <f>241*O19</f>
        <v>0</v>
      </c>
      <c r="P20" s="290">
        <f>P19*48.2</f>
        <v>4820</v>
      </c>
      <c r="Q20" s="2286">
        <f>470*Q19</f>
        <v>4700</v>
      </c>
      <c r="R20" s="2287"/>
      <c r="S20" s="290">
        <f>341*S19</f>
        <v>0</v>
      </c>
      <c r="T20" s="2257"/>
      <c r="U20" s="49" t="s">
        <v>59</v>
      </c>
      <c r="V20" s="2262">
        <v>241</v>
      </c>
      <c r="W20" s="2262"/>
      <c r="X20" s="2262"/>
      <c r="Y20" s="2269"/>
    </row>
    <row r="21" spans="1:25" ht="32.25" customHeight="1" x14ac:dyDescent="0.25">
      <c r="A21" s="291" t="s">
        <v>186</v>
      </c>
      <c r="B21" s="2302">
        <f>SUM(B20:S20)</f>
        <v>593176.28500000003</v>
      </c>
      <c r="C21" s="2302"/>
      <c r="T21" s="2294" t="s">
        <v>518</v>
      </c>
      <c r="U21" s="2295"/>
      <c r="V21" s="2297"/>
      <c r="W21" s="2298"/>
      <c r="X21" s="2299"/>
      <c r="Y21" s="2269"/>
    </row>
    <row r="22" spans="1:25" ht="35.25" customHeight="1" x14ac:dyDescent="0.25">
      <c r="A22" s="1911"/>
      <c r="B22" s="2288" t="s">
        <v>49</v>
      </c>
      <c r="C22" s="2291">
        <v>251000</v>
      </c>
      <c r="D22" s="2291"/>
      <c r="E22" s="2291"/>
      <c r="F22" s="2291">
        <f>C22-D22+E22</f>
        <v>251000</v>
      </c>
      <c r="T22" s="2251" t="s">
        <v>83</v>
      </c>
      <c r="U22" s="50" t="s">
        <v>60</v>
      </c>
      <c r="V22" s="2262"/>
      <c r="W22" s="2262"/>
      <c r="X22" s="2262"/>
      <c r="Y22" s="2269"/>
    </row>
    <row r="23" spans="1:25" ht="39.75" customHeight="1" x14ac:dyDescent="0.25">
      <c r="B23" s="2289"/>
      <c r="C23" s="2292"/>
      <c r="D23" s="2292"/>
      <c r="E23" s="2292"/>
      <c r="F23" s="2292"/>
      <c r="T23" s="2252"/>
      <c r="U23" s="50" t="s">
        <v>61</v>
      </c>
      <c r="V23" s="2262"/>
      <c r="W23" s="2262"/>
      <c r="X23" s="2262"/>
      <c r="Y23" s="2269"/>
    </row>
    <row r="24" spans="1:25" ht="48" customHeight="1" x14ac:dyDescent="0.25">
      <c r="B24" s="2290"/>
      <c r="C24" s="290" t="s">
        <v>46</v>
      </c>
      <c r="D24" s="290" t="s">
        <v>50</v>
      </c>
      <c r="E24" s="290" t="s">
        <v>51</v>
      </c>
      <c r="F24" s="290" t="s">
        <v>52</v>
      </c>
      <c r="T24" s="2235" t="s">
        <v>47</v>
      </c>
      <c r="U24" s="51" t="s">
        <v>62</v>
      </c>
      <c r="V24" s="2263">
        <f>V14+V16+V17-V18-V19-V20-V22+V23-V21</f>
        <v>141631.26250000001</v>
      </c>
      <c r="W24" s="2263"/>
      <c r="X24" s="2263"/>
      <c r="Y24" s="2269"/>
    </row>
    <row r="25" spans="1:25" ht="40.5" customHeight="1" x14ac:dyDescent="0.25">
      <c r="T25" s="2235"/>
      <c r="U25" s="51" t="s">
        <v>63</v>
      </c>
      <c r="V25" s="2262">
        <f>V15+V22-V23</f>
        <v>13494</v>
      </c>
      <c r="W25" s="2262"/>
      <c r="X25" s="2262"/>
    </row>
    <row r="26" spans="1:25" ht="36" customHeight="1" x14ac:dyDescent="0.25">
      <c r="K26" s="314"/>
    </row>
    <row r="28" spans="1:25" x14ac:dyDescent="0.25">
      <c r="J28" s="14" t="s">
        <v>139</v>
      </c>
    </row>
    <row r="32" spans="1:25" x14ac:dyDescent="0.25">
      <c r="I32" s="2280"/>
      <c r="J32" s="2280"/>
      <c r="K32" s="2280"/>
      <c r="L32" s="2280"/>
    </row>
    <row r="33" spans="9:12" x14ac:dyDescent="0.25">
      <c r="I33" s="2021"/>
      <c r="J33" s="2021"/>
      <c r="K33" s="2280"/>
      <c r="L33" s="2280"/>
    </row>
  </sheetData>
  <mergeCells count="62">
    <mergeCell ref="I32:J32"/>
    <mergeCell ref="K32:L32"/>
    <mergeCell ref="K33:L33"/>
    <mergeCell ref="T22:T23"/>
    <mergeCell ref="V22:X22"/>
    <mergeCell ref="V23:X23"/>
    <mergeCell ref="T24:T25"/>
    <mergeCell ref="V24:X24"/>
    <mergeCell ref="V25:X25"/>
    <mergeCell ref="Y18:Y24"/>
    <mergeCell ref="B19:C19"/>
    <mergeCell ref="Q19:R19"/>
    <mergeCell ref="T19:T20"/>
    <mergeCell ref="V19:X19"/>
    <mergeCell ref="B20:C20"/>
    <mergeCell ref="B22:B24"/>
    <mergeCell ref="C22:C23"/>
    <mergeCell ref="D22:D23"/>
    <mergeCell ref="E22:E23"/>
    <mergeCell ref="F22:F23"/>
    <mergeCell ref="Q20:R20"/>
    <mergeCell ref="V20:X20"/>
    <mergeCell ref="B21:C21"/>
    <mergeCell ref="T21:U21"/>
    <mergeCell ref="V21:X21"/>
    <mergeCell ref="B17:C17"/>
    <mergeCell ref="Q17:R17"/>
    <mergeCell ref="T17:U17"/>
    <mergeCell ref="V17:X17"/>
    <mergeCell ref="B18:C18"/>
    <mergeCell ref="Q18:R18"/>
    <mergeCell ref="T18:U18"/>
    <mergeCell ref="V18:X18"/>
    <mergeCell ref="W4:X4"/>
    <mergeCell ref="B16:C16"/>
    <mergeCell ref="Q16:R16"/>
    <mergeCell ref="T16:U16"/>
    <mergeCell ref="V16:X16"/>
    <mergeCell ref="A12:B12"/>
    <mergeCell ref="B14:C14"/>
    <mergeCell ref="Q14:R14"/>
    <mergeCell ref="T14:T15"/>
    <mergeCell ref="V14:X14"/>
    <mergeCell ref="B15:C15"/>
    <mergeCell ref="Q15:R15"/>
    <mergeCell ref="V15:X15"/>
    <mergeCell ref="A1:Y1"/>
    <mergeCell ref="A2:Y2"/>
    <mergeCell ref="T3:Y3"/>
    <mergeCell ref="A4:A5"/>
    <mergeCell ref="B4:B5"/>
    <mergeCell ref="C4:D4"/>
    <mergeCell ref="E4:F4"/>
    <mergeCell ref="G4:H4"/>
    <mergeCell ref="I4:J4"/>
    <mergeCell ref="K4:L4"/>
    <mergeCell ref="Y4:Y5"/>
    <mergeCell ref="M4:N4"/>
    <mergeCell ref="O4:P4"/>
    <mergeCell ref="Q4:R4"/>
    <mergeCell ref="S4:T4"/>
    <mergeCell ref="U4:V4"/>
  </mergeCells>
  <pageMargins left="0.15748031496063" right="0.15748031496063" top="0" bottom="0" header="0" footer="0"/>
  <pageSetup paperSize="9" scale="46" orientation="landscape" r:id="rId1"/>
</worksheet>
</file>

<file path=xl/worksheets/sheet3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A63FB0A-CB09-48AA-92AD-EA673C3189C7}">
  <sheetPr>
    <pageSetUpPr fitToPage="1"/>
  </sheetPr>
  <dimension ref="A1:Y33"/>
  <sheetViews>
    <sheetView topLeftCell="D8" zoomScale="70" zoomScaleNormal="70" zoomScaleSheetLayoutView="100" zoomScalePageLayoutView="68" workbookViewId="0">
      <selection activeCell="K24" sqref="K24"/>
    </sheetView>
  </sheetViews>
  <sheetFormatPr defaultColWidth="9.140625" defaultRowHeight="15" x14ac:dyDescent="0.25"/>
  <cols>
    <col min="1" max="1" width="18.28515625" style="14" customWidth="1"/>
    <col min="2" max="2" width="10.7109375" style="14" customWidth="1"/>
    <col min="3" max="3" width="12.28515625" style="14" customWidth="1"/>
    <col min="4" max="4" width="13.140625" style="14" bestFit="1" customWidth="1"/>
    <col min="5" max="5" width="12" style="14" customWidth="1"/>
    <col min="6" max="6" width="14" style="14" bestFit="1" customWidth="1"/>
    <col min="7" max="7" width="16" style="14" bestFit="1" customWidth="1"/>
    <col min="8" max="8" width="10.140625" style="14" bestFit="1" customWidth="1"/>
    <col min="9" max="9" width="10.5703125" style="14" bestFit="1" customWidth="1"/>
    <col min="10" max="10" width="10.5703125" style="14" customWidth="1"/>
    <col min="11" max="11" width="10.28515625" style="14" bestFit="1" customWidth="1"/>
    <col min="12" max="12" width="10.42578125" style="14" bestFit="1" customWidth="1"/>
    <col min="13" max="14" width="12" style="14" bestFit="1" customWidth="1"/>
    <col min="15" max="15" width="11" style="14" customWidth="1"/>
    <col min="16" max="16" width="12.85546875" style="14" bestFit="1" customWidth="1"/>
    <col min="17" max="18" width="9.42578125" style="14" customWidth="1"/>
    <col min="19" max="19" width="13.7109375" style="14" customWidth="1"/>
    <col min="20" max="20" width="12.140625" style="14" customWidth="1"/>
    <col min="21" max="21" width="21.7109375" style="14" customWidth="1"/>
    <col min="22" max="22" width="9.85546875" style="14" customWidth="1"/>
    <col min="23" max="23" width="10.140625" style="14" bestFit="1" customWidth="1"/>
    <col min="24" max="24" width="10.28515625" style="14" customWidth="1"/>
    <col min="25" max="25" width="15.7109375" style="14" customWidth="1"/>
    <col min="26" max="16384" width="9.140625" style="14"/>
  </cols>
  <sheetData>
    <row r="1" spans="1:25" ht="46.15" customHeight="1" x14ac:dyDescent="0.25">
      <c r="A1" s="2240" t="s">
        <v>148</v>
      </c>
      <c r="B1" s="2240"/>
      <c r="C1" s="2240"/>
      <c r="D1" s="2240"/>
      <c r="E1" s="2240"/>
      <c r="F1" s="2240"/>
      <c r="G1" s="2240"/>
      <c r="H1" s="2240"/>
      <c r="I1" s="2240"/>
      <c r="J1" s="2240"/>
      <c r="K1" s="2240"/>
      <c r="L1" s="2240"/>
      <c r="M1" s="2240"/>
      <c r="N1" s="2240"/>
      <c r="O1" s="2240"/>
      <c r="P1" s="2240"/>
      <c r="Q1" s="2240"/>
      <c r="R1" s="2240"/>
      <c r="S1" s="2240"/>
      <c r="T1" s="2240"/>
      <c r="U1" s="2240"/>
      <c r="V1" s="2240"/>
      <c r="W1" s="2240"/>
      <c r="X1" s="2240"/>
      <c r="Y1" s="2240"/>
    </row>
    <row r="2" spans="1:25" ht="21.6" customHeight="1" x14ac:dyDescent="0.25">
      <c r="A2" s="2241" t="s">
        <v>383</v>
      </c>
      <c r="B2" s="2241"/>
      <c r="C2" s="2241"/>
      <c r="D2" s="2241"/>
      <c r="E2" s="2241"/>
      <c r="F2" s="2241"/>
      <c r="G2" s="2241"/>
      <c r="H2" s="2241"/>
      <c r="I2" s="2241"/>
      <c r="J2" s="2241"/>
      <c r="K2" s="2241"/>
      <c r="L2" s="2241"/>
      <c r="M2" s="2241"/>
      <c r="N2" s="2241"/>
      <c r="O2" s="2241"/>
      <c r="P2" s="2241"/>
      <c r="Q2" s="2241"/>
      <c r="R2" s="2241"/>
      <c r="S2" s="2241"/>
      <c r="T2" s="2241"/>
      <c r="U2" s="2241"/>
      <c r="V2" s="2241"/>
      <c r="W2" s="2241"/>
      <c r="X2" s="2241"/>
      <c r="Y2" s="2241"/>
    </row>
    <row r="3" spans="1:25" ht="21" customHeight="1" x14ac:dyDescent="0.25">
      <c r="A3" s="2022"/>
      <c r="B3" s="2022"/>
      <c r="C3" s="2022"/>
      <c r="D3" s="2022"/>
      <c r="E3" s="2022"/>
      <c r="F3" s="2022"/>
      <c r="G3" s="2022"/>
      <c r="H3" s="2022"/>
      <c r="I3" s="2022"/>
      <c r="J3" s="2022"/>
      <c r="K3" s="2022"/>
      <c r="L3" s="2022"/>
      <c r="M3" s="2022"/>
      <c r="N3" s="2022"/>
      <c r="O3" s="2022"/>
      <c r="P3" s="2022"/>
      <c r="Q3" s="2022"/>
      <c r="R3" s="2022"/>
      <c r="S3" s="2022"/>
      <c r="T3" s="2242" t="s">
        <v>575</v>
      </c>
      <c r="U3" s="2242"/>
      <c r="V3" s="2242"/>
      <c r="W3" s="2242"/>
      <c r="X3" s="2242"/>
      <c r="Y3" s="2242"/>
    </row>
    <row r="4" spans="1:25" s="2022" customFormat="1" ht="18" customHeight="1" x14ac:dyDescent="0.25">
      <c r="A4" s="2243" t="s">
        <v>25</v>
      </c>
      <c r="B4" s="2243" t="s">
        <v>26</v>
      </c>
      <c r="C4" s="2244" t="s">
        <v>27</v>
      </c>
      <c r="D4" s="2244"/>
      <c r="E4" s="2244" t="s">
        <v>544</v>
      </c>
      <c r="F4" s="2244"/>
      <c r="G4" s="2244" t="s">
        <v>65</v>
      </c>
      <c r="H4" s="2244"/>
      <c r="I4" s="2244" t="s">
        <v>29</v>
      </c>
      <c r="J4" s="2244"/>
      <c r="K4" s="2245" t="s">
        <v>14</v>
      </c>
      <c r="L4" s="2246"/>
      <c r="M4" s="2245" t="s">
        <v>429</v>
      </c>
      <c r="N4" s="2246"/>
      <c r="O4" s="2245" t="s">
        <v>441</v>
      </c>
      <c r="P4" s="2246"/>
      <c r="Q4" s="2245" t="s">
        <v>114</v>
      </c>
      <c r="R4" s="2246"/>
      <c r="S4" s="2244" t="s">
        <v>35</v>
      </c>
      <c r="T4" s="2244"/>
      <c r="U4" s="2245" t="s">
        <v>17</v>
      </c>
      <c r="V4" s="2246"/>
      <c r="W4" s="2247" t="s">
        <v>36</v>
      </c>
      <c r="X4" s="2248"/>
      <c r="Y4" s="2238" t="s">
        <v>30</v>
      </c>
    </row>
    <row r="5" spans="1:25" s="2022" customFormat="1" ht="25.5" customHeight="1" x14ac:dyDescent="0.25">
      <c r="A5" s="2243"/>
      <c r="B5" s="2243"/>
      <c r="C5" s="2024" t="s">
        <v>42</v>
      </c>
      <c r="D5" s="2024" t="s">
        <v>43</v>
      </c>
      <c r="E5" s="2024" t="s">
        <v>42</v>
      </c>
      <c r="F5" s="2024" t="s">
        <v>43</v>
      </c>
      <c r="G5" s="2024" t="s">
        <v>42</v>
      </c>
      <c r="H5" s="2024" t="s">
        <v>43</v>
      </c>
      <c r="I5" s="2024" t="s">
        <v>42</v>
      </c>
      <c r="J5" s="2024" t="s">
        <v>43</v>
      </c>
      <c r="K5" s="2024" t="s">
        <v>42</v>
      </c>
      <c r="L5" s="2024" t="s">
        <v>43</v>
      </c>
      <c r="M5" s="2024" t="s">
        <v>42</v>
      </c>
      <c r="N5" s="2024" t="s">
        <v>43</v>
      </c>
      <c r="O5" s="2024" t="s">
        <v>42</v>
      </c>
      <c r="P5" s="2024" t="s">
        <v>43</v>
      </c>
      <c r="Q5" s="2024" t="s">
        <v>42</v>
      </c>
      <c r="R5" s="2024" t="s">
        <v>43</v>
      </c>
      <c r="S5" s="33" t="s">
        <v>42</v>
      </c>
      <c r="T5" s="33" t="s">
        <v>43</v>
      </c>
      <c r="U5" s="30" t="s">
        <v>42</v>
      </c>
      <c r="V5" s="30" t="s">
        <v>43</v>
      </c>
      <c r="W5" s="30" t="s">
        <v>42</v>
      </c>
      <c r="X5" s="30" t="s">
        <v>43</v>
      </c>
      <c r="Y5" s="2239"/>
    </row>
    <row r="6" spans="1:25" ht="34.5" customHeight="1" x14ac:dyDescent="0.25">
      <c r="A6" s="12">
        <v>1409935200</v>
      </c>
      <c r="B6" s="2023" t="s">
        <v>71</v>
      </c>
      <c r="C6" s="2026">
        <v>34116</v>
      </c>
      <c r="D6" s="2027">
        <f t="shared" ref="D6:D11" si="0">0.9725*C6</f>
        <v>33177.81</v>
      </c>
      <c r="E6" s="2026"/>
      <c r="F6" s="2027">
        <f>19.68*E6</f>
        <v>0</v>
      </c>
      <c r="G6" s="2026"/>
      <c r="H6" s="2027">
        <f t="shared" ref="H6:H11" si="1">28.26*G6</f>
        <v>0</v>
      </c>
      <c r="I6" s="2026"/>
      <c r="J6" s="2027">
        <f>18.82*I6</f>
        <v>0</v>
      </c>
      <c r="K6" s="2026">
        <v>70</v>
      </c>
      <c r="L6" s="2027">
        <f>28.25*K6</f>
        <v>1977.5</v>
      </c>
      <c r="M6" s="2026"/>
      <c r="N6" s="2027">
        <f>M6*47.6525</f>
        <v>0</v>
      </c>
      <c r="O6" s="2026"/>
      <c r="P6" s="2027">
        <f>O6*8.9</f>
        <v>0</v>
      </c>
      <c r="Q6" s="2027"/>
      <c r="R6" s="2027">
        <f>241*Q6</f>
        <v>0</v>
      </c>
      <c r="S6" s="2026"/>
      <c r="T6" s="2026">
        <f>470*S6</f>
        <v>0</v>
      </c>
      <c r="U6" s="2026">
        <v>5</v>
      </c>
      <c r="V6" s="2026">
        <f>332*U6</f>
        <v>1660</v>
      </c>
      <c r="W6" s="2026"/>
      <c r="X6" s="19">
        <f>W6*100</f>
        <v>0</v>
      </c>
      <c r="Y6" s="20">
        <f t="shared" ref="Y6:Y12" si="2">D6+F6+H6+J6+L6+N6+P6+R6+T6+V6+X6</f>
        <v>36815.31</v>
      </c>
    </row>
    <row r="7" spans="1:25" ht="36.75" customHeight="1" x14ac:dyDescent="0.25">
      <c r="A7" s="12">
        <v>1984225578</v>
      </c>
      <c r="B7" s="2023" t="s">
        <v>509</v>
      </c>
      <c r="C7" s="2026">
        <v>27622</v>
      </c>
      <c r="D7" s="2027">
        <f t="shared" si="0"/>
        <v>26862.395</v>
      </c>
      <c r="E7" s="2026"/>
      <c r="F7" s="2027">
        <f t="shared" ref="F7:F11" si="3">19.68*E7</f>
        <v>0</v>
      </c>
      <c r="G7" s="2026"/>
      <c r="H7" s="2027">
        <f t="shared" si="1"/>
        <v>0</v>
      </c>
      <c r="I7" s="2026"/>
      <c r="J7" s="2027">
        <f t="shared" ref="J7:J11" si="4">18.82*I7</f>
        <v>0</v>
      </c>
      <c r="K7" s="2026">
        <v>70</v>
      </c>
      <c r="L7" s="2027">
        <f t="shared" ref="L7:L11" si="5">28.25*K7</f>
        <v>1977.5</v>
      </c>
      <c r="M7" s="2026"/>
      <c r="N7" s="2027">
        <f t="shared" ref="N7:N11" si="6">M7*47.6525</f>
        <v>0</v>
      </c>
      <c r="O7" s="2026"/>
      <c r="P7" s="2027">
        <f t="shared" ref="P7:P11" si="7">O7*8.9</f>
        <v>0</v>
      </c>
      <c r="Q7" s="2027"/>
      <c r="R7" s="2027">
        <f t="shared" ref="R7:R11" si="8">241*Q7</f>
        <v>0</v>
      </c>
      <c r="S7" s="2026"/>
      <c r="T7" s="2026">
        <f t="shared" ref="T7:T9" si="9">470*S7</f>
        <v>0</v>
      </c>
      <c r="U7" s="2026">
        <v>25</v>
      </c>
      <c r="V7" s="2026">
        <f t="shared" ref="V7:V11" si="10">332*U7</f>
        <v>8300</v>
      </c>
      <c r="W7" s="2026"/>
      <c r="X7" s="19">
        <f t="shared" ref="X7:X11" si="11">W7*100</f>
        <v>0</v>
      </c>
      <c r="Y7" s="20">
        <f t="shared" si="2"/>
        <v>37139.895000000004</v>
      </c>
    </row>
    <row r="8" spans="1:25" ht="35.25" customHeight="1" x14ac:dyDescent="0.25">
      <c r="A8" s="12">
        <v>1967020280</v>
      </c>
      <c r="B8" s="2023" t="s">
        <v>427</v>
      </c>
      <c r="C8" s="2026">
        <v>27842</v>
      </c>
      <c r="D8" s="2027">
        <f t="shared" si="0"/>
        <v>27076.345000000001</v>
      </c>
      <c r="E8" s="2026"/>
      <c r="F8" s="2027">
        <f t="shared" si="3"/>
        <v>0</v>
      </c>
      <c r="G8" s="2026"/>
      <c r="H8" s="2027">
        <f t="shared" si="1"/>
        <v>0</v>
      </c>
      <c r="I8" s="2026"/>
      <c r="J8" s="2027">
        <f t="shared" si="4"/>
        <v>0</v>
      </c>
      <c r="K8" s="2026">
        <v>80</v>
      </c>
      <c r="L8" s="2027">
        <f t="shared" si="5"/>
        <v>2260</v>
      </c>
      <c r="M8" s="2026"/>
      <c r="N8" s="2027">
        <f t="shared" si="6"/>
        <v>0</v>
      </c>
      <c r="O8" s="2026"/>
      <c r="P8" s="2027">
        <f t="shared" si="7"/>
        <v>0</v>
      </c>
      <c r="Q8" s="2027"/>
      <c r="R8" s="2027">
        <f t="shared" si="8"/>
        <v>0</v>
      </c>
      <c r="S8" s="2026"/>
      <c r="T8" s="2026">
        <f t="shared" si="9"/>
        <v>0</v>
      </c>
      <c r="U8" s="2026"/>
      <c r="V8" s="2026">
        <f t="shared" si="10"/>
        <v>0</v>
      </c>
      <c r="W8" s="2026"/>
      <c r="X8" s="19">
        <f t="shared" si="11"/>
        <v>0</v>
      </c>
      <c r="Y8" s="20">
        <f t="shared" si="2"/>
        <v>29336.345000000001</v>
      </c>
    </row>
    <row r="9" spans="1:25" ht="38.25" customHeight="1" x14ac:dyDescent="0.25">
      <c r="A9" s="12">
        <v>1984225580</v>
      </c>
      <c r="B9" s="2023" t="s">
        <v>74</v>
      </c>
      <c r="C9" s="2026">
        <v>29406</v>
      </c>
      <c r="D9" s="2027">
        <f t="shared" si="0"/>
        <v>28597.334999999999</v>
      </c>
      <c r="E9" s="2026"/>
      <c r="F9" s="2027">
        <f t="shared" si="3"/>
        <v>0</v>
      </c>
      <c r="G9" s="2026"/>
      <c r="H9" s="2027">
        <f t="shared" si="1"/>
        <v>0</v>
      </c>
      <c r="I9" s="2026"/>
      <c r="J9" s="2027">
        <f t="shared" si="4"/>
        <v>0</v>
      </c>
      <c r="K9" s="2026">
        <v>120</v>
      </c>
      <c r="L9" s="2027">
        <f t="shared" si="5"/>
        <v>3390</v>
      </c>
      <c r="M9" s="2026"/>
      <c r="N9" s="2027">
        <f t="shared" si="6"/>
        <v>0</v>
      </c>
      <c r="O9" s="2026"/>
      <c r="P9" s="2027">
        <f t="shared" si="7"/>
        <v>0</v>
      </c>
      <c r="Q9" s="2027"/>
      <c r="R9" s="2027">
        <f t="shared" si="8"/>
        <v>0</v>
      </c>
      <c r="S9" s="2026"/>
      <c r="T9" s="2026">
        <f t="shared" si="9"/>
        <v>0</v>
      </c>
      <c r="U9" s="2026"/>
      <c r="V9" s="2026">
        <f t="shared" si="10"/>
        <v>0</v>
      </c>
      <c r="W9" s="2026"/>
      <c r="X9" s="19">
        <f t="shared" si="11"/>
        <v>0</v>
      </c>
      <c r="Y9" s="20">
        <f t="shared" si="2"/>
        <v>31987.334999999999</v>
      </c>
    </row>
    <row r="10" spans="1:25" ht="35.25" customHeight="1" x14ac:dyDescent="0.25">
      <c r="A10" s="12">
        <v>1409935199</v>
      </c>
      <c r="C10" s="2026">
        <v>15424</v>
      </c>
      <c r="D10" s="2027">
        <f t="shared" si="0"/>
        <v>14999.84</v>
      </c>
      <c r="E10" s="2026"/>
      <c r="F10" s="2027">
        <f t="shared" si="3"/>
        <v>0</v>
      </c>
      <c r="G10" s="2026"/>
      <c r="H10" s="2027">
        <f t="shared" si="1"/>
        <v>0</v>
      </c>
      <c r="I10" s="2026"/>
      <c r="J10" s="2027">
        <f t="shared" si="4"/>
        <v>0</v>
      </c>
      <c r="K10" s="2026"/>
      <c r="L10" s="2027">
        <f t="shared" si="5"/>
        <v>0</v>
      </c>
      <c r="M10" s="2026"/>
      <c r="N10" s="2027">
        <f t="shared" si="6"/>
        <v>0</v>
      </c>
      <c r="O10" s="2026"/>
      <c r="P10" s="2027">
        <f t="shared" si="7"/>
        <v>0</v>
      </c>
      <c r="Q10" s="2027"/>
      <c r="R10" s="2027">
        <f t="shared" si="8"/>
        <v>0</v>
      </c>
      <c r="S10" s="2026"/>
      <c r="T10" s="2026">
        <f>341*S10</f>
        <v>0</v>
      </c>
      <c r="U10" s="2026"/>
      <c r="V10" s="2026">
        <f t="shared" si="10"/>
        <v>0</v>
      </c>
      <c r="W10" s="2026"/>
      <c r="X10" s="19">
        <f t="shared" si="11"/>
        <v>0</v>
      </c>
      <c r="Y10" s="20">
        <f t="shared" si="2"/>
        <v>14999.84</v>
      </c>
    </row>
    <row r="11" spans="1:25" ht="37.5" customHeight="1" x14ac:dyDescent="0.25">
      <c r="A11" s="12"/>
      <c r="B11" s="2025"/>
      <c r="C11" s="2026"/>
      <c r="D11" s="2027">
        <f t="shared" si="0"/>
        <v>0</v>
      </c>
      <c r="E11" s="2026"/>
      <c r="F11" s="2027">
        <f t="shared" si="3"/>
        <v>0</v>
      </c>
      <c r="G11" s="2026"/>
      <c r="H11" s="2027">
        <f t="shared" si="1"/>
        <v>0</v>
      </c>
      <c r="I11" s="2026"/>
      <c r="J11" s="2027">
        <f t="shared" si="4"/>
        <v>0</v>
      </c>
      <c r="K11" s="2026"/>
      <c r="L11" s="2027">
        <f t="shared" si="5"/>
        <v>0</v>
      </c>
      <c r="M11" s="2026"/>
      <c r="N11" s="2027">
        <f t="shared" si="6"/>
        <v>0</v>
      </c>
      <c r="O11" s="2026"/>
      <c r="P11" s="2027">
        <f t="shared" si="7"/>
        <v>0</v>
      </c>
      <c r="Q11" s="2027"/>
      <c r="R11" s="2027">
        <f t="shared" si="8"/>
        <v>0</v>
      </c>
      <c r="S11" s="2026">
        <v>5</v>
      </c>
      <c r="T11" s="2026">
        <f>241*S11</f>
        <v>1205</v>
      </c>
      <c r="U11" s="2026"/>
      <c r="V11" s="2026">
        <f t="shared" si="10"/>
        <v>0</v>
      </c>
      <c r="W11" s="2026"/>
      <c r="X11" s="19">
        <f t="shared" si="11"/>
        <v>0</v>
      </c>
      <c r="Y11" s="20">
        <f t="shared" si="2"/>
        <v>1205</v>
      </c>
    </row>
    <row r="12" spans="1:25" ht="29.25" customHeight="1" x14ac:dyDescent="0.25">
      <c r="A12" s="2235" t="s">
        <v>31</v>
      </c>
      <c r="B12" s="2235"/>
      <c r="C12" s="18">
        <f t="shared" ref="C12:X12" si="12">SUM(C6:C11)</f>
        <v>134410</v>
      </c>
      <c r="D12" s="18">
        <f t="shared" si="12"/>
        <v>130713.72500000001</v>
      </c>
      <c r="E12" s="18">
        <f t="shared" si="12"/>
        <v>0</v>
      </c>
      <c r="F12" s="18">
        <f t="shared" si="12"/>
        <v>0</v>
      </c>
      <c r="G12" s="18">
        <f t="shared" si="12"/>
        <v>0</v>
      </c>
      <c r="H12" s="18">
        <f t="shared" si="12"/>
        <v>0</v>
      </c>
      <c r="I12" s="18">
        <f t="shared" si="12"/>
        <v>0</v>
      </c>
      <c r="J12" s="18">
        <f t="shared" si="12"/>
        <v>0</v>
      </c>
      <c r="K12" s="18">
        <f t="shared" si="12"/>
        <v>340</v>
      </c>
      <c r="L12" s="18">
        <f t="shared" si="12"/>
        <v>9605</v>
      </c>
      <c r="M12" s="18">
        <f t="shared" si="12"/>
        <v>0</v>
      </c>
      <c r="N12" s="23">
        <f t="shared" si="12"/>
        <v>0</v>
      </c>
      <c r="O12" s="18">
        <f t="shared" si="12"/>
        <v>0</v>
      </c>
      <c r="P12" s="23">
        <f t="shared" si="12"/>
        <v>0</v>
      </c>
      <c r="Q12" s="23">
        <f t="shared" si="12"/>
        <v>0</v>
      </c>
      <c r="R12" s="23">
        <f>SUM(R6:R11)</f>
        <v>0</v>
      </c>
      <c r="S12" s="23">
        <f>SUM(S6:S11)</f>
        <v>5</v>
      </c>
      <c r="T12" s="18">
        <f t="shared" si="12"/>
        <v>1205</v>
      </c>
      <c r="U12" s="18">
        <f t="shared" si="12"/>
        <v>30</v>
      </c>
      <c r="V12" s="18">
        <f t="shared" si="12"/>
        <v>9960</v>
      </c>
      <c r="W12" s="18">
        <f t="shared" si="12"/>
        <v>0</v>
      </c>
      <c r="X12" s="18">
        <f t="shared" si="12"/>
        <v>0</v>
      </c>
      <c r="Y12" s="20">
        <f t="shared" si="2"/>
        <v>151483.72500000001</v>
      </c>
    </row>
    <row r="14" spans="1:25" ht="43.5" customHeight="1" x14ac:dyDescent="0.25">
      <c r="A14" s="30" t="s">
        <v>32</v>
      </c>
      <c r="B14" s="2236" t="s">
        <v>27</v>
      </c>
      <c r="C14" s="2236"/>
      <c r="D14" s="30" t="s">
        <v>543</v>
      </c>
      <c r="E14" s="30" t="s">
        <v>65</v>
      </c>
      <c r="F14" s="30" t="s">
        <v>34</v>
      </c>
      <c r="G14" s="30" t="s">
        <v>14</v>
      </c>
      <c r="H14" s="469" t="s">
        <v>173</v>
      </c>
      <c r="I14" s="30" t="s">
        <v>17</v>
      </c>
      <c r="J14" s="2031" t="s">
        <v>174</v>
      </c>
      <c r="K14" s="30" t="s">
        <v>36</v>
      </c>
      <c r="L14" s="2031" t="s">
        <v>403</v>
      </c>
      <c r="M14" s="2031" t="s">
        <v>549</v>
      </c>
      <c r="N14" s="30" t="s">
        <v>442</v>
      </c>
      <c r="O14" s="2031" t="s">
        <v>114</v>
      </c>
      <c r="P14" s="30" t="s">
        <v>70</v>
      </c>
      <c r="Q14" s="2300" t="s">
        <v>479</v>
      </c>
      <c r="R14" s="2301"/>
      <c r="S14" s="2031" t="s">
        <v>401</v>
      </c>
      <c r="T14" s="2235" t="s">
        <v>46</v>
      </c>
      <c r="U14" s="2023" t="s">
        <v>176</v>
      </c>
      <c r="V14" s="2260">
        <v>141631</v>
      </c>
      <c r="W14" s="2268"/>
      <c r="X14" s="2261"/>
    </row>
    <row r="15" spans="1:25" ht="22.5" customHeight="1" x14ac:dyDescent="0.25">
      <c r="A15" s="100" t="s">
        <v>38</v>
      </c>
      <c r="B15" s="2260">
        <v>371130</v>
      </c>
      <c r="C15" s="2261"/>
      <c r="D15" s="2028">
        <v>0</v>
      </c>
      <c r="E15" s="2028">
        <v>500</v>
      </c>
      <c r="F15" s="2028">
        <v>4500</v>
      </c>
      <c r="G15" s="2028">
        <v>2450</v>
      </c>
      <c r="H15" s="2028">
        <v>39</v>
      </c>
      <c r="I15" s="2028">
        <v>85</v>
      </c>
      <c r="J15" s="2028"/>
      <c r="K15" s="2028">
        <v>92</v>
      </c>
      <c r="L15" s="2028">
        <v>12</v>
      </c>
      <c r="M15" s="2028">
        <v>18</v>
      </c>
      <c r="N15" s="2028">
        <v>0</v>
      </c>
      <c r="O15" s="2028">
        <v>0</v>
      </c>
      <c r="P15" s="2028">
        <v>100</v>
      </c>
      <c r="Q15" s="2260">
        <v>10</v>
      </c>
      <c r="R15" s="2261"/>
      <c r="S15" s="2023"/>
      <c r="T15" s="2235"/>
      <c r="U15" s="2023" t="s">
        <v>64</v>
      </c>
      <c r="V15" s="2262">
        <v>13494</v>
      </c>
      <c r="W15" s="2262"/>
      <c r="X15" s="2262"/>
    </row>
    <row r="16" spans="1:25" ht="24.75" customHeight="1" x14ac:dyDescent="0.25">
      <c r="A16" s="100" t="s">
        <v>39</v>
      </c>
      <c r="B16" s="2260">
        <v>113090</v>
      </c>
      <c r="C16" s="2261"/>
      <c r="D16" s="2028"/>
      <c r="E16" s="2028"/>
      <c r="F16" s="2028">
        <v>5000</v>
      </c>
      <c r="G16" s="2028"/>
      <c r="H16" s="2028"/>
      <c r="I16" s="2028"/>
      <c r="J16" s="2028"/>
      <c r="K16" s="2028"/>
      <c r="L16" s="2028"/>
      <c r="M16" s="2028"/>
      <c r="N16" s="2028"/>
      <c r="O16" s="2028"/>
      <c r="P16" s="2028"/>
      <c r="Q16" s="2262"/>
      <c r="R16" s="2262"/>
      <c r="S16" s="2028"/>
      <c r="T16" s="2254" t="s">
        <v>55</v>
      </c>
      <c r="U16" s="2254"/>
      <c r="V16" s="2267">
        <f>Y12</f>
        <v>151483.72500000001</v>
      </c>
      <c r="W16" s="2267"/>
      <c r="X16" s="2262"/>
    </row>
    <row r="17" spans="1:25" ht="28.5" customHeight="1" x14ac:dyDescent="0.25">
      <c r="A17" s="101" t="s">
        <v>44</v>
      </c>
      <c r="B17" s="2260"/>
      <c r="C17" s="2261"/>
      <c r="D17" s="2028"/>
      <c r="E17" s="2028"/>
      <c r="F17" s="2028"/>
      <c r="G17" s="2028"/>
      <c r="H17" s="2028"/>
      <c r="I17" s="2028"/>
      <c r="J17" s="2028"/>
      <c r="K17" s="2028"/>
      <c r="L17" s="2028"/>
      <c r="M17" s="2028"/>
      <c r="N17" s="2028"/>
      <c r="O17" s="2028"/>
      <c r="P17" s="2028"/>
      <c r="Q17" s="2225"/>
      <c r="R17" s="2225"/>
      <c r="S17" s="2025"/>
      <c r="T17" s="2294" t="s">
        <v>521</v>
      </c>
      <c r="U17" s="2295"/>
      <c r="V17" s="2296"/>
      <c r="W17" s="2296"/>
      <c r="X17" s="2296"/>
    </row>
    <row r="18" spans="1:25" ht="27" customHeight="1" x14ac:dyDescent="0.25">
      <c r="A18" s="100" t="s">
        <v>40</v>
      </c>
      <c r="B18" s="2264">
        <f>C12</f>
        <v>134410</v>
      </c>
      <c r="C18" s="2261"/>
      <c r="D18" s="2029">
        <f>E12</f>
        <v>0</v>
      </c>
      <c r="E18" s="2029">
        <f>G12</f>
        <v>0</v>
      </c>
      <c r="F18" s="2029">
        <f>I12</f>
        <v>0</v>
      </c>
      <c r="G18" s="2029">
        <f>K12</f>
        <v>340</v>
      </c>
      <c r="H18" s="2028">
        <v>5</v>
      </c>
      <c r="I18" s="2029">
        <f>U12</f>
        <v>30</v>
      </c>
      <c r="J18" s="2028"/>
      <c r="K18" s="2029">
        <f>W12</f>
        <v>0</v>
      </c>
      <c r="L18" s="2028"/>
      <c r="M18" s="2029"/>
      <c r="N18" s="2029">
        <f>O12</f>
        <v>0</v>
      </c>
      <c r="O18" s="2030">
        <f>Q12</f>
        <v>0</v>
      </c>
      <c r="P18" s="2029"/>
      <c r="Q18" s="2262"/>
      <c r="R18" s="2262"/>
      <c r="S18" s="2023"/>
      <c r="T18" s="2254" t="s">
        <v>57</v>
      </c>
      <c r="U18" s="2254"/>
      <c r="V18" s="2262">
        <v>520</v>
      </c>
      <c r="W18" s="2262"/>
      <c r="X18" s="2262"/>
      <c r="Y18" s="2269"/>
    </row>
    <row r="19" spans="1:25" ht="25.5" customHeight="1" x14ac:dyDescent="0.25">
      <c r="A19" s="100" t="s">
        <v>41</v>
      </c>
      <c r="B19" s="2260">
        <f>B15+B16+B17-B18</f>
        <v>349810</v>
      </c>
      <c r="C19" s="2261"/>
      <c r="D19" s="2028">
        <f>D15+D16+D17-D18</f>
        <v>0</v>
      </c>
      <c r="E19" s="2028">
        <f t="shared" ref="E19:N19" si="13">E15+E16+E17-E18</f>
        <v>500</v>
      </c>
      <c r="F19" s="2028">
        <f t="shared" si="13"/>
        <v>9500</v>
      </c>
      <c r="G19" s="2028">
        <f t="shared" si="13"/>
        <v>2110</v>
      </c>
      <c r="H19" s="2028">
        <f t="shared" si="13"/>
        <v>34</v>
      </c>
      <c r="I19" s="2028">
        <f t="shared" si="13"/>
        <v>55</v>
      </c>
      <c r="J19" s="2028">
        <f t="shared" si="13"/>
        <v>0</v>
      </c>
      <c r="K19" s="2028">
        <f t="shared" si="13"/>
        <v>92</v>
      </c>
      <c r="L19" s="2028">
        <f t="shared" si="13"/>
        <v>12</v>
      </c>
      <c r="M19" s="2028">
        <f t="shared" si="13"/>
        <v>18</v>
      </c>
      <c r="N19" s="2028">
        <f t="shared" si="13"/>
        <v>0</v>
      </c>
      <c r="O19" s="2028">
        <f>O15+O16+O17-O18</f>
        <v>0</v>
      </c>
      <c r="P19" s="2028">
        <f t="shared" ref="P19:Q19" si="14">P15+P16+P17-P18</f>
        <v>100</v>
      </c>
      <c r="Q19" s="2260">
        <f t="shared" si="14"/>
        <v>10</v>
      </c>
      <c r="R19" s="2261"/>
      <c r="S19" s="2023">
        <f>S15+S16-S17-S18</f>
        <v>0</v>
      </c>
      <c r="T19" s="2256" t="s">
        <v>48</v>
      </c>
      <c r="U19" s="49" t="s">
        <v>58</v>
      </c>
      <c r="V19" s="2262">
        <v>251000</v>
      </c>
      <c r="W19" s="2262"/>
      <c r="X19" s="2262"/>
      <c r="Y19" s="2269"/>
    </row>
    <row r="20" spans="1:25" ht="23.25" customHeight="1" x14ac:dyDescent="0.25">
      <c r="A20" s="289" t="s">
        <v>187</v>
      </c>
      <c r="B20" s="2286">
        <f>B19*0.9625</f>
        <v>336692.125</v>
      </c>
      <c r="C20" s="2287"/>
      <c r="D20" s="290">
        <f>D19*19.48</f>
        <v>0</v>
      </c>
      <c r="E20" s="290">
        <f>27.97*E19</f>
        <v>13985</v>
      </c>
      <c r="F20" s="290">
        <f>18.63*F19</f>
        <v>176985</v>
      </c>
      <c r="G20" s="290">
        <f>27.9468*G19</f>
        <v>58967.748</v>
      </c>
      <c r="H20" s="290">
        <f>241*H19</f>
        <v>8194</v>
      </c>
      <c r="I20" s="290">
        <f>323*I19</f>
        <v>17765</v>
      </c>
      <c r="J20" s="290">
        <f>241*J19</f>
        <v>0</v>
      </c>
      <c r="K20" s="290">
        <f>K19*100</f>
        <v>9200</v>
      </c>
      <c r="L20" s="290">
        <f>470*L19</f>
        <v>5640</v>
      </c>
      <c r="M20" s="290">
        <f>470*M19</f>
        <v>8460</v>
      </c>
      <c r="N20" s="290">
        <f>N19*8.81</f>
        <v>0</v>
      </c>
      <c r="O20" s="290">
        <f>241*O19</f>
        <v>0</v>
      </c>
      <c r="P20" s="290">
        <f>P19*48.2</f>
        <v>4820</v>
      </c>
      <c r="Q20" s="2286">
        <f>470*Q19</f>
        <v>4700</v>
      </c>
      <c r="R20" s="2287"/>
      <c r="S20" s="290">
        <f>341*S19</f>
        <v>0</v>
      </c>
      <c r="T20" s="2257"/>
      <c r="U20" s="49" t="s">
        <v>59</v>
      </c>
      <c r="V20" s="2262">
        <v>26000</v>
      </c>
      <c r="W20" s="2262"/>
      <c r="X20" s="2262"/>
      <c r="Y20" s="2269"/>
    </row>
    <row r="21" spans="1:25" ht="32.25" customHeight="1" x14ac:dyDescent="0.25">
      <c r="A21" s="291" t="s">
        <v>186</v>
      </c>
      <c r="B21" s="2302">
        <f>SUM(B20:S20)</f>
        <v>645408.87300000002</v>
      </c>
      <c r="C21" s="2302"/>
      <c r="T21" s="2294" t="s">
        <v>518</v>
      </c>
      <c r="U21" s="2295"/>
      <c r="V21" s="2297"/>
      <c r="W21" s="2298"/>
      <c r="X21" s="2299"/>
      <c r="Y21" s="2269"/>
    </row>
    <row r="22" spans="1:25" ht="35.25" customHeight="1" x14ac:dyDescent="0.25">
      <c r="A22" s="1911"/>
      <c r="B22" s="2288" t="s">
        <v>49</v>
      </c>
      <c r="C22" s="2291">
        <v>251000</v>
      </c>
      <c r="D22" s="2291">
        <v>251000</v>
      </c>
      <c r="E22" s="2291">
        <v>176000</v>
      </c>
      <c r="F22" s="2291">
        <f>C22-D22+E22</f>
        <v>176000</v>
      </c>
      <c r="T22" s="2251" t="s">
        <v>83</v>
      </c>
      <c r="U22" s="50" t="s">
        <v>60</v>
      </c>
      <c r="V22" s="2262">
        <v>278340</v>
      </c>
      <c r="W22" s="2262"/>
      <c r="X22" s="2262"/>
      <c r="Y22" s="2269"/>
    </row>
    <row r="23" spans="1:25" ht="39.75" customHeight="1" x14ac:dyDescent="0.25">
      <c r="B23" s="2289"/>
      <c r="C23" s="2292"/>
      <c r="D23" s="2292"/>
      <c r="E23" s="2292"/>
      <c r="F23" s="2292"/>
      <c r="T23" s="2252"/>
      <c r="U23" s="50" t="s">
        <v>61</v>
      </c>
      <c r="V23" s="2262">
        <v>277000</v>
      </c>
      <c r="W23" s="2262"/>
      <c r="X23" s="2262"/>
      <c r="Y23" s="2269"/>
    </row>
    <row r="24" spans="1:25" ht="48" customHeight="1" x14ac:dyDescent="0.25">
      <c r="B24" s="2290"/>
      <c r="C24" s="290" t="s">
        <v>46</v>
      </c>
      <c r="D24" s="290" t="s">
        <v>50</v>
      </c>
      <c r="E24" s="290" t="s">
        <v>51</v>
      </c>
      <c r="F24" s="290" t="s">
        <v>52</v>
      </c>
      <c r="T24" s="2235" t="s">
        <v>47</v>
      </c>
      <c r="U24" s="51" t="s">
        <v>62</v>
      </c>
      <c r="V24" s="2263">
        <f>V14+V16+V17-V18-V19-V20-V22+V23-V21</f>
        <v>14254.724999999977</v>
      </c>
      <c r="W24" s="2263"/>
      <c r="X24" s="2263"/>
      <c r="Y24" s="2269"/>
    </row>
    <row r="25" spans="1:25" ht="40.5" customHeight="1" x14ac:dyDescent="0.25">
      <c r="T25" s="2235"/>
      <c r="U25" s="51" t="s">
        <v>63</v>
      </c>
      <c r="V25" s="2262">
        <f>V15+V22-V23</f>
        <v>14834</v>
      </c>
      <c r="W25" s="2262"/>
      <c r="X25" s="2262"/>
    </row>
    <row r="26" spans="1:25" ht="36" customHeight="1" x14ac:dyDescent="0.25">
      <c r="K26" s="314"/>
    </row>
    <row r="28" spans="1:25" x14ac:dyDescent="0.25">
      <c r="J28" s="14" t="s">
        <v>139</v>
      </c>
    </row>
    <row r="32" spans="1:25" x14ac:dyDescent="0.25">
      <c r="I32" s="2280"/>
      <c r="J32" s="2280"/>
      <c r="K32" s="2280"/>
      <c r="L32" s="2280"/>
    </row>
    <row r="33" spans="9:12" x14ac:dyDescent="0.25">
      <c r="I33" s="2032"/>
      <c r="J33" s="2032"/>
      <c r="K33" s="2280"/>
      <c r="L33" s="2280"/>
    </row>
  </sheetData>
  <mergeCells count="62">
    <mergeCell ref="I32:J32"/>
    <mergeCell ref="K32:L32"/>
    <mergeCell ref="K33:L33"/>
    <mergeCell ref="T22:T23"/>
    <mergeCell ref="V22:X22"/>
    <mergeCell ref="V23:X23"/>
    <mergeCell ref="T24:T25"/>
    <mergeCell ref="V24:X24"/>
    <mergeCell ref="V25:X25"/>
    <mergeCell ref="Y18:Y24"/>
    <mergeCell ref="B19:C19"/>
    <mergeCell ref="Q19:R19"/>
    <mergeCell ref="T19:T20"/>
    <mergeCell ref="V19:X19"/>
    <mergeCell ref="B20:C20"/>
    <mergeCell ref="B22:B24"/>
    <mergeCell ref="C22:C23"/>
    <mergeCell ref="D22:D23"/>
    <mergeCell ref="E22:E23"/>
    <mergeCell ref="F22:F23"/>
    <mergeCell ref="Q20:R20"/>
    <mergeCell ref="V20:X20"/>
    <mergeCell ref="B21:C21"/>
    <mergeCell ref="T21:U21"/>
    <mergeCell ref="V21:X21"/>
    <mergeCell ref="B17:C17"/>
    <mergeCell ref="Q17:R17"/>
    <mergeCell ref="T17:U17"/>
    <mergeCell ref="V17:X17"/>
    <mergeCell ref="B18:C18"/>
    <mergeCell ref="Q18:R18"/>
    <mergeCell ref="T18:U18"/>
    <mergeCell ref="V18:X18"/>
    <mergeCell ref="W4:X4"/>
    <mergeCell ref="B16:C16"/>
    <mergeCell ref="Q16:R16"/>
    <mergeCell ref="T16:U16"/>
    <mergeCell ref="V16:X16"/>
    <mergeCell ref="A12:B12"/>
    <mergeCell ref="B14:C14"/>
    <mergeCell ref="Q14:R14"/>
    <mergeCell ref="T14:T15"/>
    <mergeCell ref="V14:X14"/>
    <mergeCell ref="B15:C15"/>
    <mergeCell ref="Q15:R15"/>
    <mergeCell ref="V15:X15"/>
    <mergeCell ref="A1:Y1"/>
    <mergeCell ref="A2:Y2"/>
    <mergeCell ref="T3:Y3"/>
    <mergeCell ref="A4:A5"/>
    <mergeCell ref="B4:B5"/>
    <mergeCell ref="C4:D4"/>
    <mergeCell ref="E4:F4"/>
    <mergeCell ref="G4:H4"/>
    <mergeCell ref="I4:J4"/>
    <mergeCell ref="K4:L4"/>
    <mergeCell ref="Y4:Y5"/>
    <mergeCell ref="M4:N4"/>
    <mergeCell ref="O4:P4"/>
    <mergeCell ref="Q4:R4"/>
    <mergeCell ref="S4:T4"/>
    <mergeCell ref="U4:V4"/>
  </mergeCells>
  <pageMargins left="0.15748031496063" right="0.15748031496063" top="0" bottom="0" header="0" footer="0"/>
  <pageSetup paperSize="9" scale="46" orientation="landscape" r:id="rId1"/>
</worksheet>
</file>

<file path=xl/worksheets/sheet3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60E3BE5-23FA-4C02-9722-F472A6BCE2F1}">
  <sheetPr>
    <pageSetUpPr fitToPage="1"/>
  </sheetPr>
  <dimension ref="A1:Y33"/>
  <sheetViews>
    <sheetView topLeftCell="D11" zoomScale="70" zoomScaleNormal="70" zoomScaleSheetLayoutView="100" zoomScalePageLayoutView="68" workbookViewId="0">
      <selection activeCell="I24" sqref="I24"/>
    </sheetView>
  </sheetViews>
  <sheetFormatPr defaultColWidth="9.140625" defaultRowHeight="15" x14ac:dyDescent="0.25"/>
  <cols>
    <col min="1" max="1" width="18.28515625" style="14" customWidth="1"/>
    <col min="2" max="2" width="10.7109375" style="14" customWidth="1"/>
    <col min="3" max="3" width="12.28515625" style="14" customWidth="1"/>
    <col min="4" max="4" width="13.140625" style="14" bestFit="1" customWidth="1"/>
    <col min="5" max="5" width="12" style="14" customWidth="1"/>
    <col min="6" max="6" width="14" style="14" bestFit="1" customWidth="1"/>
    <col min="7" max="7" width="16" style="14" bestFit="1" customWidth="1"/>
    <col min="8" max="8" width="10.140625" style="14" bestFit="1" customWidth="1"/>
    <col min="9" max="9" width="10.5703125" style="14" bestFit="1" customWidth="1"/>
    <col min="10" max="10" width="10.5703125" style="14" customWidth="1"/>
    <col min="11" max="11" width="10.28515625" style="14" bestFit="1" customWidth="1"/>
    <col min="12" max="12" width="10.42578125" style="14" bestFit="1" customWidth="1"/>
    <col min="13" max="14" width="12" style="14" bestFit="1" customWidth="1"/>
    <col min="15" max="15" width="11" style="14" customWidth="1"/>
    <col min="16" max="16" width="12.85546875" style="14" bestFit="1" customWidth="1"/>
    <col min="17" max="18" width="9.42578125" style="14" customWidth="1"/>
    <col min="19" max="19" width="13.7109375" style="14" customWidth="1"/>
    <col min="20" max="20" width="12.140625" style="14" customWidth="1"/>
    <col min="21" max="21" width="21.7109375" style="14" customWidth="1"/>
    <col min="22" max="22" width="9.85546875" style="14" customWidth="1"/>
    <col min="23" max="23" width="10.140625" style="14" bestFit="1" customWidth="1"/>
    <col min="24" max="24" width="10.28515625" style="14" customWidth="1"/>
    <col min="25" max="25" width="15.7109375" style="14" customWidth="1"/>
    <col min="26" max="16384" width="9.140625" style="14"/>
  </cols>
  <sheetData>
    <row r="1" spans="1:25" ht="46.15" customHeight="1" x14ac:dyDescent="0.25">
      <c r="A1" s="2240" t="s">
        <v>148</v>
      </c>
      <c r="B1" s="2240"/>
      <c r="C1" s="2240"/>
      <c r="D1" s="2240"/>
      <c r="E1" s="2240"/>
      <c r="F1" s="2240"/>
      <c r="G1" s="2240"/>
      <c r="H1" s="2240"/>
      <c r="I1" s="2240"/>
      <c r="J1" s="2240"/>
      <c r="K1" s="2240"/>
      <c r="L1" s="2240"/>
      <c r="M1" s="2240"/>
      <c r="N1" s="2240"/>
      <c r="O1" s="2240"/>
      <c r="P1" s="2240"/>
      <c r="Q1" s="2240"/>
      <c r="R1" s="2240"/>
      <c r="S1" s="2240"/>
      <c r="T1" s="2240"/>
      <c r="U1" s="2240"/>
      <c r="V1" s="2240"/>
      <c r="W1" s="2240"/>
      <c r="X1" s="2240"/>
      <c r="Y1" s="2240"/>
    </row>
    <row r="2" spans="1:25" ht="21.6" customHeight="1" x14ac:dyDescent="0.25">
      <c r="A2" s="2241" t="s">
        <v>383</v>
      </c>
      <c r="B2" s="2241"/>
      <c r="C2" s="2241"/>
      <c r="D2" s="2241"/>
      <c r="E2" s="2241"/>
      <c r="F2" s="2241"/>
      <c r="G2" s="2241"/>
      <c r="H2" s="2241"/>
      <c r="I2" s="2241"/>
      <c r="J2" s="2241"/>
      <c r="K2" s="2241"/>
      <c r="L2" s="2241"/>
      <c r="M2" s="2241"/>
      <c r="N2" s="2241"/>
      <c r="O2" s="2241"/>
      <c r="P2" s="2241"/>
      <c r="Q2" s="2241"/>
      <c r="R2" s="2241"/>
      <c r="S2" s="2241"/>
      <c r="T2" s="2241"/>
      <c r="U2" s="2241"/>
      <c r="V2" s="2241"/>
      <c r="W2" s="2241"/>
      <c r="X2" s="2241"/>
      <c r="Y2" s="2241"/>
    </row>
    <row r="3" spans="1:25" ht="21" customHeight="1" x14ac:dyDescent="0.25">
      <c r="A3" s="2022"/>
      <c r="B3" s="2022"/>
      <c r="C3" s="2022"/>
      <c r="D3" s="2022"/>
      <c r="E3" s="2022"/>
      <c r="F3" s="2022"/>
      <c r="G3" s="2022"/>
      <c r="H3" s="2022"/>
      <c r="I3" s="2022"/>
      <c r="J3" s="2022"/>
      <c r="K3" s="2022"/>
      <c r="L3" s="2022"/>
      <c r="M3" s="2022"/>
      <c r="N3" s="2022"/>
      <c r="O3" s="2022"/>
      <c r="P3" s="2022"/>
      <c r="Q3" s="2022"/>
      <c r="R3" s="2022"/>
      <c r="S3" s="2022"/>
      <c r="T3" s="2242" t="s">
        <v>576</v>
      </c>
      <c r="U3" s="2242"/>
      <c r="V3" s="2242"/>
      <c r="W3" s="2242"/>
      <c r="X3" s="2242"/>
      <c r="Y3" s="2242"/>
    </row>
    <row r="4" spans="1:25" s="2022" customFormat="1" ht="18" customHeight="1" x14ac:dyDescent="0.25">
      <c r="A4" s="2243" t="s">
        <v>25</v>
      </c>
      <c r="B4" s="2243" t="s">
        <v>26</v>
      </c>
      <c r="C4" s="2244" t="s">
        <v>27</v>
      </c>
      <c r="D4" s="2244"/>
      <c r="E4" s="2244" t="s">
        <v>544</v>
      </c>
      <c r="F4" s="2244"/>
      <c r="G4" s="2244" t="s">
        <v>65</v>
      </c>
      <c r="H4" s="2244"/>
      <c r="I4" s="2244" t="s">
        <v>29</v>
      </c>
      <c r="J4" s="2244"/>
      <c r="K4" s="2245" t="s">
        <v>14</v>
      </c>
      <c r="L4" s="2246"/>
      <c r="M4" s="2245" t="s">
        <v>429</v>
      </c>
      <c r="N4" s="2246"/>
      <c r="O4" s="2245" t="s">
        <v>441</v>
      </c>
      <c r="P4" s="2246"/>
      <c r="Q4" s="2245" t="s">
        <v>114</v>
      </c>
      <c r="R4" s="2246"/>
      <c r="S4" s="2244" t="s">
        <v>35</v>
      </c>
      <c r="T4" s="2244"/>
      <c r="U4" s="2245" t="s">
        <v>17</v>
      </c>
      <c r="V4" s="2246"/>
      <c r="W4" s="2247" t="s">
        <v>36</v>
      </c>
      <c r="X4" s="2248"/>
      <c r="Y4" s="2238" t="s">
        <v>30</v>
      </c>
    </row>
    <row r="5" spans="1:25" s="2022" customFormat="1" ht="25.5" customHeight="1" x14ac:dyDescent="0.25">
      <c r="A5" s="2243"/>
      <c r="B5" s="2243"/>
      <c r="C5" s="2024" t="s">
        <v>42</v>
      </c>
      <c r="D5" s="2024" t="s">
        <v>43</v>
      </c>
      <c r="E5" s="2024" t="s">
        <v>42</v>
      </c>
      <c r="F5" s="2024" t="s">
        <v>43</v>
      </c>
      <c r="G5" s="2024" t="s">
        <v>42</v>
      </c>
      <c r="H5" s="2024" t="s">
        <v>43</v>
      </c>
      <c r="I5" s="2024" t="s">
        <v>42</v>
      </c>
      <c r="J5" s="2024" t="s">
        <v>43</v>
      </c>
      <c r="K5" s="2024" t="s">
        <v>42</v>
      </c>
      <c r="L5" s="2024" t="s">
        <v>43</v>
      </c>
      <c r="M5" s="2024" t="s">
        <v>42</v>
      </c>
      <c r="N5" s="2024" t="s">
        <v>43</v>
      </c>
      <c r="O5" s="2024" t="s">
        <v>42</v>
      </c>
      <c r="P5" s="2024" t="s">
        <v>43</v>
      </c>
      <c r="Q5" s="2024" t="s">
        <v>42</v>
      </c>
      <c r="R5" s="2024" t="s">
        <v>43</v>
      </c>
      <c r="S5" s="33" t="s">
        <v>42</v>
      </c>
      <c r="T5" s="33" t="s">
        <v>43</v>
      </c>
      <c r="U5" s="30" t="s">
        <v>42</v>
      </c>
      <c r="V5" s="30" t="s">
        <v>43</v>
      </c>
      <c r="W5" s="30" t="s">
        <v>42</v>
      </c>
      <c r="X5" s="30" t="s">
        <v>43</v>
      </c>
      <c r="Y5" s="2239"/>
    </row>
    <row r="6" spans="1:25" ht="34.5" customHeight="1" x14ac:dyDescent="0.25">
      <c r="A6" s="12">
        <v>1409935200</v>
      </c>
      <c r="B6" s="2023" t="s">
        <v>71</v>
      </c>
      <c r="C6" s="2026">
        <v>31670</v>
      </c>
      <c r="D6" s="2027">
        <f t="shared" ref="D6:D11" si="0">0.9725*C6</f>
        <v>30799.075000000001</v>
      </c>
      <c r="E6" s="2026"/>
      <c r="F6" s="2027">
        <f>19.68*E6</f>
        <v>0</v>
      </c>
      <c r="G6" s="2026">
        <v>10</v>
      </c>
      <c r="H6" s="2027">
        <f t="shared" ref="H6:H11" si="1">28.26*G6</f>
        <v>282.60000000000002</v>
      </c>
      <c r="I6" s="2026">
        <v>2500</v>
      </c>
      <c r="J6" s="2027">
        <f>18.82*I6</f>
        <v>47050</v>
      </c>
      <c r="K6" s="2026"/>
      <c r="L6" s="2027">
        <f>28.25*K6</f>
        <v>0</v>
      </c>
      <c r="M6" s="2026"/>
      <c r="N6" s="2027">
        <f>M6*47.6525</f>
        <v>0</v>
      </c>
      <c r="O6" s="2026"/>
      <c r="P6" s="2027">
        <f>O6*8.9</f>
        <v>0</v>
      </c>
      <c r="Q6" s="2027"/>
      <c r="R6" s="2027">
        <f>241*Q6</f>
        <v>0</v>
      </c>
      <c r="S6" s="2026"/>
      <c r="T6" s="2026">
        <f>470*S6</f>
        <v>0</v>
      </c>
      <c r="U6" s="2026"/>
      <c r="V6" s="2026">
        <f>332*U6</f>
        <v>0</v>
      </c>
      <c r="W6" s="2026"/>
      <c r="X6" s="19">
        <f>W6*100</f>
        <v>0</v>
      </c>
      <c r="Y6" s="20">
        <f t="shared" ref="Y6:Y12" si="2">D6+F6+H6+J6+L6+N6+P6+R6+T6+V6+X6</f>
        <v>78131.675000000003</v>
      </c>
    </row>
    <row r="7" spans="1:25" ht="36.75" customHeight="1" x14ac:dyDescent="0.25">
      <c r="A7" s="12">
        <v>1984225578</v>
      </c>
      <c r="B7" s="2023" t="s">
        <v>509</v>
      </c>
      <c r="C7" s="2026">
        <v>32594</v>
      </c>
      <c r="D7" s="2027">
        <f t="shared" si="0"/>
        <v>31697.665000000001</v>
      </c>
      <c r="E7" s="2026"/>
      <c r="F7" s="2027">
        <f t="shared" ref="F7:F11" si="3">19.68*E7</f>
        <v>0</v>
      </c>
      <c r="G7" s="2026">
        <v>60</v>
      </c>
      <c r="H7" s="2027">
        <f t="shared" si="1"/>
        <v>1695.6000000000001</v>
      </c>
      <c r="I7" s="2026">
        <v>1000</v>
      </c>
      <c r="J7" s="2027">
        <f t="shared" ref="J7:J11" si="4">18.82*I7</f>
        <v>18820</v>
      </c>
      <c r="K7" s="2026"/>
      <c r="L7" s="2027">
        <f t="shared" ref="L7:L11" si="5">28.25*K7</f>
        <v>0</v>
      </c>
      <c r="M7" s="2026"/>
      <c r="N7" s="2027">
        <f t="shared" ref="N7:N11" si="6">M7*47.6525</f>
        <v>0</v>
      </c>
      <c r="O7" s="2026"/>
      <c r="P7" s="2027">
        <f t="shared" ref="P7:P11" si="7">O7*8.9</f>
        <v>0</v>
      </c>
      <c r="Q7" s="2027"/>
      <c r="R7" s="2027">
        <f t="shared" ref="R7:R11" si="8">241*Q7</f>
        <v>0</v>
      </c>
      <c r="S7" s="2026">
        <v>3</v>
      </c>
      <c r="T7" s="2026">
        <f t="shared" ref="T7:T9" si="9">470*S7</f>
        <v>1410</v>
      </c>
      <c r="U7" s="2026">
        <v>3</v>
      </c>
      <c r="V7" s="2026">
        <f t="shared" ref="V7:V11" si="10">332*U7</f>
        <v>996</v>
      </c>
      <c r="W7" s="2026">
        <v>1</v>
      </c>
      <c r="X7" s="19">
        <f t="shared" ref="X7:X11" si="11">W7*100</f>
        <v>100</v>
      </c>
      <c r="Y7" s="20">
        <f t="shared" si="2"/>
        <v>54719.264999999999</v>
      </c>
    </row>
    <row r="8" spans="1:25" ht="35.25" customHeight="1" x14ac:dyDescent="0.25">
      <c r="A8" s="12">
        <v>1967020280</v>
      </c>
      <c r="B8" s="2023" t="s">
        <v>427</v>
      </c>
      <c r="C8" s="2026">
        <v>25704</v>
      </c>
      <c r="D8" s="2027">
        <f t="shared" si="0"/>
        <v>24997.14</v>
      </c>
      <c r="E8" s="2026"/>
      <c r="F8" s="2027">
        <f t="shared" si="3"/>
        <v>0</v>
      </c>
      <c r="G8" s="2026">
        <v>50</v>
      </c>
      <c r="H8" s="2027">
        <f t="shared" si="1"/>
        <v>1413</v>
      </c>
      <c r="I8" s="2026">
        <v>500</v>
      </c>
      <c r="J8" s="2027">
        <f t="shared" si="4"/>
        <v>9410</v>
      </c>
      <c r="K8" s="2026">
        <v>210</v>
      </c>
      <c r="L8" s="2027">
        <f t="shared" si="5"/>
        <v>5932.5</v>
      </c>
      <c r="M8" s="2026"/>
      <c r="N8" s="2027">
        <f t="shared" si="6"/>
        <v>0</v>
      </c>
      <c r="O8" s="2026"/>
      <c r="P8" s="2027">
        <f t="shared" si="7"/>
        <v>0</v>
      </c>
      <c r="Q8" s="2027"/>
      <c r="R8" s="2027">
        <f t="shared" si="8"/>
        <v>0</v>
      </c>
      <c r="S8" s="2026"/>
      <c r="T8" s="2026">
        <f t="shared" si="9"/>
        <v>0</v>
      </c>
      <c r="U8" s="2026"/>
      <c r="V8" s="2026">
        <f t="shared" si="10"/>
        <v>0</v>
      </c>
      <c r="W8" s="2026"/>
      <c r="X8" s="19">
        <f t="shared" si="11"/>
        <v>0</v>
      </c>
      <c r="Y8" s="20">
        <f t="shared" si="2"/>
        <v>41752.639999999999</v>
      </c>
    </row>
    <row r="9" spans="1:25" ht="38.25" customHeight="1" x14ac:dyDescent="0.25">
      <c r="A9" s="12">
        <v>1984225580</v>
      </c>
      <c r="B9" s="2023" t="s">
        <v>74</v>
      </c>
      <c r="C9" s="2026">
        <v>31242</v>
      </c>
      <c r="D9" s="2027">
        <f t="shared" si="0"/>
        <v>30382.845000000001</v>
      </c>
      <c r="E9" s="2026"/>
      <c r="F9" s="2027">
        <f t="shared" si="3"/>
        <v>0</v>
      </c>
      <c r="G9" s="2026">
        <v>150</v>
      </c>
      <c r="H9" s="2027">
        <f t="shared" si="1"/>
        <v>4239</v>
      </c>
      <c r="I9" s="2026">
        <v>500</v>
      </c>
      <c r="J9" s="2027">
        <f t="shared" si="4"/>
        <v>9410</v>
      </c>
      <c r="K9" s="2026">
        <v>20</v>
      </c>
      <c r="L9" s="2027">
        <f t="shared" si="5"/>
        <v>565</v>
      </c>
      <c r="M9" s="2026"/>
      <c r="N9" s="2027">
        <f t="shared" si="6"/>
        <v>0</v>
      </c>
      <c r="O9" s="2026"/>
      <c r="P9" s="2027">
        <f t="shared" si="7"/>
        <v>0</v>
      </c>
      <c r="Q9" s="2027"/>
      <c r="R9" s="2027">
        <f t="shared" si="8"/>
        <v>0</v>
      </c>
      <c r="S9" s="2026">
        <v>2</v>
      </c>
      <c r="T9" s="2026">
        <f t="shared" si="9"/>
        <v>940</v>
      </c>
      <c r="U9" s="2026"/>
      <c r="V9" s="2026">
        <f t="shared" si="10"/>
        <v>0</v>
      </c>
      <c r="W9" s="2026">
        <v>2</v>
      </c>
      <c r="X9" s="19">
        <f t="shared" si="11"/>
        <v>200</v>
      </c>
      <c r="Y9" s="20">
        <f t="shared" si="2"/>
        <v>45736.845000000001</v>
      </c>
    </row>
    <row r="10" spans="1:25" ht="35.25" customHeight="1" x14ac:dyDescent="0.25">
      <c r="A10" s="12">
        <v>1409935199</v>
      </c>
      <c r="C10" s="2026"/>
      <c r="D10" s="2027">
        <f t="shared" si="0"/>
        <v>0</v>
      </c>
      <c r="E10" s="2026"/>
      <c r="F10" s="2027">
        <f t="shared" si="3"/>
        <v>0</v>
      </c>
      <c r="G10" s="2026"/>
      <c r="H10" s="2027">
        <f t="shared" si="1"/>
        <v>0</v>
      </c>
      <c r="I10" s="2026"/>
      <c r="J10" s="2027">
        <f t="shared" si="4"/>
        <v>0</v>
      </c>
      <c r="K10" s="2026"/>
      <c r="L10" s="2027">
        <f t="shared" si="5"/>
        <v>0</v>
      </c>
      <c r="M10" s="2026"/>
      <c r="N10" s="2027">
        <f t="shared" si="6"/>
        <v>0</v>
      </c>
      <c r="O10" s="2026"/>
      <c r="P10" s="2027">
        <f t="shared" si="7"/>
        <v>0</v>
      </c>
      <c r="Q10" s="2027"/>
      <c r="R10" s="2027">
        <f t="shared" si="8"/>
        <v>0</v>
      </c>
      <c r="S10" s="2026"/>
      <c r="T10" s="2026">
        <f>341*S10</f>
        <v>0</v>
      </c>
      <c r="U10" s="2026"/>
      <c r="V10" s="2026">
        <f t="shared" si="10"/>
        <v>0</v>
      </c>
      <c r="W10" s="2026"/>
      <c r="X10" s="19">
        <f t="shared" si="11"/>
        <v>0</v>
      </c>
      <c r="Y10" s="20">
        <f t="shared" si="2"/>
        <v>0</v>
      </c>
    </row>
    <row r="11" spans="1:25" ht="37.5" customHeight="1" x14ac:dyDescent="0.25">
      <c r="A11" s="12"/>
      <c r="B11" s="2025"/>
      <c r="C11" s="2026"/>
      <c r="D11" s="2027">
        <f t="shared" si="0"/>
        <v>0</v>
      </c>
      <c r="E11" s="2026"/>
      <c r="F11" s="2027">
        <f t="shared" si="3"/>
        <v>0</v>
      </c>
      <c r="G11" s="2026"/>
      <c r="H11" s="2027">
        <f t="shared" si="1"/>
        <v>0</v>
      </c>
      <c r="I11" s="2026"/>
      <c r="J11" s="2027">
        <f t="shared" si="4"/>
        <v>0</v>
      </c>
      <c r="K11" s="2026"/>
      <c r="L11" s="2027">
        <f t="shared" si="5"/>
        <v>0</v>
      </c>
      <c r="M11" s="2026"/>
      <c r="N11" s="2027">
        <f t="shared" si="6"/>
        <v>0</v>
      </c>
      <c r="O11" s="2026"/>
      <c r="P11" s="2027">
        <f t="shared" si="7"/>
        <v>0</v>
      </c>
      <c r="Q11" s="2027"/>
      <c r="R11" s="2027">
        <f t="shared" si="8"/>
        <v>0</v>
      </c>
      <c r="S11" s="2026"/>
      <c r="T11" s="2026">
        <f>241*S11</f>
        <v>0</v>
      </c>
      <c r="U11" s="2026"/>
      <c r="V11" s="2026">
        <f t="shared" si="10"/>
        <v>0</v>
      </c>
      <c r="W11" s="2026"/>
      <c r="X11" s="19">
        <f t="shared" si="11"/>
        <v>0</v>
      </c>
      <c r="Y11" s="20">
        <f t="shared" si="2"/>
        <v>0</v>
      </c>
    </row>
    <row r="12" spans="1:25" ht="29.25" customHeight="1" x14ac:dyDescent="0.25">
      <c r="A12" s="2235" t="s">
        <v>31</v>
      </c>
      <c r="B12" s="2235"/>
      <c r="C12" s="18">
        <f t="shared" ref="C12:X12" si="12">SUM(C6:C11)</f>
        <v>121210</v>
      </c>
      <c r="D12" s="18">
        <f t="shared" si="12"/>
        <v>117876.72500000001</v>
      </c>
      <c r="E12" s="18">
        <f t="shared" si="12"/>
        <v>0</v>
      </c>
      <c r="F12" s="18">
        <f t="shared" si="12"/>
        <v>0</v>
      </c>
      <c r="G12" s="18">
        <f t="shared" si="12"/>
        <v>270</v>
      </c>
      <c r="H12" s="18">
        <f t="shared" si="12"/>
        <v>7630.2000000000007</v>
      </c>
      <c r="I12" s="18">
        <f t="shared" si="12"/>
        <v>4500</v>
      </c>
      <c r="J12" s="18">
        <f t="shared" si="12"/>
        <v>84690</v>
      </c>
      <c r="K12" s="18">
        <f t="shared" si="12"/>
        <v>230</v>
      </c>
      <c r="L12" s="18">
        <f t="shared" si="12"/>
        <v>6497.5</v>
      </c>
      <c r="M12" s="18">
        <f t="shared" si="12"/>
        <v>0</v>
      </c>
      <c r="N12" s="23">
        <f t="shared" si="12"/>
        <v>0</v>
      </c>
      <c r="O12" s="18">
        <f t="shared" si="12"/>
        <v>0</v>
      </c>
      <c r="P12" s="23">
        <f t="shared" si="12"/>
        <v>0</v>
      </c>
      <c r="Q12" s="23">
        <f t="shared" si="12"/>
        <v>0</v>
      </c>
      <c r="R12" s="23">
        <f>SUM(R6:R11)</f>
        <v>0</v>
      </c>
      <c r="S12" s="23">
        <f>SUM(S6:S11)</f>
        <v>5</v>
      </c>
      <c r="T12" s="18">
        <f t="shared" si="12"/>
        <v>2350</v>
      </c>
      <c r="U12" s="18">
        <f t="shared" si="12"/>
        <v>3</v>
      </c>
      <c r="V12" s="18">
        <f t="shared" si="12"/>
        <v>996</v>
      </c>
      <c r="W12" s="18">
        <f t="shared" si="12"/>
        <v>3</v>
      </c>
      <c r="X12" s="18">
        <f t="shared" si="12"/>
        <v>300</v>
      </c>
      <c r="Y12" s="20">
        <f t="shared" si="2"/>
        <v>220340.42499999999</v>
      </c>
    </row>
    <row r="14" spans="1:25" ht="43.5" customHeight="1" x14ac:dyDescent="0.25">
      <c r="A14" s="30" t="s">
        <v>32</v>
      </c>
      <c r="B14" s="2236" t="s">
        <v>27</v>
      </c>
      <c r="C14" s="2236"/>
      <c r="D14" s="30" t="s">
        <v>543</v>
      </c>
      <c r="E14" s="30" t="s">
        <v>65</v>
      </c>
      <c r="F14" s="30" t="s">
        <v>34</v>
      </c>
      <c r="G14" s="30" t="s">
        <v>14</v>
      </c>
      <c r="H14" s="469" t="s">
        <v>173</v>
      </c>
      <c r="I14" s="30" t="s">
        <v>17</v>
      </c>
      <c r="J14" s="2031" t="s">
        <v>174</v>
      </c>
      <c r="K14" s="30" t="s">
        <v>36</v>
      </c>
      <c r="L14" s="2031" t="s">
        <v>403</v>
      </c>
      <c r="M14" s="2031" t="s">
        <v>549</v>
      </c>
      <c r="N14" s="30" t="s">
        <v>442</v>
      </c>
      <c r="O14" s="2031" t="s">
        <v>114</v>
      </c>
      <c r="P14" s="30" t="s">
        <v>70</v>
      </c>
      <c r="Q14" s="2300" t="s">
        <v>479</v>
      </c>
      <c r="R14" s="2301"/>
      <c r="S14" s="2031" t="s">
        <v>401</v>
      </c>
      <c r="T14" s="2235" t="s">
        <v>46</v>
      </c>
      <c r="U14" s="2023" t="s">
        <v>176</v>
      </c>
      <c r="V14" s="2260">
        <v>14255</v>
      </c>
      <c r="W14" s="2268"/>
      <c r="X14" s="2261"/>
    </row>
    <row r="15" spans="1:25" ht="22.5" customHeight="1" x14ac:dyDescent="0.25">
      <c r="A15" s="100" t="s">
        <v>38</v>
      </c>
      <c r="B15" s="2260">
        <v>349810</v>
      </c>
      <c r="C15" s="2261"/>
      <c r="D15" s="2028">
        <v>0</v>
      </c>
      <c r="E15" s="2028">
        <v>500</v>
      </c>
      <c r="F15" s="2028">
        <v>9500</v>
      </c>
      <c r="G15" s="2028">
        <v>2110</v>
      </c>
      <c r="H15" s="2028">
        <v>34</v>
      </c>
      <c r="I15" s="2028">
        <v>55</v>
      </c>
      <c r="J15" s="2028"/>
      <c r="K15" s="2028">
        <v>92</v>
      </c>
      <c r="L15" s="2028">
        <v>12</v>
      </c>
      <c r="M15" s="2028">
        <v>18</v>
      </c>
      <c r="N15" s="2028">
        <v>0</v>
      </c>
      <c r="O15" s="2028">
        <v>0</v>
      </c>
      <c r="P15" s="2028">
        <v>100</v>
      </c>
      <c r="Q15" s="2260">
        <v>10</v>
      </c>
      <c r="R15" s="2261"/>
      <c r="S15" s="2023"/>
      <c r="T15" s="2235"/>
      <c r="U15" s="2023" t="s">
        <v>64</v>
      </c>
      <c r="V15" s="2262">
        <v>14834</v>
      </c>
      <c r="W15" s="2262"/>
      <c r="X15" s="2262"/>
    </row>
    <row r="16" spans="1:25" ht="24.75" customHeight="1" x14ac:dyDescent="0.25">
      <c r="A16" s="100" t="s">
        <v>39</v>
      </c>
      <c r="B16" s="2260">
        <v>124675</v>
      </c>
      <c r="C16" s="2261"/>
      <c r="D16" s="2028"/>
      <c r="E16" s="2028"/>
      <c r="F16" s="2028"/>
      <c r="G16" s="2028"/>
      <c r="H16" s="2028"/>
      <c r="I16" s="2028"/>
      <c r="J16" s="2028"/>
      <c r="K16" s="2028"/>
      <c r="L16" s="2028"/>
      <c r="M16" s="2028"/>
      <c r="N16" s="2028"/>
      <c r="O16" s="2028"/>
      <c r="P16" s="2028"/>
      <c r="Q16" s="2262"/>
      <c r="R16" s="2262"/>
      <c r="S16" s="2028"/>
      <c r="T16" s="2254" t="s">
        <v>55</v>
      </c>
      <c r="U16" s="2254"/>
      <c r="V16" s="2267">
        <f>Y12</f>
        <v>220340.42499999999</v>
      </c>
      <c r="W16" s="2267"/>
      <c r="X16" s="2262"/>
    </row>
    <row r="17" spans="1:25" ht="28.5" customHeight="1" x14ac:dyDescent="0.25">
      <c r="A17" s="101" t="s">
        <v>44</v>
      </c>
      <c r="B17" s="2260"/>
      <c r="C17" s="2261"/>
      <c r="D17" s="2028"/>
      <c r="E17" s="2028"/>
      <c r="F17" s="2028"/>
      <c r="G17" s="2028"/>
      <c r="H17" s="2028"/>
      <c r="I17" s="2028"/>
      <c r="J17" s="2028"/>
      <c r="K17" s="2028"/>
      <c r="L17" s="2028"/>
      <c r="M17" s="2028"/>
      <c r="N17" s="2028"/>
      <c r="O17" s="2028"/>
      <c r="P17" s="2028"/>
      <c r="Q17" s="2225"/>
      <c r="R17" s="2225"/>
      <c r="S17" s="2025"/>
      <c r="T17" s="2294" t="s">
        <v>521</v>
      </c>
      <c r="U17" s="2295"/>
      <c r="V17" s="2296"/>
      <c r="W17" s="2296"/>
      <c r="X17" s="2296"/>
    </row>
    <row r="18" spans="1:25" ht="27" customHeight="1" x14ac:dyDescent="0.25">
      <c r="A18" s="100" t="s">
        <v>40</v>
      </c>
      <c r="B18" s="2264">
        <f>C12</f>
        <v>121210</v>
      </c>
      <c r="C18" s="2261"/>
      <c r="D18" s="2029">
        <f>E12</f>
        <v>0</v>
      </c>
      <c r="E18" s="2029">
        <f>G12</f>
        <v>270</v>
      </c>
      <c r="F18" s="2029">
        <f>I12</f>
        <v>4500</v>
      </c>
      <c r="G18" s="2029">
        <f>K12</f>
        <v>230</v>
      </c>
      <c r="H18" s="2028"/>
      <c r="I18" s="2029">
        <f>U12</f>
        <v>3</v>
      </c>
      <c r="J18" s="2028"/>
      <c r="K18" s="2029">
        <f>W12</f>
        <v>3</v>
      </c>
      <c r="L18" s="2028"/>
      <c r="M18" s="2029">
        <v>5</v>
      </c>
      <c r="N18" s="2029">
        <f>O12</f>
        <v>0</v>
      </c>
      <c r="O18" s="2030">
        <f>Q12</f>
        <v>0</v>
      </c>
      <c r="P18" s="2029"/>
      <c r="Q18" s="2262"/>
      <c r="R18" s="2262"/>
      <c r="S18" s="2023"/>
      <c r="T18" s="2254" t="s">
        <v>57</v>
      </c>
      <c r="U18" s="2254"/>
      <c r="V18" s="2262">
        <v>750</v>
      </c>
      <c r="W18" s="2262"/>
      <c r="X18" s="2262"/>
      <c r="Y18" s="2269"/>
    </row>
    <row r="19" spans="1:25" ht="25.5" customHeight="1" x14ac:dyDescent="0.25">
      <c r="A19" s="100" t="s">
        <v>41</v>
      </c>
      <c r="B19" s="2260">
        <f>B15+B16+B17-B18</f>
        <v>353275</v>
      </c>
      <c r="C19" s="2261"/>
      <c r="D19" s="2028">
        <f>D15+D16+D17-D18</f>
        <v>0</v>
      </c>
      <c r="E19" s="2028">
        <f t="shared" ref="E19:N19" si="13">E15+E16+E17-E18</f>
        <v>230</v>
      </c>
      <c r="F19" s="2028">
        <f t="shared" si="13"/>
        <v>5000</v>
      </c>
      <c r="G19" s="2028">
        <f t="shared" si="13"/>
        <v>1880</v>
      </c>
      <c r="H19" s="2028">
        <f t="shared" si="13"/>
        <v>34</v>
      </c>
      <c r="I19" s="2028">
        <f t="shared" si="13"/>
        <v>52</v>
      </c>
      <c r="J19" s="2028">
        <f t="shared" si="13"/>
        <v>0</v>
      </c>
      <c r="K19" s="2028">
        <f t="shared" si="13"/>
        <v>89</v>
      </c>
      <c r="L19" s="2028">
        <f t="shared" si="13"/>
        <v>12</v>
      </c>
      <c r="M19" s="2028">
        <f t="shared" si="13"/>
        <v>13</v>
      </c>
      <c r="N19" s="2028">
        <f t="shared" si="13"/>
        <v>0</v>
      </c>
      <c r="O19" s="2028">
        <f>O15+O16+O17-O18</f>
        <v>0</v>
      </c>
      <c r="P19" s="2028">
        <f t="shared" ref="P19:Q19" si="14">P15+P16+P17-P18</f>
        <v>100</v>
      </c>
      <c r="Q19" s="2260">
        <f t="shared" si="14"/>
        <v>10</v>
      </c>
      <c r="R19" s="2261"/>
      <c r="S19" s="2023">
        <f>S15+S16-S17-S18</f>
        <v>0</v>
      </c>
      <c r="T19" s="2256" t="s">
        <v>48</v>
      </c>
      <c r="U19" s="49" t="s">
        <v>58</v>
      </c>
      <c r="V19" s="2262">
        <v>176000</v>
      </c>
      <c r="W19" s="2262"/>
      <c r="X19" s="2262"/>
      <c r="Y19" s="2269"/>
    </row>
    <row r="20" spans="1:25" ht="23.25" customHeight="1" x14ac:dyDescent="0.25">
      <c r="A20" s="289" t="s">
        <v>187</v>
      </c>
      <c r="B20" s="2286">
        <f>B19*0.9625</f>
        <v>340027.1875</v>
      </c>
      <c r="C20" s="2287"/>
      <c r="D20" s="290">
        <f>D19*19.48</f>
        <v>0</v>
      </c>
      <c r="E20" s="290">
        <f>27.97*E19</f>
        <v>6433.0999999999995</v>
      </c>
      <c r="F20" s="290">
        <f>18.63*F19</f>
        <v>93150</v>
      </c>
      <c r="G20" s="290">
        <f>27.9468*G19</f>
        <v>52539.983999999997</v>
      </c>
      <c r="H20" s="290">
        <f>241*H19</f>
        <v>8194</v>
      </c>
      <c r="I20" s="290">
        <f>323*I19</f>
        <v>16796</v>
      </c>
      <c r="J20" s="290">
        <f>241*J19</f>
        <v>0</v>
      </c>
      <c r="K20" s="290">
        <f>K19*100</f>
        <v>8900</v>
      </c>
      <c r="L20" s="290">
        <f>470*L19</f>
        <v>5640</v>
      </c>
      <c r="M20" s="290">
        <f>470*M19</f>
        <v>6110</v>
      </c>
      <c r="N20" s="290">
        <f>N19*8.81</f>
        <v>0</v>
      </c>
      <c r="O20" s="290">
        <f>241*O19</f>
        <v>0</v>
      </c>
      <c r="P20" s="290">
        <f>P19*48.2</f>
        <v>4820</v>
      </c>
      <c r="Q20" s="2286">
        <f>470*Q19</f>
        <v>4700</v>
      </c>
      <c r="R20" s="2287"/>
      <c r="S20" s="290">
        <f>341*S19</f>
        <v>0</v>
      </c>
      <c r="T20" s="2257"/>
      <c r="U20" s="49" t="s">
        <v>59</v>
      </c>
      <c r="V20" s="2262"/>
      <c r="W20" s="2262"/>
      <c r="X20" s="2262"/>
      <c r="Y20" s="2269"/>
    </row>
    <row r="21" spans="1:25" ht="32.25" customHeight="1" x14ac:dyDescent="0.25">
      <c r="A21" s="291" t="s">
        <v>186</v>
      </c>
      <c r="B21" s="2302">
        <f>SUM(B20:S20)</f>
        <v>547310.27150000003</v>
      </c>
      <c r="C21" s="2302"/>
      <c r="T21" s="2294" t="s">
        <v>518</v>
      </c>
      <c r="U21" s="2295"/>
      <c r="V21" s="2297"/>
      <c r="W21" s="2298"/>
      <c r="X21" s="2299"/>
      <c r="Y21" s="2269"/>
    </row>
    <row r="22" spans="1:25" ht="35.25" customHeight="1" x14ac:dyDescent="0.25">
      <c r="A22" s="1911"/>
      <c r="B22" s="2288" t="s">
        <v>49</v>
      </c>
      <c r="C22" s="2291">
        <v>176000</v>
      </c>
      <c r="D22" s="2291">
        <v>176000</v>
      </c>
      <c r="E22" s="2291">
        <v>120000</v>
      </c>
      <c r="F22" s="2291">
        <f>C22-D22+E22</f>
        <v>120000</v>
      </c>
      <c r="T22" s="2251" t="s">
        <v>83</v>
      </c>
      <c r="U22" s="50" t="s">
        <v>60</v>
      </c>
      <c r="V22" s="2262">
        <v>217270</v>
      </c>
      <c r="W22" s="2262"/>
      <c r="X22" s="2262"/>
      <c r="Y22" s="2269"/>
    </row>
    <row r="23" spans="1:25" ht="39.75" customHeight="1" x14ac:dyDescent="0.25">
      <c r="B23" s="2289"/>
      <c r="C23" s="2292"/>
      <c r="D23" s="2292"/>
      <c r="E23" s="2292"/>
      <c r="F23" s="2292"/>
      <c r="T23" s="2252"/>
      <c r="U23" s="50" t="s">
        <v>61</v>
      </c>
      <c r="V23" s="2262">
        <v>176000</v>
      </c>
      <c r="W23" s="2262"/>
      <c r="X23" s="2262"/>
      <c r="Y23" s="2269"/>
    </row>
    <row r="24" spans="1:25" ht="48" customHeight="1" x14ac:dyDescent="0.25">
      <c r="B24" s="2290"/>
      <c r="C24" s="290" t="s">
        <v>46</v>
      </c>
      <c r="D24" s="290" t="s">
        <v>50</v>
      </c>
      <c r="E24" s="290" t="s">
        <v>51</v>
      </c>
      <c r="F24" s="290" t="s">
        <v>52</v>
      </c>
      <c r="T24" s="2235" t="s">
        <v>47</v>
      </c>
      <c r="U24" s="51" t="s">
        <v>62</v>
      </c>
      <c r="V24" s="2263">
        <f>V14+V16+V17-V18-V19-V20-V22+V23-V21</f>
        <v>16575.424999999988</v>
      </c>
      <c r="W24" s="2263"/>
      <c r="X24" s="2263"/>
      <c r="Y24" s="2269"/>
    </row>
    <row r="25" spans="1:25" ht="40.5" customHeight="1" x14ac:dyDescent="0.25">
      <c r="T25" s="2235"/>
      <c r="U25" s="51" t="s">
        <v>63</v>
      </c>
      <c r="V25" s="2262">
        <f>V15+V22-V23</f>
        <v>56104</v>
      </c>
      <c r="W25" s="2262"/>
      <c r="X25" s="2262"/>
    </row>
    <row r="26" spans="1:25" ht="36" customHeight="1" x14ac:dyDescent="0.25">
      <c r="K26" s="314"/>
    </row>
    <row r="28" spans="1:25" x14ac:dyDescent="0.25">
      <c r="J28" s="14" t="s">
        <v>139</v>
      </c>
    </row>
    <row r="32" spans="1:25" x14ac:dyDescent="0.25">
      <c r="I32" s="2280"/>
      <c r="J32" s="2280"/>
      <c r="K32" s="2280"/>
      <c r="L32" s="2280"/>
    </row>
    <row r="33" spans="9:12" x14ac:dyDescent="0.25">
      <c r="I33" s="2032"/>
      <c r="J33" s="2032"/>
      <c r="K33" s="2280"/>
      <c r="L33" s="2280"/>
    </row>
  </sheetData>
  <mergeCells count="62">
    <mergeCell ref="I32:J32"/>
    <mergeCell ref="K32:L32"/>
    <mergeCell ref="K33:L33"/>
    <mergeCell ref="T22:T23"/>
    <mergeCell ref="V22:X22"/>
    <mergeCell ref="V23:X23"/>
    <mergeCell ref="T24:T25"/>
    <mergeCell ref="V24:X24"/>
    <mergeCell ref="V25:X25"/>
    <mergeCell ref="Y18:Y24"/>
    <mergeCell ref="B19:C19"/>
    <mergeCell ref="Q19:R19"/>
    <mergeCell ref="T19:T20"/>
    <mergeCell ref="V19:X19"/>
    <mergeCell ref="B20:C20"/>
    <mergeCell ref="B22:B24"/>
    <mergeCell ref="C22:C23"/>
    <mergeCell ref="D22:D23"/>
    <mergeCell ref="E22:E23"/>
    <mergeCell ref="F22:F23"/>
    <mergeCell ref="Q20:R20"/>
    <mergeCell ref="V20:X20"/>
    <mergeCell ref="B21:C21"/>
    <mergeCell ref="T21:U21"/>
    <mergeCell ref="V21:X21"/>
    <mergeCell ref="B17:C17"/>
    <mergeCell ref="Q17:R17"/>
    <mergeCell ref="T17:U17"/>
    <mergeCell ref="V17:X17"/>
    <mergeCell ref="B18:C18"/>
    <mergeCell ref="Q18:R18"/>
    <mergeCell ref="T18:U18"/>
    <mergeCell ref="V18:X18"/>
    <mergeCell ref="W4:X4"/>
    <mergeCell ref="B16:C16"/>
    <mergeCell ref="Q16:R16"/>
    <mergeCell ref="T16:U16"/>
    <mergeCell ref="V16:X16"/>
    <mergeCell ref="A12:B12"/>
    <mergeCell ref="B14:C14"/>
    <mergeCell ref="Q14:R14"/>
    <mergeCell ref="T14:T15"/>
    <mergeCell ref="V14:X14"/>
    <mergeCell ref="B15:C15"/>
    <mergeCell ref="Q15:R15"/>
    <mergeCell ref="V15:X15"/>
    <mergeCell ref="A1:Y1"/>
    <mergeCell ref="A2:Y2"/>
    <mergeCell ref="T3:Y3"/>
    <mergeCell ref="A4:A5"/>
    <mergeCell ref="B4:B5"/>
    <mergeCell ref="C4:D4"/>
    <mergeCell ref="E4:F4"/>
    <mergeCell ref="G4:H4"/>
    <mergeCell ref="I4:J4"/>
    <mergeCell ref="K4:L4"/>
    <mergeCell ref="Y4:Y5"/>
    <mergeCell ref="M4:N4"/>
    <mergeCell ref="O4:P4"/>
    <mergeCell ref="Q4:R4"/>
    <mergeCell ref="S4:T4"/>
    <mergeCell ref="U4:V4"/>
  </mergeCells>
  <pageMargins left="0.15748031496063" right="0.15748031496063" top="0" bottom="0" header="0" footer="0"/>
  <pageSetup paperSize="9" scale="46" orientation="landscape" r:id="rId1"/>
</worksheet>
</file>

<file path=xl/worksheets/sheet3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6255F4A-1FE8-47D7-A5F4-0A9B73E4955E}">
  <sheetPr>
    <pageSetUpPr fitToPage="1"/>
  </sheetPr>
  <dimension ref="A1:Y33"/>
  <sheetViews>
    <sheetView topLeftCell="D8" zoomScale="70" zoomScaleNormal="70" zoomScaleSheetLayoutView="100" zoomScalePageLayoutView="68" workbookViewId="0">
      <selection activeCell="M24" sqref="M24"/>
    </sheetView>
  </sheetViews>
  <sheetFormatPr defaultColWidth="9.140625" defaultRowHeight="15" x14ac:dyDescent="0.25"/>
  <cols>
    <col min="1" max="1" width="18.28515625" style="14" customWidth="1"/>
    <col min="2" max="2" width="10.7109375" style="14" customWidth="1"/>
    <col min="3" max="3" width="12.28515625" style="14" customWidth="1"/>
    <col min="4" max="4" width="13.140625" style="14" bestFit="1" customWidth="1"/>
    <col min="5" max="5" width="12" style="14" customWidth="1"/>
    <col min="6" max="6" width="14" style="14" bestFit="1" customWidth="1"/>
    <col min="7" max="7" width="16" style="14" bestFit="1" customWidth="1"/>
    <col min="8" max="8" width="10.140625" style="14" bestFit="1" customWidth="1"/>
    <col min="9" max="9" width="10.5703125" style="14" bestFit="1" customWidth="1"/>
    <col min="10" max="10" width="10.5703125" style="14" customWidth="1"/>
    <col min="11" max="11" width="10.28515625" style="14" bestFit="1" customWidth="1"/>
    <col min="12" max="12" width="10.42578125" style="14" bestFit="1" customWidth="1"/>
    <col min="13" max="14" width="12" style="14" bestFit="1" customWidth="1"/>
    <col min="15" max="15" width="11" style="14" customWidth="1"/>
    <col min="16" max="16" width="12.85546875" style="14" bestFit="1" customWidth="1"/>
    <col min="17" max="18" width="9.42578125" style="14" customWidth="1"/>
    <col min="19" max="19" width="13.7109375" style="14" customWidth="1"/>
    <col min="20" max="20" width="12.140625" style="14" customWidth="1"/>
    <col min="21" max="21" width="21.7109375" style="14" customWidth="1"/>
    <col min="22" max="22" width="9.85546875" style="14" customWidth="1"/>
    <col min="23" max="23" width="10.140625" style="14" bestFit="1" customWidth="1"/>
    <col min="24" max="24" width="10.28515625" style="14" customWidth="1"/>
    <col min="25" max="25" width="15.7109375" style="14" customWidth="1"/>
    <col min="26" max="16384" width="9.140625" style="14"/>
  </cols>
  <sheetData>
    <row r="1" spans="1:25" ht="46.15" customHeight="1" x14ac:dyDescent="0.25">
      <c r="A1" s="2240" t="s">
        <v>148</v>
      </c>
      <c r="B1" s="2240"/>
      <c r="C1" s="2240"/>
      <c r="D1" s="2240"/>
      <c r="E1" s="2240"/>
      <c r="F1" s="2240"/>
      <c r="G1" s="2240"/>
      <c r="H1" s="2240"/>
      <c r="I1" s="2240"/>
      <c r="J1" s="2240"/>
      <c r="K1" s="2240"/>
      <c r="L1" s="2240"/>
      <c r="M1" s="2240"/>
      <c r="N1" s="2240"/>
      <c r="O1" s="2240"/>
      <c r="P1" s="2240"/>
      <c r="Q1" s="2240"/>
      <c r="R1" s="2240"/>
      <c r="S1" s="2240"/>
      <c r="T1" s="2240"/>
      <c r="U1" s="2240"/>
      <c r="V1" s="2240"/>
      <c r="W1" s="2240"/>
      <c r="X1" s="2240"/>
      <c r="Y1" s="2240"/>
    </row>
    <row r="2" spans="1:25" ht="21.6" customHeight="1" x14ac:dyDescent="0.25">
      <c r="A2" s="2241" t="s">
        <v>383</v>
      </c>
      <c r="B2" s="2241"/>
      <c r="C2" s="2241"/>
      <c r="D2" s="2241"/>
      <c r="E2" s="2241"/>
      <c r="F2" s="2241"/>
      <c r="G2" s="2241"/>
      <c r="H2" s="2241"/>
      <c r="I2" s="2241"/>
      <c r="J2" s="2241"/>
      <c r="K2" s="2241"/>
      <c r="L2" s="2241"/>
      <c r="M2" s="2241"/>
      <c r="N2" s="2241"/>
      <c r="O2" s="2241"/>
      <c r="P2" s="2241"/>
      <c r="Q2" s="2241"/>
      <c r="R2" s="2241"/>
      <c r="S2" s="2241"/>
      <c r="T2" s="2241"/>
      <c r="U2" s="2241"/>
      <c r="V2" s="2241"/>
      <c r="W2" s="2241"/>
      <c r="X2" s="2241"/>
      <c r="Y2" s="2241"/>
    </row>
    <row r="3" spans="1:25" ht="21" customHeight="1" x14ac:dyDescent="0.25">
      <c r="A3" s="2033"/>
      <c r="B3" s="2033"/>
      <c r="C3" s="2033"/>
      <c r="D3" s="2033"/>
      <c r="E3" s="2033"/>
      <c r="F3" s="2033"/>
      <c r="G3" s="2033"/>
      <c r="H3" s="2033"/>
      <c r="I3" s="2033"/>
      <c r="J3" s="2033"/>
      <c r="K3" s="2033"/>
      <c r="L3" s="2033"/>
      <c r="M3" s="2033"/>
      <c r="N3" s="2033"/>
      <c r="O3" s="2033"/>
      <c r="P3" s="2033"/>
      <c r="Q3" s="2033"/>
      <c r="R3" s="2033"/>
      <c r="S3" s="2033"/>
      <c r="T3" s="2242" t="s">
        <v>577</v>
      </c>
      <c r="U3" s="2242"/>
      <c r="V3" s="2242"/>
      <c r="W3" s="2242"/>
      <c r="X3" s="2242"/>
      <c r="Y3" s="2242"/>
    </row>
    <row r="4" spans="1:25" s="2033" customFormat="1" ht="18" customHeight="1" x14ac:dyDescent="0.25">
      <c r="A4" s="2243" t="s">
        <v>25</v>
      </c>
      <c r="B4" s="2243" t="s">
        <v>26</v>
      </c>
      <c r="C4" s="2244" t="s">
        <v>27</v>
      </c>
      <c r="D4" s="2244"/>
      <c r="E4" s="2244" t="s">
        <v>544</v>
      </c>
      <c r="F4" s="2244"/>
      <c r="G4" s="2244" t="s">
        <v>65</v>
      </c>
      <c r="H4" s="2244"/>
      <c r="I4" s="2244" t="s">
        <v>29</v>
      </c>
      <c r="J4" s="2244"/>
      <c r="K4" s="2245" t="s">
        <v>14</v>
      </c>
      <c r="L4" s="2246"/>
      <c r="M4" s="2245" t="s">
        <v>429</v>
      </c>
      <c r="N4" s="2246"/>
      <c r="O4" s="2245" t="s">
        <v>441</v>
      </c>
      <c r="P4" s="2246"/>
      <c r="Q4" s="2245" t="s">
        <v>114</v>
      </c>
      <c r="R4" s="2246"/>
      <c r="S4" s="2244" t="s">
        <v>35</v>
      </c>
      <c r="T4" s="2244"/>
      <c r="U4" s="2245" t="s">
        <v>17</v>
      </c>
      <c r="V4" s="2246"/>
      <c r="W4" s="2247" t="s">
        <v>36</v>
      </c>
      <c r="X4" s="2248"/>
      <c r="Y4" s="2238" t="s">
        <v>30</v>
      </c>
    </row>
    <row r="5" spans="1:25" s="2033" customFormat="1" ht="25.5" customHeight="1" x14ac:dyDescent="0.25">
      <c r="A5" s="2243"/>
      <c r="B5" s="2243"/>
      <c r="C5" s="2035" t="s">
        <v>42</v>
      </c>
      <c r="D5" s="2035" t="s">
        <v>43</v>
      </c>
      <c r="E5" s="2035" t="s">
        <v>42</v>
      </c>
      <c r="F5" s="2035" t="s">
        <v>43</v>
      </c>
      <c r="G5" s="2035" t="s">
        <v>42</v>
      </c>
      <c r="H5" s="2035" t="s">
        <v>43</v>
      </c>
      <c r="I5" s="2035" t="s">
        <v>42</v>
      </c>
      <c r="J5" s="2035" t="s">
        <v>43</v>
      </c>
      <c r="K5" s="2035" t="s">
        <v>42</v>
      </c>
      <c r="L5" s="2035" t="s">
        <v>43</v>
      </c>
      <c r="M5" s="2035" t="s">
        <v>42</v>
      </c>
      <c r="N5" s="2035" t="s">
        <v>43</v>
      </c>
      <c r="O5" s="2035" t="s">
        <v>42</v>
      </c>
      <c r="P5" s="2035" t="s">
        <v>43</v>
      </c>
      <c r="Q5" s="2035" t="s">
        <v>42</v>
      </c>
      <c r="R5" s="2035" t="s">
        <v>43</v>
      </c>
      <c r="S5" s="33" t="s">
        <v>42</v>
      </c>
      <c r="T5" s="33" t="s">
        <v>43</v>
      </c>
      <c r="U5" s="30" t="s">
        <v>42</v>
      </c>
      <c r="V5" s="30" t="s">
        <v>43</v>
      </c>
      <c r="W5" s="30" t="s">
        <v>42</v>
      </c>
      <c r="X5" s="30" t="s">
        <v>43</v>
      </c>
      <c r="Y5" s="2239"/>
    </row>
    <row r="6" spans="1:25" ht="34.5" customHeight="1" x14ac:dyDescent="0.25">
      <c r="A6" s="12">
        <v>1409935200</v>
      </c>
      <c r="B6" s="2034" t="s">
        <v>71</v>
      </c>
      <c r="C6" s="2037">
        <v>28655</v>
      </c>
      <c r="D6" s="2038">
        <f t="shared" ref="D6:D11" si="0">0.9725*C6</f>
        <v>27866.987499999999</v>
      </c>
      <c r="E6" s="2037"/>
      <c r="F6" s="2038">
        <f>19.68*E6</f>
        <v>0</v>
      </c>
      <c r="G6" s="2037">
        <v>40</v>
      </c>
      <c r="H6" s="2038">
        <f t="shared" ref="H6:H11" si="1">28.26*G6</f>
        <v>1130.4000000000001</v>
      </c>
      <c r="I6" s="2037"/>
      <c r="J6" s="2038">
        <f>18.82*I6</f>
        <v>0</v>
      </c>
      <c r="K6" s="2037"/>
      <c r="L6" s="2038">
        <f>28.25*K6</f>
        <v>0</v>
      </c>
      <c r="M6" s="2037"/>
      <c r="N6" s="2038">
        <f>M6*47.6525</f>
        <v>0</v>
      </c>
      <c r="O6" s="2037"/>
      <c r="P6" s="2038">
        <f>O6*8.9</f>
        <v>0</v>
      </c>
      <c r="Q6" s="2038"/>
      <c r="R6" s="2038">
        <f>241*Q6</f>
        <v>0</v>
      </c>
      <c r="S6" s="2037"/>
      <c r="T6" s="2037">
        <f>470*S6</f>
        <v>0</v>
      </c>
      <c r="U6" s="2037"/>
      <c r="V6" s="2037">
        <f>332*U6</f>
        <v>0</v>
      </c>
      <c r="W6" s="2037">
        <v>1</v>
      </c>
      <c r="X6" s="19">
        <f>W6*100</f>
        <v>100</v>
      </c>
      <c r="Y6" s="20">
        <f t="shared" ref="Y6:Y12" si="2">D6+F6+H6+J6+L6+N6+P6+R6+T6+V6+X6</f>
        <v>29097.387500000001</v>
      </c>
    </row>
    <row r="7" spans="1:25" ht="36.75" customHeight="1" x14ac:dyDescent="0.25">
      <c r="A7" s="12">
        <v>1984225578</v>
      </c>
      <c r="B7" s="2034" t="s">
        <v>509</v>
      </c>
      <c r="C7" s="2037">
        <v>25324</v>
      </c>
      <c r="D7" s="2038">
        <f t="shared" si="0"/>
        <v>24627.59</v>
      </c>
      <c r="E7" s="2037"/>
      <c r="F7" s="2038">
        <f t="shared" ref="F7:F11" si="3">19.68*E7</f>
        <v>0</v>
      </c>
      <c r="G7" s="2037"/>
      <c r="H7" s="2038">
        <f t="shared" si="1"/>
        <v>0</v>
      </c>
      <c r="I7" s="2037"/>
      <c r="J7" s="2038">
        <f t="shared" ref="J7:J11" si="4">18.82*I7</f>
        <v>0</v>
      </c>
      <c r="K7" s="2037">
        <v>70</v>
      </c>
      <c r="L7" s="2038">
        <f t="shared" ref="L7:L11" si="5">28.25*K7</f>
        <v>1977.5</v>
      </c>
      <c r="M7" s="2037"/>
      <c r="N7" s="2038">
        <f t="shared" ref="N7:N11" si="6">M7*47.6525</f>
        <v>0</v>
      </c>
      <c r="O7" s="2037"/>
      <c r="P7" s="2038">
        <f t="shared" ref="P7:P11" si="7">O7*8.9</f>
        <v>0</v>
      </c>
      <c r="Q7" s="2038"/>
      <c r="R7" s="2038">
        <f t="shared" ref="R7:R11" si="8">241*Q7</f>
        <v>0</v>
      </c>
      <c r="S7" s="2037"/>
      <c r="T7" s="2037">
        <f t="shared" ref="T7:T9" si="9">470*S7</f>
        <v>0</v>
      </c>
      <c r="U7" s="2037"/>
      <c r="V7" s="2037">
        <f t="shared" ref="V7:V11" si="10">332*U7</f>
        <v>0</v>
      </c>
      <c r="W7" s="2037"/>
      <c r="X7" s="19">
        <f t="shared" ref="X7:X11" si="11">W7*100</f>
        <v>0</v>
      </c>
      <c r="Y7" s="20">
        <f t="shared" si="2"/>
        <v>26605.09</v>
      </c>
    </row>
    <row r="8" spans="1:25" ht="35.25" customHeight="1" x14ac:dyDescent="0.25">
      <c r="A8" s="12">
        <v>1967020280</v>
      </c>
      <c r="B8" s="2034" t="s">
        <v>427</v>
      </c>
      <c r="C8" s="2037">
        <v>30737</v>
      </c>
      <c r="D8" s="2038">
        <f t="shared" si="0"/>
        <v>29891.732500000002</v>
      </c>
      <c r="E8" s="2037"/>
      <c r="F8" s="2038">
        <f t="shared" si="3"/>
        <v>0</v>
      </c>
      <c r="G8" s="2037">
        <v>30</v>
      </c>
      <c r="H8" s="2038">
        <f t="shared" si="1"/>
        <v>847.80000000000007</v>
      </c>
      <c r="I8" s="2037"/>
      <c r="J8" s="2038">
        <f t="shared" si="4"/>
        <v>0</v>
      </c>
      <c r="K8" s="2037">
        <v>190</v>
      </c>
      <c r="L8" s="2038">
        <f t="shared" si="5"/>
        <v>5367.5</v>
      </c>
      <c r="M8" s="2037"/>
      <c r="N8" s="2038">
        <f t="shared" si="6"/>
        <v>0</v>
      </c>
      <c r="O8" s="2037"/>
      <c r="P8" s="2038">
        <f t="shared" si="7"/>
        <v>0</v>
      </c>
      <c r="Q8" s="2038"/>
      <c r="R8" s="2038">
        <f t="shared" si="8"/>
        <v>0</v>
      </c>
      <c r="S8" s="2037"/>
      <c r="T8" s="2037">
        <f t="shared" si="9"/>
        <v>0</v>
      </c>
      <c r="U8" s="2037"/>
      <c r="V8" s="2037">
        <f t="shared" si="10"/>
        <v>0</v>
      </c>
      <c r="W8" s="2037">
        <v>1</v>
      </c>
      <c r="X8" s="19">
        <f t="shared" si="11"/>
        <v>100</v>
      </c>
      <c r="Y8" s="20">
        <f t="shared" si="2"/>
        <v>36207.032500000001</v>
      </c>
    </row>
    <row r="9" spans="1:25" ht="38.25" customHeight="1" x14ac:dyDescent="0.25">
      <c r="A9" s="12">
        <v>1984225580</v>
      </c>
      <c r="B9" s="2034" t="s">
        <v>74</v>
      </c>
      <c r="C9" s="2037">
        <v>32979</v>
      </c>
      <c r="D9" s="2038">
        <f t="shared" si="0"/>
        <v>32072.077499999999</v>
      </c>
      <c r="E9" s="2037"/>
      <c r="F9" s="2038">
        <f t="shared" si="3"/>
        <v>0</v>
      </c>
      <c r="G9" s="2037">
        <v>30</v>
      </c>
      <c r="H9" s="2038">
        <f t="shared" si="1"/>
        <v>847.80000000000007</v>
      </c>
      <c r="I9" s="2037"/>
      <c r="J9" s="2038">
        <f t="shared" si="4"/>
        <v>0</v>
      </c>
      <c r="K9" s="2037">
        <v>110</v>
      </c>
      <c r="L9" s="2038">
        <f t="shared" si="5"/>
        <v>3107.5</v>
      </c>
      <c r="M9" s="2037"/>
      <c r="N9" s="2038">
        <f t="shared" si="6"/>
        <v>0</v>
      </c>
      <c r="O9" s="2037"/>
      <c r="P9" s="2038">
        <f t="shared" si="7"/>
        <v>0</v>
      </c>
      <c r="Q9" s="2038"/>
      <c r="R9" s="2038">
        <f t="shared" si="8"/>
        <v>0</v>
      </c>
      <c r="S9" s="2037"/>
      <c r="T9" s="2037">
        <f t="shared" si="9"/>
        <v>0</v>
      </c>
      <c r="U9" s="2037">
        <v>2</v>
      </c>
      <c r="V9" s="2037">
        <f t="shared" si="10"/>
        <v>664</v>
      </c>
      <c r="W9" s="2037"/>
      <c r="X9" s="19">
        <f t="shared" si="11"/>
        <v>0</v>
      </c>
      <c r="Y9" s="20">
        <f t="shared" si="2"/>
        <v>36691.377500000002</v>
      </c>
    </row>
    <row r="10" spans="1:25" ht="35.25" customHeight="1" x14ac:dyDescent="0.25">
      <c r="A10" s="12">
        <v>1409935199</v>
      </c>
      <c r="C10" s="2037"/>
      <c r="D10" s="2038">
        <f t="shared" si="0"/>
        <v>0</v>
      </c>
      <c r="E10" s="2037"/>
      <c r="F10" s="2038">
        <f t="shared" si="3"/>
        <v>0</v>
      </c>
      <c r="G10" s="2037"/>
      <c r="H10" s="2038">
        <f t="shared" si="1"/>
        <v>0</v>
      </c>
      <c r="I10" s="2037"/>
      <c r="J10" s="2038">
        <f t="shared" si="4"/>
        <v>0</v>
      </c>
      <c r="K10" s="2037"/>
      <c r="L10" s="2038">
        <f t="shared" si="5"/>
        <v>0</v>
      </c>
      <c r="M10" s="2037"/>
      <c r="N10" s="2038">
        <f t="shared" si="6"/>
        <v>0</v>
      </c>
      <c r="O10" s="2037"/>
      <c r="P10" s="2038">
        <f t="shared" si="7"/>
        <v>0</v>
      </c>
      <c r="Q10" s="2038"/>
      <c r="R10" s="2038">
        <f t="shared" si="8"/>
        <v>0</v>
      </c>
      <c r="S10" s="2037"/>
      <c r="T10" s="2037">
        <f>341*S10</f>
        <v>0</v>
      </c>
      <c r="U10" s="2037"/>
      <c r="V10" s="2037">
        <f t="shared" si="10"/>
        <v>0</v>
      </c>
      <c r="W10" s="2037"/>
      <c r="X10" s="19">
        <f t="shared" si="11"/>
        <v>0</v>
      </c>
      <c r="Y10" s="20">
        <f t="shared" si="2"/>
        <v>0</v>
      </c>
    </row>
    <row r="11" spans="1:25" ht="37.5" customHeight="1" x14ac:dyDescent="0.25">
      <c r="A11" s="12"/>
      <c r="B11" s="2036"/>
      <c r="C11" s="2037"/>
      <c r="D11" s="2038">
        <f t="shared" si="0"/>
        <v>0</v>
      </c>
      <c r="E11" s="2037"/>
      <c r="F11" s="2038">
        <f t="shared" si="3"/>
        <v>0</v>
      </c>
      <c r="G11" s="2037"/>
      <c r="H11" s="2038">
        <f t="shared" si="1"/>
        <v>0</v>
      </c>
      <c r="I11" s="2037"/>
      <c r="J11" s="2038">
        <f t="shared" si="4"/>
        <v>0</v>
      </c>
      <c r="K11" s="2037"/>
      <c r="L11" s="2038">
        <f t="shared" si="5"/>
        <v>0</v>
      </c>
      <c r="M11" s="2037"/>
      <c r="N11" s="2038">
        <f t="shared" si="6"/>
        <v>0</v>
      </c>
      <c r="O11" s="2037"/>
      <c r="P11" s="2038">
        <f t="shared" si="7"/>
        <v>0</v>
      </c>
      <c r="Q11" s="2038"/>
      <c r="R11" s="2038">
        <f t="shared" si="8"/>
        <v>0</v>
      </c>
      <c r="S11" s="2037"/>
      <c r="T11" s="2037">
        <f>241*S11</f>
        <v>0</v>
      </c>
      <c r="U11" s="2037"/>
      <c r="V11" s="2037">
        <f t="shared" si="10"/>
        <v>0</v>
      </c>
      <c r="W11" s="2037"/>
      <c r="X11" s="19">
        <f t="shared" si="11"/>
        <v>0</v>
      </c>
      <c r="Y11" s="20">
        <f t="shared" si="2"/>
        <v>0</v>
      </c>
    </row>
    <row r="12" spans="1:25" ht="29.25" customHeight="1" x14ac:dyDescent="0.25">
      <c r="A12" s="2235" t="s">
        <v>31</v>
      </c>
      <c r="B12" s="2235"/>
      <c r="C12" s="18">
        <f t="shared" ref="C12:X12" si="12">SUM(C6:C11)</f>
        <v>117695</v>
      </c>
      <c r="D12" s="18">
        <f t="shared" si="12"/>
        <v>114458.3875</v>
      </c>
      <c r="E12" s="18">
        <f t="shared" si="12"/>
        <v>0</v>
      </c>
      <c r="F12" s="18">
        <f t="shared" si="12"/>
        <v>0</v>
      </c>
      <c r="G12" s="18">
        <f t="shared" si="12"/>
        <v>100</v>
      </c>
      <c r="H12" s="18">
        <f t="shared" si="12"/>
        <v>2826.0000000000005</v>
      </c>
      <c r="I12" s="18">
        <f t="shared" si="12"/>
        <v>0</v>
      </c>
      <c r="J12" s="18">
        <f t="shared" si="12"/>
        <v>0</v>
      </c>
      <c r="K12" s="18">
        <f t="shared" si="12"/>
        <v>370</v>
      </c>
      <c r="L12" s="18">
        <f t="shared" si="12"/>
        <v>10452.5</v>
      </c>
      <c r="M12" s="18">
        <f t="shared" si="12"/>
        <v>0</v>
      </c>
      <c r="N12" s="23">
        <f t="shared" si="12"/>
        <v>0</v>
      </c>
      <c r="O12" s="18">
        <f t="shared" si="12"/>
        <v>0</v>
      </c>
      <c r="P12" s="23">
        <f t="shared" si="12"/>
        <v>0</v>
      </c>
      <c r="Q12" s="23">
        <f t="shared" si="12"/>
        <v>0</v>
      </c>
      <c r="R12" s="23">
        <f>SUM(R6:R11)</f>
        <v>0</v>
      </c>
      <c r="S12" s="23">
        <f>SUM(S6:S11)</f>
        <v>0</v>
      </c>
      <c r="T12" s="18">
        <f t="shared" si="12"/>
        <v>0</v>
      </c>
      <c r="U12" s="18">
        <f t="shared" si="12"/>
        <v>2</v>
      </c>
      <c r="V12" s="18">
        <f t="shared" si="12"/>
        <v>664</v>
      </c>
      <c r="W12" s="18">
        <f t="shared" si="12"/>
        <v>2</v>
      </c>
      <c r="X12" s="18">
        <f t="shared" si="12"/>
        <v>200</v>
      </c>
      <c r="Y12" s="20">
        <f t="shared" si="2"/>
        <v>128600.8875</v>
      </c>
    </row>
    <row r="14" spans="1:25" ht="43.5" customHeight="1" x14ac:dyDescent="0.25">
      <c r="A14" s="30" t="s">
        <v>32</v>
      </c>
      <c r="B14" s="2236" t="s">
        <v>27</v>
      </c>
      <c r="C14" s="2236"/>
      <c r="D14" s="30" t="s">
        <v>543</v>
      </c>
      <c r="E14" s="30" t="s">
        <v>65</v>
      </c>
      <c r="F14" s="30" t="s">
        <v>34</v>
      </c>
      <c r="G14" s="30" t="s">
        <v>14</v>
      </c>
      <c r="H14" s="469" t="s">
        <v>173</v>
      </c>
      <c r="I14" s="30" t="s">
        <v>17</v>
      </c>
      <c r="J14" s="2042" t="s">
        <v>174</v>
      </c>
      <c r="K14" s="30" t="s">
        <v>36</v>
      </c>
      <c r="L14" s="2042" t="s">
        <v>403</v>
      </c>
      <c r="M14" s="2042" t="s">
        <v>549</v>
      </c>
      <c r="N14" s="30" t="s">
        <v>442</v>
      </c>
      <c r="O14" s="2042" t="s">
        <v>114</v>
      </c>
      <c r="P14" s="30" t="s">
        <v>70</v>
      </c>
      <c r="Q14" s="2300" t="s">
        <v>479</v>
      </c>
      <c r="R14" s="2301"/>
      <c r="S14" s="2042" t="s">
        <v>401</v>
      </c>
      <c r="T14" s="2235" t="s">
        <v>46</v>
      </c>
      <c r="U14" s="2034" t="s">
        <v>176</v>
      </c>
      <c r="V14" s="2260">
        <v>16575</v>
      </c>
      <c r="W14" s="2268"/>
      <c r="X14" s="2261"/>
    </row>
    <row r="15" spans="1:25" ht="22.5" customHeight="1" x14ac:dyDescent="0.25">
      <c r="A15" s="100" t="s">
        <v>38</v>
      </c>
      <c r="B15" s="2260">
        <v>353275</v>
      </c>
      <c r="C15" s="2261"/>
      <c r="D15" s="2039">
        <v>0</v>
      </c>
      <c r="E15" s="2039">
        <v>230</v>
      </c>
      <c r="F15" s="2039">
        <v>5000</v>
      </c>
      <c r="G15" s="2039">
        <v>1880</v>
      </c>
      <c r="H15" s="2039">
        <v>34</v>
      </c>
      <c r="I15" s="2039">
        <v>52</v>
      </c>
      <c r="J15" s="2039"/>
      <c r="K15" s="2039">
        <v>89</v>
      </c>
      <c r="L15" s="2039">
        <v>12</v>
      </c>
      <c r="M15" s="2039">
        <v>13</v>
      </c>
      <c r="N15" s="2039">
        <v>0</v>
      </c>
      <c r="O15" s="2039">
        <v>0</v>
      </c>
      <c r="P15" s="2039">
        <v>100</v>
      </c>
      <c r="Q15" s="2260">
        <v>10</v>
      </c>
      <c r="R15" s="2261"/>
      <c r="S15" s="2034"/>
      <c r="T15" s="2235"/>
      <c r="U15" s="2034" t="s">
        <v>64</v>
      </c>
      <c r="V15" s="2262">
        <v>56104</v>
      </c>
      <c r="W15" s="2262"/>
      <c r="X15" s="2262"/>
    </row>
    <row r="16" spans="1:25" ht="24.75" customHeight="1" x14ac:dyDescent="0.25">
      <c r="A16" s="100" t="s">
        <v>39</v>
      </c>
      <c r="B16" s="2260">
        <v>113704</v>
      </c>
      <c r="C16" s="2261"/>
      <c r="D16" s="2039"/>
      <c r="E16" s="2039">
        <v>500</v>
      </c>
      <c r="F16" s="2039">
        <v>2500</v>
      </c>
      <c r="G16" s="2039"/>
      <c r="H16" s="2039"/>
      <c r="I16" s="2039"/>
      <c r="J16" s="2039"/>
      <c r="K16" s="2039"/>
      <c r="L16" s="2039"/>
      <c r="M16" s="2039"/>
      <c r="N16" s="2039"/>
      <c r="O16" s="2039"/>
      <c r="P16" s="2039"/>
      <c r="Q16" s="2262"/>
      <c r="R16" s="2262"/>
      <c r="S16" s="2039"/>
      <c r="T16" s="2254" t="s">
        <v>55</v>
      </c>
      <c r="U16" s="2254"/>
      <c r="V16" s="2267">
        <f>Y12</f>
        <v>128600.8875</v>
      </c>
      <c r="W16" s="2267"/>
      <c r="X16" s="2262"/>
    </row>
    <row r="17" spans="1:25" ht="28.5" customHeight="1" x14ac:dyDescent="0.25">
      <c r="A17" s="101" t="s">
        <v>44</v>
      </c>
      <c r="B17" s="2260">
        <v>4935</v>
      </c>
      <c r="C17" s="2261"/>
      <c r="D17" s="2039"/>
      <c r="E17" s="2039"/>
      <c r="F17" s="2039"/>
      <c r="G17" s="2039"/>
      <c r="H17" s="2039"/>
      <c r="I17" s="2039"/>
      <c r="J17" s="2039"/>
      <c r="K17" s="2039"/>
      <c r="L17" s="2039"/>
      <c r="M17" s="2039"/>
      <c r="N17" s="2039"/>
      <c r="O17" s="2039"/>
      <c r="P17" s="2039"/>
      <c r="Q17" s="2225"/>
      <c r="R17" s="2225"/>
      <c r="S17" s="2036"/>
      <c r="T17" s="2294" t="s">
        <v>521</v>
      </c>
      <c r="U17" s="2295"/>
      <c r="V17" s="2296"/>
      <c r="W17" s="2296"/>
      <c r="X17" s="2296"/>
    </row>
    <row r="18" spans="1:25" ht="27" customHeight="1" x14ac:dyDescent="0.25">
      <c r="A18" s="100" t="s">
        <v>40</v>
      </c>
      <c r="B18" s="2264">
        <f>C12</f>
        <v>117695</v>
      </c>
      <c r="C18" s="2261"/>
      <c r="D18" s="2040">
        <f>E12</f>
        <v>0</v>
      </c>
      <c r="E18" s="2040">
        <f>G12</f>
        <v>100</v>
      </c>
      <c r="F18" s="2040">
        <f>I12</f>
        <v>0</v>
      </c>
      <c r="G18" s="2040">
        <f>K12</f>
        <v>370</v>
      </c>
      <c r="H18" s="2039"/>
      <c r="I18" s="2040">
        <f>U12</f>
        <v>2</v>
      </c>
      <c r="J18" s="2039"/>
      <c r="K18" s="2040">
        <f>W12</f>
        <v>2</v>
      </c>
      <c r="L18" s="2039"/>
      <c r="M18" s="2040"/>
      <c r="N18" s="2040">
        <f>O12</f>
        <v>0</v>
      </c>
      <c r="O18" s="2041">
        <f>Q12</f>
        <v>0</v>
      </c>
      <c r="P18" s="2040"/>
      <c r="Q18" s="2262"/>
      <c r="R18" s="2262"/>
      <c r="S18" s="2034"/>
      <c r="T18" s="2254" t="s">
        <v>57</v>
      </c>
      <c r="U18" s="2254"/>
      <c r="V18" s="2262">
        <v>720</v>
      </c>
      <c r="W18" s="2262"/>
      <c r="X18" s="2262"/>
      <c r="Y18" s="2269"/>
    </row>
    <row r="19" spans="1:25" ht="25.5" customHeight="1" x14ac:dyDescent="0.25">
      <c r="A19" s="100" t="s">
        <v>41</v>
      </c>
      <c r="B19" s="2260">
        <f>B15+B16+B17-B18</f>
        <v>354219</v>
      </c>
      <c r="C19" s="2261"/>
      <c r="D19" s="2039">
        <f>D15+D16+D17-D18</f>
        <v>0</v>
      </c>
      <c r="E19" s="2039">
        <f t="shared" ref="E19:N19" si="13">E15+E16+E17-E18</f>
        <v>630</v>
      </c>
      <c r="F19" s="2039">
        <f t="shared" si="13"/>
        <v>7500</v>
      </c>
      <c r="G19" s="2039">
        <f t="shared" si="13"/>
        <v>1510</v>
      </c>
      <c r="H19" s="2039">
        <f t="shared" si="13"/>
        <v>34</v>
      </c>
      <c r="I19" s="2039">
        <f t="shared" si="13"/>
        <v>50</v>
      </c>
      <c r="J19" s="2039">
        <f t="shared" si="13"/>
        <v>0</v>
      </c>
      <c r="K19" s="2039">
        <f t="shared" si="13"/>
        <v>87</v>
      </c>
      <c r="L19" s="2039">
        <f t="shared" si="13"/>
        <v>12</v>
      </c>
      <c r="M19" s="2039">
        <f t="shared" si="13"/>
        <v>13</v>
      </c>
      <c r="N19" s="2039">
        <f t="shared" si="13"/>
        <v>0</v>
      </c>
      <c r="O19" s="2039">
        <f>O15+O16+O17-O18</f>
        <v>0</v>
      </c>
      <c r="P19" s="2039">
        <f t="shared" ref="P19:Q19" si="14">P15+P16+P17-P18</f>
        <v>100</v>
      </c>
      <c r="Q19" s="2260">
        <f t="shared" si="14"/>
        <v>10</v>
      </c>
      <c r="R19" s="2261"/>
      <c r="S19" s="2034">
        <f>S15+S16-S17-S18</f>
        <v>0</v>
      </c>
      <c r="T19" s="2256" t="s">
        <v>48</v>
      </c>
      <c r="U19" s="49" t="s">
        <v>58</v>
      </c>
      <c r="V19" s="2262">
        <v>120000</v>
      </c>
      <c r="W19" s="2262"/>
      <c r="X19" s="2262"/>
      <c r="Y19" s="2269"/>
    </row>
    <row r="20" spans="1:25" ht="23.25" customHeight="1" x14ac:dyDescent="0.25">
      <c r="A20" s="289" t="s">
        <v>187</v>
      </c>
      <c r="B20" s="2286">
        <f>B19*0.9625</f>
        <v>340935.78750000003</v>
      </c>
      <c r="C20" s="2287"/>
      <c r="D20" s="290">
        <f>D19*19.48</f>
        <v>0</v>
      </c>
      <c r="E20" s="290">
        <f>27.97*E19</f>
        <v>17621.099999999999</v>
      </c>
      <c r="F20" s="290">
        <f>18.63*F19</f>
        <v>139725</v>
      </c>
      <c r="G20" s="290">
        <f>27.9468*G19</f>
        <v>42199.667999999998</v>
      </c>
      <c r="H20" s="290">
        <f>241*H19</f>
        <v>8194</v>
      </c>
      <c r="I20" s="290">
        <f>323*I19</f>
        <v>16150</v>
      </c>
      <c r="J20" s="290">
        <f>241*J19</f>
        <v>0</v>
      </c>
      <c r="K20" s="290">
        <f>K19*100</f>
        <v>8700</v>
      </c>
      <c r="L20" s="290">
        <f>470*L19</f>
        <v>5640</v>
      </c>
      <c r="M20" s="290">
        <f>470*M19</f>
        <v>6110</v>
      </c>
      <c r="N20" s="290">
        <f>N19*8.81</f>
        <v>0</v>
      </c>
      <c r="O20" s="290">
        <f>241*O19</f>
        <v>0</v>
      </c>
      <c r="P20" s="290">
        <f>P19*48.2</f>
        <v>4820</v>
      </c>
      <c r="Q20" s="2286">
        <f>470*Q19</f>
        <v>4700</v>
      </c>
      <c r="R20" s="2287"/>
      <c r="S20" s="290">
        <f>341*S19</f>
        <v>0</v>
      </c>
      <c r="T20" s="2257"/>
      <c r="U20" s="49" t="s">
        <v>59</v>
      </c>
      <c r="V20" s="2262">
        <v>55000</v>
      </c>
      <c r="W20" s="2262"/>
      <c r="X20" s="2262"/>
      <c r="Y20" s="2269"/>
    </row>
    <row r="21" spans="1:25" ht="32.25" customHeight="1" x14ac:dyDescent="0.25">
      <c r="A21" s="291" t="s">
        <v>186</v>
      </c>
      <c r="B21" s="2302">
        <f>SUM(B20:S20)</f>
        <v>594795.55550000002</v>
      </c>
      <c r="C21" s="2302"/>
      <c r="T21" s="2294" t="s">
        <v>518</v>
      </c>
      <c r="U21" s="2295"/>
      <c r="V21" s="2297"/>
      <c r="W21" s="2298"/>
      <c r="X21" s="2299"/>
      <c r="Y21" s="2269"/>
    </row>
    <row r="22" spans="1:25" ht="35.25" customHeight="1" x14ac:dyDescent="0.25">
      <c r="A22" s="1911"/>
      <c r="B22" s="2288" t="s">
        <v>49</v>
      </c>
      <c r="C22" s="2291">
        <v>120000</v>
      </c>
      <c r="D22" s="2291">
        <v>120000</v>
      </c>
      <c r="E22" s="2291">
        <v>115000</v>
      </c>
      <c r="F22" s="2291">
        <f>C22-D22+E22</f>
        <v>115000</v>
      </c>
      <c r="T22" s="2251" t="s">
        <v>83</v>
      </c>
      <c r="U22" s="50" t="s">
        <v>60</v>
      </c>
      <c r="V22" s="2262">
        <v>130760</v>
      </c>
      <c r="W22" s="2262"/>
      <c r="X22" s="2262"/>
      <c r="Y22" s="2269"/>
    </row>
    <row r="23" spans="1:25" ht="39.75" customHeight="1" x14ac:dyDescent="0.25">
      <c r="B23" s="2289"/>
      <c r="C23" s="2292"/>
      <c r="D23" s="2292"/>
      <c r="E23" s="2292"/>
      <c r="F23" s="2292"/>
      <c r="T23" s="2252"/>
      <c r="U23" s="50" t="s">
        <v>61</v>
      </c>
      <c r="V23" s="2262">
        <v>175000</v>
      </c>
      <c r="W23" s="2262"/>
      <c r="X23" s="2262"/>
      <c r="Y23" s="2269"/>
    </row>
    <row r="24" spans="1:25" ht="48" customHeight="1" x14ac:dyDescent="0.25">
      <c r="B24" s="2290"/>
      <c r="C24" s="290" t="s">
        <v>46</v>
      </c>
      <c r="D24" s="290" t="s">
        <v>50</v>
      </c>
      <c r="E24" s="290" t="s">
        <v>51</v>
      </c>
      <c r="F24" s="290" t="s">
        <v>52</v>
      </c>
      <c r="T24" s="2235" t="s">
        <v>47</v>
      </c>
      <c r="U24" s="51" t="s">
        <v>62</v>
      </c>
      <c r="V24" s="2263">
        <f>V14+V16+V17-V18-V19-V20-V22+V23-V21</f>
        <v>13695.887500000012</v>
      </c>
      <c r="W24" s="2263"/>
      <c r="X24" s="2263"/>
      <c r="Y24" s="2269"/>
    </row>
    <row r="25" spans="1:25" ht="40.5" customHeight="1" x14ac:dyDescent="0.25">
      <c r="T25" s="2235"/>
      <c r="U25" s="51" t="s">
        <v>63</v>
      </c>
      <c r="V25" s="2262">
        <f>V15+V22-V23</f>
        <v>11864</v>
      </c>
      <c r="W25" s="2262"/>
      <c r="X25" s="2262"/>
    </row>
    <row r="26" spans="1:25" ht="36" customHeight="1" x14ac:dyDescent="0.25">
      <c r="K26" s="314"/>
    </row>
    <row r="28" spans="1:25" x14ac:dyDescent="0.25">
      <c r="J28" s="14" t="s">
        <v>139</v>
      </c>
    </row>
    <row r="32" spans="1:25" x14ac:dyDescent="0.25">
      <c r="I32" s="2280"/>
      <c r="J32" s="2280"/>
      <c r="K32" s="2280"/>
      <c r="L32" s="2280"/>
    </row>
    <row r="33" spans="9:12" x14ac:dyDescent="0.25">
      <c r="I33" s="2043"/>
      <c r="J33" s="2043"/>
      <c r="K33" s="2280"/>
      <c r="L33" s="2280"/>
    </row>
  </sheetData>
  <mergeCells count="62">
    <mergeCell ref="I32:J32"/>
    <mergeCell ref="K32:L32"/>
    <mergeCell ref="K33:L33"/>
    <mergeCell ref="T22:T23"/>
    <mergeCell ref="V22:X22"/>
    <mergeCell ref="V23:X23"/>
    <mergeCell ref="T24:T25"/>
    <mergeCell ref="V24:X24"/>
    <mergeCell ref="V25:X25"/>
    <mergeCell ref="Y18:Y24"/>
    <mergeCell ref="B19:C19"/>
    <mergeCell ref="Q19:R19"/>
    <mergeCell ref="T19:T20"/>
    <mergeCell ref="V19:X19"/>
    <mergeCell ref="B20:C20"/>
    <mergeCell ref="B22:B24"/>
    <mergeCell ref="C22:C23"/>
    <mergeCell ref="D22:D23"/>
    <mergeCell ref="E22:E23"/>
    <mergeCell ref="F22:F23"/>
    <mergeCell ref="Q20:R20"/>
    <mergeCell ref="V20:X20"/>
    <mergeCell ref="B21:C21"/>
    <mergeCell ref="T21:U21"/>
    <mergeCell ref="V21:X21"/>
    <mergeCell ref="B17:C17"/>
    <mergeCell ref="Q17:R17"/>
    <mergeCell ref="T17:U17"/>
    <mergeCell ref="V17:X17"/>
    <mergeCell ref="B18:C18"/>
    <mergeCell ref="Q18:R18"/>
    <mergeCell ref="T18:U18"/>
    <mergeCell ref="V18:X18"/>
    <mergeCell ref="W4:X4"/>
    <mergeCell ref="B16:C16"/>
    <mergeCell ref="Q16:R16"/>
    <mergeCell ref="T16:U16"/>
    <mergeCell ref="V16:X16"/>
    <mergeCell ref="A12:B12"/>
    <mergeCell ref="B14:C14"/>
    <mergeCell ref="Q14:R14"/>
    <mergeCell ref="T14:T15"/>
    <mergeCell ref="V14:X14"/>
    <mergeCell ref="B15:C15"/>
    <mergeCell ref="Q15:R15"/>
    <mergeCell ref="V15:X15"/>
    <mergeCell ref="A1:Y1"/>
    <mergeCell ref="A2:Y2"/>
    <mergeCell ref="T3:Y3"/>
    <mergeCell ref="A4:A5"/>
    <mergeCell ref="B4:B5"/>
    <mergeCell ref="C4:D4"/>
    <mergeCell ref="E4:F4"/>
    <mergeCell ref="G4:H4"/>
    <mergeCell ref="I4:J4"/>
    <mergeCell ref="K4:L4"/>
    <mergeCell ref="Y4:Y5"/>
    <mergeCell ref="M4:N4"/>
    <mergeCell ref="O4:P4"/>
    <mergeCell ref="Q4:R4"/>
    <mergeCell ref="S4:T4"/>
    <mergeCell ref="U4:V4"/>
  </mergeCells>
  <pageMargins left="0.15748031496063" right="0.15748031496063" top="0" bottom="0" header="0" footer="0"/>
  <pageSetup paperSize="9" scale="46" orientation="landscape" r:id="rId1"/>
</worksheet>
</file>

<file path=xl/worksheets/sheet3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BC38AFF-94C6-4C87-AD8D-4FF2FB777180}">
  <sheetPr>
    <pageSetUpPr fitToPage="1"/>
  </sheetPr>
  <dimension ref="A1:Y33"/>
  <sheetViews>
    <sheetView topLeftCell="D8" zoomScale="70" zoomScaleNormal="70" zoomScaleSheetLayoutView="100" zoomScalePageLayoutView="68" workbookViewId="0">
      <selection activeCell="O23" sqref="O23"/>
    </sheetView>
  </sheetViews>
  <sheetFormatPr defaultColWidth="9.140625" defaultRowHeight="15" x14ac:dyDescent="0.25"/>
  <cols>
    <col min="1" max="1" width="18.28515625" style="14" customWidth="1"/>
    <col min="2" max="2" width="10.7109375" style="14" customWidth="1"/>
    <col min="3" max="3" width="12.28515625" style="14" customWidth="1"/>
    <col min="4" max="4" width="13.140625" style="14" bestFit="1" customWidth="1"/>
    <col min="5" max="5" width="12" style="14" customWidth="1"/>
    <col min="6" max="6" width="14" style="14" bestFit="1" customWidth="1"/>
    <col min="7" max="7" width="16" style="14" bestFit="1" customWidth="1"/>
    <col min="8" max="8" width="10.140625" style="14" bestFit="1" customWidth="1"/>
    <col min="9" max="9" width="10.5703125" style="14" bestFit="1" customWidth="1"/>
    <col min="10" max="10" width="10.5703125" style="14" customWidth="1"/>
    <col min="11" max="11" width="10.28515625" style="14" bestFit="1" customWidth="1"/>
    <col min="12" max="12" width="10.42578125" style="14" bestFit="1" customWidth="1"/>
    <col min="13" max="14" width="12" style="14" bestFit="1" customWidth="1"/>
    <col min="15" max="15" width="11" style="14" customWidth="1"/>
    <col min="16" max="16" width="12.85546875" style="14" bestFit="1" customWidth="1"/>
    <col min="17" max="18" width="9.42578125" style="14" customWidth="1"/>
    <col min="19" max="19" width="13.7109375" style="14" customWidth="1"/>
    <col min="20" max="20" width="12.140625" style="14" customWidth="1"/>
    <col min="21" max="21" width="21.7109375" style="14" customWidth="1"/>
    <col min="22" max="22" width="9.85546875" style="14" customWidth="1"/>
    <col min="23" max="23" width="10.140625" style="14" bestFit="1" customWidth="1"/>
    <col min="24" max="24" width="10.28515625" style="14" customWidth="1"/>
    <col min="25" max="25" width="15.7109375" style="14" customWidth="1"/>
    <col min="26" max="16384" width="9.140625" style="14"/>
  </cols>
  <sheetData>
    <row r="1" spans="1:25" ht="46.15" customHeight="1" x14ac:dyDescent="0.25">
      <c r="A1" s="2240" t="s">
        <v>148</v>
      </c>
      <c r="B1" s="2240"/>
      <c r="C1" s="2240"/>
      <c r="D1" s="2240"/>
      <c r="E1" s="2240"/>
      <c r="F1" s="2240"/>
      <c r="G1" s="2240"/>
      <c r="H1" s="2240"/>
      <c r="I1" s="2240"/>
      <c r="J1" s="2240"/>
      <c r="K1" s="2240"/>
      <c r="L1" s="2240"/>
      <c r="M1" s="2240"/>
      <c r="N1" s="2240"/>
      <c r="O1" s="2240"/>
      <c r="P1" s="2240"/>
      <c r="Q1" s="2240"/>
      <c r="R1" s="2240"/>
      <c r="S1" s="2240"/>
      <c r="T1" s="2240"/>
      <c r="U1" s="2240"/>
      <c r="V1" s="2240"/>
      <c r="W1" s="2240"/>
      <c r="X1" s="2240"/>
      <c r="Y1" s="2240"/>
    </row>
    <row r="2" spans="1:25" ht="21.6" customHeight="1" x14ac:dyDescent="0.25">
      <c r="A2" s="2241" t="s">
        <v>383</v>
      </c>
      <c r="B2" s="2241"/>
      <c r="C2" s="2241"/>
      <c r="D2" s="2241"/>
      <c r="E2" s="2241"/>
      <c r="F2" s="2241"/>
      <c r="G2" s="2241"/>
      <c r="H2" s="2241"/>
      <c r="I2" s="2241"/>
      <c r="J2" s="2241"/>
      <c r="K2" s="2241"/>
      <c r="L2" s="2241"/>
      <c r="M2" s="2241"/>
      <c r="N2" s="2241"/>
      <c r="O2" s="2241"/>
      <c r="P2" s="2241"/>
      <c r="Q2" s="2241"/>
      <c r="R2" s="2241"/>
      <c r="S2" s="2241"/>
      <c r="T2" s="2241"/>
      <c r="U2" s="2241"/>
      <c r="V2" s="2241"/>
      <c r="W2" s="2241"/>
      <c r="X2" s="2241"/>
      <c r="Y2" s="2241"/>
    </row>
    <row r="3" spans="1:25" ht="21" customHeight="1" x14ac:dyDescent="0.25">
      <c r="A3" s="2033"/>
      <c r="B3" s="2033"/>
      <c r="C3" s="2033"/>
      <c r="D3" s="2033"/>
      <c r="E3" s="2033"/>
      <c r="F3" s="2033"/>
      <c r="G3" s="2033"/>
      <c r="H3" s="2033"/>
      <c r="I3" s="2033"/>
      <c r="J3" s="2033"/>
      <c r="K3" s="2033"/>
      <c r="L3" s="2033"/>
      <c r="M3" s="2033"/>
      <c r="N3" s="2033"/>
      <c r="O3" s="2033"/>
      <c r="P3" s="2033"/>
      <c r="Q3" s="2033"/>
      <c r="R3" s="2033"/>
      <c r="S3" s="2033"/>
      <c r="T3" s="2242" t="s">
        <v>578</v>
      </c>
      <c r="U3" s="2242"/>
      <c r="V3" s="2242"/>
      <c r="W3" s="2242"/>
      <c r="X3" s="2242"/>
      <c r="Y3" s="2242"/>
    </row>
    <row r="4" spans="1:25" s="2033" customFormat="1" ht="18" customHeight="1" x14ac:dyDescent="0.25">
      <c r="A4" s="2243" t="s">
        <v>25</v>
      </c>
      <c r="B4" s="2243" t="s">
        <v>26</v>
      </c>
      <c r="C4" s="2244" t="s">
        <v>27</v>
      </c>
      <c r="D4" s="2244"/>
      <c r="E4" s="2244" t="s">
        <v>544</v>
      </c>
      <c r="F4" s="2244"/>
      <c r="G4" s="2244" t="s">
        <v>65</v>
      </c>
      <c r="H4" s="2244"/>
      <c r="I4" s="2244" t="s">
        <v>29</v>
      </c>
      <c r="J4" s="2244"/>
      <c r="K4" s="2245" t="s">
        <v>14</v>
      </c>
      <c r="L4" s="2246"/>
      <c r="M4" s="2245" t="s">
        <v>429</v>
      </c>
      <c r="N4" s="2246"/>
      <c r="O4" s="2245" t="s">
        <v>441</v>
      </c>
      <c r="P4" s="2246"/>
      <c r="Q4" s="2245" t="s">
        <v>114</v>
      </c>
      <c r="R4" s="2246"/>
      <c r="S4" s="2244" t="s">
        <v>35</v>
      </c>
      <c r="T4" s="2244"/>
      <c r="U4" s="2245" t="s">
        <v>17</v>
      </c>
      <c r="V4" s="2246"/>
      <c r="W4" s="2247" t="s">
        <v>36</v>
      </c>
      <c r="X4" s="2248"/>
      <c r="Y4" s="2238" t="s">
        <v>30</v>
      </c>
    </row>
    <row r="5" spans="1:25" s="2033" customFormat="1" ht="25.5" customHeight="1" x14ac:dyDescent="0.25">
      <c r="A5" s="2243"/>
      <c r="B5" s="2243"/>
      <c r="C5" s="2035" t="s">
        <v>42</v>
      </c>
      <c r="D5" s="2035" t="s">
        <v>43</v>
      </c>
      <c r="E5" s="2035" t="s">
        <v>42</v>
      </c>
      <c r="F5" s="2035" t="s">
        <v>43</v>
      </c>
      <c r="G5" s="2035" t="s">
        <v>42</v>
      </c>
      <c r="H5" s="2035" t="s">
        <v>43</v>
      </c>
      <c r="I5" s="2035" t="s">
        <v>42</v>
      </c>
      <c r="J5" s="2035" t="s">
        <v>43</v>
      </c>
      <c r="K5" s="2035" t="s">
        <v>42</v>
      </c>
      <c r="L5" s="2035" t="s">
        <v>43</v>
      </c>
      <c r="M5" s="2035" t="s">
        <v>42</v>
      </c>
      <c r="N5" s="2035" t="s">
        <v>43</v>
      </c>
      <c r="O5" s="2035" t="s">
        <v>42</v>
      </c>
      <c r="P5" s="2035" t="s">
        <v>43</v>
      </c>
      <c r="Q5" s="2035" t="s">
        <v>42</v>
      </c>
      <c r="R5" s="2035" t="s">
        <v>43</v>
      </c>
      <c r="S5" s="33" t="s">
        <v>42</v>
      </c>
      <c r="T5" s="33" t="s">
        <v>43</v>
      </c>
      <c r="U5" s="30" t="s">
        <v>42</v>
      </c>
      <c r="V5" s="30" t="s">
        <v>43</v>
      </c>
      <c r="W5" s="30" t="s">
        <v>42</v>
      </c>
      <c r="X5" s="30" t="s">
        <v>43</v>
      </c>
      <c r="Y5" s="2239"/>
    </row>
    <row r="6" spans="1:25" ht="34.5" customHeight="1" x14ac:dyDescent="0.25">
      <c r="A6" s="12">
        <v>1409935200</v>
      </c>
      <c r="B6" s="2034" t="s">
        <v>71</v>
      </c>
      <c r="C6" s="2037">
        <v>40114</v>
      </c>
      <c r="D6" s="2038">
        <f t="shared" ref="D6:D11" si="0">0.9725*C6</f>
        <v>39010.864999999998</v>
      </c>
      <c r="E6" s="2037"/>
      <c r="F6" s="2038">
        <f>19.68*E6</f>
        <v>0</v>
      </c>
      <c r="G6" s="2037"/>
      <c r="H6" s="2038">
        <f t="shared" ref="H6:H11" si="1">28.26*G6</f>
        <v>0</v>
      </c>
      <c r="I6" s="2037"/>
      <c r="J6" s="2038">
        <f>18.82*I6</f>
        <v>0</v>
      </c>
      <c r="K6" s="2037">
        <v>10</v>
      </c>
      <c r="L6" s="2038">
        <f>28.25*K6</f>
        <v>282.5</v>
      </c>
      <c r="M6" s="2037"/>
      <c r="N6" s="2038">
        <f>M6*47.6525</f>
        <v>0</v>
      </c>
      <c r="O6" s="2037"/>
      <c r="P6" s="2038">
        <f>O6*8.9</f>
        <v>0</v>
      </c>
      <c r="Q6" s="2038"/>
      <c r="R6" s="2038">
        <f>241*Q6</f>
        <v>0</v>
      </c>
      <c r="S6" s="2037"/>
      <c r="T6" s="2037">
        <f>470*S6</f>
        <v>0</v>
      </c>
      <c r="U6" s="2037"/>
      <c r="V6" s="2037">
        <f>332*U6</f>
        <v>0</v>
      </c>
      <c r="W6" s="2037">
        <v>1</v>
      </c>
      <c r="X6" s="19">
        <f>W6*100</f>
        <v>100</v>
      </c>
      <c r="Y6" s="20">
        <f t="shared" ref="Y6:Y12" si="2">D6+F6+H6+J6+L6+N6+P6+R6+T6+V6+X6</f>
        <v>39393.364999999998</v>
      </c>
    </row>
    <row r="7" spans="1:25" ht="36.75" customHeight="1" x14ac:dyDescent="0.25">
      <c r="A7" s="12">
        <v>1984225578</v>
      </c>
      <c r="B7" s="2034" t="s">
        <v>509</v>
      </c>
      <c r="C7" s="2037">
        <v>23808</v>
      </c>
      <c r="D7" s="2038">
        <f t="shared" si="0"/>
        <v>23153.280000000002</v>
      </c>
      <c r="E7" s="2037"/>
      <c r="F7" s="2038">
        <f t="shared" ref="F7:F11" si="3">19.68*E7</f>
        <v>0</v>
      </c>
      <c r="G7" s="2037">
        <v>20</v>
      </c>
      <c r="H7" s="2038">
        <f t="shared" si="1"/>
        <v>565.20000000000005</v>
      </c>
      <c r="I7" s="2037"/>
      <c r="J7" s="2038">
        <f t="shared" ref="J7:J11" si="4">18.82*I7</f>
        <v>0</v>
      </c>
      <c r="K7" s="2037"/>
      <c r="L7" s="2038">
        <f t="shared" ref="L7:L11" si="5">28.25*K7</f>
        <v>0</v>
      </c>
      <c r="M7" s="2037"/>
      <c r="N7" s="2038">
        <f t="shared" ref="N7:N11" si="6">M7*47.6525</f>
        <v>0</v>
      </c>
      <c r="O7" s="2037"/>
      <c r="P7" s="2038">
        <f t="shared" ref="P7:P11" si="7">O7*8.9</f>
        <v>0</v>
      </c>
      <c r="Q7" s="2038"/>
      <c r="R7" s="2038">
        <f t="shared" ref="R7:R11" si="8">241*Q7</f>
        <v>0</v>
      </c>
      <c r="S7" s="2037"/>
      <c r="T7" s="2037">
        <f t="shared" ref="T7:T9" si="9">470*S7</f>
        <v>0</v>
      </c>
      <c r="U7" s="2037">
        <v>2</v>
      </c>
      <c r="V7" s="2037">
        <f t="shared" ref="V7:V11" si="10">332*U7</f>
        <v>664</v>
      </c>
      <c r="W7" s="2037"/>
      <c r="X7" s="19">
        <f t="shared" ref="X7:X11" si="11">W7*100</f>
        <v>0</v>
      </c>
      <c r="Y7" s="20">
        <f t="shared" si="2"/>
        <v>24382.480000000003</v>
      </c>
    </row>
    <row r="8" spans="1:25" ht="35.25" customHeight="1" x14ac:dyDescent="0.25">
      <c r="A8" s="12">
        <v>1967020280</v>
      </c>
      <c r="B8" s="2034" t="s">
        <v>427</v>
      </c>
      <c r="C8" s="2037">
        <v>39421</v>
      </c>
      <c r="D8" s="2038">
        <f t="shared" si="0"/>
        <v>38336.922500000001</v>
      </c>
      <c r="E8" s="2037"/>
      <c r="F8" s="2038">
        <f t="shared" si="3"/>
        <v>0</v>
      </c>
      <c r="G8" s="2037">
        <v>30</v>
      </c>
      <c r="H8" s="2038">
        <f t="shared" si="1"/>
        <v>847.80000000000007</v>
      </c>
      <c r="I8" s="2037"/>
      <c r="J8" s="2038">
        <f t="shared" si="4"/>
        <v>0</v>
      </c>
      <c r="K8" s="2037">
        <v>150</v>
      </c>
      <c r="L8" s="2038">
        <f t="shared" si="5"/>
        <v>4237.5</v>
      </c>
      <c r="M8" s="2037"/>
      <c r="N8" s="2038">
        <f t="shared" si="6"/>
        <v>0</v>
      </c>
      <c r="O8" s="2037"/>
      <c r="P8" s="2038">
        <f t="shared" si="7"/>
        <v>0</v>
      </c>
      <c r="Q8" s="2038"/>
      <c r="R8" s="2038">
        <f t="shared" si="8"/>
        <v>0</v>
      </c>
      <c r="S8" s="2037"/>
      <c r="T8" s="2037">
        <f t="shared" si="9"/>
        <v>0</v>
      </c>
      <c r="U8" s="2037"/>
      <c r="V8" s="2037">
        <f t="shared" si="10"/>
        <v>0</v>
      </c>
      <c r="W8" s="2037"/>
      <c r="X8" s="19">
        <f t="shared" si="11"/>
        <v>0</v>
      </c>
      <c r="Y8" s="20">
        <f t="shared" si="2"/>
        <v>43422.222500000003</v>
      </c>
    </row>
    <row r="9" spans="1:25" ht="38.25" customHeight="1" x14ac:dyDescent="0.25">
      <c r="A9" s="12">
        <v>1984225580</v>
      </c>
      <c r="B9" s="2034" t="s">
        <v>74</v>
      </c>
      <c r="C9" s="2037">
        <v>31347</v>
      </c>
      <c r="D9" s="2038">
        <f t="shared" si="0"/>
        <v>30484.9575</v>
      </c>
      <c r="E9" s="2037"/>
      <c r="F9" s="2038">
        <f t="shared" si="3"/>
        <v>0</v>
      </c>
      <c r="G9" s="2037"/>
      <c r="H9" s="2038">
        <f t="shared" si="1"/>
        <v>0</v>
      </c>
      <c r="I9" s="2037"/>
      <c r="J9" s="2038">
        <f t="shared" si="4"/>
        <v>0</v>
      </c>
      <c r="K9" s="2037">
        <v>60</v>
      </c>
      <c r="L9" s="2038">
        <f t="shared" si="5"/>
        <v>1695</v>
      </c>
      <c r="M9" s="2037"/>
      <c r="N9" s="2038">
        <f t="shared" si="6"/>
        <v>0</v>
      </c>
      <c r="O9" s="2037"/>
      <c r="P9" s="2038">
        <f t="shared" si="7"/>
        <v>0</v>
      </c>
      <c r="Q9" s="2038"/>
      <c r="R9" s="2038">
        <f t="shared" si="8"/>
        <v>0</v>
      </c>
      <c r="S9" s="2037"/>
      <c r="T9" s="2037">
        <f t="shared" si="9"/>
        <v>0</v>
      </c>
      <c r="U9" s="2037">
        <v>10</v>
      </c>
      <c r="V9" s="2037">
        <f t="shared" si="10"/>
        <v>3320</v>
      </c>
      <c r="W9" s="2037"/>
      <c r="X9" s="19">
        <f t="shared" si="11"/>
        <v>0</v>
      </c>
      <c r="Y9" s="20">
        <f t="shared" si="2"/>
        <v>35499.957500000004</v>
      </c>
    </row>
    <row r="10" spans="1:25" ht="35.25" customHeight="1" x14ac:dyDescent="0.25">
      <c r="A10" s="12">
        <v>1409935199</v>
      </c>
      <c r="C10" s="2037"/>
      <c r="D10" s="2038">
        <f t="shared" si="0"/>
        <v>0</v>
      </c>
      <c r="E10" s="2037"/>
      <c r="F10" s="2038">
        <f t="shared" si="3"/>
        <v>0</v>
      </c>
      <c r="G10" s="2037"/>
      <c r="H10" s="2038">
        <f t="shared" si="1"/>
        <v>0</v>
      </c>
      <c r="I10" s="2037"/>
      <c r="J10" s="2038">
        <f t="shared" si="4"/>
        <v>0</v>
      </c>
      <c r="K10" s="2037"/>
      <c r="L10" s="2038">
        <f t="shared" si="5"/>
        <v>0</v>
      </c>
      <c r="M10" s="2037"/>
      <c r="N10" s="2038">
        <f t="shared" si="6"/>
        <v>0</v>
      </c>
      <c r="O10" s="2037"/>
      <c r="P10" s="2038">
        <f t="shared" si="7"/>
        <v>0</v>
      </c>
      <c r="Q10" s="2038"/>
      <c r="R10" s="2038">
        <f t="shared" si="8"/>
        <v>0</v>
      </c>
      <c r="S10" s="2037"/>
      <c r="T10" s="2037">
        <f>341*S10</f>
        <v>0</v>
      </c>
      <c r="U10" s="2037"/>
      <c r="V10" s="2037">
        <f t="shared" si="10"/>
        <v>0</v>
      </c>
      <c r="W10" s="2037"/>
      <c r="X10" s="19">
        <f t="shared" si="11"/>
        <v>0</v>
      </c>
      <c r="Y10" s="20">
        <f t="shared" si="2"/>
        <v>0</v>
      </c>
    </row>
    <row r="11" spans="1:25" ht="37.5" customHeight="1" x14ac:dyDescent="0.25">
      <c r="A11" s="12"/>
      <c r="B11" s="2036"/>
      <c r="C11" s="2037"/>
      <c r="D11" s="2038">
        <f t="shared" si="0"/>
        <v>0</v>
      </c>
      <c r="E11" s="2037"/>
      <c r="F11" s="2038">
        <f t="shared" si="3"/>
        <v>0</v>
      </c>
      <c r="G11" s="2037"/>
      <c r="H11" s="2038">
        <f t="shared" si="1"/>
        <v>0</v>
      </c>
      <c r="I11" s="2037"/>
      <c r="J11" s="2038">
        <f t="shared" si="4"/>
        <v>0</v>
      </c>
      <c r="K11" s="2037"/>
      <c r="L11" s="2038">
        <f t="shared" si="5"/>
        <v>0</v>
      </c>
      <c r="M11" s="2037"/>
      <c r="N11" s="2038">
        <f t="shared" si="6"/>
        <v>0</v>
      </c>
      <c r="O11" s="2037"/>
      <c r="P11" s="2038">
        <f t="shared" si="7"/>
        <v>0</v>
      </c>
      <c r="Q11" s="2038"/>
      <c r="R11" s="2038">
        <f t="shared" si="8"/>
        <v>0</v>
      </c>
      <c r="S11" s="2037"/>
      <c r="T11" s="2037">
        <f>241*S11</f>
        <v>0</v>
      </c>
      <c r="U11" s="2037"/>
      <c r="V11" s="2037">
        <f t="shared" si="10"/>
        <v>0</v>
      </c>
      <c r="W11" s="2037"/>
      <c r="X11" s="19">
        <f t="shared" si="11"/>
        <v>0</v>
      </c>
      <c r="Y11" s="20">
        <f t="shared" si="2"/>
        <v>0</v>
      </c>
    </row>
    <row r="12" spans="1:25" ht="29.25" customHeight="1" x14ac:dyDescent="0.25">
      <c r="A12" s="2235" t="s">
        <v>31</v>
      </c>
      <c r="B12" s="2235"/>
      <c r="C12" s="18">
        <f t="shared" ref="C12:X12" si="12">SUM(C6:C11)</f>
        <v>134690</v>
      </c>
      <c r="D12" s="18">
        <f t="shared" si="12"/>
        <v>130986.02500000001</v>
      </c>
      <c r="E12" s="18">
        <f t="shared" si="12"/>
        <v>0</v>
      </c>
      <c r="F12" s="18">
        <f t="shared" si="12"/>
        <v>0</v>
      </c>
      <c r="G12" s="18">
        <f t="shared" si="12"/>
        <v>50</v>
      </c>
      <c r="H12" s="18">
        <f t="shared" si="12"/>
        <v>1413</v>
      </c>
      <c r="I12" s="18">
        <f t="shared" si="12"/>
        <v>0</v>
      </c>
      <c r="J12" s="18">
        <f t="shared" si="12"/>
        <v>0</v>
      </c>
      <c r="K12" s="18">
        <f t="shared" si="12"/>
        <v>220</v>
      </c>
      <c r="L12" s="18">
        <f t="shared" si="12"/>
        <v>6215</v>
      </c>
      <c r="M12" s="18">
        <f t="shared" si="12"/>
        <v>0</v>
      </c>
      <c r="N12" s="23">
        <f t="shared" si="12"/>
        <v>0</v>
      </c>
      <c r="O12" s="18">
        <f t="shared" si="12"/>
        <v>0</v>
      </c>
      <c r="P12" s="23">
        <f t="shared" si="12"/>
        <v>0</v>
      </c>
      <c r="Q12" s="23">
        <f t="shared" si="12"/>
        <v>0</v>
      </c>
      <c r="R12" s="23">
        <f>SUM(R6:R11)</f>
        <v>0</v>
      </c>
      <c r="S12" s="23">
        <f>SUM(S6:S11)</f>
        <v>0</v>
      </c>
      <c r="T12" s="18">
        <f t="shared" si="12"/>
        <v>0</v>
      </c>
      <c r="U12" s="18">
        <f t="shared" si="12"/>
        <v>12</v>
      </c>
      <c r="V12" s="18">
        <f t="shared" si="12"/>
        <v>3984</v>
      </c>
      <c r="W12" s="18">
        <f t="shared" si="12"/>
        <v>1</v>
      </c>
      <c r="X12" s="18">
        <f t="shared" si="12"/>
        <v>100</v>
      </c>
      <c r="Y12" s="20">
        <f t="shared" si="2"/>
        <v>142698.02500000002</v>
      </c>
    </row>
    <row r="14" spans="1:25" ht="43.5" customHeight="1" x14ac:dyDescent="0.25">
      <c r="A14" s="30" t="s">
        <v>32</v>
      </c>
      <c r="B14" s="2236" t="s">
        <v>27</v>
      </c>
      <c r="C14" s="2236"/>
      <c r="D14" s="30" t="s">
        <v>543</v>
      </c>
      <c r="E14" s="30" t="s">
        <v>65</v>
      </c>
      <c r="F14" s="30" t="s">
        <v>34</v>
      </c>
      <c r="G14" s="30" t="s">
        <v>14</v>
      </c>
      <c r="H14" s="469" t="s">
        <v>173</v>
      </c>
      <c r="I14" s="30" t="s">
        <v>17</v>
      </c>
      <c r="J14" s="2042" t="s">
        <v>174</v>
      </c>
      <c r="K14" s="30" t="s">
        <v>36</v>
      </c>
      <c r="L14" s="2042" t="s">
        <v>403</v>
      </c>
      <c r="M14" s="2042" t="s">
        <v>549</v>
      </c>
      <c r="N14" s="30" t="s">
        <v>442</v>
      </c>
      <c r="O14" s="2042" t="s">
        <v>114</v>
      </c>
      <c r="P14" s="30" t="s">
        <v>70</v>
      </c>
      <c r="Q14" s="2300" t="s">
        <v>479</v>
      </c>
      <c r="R14" s="2301"/>
      <c r="S14" s="2042" t="s">
        <v>401</v>
      </c>
      <c r="T14" s="2235" t="s">
        <v>46</v>
      </c>
      <c r="U14" s="2034" t="s">
        <v>176</v>
      </c>
      <c r="V14" s="2260">
        <v>13696</v>
      </c>
      <c r="W14" s="2268"/>
      <c r="X14" s="2261"/>
    </row>
    <row r="15" spans="1:25" ht="22.5" customHeight="1" x14ac:dyDescent="0.25">
      <c r="A15" s="100" t="s">
        <v>38</v>
      </c>
      <c r="B15" s="2260">
        <v>354219</v>
      </c>
      <c r="C15" s="2261"/>
      <c r="D15" s="2039">
        <v>0</v>
      </c>
      <c r="E15" s="2039">
        <v>630</v>
      </c>
      <c r="F15" s="2039">
        <v>7500</v>
      </c>
      <c r="G15" s="2039">
        <v>1510</v>
      </c>
      <c r="H15" s="2039">
        <v>34</v>
      </c>
      <c r="I15" s="2039">
        <v>50</v>
      </c>
      <c r="J15" s="2039"/>
      <c r="K15" s="2039">
        <v>87</v>
      </c>
      <c r="L15" s="2039">
        <v>12</v>
      </c>
      <c r="M15" s="2039">
        <v>13</v>
      </c>
      <c r="N15" s="2039">
        <v>0</v>
      </c>
      <c r="O15" s="2039">
        <v>0</v>
      </c>
      <c r="P15" s="2039">
        <v>100</v>
      </c>
      <c r="Q15" s="2260">
        <v>10</v>
      </c>
      <c r="R15" s="2261"/>
      <c r="S15" s="2034"/>
      <c r="T15" s="2235"/>
      <c r="U15" s="2034" t="s">
        <v>64</v>
      </c>
      <c r="V15" s="2262">
        <v>11864</v>
      </c>
      <c r="W15" s="2262"/>
      <c r="X15" s="2262"/>
    </row>
    <row r="16" spans="1:25" ht="24.75" customHeight="1" x14ac:dyDescent="0.25">
      <c r="A16" s="100" t="s">
        <v>39</v>
      </c>
      <c r="B16" s="2260">
        <v>135064</v>
      </c>
      <c r="C16" s="2261"/>
      <c r="D16" s="2039"/>
      <c r="E16" s="2039"/>
      <c r="F16" s="2039"/>
      <c r="G16" s="2039"/>
      <c r="H16" s="2039"/>
      <c r="I16" s="2039"/>
      <c r="J16" s="2039"/>
      <c r="K16" s="2039"/>
      <c r="L16" s="2039"/>
      <c r="M16" s="2039"/>
      <c r="N16" s="2039"/>
      <c r="O16" s="2039"/>
      <c r="P16" s="2039"/>
      <c r="Q16" s="2262"/>
      <c r="R16" s="2262"/>
      <c r="S16" s="2039"/>
      <c r="T16" s="2254" t="s">
        <v>55</v>
      </c>
      <c r="U16" s="2254"/>
      <c r="V16" s="2267">
        <f>Y12</f>
        <v>142698.02500000002</v>
      </c>
      <c r="W16" s="2267"/>
      <c r="X16" s="2262"/>
    </row>
    <row r="17" spans="1:25" ht="28.5" customHeight="1" x14ac:dyDescent="0.25">
      <c r="A17" s="101" t="s">
        <v>44</v>
      </c>
      <c r="B17" s="2260"/>
      <c r="C17" s="2261"/>
      <c r="D17" s="2039"/>
      <c r="E17" s="2039"/>
      <c r="F17" s="2039"/>
      <c r="G17" s="2039"/>
      <c r="H17" s="2039"/>
      <c r="I17" s="2039"/>
      <c r="J17" s="2039"/>
      <c r="K17" s="2039"/>
      <c r="L17" s="2039"/>
      <c r="M17" s="2039"/>
      <c r="N17" s="2039"/>
      <c r="O17" s="2039"/>
      <c r="P17" s="2039"/>
      <c r="Q17" s="2225"/>
      <c r="R17" s="2225"/>
      <c r="S17" s="2036"/>
      <c r="T17" s="2294" t="s">
        <v>521</v>
      </c>
      <c r="U17" s="2295"/>
      <c r="V17" s="2296"/>
      <c r="W17" s="2296"/>
      <c r="X17" s="2296"/>
    </row>
    <row r="18" spans="1:25" ht="27" customHeight="1" x14ac:dyDescent="0.25">
      <c r="A18" s="100" t="s">
        <v>40</v>
      </c>
      <c r="B18" s="2264">
        <f>C12</f>
        <v>134690</v>
      </c>
      <c r="C18" s="2261"/>
      <c r="D18" s="2040">
        <f>E12</f>
        <v>0</v>
      </c>
      <c r="E18" s="2040">
        <f>G12</f>
        <v>50</v>
      </c>
      <c r="F18" s="2040">
        <f>I12</f>
        <v>0</v>
      </c>
      <c r="G18" s="2040">
        <f>K12</f>
        <v>220</v>
      </c>
      <c r="H18" s="2039"/>
      <c r="I18" s="2040">
        <f>U12</f>
        <v>12</v>
      </c>
      <c r="J18" s="2039"/>
      <c r="K18" s="2040">
        <f>W12</f>
        <v>1</v>
      </c>
      <c r="L18" s="2039"/>
      <c r="M18" s="2040"/>
      <c r="N18" s="2040">
        <f>O12</f>
        <v>0</v>
      </c>
      <c r="O18" s="2041">
        <f>Q12</f>
        <v>0</v>
      </c>
      <c r="P18" s="2040"/>
      <c r="Q18" s="2262"/>
      <c r="R18" s="2262"/>
      <c r="S18" s="2034"/>
      <c r="T18" s="2254" t="s">
        <v>57</v>
      </c>
      <c r="U18" s="2254"/>
      <c r="V18" s="2262">
        <v>660</v>
      </c>
      <c r="W18" s="2262"/>
      <c r="X18" s="2262"/>
      <c r="Y18" s="2269"/>
    </row>
    <row r="19" spans="1:25" ht="25.5" customHeight="1" x14ac:dyDescent="0.25">
      <c r="A19" s="100" t="s">
        <v>41</v>
      </c>
      <c r="B19" s="2260">
        <f>B15+B16+B17-B18</f>
        <v>354593</v>
      </c>
      <c r="C19" s="2261"/>
      <c r="D19" s="2039">
        <f>D15+D16+D17-D18</f>
        <v>0</v>
      </c>
      <c r="E19" s="2039">
        <f t="shared" ref="E19:N19" si="13">E15+E16+E17-E18</f>
        <v>580</v>
      </c>
      <c r="F19" s="2039">
        <f t="shared" si="13"/>
        <v>7500</v>
      </c>
      <c r="G19" s="2039">
        <f t="shared" si="13"/>
        <v>1290</v>
      </c>
      <c r="H19" s="2039">
        <f t="shared" si="13"/>
        <v>34</v>
      </c>
      <c r="I19" s="2039">
        <f t="shared" si="13"/>
        <v>38</v>
      </c>
      <c r="J19" s="2039">
        <f t="shared" si="13"/>
        <v>0</v>
      </c>
      <c r="K19" s="2039">
        <f t="shared" si="13"/>
        <v>86</v>
      </c>
      <c r="L19" s="2039">
        <f t="shared" si="13"/>
        <v>12</v>
      </c>
      <c r="M19" s="2039">
        <f t="shared" si="13"/>
        <v>13</v>
      </c>
      <c r="N19" s="2039">
        <f t="shared" si="13"/>
        <v>0</v>
      </c>
      <c r="O19" s="2039">
        <f>O15+O16+O17-O18</f>
        <v>0</v>
      </c>
      <c r="P19" s="2039">
        <f t="shared" ref="P19:Q19" si="14">P15+P16+P17-P18</f>
        <v>100</v>
      </c>
      <c r="Q19" s="2260">
        <f t="shared" si="14"/>
        <v>10</v>
      </c>
      <c r="R19" s="2261"/>
      <c r="S19" s="2034">
        <f>S15+S16-S17-S18</f>
        <v>0</v>
      </c>
      <c r="T19" s="2256" t="s">
        <v>48</v>
      </c>
      <c r="U19" s="49" t="s">
        <v>58</v>
      </c>
      <c r="V19" s="2262">
        <v>115000</v>
      </c>
      <c r="W19" s="2262"/>
      <c r="X19" s="2262"/>
      <c r="Y19" s="2269"/>
    </row>
    <row r="20" spans="1:25" ht="23.25" customHeight="1" x14ac:dyDescent="0.25">
      <c r="A20" s="289" t="s">
        <v>187</v>
      </c>
      <c r="B20" s="2286">
        <f>B19*0.9625</f>
        <v>341295.76250000001</v>
      </c>
      <c r="C20" s="2287"/>
      <c r="D20" s="290">
        <f>D19*19.48</f>
        <v>0</v>
      </c>
      <c r="E20" s="290">
        <f>27.97*E19</f>
        <v>16222.599999999999</v>
      </c>
      <c r="F20" s="290">
        <f>18.63*F19</f>
        <v>139725</v>
      </c>
      <c r="G20" s="290">
        <f>27.9468*G19</f>
        <v>36051.372000000003</v>
      </c>
      <c r="H20" s="290">
        <f>241*H19</f>
        <v>8194</v>
      </c>
      <c r="I20" s="290">
        <f>323*I19</f>
        <v>12274</v>
      </c>
      <c r="J20" s="290">
        <f>241*J19</f>
        <v>0</v>
      </c>
      <c r="K20" s="290">
        <f>K19*100</f>
        <v>8600</v>
      </c>
      <c r="L20" s="290">
        <f>470*L19</f>
        <v>5640</v>
      </c>
      <c r="M20" s="290">
        <f>470*M19</f>
        <v>6110</v>
      </c>
      <c r="N20" s="290">
        <f>N19*8.81</f>
        <v>0</v>
      </c>
      <c r="O20" s="290">
        <f>241*O19</f>
        <v>0</v>
      </c>
      <c r="P20" s="290">
        <f>P19*48.2</f>
        <v>4820</v>
      </c>
      <c r="Q20" s="2286">
        <f>470*Q19</f>
        <v>4700</v>
      </c>
      <c r="R20" s="2287"/>
      <c r="S20" s="290">
        <f>341*S19</f>
        <v>0</v>
      </c>
      <c r="T20" s="2257"/>
      <c r="U20" s="49" t="s">
        <v>59</v>
      </c>
      <c r="V20" s="2262"/>
      <c r="W20" s="2262"/>
      <c r="X20" s="2262"/>
      <c r="Y20" s="2269"/>
    </row>
    <row r="21" spans="1:25" ht="32.25" customHeight="1" x14ac:dyDescent="0.25">
      <c r="A21" s="291" t="s">
        <v>186</v>
      </c>
      <c r="B21" s="2302">
        <f>SUM(B20:S20)</f>
        <v>583632.73450000002</v>
      </c>
      <c r="C21" s="2302"/>
      <c r="T21" s="2294" t="s">
        <v>518</v>
      </c>
      <c r="U21" s="2295"/>
      <c r="V21" s="2297"/>
      <c r="W21" s="2298"/>
      <c r="X21" s="2299"/>
      <c r="Y21" s="2269"/>
    </row>
    <row r="22" spans="1:25" ht="35.25" customHeight="1" x14ac:dyDescent="0.25">
      <c r="A22" s="1911"/>
      <c r="B22" s="2288" t="s">
        <v>49</v>
      </c>
      <c r="C22" s="2291">
        <v>115000</v>
      </c>
      <c r="D22" s="2291">
        <v>115000</v>
      </c>
      <c r="E22" s="2291">
        <v>130000</v>
      </c>
      <c r="F22" s="2291">
        <f>C22-D22+E22</f>
        <v>130000</v>
      </c>
      <c r="T22" s="2251" t="s">
        <v>83</v>
      </c>
      <c r="U22" s="50" t="s">
        <v>60</v>
      </c>
      <c r="V22" s="2262">
        <v>141910</v>
      </c>
      <c r="W22" s="2262"/>
      <c r="X22" s="2262"/>
      <c r="Y22" s="2269"/>
    </row>
    <row r="23" spans="1:25" ht="39.75" customHeight="1" x14ac:dyDescent="0.25">
      <c r="B23" s="2289"/>
      <c r="C23" s="2292"/>
      <c r="D23" s="2292"/>
      <c r="E23" s="2292"/>
      <c r="F23" s="2292"/>
      <c r="T23" s="2252"/>
      <c r="U23" s="50" t="s">
        <v>61</v>
      </c>
      <c r="V23" s="2262">
        <v>115000</v>
      </c>
      <c r="W23" s="2262"/>
      <c r="X23" s="2262"/>
      <c r="Y23" s="2269"/>
    </row>
    <row r="24" spans="1:25" ht="48" customHeight="1" x14ac:dyDescent="0.25">
      <c r="B24" s="2290"/>
      <c r="C24" s="290" t="s">
        <v>46</v>
      </c>
      <c r="D24" s="290" t="s">
        <v>50</v>
      </c>
      <c r="E24" s="290" t="s">
        <v>51</v>
      </c>
      <c r="F24" s="290" t="s">
        <v>52</v>
      </c>
      <c r="T24" s="2235" t="s">
        <v>47</v>
      </c>
      <c r="U24" s="51" t="s">
        <v>62</v>
      </c>
      <c r="V24" s="2263">
        <f>V14+V16+V17-V18-V19-V20-V22+V23-V21</f>
        <v>13824.025000000023</v>
      </c>
      <c r="W24" s="2263"/>
      <c r="X24" s="2263"/>
      <c r="Y24" s="2269"/>
    </row>
    <row r="25" spans="1:25" ht="40.5" customHeight="1" x14ac:dyDescent="0.25">
      <c r="T25" s="2235"/>
      <c r="U25" s="51" t="s">
        <v>63</v>
      </c>
      <c r="V25" s="2262">
        <f>V15+V22-V23</f>
        <v>38774</v>
      </c>
      <c r="W25" s="2262"/>
      <c r="X25" s="2262"/>
    </row>
    <row r="26" spans="1:25" ht="36" customHeight="1" x14ac:dyDescent="0.25">
      <c r="K26" s="314"/>
    </row>
    <row r="28" spans="1:25" x14ac:dyDescent="0.25">
      <c r="J28" s="14" t="s">
        <v>139</v>
      </c>
    </row>
    <row r="32" spans="1:25" x14ac:dyDescent="0.25">
      <c r="I32" s="2280"/>
      <c r="J32" s="2280"/>
      <c r="K32" s="2280"/>
      <c r="L32" s="2280"/>
    </row>
    <row r="33" spans="9:12" x14ac:dyDescent="0.25">
      <c r="I33" s="2043"/>
      <c r="J33" s="2043"/>
      <c r="K33" s="2280"/>
      <c r="L33" s="2280"/>
    </row>
  </sheetData>
  <mergeCells count="62">
    <mergeCell ref="I32:J32"/>
    <mergeCell ref="K32:L32"/>
    <mergeCell ref="K33:L33"/>
    <mergeCell ref="T22:T23"/>
    <mergeCell ref="V22:X22"/>
    <mergeCell ref="V23:X23"/>
    <mergeCell ref="T24:T25"/>
    <mergeCell ref="V24:X24"/>
    <mergeCell ref="V25:X25"/>
    <mergeCell ref="Y18:Y24"/>
    <mergeCell ref="B19:C19"/>
    <mergeCell ref="Q19:R19"/>
    <mergeCell ref="T19:T20"/>
    <mergeCell ref="V19:X19"/>
    <mergeCell ref="B20:C20"/>
    <mergeCell ref="B22:B24"/>
    <mergeCell ref="C22:C23"/>
    <mergeCell ref="D22:D23"/>
    <mergeCell ref="E22:E23"/>
    <mergeCell ref="F22:F23"/>
    <mergeCell ref="Q20:R20"/>
    <mergeCell ref="V20:X20"/>
    <mergeCell ref="B21:C21"/>
    <mergeCell ref="T21:U21"/>
    <mergeCell ref="V21:X21"/>
    <mergeCell ref="B17:C17"/>
    <mergeCell ref="Q17:R17"/>
    <mergeCell ref="T17:U17"/>
    <mergeCell ref="V17:X17"/>
    <mergeCell ref="B18:C18"/>
    <mergeCell ref="Q18:R18"/>
    <mergeCell ref="T18:U18"/>
    <mergeCell ref="V18:X18"/>
    <mergeCell ref="W4:X4"/>
    <mergeCell ref="B16:C16"/>
    <mergeCell ref="Q16:R16"/>
    <mergeCell ref="T16:U16"/>
    <mergeCell ref="V16:X16"/>
    <mergeCell ref="A12:B12"/>
    <mergeCell ref="B14:C14"/>
    <mergeCell ref="Q14:R14"/>
    <mergeCell ref="T14:T15"/>
    <mergeCell ref="V14:X14"/>
    <mergeCell ref="B15:C15"/>
    <mergeCell ref="Q15:R15"/>
    <mergeCell ref="V15:X15"/>
    <mergeCell ref="A1:Y1"/>
    <mergeCell ref="A2:Y2"/>
    <mergeCell ref="T3:Y3"/>
    <mergeCell ref="A4:A5"/>
    <mergeCell ref="B4:B5"/>
    <mergeCell ref="C4:D4"/>
    <mergeCell ref="E4:F4"/>
    <mergeCell ref="G4:H4"/>
    <mergeCell ref="I4:J4"/>
    <mergeCell ref="K4:L4"/>
    <mergeCell ref="Y4:Y5"/>
    <mergeCell ref="M4:N4"/>
    <mergeCell ref="O4:P4"/>
    <mergeCell ref="Q4:R4"/>
    <mergeCell ref="S4:T4"/>
    <mergeCell ref="U4:V4"/>
  </mergeCells>
  <pageMargins left="0.15748031496063" right="0.15748031496063" top="0" bottom="0" header="0" footer="0"/>
  <pageSetup paperSize="9" scale="46" orientation="landscape" r:id="rId1"/>
</worksheet>
</file>

<file path=xl/worksheets/sheet3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1DE1D4E-06F9-4986-975C-E58113B4AE71}">
  <sheetPr>
    <pageSetUpPr fitToPage="1"/>
  </sheetPr>
  <dimension ref="A1:Y33"/>
  <sheetViews>
    <sheetView topLeftCell="D10" zoomScale="70" zoomScaleNormal="70" zoomScaleSheetLayoutView="100" zoomScalePageLayoutView="68" workbookViewId="0">
      <selection activeCell="M25" sqref="M25"/>
    </sheetView>
  </sheetViews>
  <sheetFormatPr defaultColWidth="9.140625" defaultRowHeight="15" x14ac:dyDescent="0.25"/>
  <cols>
    <col min="1" max="1" width="18.28515625" style="14" customWidth="1"/>
    <col min="2" max="2" width="10.7109375" style="14" customWidth="1"/>
    <col min="3" max="3" width="12.28515625" style="14" customWidth="1"/>
    <col min="4" max="4" width="13.140625" style="14" bestFit="1" customWidth="1"/>
    <col min="5" max="5" width="12" style="14" customWidth="1"/>
    <col min="6" max="6" width="14" style="14" bestFit="1" customWidth="1"/>
    <col min="7" max="7" width="16" style="14" bestFit="1" customWidth="1"/>
    <col min="8" max="8" width="10.140625" style="14" bestFit="1" customWidth="1"/>
    <col min="9" max="9" width="10.5703125" style="14" bestFit="1" customWidth="1"/>
    <col min="10" max="10" width="10.5703125" style="14" customWidth="1"/>
    <col min="11" max="11" width="10.28515625" style="14" bestFit="1" customWidth="1"/>
    <col min="12" max="12" width="10.42578125" style="14" bestFit="1" customWidth="1"/>
    <col min="13" max="14" width="12" style="14" bestFit="1" customWidth="1"/>
    <col min="15" max="15" width="11" style="14" customWidth="1"/>
    <col min="16" max="16" width="12.85546875" style="14" bestFit="1" customWidth="1"/>
    <col min="17" max="18" width="9.42578125" style="14" customWidth="1"/>
    <col min="19" max="19" width="13.7109375" style="14" customWidth="1"/>
    <col min="20" max="20" width="12.140625" style="14" customWidth="1"/>
    <col min="21" max="21" width="21.7109375" style="14" customWidth="1"/>
    <col min="22" max="22" width="9.85546875" style="14" customWidth="1"/>
    <col min="23" max="23" width="10.140625" style="14" bestFit="1" customWidth="1"/>
    <col min="24" max="24" width="10.28515625" style="14" customWidth="1"/>
    <col min="25" max="25" width="15.7109375" style="14" customWidth="1"/>
    <col min="26" max="16384" width="9.140625" style="14"/>
  </cols>
  <sheetData>
    <row r="1" spans="1:25" ht="46.15" customHeight="1" x14ac:dyDescent="0.25">
      <c r="A1" s="2240" t="s">
        <v>148</v>
      </c>
      <c r="B1" s="2240"/>
      <c r="C1" s="2240"/>
      <c r="D1" s="2240"/>
      <c r="E1" s="2240"/>
      <c r="F1" s="2240"/>
      <c r="G1" s="2240"/>
      <c r="H1" s="2240"/>
      <c r="I1" s="2240"/>
      <c r="J1" s="2240"/>
      <c r="K1" s="2240"/>
      <c r="L1" s="2240"/>
      <c r="M1" s="2240"/>
      <c r="N1" s="2240"/>
      <c r="O1" s="2240"/>
      <c r="P1" s="2240"/>
      <c r="Q1" s="2240"/>
      <c r="R1" s="2240"/>
      <c r="S1" s="2240"/>
      <c r="T1" s="2240"/>
      <c r="U1" s="2240"/>
      <c r="V1" s="2240"/>
      <c r="W1" s="2240"/>
      <c r="X1" s="2240"/>
      <c r="Y1" s="2240"/>
    </row>
    <row r="2" spans="1:25" ht="21.6" customHeight="1" x14ac:dyDescent="0.25">
      <c r="A2" s="2241" t="s">
        <v>383</v>
      </c>
      <c r="B2" s="2241"/>
      <c r="C2" s="2241"/>
      <c r="D2" s="2241"/>
      <c r="E2" s="2241"/>
      <c r="F2" s="2241"/>
      <c r="G2" s="2241"/>
      <c r="H2" s="2241"/>
      <c r="I2" s="2241"/>
      <c r="J2" s="2241"/>
      <c r="K2" s="2241"/>
      <c r="L2" s="2241"/>
      <c r="M2" s="2241"/>
      <c r="N2" s="2241"/>
      <c r="O2" s="2241"/>
      <c r="P2" s="2241"/>
      <c r="Q2" s="2241"/>
      <c r="R2" s="2241"/>
      <c r="S2" s="2241"/>
      <c r="T2" s="2241"/>
      <c r="U2" s="2241"/>
      <c r="V2" s="2241"/>
      <c r="W2" s="2241"/>
      <c r="X2" s="2241"/>
      <c r="Y2" s="2241"/>
    </row>
    <row r="3" spans="1:25" ht="21" customHeight="1" x14ac:dyDescent="0.25">
      <c r="A3" s="2033"/>
      <c r="B3" s="2033"/>
      <c r="C3" s="2033"/>
      <c r="D3" s="2033"/>
      <c r="E3" s="2033"/>
      <c r="F3" s="2033"/>
      <c r="G3" s="2033"/>
      <c r="H3" s="2033"/>
      <c r="I3" s="2033"/>
      <c r="J3" s="2033"/>
      <c r="K3" s="2033"/>
      <c r="L3" s="2033"/>
      <c r="M3" s="2033"/>
      <c r="N3" s="2033"/>
      <c r="O3" s="2033"/>
      <c r="P3" s="2033"/>
      <c r="Q3" s="2033"/>
      <c r="R3" s="2033"/>
      <c r="S3" s="2033"/>
      <c r="T3" s="2242" t="s">
        <v>579</v>
      </c>
      <c r="U3" s="2242"/>
      <c r="V3" s="2242"/>
      <c r="W3" s="2242"/>
      <c r="X3" s="2242"/>
      <c r="Y3" s="2242"/>
    </row>
    <row r="4" spans="1:25" s="2033" customFormat="1" ht="18" customHeight="1" x14ac:dyDescent="0.25">
      <c r="A4" s="2243" t="s">
        <v>25</v>
      </c>
      <c r="B4" s="2243" t="s">
        <v>26</v>
      </c>
      <c r="C4" s="2244" t="s">
        <v>27</v>
      </c>
      <c r="D4" s="2244"/>
      <c r="E4" s="2244" t="s">
        <v>544</v>
      </c>
      <c r="F4" s="2244"/>
      <c r="G4" s="2244" t="s">
        <v>65</v>
      </c>
      <c r="H4" s="2244"/>
      <c r="I4" s="2244" t="s">
        <v>29</v>
      </c>
      <c r="J4" s="2244"/>
      <c r="K4" s="2245" t="s">
        <v>14</v>
      </c>
      <c r="L4" s="2246"/>
      <c r="M4" s="2245" t="s">
        <v>429</v>
      </c>
      <c r="N4" s="2246"/>
      <c r="O4" s="2245" t="s">
        <v>441</v>
      </c>
      <c r="P4" s="2246"/>
      <c r="Q4" s="2245" t="s">
        <v>114</v>
      </c>
      <c r="R4" s="2246"/>
      <c r="S4" s="2244" t="s">
        <v>35</v>
      </c>
      <c r="T4" s="2244"/>
      <c r="U4" s="2245" t="s">
        <v>17</v>
      </c>
      <c r="V4" s="2246"/>
      <c r="W4" s="2247" t="s">
        <v>36</v>
      </c>
      <c r="X4" s="2248"/>
      <c r="Y4" s="2238" t="s">
        <v>30</v>
      </c>
    </row>
    <row r="5" spans="1:25" s="2033" customFormat="1" ht="25.5" customHeight="1" x14ac:dyDescent="0.25">
      <c r="A5" s="2243"/>
      <c r="B5" s="2243"/>
      <c r="C5" s="2035" t="s">
        <v>42</v>
      </c>
      <c r="D5" s="2035" t="s">
        <v>43</v>
      </c>
      <c r="E5" s="2035" t="s">
        <v>42</v>
      </c>
      <c r="F5" s="2035" t="s">
        <v>43</v>
      </c>
      <c r="G5" s="2035" t="s">
        <v>42</v>
      </c>
      <c r="H5" s="2035" t="s">
        <v>43</v>
      </c>
      <c r="I5" s="2035" t="s">
        <v>42</v>
      </c>
      <c r="J5" s="2035" t="s">
        <v>43</v>
      </c>
      <c r="K5" s="2035" t="s">
        <v>42</v>
      </c>
      <c r="L5" s="2035" t="s">
        <v>43</v>
      </c>
      <c r="M5" s="2035" t="s">
        <v>42</v>
      </c>
      <c r="N5" s="2035" t="s">
        <v>43</v>
      </c>
      <c r="O5" s="2035" t="s">
        <v>42</v>
      </c>
      <c r="P5" s="2035" t="s">
        <v>43</v>
      </c>
      <c r="Q5" s="2035" t="s">
        <v>42</v>
      </c>
      <c r="R5" s="2035" t="s">
        <v>43</v>
      </c>
      <c r="S5" s="33" t="s">
        <v>42</v>
      </c>
      <c r="T5" s="33" t="s">
        <v>43</v>
      </c>
      <c r="U5" s="30" t="s">
        <v>42</v>
      </c>
      <c r="V5" s="30" t="s">
        <v>43</v>
      </c>
      <c r="W5" s="30" t="s">
        <v>42</v>
      </c>
      <c r="X5" s="30" t="s">
        <v>43</v>
      </c>
      <c r="Y5" s="2239"/>
    </row>
    <row r="6" spans="1:25" ht="34.5" customHeight="1" x14ac:dyDescent="0.25">
      <c r="A6" s="12">
        <v>1409935200</v>
      </c>
      <c r="B6" s="2034" t="s">
        <v>71</v>
      </c>
      <c r="C6" s="2037">
        <v>32217</v>
      </c>
      <c r="D6" s="2038">
        <f t="shared" ref="D6:D11" si="0">0.9725*C6</f>
        <v>31331.032500000001</v>
      </c>
      <c r="E6" s="2037"/>
      <c r="F6" s="2038">
        <f>19.68*E6</f>
        <v>0</v>
      </c>
      <c r="G6" s="2037"/>
      <c r="H6" s="2038">
        <f t="shared" ref="H6:H11" si="1">28.26*G6</f>
        <v>0</v>
      </c>
      <c r="I6" s="2037">
        <v>1630</v>
      </c>
      <c r="J6" s="2038">
        <f>18.82*I6</f>
        <v>30676.600000000002</v>
      </c>
      <c r="K6" s="2037"/>
      <c r="L6" s="2038">
        <f>28.25*K6</f>
        <v>0</v>
      </c>
      <c r="M6" s="2037"/>
      <c r="N6" s="2038">
        <f>M6*47.6525</f>
        <v>0</v>
      </c>
      <c r="O6" s="2037"/>
      <c r="P6" s="2038">
        <f>O6*8.9</f>
        <v>0</v>
      </c>
      <c r="Q6" s="2038"/>
      <c r="R6" s="2038">
        <f>241*Q6</f>
        <v>0</v>
      </c>
      <c r="S6" s="2037"/>
      <c r="T6" s="2037">
        <f>470*S6</f>
        <v>0</v>
      </c>
      <c r="U6" s="2037"/>
      <c r="V6" s="2037">
        <f>332*U6</f>
        <v>0</v>
      </c>
      <c r="W6" s="2037"/>
      <c r="X6" s="19">
        <f>W6*100</f>
        <v>0</v>
      </c>
      <c r="Y6" s="20">
        <f t="shared" ref="Y6:Y12" si="2">D6+F6+H6+J6+L6+N6+P6+R6+T6+V6+X6</f>
        <v>62007.632500000007</v>
      </c>
    </row>
    <row r="7" spans="1:25" ht="36.75" customHeight="1" x14ac:dyDescent="0.25">
      <c r="A7" s="12">
        <v>1984225578</v>
      </c>
      <c r="B7" s="2034" t="s">
        <v>509</v>
      </c>
      <c r="C7" s="2037">
        <v>63787</v>
      </c>
      <c r="D7" s="2038">
        <f t="shared" si="0"/>
        <v>62032.857500000006</v>
      </c>
      <c r="E7" s="2037"/>
      <c r="F7" s="2038">
        <f t="shared" ref="F7:F11" si="3">19.68*E7</f>
        <v>0</v>
      </c>
      <c r="G7" s="2037">
        <v>30</v>
      </c>
      <c r="H7" s="2038">
        <f t="shared" si="1"/>
        <v>847.80000000000007</v>
      </c>
      <c r="I7" s="2037">
        <v>2500</v>
      </c>
      <c r="J7" s="2038">
        <f t="shared" ref="J7:J11" si="4">18.82*I7</f>
        <v>47050</v>
      </c>
      <c r="K7" s="2037"/>
      <c r="L7" s="2038">
        <f t="shared" ref="L7:L11" si="5">28.25*K7</f>
        <v>0</v>
      </c>
      <c r="M7" s="2037"/>
      <c r="N7" s="2038">
        <f t="shared" ref="N7:N11" si="6">M7*47.6525</f>
        <v>0</v>
      </c>
      <c r="O7" s="2037"/>
      <c r="P7" s="2038">
        <f t="shared" ref="P7:P11" si="7">O7*8.9</f>
        <v>0</v>
      </c>
      <c r="Q7" s="2038"/>
      <c r="R7" s="2038">
        <f t="shared" ref="R7:R11" si="8">241*Q7</f>
        <v>0</v>
      </c>
      <c r="S7" s="2037">
        <v>2</v>
      </c>
      <c r="T7" s="2037">
        <f t="shared" ref="T7:T9" si="9">470*S7</f>
        <v>940</v>
      </c>
      <c r="U7" s="2037"/>
      <c r="V7" s="2037">
        <f t="shared" ref="V7:V11" si="10">332*U7</f>
        <v>0</v>
      </c>
      <c r="W7" s="2037"/>
      <c r="X7" s="19">
        <f t="shared" ref="X7:X11" si="11">W7*100</f>
        <v>0</v>
      </c>
      <c r="Y7" s="20">
        <f t="shared" si="2"/>
        <v>110870.6575</v>
      </c>
    </row>
    <row r="8" spans="1:25" ht="35.25" customHeight="1" x14ac:dyDescent="0.25">
      <c r="A8" s="12">
        <v>1967020280</v>
      </c>
      <c r="B8" s="2034" t="s">
        <v>427</v>
      </c>
      <c r="C8" s="2037">
        <v>42810</v>
      </c>
      <c r="D8" s="2038">
        <f t="shared" si="0"/>
        <v>41632.724999999999</v>
      </c>
      <c r="E8" s="2037"/>
      <c r="F8" s="2038">
        <f t="shared" si="3"/>
        <v>0</v>
      </c>
      <c r="G8" s="2037">
        <v>30</v>
      </c>
      <c r="H8" s="2038">
        <f t="shared" si="1"/>
        <v>847.80000000000007</v>
      </c>
      <c r="I8" s="2037">
        <v>1830</v>
      </c>
      <c r="J8" s="2038">
        <f t="shared" si="4"/>
        <v>34440.6</v>
      </c>
      <c r="K8" s="2037">
        <v>20</v>
      </c>
      <c r="L8" s="2038">
        <f t="shared" si="5"/>
        <v>565</v>
      </c>
      <c r="M8" s="2037"/>
      <c r="N8" s="2038">
        <f t="shared" si="6"/>
        <v>0</v>
      </c>
      <c r="O8" s="2037"/>
      <c r="P8" s="2038">
        <f t="shared" si="7"/>
        <v>0</v>
      </c>
      <c r="Q8" s="2038"/>
      <c r="R8" s="2038">
        <f t="shared" si="8"/>
        <v>0</v>
      </c>
      <c r="S8" s="2037"/>
      <c r="T8" s="2037">
        <f t="shared" si="9"/>
        <v>0</v>
      </c>
      <c r="U8" s="2037">
        <v>4</v>
      </c>
      <c r="V8" s="2037">
        <f t="shared" si="10"/>
        <v>1328</v>
      </c>
      <c r="W8" s="2037"/>
      <c r="X8" s="19">
        <f t="shared" si="11"/>
        <v>0</v>
      </c>
      <c r="Y8" s="20">
        <f t="shared" si="2"/>
        <v>78814.125</v>
      </c>
    </row>
    <row r="9" spans="1:25" ht="38.25" customHeight="1" x14ac:dyDescent="0.25">
      <c r="A9" s="12">
        <v>1984225580</v>
      </c>
      <c r="B9" s="2034" t="s">
        <v>74</v>
      </c>
      <c r="C9" s="2037">
        <v>53245</v>
      </c>
      <c r="D9" s="2038">
        <f t="shared" si="0"/>
        <v>51780.762500000004</v>
      </c>
      <c r="E9" s="2037"/>
      <c r="F9" s="2038">
        <f t="shared" si="3"/>
        <v>0</v>
      </c>
      <c r="G9" s="2037">
        <v>20</v>
      </c>
      <c r="H9" s="2038">
        <f t="shared" si="1"/>
        <v>565.20000000000005</v>
      </c>
      <c r="I9" s="2037">
        <v>880</v>
      </c>
      <c r="J9" s="2038">
        <f t="shared" si="4"/>
        <v>16561.599999999999</v>
      </c>
      <c r="K9" s="2037">
        <v>70</v>
      </c>
      <c r="L9" s="2038">
        <f t="shared" si="5"/>
        <v>1977.5</v>
      </c>
      <c r="M9" s="2037"/>
      <c r="N9" s="2038">
        <f t="shared" si="6"/>
        <v>0</v>
      </c>
      <c r="O9" s="2037"/>
      <c r="P9" s="2038">
        <f t="shared" si="7"/>
        <v>0</v>
      </c>
      <c r="Q9" s="2038"/>
      <c r="R9" s="2038">
        <f t="shared" si="8"/>
        <v>0</v>
      </c>
      <c r="S9" s="2037"/>
      <c r="T9" s="2037">
        <f t="shared" si="9"/>
        <v>0</v>
      </c>
      <c r="U9" s="2037">
        <v>2</v>
      </c>
      <c r="V9" s="2037">
        <f t="shared" si="10"/>
        <v>664</v>
      </c>
      <c r="W9" s="2037"/>
      <c r="X9" s="19">
        <f t="shared" si="11"/>
        <v>0</v>
      </c>
      <c r="Y9" s="20">
        <f t="shared" si="2"/>
        <v>71549.0625</v>
      </c>
    </row>
    <row r="10" spans="1:25" ht="35.25" customHeight="1" x14ac:dyDescent="0.25">
      <c r="A10" s="12">
        <v>1409935199</v>
      </c>
      <c r="C10" s="2037"/>
      <c r="D10" s="2038">
        <f t="shared" si="0"/>
        <v>0</v>
      </c>
      <c r="E10" s="2037"/>
      <c r="F10" s="2038">
        <f t="shared" si="3"/>
        <v>0</v>
      </c>
      <c r="G10" s="2037"/>
      <c r="H10" s="2038">
        <f t="shared" si="1"/>
        <v>0</v>
      </c>
      <c r="I10" s="2037"/>
      <c r="J10" s="2038">
        <f t="shared" si="4"/>
        <v>0</v>
      </c>
      <c r="K10" s="2037"/>
      <c r="L10" s="2038">
        <f t="shared" si="5"/>
        <v>0</v>
      </c>
      <c r="M10" s="2037"/>
      <c r="N10" s="2038">
        <f t="shared" si="6"/>
        <v>0</v>
      </c>
      <c r="O10" s="2037"/>
      <c r="P10" s="2038">
        <f t="shared" si="7"/>
        <v>0</v>
      </c>
      <c r="Q10" s="2038"/>
      <c r="R10" s="2038">
        <f t="shared" si="8"/>
        <v>0</v>
      </c>
      <c r="S10" s="2037"/>
      <c r="T10" s="2037">
        <f>341*S10</f>
        <v>0</v>
      </c>
      <c r="U10" s="2037"/>
      <c r="V10" s="2037">
        <f t="shared" si="10"/>
        <v>0</v>
      </c>
      <c r="W10" s="2037"/>
      <c r="X10" s="19">
        <f t="shared" si="11"/>
        <v>0</v>
      </c>
      <c r="Y10" s="20">
        <f t="shared" si="2"/>
        <v>0</v>
      </c>
    </row>
    <row r="11" spans="1:25" ht="37.5" customHeight="1" x14ac:dyDescent="0.25">
      <c r="A11" s="12"/>
      <c r="B11" s="2036"/>
      <c r="C11" s="2037"/>
      <c r="D11" s="2038">
        <f t="shared" si="0"/>
        <v>0</v>
      </c>
      <c r="E11" s="2037"/>
      <c r="F11" s="2038">
        <f t="shared" si="3"/>
        <v>0</v>
      </c>
      <c r="G11" s="2037"/>
      <c r="H11" s="2038">
        <f t="shared" si="1"/>
        <v>0</v>
      </c>
      <c r="I11" s="2037"/>
      <c r="J11" s="2038">
        <f t="shared" si="4"/>
        <v>0</v>
      </c>
      <c r="K11" s="2037"/>
      <c r="L11" s="2038">
        <f t="shared" si="5"/>
        <v>0</v>
      </c>
      <c r="M11" s="2037"/>
      <c r="N11" s="2038">
        <f t="shared" si="6"/>
        <v>0</v>
      </c>
      <c r="O11" s="2037"/>
      <c r="P11" s="2038">
        <f t="shared" si="7"/>
        <v>0</v>
      </c>
      <c r="Q11" s="2038"/>
      <c r="R11" s="2038">
        <f t="shared" si="8"/>
        <v>0</v>
      </c>
      <c r="S11" s="2037"/>
      <c r="T11" s="2037">
        <f>241*S11</f>
        <v>0</v>
      </c>
      <c r="U11" s="2037"/>
      <c r="V11" s="2037">
        <f t="shared" si="10"/>
        <v>0</v>
      </c>
      <c r="W11" s="2037"/>
      <c r="X11" s="19">
        <f t="shared" si="11"/>
        <v>0</v>
      </c>
      <c r="Y11" s="20">
        <f t="shared" si="2"/>
        <v>0</v>
      </c>
    </row>
    <row r="12" spans="1:25" ht="29.25" customHeight="1" x14ac:dyDescent="0.25">
      <c r="A12" s="2235" t="s">
        <v>31</v>
      </c>
      <c r="B12" s="2235"/>
      <c r="C12" s="18">
        <f t="shared" ref="C12:X12" si="12">SUM(C6:C11)</f>
        <v>192059</v>
      </c>
      <c r="D12" s="18">
        <f t="shared" si="12"/>
        <v>186777.37750000003</v>
      </c>
      <c r="E12" s="18">
        <f t="shared" si="12"/>
        <v>0</v>
      </c>
      <c r="F12" s="18">
        <f t="shared" si="12"/>
        <v>0</v>
      </c>
      <c r="G12" s="18">
        <f t="shared" si="12"/>
        <v>80</v>
      </c>
      <c r="H12" s="18">
        <f t="shared" si="12"/>
        <v>2260.8000000000002</v>
      </c>
      <c r="I12" s="18">
        <f t="shared" si="12"/>
        <v>6840</v>
      </c>
      <c r="J12" s="18">
        <f t="shared" si="12"/>
        <v>128728.80000000002</v>
      </c>
      <c r="K12" s="18">
        <f t="shared" si="12"/>
        <v>90</v>
      </c>
      <c r="L12" s="18">
        <f t="shared" si="12"/>
        <v>2542.5</v>
      </c>
      <c r="M12" s="18">
        <f t="shared" si="12"/>
        <v>0</v>
      </c>
      <c r="N12" s="23">
        <f t="shared" si="12"/>
        <v>0</v>
      </c>
      <c r="O12" s="18">
        <f t="shared" si="12"/>
        <v>0</v>
      </c>
      <c r="P12" s="23">
        <f t="shared" si="12"/>
        <v>0</v>
      </c>
      <c r="Q12" s="23">
        <f t="shared" si="12"/>
        <v>0</v>
      </c>
      <c r="R12" s="23">
        <f>SUM(R6:R11)</f>
        <v>0</v>
      </c>
      <c r="S12" s="23">
        <f>SUM(S6:S11)</f>
        <v>2</v>
      </c>
      <c r="T12" s="18">
        <f t="shared" si="12"/>
        <v>940</v>
      </c>
      <c r="U12" s="18">
        <f t="shared" si="12"/>
        <v>6</v>
      </c>
      <c r="V12" s="18">
        <f t="shared" si="12"/>
        <v>1992</v>
      </c>
      <c r="W12" s="18">
        <f t="shared" si="12"/>
        <v>0</v>
      </c>
      <c r="X12" s="18">
        <f t="shared" si="12"/>
        <v>0</v>
      </c>
      <c r="Y12" s="20">
        <f t="shared" si="2"/>
        <v>323241.47750000004</v>
      </c>
    </row>
    <row r="14" spans="1:25" ht="43.5" customHeight="1" x14ac:dyDescent="0.25">
      <c r="A14" s="30" t="s">
        <v>32</v>
      </c>
      <c r="B14" s="2236" t="s">
        <v>27</v>
      </c>
      <c r="C14" s="2236"/>
      <c r="D14" s="30" t="s">
        <v>543</v>
      </c>
      <c r="E14" s="30" t="s">
        <v>65</v>
      </c>
      <c r="F14" s="30" t="s">
        <v>34</v>
      </c>
      <c r="G14" s="30" t="s">
        <v>14</v>
      </c>
      <c r="H14" s="469" t="s">
        <v>173</v>
      </c>
      <c r="I14" s="30" t="s">
        <v>17</v>
      </c>
      <c r="J14" s="2042" t="s">
        <v>174</v>
      </c>
      <c r="K14" s="30" t="s">
        <v>36</v>
      </c>
      <c r="L14" s="2042" t="s">
        <v>403</v>
      </c>
      <c r="M14" s="2042" t="s">
        <v>549</v>
      </c>
      <c r="N14" s="30" t="s">
        <v>442</v>
      </c>
      <c r="O14" s="2042" t="s">
        <v>114</v>
      </c>
      <c r="P14" s="30" t="s">
        <v>70</v>
      </c>
      <c r="Q14" s="2300" t="s">
        <v>479</v>
      </c>
      <c r="R14" s="2301"/>
      <c r="S14" s="2042" t="s">
        <v>401</v>
      </c>
      <c r="T14" s="2235" t="s">
        <v>46</v>
      </c>
      <c r="U14" s="2034" t="s">
        <v>176</v>
      </c>
      <c r="V14" s="2260">
        <v>13824</v>
      </c>
      <c r="W14" s="2268"/>
      <c r="X14" s="2261"/>
    </row>
    <row r="15" spans="1:25" ht="22.5" customHeight="1" x14ac:dyDescent="0.25">
      <c r="A15" s="100" t="s">
        <v>38</v>
      </c>
      <c r="B15" s="2260">
        <v>354593</v>
      </c>
      <c r="C15" s="2261"/>
      <c r="D15" s="2039">
        <v>0</v>
      </c>
      <c r="E15" s="2039">
        <v>580</v>
      </c>
      <c r="F15" s="2039">
        <v>7500</v>
      </c>
      <c r="G15" s="2039">
        <v>1290</v>
      </c>
      <c r="H15" s="2039">
        <v>34</v>
      </c>
      <c r="I15" s="2039">
        <v>38</v>
      </c>
      <c r="J15" s="2039"/>
      <c r="K15" s="2039">
        <v>86</v>
      </c>
      <c r="L15" s="2039">
        <v>12</v>
      </c>
      <c r="M15" s="2039">
        <v>13</v>
      </c>
      <c r="N15" s="2039">
        <v>0</v>
      </c>
      <c r="O15" s="2039">
        <v>0</v>
      </c>
      <c r="P15" s="2039">
        <v>100</v>
      </c>
      <c r="Q15" s="2260">
        <v>10</v>
      </c>
      <c r="R15" s="2261"/>
      <c r="S15" s="2034"/>
      <c r="T15" s="2235"/>
      <c r="U15" s="2034" t="s">
        <v>64</v>
      </c>
      <c r="V15" s="2262">
        <v>38774</v>
      </c>
      <c r="W15" s="2262"/>
      <c r="X15" s="2262"/>
    </row>
    <row r="16" spans="1:25" ht="24.75" customHeight="1" x14ac:dyDescent="0.25">
      <c r="A16" s="100" t="s">
        <v>39</v>
      </c>
      <c r="B16" s="2260">
        <v>332674</v>
      </c>
      <c r="C16" s="2261"/>
      <c r="D16" s="2039"/>
      <c r="E16" s="2039"/>
      <c r="F16" s="2039">
        <v>7500</v>
      </c>
      <c r="G16" s="2039"/>
      <c r="H16" s="2039"/>
      <c r="I16" s="2039">
        <v>25</v>
      </c>
      <c r="J16" s="2039"/>
      <c r="K16" s="2039"/>
      <c r="L16" s="2039"/>
      <c r="M16" s="2039"/>
      <c r="N16" s="2039"/>
      <c r="O16" s="2039"/>
      <c r="P16" s="2039"/>
      <c r="Q16" s="2262"/>
      <c r="R16" s="2262"/>
      <c r="S16" s="2039"/>
      <c r="T16" s="2254" t="s">
        <v>55</v>
      </c>
      <c r="U16" s="2254"/>
      <c r="V16" s="2267">
        <f>Y12</f>
        <v>323241.47750000004</v>
      </c>
      <c r="W16" s="2267"/>
      <c r="X16" s="2262"/>
    </row>
    <row r="17" spans="1:25" ht="28.5" customHeight="1" x14ac:dyDescent="0.25">
      <c r="A17" s="101" t="s">
        <v>44</v>
      </c>
      <c r="B17" s="2260"/>
      <c r="C17" s="2261"/>
      <c r="D17" s="2039"/>
      <c r="E17" s="2039"/>
      <c r="F17" s="2039"/>
      <c r="G17" s="2039"/>
      <c r="H17" s="2039"/>
      <c r="I17" s="2039"/>
      <c r="J17" s="2039"/>
      <c r="K17" s="2039"/>
      <c r="L17" s="2039"/>
      <c r="M17" s="2039"/>
      <c r="N17" s="2039"/>
      <c r="O17" s="2039"/>
      <c r="P17" s="2039"/>
      <c r="Q17" s="2225"/>
      <c r="R17" s="2225"/>
      <c r="S17" s="2036"/>
      <c r="T17" s="2294" t="s">
        <v>521</v>
      </c>
      <c r="U17" s="2295"/>
      <c r="V17" s="2296"/>
      <c r="W17" s="2296"/>
      <c r="X17" s="2296"/>
    </row>
    <row r="18" spans="1:25" ht="27" customHeight="1" x14ac:dyDescent="0.25">
      <c r="A18" s="100" t="s">
        <v>40</v>
      </c>
      <c r="B18" s="2264">
        <f>C12</f>
        <v>192059</v>
      </c>
      <c r="C18" s="2261"/>
      <c r="D18" s="2040">
        <f>E12</f>
        <v>0</v>
      </c>
      <c r="E18" s="2040">
        <f>G12</f>
        <v>80</v>
      </c>
      <c r="F18" s="2040">
        <f>I12</f>
        <v>6840</v>
      </c>
      <c r="G18" s="2040">
        <f>K12</f>
        <v>90</v>
      </c>
      <c r="H18" s="2039"/>
      <c r="I18" s="2040">
        <f>U12</f>
        <v>6</v>
      </c>
      <c r="J18" s="2039"/>
      <c r="K18" s="2040">
        <f>W12</f>
        <v>0</v>
      </c>
      <c r="L18" s="2039"/>
      <c r="M18" s="2040">
        <v>2</v>
      </c>
      <c r="N18" s="2040">
        <f>O12</f>
        <v>0</v>
      </c>
      <c r="O18" s="2041">
        <f>Q12</f>
        <v>0</v>
      </c>
      <c r="P18" s="2040"/>
      <c r="Q18" s="2262"/>
      <c r="R18" s="2262"/>
      <c r="S18" s="2034"/>
      <c r="T18" s="2254" t="s">
        <v>57</v>
      </c>
      <c r="U18" s="2254"/>
      <c r="V18" s="2262">
        <v>520</v>
      </c>
      <c r="W18" s="2262"/>
      <c r="X18" s="2262"/>
      <c r="Y18" s="2269"/>
    </row>
    <row r="19" spans="1:25" ht="25.5" customHeight="1" x14ac:dyDescent="0.25">
      <c r="A19" s="100" t="s">
        <v>41</v>
      </c>
      <c r="B19" s="2260">
        <f>B15+B16+B17-B18</f>
        <v>495208</v>
      </c>
      <c r="C19" s="2261"/>
      <c r="D19" s="2039">
        <f>D15+D16+D17-D18</f>
        <v>0</v>
      </c>
      <c r="E19" s="2039">
        <f t="shared" ref="E19:N19" si="13">E15+E16+E17-E18</f>
        <v>500</v>
      </c>
      <c r="F19" s="2039">
        <f t="shared" si="13"/>
        <v>8160</v>
      </c>
      <c r="G19" s="2039">
        <f t="shared" si="13"/>
        <v>1200</v>
      </c>
      <c r="H19" s="2039">
        <f t="shared" si="13"/>
        <v>34</v>
      </c>
      <c r="I19" s="2039">
        <f t="shared" si="13"/>
        <v>57</v>
      </c>
      <c r="J19" s="2039">
        <f t="shared" si="13"/>
        <v>0</v>
      </c>
      <c r="K19" s="2039">
        <f t="shared" si="13"/>
        <v>86</v>
      </c>
      <c r="L19" s="2039">
        <f t="shared" si="13"/>
        <v>12</v>
      </c>
      <c r="M19" s="2039">
        <f t="shared" si="13"/>
        <v>11</v>
      </c>
      <c r="N19" s="2039">
        <f t="shared" si="13"/>
        <v>0</v>
      </c>
      <c r="O19" s="2039">
        <f>O15+O16+O17-O18</f>
        <v>0</v>
      </c>
      <c r="P19" s="2039">
        <f t="shared" ref="P19:Q19" si="14">P15+P16+P17-P18</f>
        <v>100</v>
      </c>
      <c r="Q19" s="2260">
        <f t="shared" si="14"/>
        <v>10</v>
      </c>
      <c r="R19" s="2261"/>
      <c r="S19" s="2034">
        <f>S15+S16-S17-S18</f>
        <v>0</v>
      </c>
      <c r="T19" s="2256" t="s">
        <v>48</v>
      </c>
      <c r="U19" s="49" t="s">
        <v>58</v>
      </c>
      <c r="V19" s="2262">
        <v>130000</v>
      </c>
      <c r="W19" s="2262"/>
      <c r="X19" s="2262"/>
      <c r="Y19" s="2269"/>
    </row>
    <row r="20" spans="1:25" ht="23.25" customHeight="1" x14ac:dyDescent="0.25">
      <c r="A20" s="289" t="s">
        <v>187</v>
      </c>
      <c r="B20" s="2286">
        <f>B19*0.9625</f>
        <v>476637.7</v>
      </c>
      <c r="C20" s="2287"/>
      <c r="D20" s="290">
        <f>D19*19.48</f>
        <v>0</v>
      </c>
      <c r="E20" s="290">
        <f>27.97*E19</f>
        <v>13985</v>
      </c>
      <c r="F20" s="290">
        <f>18.63*F19</f>
        <v>152020.79999999999</v>
      </c>
      <c r="G20" s="290">
        <f>27.9468*G19</f>
        <v>33536.159999999996</v>
      </c>
      <c r="H20" s="290">
        <f>241*H19</f>
        <v>8194</v>
      </c>
      <c r="I20" s="290">
        <f>323*I19</f>
        <v>18411</v>
      </c>
      <c r="J20" s="290">
        <f>241*J19</f>
        <v>0</v>
      </c>
      <c r="K20" s="290">
        <f>K19*100</f>
        <v>8600</v>
      </c>
      <c r="L20" s="290">
        <f>470*L19</f>
        <v>5640</v>
      </c>
      <c r="M20" s="290">
        <f>470*M19</f>
        <v>5170</v>
      </c>
      <c r="N20" s="290">
        <f>N19*8.81</f>
        <v>0</v>
      </c>
      <c r="O20" s="290">
        <f>241*O19</f>
        <v>0</v>
      </c>
      <c r="P20" s="290">
        <f>P19*48.2</f>
        <v>4820</v>
      </c>
      <c r="Q20" s="2286">
        <f>470*Q19</f>
        <v>4700</v>
      </c>
      <c r="R20" s="2287"/>
      <c r="S20" s="290">
        <f>341*S19</f>
        <v>0</v>
      </c>
      <c r="T20" s="2257"/>
      <c r="U20" s="49" t="s">
        <v>59</v>
      </c>
      <c r="V20" s="2262">
        <v>185000</v>
      </c>
      <c r="W20" s="2262"/>
      <c r="X20" s="2262"/>
      <c r="Y20" s="2269"/>
    </row>
    <row r="21" spans="1:25" ht="32.25" customHeight="1" x14ac:dyDescent="0.25">
      <c r="A21" s="291" t="s">
        <v>186</v>
      </c>
      <c r="B21" s="2302">
        <f>SUM(B20:S20)</f>
        <v>731714.66</v>
      </c>
      <c r="C21" s="2302"/>
      <c r="T21" s="2294" t="s">
        <v>518</v>
      </c>
      <c r="U21" s="2295"/>
      <c r="V21" s="2297"/>
      <c r="W21" s="2298"/>
      <c r="X21" s="2299"/>
      <c r="Y21" s="2269"/>
    </row>
    <row r="22" spans="1:25" ht="35.25" customHeight="1" x14ac:dyDescent="0.25">
      <c r="A22" s="1911"/>
      <c r="B22" s="2288" t="s">
        <v>49</v>
      </c>
      <c r="C22" s="2291">
        <v>130000</v>
      </c>
      <c r="D22" s="2291">
        <v>130000</v>
      </c>
      <c r="E22" s="2291">
        <v>283000</v>
      </c>
      <c r="F22" s="2291">
        <f>C22-D22+E22</f>
        <v>283000</v>
      </c>
      <c r="T22" s="2251" t="s">
        <v>83</v>
      </c>
      <c r="U22" s="50" t="s">
        <v>60</v>
      </c>
      <c r="V22" s="2262">
        <v>322970</v>
      </c>
      <c r="W22" s="2262"/>
      <c r="X22" s="2262"/>
      <c r="Y22" s="2269"/>
    </row>
    <row r="23" spans="1:25" ht="39.75" customHeight="1" x14ac:dyDescent="0.25">
      <c r="B23" s="2289"/>
      <c r="C23" s="2292"/>
      <c r="D23" s="2292"/>
      <c r="E23" s="2292"/>
      <c r="F23" s="2292"/>
      <c r="T23" s="2252"/>
      <c r="U23" s="50" t="s">
        <v>61</v>
      </c>
      <c r="V23" s="2262">
        <v>315000</v>
      </c>
      <c r="W23" s="2262"/>
      <c r="X23" s="2262"/>
      <c r="Y23" s="2269"/>
    </row>
    <row r="24" spans="1:25" ht="48" customHeight="1" x14ac:dyDescent="0.25">
      <c r="B24" s="2290"/>
      <c r="C24" s="290" t="s">
        <v>46</v>
      </c>
      <c r="D24" s="290" t="s">
        <v>50</v>
      </c>
      <c r="E24" s="290" t="s">
        <v>51</v>
      </c>
      <c r="F24" s="290" t="s">
        <v>52</v>
      </c>
      <c r="T24" s="2235" t="s">
        <v>47</v>
      </c>
      <c r="U24" s="51" t="s">
        <v>62</v>
      </c>
      <c r="V24" s="2263">
        <f>V14+V16+V17-V18-V19-V20-V22+V23-V21</f>
        <v>13575.477500000037</v>
      </c>
      <c r="W24" s="2263"/>
      <c r="X24" s="2263"/>
      <c r="Y24" s="2269"/>
    </row>
    <row r="25" spans="1:25" ht="40.5" customHeight="1" x14ac:dyDescent="0.25">
      <c r="T25" s="2235"/>
      <c r="U25" s="51" t="s">
        <v>63</v>
      </c>
      <c r="V25" s="2262">
        <f>V15+V22-V23</f>
        <v>46744</v>
      </c>
      <c r="W25" s="2262"/>
      <c r="X25" s="2262"/>
    </row>
    <row r="26" spans="1:25" ht="36" customHeight="1" x14ac:dyDescent="0.25">
      <c r="K26" s="314"/>
    </row>
    <row r="28" spans="1:25" x14ac:dyDescent="0.25">
      <c r="J28" s="14" t="s">
        <v>139</v>
      </c>
    </row>
    <row r="32" spans="1:25" x14ac:dyDescent="0.25">
      <c r="I32" s="2280"/>
      <c r="J32" s="2280"/>
      <c r="K32" s="2280"/>
      <c r="L32" s="2280"/>
    </row>
    <row r="33" spans="9:12" x14ac:dyDescent="0.25">
      <c r="I33" s="2043"/>
      <c r="J33" s="2043"/>
      <c r="K33" s="2280"/>
      <c r="L33" s="2280"/>
    </row>
  </sheetData>
  <mergeCells count="62">
    <mergeCell ref="I32:J32"/>
    <mergeCell ref="K32:L32"/>
    <mergeCell ref="K33:L33"/>
    <mergeCell ref="T22:T23"/>
    <mergeCell ref="V22:X22"/>
    <mergeCell ref="V23:X23"/>
    <mergeCell ref="T24:T25"/>
    <mergeCell ref="V24:X24"/>
    <mergeCell ref="V25:X25"/>
    <mergeCell ref="Y18:Y24"/>
    <mergeCell ref="B19:C19"/>
    <mergeCell ref="Q19:R19"/>
    <mergeCell ref="T19:T20"/>
    <mergeCell ref="V19:X19"/>
    <mergeCell ref="B20:C20"/>
    <mergeCell ref="B22:B24"/>
    <mergeCell ref="C22:C23"/>
    <mergeCell ref="D22:D23"/>
    <mergeCell ref="E22:E23"/>
    <mergeCell ref="F22:F23"/>
    <mergeCell ref="Q20:R20"/>
    <mergeCell ref="V20:X20"/>
    <mergeCell ref="B21:C21"/>
    <mergeCell ref="T21:U21"/>
    <mergeCell ref="V21:X21"/>
    <mergeCell ref="B17:C17"/>
    <mergeCell ref="Q17:R17"/>
    <mergeCell ref="T17:U17"/>
    <mergeCell ref="V17:X17"/>
    <mergeCell ref="B18:C18"/>
    <mergeCell ref="Q18:R18"/>
    <mergeCell ref="T18:U18"/>
    <mergeCell ref="V18:X18"/>
    <mergeCell ref="W4:X4"/>
    <mergeCell ref="B16:C16"/>
    <mergeCell ref="Q16:R16"/>
    <mergeCell ref="T16:U16"/>
    <mergeCell ref="V16:X16"/>
    <mergeCell ref="A12:B12"/>
    <mergeCell ref="B14:C14"/>
    <mergeCell ref="Q14:R14"/>
    <mergeCell ref="T14:T15"/>
    <mergeCell ref="V14:X14"/>
    <mergeCell ref="B15:C15"/>
    <mergeCell ref="Q15:R15"/>
    <mergeCell ref="V15:X15"/>
    <mergeCell ref="A1:Y1"/>
    <mergeCell ref="A2:Y2"/>
    <mergeCell ref="T3:Y3"/>
    <mergeCell ref="A4:A5"/>
    <mergeCell ref="B4:B5"/>
    <mergeCell ref="C4:D4"/>
    <mergeCell ref="E4:F4"/>
    <mergeCell ref="G4:H4"/>
    <mergeCell ref="I4:J4"/>
    <mergeCell ref="K4:L4"/>
    <mergeCell ref="Y4:Y5"/>
    <mergeCell ref="M4:N4"/>
    <mergeCell ref="O4:P4"/>
    <mergeCell ref="Q4:R4"/>
    <mergeCell ref="S4:T4"/>
    <mergeCell ref="U4:V4"/>
  </mergeCells>
  <pageMargins left="0.15748031496063" right="0.15748031496063" top="0" bottom="0" header="0" footer="0"/>
  <pageSetup paperSize="9" scale="46" orientation="landscape" r:id="rId1"/>
</worksheet>
</file>

<file path=xl/worksheets/sheet3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F3D38C4-430F-4CCB-B6C1-80D099C9C436}">
  <sheetPr>
    <pageSetUpPr fitToPage="1"/>
  </sheetPr>
  <dimension ref="A1:Y33"/>
  <sheetViews>
    <sheetView topLeftCell="D10" zoomScale="70" zoomScaleNormal="70" zoomScaleSheetLayoutView="100" zoomScalePageLayoutView="68" workbookViewId="0">
      <selection activeCell="R23" sqref="R23"/>
    </sheetView>
  </sheetViews>
  <sheetFormatPr defaultColWidth="9.140625" defaultRowHeight="15" x14ac:dyDescent="0.25"/>
  <cols>
    <col min="1" max="1" width="18.28515625" style="14" customWidth="1"/>
    <col min="2" max="2" width="10.7109375" style="14" customWidth="1"/>
    <col min="3" max="3" width="12.28515625" style="14" customWidth="1"/>
    <col min="4" max="4" width="13.140625" style="14" bestFit="1" customWidth="1"/>
    <col min="5" max="5" width="12" style="14" customWidth="1"/>
    <col min="6" max="6" width="14" style="14" bestFit="1" customWidth="1"/>
    <col min="7" max="7" width="16" style="14" bestFit="1" customWidth="1"/>
    <col min="8" max="8" width="11" style="14" bestFit="1" customWidth="1"/>
    <col min="9" max="9" width="10.5703125" style="14" bestFit="1" customWidth="1"/>
    <col min="10" max="10" width="10.5703125" style="14" customWidth="1"/>
    <col min="11" max="11" width="10.28515625" style="14" bestFit="1" customWidth="1"/>
    <col min="12" max="12" width="10.42578125" style="14" bestFit="1" customWidth="1"/>
    <col min="13" max="14" width="12" style="14" bestFit="1" customWidth="1"/>
    <col min="15" max="15" width="11" style="14" customWidth="1"/>
    <col min="16" max="16" width="12.85546875" style="14" bestFit="1" customWidth="1"/>
    <col min="17" max="18" width="9.42578125" style="14" customWidth="1"/>
    <col min="19" max="19" width="13.7109375" style="14" customWidth="1"/>
    <col min="20" max="20" width="12.140625" style="14" customWidth="1"/>
    <col min="21" max="21" width="21.7109375" style="14" customWidth="1"/>
    <col min="22" max="22" width="9.85546875" style="14" customWidth="1"/>
    <col min="23" max="23" width="10.140625" style="14" bestFit="1" customWidth="1"/>
    <col min="24" max="24" width="10.28515625" style="14" customWidth="1"/>
    <col min="25" max="25" width="15.7109375" style="14" customWidth="1"/>
    <col min="26" max="16384" width="9.140625" style="14"/>
  </cols>
  <sheetData>
    <row r="1" spans="1:25" ht="46.15" customHeight="1" x14ac:dyDescent="0.25">
      <c r="A1" s="2240" t="s">
        <v>148</v>
      </c>
      <c r="B1" s="2240"/>
      <c r="C1" s="2240"/>
      <c r="D1" s="2240"/>
      <c r="E1" s="2240"/>
      <c r="F1" s="2240"/>
      <c r="G1" s="2240"/>
      <c r="H1" s="2240"/>
      <c r="I1" s="2240"/>
      <c r="J1" s="2240"/>
      <c r="K1" s="2240"/>
      <c r="L1" s="2240"/>
      <c r="M1" s="2240"/>
      <c r="N1" s="2240"/>
      <c r="O1" s="2240"/>
      <c r="P1" s="2240"/>
      <c r="Q1" s="2240"/>
      <c r="R1" s="2240"/>
      <c r="S1" s="2240"/>
      <c r="T1" s="2240"/>
      <c r="U1" s="2240"/>
      <c r="V1" s="2240"/>
      <c r="W1" s="2240"/>
      <c r="X1" s="2240"/>
      <c r="Y1" s="2240"/>
    </row>
    <row r="2" spans="1:25" ht="21.6" customHeight="1" x14ac:dyDescent="0.25">
      <c r="A2" s="2241" t="s">
        <v>383</v>
      </c>
      <c r="B2" s="2241"/>
      <c r="C2" s="2241"/>
      <c r="D2" s="2241"/>
      <c r="E2" s="2241"/>
      <c r="F2" s="2241"/>
      <c r="G2" s="2241"/>
      <c r="H2" s="2241"/>
      <c r="I2" s="2241"/>
      <c r="J2" s="2241"/>
      <c r="K2" s="2241"/>
      <c r="L2" s="2241"/>
      <c r="M2" s="2241"/>
      <c r="N2" s="2241"/>
      <c r="O2" s="2241"/>
      <c r="P2" s="2241"/>
      <c r="Q2" s="2241"/>
      <c r="R2" s="2241"/>
      <c r="S2" s="2241"/>
      <c r="T2" s="2241"/>
      <c r="U2" s="2241"/>
      <c r="V2" s="2241"/>
      <c r="W2" s="2241"/>
      <c r="X2" s="2241"/>
      <c r="Y2" s="2241"/>
    </row>
    <row r="3" spans="1:25" ht="21" customHeight="1" x14ac:dyDescent="0.25">
      <c r="A3" s="2049"/>
      <c r="B3" s="2049"/>
      <c r="C3" s="2049"/>
      <c r="D3" s="2049"/>
      <c r="E3" s="2049"/>
      <c r="F3" s="2049"/>
      <c r="G3" s="2049"/>
      <c r="H3" s="2049"/>
      <c r="I3" s="2049"/>
      <c r="J3" s="2049"/>
      <c r="K3" s="2049"/>
      <c r="L3" s="2049"/>
      <c r="M3" s="2049"/>
      <c r="N3" s="2049"/>
      <c r="O3" s="2049"/>
      <c r="P3" s="2049"/>
      <c r="Q3" s="2049"/>
      <c r="R3" s="2049"/>
      <c r="S3" s="2049"/>
      <c r="T3" s="2242" t="s">
        <v>580</v>
      </c>
      <c r="U3" s="2242"/>
      <c r="V3" s="2242"/>
      <c r="W3" s="2242"/>
      <c r="X3" s="2242"/>
      <c r="Y3" s="2242"/>
    </row>
    <row r="4" spans="1:25" s="2049" customFormat="1" ht="18" customHeight="1" x14ac:dyDescent="0.25">
      <c r="A4" s="2243" t="s">
        <v>25</v>
      </c>
      <c r="B4" s="2243" t="s">
        <v>26</v>
      </c>
      <c r="C4" s="2244" t="s">
        <v>27</v>
      </c>
      <c r="D4" s="2244"/>
      <c r="E4" s="2244" t="s">
        <v>544</v>
      </c>
      <c r="F4" s="2244"/>
      <c r="G4" s="2244" t="s">
        <v>65</v>
      </c>
      <c r="H4" s="2244"/>
      <c r="I4" s="2244" t="s">
        <v>29</v>
      </c>
      <c r="J4" s="2244"/>
      <c r="K4" s="2245" t="s">
        <v>14</v>
      </c>
      <c r="L4" s="2246"/>
      <c r="M4" s="2245" t="s">
        <v>429</v>
      </c>
      <c r="N4" s="2246"/>
      <c r="O4" s="2245" t="s">
        <v>441</v>
      </c>
      <c r="P4" s="2246"/>
      <c r="Q4" s="2245" t="s">
        <v>114</v>
      </c>
      <c r="R4" s="2246"/>
      <c r="S4" s="2244" t="s">
        <v>35</v>
      </c>
      <c r="T4" s="2244"/>
      <c r="U4" s="2245" t="s">
        <v>17</v>
      </c>
      <c r="V4" s="2246"/>
      <c r="W4" s="2247" t="s">
        <v>36</v>
      </c>
      <c r="X4" s="2248"/>
      <c r="Y4" s="2238" t="s">
        <v>30</v>
      </c>
    </row>
    <row r="5" spans="1:25" s="2049" customFormat="1" ht="25.5" customHeight="1" x14ac:dyDescent="0.25">
      <c r="A5" s="2243"/>
      <c r="B5" s="2243"/>
      <c r="C5" s="2048" t="s">
        <v>42</v>
      </c>
      <c r="D5" s="2048" t="s">
        <v>43</v>
      </c>
      <c r="E5" s="2048" t="s">
        <v>42</v>
      </c>
      <c r="F5" s="2048" t="s">
        <v>43</v>
      </c>
      <c r="G5" s="2048" t="s">
        <v>42</v>
      </c>
      <c r="H5" s="2048" t="s">
        <v>43</v>
      </c>
      <c r="I5" s="2048" t="s">
        <v>42</v>
      </c>
      <c r="J5" s="2048" t="s">
        <v>43</v>
      </c>
      <c r="K5" s="2048" t="s">
        <v>42</v>
      </c>
      <c r="L5" s="2048" t="s">
        <v>43</v>
      </c>
      <c r="M5" s="2048" t="s">
        <v>42</v>
      </c>
      <c r="N5" s="2048" t="s">
        <v>43</v>
      </c>
      <c r="O5" s="2048" t="s">
        <v>42</v>
      </c>
      <c r="P5" s="2048" t="s">
        <v>43</v>
      </c>
      <c r="Q5" s="2048" t="s">
        <v>42</v>
      </c>
      <c r="R5" s="2048" t="s">
        <v>43</v>
      </c>
      <c r="S5" s="33" t="s">
        <v>42</v>
      </c>
      <c r="T5" s="33" t="s">
        <v>43</v>
      </c>
      <c r="U5" s="30" t="s">
        <v>42</v>
      </c>
      <c r="V5" s="30" t="s">
        <v>43</v>
      </c>
      <c r="W5" s="30" t="s">
        <v>42</v>
      </c>
      <c r="X5" s="30" t="s">
        <v>43</v>
      </c>
      <c r="Y5" s="2239"/>
    </row>
    <row r="6" spans="1:25" ht="34.5" customHeight="1" x14ac:dyDescent="0.25">
      <c r="A6" s="12">
        <v>1409935200</v>
      </c>
      <c r="B6" s="2047" t="s">
        <v>71</v>
      </c>
      <c r="C6" s="2045">
        <v>31331</v>
      </c>
      <c r="D6" s="2044">
        <f t="shared" ref="D6:D11" si="0">0.9725*C6</f>
        <v>30469.397500000003</v>
      </c>
      <c r="E6" s="2045"/>
      <c r="F6" s="2044">
        <f>19.68*E6</f>
        <v>0</v>
      </c>
      <c r="G6" s="2045"/>
      <c r="H6" s="2044">
        <f t="shared" ref="H6:H11" si="1">28.26*G6</f>
        <v>0</v>
      </c>
      <c r="I6" s="2045">
        <v>270</v>
      </c>
      <c r="J6" s="2044">
        <f>18.82*I6</f>
        <v>5081.3999999999996</v>
      </c>
      <c r="K6" s="2045">
        <v>50</v>
      </c>
      <c r="L6" s="2044">
        <f>28.25*K6</f>
        <v>1412.5</v>
      </c>
      <c r="M6" s="2045"/>
      <c r="N6" s="2044">
        <f>M6*47.6525</f>
        <v>0</v>
      </c>
      <c r="O6" s="2045"/>
      <c r="P6" s="2044">
        <f>O6*8.9</f>
        <v>0</v>
      </c>
      <c r="Q6" s="2044"/>
      <c r="R6" s="2044">
        <f>241*Q6</f>
        <v>0</v>
      </c>
      <c r="S6" s="2045"/>
      <c r="T6" s="2045">
        <f>470*S6</f>
        <v>0</v>
      </c>
      <c r="U6" s="2045"/>
      <c r="V6" s="2045">
        <f>332*U6</f>
        <v>0</v>
      </c>
      <c r="W6" s="2045"/>
      <c r="X6" s="19">
        <f>W6*100</f>
        <v>0</v>
      </c>
      <c r="Y6" s="20">
        <f t="shared" ref="Y6:Y12" si="2">D6+F6+H6+J6+L6+N6+P6+R6+T6+V6+X6</f>
        <v>36963.297500000001</v>
      </c>
    </row>
    <row r="7" spans="1:25" ht="36.75" customHeight="1" x14ac:dyDescent="0.25">
      <c r="A7" s="12">
        <v>1984225578</v>
      </c>
      <c r="B7" s="2047" t="s">
        <v>509</v>
      </c>
      <c r="C7" s="2045">
        <v>23648</v>
      </c>
      <c r="D7" s="2044">
        <f t="shared" si="0"/>
        <v>22997.68</v>
      </c>
      <c r="E7" s="2045"/>
      <c r="F7" s="2044">
        <f t="shared" ref="F7:F11" si="3">19.68*E7</f>
        <v>0</v>
      </c>
      <c r="G7" s="2045"/>
      <c r="H7" s="2044">
        <f t="shared" si="1"/>
        <v>0</v>
      </c>
      <c r="I7" s="2045">
        <v>170</v>
      </c>
      <c r="J7" s="2044">
        <f t="shared" ref="J7:J11" si="4">18.82*I7</f>
        <v>3199.4</v>
      </c>
      <c r="K7" s="2045">
        <v>110</v>
      </c>
      <c r="L7" s="2044">
        <f t="shared" ref="L7:L11" si="5">28.25*K7</f>
        <v>3107.5</v>
      </c>
      <c r="M7" s="2045"/>
      <c r="N7" s="2044">
        <f t="shared" ref="N7:N11" si="6">M7*47.6525</f>
        <v>0</v>
      </c>
      <c r="O7" s="2045"/>
      <c r="P7" s="2044">
        <f t="shared" ref="P7:P11" si="7">O7*8.9</f>
        <v>0</v>
      </c>
      <c r="Q7" s="2044"/>
      <c r="R7" s="2044">
        <f t="shared" ref="R7:R11" si="8">241*Q7</f>
        <v>0</v>
      </c>
      <c r="S7" s="2045"/>
      <c r="T7" s="2045">
        <f t="shared" ref="T7:T9" si="9">470*S7</f>
        <v>0</v>
      </c>
      <c r="U7" s="2045"/>
      <c r="V7" s="2045">
        <f t="shared" ref="V7:V11" si="10">332*U7</f>
        <v>0</v>
      </c>
      <c r="W7" s="2045"/>
      <c r="X7" s="19">
        <f t="shared" ref="X7:X11" si="11">W7*100</f>
        <v>0</v>
      </c>
      <c r="Y7" s="20">
        <f t="shared" si="2"/>
        <v>29304.58</v>
      </c>
    </row>
    <row r="8" spans="1:25" ht="35.25" customHeight="1" x14ac:dyDescent="0.25">
      <c r="A8" s="12">
        <v>1967020280</v>
      </c>
      <c r="B8" s="2047" t="s">
        <v>427</v>
      </c>
      <c r="C8" s="2045">
        <v>23557</v>
      </c>
      <c r="D8" s="2044">
        <f t="shared" si="0"/>
        <v>22909.182499999999</v>
      </c>
      <c r="E8" s="2045"/>
      <c r="F8" s="2044">
        <f t="shared" si="3"/>
        <v>0</v>
      </c>
      <c r="G8" s="2045"/>
      <c r="H8" s="2044">
        <f t="shared" si="1"/>
        <v>0</v>
      </c>
      <c r="I8" s="2045">
        <v>1000</v>
      </c>
      <c r="J8" s="2044">
        <f t="shared" si="4"/>
        <v>18820</v>
      </c>
      <c r="K8" s="2045"/>
      <c r="L8" s="2044">
        <f t="shared" si="5"/>
        <v>0</v>
      </c>
      <c r="M8" s="2045"/>
      <c r="N8" s="2044">
        <f t="shared" si="6"/>
        <v>0</v>
      </c>
      <c r="O8" s="2045"/>
      <c r="P8" s="2044">
        <f t="shared" si="7"/>
        <v>0</v>
      </c>
      <c r="Q8" s="2044"/>
      <c r="R8" s="2044">
        <f t="shared" si="8"/>
        <v>0</v>
      </c>
      <c r="S8" s="2045"/>
      <c r="T8" s="2045">
        <f t="shared" si="9"/>
        <v>0</v>
      </c>
      <c r="U8" s="2045">
        <v>1</v>
      </c>
      <c r="V8" s="2045">
        <f t="shared" si="10"/>
        <v>332</v>
      </c>
      <c r="W8" s="2045"/>
      <c r="X8" s="19">
        <f t="shared" si="11"/>
        <v>0</v>
      </c>
      <c r="Y8" s="20">
        <f t="shared" si="2"/>
        <v>42061.182499999995</v>
      </c>
    </row>
    <row r="9" spans="1:25" ht="38.25" customHeight="1" x14ac:dyDescent="0.25">
      <c r="A9" s="12">
        <v>1984225580</v>
      </c>
      <c r="B9" s="2047" t="s">
        <v>74</v>
      </c>
      <c r="C9" s="2045">
        <v>23931</v>
      </c>
      <c r="D9" s="2044">
        <f t="shared" si="0"/>
        <v>23272.897499999999</v>
      </c>
      <c r="E9" s="2045"/>
      <c r="F9" s="2044">
        <f t="shared" si="3"/>
        <v>0</v>
      </c>
      <c r="G9" s="2045"/>
      <c r="H9" s="2044">
        <f t="shared" si="1"/>
        <v>0</v>
      </c>
      <c r="I9" s="2045">
        <v>1620</v>
      </c>
      <c r="J9" s="2044">
        <f t="shared" si="4"/>
        <v>30488.400000000001</v>
      </c>
      <c r="K9" s="2045"/>
      <c r="L9" s="2044">
        <f t="shared" si="5"/>
        <v>0</v>
      </c>
      <c r="M9" s="2045"/>
      <c r="N9" s="2044">
        <f t="shared" si="6"/>
        <v>0</v>
      </c>
      <c r="O9" s="2045"/>
      <c r="P9" s="2044">
        <f t="shared" si="7"/>
        <v>0</v>
      </c>
      <c r="Q9" s="2044"/>
      <c r="R9" s="2044">
        <f t="shared" si="8"/>
        <v>0</v>
      </c>
      <c r="S9" s="2045"/>
      <c r="T9" s="2045">
        <f t="shared" si="9"/>
        <v>0</v>
      </c>
      <c r="U9" s="2045"/>
      <c r="V9" s="2045">
        <f t="shared" si="10"/>
        <v>0</v>
      </c>
      <c r="W9" s="2045"/>
      <c r="X9" s="19">
        <f t="shared" si="11"/>
        <v>0</v>
      </c>
      <c r="Y9" s="20">
        <f t="shared" si="2"/>
        <v>53761.297500000001</v>
      </c>
    </row>
    <row r="10" spans="1:25" ht="35.25" customHeight="1" x14ac:dyDescent="0.25">
      <c r="A10" s="12">
        <v>1409935199</v>
      </c>
      <c r="C10" s="2045"/>
      <c r="D10" s="2044">
        <f t="shared" si="0"/>
        <v>0</v>
      </c>
      <c r="E10" s="2045"/>
      <c r="F10" s="2044">
        <f t="shared" si="3"/>
        <v>0</v>
      </c>
      <c r="G10" s="2045"/>
      <c r="H10" s="2044">
        <f t="shared" si="1"/>
        <v>0</v>
      </c>
      <c r="I10" s="2045"/>
      <c r="J10" s="2044">
        <f t="shared" si="4"/>
        <v>0</v>
      </c>
      <c r="K10" s="2045"/>
      <c r="L10" s="2044">
        <f t="shared" si="5"/>
        <v>0</v>
      </c>
      <c r="M10" s="2045"/>
      <c r="N10" s="2044">
        <f t="shared" si="6"/>
        <v>0</v>
      </c>
      <c r="O10" s="2045"/>
      <c r="P10" s="2044">
        <f t="shared" si="7"/>
        <v>0</v>
      </c>
      <c r="Q10" s="2044"/>
      <c r="R10" s="2044">
        <f t="shared" si="8"/>
        <v>0</v>
      </c>
      <c r="S10" s="2045"/>
      <c r="T10" s="2045">
        <f>341*S10</f>
        <v>0</v>
      </c>
      <c r="U10" s="2045"/>
      <c r="V10" s="2045">
        <f t="shared" si="10"/>
        <v>0</v>
      </c>
      <c r="W10" s="2045"/>
      <c r="X10" s="19">
        <f t="shared" si="11"/>
        <v>0</v>
      </c>
      <c r="Y10" s="20">
        <f t="shared" si="2"/>
        <v>0</v>
      </c>
    </row>
    <row r="11" spans="1:25" ht="37.5" customHeight="1" x14ac:dyDescent="0.25">
      <c r="A11" s="12"/>
      <c r="B11" s="2046"/>
      <c r="C11" s="2045"/>
      <c r="D11" s="2044">
        <f t="shared" si="0"/>
        <v>0</v>
      </c>
      <c r="E11" s="2045"/>
      <c r="F11" s="2044">
        <f t="shared" si="3"/>
        <v>0</v>
      </c>
      <c r="G11" s="2045"/>
      <c r="H11" s="2044">
        <f t="shared" si="1"/>
        <v>0</v>
      </c>
      <c r="I11" s="2045"/>
      <c r="J11" s="2044">
        <f t="shared" si="4"/>
        <v>0</v>
      </c>
      <c r="K11" s="2045"/>
      <c r="L11" s="2044">
        <f t="shared" si="5"/>
        <v>0</v>
      </c>
      <c r="M11" s="2045"/>
      <c r="N11" s="2044">
        <f t="shared" si="6"/>
        <v>0</v>
      </c>
      <c r="O11" s="2045"/>
      <c r="P11" s="2044">
        <f t="shared" si="7"/>
        <v>0</v>
      </c>
      <c r="Q11" s="2044"/>
      <c r="R11" s="2044">
        <f t="shared" si="8"/>
        <v>0</v>
      </c>
      <c r="S11" s="2045"/>
      <c r="T11" s="2045">
        <f>241*S11</f>
        <v>0</v>
      </c>
      <c r="U11" s="2045"/>
      <c r="V11" s="2045">
        <f t="shared" si="10"/>
        <v>0</v>
      </c>
      <c r="W11" s="2045"/>
      <c r="X11" s="19">
        <f t="shared" si="11"/>
        <v>0</v>
      </c>
      <c r="Y11" s="20">
        <f t="shared" si="2"/>
        <v>0</v>
      </c>
    </row>
    <row r="12" spans="1:25" ht="29.25" customHeight="1" x14ac:dyDescent="0.25">
      <c r="A12" s="2235" t="s">
        <v>31</v>
      </c>
      <c r="B12" s="2235"/>
      <c r="C12" s="18">
        <f t="shared" ref="C12:X12" si="12">SUM(C6:C11)</f>
        <v>102467</v>
      </c>
      <c r="D12" s="18">
        <f t="shared" si="12"/>
        <v>99649.157500000001</v>
      </c>
      <c r="E12" s="18">
        <f t="shared" si="12"/>
        <v>0</v>
      </c>
      <c r="F12" s="18">
        <f t="shared" si="12"/>
        <v>0</v>
      </c>
      <c r="G12" s="18">
        <f t="shared" si="12"/>
        <v>0</v>
      </c>
      <c r="H12" s="18">
        <f t="shared" si="12"/>
        <v>0</v>
      </c>
      <c r="I12" s="18">
        <f t="shared" si="12"/>
        <v>3060</v>
      </c>
      <c r="J12" s="18">
        <f t="shared" si="12"/>
        <v>57589.2</v>
      </c>
      <c r="K12" s="18">
        <f t="shared" si="12"/>
        <v>160</v>
      </c>
      <c r="L12" s="18">
        <f t="shared" si="12"/>
        <v>4520</v>
      </c>
      <c r="M12" s="18">
        <f t="shared" si="12"/>
        <v>0</v>
      </c>
      <c r="N12" s="23">
        <f t="shared" si="12"/>
        <v>0</v>
      </c>
      <c r="O12" s="18">
        <f t="shared" si="12"/>
        <v>0</v>
      </c>
      <c r="P12" s="23">
        <f t="shared" si="12"/>
        <v>0</v>
      </c>
      <c r="Q12" s="23">
        <f t="shared" si="12"/>
        <v>0</v>
      </c>
      <c r="R12" s="23">
        <f>SUM(R6:R11)</f>
        <v>0</v>
      </c>
      <c r="S12" s="23">
        <f>SUM(S6:S11)</f>
        <v>0</v>
      </c>
      <c r="T12" s="18">
        <f t="shared" si="12"/>
        <v>0</v>
      </c>
      <c r="U12" s="18">
        <f t="shared" si="12"/>
        <v>1</v>
      </c>
      <c r="V12" s="18">
        <f t="shared" si="12"/>
        <v>332</v>
      </c>
      <c r="W12" s="18">
        <f t="shared" si="12"/>
        <v>0</v>
      </c>
      <c r="X12" s="18">
        <f t="shared" si="12"/>
        <v>0</v>
      </c>
      <c r="Y12" s="20">
        <f t="shared" si="2"/>
        <v>162090.35749999998</v>
      </c>
    </row>
    <row r="14" spans="1:25" ht="43.5" customHeight="1" x14ac:dyDescent="0.25">
      <c r="A14" s="30" t="s">
        <v>32</v>
      </c>
      <c r="B14" s="2236" t="s">
        <v>27</v>
      </c>
      <c r="C14" s="2236"/>
      <c r="D14" s="30" t="s">
        <v>543</v>
      </c>
      <c r="E14" s="30" t="s">
        <v>65</v>
      </c>
      <c r="F14" s="30" t="s">
        <v>34</v>
      </c>
      <c r="G14" s="30" t="s">
        <v>14</v>
      </c>
      <c r="H14" s="469" t="s">
        <v>173</v>
      </c>
      <c r="I14" s="30" t="s">
        <v>17</v>
      </c>
      <c r="J14" s="2053" t="s">
        <v>174</v>
      </c>
      <c r="K14" s="30" t="s">
        <v>36</v>
      </c>
      <c r="L14" s="2053" t="s">
        <v>403</v>
      </c>
      <c r="M14" s="2053" t="s">
        <v>549</v>
      </c>
      <c r="N14" s="30" t="s">
        <v>442</v>
      </c>
      <c r="O14" s="2053" t="s">
        <v>114</v>
      </c>
      <c r="P14" s="30" t="s">
        <v>70</v>
      </c>
      <c r="Q14" s="2300" t="s">
        <v>479</v>
      </c>
      <c r="R14" s="2301"/>
      <c r="S14" s="2053" t="s">
        <v>401</v>
      </c>
      <c r="T14" s="2235" t="s">
        <v>46</v>
      </c>
      <c r="U14" s="2047" t="s">
        <v>176</v>
      </c>
      <c r="V14" s="2260">
        <v>13575</v>
      </c>
      <c r="W14" s="2268"/>
      <c r="X14" s="2261"/>
    </row>
    <row r="15" spans="1:25" ht="22.5" customHeight="1" x14ac:dyDescent="0.25">
      <c r="A15" s="100" t="s">
        <v>38</v>
      </c>
      <c r="B15" s="2260">
        <v>495208</v>
      </c>
      <c r="C15" s="2261"/>
      <c r="D15" s="2050">
        <v>0</v>
      </c>
      <c r="E15" s="2050">
        <v>500</v>
      </c>
      <c r="F15" s="2050">
        <v>8160</v>
      </c>
      <c r="G15" s="2050">
        <v>1200</v>
      </c>
      <c r="H15" s="2050">
        <v>34</v>
      </c>
      <c r="I15" s="2050">
        <v>57</v>
      </c>
      <c r="J15" s="2050"/>
      <c r="K15" s="2050">
        <v>86</v>
      </c>
      <c r="L15" s="2050">
        <v>12</v>
      </c>
      <c r="M15" s="2050">
        <v>11</v>
      </c>
      <c r="N15" s="2050">
        <v>0</v>
      </c>
      <c r="O15" s="2050">
        <v>0</v>
      </c>
      <c r="P15" s="2050">
        <v>100</v>
      </c>
      <c r="Q15" s="2260">
        <v>10</v>
      </c>
      <c r="R15" s="2261"/>
      <c r="S15" s="2047"/>
      <c r="T15" s="2235"/>
      <c r="U15" s="2047" t="s">
        <v>64</v>
      </c>
      <c r="V15" s="2262">
        <v>46744</v>
      </c>
      <c r="W15" s="2262"/>
      <c r="X15" s="2262"/>
    </row>
    <row r="16" spans="1:25" ht="24.75" customHeight="1" x14ac:dyDescent="0.25">
      <c r="A16" s="100" t="s">
        <v>39</v>
      </c>
      <c r="B16" s="2260"/>
      <c r="C16" s="2261"/>
      <c r="D16" s="2050"/>
      <c r="E16" s="2050"/>
      <c r="F16" s="2050"/>
      <c r="G16" s="2050"/>
      <c r="H16" s="2050"/>
      <c r="I16" s="2050"/>
      <c r="J16" s="2050"/>
      <c r="K16" s="2050"/>
      <c r="L16" s="2050"/>
      <c r="M16" s="2050"/>
      <c r="N16" s="2050"/>
      <c r="O16" s="2050"/>
      <c r="P16" s="2050"/>
      <c r="Q16" s="2262"/>
      <c r="R16" s="2262"/>
      <c r="S16" s="2050"/>
      <c r="T16" s="2254" t="s">
        <v>55</v>
      </c>
      <c r="U16" s="2254"/>
      <c r="V16" s="2267">
        <f>Y12</f>
        <v>162090.35749999998</v>
      </c>
      <c r="W16" s="2267"/>
      <c r="X16" s="2262"/>
    </row>
    <row r="17" spans="1:25" ht="28.5" customHeight="1" x14ac:dyDescent="0.25">
      <c r="A17" s="101" t="s">
        <v>44</v>
      </c>
      <c r="B17" s="2260"/>
      <c r="C17" s="2261"/>
      <c r="D17" s="2050"/>
      <c r="E17" s="2050"/>
      <c r="F17" s="2050"/>
      <c r="G17" s="2050"/>
      <c r="H17" s="2050"/>
      <c r="I17" s="2050"/>
      <c r="J17" s="2050"/>
      <c r="K17" s="2050"/>
      <c r="L17" s="2050"/>
      <c r="M17" s="2050"/>
      <c r="N17" s="2050"/>
      <c r="O17" s="2050"/>
      <c r="P17" s="2050"/>
      <c r="Q17" s="2225"/>
      <c r="R17" s="2225"/>
      <c r="S17" s="2046"/>
      <c r="T17" s="2294" t="s">
        <v>521</v>
      </c>
      <c r="U17" s="2295"/>
      <c r="V17" s="2296"/>
      <c r="W17" s="2296"/>
      <c r="X17" s="2296"/>
    </row>
    <row r="18" spans="1:25" ht="27" customHeight="1" x14ac:dyDescent="0.25">
      <c r="A18" s="100" t="s">
        <v>40</v>
      </c>
      <c r="B18" s="2264">
        <f>C12</f>
        <v>102467</v>
      </c>
      <c r="C18" s="2261"/>
      <c r="D18" s="2052">
        <f>E12</f>
        <v>0</v>
      </c>
      <c r="E18" s="2052">
        <f>G12</f>
        <v>0</v>
      </c>
      <c r="F18" s="2052">
        <f>I12</f>
        <v>3060</v>
      </c>
      <c r="G18" s="2052">
        <f>K12</f>
        <v>160</v>
      </c>
      <c r="H18" s="2050"/>
      <c r="I18" s="2052">
        <f>U12</f>
        <v>1</v>
      </c>
      <c r="J18" s="2050"/>
      <c r="K18" s="2052">
        <f>W12</f>
        <v>0</v>
      </c>
      <c r="L18" s="2050"/>
      <c r="M18" s="2052"/>
      <c r="N18" s="2052">
        <f>O12</f>
        <v>0</v>
      </c>
      <c r="O18" s="2051">
        <f>Q12</f>
        <v>0</v>
      </c>
      <c r="P18" s="2052"/>
      <c r="Q18" s="2262"/>
      <c r="R18" s="2262"/>
      <c r="S18" s="2047"/>
      <c r="T18" s="2254" t="s">
        <v>57</v>
      </c>
      <c r="U18" s="2254"/>
      <c r="V18" s="2262">
        <v>720</v>
      </c>
      <c r="W18" s="2262"/>
      <c r="X18" s="2262"/>
      <c r="Y18" s="2269"/>
    </row>
    <row r="19" spans="1:25" ht="25.5" customHeight="1" x14ac:dyDescent="0.25">
      <c r="A19" s="100" t="s">
        <v>41</v>
      </c>
      <c r="B19" s="2260">
        <f>B15+B16+B17-B18</f>
        <v>392741</v>
      </c>
      <c r="C19" s="2261"/>
      <c r="D19" s="2050">
        <f>D15+D16+D17-D18</f>
        <v>0</v>
      </c>
      <c r="E19" s="2050">
        <f t="shared" ref="E19:N19" si="13">E15+E16+E17-E18</f>
        <v>500</v>
      </c>
      <c r="F19" s="2050">
        <f t="shared" si="13"/>
        <v>5100</v>
      </c>
      <c r="G19" s="2050">
        <f t="shared" si="13"/>
        <v>1040</v>
      </c>
      <c r="H19" s="2050">
        <f t="shared" si="13"/>
        <v>34</v>
      </c>
      <c r="I19" s="2050">
        <f t="shared" si="13"/>
        <v>56</v>
      </c>
      <c r="J19" s="2050">
        <f t="shared" si="13"/>
        <v>0</v>
      </c>
      <c r="K19" s="2050">
        <f t="shared" si="13"/>
        <v>86</v>
      </c>
      <c r="L19" s="2050">
        <f t="shared" si="13"/>
        <v>12</v>
      </c>
      <c r="M19" s="2050">
        <f t="shared" si="13"/>
        <v>11</v>
      </c>
      <c r="N19" s="2050">
        <f t="shared" si="13"/>
        <v>0</v>
      </c>
      <c r="O19" s="2050">
        <f>O15+O16+O17-O18</f>
        <v>0</v>
      </c>
      <c r="P19" s="2050">
        <f t="shared" ref="P19:Q19" si="14">P15+P16+P17-P18</f>
        <v>100</v>
      </c>
      <c r="Q19" s="2260">
        <f t="shared" si="14"/>
        <v>10</v>
      </c>
      <c r="R19" s="2261"/>
      <c r="S19" s="2047">
        <f>S15+S16-S17-S18</f>
        <v>0</v>
      </c>
      <c r="T19" s="2256" t="s">
        <v>48</v>
      </c>
      <c r="U19" s="49" t="s">
        <v>58</v>
      </c>
      <c r="V19" s="2262"/>
      <c r="W19" s="2262"/>
      <c r="X19" s="2262"/>
      <c r="Y19" s="2269"/>
    </row>
    <row r="20" spans="1:25" ht="23.25" customHeight="1" x14ac:dyDescent="0.25">
      <c r="A20" s="289" t="s">
        <v>187</v>
      </c>
      <c r="B20" s="2286">
        <f>B19*0.9625</f>
        <v>378013.21250000002</v>
      </c>
      <c r="C20" s="2287"/>
      <c r="D20" s="290">
        <f>D19*19.48</f>
        <v>0</v>
      </c>
      <c r="E20" s="290">
        <f>27.97*E19</f>
        <v>13985</v>
      </c>
      <c r="F20" s="290">
        <f>18.63*F19</f>
        <v>95013</v>
      </c>
      <c r="G20" s="290">
        <f>27.9468*G19</f>
        <v>29064.671999999999</v>
      </c>
      <c r="H20" s="290">
        <f>241*H19</f>
        <v>8194</v>
      </c>
      <c r="I20" s="290">
        <f>323*I19</f>
        <v>18088</v>
      </c>
      <c r="J20" s="290">
        <f>241*J19</f>
        <v>0</v>
      </c>
      <c r="K20" s="290">
        <f>K19*100</f>
        <v>8600</v>
      </c>
      <c r="L20" s="290">
        <f>470*L19</f>
        <v>5640</v>
      </c>
      <c r="M20" s="290">
        <f>470*M19</f>
        <v>5170</v>
      </c>
      <c r="N20" s="290">
        <f>N19*8.81</f>
        <v>0</v>
      </c>
      <c r="O20" s="290">
        <f>241*O19</f>
        <v>0</v>
      </c>
      <c r="P20" s="290">
        <f>P19*48.2</f>
        <v>4820</v>
      </c>
      <c r="Q20" s="2286">
        <f>470*Q19</f>
        <v>4700</v>
      </c>
      <c r="R20" s="2287"/>
      <c r="S20" s="290">
        <f>341*S19</f>
        <v>0</v>
      </c>
      <c r="T20" s="2257"/>
      <c r="U20" s="49" t="s">
        <v>59</v>
      </c>
      <c r="V20" s="2262"/>
      <c r="W20" s="2262"/>
      <c r="X20" s="2262"/>
      <c r="Y20" s="2269"/>
    </row>
    <row r="21" spans="1:25" ht="32.25" customHeight="1" x14ac:dyDescent="0.25">
      <c r="A21" s="291" t="s">
        <v>186</v>
      </c>
      <c r="B21" s="2302">
        <f>SUM(B20:S20)</f>
        <v>571287.88450000004</v>
      </c>
      <c r="C21" s="2302"/>
      <c r="T21" s="2294" t="s">
        <v>518</v>
      </c>
      <c r="U21" s="2295"/>
      <c r="V21" s="2297"/>
      <c r="W21" s="2298"/>
      <c r="X21" s="2299"/>
      <c r="Y21" s="2269"/>
    </row>
    <row r="22" spans="1:25" ht="35.25" customHeight="1" x14ac:dyDescent="0.25">
      <c r="A22" s="1911"/>
      <c r="B22" s="2288" t="s">
        <v>49</v>
      </c>
      <c r="C22" s="2291">
        <v>283000</v>
      </c>
      <c r="D22" s="2291"/>
      <c r="E22" s="2291"/>
      <c r="F22" s="2291">
        <f>C22-D22+E22</f>
        <v>283000</v>
      </c>
      <c r="T22" s="2251" t="s">
        <v>83</v>
      </c>
      <c r="U22" s="50" t="s">
        <v>60</v>
      </c>
      <c r="V22" s="2262"/>
      <c r="W22" s="2262"/>
      <c r="X22" s="2262"/>
      <c r="Y22" s="2269"/>
    </row>
    <row r="23" spans="1:25" ht="39.75" customHeight="1" x14ac:dyDescent="0.25">
      <c r="B23" s="2289"/>
      <c r="C23" s="2292"/>
      <c r="D23" s="2292"/>
      <c r="E23" s="2292"/>
      <c r="F23" s="2292"/>
      <c r="T23" s="2252"/>
      <c r="U23" s="50" t="s">
        <v>61</v>
      </c>
      <c r="V23" s="2262"/>
      <c r="W23" s="2262"/>
      <c r="X23" s="2262"/>
      <c r="Y23" s="2269"/>
    </row>
    <row r="24" spans="1:25" ht="48" customHeight="1" x14ac:dyDescent="0.25">
      <c r="B24" s="2290"/>
      <c r="C24" s="290" t="s">
        <v>46</v>
      </c>
      <c r="D24" s="290" t="s">
        <v>50</v>
      </c>
      <c r="E24" s="290" t="s">
        <v>51</v>
      </c>
      <c r="F24" s="290" t="s">
        <v>52</v>
      </c>
      <c r="T24" s="2235" t="s">
        <v>47</v>
      </c>
      <c r="U24" s="51" t="s">
        <v>62</v>
      </c>
      <c r="V24" s="2263">
        <f>V14+V16+V17-V18-V19-V20-V22+V23-V21</f>
        <v>174945.35749999998</v>
      </c>
      <c r="W24" s="2263"/>
      <c r="X24" s="2263"/>
      <c r="Y24" s="2269"/>
    </row>
    <row r="25" spans="1:25" ht="40.5" customHeight="1" x14ac:dyDescent="0.25">
      <c r="T25" s="2235"/>
      <c r="U25" s="51" t="s">
        <v>63</v>
      </c>
      <c r="V25" s="2262">
        <f>V15+V22-V23</f>
        <v>46744</v>
      </c>
      <c r="W25" s="2262"/>
      <c r="X25" s="2262"/>
    </row>
    <row r="26" spans="1:25" ht="36" customHeight="1" x14ac:dyDescent="0.25">
      <c r="K26" s="314"/>
    </row>
    <row r="28" spans="1:25" x14ac:dyDescent="0.25">
      <c r="J28" s="14" t="s">
        <v>139</v>
      </c>
    </row>
    <row r="32" spans="1:25" x14ac:dyDescent="0.25">
      <c r="I32" s="2280"/>
      <c r="J32" s="2280"/>
      <c r="K32" s="2280"/>
      <c r="L32" s="2280"/>
    </row>
    <row r="33" spans="9:12" x14ac:dyDescent="0.25">
      <c r="I33" s="2054"/>
      <c r="J33" s="2054"/>
      <c r="K33" s="2280"/>
      <c r="L33" s="2280"/>
    </row>
  </sheetData>
  <mergeCells count="62">
    <mergeCell ref="A1:Y1"/>
    <mergeCell ref="A2:Y2"/>
    <mergeCell ref="T3:Y3"/>
    <mergeCell ref="A4:A5"/>
    <mergeCell ref="B4:B5"/>
    <mergeCell ref="C4:D4"/>
    <mergeCell ref="E4:F4"/>
    <mergeCell ref="G4:H4"/>
    <mergeCell ref="I4:J4"/>
    <mergeCell ref="K4:L4"/>
    <mergeCell ref="Y4:Y5"/>
    <mergeCell ref="M4:N4"/>
    <mergeCell ref="O4:P4"/>
    <mergeCell ref="Q4:R4"/>
    <mergeCell ref="S4:T4"/>
    <mergeCell ref="U4:V4"/>
    <mergeCell ref="W4:X4"/>
    <mergeCell ref="B16:C16"/>
    <mergeCell ref="Q16:R16"/>
    <mergeCell ref="T16:U16"/>
    <mergeCell ref="V16:X16"/>
    <mergeCell ref="A12:B12"/>
    <mergeCell ref="B14:C14"/>
    <mergeCell ref="Q14:R14"/>
    <mergeCell ref="T14:T15"/>
    <mergeCell ref="V14:X14"/>
    <mergeCell ref="B15:C15"/>
    <mergeCell ref="Q15:R15"/>
    <mergeCell ref="V15:X15"/>
    <mergeCell ref="B17:C17"/>
    <mergeCell ref="Q17:R17"/>
    <mergeCell ref="T17:U17"/>
    <mergeCell ref="V17:X17"/>
    <mergeCell ref="B18:C18"/>
    <mergeCell ref="Q18:R18"/>
    <mergeCell ref="T18:U18"/>
    <mergeCell ref="V18:X18"/>
    <mergeCell ref="Y18:Y24"/>
    <mergeCell ref="B19:C19"/>
    <mergeCell ref="Q19:R19"/>
    <mergeCell ref="T19:T20"/>
    <mergeCell ref="V19:X19"/>
    <mergeCell ref="B20:C20"/>
    <mergeCell ref="B22:B24"/>
    <mergeCell ref="C22:C23"/>
    <mergeCell ref="D22:D23"/>
    <mergeCell ref="E22:E23"/>
    <mergeCell ref="F22:F23"/>
    <mergeCell ref="Q20:R20"/>
    <mergeCell ref="V20:X20"/>
    <mergeCell ref="B21:C21"/>
    <mergeCell ref="T21:U21"/>
    <mergeCell ref="V21:X21"/>
    <mergeCell ref="I32:J32"/>
    <mergeCell ref="K32:L32"/>
    <mergeCell ref="K33:L33"/>
    <mergeCell ref="T22:T23"/>
    <mergeCell ref="V22:X22"/>
    <mergeCell ref="V23:X23"/>
    <mergeCell ref="T24:T25"/>
    <mergeCell ref="V24:X24"/>
    <mergeCell ref="V25:X25"/>
  </mergeCells>
  <pageMargins left="0.15748031496063" right="0.15748031496063" top="0" bottom="0" header="0" footer="0"/>
  <pageSetup paperSize="9" scale="46" orientation="landscape" r:id="rId1"/>
</worksheet>
</file>

<file path=xl/worksheets/sheet3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009A72B-3523-4817-8A20-4815895247CC}">
  <sheetPr>
    <pageSetUpPr fitToPage="1"/>
  </sheetPr>
  <dimension ref="A1:Y33"/>
  <sheetViews>
    <sheetView topLeftCell="D11" zoomScale="70" zoomScaleNormal="70" zoomScaleSheetLayoutView="100" zoomScalePageLayoutView="68" workbookViewId="0">
      <selection activeCell="M24" sqref="M24"/>
    </sheetView>
  </sheetViews>
  <sheetFormatPr defaultColWidth="9.140625" defaultRowHeight="15" x14ac:dyDescent="0.25"/>
  <cols>
    <col min="1" max="1" width="18.28515625" style="14" customWidth="1"/>
    <col min="2" max="2" width="10.7109375" style="14" customWidth="1"/>
    <col min="3" max="3" width="12.28515625" style="14" customWidth="1"/>
    <col min="4" max="4" width="13.140625" style="14" bestFit="1" customWidth="1"/>
    <col min="5" max="5" width="12" style="14" customWidth="1"/>
    <col min="6" max="6" width="14" style="14" bestFit="1" customWidth="1"/>
    <col min="7" max="7" width="16" style="14" bestFit="1" customWidth="1"/>
    <col min="8" max="8" width="11" style="14" bestFit="1" customWidth="1"/>
    <col min="9" max="9" width="10.5703125" style="14" bestFit="1" customWidth="1"/>
    <col min="10" max="10" width="10.5703125" style="14" customWidth="1"/>
    <col min="11" max="11" width="10.28515625" style="14" bestFit="1" customWidth="1"/>
    <col min="12" max="12" width="10.42578125" style="14" bestFit="1" customWidth="1"/>
    <col min="13" max="14" width="12" style="14" bestFit="1" customWidth="1"/>
    <col min="15" max="15" width="11" style="14" customWidth="1"/>
    <col min="16" max="16" width="12.85546875" style="14" bestFit="1" customWidth="1"/>
    <col min="17" max="18" width="9.42578125" style="14" customWidth="1"/>
    <col min="19" max="19" width="13.7109375" style="14" customWidth="1"/>
    <col min="20" max="20" width="12.140625" style="14" customWidth="1"/>
    <col min="21" max="21" width="21.7109375" style="14" customWidth="1"/>
    <col min="22" max="22" width="9.85546875" style="14" customWidth="1"/>
    <col min="23" max="23" width="10.140625" style="14" bestFit="1" customWidth="1"/>
    <col min="24" max="24" width="10.28515625" style="14" customWidth="1"/>
    <col min="25" max="25" width="15.7109375" style="14" customWidth="1"/>
    <col min="26" max="16384" width="9.140625" style="14"/>
  </cols>
  <sheetData>
    <row r="1" spans="1:25" ht="46.15" customHeight="1" x14ac:dyDescent="0.25">
      <c r="A1" s="2240" t="s">
        <v>148</v>
      </c>
      <c r="B1" s="2240"/>
      <c r="C1" s="2240"/>
      <c r="D1" s="2240"/>
      <c r="E1" s="2240"/>
      <c r="F1" s="2240"/>
      <c r="G1" s="2240"/>
      <c r="H1" s="2240"/>
      <c r="I1" s="2240"/>
      <c r="J1" s="2240"/>
      <c r="K1" s="2240"/>
      <c r="L1" s="2240"/>
      <c r="M1" s="2240"/>
      <c r="N1" s="2240"/>
      <c r="O1" s="2240"/>
      <c r="P1" s="2240"/>
      <c r="Q1" s="2240"/>
      <c r="R1" s="2240"/>
      <c r="S1" s="2240"/>
      <c r="T1" s="2240"/>
      <c r="U1" s="2240"/>
      <c r="V1" s="2240"/>
      <c r="W1" s="2240"/>
      <c r="X1" s="2240"/>
      <c r="Y1" s="2240"/>
    </row>
    <row r="2" spans="1:25" ht="21.6" customHeight="1" x14ac:dyDescent="0.25">
      <c r="A2" s="2241" t="s">
        <v>383</v>
      </c>
      <c r="B2" s="2241"/>
      <c r="C2" s="2241"/>
      <c r="D2" s="2241"/>
      <c r="E2" s="2241"/>
      <c r="F2" s="2241"/>
      <c r="G2" s="2241"/>
      <c r="H2" s="2241"/>
      <c r="I2" s="2241"/>
      <c r="J2" s="2241"/>
      <c r="K2" s="2241"/>
      <c r="L2" s="2241"/>
      <c r="M2" s="2241"/>
      <c r="N2" s="2241"/>
      <c r="O2" s="2241"/>
      <c r="P2" s="2241"/>
      <c r="Q2" s="2241"/>
      <c r="R2" s="2241"/>
      <c r="S2" s="2241"/>
      <c r="T2" s="2241"/>
      <c r="U2" s="2241"/>
      <c r="V2" s="2241"/>
      <c r="W2" s="2241"/>
      <c r="X2" s="2241"/>
      <c r="Y2" s="2241"/>
    </row>
    <row r="3" spans="1:25" ht="21" customHeight="1" x14ac:dyDescent="0.25">
      <c r="A3" s="2060"/>
      <c r="B3" s="2060"/>
      <c r="C3" s="2060"/>
      <c r="D3" s="2060"/>
      <c r="E3" s="2060"/>
      <c r="F3" s="2060"/>
      <c r="G3" s="2060"/>
      <c r="H3" s="2060"/>
      <c r="I3" s="2060"/>
      <c r="J3" s="2060"/>
      <c r="K3" s="2060"/>
      <c r="L3" s="2060"/>
      <c r="M3" s="2060"/>
      <c r="N3" s="2060"/>
      <c r="O3" s="2060"/>
      <c r="P3" s="2060"/>
      <c r="Q3" s="2060"/>
      <c r="R3" s="2060"/>
      <c r="S3" s="2060"/>
      <c r="T3" s="2242" t="s">
        <v>581</v>
      </c>
      <c r="U3" s="2242"/>
      <c r="V3" s="2242"/>
      <c r="W3" s="2242"/>
      <c r="X3" s="2242"/>
      <c r="Y3" s="2242"/>
    </row>
    <row r="4" spans="1:25" s="2060" customFormat="1" ht="18" customHeight="1" x14ac:dyDescent="0.25">
      <c r="A4" s="2243" t="s">
        <v>25</v>
      </c>
      <c r="B4" s="2243" t="s">
        <v>26</v>
      </c>
      <c r="C4" s="2244" t="s">
        <v>27</v>
      </c>
      <c r="D4" s="2244"/>
      <c r="E4" s="2244" t="s">
        <v>544</v>
      </c>
      <c r="F4" s="2244"/>
      <c r="G4" s="2244" t="s">
        <v>65</v>
      </c>
      <c r="H4" s="2244"/>
      <c r="I4" s="2244" t="s">
        <v>29</v>
      </c>
      <c r="J4" s="2244"/>
      <c r="K4" s="2245" t="s">
        <v>14</v>
      </c>
      <c r="L4" s="2246"/>
      <c r="M4" s="2245" t="s">
        <v>429</v>
      </c>
      <c r="N4" s="2246"/>
      <c r="O4" s="2245" t="s">
        <v>441</v>
      </c>
      <c r="P4" s="2246"/>
      <c r="Q4" s="2245" t="s">
        <v>114</v>
      </c>
      <c r="R4" s="2246"/>
      <c r="S4" s="2244" t="s">
        <v>35</v>
      </c>
      <c r="T4" s="2244"/>
      <c r="U4" s="2245" t="s">
        <v>17</v>
      </c>
      <c r="V4" s="2246"/>
      <c r="W4" s="2247" t="s">
        <v>36</v>
      </c>
      <c r="X4" s="2248"/>
      <c r="Y4" s="2238" t="s">
        <v>30</v>
      </c>
    </row>
    <row r="5" spans="1:25" s="2060" customFormat="1" ht="25.5" customHeight="1" x14ac:dyDescent="0.25">
      <c r="A5" s="2243"/>
      <c r="B5" s="2243"/>
      <c r="C5" s="2059" t="s">
        <v>42</v>
      </c>
      <c r="D5" s="2059" t="s">
        <v>43</v>
      </c>
      <c r="E5" s="2059" t="s">
        <v>42</v>
      </c>
      <c r="F5" s="2059" t="s">
        <v>43</v>
      </c>
      <c r="G5" s="2059" t="s">
        <v>42</v>
      </c>
      <c r="H5" s="2059" t="s">
        <v>43</v>
      </c>
      <c r="I5" s="2059" t="s">
        <v>42</v>
      </c>
      <c r="J5" s="2059" t="s">
        <v>43</v>
      </c>
      <c r="K5" s="2059" t="s">
        <v>42</v>
      </c>
      <c r="L5" s="2059" t="s">
        <v>43</v>
      </c>
      <c r="M5" s="2059" t="s">
        <v>42</v>
      </c>
      <c r="N5" s="2059" t="s">
        <v>43</v>
      </c>
      <c r="O5" s="2059" t="s">
        <v>42</v>
      </c>
      <c r="P5" s="2059" t="s">
        <v>43</v>
      </c>
      <c r="Q5" s="2059" t="s">
        <v>42</v>
      </c>
      <c r="R5" s="2059" t="s">
        <v>43</v>
      </c>
      <c r="S5" s="33" t="s">
        <v>42</v>
      </c>
      <c r="T5" s="33" t="s">
        <v>43</v>
      </c>
      <c r="U5" s="30" t="s">
        <v>42</v>
      </c>
      <c r="V5" s="30" t="s">
        <v>43</v>
      </c>
      <c r="W5" s="30" t="s">
        <v>42</v>
      </c>
      <c r="X5" s="30" t="s">
        <v>43</v>
      </c>
      <c r="Y5" s="2239"/>
    </row>
    <row r="6" spans="1:25" ht="34.5" customHeight="1" x14ac:dyDescent="0.25">
      <c r="A6" s="12">
        <v>1409935200</v>
      </c>
      <c r="B6" s="2058" t="s">
        <v>71</v>
      </c>
      <c r="C6" s="2056">
        <v>26457</v>
      </c>
      <c r="D6" s="2055">
        <f t="shared" ref="D6:D11" si="0">0.9725*C6</f>
        <v>25729.432500000003</v>
      </c>
      <c r="E6" s="2056"/>
      <c r="F6" s="2055">
        <f>19.68*E6</f>
        <v>0</v>
      </c>
      <c r="G6" s="2056">
        <v>50</v>
      </c>
      <c r="H6" s="2055">
        <f t="shared" ref="H6:H11" si="1">28.26*G6</f>
        <v>1413</v>
      </c>
      <c r="I6" s="2056">
        <v>450</v>
      </c>
      <c r="J6" s="2055">
        <f>18.82*I6</f>
        <v>8469</v>
      </c>
      <c r="K6" s="2056">
        <v>20</v>
      </c>
      <c r="L6" s="2055">
        <f>28.25*K6</f>
        <v>565</v>
      </c>
      <c r="M6" s="2056"/>
      <c r="N6" s="2055">
        <f>M6*47.6525</f>
        <v>0</v>
      </c>
      <c r="O6" s="2056"/>
      <c r="P6" s="2055">
        <f>O6*8.9</f>
        <v>0</v>
      </c>
      <c r="Q6" s="2055"/>
      <c r="R6" s="2055">
        <f>241*Q6</f>
        <v>0</v>
      </c>
      <c r="S6" s="2056"/>
      <c r="T6" s="2056">
        <f>470*S6</f>
        <v>0</v>
      </c>
      <c r="U6" s="2056"/>
      <c r="V6" s="2056">
        <f>332*U6</f>
        <v>0</v>
      </c>
      <c r="W6" s="2056"/>
      <c r="X6" s="19">
        <f>W6*100</f>
        <v>0</v>
      </c>
      <c r="Y6" s="20">
        <f t="shared" ref="Y6:Y12" si="2">D6+F6+H6+J6+L6+N6+P6+R6+T6+V6+X6</f>
        <v>36176.432500000003</v>
      </c>
    </row>
    <row r="7" spans="1:25" ht="36.75" customHeight="1" x14ac:dyDescent="0.25">
      <c r="A7" s="12">
        <v>1984225578</v>
      </c>
      <c r="B7" s="2058" t="s">
        <v>509</v>
      </c>
      <c r="C7" s="2056">
        <v>41614</v>
      </c>
      <c r="D7" s="2055">
        <f t="shared" si="0"/>
        <v>40469.614999999998</v>
      </c>
      <c r="E7" s="2056"/>
      <c r="F7" s="2055">
        <f t="shared" ref="F7:F11" si="3">19.68*E7</f>
        <v>0</v>
      </c>
      <c r="G7" s="2056"/>
      <c r="H7" s="2055">
        <f t="shared" si="1"/>
        <v>0</v>
      </c>
      <c r="I7" s="2056">
        <v>180</v>
      </c>
      <c r="J7" s="2055">
        <f t="shared" ref="J7:J11" si="4">18.82*I7</f>
        <v>3387.6</v>
      </c>
      <c r="K7" s="2056">
        <v>80</v>
      </c>
      <c r="L7" s="2055">
        <f t="shared" ref="L7:L11" si="5">28.25*K7</f>
        <v>2260</v>
      </c>
      <c r="M7" s="2056"/>
      <c r="N7" s="2055">
        <f t="shared" ref="N7:N11" si="6">M7*47.6525</f>
        <v>0</v>
      </c>
      <c r="O7" s="2056"/>
      <c r="P7" s="2055">
        <f t="shared" ref="P7:P11" si="7">O7*8.9</f>
        <v>0</v>
      </c>
      <c r="Q7" s="2055"/>
      <c r="R7" s="2055">
        <f t="shared" ref="R7:R11" si="8">241*Q7</f>
        <v>0</v>
      </c>
      <c r="S7" s="2056"/>
      <c r="T7" s="2056">
        <f t="shared" ref="T7:T9" si="9">470*S7</f>
        <v>0</v>
      </c>
      <c r="U7" s="2056"/>
      <c r="V7" s="2056">
        <f t="shared" ref="V7:V11" si="10">332*U7</f>
        <v>0</v>
      </c>
      <c r="W7" s="2056"/>
      <c r="X7" s="19">
        <f t="shared" ref="X7:X11" si="11">W7*100</f>
        <v>0</v>
      </c>
      <c r="Y7" s="20">
        <f t="shared" si="2"/>
        <v>46117.214999999997</v>
      </c>
    </row>
    <row r="8" spans="1:25" ht="35.25" customHeight="1" x14ac:dyDescent="0.25">
      <c r="A8" s="12">
        <v>1967020280</v>
      </c>
      <c r="B8" s="2058" t="s">
        <v>427</v>
      </c>
      <c r="C8" s="2056">
        <v>39522</v>
      </c>
      <c r="D8" s="2055">
        <f t="shared" si="0"/>
        <v>38435.145000000004</v>
      </c>
      <c r="E8" s="2056"/>
      <c r="F8" s="2055">
        <f t="shared" si="3"/>
        <v>0</v>
      </c>
      <c r="G8" s="2056">
        <v>40</v>
      </c>
      <c r="H8" s="2055">
        <f t="shared" si="1"/>
        <v>1130.4000000000001</v>
      </c>
      <c r="I8" s="2056">
        <v>680</v>
      </c>
      <c r="J8" s="2055">
        <f t="shared" si="4"/>
        <v>12797.6</v>
      </c>
      <c r="K8" s="2056">
        <v>10</v>
      </c>
      <c r="L8" s="2055">
        <f t="shared" si="5"/>
        <v>282.5</v>
      </c>
      <c r="M8" s="2056"/>
      <c r="N8" s="2055">
        <f t="shared" si="6"/>
        <v>0</v>
      </c>
      <c r="O8" s="2056"/>
      <c r="P8" s="2055">
        <f t="shared" si="7"/>
        <v>0</v>
      </c>
      <c r="Q8" s="2055"/>
      <c r="R8" s="2055">
        <f t="shared" si="8"/>
        <v>0</v>
      </c>
      <c r="S8" s="2056"/>
      <c r="T8" s="2056">
        <f t="shared" si="9"/>
        <v>0</v>
      </c>
      <c r="U8" s="2056"/>
      <c r="V8" s="2056">
        <f t="shared" si="10"/>
        <v>0</v>
      </c>
      <c r="W8" s="2056">
        <v>1</v>
      </c>
      <c r="X8" s="19">
        <f t="shared" si="11"/>
        <v>100</v>
      </c>
      <c r="Y8" s="20">
        <f t="shared" si="2"/>
        <v>52745.645000000004</v>
      </c>
    </row>
    <row r="9" spans="1:25" ht="38.25" customHeight="1" x14ac:dyDescent="0.25">
      <c r="A9" s="12">
        <v>1984225580</v>
      </c>
      <c r="B9" s="2058" t="s">
        <v>74</v>
      </c>
      <c r="C9" s="2056">
        <v>35769</v>
      </c>
      <c r="D9" s="2055">
        <f t="shared" si="0"/>
        <v>34785.352500000001</v>
      </c>
      <c r="E9" s="2056"/>
      <c r="F9" s="2055">
        <f t="shared" si="3"/>
        <v>0</v>
      </c>
      <c r="G9" s="2056"/>
      <c r="H9" s="2055">
        <f t="shared" si="1"/>
        <v>0</v>
      </c>
      <c r="I9" s="2056">
        <v>540</v>
      </c>
      <c r="J9" s="2055">
        <f t="shared" si="4"/>
        <v>10162.799999999999</v>
      </c>
      <c r="K9" s="2056"/>
      <c r="L9" s="2055">
        <f t="shared" si="5"/>
        <v>0</v>
      </c>
      <c r="M9" s="2056"/>
      <c r="N9" s="2055">
        <f t="shared" si="6"/>
        <v>0</v>
      </c>
      <c r="O9" s="2056"/>
      <c r="P9" s="2055">
        <f t="shared" si="7"/>
        <v>0</v>
      </c>
      <c r="Q9" s="2055"/>
      <c r="R9" s="2055">
        <f t="shared" si="8"/>
        <v>0</v>
      </c>
      <c r="S9" s="2056"/>
      <c r="T9" s="2056">
        <f t="shared" si="9"/>
        <v>0</v>
      </c>
      <c r="U9" s="2056">
        <v>8</v>
      </c>
      <c r="V9" s="2056">
        <f t="shared" si="10"/>
        <v>2656</v>
      </c>
      <c r="W9" s="2056"/>
      <c r="X9" s="19">
        <f t="shared" si="11"/>
        <v>0</v>
      </c>
      <c r="Y9" s="20">
        <f t="shared" si="2"/>
        <v>47604.152499999997</v>
      </c>
    </row>
    <row r="10" spans="1:25" ht="35.25" customHeight="1" x14ac:dyDescent="0.25">
      <c r="A10" s="12">
        <v>1409935199</v>
      </c>
      <c r="C10" s="2056">
        <v>5141</v>
      </c>
      <c r="D10" s="2055">
        <f t="shared" si="0"/>
        <v>4999.6225000000004</v>
      </c>
      <c r="E10" s="2056"/>
      <c r="F10" s="2055">
        <f t="shared" si="3"/>
        <v>0</v>
      </c>
      <c r="G10" s="2056"/>
      <c r="H10" s="2055">
        <f t="shared" si="1"/>
        <v>0</v>
      </c>
      <c r="I10" s="2056"/>
      <c r="J10" s="2055">
        <f t="shared" si="4"/>
        <v>0</v>
      </c>
      <c r="K10" s="2056"/>
      <c r="L10" s="2055">
        <f t="shared" si="5"/>
        <v>0</v>
      </c>
      <c r="M10" s="2056"/>
      <c r="N10" s="2055">
        <f t="shared" si="6"/>
        <v>0</v>
      </c>
      <c r="O10" s="2056"/>
      <c r="P10" s="2055">
        <f t="shared" si="7"/>
        <v>0</v>
      </c>
      <c r="Q10" s="2055"/>
      <c r="R10" s="2055">
        <f t="shared" si="8"/>
        <v>0</v>
      </c>
      <c r="S10" s="2056"/>
      <c r="T10" s="2056">
        <f>341*S10</f>
        <v>0</v>
      </c>
      <c r="U10" s="2056"/>
      <c r="V10" s="2056">
        <f t="shared" si="10"/>
        <v>0</v>
      </c>
      <c r="W10" s="2056"/>
      <c r="X10" s="19">
        <f t="shared" si="11"/>
        <v>0</v>
      </c>
      <c r="Y10" s="20">
        <f t="shared" si="2"/>
        <v>4999.6225000000004</v>
      </c>
    </row>
    <row r="11" spans="1:25" ht="37.5" customHeight="1" x14ac:dyDescent="0.25">
      <c r="A11" s="12"/>
      <c r="B11" s="2057"/>
      <c r="C11" s="2056"/>
      <c r="D11" s="2055">
        <f t="shared" si="0"/>
        <v>0</v>
      </c>
      <c r="E11" s="2056"/>
      <c r="F11" s="2055">
        <f t="shared" si="3"/>
        <v>0</v>
      </c>
      <c r="G11" s="2056"/>
      <c r="H11" s="2055">
        <f t="shared" si="1"/>
        <v>0</v>
      </c>
      <c r="I11" s="2056"/>
      <c r="J11" s="2055">
        <f t="shared" si="4"/>
        <v>0</v>
      </c>
      <c r="K11" s="2056"/>
      <c r="L11" s="2055">
        <f t="shared" si="5"/>
        <v>0</v>
      </c>
      <c r="M11" s="2056"/>
      <c r="N11" s="2055">
        <f t="shared" si="6"/>
        <v>0</v>
      </c>
      <c r="O11" s="2056"/>
      <c r="P11" s="2055">
        <f t="shared" si="7"/>
        <v>0</v>
      </c>
      <c r="Q11" s="2055"/>
      <c r="R11" s="2055">
        <f t="shared" si="8"/>
        <v>0</v>
      </c>
      <c r="S11" s="2056"/>
      <c r="T11" s="2056">
        <f>241*S11</f>
        <v>0</v>
      </c>
      <c r="U11" s="2056"/>
      <c r="V11" s="2056">
        <f t="shared" si="10"/>
        <v>0</v>
      </c>
      <c r="W11" s="2056"/>
      <c r="X11" s="19">
        <f t="shared" si="11"/>
        <v>0</v>
      </c>
      <c r="Y11" s="20">
        <f t="shared" si="2"/>
        <v>0</v>
      </c>
    </row>
    <row r="12" spans="1:25" ht="29.25" customHeight="1" x14ac:dyDescent="0.25">
      <c r="A12" s="2235" t="s">
        <v>31</v>
      </c>
      <c r="B12" s="2235"/>
      <c r="C12" s="18">
        <f t="shared" ref="C12:X12" si="12">SUM(C6:C11)</f>
        <v>148503</v>
      </c>
      <c r="D12" s="18">
        <f t="shared" si="12"/>
        <v>144419.16750000001</v>
      </c>
      <c r="E12" s="18">
        <f t="shared" si="12"/>
        <v>0</v>
      </c>
      <c r="F12" s="18">
        <f t="shared" si="12"/>
        <v>0</v>
      </c>
      <c r="G12" s="18">
        <f t="shared" si="12"/>
        <v>90</v>
      </c>
      <c r="H12" s="18">
        <f t="shared" si="12"/>
        <v>2543.4</v>
      </c>
      <c r="I12" s="18">
        <f t="shared" si="12"/>
        <v>1850</v>
      </c>
      <c r="J12" s="18">
        <f t="shared" si="12"/>
        <v>34817</v>
      </c>
      <c r="K12" s="18">
        <f t="shared" si="12"/>
        <v>110</v>
      </c>
      <c r="L12" s="18">
        <f t="shared" si="12"/>
        <v>3107.5</v>
      </c>
      <c r="M12" s="18">
        <f t="shared" si="12"/>
        <v>0</v>
      </c>
      <c r="N12" s="23">
        <f t="shared" si="12"/>
        <v>0</v>
      </c>
      <c r="O12" s="18">
        <f t="shared" si="12"/>
        <v>0</v>
      </c>
      <c r="P12" s="23">
        <f t="shared" si="12"/>
        <v>0</v>
      </c>
      <c r="Q12" s="23">
        <f t="shared" si="12"/>
        <v>0</v>
      </c>
      <c r="R12" s="23">
        <f>SUM(R6:R11)</f>
        <v>0</v>
      </c>
      <c r="S12" s="23">
        <f>SUM(S6:S11)</f>
        <v>0</v>
      </c>
      <c r="T12" s="18">
        <f t="shared" si="12"/>
        <v>0</v>
      </c>
      <c r="U12" s="18">
        <f t="shared" si="12"/>
        <v>8</v>
      </c>
      <c r="V12" s="18">
        <f t="shared" si="12"/>
        <v>2656</v>
      </c>
      <c r="W12" s="18">
        <f t="shared" si="12"/>
        <v>1</v>
      </c>
      <c r="X12" s="18">
        <f t="shared" si="12"/>
        <v>100</v>
      </c>
      <c r="Y12" s="20">
        <f t="shared" si="2"/>
        <v>187643.0675</v>
      </c>
    </row>
    <row r="14" spans="1:25" ht="43.5" customHeight="1" x14ac:dyDescent="0.25">
      <c r="A14" s="30" t="s">
        <v>32</v>
      </c>
      <c r="B14" s="2236" t="s">
        <v>27</v>
      </c>
      <c r="C14" s="2236"/>
      <c r="D14" s="30" t="s">
        <v>543</v>
      </c>
      <c r="E14" s="30" t="s">
        <v>65</v>
      </c>
      <c r="F14" s="30" t="s">
        <v>34</v>
      </c>
      <c r="G14" s="30" t="s">
        <v>14</v>
      </c>
      <c r="H14" s="469" t="s">
        <v>173</v>
      </c>
      <c r="I14" s="30" t="s">
        <v>17</v>
      </c>
      <c r="J14" s="2064" t="s">
        <v>174</v>
      </c>
      <c r="K14" s="30" t="s">
        <v>36</v>
      </c>
      <c r="L14" s="2064" t="s">
        <v>403</v>
      </c>
      <c r="M14" s="2064" t="s">
        <v>549</v>
      </c>
      <c r="N14" s="30" t="s">
        <v>442</v>
      </c>
      <c r="O14" s="2064" t="s">
        <v>114</v>
      </c>
      <c r="P14" s="30" t="s">
        <v>70</v>
      </c>
      <c r="Q14" s="2300" t="s">
        <v>479</v>
      </c>
      <c r="R14" s="2301"/>
      <c r="S14" s="2064" t="s">
        <v>401</v>
      </c>
      <c r="T14" s="2235" t="s">
        <v>46</v>
      </c>
      <c r="U14" s="2058" t="s">
        <v>176</v>
      </c>
      <c r="V14" s="2260">
        <v>174945</v>
      </c>
      <c r="W14" s="2268"/>
      <c r="X14" s="2261"/>
    </row>
    <row r="15" spans="1:25" ht="22.5" customHeight="1" x14ac:dyDescent="0.25">
      <c r="A15" s="100" t="s">
        <v>38</v>
      </c>
      <c r="B15" s="2260">
        <v>392741</v>
      </c>
      <c r="C15" s="2261"/>
      <c r="D15" s="2061">
        <v>0</v>
      </c>
      <c r="E15" s="2061">
        <v>500</v>
      </c>
      <c r="F15" s="2061">
        <v>5100</v>
      </c>
      <c r="G15" s="2061">
        <v>1040</v>
      </c>
      <c r="H15" s="2061">
        <v>34</v>
      </c>
      <c r="I15" s="2061">
        <v>56</v>
      </c>
      <c r="J15" s="2061"/>
      <c r="K15" s="2061">
        <v>86</v>
      </c>
      <c r="L15" s="2061">
        <v>12</v>
      </c>
      <c r="M15" s="2061">
        <v>11</v>
      </c>
      <c r="N15" s="2061">
        <v>0</v>
      </c>
      <c r="O15" s="2061">
        <v>0</v>
      </c>
      <c r="P15" s="2061">
        <v>100</v>
      </c>
      <c r="Q15" s="2260">
        <v>10</v>
      </c>
      <c r="R15" s="2261"/>
      <c r="S15" s="2058"/>
      <c r="T15" s="2235"/>
      <c r="U15" s="2058" t="s">
        <v>64</v>
      </c>
      <c r="V15" s="2262">
        <v>46744</v>
      </c>
      <c r="W15" s="2262"/>
      <c r="X15" s="2262"/>
    </row>
    <row r="16" spans="1:25" ht="24.75" customHeight="1" x14ac:dyDescent="0.25">
      <c r="A16" s="100" t="s">
        <v>39</v>
      </c>
      <c r="B16" s="2260">
        <v>104779</v>
      </c>
      <c r="C16" s="2261"/>
      <c r="D16" s="2061"/>
      <c r="E16" s="2061"/>
      <c r="F16" s="2061">
        <v>5000</v>
      </c>
      <c r="G16" s="2061"/>
      <c r="H16" s="2061"/>
      <c r="I16" s="2061"/>
      <c r="J16" s="2061"/>
      <c r="K16" s="2061"/>
      <c r="L16" s="2061"/>
      <c r="M16" s="2061"/>
      <c r="N16" s="2061"/>
      <c r="O16" s="2061"/>
      <c r="P16" s="2061"/>
      <c r="Q16" s="2262"/>
      <c r="R16" s="2262"/>
      <c r="S16" s="2061"/>
      <c r="T16" s="2254" t="s">
        <v>55</v>
      </c>
      <c r="U16" s="2254"/>
      <c r="V16" s="2267">
        <f>Y12</f>
        <v>187643.0675</v>
      </c>
      <c r="W16" s="2267"/>
      <c r="X16" s="2262"/>
    </row>
    <row r="17" spans="1:25" ht="28.5" customHeight="1" x14ac:dyDescent="0.25">
      <c r="A17" s="101" t="s">
        <v>44</v>
      </c>
      <c r="B17" s="2260"/>
      <c r="C17" s="2261"/>
      <c r="D17" s="2061"/>
      <c r="E17" s="2061"/>
      <c r="F17" s="2061"/>
      <c r="G17" s="2061"/>
      <c r="H17" s="2061"/>
      <c r="I17" s="2061"/>
      <c r="J17" s="2061"/>
      <c r="K17" s="2061"/>
      <c r="L17" s="2061"/>
      <c r="M17" s="2061"/>
      <c r="N17" s="2061"/>
      <c r="O17" s="2061"/>
      <c r="P17" s="2061"/>
      <c r="Q17" s="2225"/>
      <c r="R17" s="2225"/>
      <c r="S17" s="2057"/>
      <c r="T17" s="2294" t="s">
        <v>521</v>
      </c>
      <c r="U17" s="2295"/>
      <c r="V17" s="2296"/>
      <c r="W17" s="2296"/>
      <c r="X17" s="2296"/>
    </row>
    <row r="18" spans="1:25" ht="27" customHeight="1" x14ac:dyDescent="0.25">
      <c r="A18" s="100" t="s">
        <v>40</v>
      </c>
      <c r="B18" s="2264">
        <f>C12</f>
        <v>148503</v>
      </c>
      <c r="C18" s="2261"/>
      <c r="D18" s="2063">
        <f>E12</f>
        <v>0</v>
      </c>
      <c r="E18" s="2063">
        <f>G12</f>
        <v>90</v>
      </c>
      <c r="F18" s="2063">
        <f>I12</f>
        <v>1850</v>
      </c>
      <c r="G18" s="2063">
        <f>K12</f>
        <v>110</v>
      </c>
      <c r="H18" s="2061"/>
      <c r="I18" s="2063">
        <f>U12</f>
        <v>8</v>
      </c>
      <c r="J18" s="2061"/>
      <c r="K18" s="2063">
        <f>W12</f>
        <v>1</v>
      </c>
      <c r="L18" s="2061"/>
      <c r="M18" s="2063"/>
      <c r="N18" s="2063">
        <f>O12</f>
        <v>0</v>
      </c>
      <c r="O18" s="2062">
        <f>Q12</f>
        <v>0</v>
      </c>
      <c r="P18" s="2063"/>
      <c r="Q18" s="2262"/>
      <c r="R18" s="2262"/>
      <c r="S18" s="2058"/>
      <c r="T18" s="2254" t="s">
        <v>57</v>
      </c>
      <c r="U18" s="2254"/>
      <c r="V18" s="2262">
        <v>1170</v>
      </c>
      <c r="W18" s="2262"/>
      <c r="X18" s="2262"/>
      <c r="Y18" s="2269"/>
    </row>
    <row r="19" spans="1:25" ht="25.5" customHeight="1" x14ac:dyDescent="0.25">
      <c r="A19" s="100" t="s">
        <v>41</v>
      </c>
      <c r="B19" s="2260">
        <f>B15+B16+B17-B18</f>
        <v>349017</v>
      </c>
      <c r="C19" s="2261"/>
      <c r="D19" s="2061">
        <f>D15+D16+D17-D18</f>
        <v>0</v>
      </c>
      <c r="E19" s="2061">
        <f t="shared" ref="E19:N19" si="13">E15+E16+E17-E18</f>
        <v>410</v>
      </c>
      <c r="F19" s="2061">
        <f t="shared" si="13"/>
        <v>8250</v>
      </c>
      <c r="G19" s="2061">
        <f t="shared" si="13"/>
        <v>930</v>
      </c>
      <c r="H19" s="2061">
        <f t="shared" si="13"/>
        <v>34</v>
      </c>
      <c r="I19" s="2061">
        <f t="shared" si="13"/>
        <v>48</v>
      </c>
      <c r="J19" s="2061">
        <f t="shared" si="13"/>
        <v>0</v>
      </c>
      <c r="K19" s="2061">
        <f t="shared" si="13"/>
        <v>85</v>
      </c>
      <c r="L19" s="2061">
        <f t="shared" si="13"/>
        <v>12</v>
      </c>
      <c r="M19" s="2061">
        <f t="shared" si="13"/>
        <v>11</v>
      </c>
      <c r="N19" s="2061">
        <f t="shared" si="13"/>
        <v>0</v>
      </c>
      <c r="O19" s="2061">
        <f>O15+O16+O17-O18</f>
        <v>0</v>
      </c>
      <c r="P19" s="2061">
        <f t="shared" ref="P19:Q19" si="14">P15+P16+P17-P18</f>
        <v>100</v>
      </c>
      <c r="Q19" s="2260">
        <f t="shared" si="14"/>
        <v>10</v>
      </c>
      <c r="R19" s="2261"/>
      <c r="S19" s="2058">
        <f>S15+S16-S17-S18</f>
        <v>0</v>
      </c>
      <c r="T19" s="2256" t="s">
        <v>48</v>
      </c>
      <c r="U19" s="49" t="s">
        <v>58</v>
      </c>
      <c r="V19" s="2262">
        <v>283000</v>
      </c>
      <c r="W19" s="2262"/>
      <c r="X19" s="2262"/>
      <c r="Y19" s="2269"/>
    </row>
    <row r="20" spans="1:25" ht="23.25" customHeight="1" x14ac:dyDescent="0.25">
      <c r="A20" s="289" t="s">
        <v>187</v>
      </c>
      <c r="B20" s="2286">
        <f>B19*0.9625</f>
        <v>335928.86249999999</v>
      </c>
      <c r="C20" s="2287"/>
      <c r="D20" s="290">
        <f>D19*19.48</f>
        <v>0</v>
      </c>
      <c r="E20" s="290">
        <f>27.97*E19</f>
        <v>11467.699999999999</v>
      </c>
      <c r="F20" s="290">
        <f>18.63*F19</f>
        <v>153697.5</v>
      </c>
      <c r="G20" s="290">
        <f>27.9468*G19</f>
        <v>25990.524000000001</v>
      </c>
      <c r="H20" s="290">
        <f>241*H19</f>
        <v>8194</v>
      </c>
      <c r="I20" s="290">
        <f>323*I19</f>
        <v>15504</v>
      </c>
      <c r="J20" s="290">
        <f>241*J19</f>
        <v>0</v>
      </c>
      <c r="K20" s="290">
        <f>K19*100</f>
        <v>8500</v>
      </c>
      <c r="L20" s="290">
        <f>470*L19</f>
        <v>5640</v>
      </c>
      <c r="M20" s="290">
        <f>470*M19</f>
        <v>5170</v>
      </c>
      <c r="N20" s="290">
        <f>N19*8.81</f>
        <v>0</v>
      </c>
      <c r="O20" s="290">
        <f>241*O19</f>
        <v>0</v>
      </c>
      <c r="P20" s="290">
        <f>P19*48.2</f>
        <v>4820</v>
      </c>
      <c r="Q20" s="2286">
        <f>470*Q19</f>
        <v>4700</v>
      </c>
      <c r="R20" s="2287"/>
      <c r="S20" s="290">
        <f>341*S19</f>
        <v>0</v>
      </c>
      <c r="T20" s="2257"/>
      <c r="U20" s="49" t="s">
        <v>59</v>
      </c>
      <c r="V20" s="2262"/>
      <c r="W20" s="2262"/>
      <c r="X20" s="2262"/>
      <c r="Y20" s="2269"/>
    </row>
    <row r="21" spans="1:25" ht="32.25" customHeight="1" x14ac:dyDescent="0.25">
      <c r="A21" s="291" t="s">
        <v>186</v>
      </c>
      <c r="B21" s="2302">
        <f>SUM(B20:S20)</f>
        <v>579612.58649999998</v>
      </c>
      <c r="C21" s="2302"/>
      <c r="T21" s="2294" t="s">
        <v>518</v>
      </c>
      <c r="U21" s="2295"/>
      <c r="V21" s="2297"/>
      <c r="W21" s="2298"/>
      <c r="X21" s="2299"/>
      <c r="Y21" s="2269"/>
    </row>
    <row r="22" spans="1:25" ht="35.25" customHeight="1" x14ac:dyDescent="0.25">
      <c r="A22" s="1911"/>
      <c r="B22" s="2288" t="s">
        <v>49</v>
      </c>
      <c r="C22" s="2291">
        <v>283000</v>
      </c>
      <c r="D22" s="2291">
        <v>283000</v>
      </c>
      <c r="E22" s="2291">
        <v>194000</v>
      </c>
      <c r="F22" s="2291">
        <f>C22-D22+E22</f>
        <v>194000</v>
      </c>
      <c r="T22" s="2251" t="s">
        <v>83</v>
      </c>
      <c r="U22" s="50" t="s">
        <v>60</v>
      </c>
      <c r="V22" s="2262">
        <v>340120</v>
      </c>
      <c r="W22" s="2262"/>
      <c r="X22" s="2262"/>
      <c r="Y22" s="2269"/>
    </row>
    <row r="23" spans="1:25" ht="39.75" customHeight="1" x14ac:dyDescent="0.25">
      <c r="B23" s="2289"/>
      <c r="C23" s="2292"/>
      <c r="D23" s="2292"/>
      <c r="E23" s="2292"/>
      <c r="F23" s="2292"/>
      <c r="T23" s="2252"/>
      <c r="U23" s="50" t="s">
        <v>61</v>
      </c>
      <c r="V23" s="2262">
        <v>283000</v>
      </c>
      <c r="W23" s="2262"/>
      <c r="X23" s="2262"/>
      <c r="Y23" s="2269"/>
    </row>
    <row r="24" spans="1:25" ht="48" customHeight="1" x14ac:dyDescent="0.25">
      <c r="B24" s="2290"/>
      <c r="C24" s="290" t="s">
        <v>46</v>
      </c>
      <c r="D24" s="290" t="s">
        <v>50</v>
      </c>
      <c r="E24" s="290" t="s">
        <v>51</v>
      </c>
      <c r="F24" s="290" t="s">
        <v>52</v>
      </c>
      <c r="T24" s="2235" t="s">
        <v>47</v>
      </c>
      <c r="U24" s="51" t="s">
        <v>62</v>
      </c>
      <c r="V24" s="2263">
        <f>V14+V16+V17-V18-V19-V20-V22+V23-V21</f>
        <v>21298.067500000005</v>
      </c>
      <c r="W24" s="2263"/>
      <c r="X24" s="2263"/>
      <c r="Y24" s="2269"/>
    </row>
    <row r="25" spans="1:25" ht="40.5" customHeight="1" x14ac:dyDescent="0.25">
      <c r="T25" s="2235"/>
      <c r="U25" s="51" t="s">
        <v>63</v>
      </c>
      <c r="V25" s="2262">
        <f>V15+V22-V23</f>
        <v>103864</v>
      </c>
      <c r="W25" s="2262"/>
      <c r="X25" s="2262"/>
    </row>
    <row r="26" spans="1:25" ht="36" customHeight="1" x14ac:dyDescent="0.25">
      <c r="K26" s="314"/>
    </row>
    <row r="28" spans="1:25" x14ac:dyDescent="0.25">
      <c r="J28" s="14" t="s">
        <v>139</v>
      </c>
    </row>
    <row r="32" spans="1:25" x14ac:dyDescent="0.25">
      <c r="I32" s="2280"/>
      <c r="J32" s="2280"/>
      <c r="K32" s="2280"/>
      <c r="L32" s="2280"/>
    </row>
    <row r="33" spans="9:12" x14ac:dyDescent="0.25">
      <c r="I33" s="2065"/>
      <c r="J33" s="2065"/>
      <c r="K33" s="2280"/>
      <c r="L33" s="2280"/>
    </row>
  </sheetData>
  <mergeCells count="62">
    <mergeCell ref="A1:Y1"/>
    <mergeCell ref="A2:Y2"/>
    <mergeCell ref="T3:Y3"/>
    <mergeCell ref="A4:A5"/>
    <mergeCell ref="B4:B5"/>
    <mergeCell ref="C4:D4"/>
    <mergeCell ref="E4:F4"/>
    <mergeCell ref="G4:H4"/>
    <mergeCell ref="I4:J4"/>
    <mergeCell ref="K4:L4"/>
    <mergeCell ref="Y4:Y5"/>
    <mergeCell ref="M4:N4"/>
    <mergeCell ref="O4:P4"/>
    <mergeCell ref="Q4:R4"/>
    <mergeCell ref="S4:T4"/>
    <mergeCell ref="U4:V4"/>
    <mergeCell ref="W4:X4"/>
    <mergeCell ref="B16:C16"/>
    <mergeCell ref="Q16:R16"/>
    <mergeCell ref="T16:U16"/>
    <mergeCell ref="V16:X16"/>
    <mergeCell ref="A12:B12"/>
    <mergeCell ref="B14:C14"/>
    <mergeCell ref="Q14:R14"/>
    <mergeCell ref="T14:T15"/>
    <mergeCell ref="V14:X14"/>
    <mergeCell ref="B15:C15"/>
    <mergeCell ref="Q15:R15"/>
    <mergeCell ref="V15:X15"/>
    <mergeCell ref="B17:C17"/>
    <mergeCell ref="Q17:R17"/>
    <mergeCell ref="T17:U17"/>
    <mergeCell ref="V17:X17"/>
    <mergeCell ref="B18:C18"/>
    <mergeCell ref="Q18:R18"/>
    <mergeCell ref="T18:U18"/>
    <mergeCell ref="V18:X18"/>
    <mergeCell ref="Y18:Y24"/>
    <mergeCell ref="B19:C19"/>
    <mergeCell ref="Q19:R19"/>
    <mergeCell ref="T19:T20"/>
    <mergeCell ref="V19:X19"/>
    <mergeCell ref="B20:C20"/>
    <mergeCell ref="B22:B24"/>
    <mergeCell ref="C22:C23"/>
    <mergeCell ref="D22:D23"/>
    <mergeCell ref="E22:E23"/>
    <mergeCell ref="F22:F23"/>
    <mergeCell ref="Q20:R20"/>
    <mergeCell ref="V20:X20"/>
    <mergeCell ref="B21:C21"/>
    <mergeCell ref="T21:U21"/>
    <mergeCell ref="V21:X21"/>
    <mergeCell ref="I32:J32"/>
    <mergeCell ref="K32:L32"/>
    <mergeCell ref="K33:L33"/>
    <mergeCell ref="T22:T23"/>
    <mergeCell ref="V22:X22"/>
    <mergeCell ref="V23:X23"/>
    <mergeCell ref="T24:T25"/>
    <mergeCell ref="V24:X24"/>
    <mergeCell ref="V25:X25"/>
  </mergeCells>
  <pageMargins left="0.15748031496063" right="0.15748031496063" top="0" bottom="0" header="0" footer="0"/>
  <pageSetup paperSize="9" scale="46" orientation="landscape" r:id="rId1"/>
</worksheet>
</file>

<file path=xl/worksheets/sheet3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31C24BE-8008-4B69-835E-1FBF935B6AAE}">
  <sheetPr>
    <pageSetUpPr fitToPage="1"/>
  </sheetPr>
  <dimension ref="A1:Y33"/>
  <sheetViews>
    <sheetView topLeftCell="D13" zoomScale="70" zoomScaleNormal="70" zoomScaleSheetLayoutView="100" zoomScalePageLayoutView="68" workbookViewId="0">
      <selection activeCell="O31" sqref="O31"/>
    </sheetView>
  </sheetViews>
  <sheetFormatPr defaultColWidth="9.140625" defaultRowHeight="15" x14ac:dyDescent="0.25"/>
  <cols>
    <col min="1" max="1" width="18.28515625" style="14" customWidth="1"/>
    <col min="2" max="2" width="10.7109375" style="14" customWidth="1"/>
    <col min="3" max="3" width="12.28515625" style="14" customWidth="1"/>
    <col min="4" max="4" width="13.140625" style="14" bestFit="1" customWidth="1"/>
    <col min="5" max="5" width="12" style="14" customWidth="1"/>
    <col min="6" max="6" width="14" style="14" bestFit="1" customWidth="1"/>
    <col min="7" max="7" width="16" style="14" bestFit="1" customWidth="1"/>
    <col min="8" max="8" width="11" style="14" bestFit="1" customWidth="1"/>
    <col min="9" max="9" width="10.5703125" style="14" bestFit="1" customWidth="1"/>
    <col min="10" max="10" width="10.5703125" style="14" customWidth="1"/>
    <col min="11" max="11" width="10.28515625" style="14" bestFit="1" customWidth="1"/>
    <col min="12" max="12" width="10.42578125" style="14" bestFit="1" customWidth="1"/>
    <col min="13" max="14" width="12" style="14" bestFit="1" customWidth="1"/>
    <col min="15" max="15" width="11" style="14" customWidth="1"/>
    <col min="16" max="16" width="12.85546875" style="14" bestFit="1" customWidth="1"/>
    <col min="17" max="18" width="9.42578125" style="14" customWidth="1"/>
    <col min="19" max="19" width="13.7109375" style="14" customWidth="1"/>
    <col min="20" max="20" width="12.140625" style="14" customWidth="1"/>
    <col min="21" max="21" width="21.7109375" style="14" customWidth="1"/>
    <col min="22" max="22" width="9.85546875" style="14" customWidth="1"/>
    <col min="23" max="23" width="10.140625" style="14" bestFit="1" customWidth="1"/>
    <col min="24" max="24" width="10.28515625" style="14" customWidth="1"/>
    <col min="25" max="25" width="15.7109375" style="14" customWidth="1"/>
    <col min="26" max="16384" width="9.140625" style="14"/>
  </cols>
  <sheetData>
    <row r="1" spans="1:25" ht="46.15" customHeight="1" x14ac:dyDescent="0.25">
      <c r="A1" s="2240" t="s">
        <v>148</v>
      </c>
      <c r="B1" s="2240"/>
      <c r="C1" s="2240"/>
      <c r="D1" s="2240"/>
      <c r="E1" s="2240"/>
      <c r="F1" s="2240"/>
      <c r="G1" s="2240"/>
      <c r="H1" s="2240"/>
      <c r="I1" s="2240"/>
      <c r="J1" s="2240"/>
      <c r="K1" s="2240"/>
      <c r="L1" s="2240"/>
      <c r="M1" s="2240"/>
      <c r="N1" s="2240"/>
      <c r="O1" s="2240"/>
      <c r="P1" s="2240"/>
      <c r="Q1" s="2240"/>
      <c r="R1" s="2240"/>
      <c r="S1" s="2240"/>
      <c r="T1" s="2240"/>
      <c r="U1" s="2240"/>
      <c r="V1" s="2240"/>
      <c r="W1" s="2240"/>
      <c r="X1" s="2240"/>
      <c r="Y1" s="2240"/>
    </row>
    <row r="2" spans="1:25" ht="21.6" customHeight="1" x14ac:dyDescent="0.25">
      <c r="A2" s="2241" t="s">
        <v>383</v>
      </c>
      <c r="B2" s="2241"/>
      <c r="C2" s="2241"/>
      <c r="D2" s="2241"/>
      <c r="E2" s="2241"/>
      <c r="F2" s="2241"/>
      <c r="G2" s="2241"/>
      <c r="H2" s="2241"/>
      <c r="I2" s="2241"/>
      <c r="J2" s="2241"/>
      <c r="K2" s="2241"/>
      <c r="L2" s="2241"/>
      <c r="M2" s="2241"/>
      <c r="N2" s="2241"/>
      <c r="O2" s="2241"/>
      <c r="P2" s="2241"/>
      <c r="Q2" s="2241"/>
      <c r="R2" s="2241"/>
      <c r="S2" s="2241"/>
      <c r="T2" s="2241"/>
      <c r="U2" s="2241"/>
      <c r="V2" s="2241"/>
      <c r="W2" s="2241"/>
      <c r="X2" s="2241"/>
      <c r="Y2" s="2241"/>
    </row>
    <row r="3" spans="1:25" ht="21" customHeight="1" x14ac:dyDescent="0.25">
      <c r="A3" s="2066"/>
      <c r="B3" s="2066"/>
      <c r="C3" s="2066"/>
      <c r="D3" s="2066"/>
      <c r="E3" s="2066"/>
      <c r="F3" s="2066"/>
      <c r="G3" s="2066"/>
      <c r="H3" s="2066"/>
      <c r="I3" s="2066"/>
      <c r="J3" s="2066"/>
      <c r="K3" s="2066"/>
      <c r="L3" s="2066"/>
      <c r="M3" s="2066"/>
      <c r="N3" s="2066"/>
      <c r="O3" s="2066"/>
      <c r="P3" s="2066"/>
      <c r="Q3" s="2066"/>
      <c r="R3" s="2066"/>
      <c r="S3" s="2066"/>
      <c r="T3" s="2242" t="s">
        <v>582</v>
      </c>
      <c r="U3" s="2242"/>
      <c r="V3" s="2242"/>
      <c r="W3" s="2242"/>
      <c r="X3" s="2242"/>
      <c r="Y3" s="2242"/>
    </row>
    <row r="4" spans="1:25" s="2066" customFormat="1" ht="18" customHeight="1" x14ac:dyDescent="0.25">
      <c r="A4" s="2243" t="s">
        <v>25</v>
      </c>
      <c r="B4" s="2243" t="s">
        <v>26</v>
      </c>
      <c r="C4" s="2244" t="s">
        <v>27</v>
      </c>
      <c r="D4" s="2244"/>
      <c r="E4" s="2244" t="s">
        <v>544</v>
      </c>
      <c r="F4" s="2244"/>
      <c r="G4" s="2244" t="s">
        <v>65</v>
      </c>
      <c r="H4" s="2244"/>
      <c r="I4" s="2244" t="s">
        <v>29</v>
      </c>
      <c r="J4" s="2244"/>
      <c r="K4" s="2245" t="s">
        <v>14</v>
      </c>
      <c r="L4" s="2246"/>
      <c r="M4" s="2245" t="s">
        <v>429</v>
      </c>
      <c r="N4" s="2246"/>
      <c r="O4" s="2245" t="s">
        <v>441</v>
      </c>
      <c r="P4" s="2246"/>
      <c r="Q4" s="2245" t="s">
        <v>114</v>
      </c>
      <c r="R4" s="2246"/>
      <c r="S4" s="2244" t="s">
        <v>35</v>
      </c>
      <c r="T4" s="2244"/>
      <c r="U4" s="2245" t="s">
        <v>17</v>
      </c>
      <c r="V4" s="2246"/>
      <c r="W4" s="2247" t="s">
        <v>36</v>
      </c>
      <c r="X4" s="2248"/>
      <c r="Y4" s="2238" t="s">
        <v>30</v>
      </c>
    </row>
    <row r="5" spans="1:25" s="2066" customFormat="1" ht="25.5" customHeight="1" x14ac:dyDescent="0.25">
      <c r="A5" s="2243"/>
      <c r="B5" s="2243"/>
      <c r="C5" s="2068" t="s">
        <v>42</v>
      </c>
      <c r="D5" s="2068" t="s">
        <v>43</v>
      </c>
      <c r="E5" s="2068" t="s">
        <v>42</v>
      </c>
      <c r="F5" s="2068" t="s">
        <v>43</v>
      </c>
      <c r="G5" s="2068" t="s">
        <v>42</v>
      </c>
      <c r="H5" s="2068" t="s">
        <v>43</v>
      </c>
      <c r="I5" s="2068" t="s">
        <v>42</v>
      </c>
      <c r="J5" s="2068" t="s">
        <v>43</v>
      </c>
      <c r="K5" s="2068" t="s">
        <v>42</v>
      </c>
      <c r="L5" s="2068" t="s">
        <v>43</v>
      </c>
      <c r="M5" s="2068" t="s">
        <v>42</v>
      </c>
      <c r="N5" s="2068" t="s">
        <v>43</v>
      </c>
      <c r="O5" s="2068" t="s">
        <v>42</v>
      </c>
      <c r="P5" s="2068" t="s">
        <v>43</v>
      </c>
      <c r="Q5" s="2068" t="s">
        <v>42</v>
      </c>
      <c r="R5" s="2068" t="s">
        <v>43</v>
      </c>
      <c r="S5" s="33" t="s">
        <v>42</v>
      </c>
      <c r="T5" s="33" t="s">
        <v>43</v>
      </c>
      <c r="U5" s="30" t="s">
        <v>42</v>
      </c>
      <c r="V5" s="30" t="s">
        <v>43</v>
      </c>
      <c r="W5" s="30" t="s">
        <v>42</v>
      </c>
      <c r="X5" s="30" t="s">
        <v>43</v>
      </c>
      <c r="Y5" s="2239"/>
    </row>
    <row r="6" spans="1:25" ht="34.5" customHeight="1" x14ac:dyDescent="0.25">
      <c r="A6" s="12">
        <v>1409935200</v>
      </c>
      <c r="B6" s="2067" t="s">
        <v>71</v>
      </c>
      <c r="C6" s="2070">
        <v>29909</v>
      </c>
      <c r="D6" s="2071">
        <f t="shared" ref="D6:D11" si="0">0.9725*C6</f>
        <v>29086.502500000002</v>
      </c>
      <c r="E6" s="2070"/>
      <c r="F6" s="2071">
        <f>19.68*E6</f>
        <v>0</v>
      </c>
      <c r="G6" s="2070">
        <v>20</v>
      </c>
      <c r="H6" s="2071">
        <f t="shared" ref="H6:H11" si="1">28.26*G6</f>
        <v>565.20000000000005</v>
      </c>
      <c r="I6" s="2070">
        <v>650</v>
      </c>
      <c r="J6" s="2071">
        <f>18.82*I6</f>
        <v>12233</v>
      </c>
      <c r="K6" s="2070">
        <v>100</v>
      </c>
      <c r="L6" s="2071">
        <f>28.25*K6</f>
        <v>2825</v>
      </c>
      <c r="M6" s="2070"/>
      <c r="N6" s="2071">
        <f>M6*47.6525</f>
        <v>0</v>
      </c>
      <c r="O6" s="2070"/>
      <c r="P6" s="2071">
        <f>O6*8.9</f>
        <v>0</v>
      </c>
      <c r="Q6" s="2071"/>
      <c r="R6" s="2071">
        <f>241*Q6</f>
        <v>0</v>
      </c>
      <c r="S6" s="2070"/>
      <c r="T6" s="2070">
        <f>470*S6</f>
        <v>0</v>
      </c>
      <c r="U6" s="2070"/>
      <c r="V6" s="2070">
        <f>332*U6</f>
        <v>0</v>
      </c>
      <c r="W6" s="2070"/>
      <c r="X6" s="19">
        <f>W6*100</f>
        <v>0</v>
      </c>
      <c r="Y6" s="20">
        <f t="shared" ref="Y6:Y12" si="2">D6+F6+H6+J6+L6+N6+P6+R6+T6+V6+X6</f>
        <v>44709.702499999999</v>
      </c>
    </row>
    <row r="7" spans="1:25" ht="36.75" customHeight="1" x14ac:dyDescent="0.25">
      <c r="A7" s="12">
        <v>1984225578</v>
      </c>
      <c r="B7" s="2067" t="s">
        <v>509</v>
      </c>
      <c r="C7" s="2070">
        <v>31113</v>
      </c>
      <c r="D7" s="2071">
        <f t="shared" si="0"/>
        <v>30257.392500000002</v>
      </c>
      <c r="E7" s="2070"/>
      <c r="F7" s="2071">
        <f t="shared" ref="F7:F11" si="3">19.68*E7</f>
        <v>0</v>
      </c>
      <c r="G7" s="2070"/>
      <c r="H7" s="2071">
        <f t="shared" si="1"/>
        <v>0</v>
      </c>
      <c r="I7" s="2070">
        <v>240</v>
      </c>
      <c r="J7" s="2071">
        <f t="shared" ref="J7:J11" si="4">18.82*I7</f>
        <v>4516.8</v>
      </c>
      <c r="K7" s="2070"/>
      <c r="L7" s="2071">
        <f t="shared" ref="L7:L11" si="5">28.25*K7</f>
        <v>0</v>
      </c>
      <c r="M7" s="2070"/>
      <c r="N7" s="2071">
        <f t="shared" ref="N7:N11" si="6">M7*47.6525</f>
        <v>0</v>
      </c>
      <c r="O7" s="2070"/>
      <c r="P7" s="2071">
        <f t="shared" ref="P7:P11" si="7">O7*8.9</f>
        <v>0</v>
      </c>
      <c r="Q7" s="2071"/>
      <c r="R7" s="2071">
        <f t="shared" ref="R7:R11" si="8">241*Q7</f>
        <v>0</v>
      </c>
      <c r="S7" s="2070"/>
      <c r="T7" s="2070">
        <f t="shared" ref="T7:T9" si="9">470*S7</f>
        <v>0</v>
      </c>
      <c r="U7" s="2070">
        <v>3</v>
      </c>
      <c r="V7" s="2070">
        <f t="shared" ref="V7:V11" si="10">332*U7</f>
        <v>996</v>
      </c>
      <c r="W7" s="2070">
        <v>1</v>
      </c>
      <c r="X7" s="19">
        <f t="shared" ref="X7:X11" si="11">W7*100</f>
        <v>100</v>
      </c>
      <c r="Y7" s="20">
        <f t="shared" si="2"/>
        <v>35870.192500000005</v>
      </c>
    </row>
    <row r="8" spans="1:25" ht="35.25" customHeight="1" x14ac:dyDescent="0.25">
      <c r="A8" s="12">
        <v>1967020280</v>
      </c>
      <c r="B8" s="2067" t="s">
        <v>427</v>
      </c>
      <c r="C8" s="2070">
        <v>33624</v>
      </c>
      <c r="D8" s="2071">
        <f t="shared" si="0"/>
        <v>32699.34</v>
      </c>
      <c r="E8" s="2070"/>
      <c r="F8" s="2071">
        <f t="shared" si="3"/>
        <v>0</v>
      </c>
      <c r="G8" s="2070"/>
      <c r="H8" s="2071">
        <f t="shared" si="1"/>
        <v>0</v>
      </c>
      <c r="I8" s="2070">
        <v>810</v>
      </c>
      <c r="J8" s="2071">
        <f t="shared" si="4"/>
        <v>15244.2</v>
      </c>
      <c r="K8" s="2070">
        <v>10</v>
      </c>
      <c r="L8" s="2071">
        <f t="shared" si="5"/>
        <v>282.5</v>
      </c>
      <c r="M8" s="2070"/>
      <c r="N8" s="2071">
        <f t="shared" si="6"/>
        <v>0</v>
      </c>
      <c r="O8" s="2070"/>
      <c r="P8" s="2071">
        <f t="shared" si="7"/>
        <v>0</v>
      </c>
      <c r="Q8" s="2071"/>
      <c r="R8" s="2071">
        <f t="shared" si="8"/>
        <v>0</v>
      </c>
      <c r="S8" s="2070"/>
      <c r="T8" s="2070">
        <f t="shared" si="9"/>
        <v>0</v>
      </c>
      <c r="U8" s="2070"/>
      <c r="V8" s="2070">
        <f t="shared" si="10"/>
        <v>0</v>
      </c>
      <c r="W8" s="2070"/>
      <c r="X8" s="19">
        <f t="shared" si="11"/>
        <v>0</v>
      </c>
      <c r="Y8" s="20">
        <f t="shared" si="2"/>
        <v>48226.04</v>
      </c>
    </row>
    <row r="9" spans="1:25" ht="38.25" customHeight="1" x14ac:dyDescent="0.25">
      <c r="A9" s="12">
        <v>1984225580</v>
      </c>
      <c r="B9" s="2067" t="s">
        <v>74</v>
      </c>
      <c r="C9" s="2070">
        <v>30424</v>
      </c>
      <c r="D9" s="2071">
        <f t="shared" si="0"/>
        <v>29587.34</v>
      </c>
      <c r="E9" s="2070"/>
      <c r="F9" s="2071">
        <f t="shared" si="3"/>
        <v>0</v>
      </c>
      <c r="G9" s="2070">
        <v>10</v>
      </c>
      <c r="H9" s="2071">
        <f t="shared" si="1"/>
        <v>282.60000000000002</v>
      </c>
      <c r="I9" s="2070">
        <v>330</v>
      </c>
      <c r="J9" s="2071">
        <f t="shared" si="4"/>
        <v>6210.6</v>
      </c>
      <c r="K9" s="2070"/>
      <c r="L9" s="2071">
        <f t="shared" si="5"/>
        <v>0</v>
      </c>
      <c r="M9" s="2070"/>
      <c r="N9" s="2071">
        <f t="shared" si="6"/>
        <v>0</v>
      </c>
      <c r="O9" s="2070"/>
      <c r="P9" s="2071">
        <f t="shared" si="7"/>
        <v>0</v>
      </c>
      <c r="Q9" s="2071"/>
      <c r="R9" s="2071">
        <f t="shared" si="8"/>
        <v>0</v>
      </c>
      <c r="S9" s="2070"/>
      <c r="T9" s="2070">
        <f t="shared" si="9"/>
        <v>0</v>
      </c>
      <c r="U9" s="2070"/>
      <c r="V9" s="2070">
        <f t="shared" si="10"/>
        <v>0</v>
      </c>
      <c r="W9" s="2070"/>
      <c r="X9" s="19">
        <f t="shared" si="11"/>
        <v>0</v>
      </c>
      <c r="Y9" s="20">
        <f t="shared" si="2"/>
        <v>36080.54</v>
      </c>
    </row>
    <row r="10" spans="1:25" ht="35.25" customHeight="1" x14ac:dyDescent="0.25">
      <c r="A10" s="12">
        <v>1409935199</v>
      </c>
      <c r="C10" s="2070"/>
      <c r="D10" s="2071">
        <f t="shared" si="0"/>
        <v>0</v>
      </c>
      <c r="E10" s="2070"/>
      <c r="F10" s="2071">
        <f t="shared" si="3"/>
        <v>0</v>
      </c>
      <c r="G10" s="2070"/>
      <c r="H10" s="2071">
        <f t="shared" si="1"/>
        <v>0</v>
      </c>
      <c r="I10" s="2070"/>
      <c r="J10" s="2071">
        <f t="shared" si="4"/>
        <v>0</v>
      </c>
      <c r="K10" s="2070"/>
      <c r="L10" s="2071">
        <f t="shared" si="5"/>
        <v>0</v>
      </c>
      <c r="M10" s="2070"/>
      <c r="N10" s="2071">
        <f t="shared" si="6"/>
        <v>0</v>
      </c>
      <c r="O10" s="2070"/>
      <c r="P10" s="2071">
        <f t="shared" si="7"/>
        <v>0</v>
      </c>
      <c r="Q10" s="2071"/>
      <c r="R10" s="2071">
        <f t="shared" si="8"/>
        <v>0</v>
      </c>
      <c r="S10" s="2070"/>
      <c r="T10" s="2070">
        <f>341*S10</f>
        <v>0</v>
      </c>
      <c r="U10" s="2070"/>
      <c r="V10" s="2070">
        <f t="shared" si="10"/>
        <v>0</v>
      </c>
      <c r="W10" s="2070"/>
      <c r="X10" s="19">
        <f t="shared" si="11"/>
        <v>0</v>
      </c>
      <c r="Y10" s="20">
        <f t="shared" si="2"/>
        <v>0</v>
      </c>
    </row>
    <row r="11" spans="1:25" ht="37.5" customHeight="1" x14ac:dyDescent="0.25">
      <c r="A11" s="12"/>
      <c r="B11" s="2069"/>
      <c r="C11" s="2070"/>
      <c r="D11" s="2071">
        <f t="shared" si="0"/>
        <v>0</v>
      </c>
      <c r="E11" s="2070"/>
      <c r="F11" s="2071">
        <f t="shared" si="3"/>
        <v>0</v>
      </c>
      <c r="G11" s="2070"/>
      <c r="H11" s="2071">
        <f t="shared" si="1"/>
        <v>0</v>
      </c>
      <c r="I11" s="2070"/>
      <c r="J11" s="2071">
        <f t="shared" si="4"/>
        <v>0</v>
      </c>
      <c r="K11" s="2070"/>
      <c r="L11" s="2071">
        <f t="shared" si="5"/>
        <v>0</v>
      </c>
      <c r="M11" s="2070"/>
      <c r="N11" s="2071">
        <f t="shared" si="6"/>
        <v>0</v>
      </c>
      <c r="O11" s="2070"/>
      <c r="P11" s="2071">
        <f t="shared" si="7"/>
        <v>0</v>
      </c>
      <c r="Q11" s="2071"/>
      <c r="R11" s="2071">
        <f t="shared" si="8"/>
        <v>0</v>
      </c>
      <c r="S11" s="2070"/>
      <c r="T11" s="2070">
        <f>241*S11</f>
        <v>0</v>
      </c>
      <c r="U11" s="2070"/>
      <c r="V11" s="2070">
        <f t="shared" si="10"/>
        <v>0</v>
      </c>
      <c r="W11" s="2070"/>
      <c r="X11" s="19">
        <f t="shared" si="11"/>
        <v>0</v>
      </c>
      <c r="Y11" s="20">
        <f t="shared" si="2"/>
        <v>0</v>
      </c>
    </row>
    <row r="12" spans="1:25" ht="29.25" customHeight="1" x14ac:dyDescent="0.25">
      <c r="A12" s="2235" t="s">
        <v>31</v>
      </c>
      <c r="B12" s="2235"/>
      <c r="C12" s="18">
        <f t="shared" ref="C12:X12" si="12">SUM(C6:C11)</f>
        <v>125070</v>
      </c>
      <c r="D12" s="18">
        <f t="shared" si="12"/>
        <v>121630.575</v>
      </c>
      <c r="E12" s="18">
        <f t="shared" si="12"/>
        <v>0</v>
      </c>
      <c r="F12" s="18">
        <f t="shared" si="12"/>
        <v>0</v>
      </c>
      <c r="G12" s="18">
        <f t="shared" si="12"/>
        <v>30</v>
      </c>
      <c r="H12" s="18">
        <f t="shared" si="12"/>
        <v>847.80000000000007</v>
      </c>
      <c r="I12" s="18">
        <f t="shared" si="12"/>
        <v>2030</v>
      </c>
      <c r="J12" s="18">
        <f t="shared" si="12"/>
        <v>38204.6</v>
      </c>
      <c r="K12" s="18">
        <f t="shared" si="12"/>
        <v>110</v>
      </c>
      <c r="L12" s="18">
        <f t="shared" si="12"/>
        <v>3107.5</v>
      </c>
      <c r="M12" s="18">
        <f t="shared" si="12"/>
        <v>0</v>
      </c>
      <c r="N12" s="23">
        <f t="shared" si="12"/>
        <v>0</v>
      </c>
      <c r="O12" s="18">
        <f t="shared" si="12"/>
        <v>0</v>
      </c>
      <c r="P12" s="23">
        <f t="shared" si="12"/>
        <v>0</v>
      </c>
      <c r="Q12" s="23">
        <f t="shared" si="12"/>
        <v>0</v>
      </c>
      <c r="R12" s="23">
        <f>SUM(R6:R11)</f>
        <v>0</v>
      </c>
      <c r="S12" s="23">
        <f>SUM(S6:S11)</f>
        <v>0</v>
      </c>
      <c r="T12" s="18">
        <f t="shared" si="12"/>
        <v>0</v>
      </c>
      <c r="U12" s="18">
        <f t="shared" si="12"/>
        <v>3</v>
      </c>
      <c r="V12" s="18">
        <f t="shared" si="12"/>
        <v>996</v>
      </c>
      <c r="W12" s="18">
        <f t="shared" si="12"/>
        <v>1</v>
      </c>
      <c r="X12" s="18">
        <f t="shared" si="12"/>
        <v>100</v>
      </c>
      <c r="Y12" s="20">
        <f t="shared" si="2"/>
        <v>164886.47500000001</v>
      </c>
    </row>
    <row r="14" spans="1:25" ht="43.5" customHeight="1" x14ac:dyDescent="0.25">
      <c r="A14" s="30" t="s">
        <v>32</v>
      </c>
      <c r="B14" s="2236" t="s">
        <v>27</v>
      </c>
      <c r="C14" s="2236"/>
      <c r="D14" s="30" t="s">
        <v>543</v>
      </c>
      <c r="E14" s="30" t="s">
        <v>65</v>
      </c>
      <c r="F14" s="30" t="s">
        <v>34</v>
      </c>
      <c r="G14" s="30" t="s">
        <v>14</v>
      </c>
      <c r="H14" s="469" t="s">
        <v>173</v>
      </c>
      <c r="I14" s="30" t="s">
        <v>17</v>
      </c>
      <c r="J14" s="2075" t="s">
        <v>174</v>
      </c>
      <c r="K14" s="30" t="s">
        <v>36</v>
      </c>
      <c r="L14" s="2075" t="s">
        <v>403</v>
      </c>
      <c r="M14" s="2075" t="s">
        <v>549</v>
      </c>
      <c r="N14" s="30" t="s">
        <v>442</v>
      </c>
      <c r="O14" s="2075" t="s">
        <v>114</v>
      </c>
      <c r="P14" s="30" t="s">
        <v>70</v>
      </c>
      <c r="Q14" s="2300" t="s">
        <v>479</v>
      </c>
      <c r="R14" s="2301"/>
      <c r="S14" s="2075" t="s">
        <v>401</v>
      </c>
      <c r="T14" s="2235" t="s">
        <v>46</v>
      </c>
      <c r="U14" s="2067" t="s">
        <v>176</v>
      </c>
      <c r="V14" s="2260">
        <v>21298</v>
      </c>
      <c r="W14" s="2268"/>
      <c r="X14" s="2261"/>
    </row>
    <row r="15" spans="1:25" ht="22.5" customHeight="1" x14ac:dyDescent="0.25">
      <c r="A15" s="100" t="s">
        <v>38</v>
      </c>
      <c r="B15" s="2260">
        <v>349017</v>
      </c>
      <c r="C15" s="2261"/>
      <c r="D15" s="2072">
        <v>0</v>
      </c>
      <c r="E15" s="2072">
        <v>410</v>
      </c>
      <c r="F15" s="2072">
        <v>8250</v>
      </c>
      <c r="G15" s="2072">
        <v>930</v>
      </c>
      <c r="H15" s="2072">
        <v>34</v>
      </c>
      <c r="I15" s="2072">
        <v>48</v>
      </c>
      <c r="J15" s="2072"/>
      <c r="K15" s="2072">
        <v>85</v>
      </c>
      <c r="L15" s="2072">
        <v>12</v>
      </c>
      <c r="M15" s="2072">
        <v>11</v>
      </c>
      <c r="N15" s="2072">
        <v>0</v>
      </c>
      <c r="O15" s="2072">
        <v>0</v>
      </c>
      <c r="P15" s="2072">
        <v>100</v>
      </c>
      <c r="Q15" s="2260">
        <v>10</v>
      </c>
      <c r="R15" s="2261"/>
      <c r="S15" s="2067"/>
      <c r="T15" s="2235"/>
      <c r="U15" s="2067" t="s">
        <v>64</v>
      </c>
      <c r="V15" s="2262">
        <v>103864</v>
      </c>
      <c r="W15" s="2262"/>
      <c r="X15" s="2262"/>
    </row>
    <row r="16" spans="1:25" ht="24.75" customHeight="1" x14ac:dyDescent="0.25">
      <c r="A16" s="100" t="s">
        <v>39</v>
      </c>
      <c r="B16" s="2260">
        <v>124675</v>
      </c>
      <c r="C16" s="2261"/>
      <c r="D16" s="2072"/>
      <c r="E16" s="2072"/>
      <c r="F16" s="2072"/>
      <c r="G16" s="2072"/>
      <c r="H16" s="2072"/>
      <c r="I16" s="2072"/>
      <c r="J16" s="2072"/>
      <c r="K16" s="2072"/>
      <c r="L16" s="2072"/>
      <c r="M16" s="2072"/>
      <c r="N16" s="2072"/>
      <c r="O16" s="2072"/>
      <c r="P16" s="2072"/>
      <c r="Q16" s="2262"/>
      <c r="R16" s="2262"/>
      <c r="S16" s="2072"/>
      <c r="T16" s="2254" t="s">
        <v>55</v>
      </c>
      <c r="U16" s="2254"/>
      <c r="V16" s="2267">
        <f>Y12</f>
        <v>164886.47500000001</v>
      </c>
      <c r="W16" s="2267"/>
      <c r="X16" s="2262"/>
    </row>
    <row r="17" spans="1:25" ht="28.5" customHeight="1" x14ac:dyDescent="0.25">
      <c r="A17" s="101" t="s">
        <v>44</v>
      </c>
      <c r="B17" s="2260"/>
      <c r="C17" s="2261"/>
      <c r="D17" s="2072"/>
      <c r="E17" s="2072"/>
      <c r="F17" s="2072"/>
      <c r="G17" s="2072"/>
      <c r="H17" s="2072"/>
      <c r="I17" s="2072"/>
      <c r="J17" s="2072"/>
      <c r="K17" s="2072"/>
      <c r="L17" s="2072"/>
      <c r="M17" s="2072"/>
      <c r="N17" s="2072"/>
      <c r="O17" s="2072"/>
      <c r="P17" s="2072"/>
      <c r="Q17" s="2225"/>
      <c r="R17" s="2225"/>
      <c r="S17" s="2069"/>
      <c r="T17" s="2294" t="s">
        <v>521</v>
      </c>
      <c r="U17" s="2295"/>
      <c r="V17" s="2296">
        <v>620</v>
      </c>
      <c r="W17" s="2296"/>
      <c r="X17" s="2296"/>
    </row>
    <row r="18" spans="1:25" ht="27" customHeight="1" x14ac:dyDescent="0.25">
      <c r="A18" s="100" t="s">
        <v>40</v>
      </c>
      <c r="B18" s="2264">
        <f>C12</f>
        <v>125070</v>
      </c>
      <c r="C18" s="2261"/>
      <c r="D18" s="2073">
        <f>E12</f>
        <v>0</v>
      </c>
      <c r="E18" s="2073">
        <f>G12</f>
        <v>30</v>
      </c>
      <c r="F18" s="2073">
        <f>I12</f>
        <v>2030</v>
      </c>
      <c r="G18" s="2073">
        <f>K12</f>
        <v>110</v>
      </c>
      <c r="H18" s="2072"/>
      <c r="I18" s="2073">
        <f>U12</f>
        <v>3</v>
      </c>
      <c r="J18" s="2072"/>
      <c r="K18" s="2073">
        <f>W12</f>
        <v>1</v>
      </c>
      <c r="L18" s="2072"/>
      <c r="M18" s="2073"/>
      <c r="N18" s="2073">
        <f>O12</f>
        <v>0</v>
      </c>
      <c r="O18" s="2074">
        <f>Q12</f>
        <v>0</v>
      </c>
      <c r="P18" s="2073"/>
      <c r="Q18" s="2262"/>
      <c r="R18" s="2262"/>
      <c r="S18" s="2067"/>
      <c r="T18" s="2254" t="s">
        <v>57</v>
      </c>
      <c r="U18" s="2254"/>
      <c r="V18" s="2262"/>
      <c r="W18" s="2262"/>
      <c r="X18" s="2262"/>
      <c r="Y18" s="2269"/>
    </row>
    <row r="19" spans="1:25" ht="25.5" customHeight="1" x14ac:dyDescent="0.25">
      <c r="A19" s="100" t="s">
        <v>41</v>
      </c>
      <c r="B19" s="2260">
        <f>B15+B16+B17-B18</f>
        <v>348622</v>
      </c>
      <c r="C19" s="2261"/>
      <c r="D19" s="2072">
        <f>D15+D16+D17-D18</f>
        <v>0</v>
      </c>
      <c r="E19" s="2072">
        <f t="shared" ref="E19:N19" si="13">E15+E16+E17-E18</f>
        <v>380</v>
      </c>
      <c r="F19" s="2072">
        <f t="shared" si="13"/>
        <v>6220</v>
      </c>
      <c r="G19" s="2072">
        <f t="shared" si="13"/>
        <v>820</v>
      </c>
      <c r="H19" s="2072">
        <f t="shared" si="13"/>
        <v>34</v>
      </c>
      <c r="I19" s="2072">
        <f t="shared" si="13"/>
        <v>45</v>
      </c>
      <c r="J19" s="2072">
        <f t="shared" si="13"/>
        <v>0</v>
      </c>
      <c r="K19" s="2072">
        <f t="shared" si="13"/>
        <v>84</v>
      </c>
      <c r="L19" s="2072">
        <f t="shared" si="13"/>
        <v>12</v>
      </c>
      <c r="M19" s="2072">
        <f t="shared" si="13"/>
        <v>11</v>
      </c>
      <c r="N19" s="2072">
        <f t="shared" si="13"/>
        <v>0</v>
      </c>
      <c r="O19" s="2072">
        <f>O15+O16+O17-O18</f>
        <v>0</v>
      </c>
      <c r="P19" s="2072">
        <f t="shared" ref="P19:Q19" si="14">P15+P16+P17-P18</f>
        <v>100</v>
      </c>
      <c r="Q19" s="2260">
        <f t="shared" si="14"/>
        <v>10</v>
      </c>
      <c r="R19" s="2261"/>
      <c r="S19" s="2067">
        <f>S15+S16-S17-S18</f>
        <v>0</v>
      </c>
      <c r="T19" s="2256" t="s">
        <v>48</v>
      </c>
      <c r="U19" s="49" t="s">
        <v>58</v>
      </c>
      <c r="V19" s="2262">
        <v>194000</v>
      </c>
      <c r="W19" s="2262"/>
      <c r="X19" s="2262"/>
      <c r="Y19" s="2269"/>
    </row>
    <row r="20" spans="1:25" ht="23.25" customHeight="1" x14ac:dyDescent="0.25">
      <c r="A20" s="289" t="s">
        <v>187</v>
      </c>
      <c r="B20" s="2286">
        <f>B19*0.9625</f>
        <v>335548.67499999999</v>
      </c>
      <c r="C20" s="2287"/>
      <c r="D20" s="290">
        <f>D19*19.48</f>
        <v>0</v>
      </c>
      <c r="E20" s="290">
        <f>27.97*E19</f>
        <v>10628.6</v>
      </c>
      <c r="F20" s="290">
        <f>18.63*F19</f>
        <v>115878.59999999999</v>
      </c>
      <c r="G20" s="290">
        <f>27.9468*G19</f>
        <v>22916.376</v>
      </c>
      <c r="H20" s="290">
        <f>241*H19</f>
        <v>8194</v>
      </c>
      <c r="I20" s="290">
        <f>323*I19</f>
        <v>14535</v>
      </c>
      <c r="J20" s="290">
        <f>241*J19</f>
        <v>0</v>
      </c>
      <c r="K20" s="290">
        <f>K19*100</f>
        <v>8400</v>
      </c>
      <c r="L20" s="290">
        <f>470*L19</f>
        <v>5640</v>
      </c>
      <c r="M20" s="290">
        <f>470*M19</f>
        <v>5170</v>
      </c>
      <c r="N20" s="290">
        <f>N19*8.81</f>
        <v>0</v>
      </c>
      <c r="O20" s="290">
        <f>241*O19</f>
        <v>0</v>
      </c>
      <c r="P20" s="290">
        <f>P19*48.2</f>
        <v>4820</v>
      </c>
      <c r="Q20" s="2286">
        <f>470*Q19</f>
        <v>4700</v>
      </c>
      <c r="R20" s="2287"/>
      <c r="S20" s="290">
        <f>341*S19</f>
        <v>0</v>
      </c>
      <c r="T20" s="2257"/>
      <c r="U20" s="49" t="s">
        <v>59</v>
      </c>
      <c r="V20" s="2262"/>
      <c r="W20" s="2262"/>
      <c r="X20" s="2262"/>
      <c r="Y20" s="2269"/>
    </row>
    <row r="21" spans="1:25" ht="32.25" customHeight="1" x14ac:dyDescent="0.25">
      <c r="A21" s="291" t="s">
        <v>186</v>
      </c>
      <c r="B21" s="2302">
        <f>SUM(B20:S20)</f>
        <v>536431.25099999993</v>
      </c>
      <c r="C21" s="2302"/>
      <c r="T21" s="2294" t="s">
        <v>518</v>
      </c>
      <c r="U21" s="2295"/>
      <c r="V21" s="2297"/>
      <c r="W21" s="2298"/>
      <c r="X21" s="2299"/>
      <c r="Y21" s="2269"/>
    </row>
    <row r="22" spans="1:25" ht="35.25" customHeight="1" x14ac:dyDescent="0.25">
      <c r="A22" s="1911"/>
      <c r="B22" s="2288" t="s">
        <v>49</v>
      </c>
      <c r="C22" s="2291">
        <v>194000</v>
      </c>
      <c r="D22" s="2291">
        <v>194000</v>
      </c>
      <c r="E22" s="2291">
        <v>120000</v>
      </c>
      <c r="F22" s="2291">
        <f>C22-D22+E22</f>
        <v>120000</v>
      </c>
      <c r="T22" s="2251" t="s">
        <v>83</v>
      </c>
      <c r="U22" s="50" t="s">
        <v>60</v>
      </c>
      <c r="V22" s="2262">
        <v>161780</v>
      </c>
      <c r="W22" s="2262"/>
      <c r="X22" s="2262"/>
      <c r="Y22" s="2269"/>
    </row>
    <row r="23" spans="1:25" ht="39.75" customHeight="1" x14ac:dyDescent="0.25">
      <c r="B23" s="2289"/>
      <c r="C23" s="2292"/>
      <c r="D23" s="2292"/>
      <c r="E23" s="2292"/>
      <c r="F23" s="2292"/>
      <c r="T23" s="2252"/>
      <c r="U23" s="50" t="s">
        <v>61</v>
      </c>
      <c r="V23" s="2262">
        <v>251000</v>
      </c>
      <c r="W23" s="2262"/>
      <c r="X23" s="2262"/>
      <c r="Y23" s="2269"/>
    </row>
    <row r="24" spans="1:25" ht="48" customHeight="1" x14ac:dyDescent="0.25">
      <c r="B24" s="2290"/>
      <c r="C24" s="290" t="s">
        <v>46</v>
      </c>
      <c r="D24" s="290" t="s">
        <v>50</v>
      </c>
      <c r="E24" s="290" t="s">
        <v>51</v>
      </c>
      <c r="F24" s="290" t="s">
        <v>52</v>
      </c>
      <c r="T24" s="2235" t="s">
        <v>47</v>
      </c>
      <c r="U24" s="51" t="s">
        <v>62</v>
      </c>
      <c r="V24" s="2263">
        <f>V14+V16+V17-V18-V19-V20-V22+V23-V21</f>
        <v>82024.475000000006</v>
      </c>
      <c r="W24" s="2263"/>
      <c r="X24" s="2263"/>
      <c r="Y24" s="2269"/>
    </row>
    <row r="25" spans="1:25" ht="40.5" customHeight="1" x14ac:dyDescent="0.25">
      <c r="T25" s="2235"/>
      <c r="U25" s="51" t="s">
        <v>63</v>
      </c>
      <c r="V25" s="2262">
        <f>V15+V22-V23</f>
        <v>14644</v>
      </c>
      <c r="W25" s="2262"/>
      <c r="X25" s="2262"/>
    </row>
    <row r="26" spans="1:25" ht="36" customHeight="1" x14ac:dyDescent="0.25">
      <c r="K26" s="314"/>
    </row>
    <row r="28" spans="1:25" x14ac:dyDescent="0.25">
      <c r="J28" s="14" t="s">
        <v>139</v>
      </c>
    </row>
    <row r="32" spans="1:25" x14ac:dyDescent="0.25">
      <c r="I32" s="2280"/>
      <c r="J32" s="2280"/>
      <c r="K32" s="2280"/>
      <c r="L32" s="2280"/>
    </row>
    <row r="33" spans="9:12" x14ac:dyDescent="0.25">
      <c r="I33" s="2076"/>
      <c r="J33" s="2076"/>
      <c r="K33" s="2280"/>
      <c r="L33" s="2280"/>
    </row>
  </sheetData>
  <mergeCells count="62">
    <mergeCell ref="I32:J32"/>
    <mergeCell ref="K32:L32"/>
    <mergeCell ref="K33:L33"/>
    <mergeCell ref="T22:T23"/>
    <mergeCell ref="V22:X22"/>
    <mergeCell ref="V23:X23"/>
    <mergeCell ref="T24:T25"/>
    <mergeCell ref="V24:X24"/>
    <mergeCell ref="V25:X25"/>
    <mergeCell ref="Y18:Y24"/>
    <mergeCell ref="B19:C19"/>
    <mergeCell ref="Q19:R19"/>
    <mergeCell ref="T19:T20"/>
    <mergeCell ref="V19:X19"/>
    <mergeCell ref="B20:C20"/>
    <mergeCell ref="B22:B24"/>
    <mergeCell ref="C22:C23"/>
    <mergeCell ref="D22:D23"/>
    <mergeCell ref="E22:E23"/>
    <mergeCell ref="F22:F23"/>
    <mergeCell ref="Q20:R20"/>
    <mergeCell ref="V20:X20"/>
    <mergeCell ref="B21:C21"/>
    <mergeCell ref="T21:U21"/>
    <mergeCell ref="V21:X21"/>
    <mergeCell ref="B17:C17"/>
    <mergeCell ref="Q17:R17"/>
    <mergeCell ref="T17:U17"/>
    <mergeCell ref="V17:X17"/>
    <mergeCell ref="B18:C18"/>
    <mergeCell ref="Q18:R18"/>
    <mergeCell ref="T18:U18"/>
    <mergeCell ref="V18:X18"/>
    <mergeCell ref="W4:X4"/>
    <mergeCell ref="B16:C16"/>
    <mergeCell ref="Q16:R16"/>
    <mergeCell ref="T16:U16"/>
    <mergeCell ref="V16:X16"/>
    <mergeCell ref="A12:B12"/>
    <mergeCell ref="B14:C14"/>
    <mergeCell ref="Q14:R14"/>
    <mergeCell ref="T14:T15"/>
    <mergeCell ref="V14:X14"/>
    <mergeCell ref="B15:C15"/>
    <mergeCell ref="Q15:R15"/>
    <mergeCell ref="V15:X15"/>
    <mergeCell ref="A1:Y1"/>
    <mergeCell ref="A2:Y2"/>
    <mergeCell ref="T3:Y3"/>
    <mergeCell ref="A4:A5"/>
    <mergeCell ref="B4:B5"/>
    <mergeCell ref="C4:D4"/>
    <mergeCell ref="E4:F4"/>
    <mergeCell ref="G4:H4"/>
    <mergeCell ref="I4:J4"/>
    <mergeCell ref="K4:L4"/>
    <mergeCell ref="Y4:Y5"/>
    <mergeCell ref="M4:N4"/>
    <mergeCell ref="O4:P4"/>
    <mergeCell ref="Q4:R4"/>
    <mergeCell ref="S4:T4"/>
    <mergeCell ref="U4:V4"/>
  </mergeCells>
  <pageMargins left="0.15748031496063" right="0.15748031496063" top="0" bottom="0" header="0" footer="0"/>
  <pageSetup paperSize="9" scale="46" orientation="landscape" r:id="rId1"/>
</worksheet>
</file>

<file path=xl/worksheets/sheet3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D344B28-5A8A-4DC1-AB0D-0B789346CD84}">
  <sheetPr>
    <pageSetUpPr fitToPage="1"/>
  </sheetPr>
  <dimension ref="A1:Y33"/>
  <sheetViews>
    <sheetView topLeftCell="A10" zoomScale="70" zoomScaleNormal="70" zoomScaleSheetLayoutView="100" zoomScalePageLayoutView="68" workbookViewId="0">
      <selection activeCell="L27" sqref="L27"/>
    </sheetView>
  </sheetViews>
  <sheetFormatPr defaultColWidth="9.140625" defaultRowHeight="15" x14ac:dyDescent="0.25"/>
  <cols>
    <col min="1" max="1" width="18.28515625" style="14" customWidth="1"/>
    <col min="2" max="2" width="10.7109375" style="14" customWidth="1"/>
    <col min="3" max="3" width="12.28515625" style="14" customWidth="1"/>
    <col min="4" max="4" width="13.140625" style="14" bestFit="1" customWidth="1"/>
    <col min="5" max="5" width="12" style="14" customWidth="1"/>
    <col min="6" max="6" width="14" style="14" bestFit="1" customWidth="1"/>
    <col min="7" max="7" width="16" style="14" bestFit="1" customWidth="1"/>
    <col min="8" max="8" width="11" style="14" bestFit="1" customWidth="1"/>
    <col min="9" max="9" width="10.5703125" style="14" bestFit="1" customWidth="1"/>
    <col min="10" max="10" width="10.5703125" style="14" customWidth="1"/>
    <col min="11" max="11" width="10.28515625" style="14" bestFit="1" customWidth="1"/>
    <col min="12" max="12" width="10.42578125" style="14" bestFit="1" customWidth="1"/>
    <col min="13" max="14" width="12" style="14" bestFit="1" customWidth="1"/>
    <col min="15" max="15" width="11" style="14" customWidth="1"/>
    <col min="16" max="16" width="12.85546875" style="14" bestFit="1" customWidth="1"/>
    <col min="17" max="18" width="9.42578125" style="14" customWidth="1"/>
    <col min="19" max="19" width="13.7109375" style="14" customWidth="1"/>
    <col min="20" max="20" width="12.140625" style="14" customWidth="1"/>
    <col min="21" max="21" width="21.7109375" style="14" customWidth="1"/>
    <col min="22" max="22" width="9.85546875" style="14" customWidth="1"/>
    <col min="23" max="23" width="10.140625" style="14" bestFit="1" customWidth="1"/>
    <col min="24" max="24" width="10.28515625" style="14" customWidth="1"/>
    <col min="25" max="25" width="15.7109375" style="14" customWidth="1"/>
    <col min="26" max="16384" width="9.140625" style="14"/>
  </cols>
  <sheetData>
    <row r="1" spans="1:25" ht="46.15" customHeight="1" x14ac:dyDescent="0.25">
      <c r="A1" s="2240" t="s">
        <v>148</v>
      </c>
      <c r="B1" s="2240"/>
      <c r="C1" s="2240"/>
      <c r="D1" s="2240"/>
      <c r="E1" s="2240"/>
      <c r="F1" s="2240"/>
      <c r="G1" s="2240"/>
      <c r="H1" s="2240"/>
      <c r="I1" s="2240"/>
      <c r="J1" s="2240"/>
      <c r="K1" s="2240"/>
      <c r="L1" s="2240"/>
      <c r="M1" s="2240"/>
      <c r="N1" s="2240"/>
      <c r="O1" s="2240"/>
      <c r="P1" s="2240"/>
      <c r="Q1" s="2240"/>
      <c r="R1" s="2240"/>
      <c r="S1" s="2240"/>
      <c r="T1" s="2240"/>
      <c r="U1" s="2240"/>
      <c r="V1" s="2240"/>
      <c r="W1" s="2240"/>
      <c r="X1" s="2240"/>
      <c r="Y1" s="2240"/>
    </row>
    <row r="2" spans="1:25" ht="21.6" customHeight="1" x14ac:dyDescent="0.25">
      <c r="A2" s="2241" t="s">
        <v>383</v>
      </c>
      <c r="B2" s="2241"/>
      <c r="C2" s="2241"/>
      <c r="D2" s="2241"/>
      <c r="E2" s="2241"/>
      <c r="F2" s="2241"/>
      <c r="G2" s="2241"/>
      <c r="H2" s="2241"/>
      <c r="I2" s="2241"/>
      <c r="J2" s="2241"/>
      <c r="K2" s="2241"/>
      <c r="L2" s="2241"/>
      <c r="M2" s="2241"/>
      <c r="N2" s="2241"/>
      <c r="O2" s="2241"/>
      <c r="P2" s="2241"/>
      <c r="Q2" s="2241"/>
      <c r="R2" s="2241"/>
      <c r="S2" s="2241"/>
      <c r="T2" s="2241"/>
      <c r="U2" s="2241"/>
      <c r="V2" s="2241"/>
      <c r="W2" s="2241"/>
      <c r="X2" s="2241"/>
      <c r="Y2" s="2241"/>
    </row>
    <row r="3" spans="1:25" ht="21" customHeight="1" x14ac:dyDescent="0.25">
      <c r="A3" s="2082"/>
      <c r="B3" s="2082"/>
      <c r="C3" s="2082"/>
      <c r="D3" s="2082"/>
      <c r="E3" s="2082"/>
      <c r="F3" s="2082"/>
      <c r="G3" s="2082"/>
      <c r="H3" s="2082"/>
      <c r="I3" s="2082"/>
      <c r="J3" s="2082"/>
      <c r="K3" s="2082"/>
      <c r="L3" s="2082"/>
      <c r="M3" s="2082"/>
      <c r="N3" s="2082"/>
      <c r="O3" s="2082"/>
      <c r="P3" s="2082"/>
      <c r="Q3" s="2082"/>
      <c r="R3" s="2082"/>
      <c r="S3" s="2082"/>
      <c r="T3" s="2242" t="s">
        <v>583</v>
      </c>
      <c r="U3" s="2242"/>
      <c r="V3" s="2242"/>
      <c r="W3" s="2242"/>
      <c r="X3" s="2242"/>
      <c r="Y3" s="2242"/>
    </row>
    <row r="4" spans="1:25" s="2082" customFormat="1" ht="18" customHeight="1" x14ac:dyDescent="0.25">
      <c r="A4" s="2243" t="s">
        <v>25</v>
      </c>
      <c r="B4" s="2243" t="s">
        <v>26</v>
      </c>
      <c r="C4" s="2244" t="s">
        <v>27</v>
      </c>
      <c r="D4" s="2244"/>
      <c r="E4" s="2244" t="s">
        <v>544</v>
      </c>
      <c r="F4" s="2244"/>
      <c r="G4" s="2244" t="s">
        <v>65</v>
      </c>
      <c r="H4" s="2244"/>
      <c r="I4" s="2244" t="s">
        <v>29</v>
      </c>
      <c r="J4" s="2244"/>
      <c r="K4" s="2245" t="s">
        <v>14</v>
      </c>
      <c r="L4" s="2246"/>
      <c r="M4" s="2245" t="s">
        <v>429</v>
      </c>
      <c r="N4" s="2246"/>
      <c r="O4" s="2245" t="s">
        <v>441</v>
      </c>
      <c r="P4" s="2246"/>
      <c r="Q4" s="2245" t="s">
        <v>114</v>
      </c>
      <c r="R4" s="2246"/>
      <c r="S4" s="2244" t="s">
        <v>35</v>
      </c>
      <c r="T4" s="2244"/>
      <c r="U4" s="2245" t="s">
        <v>17</v>
      </c>
      <c r="V4" s="2246"/>
      <c r="W4" s="2247" t="s">
        <v>36</v>
      </c>
      <c r="X4" s="2248"/>
      <c r="Y4" s="2238" t="s">
        <v>30</v>
      </c>
    </row>
    <row r="5" spans="1:25" s="2082" customFormat="1" ht="25.5" customHeight="1" x14ac:dyDescent="0.25">
      <c r="A5" s="2243"/>
      <c r="B5" s="2243"/>
      <c r="C5" s="2081" t="s">
        <v>42</v>
      </c>
      <c r="D5" s="2081" t="s">
        <v>43</v>
      </c>
      <c r="E5" s="2081" t="s">
        <v>42</v>
      </c>
      <c r="F5" s="2081" t="s">
        <v>43</v>
      </c>
      <c r="G5" s="2081" t="s">
        <v>42</v>
      </c>
      <c r="H5" s="2081" t="s">
        <v>43</v>
      </c>
      <c r="I5" s="2081" t="s">
        <v>42</v>
      </c>
      <c r="J5" s="2081" t="s">
        <v>43</v>
      </c>
      <c r="K5" s="2081" t="s">
        <v>42</v>
      </c>
      <c r="L5" s="2081" t="s">
        <v>43</v>
      </c>
      <c r="M5" s="2081" t="s">
        <v>42</v>
      </c>
      <c r="N5" s="2081" t="s">
        <v>43</v>
      </c>
      <c r="O5" s="2081" t="s">
        <v>42</v>
      </c>
      <c r="P5" s="2081" t="s">
        <v>43</v>
      </c>
      <c r="Q5" s="2081" t="s">
        <v>42</v>
      </c>
      <c r="R5" s="2081" t="s">
        <v>43</v>
      </c>
      <c r="S5" s="33" t="s">
        <v>42</v>
      </c>
      <c r="T5" s="33" t="s">
        <v>43</v>
      </c>
      <c r="U5" s="30" t="s">
        <v>42</v>
      </c>
      <c r="V5" s="30" t="s">
        <v>43</v>
      </c>
      <c r="W5" s="30" t="s">
        <v>42</v>
      </c>
      <c r="X5" s="30" t="s">
        <v>43</v>
      </c>
      <c r="Y5" s="2239"/>
    </row>
    <row r="6" spans="1:25" ht="34.5" customHeight="1" x14ac:dyDescent="0.25">
      <c r="A6" s="12">
        <v>1409935200</v>
      </c>
      <c r="B6" s="2080" t="s">
        <v>71</v>
      </c>
      <c r="C6" s="2078">
        <v>26925</v>
      </c>
      <c r="D6" s="2077">
        <f t="shared" ref="D6:D11" si="0">0.9725*C6</f>
        <v>26184.5625</v>
      </c>
      <c r="E6" s="2078"/>
      <c r="F6" s="2077">
        <f>19.68*E6</f>
        <v>0</v>
      </c>
      <c r="G6" s="2078"/>
      <c r="H6" s="2077">
        <f t="shared" ref="H6:H11" si="1">28.26*G6</f>
        <v>0</v>
      </c>
      <c r="I6" s="2078">
        <v>80</v>
      </c>
      <c r="J6" s="2077">
        <f>18.82*I6</f>
        <v>1505.6</v>
      </c>
      <c r="K6" s="2078"/>
      <c r="L6" s="2077">
        <f>28.25*K6</f>
        <v>0</v>
      </c>
      <c r="M6" s="2078"/>
      <c r="N6" s="2077">
        <f>M6*47.6525</f>
        <v>0</v>
      </c>
      <c r="O6" s="2078"/>
      <c r="P6" s="2077">
        <f>O6*8.9</f>
        <v>0</v>
      </c>
      <c r="Q6" s="2077"/>
      <c r="R6" s="2077">
        <f>241*Q6</f>
        <v>0</v>
      </c>
      <c r="S6" s="2078"/>
      <c r="T6" s="2078">
        <f>470*S6</f>
        <v>0</v>
      </c>
      <c r="U6" s="2078"/>
      <c r="V6" s="2078">
        <f>332*U6</f>
        <v>0</v>
      </c>
      <c r="W6" s="2078"/>
      <c r="X6" s="19">
        <f>W6*100</f>
        <v>0</v>
      </c>
      <c r="Y6" s="20">
        <f t="shared" ref="Y6:Y12" si="2">D6+F6+H6+J6+L6+N6+P6+R6+T6+V6+X6</f>
        <v>27690.162499999999</v>
      </c>
    </row>
    <row r="7" spans="1:25" ht="36.75" customHeight="1" x14ac:dyDescent="0.25">
      <c r="A7" s="12">
        <v>1984225578</v>
      </c>
      <c r="B7" s="2080" t="s">
        <v>509</v>
      </c>
      <c r="C7" s="2078">
        <v>20039</v>
      </c>
      <c r="D7" s="2077">
        <f t="shared" si="0"/>
        <v>19487.927500000002</v>
      </c>
      <c r="E7" s="2078"/>
      <c r="F7" s="2077">
        <f t="shared" ref="F7:F11" si="3">19.68*E7</f>
        <v>0</v>
      </c>
      <c r="G7" s="2078">
        <v>50</v>
      </c>
      <c r="H7" s="2077">
        <f t="shared" si="1"/>
        <v>1413</v>
      </c>
      <c r="I7" s="2078"/>
      <c r="J7" s="2077">
        <f t="shared" ref="J7:J11" si="4">18.82*I7</f>
        <v>0</v>
      </c>
      <c r="K7" s="2078"/>
      <c r="L7" s="2077">
        <f t="shared" ref="L7:L11" si="5">28.25*K7</f>
        <v>0</v>
      </c>
      <c r="M7" s="2078"/>
      <c r="N7" s="2077">
        <f t="shared" ref="N7:N11" si="6">M7*47.6525</f>
        <v>0</v>
      </c>
      <c r="O7" s="2078"/>
      <c r="P7" s="2077">
        <f t="shared" ref="P7:P11" si="7">O7*8.9</f>
        <v>0</v>
      </c>
      <c r="Q7" s="2077"/>
      <c r="R7" s="2077">
        <f t="shared" ref="R7:R11" si="8">241*Q7</f>
        <v>0</v>
      </c>
      <c r="S7" s="2078"/>
      <c r="T7" s="2078">
        <f t="shared" ref="T7:T9" si="9">470*S7</f>
        <v>0</v>
      </c>
      <c r="U7" s="2078"/>
      <c r="V7" s="2078">
        <f t="shared" ref="V7:V11" si="10">332*U7</f>
        <v>0</v>
      </c>
      <c r="W7" s="2078"/>
      <c r="X7" s="19">
        <f t="shared" ref="X7:X11" si="11">W7*100</f>
        <v>0</v>
      </c>
      <c r="Y7" s="20">
        <f t="shared" si="2"/>
        <v>20900.927500000002</v>
      </c>
    </row>
    <row r="8" spans="1:25" ht="35.25" customHeight="1" x14ac:dyDescent="0.25">
      <c r="A8" s="12">
        <v>1967020280</v>
      </c>
      <c r="B8" s="2080" t="s">
        <v>427</v>
      </c>
      <c r="C8" s="2078">
        <v>27231</v>
      </c>
      <c r="D8" s="2077">
        <f t="shared" si="0"/>
        <v>26482.147499999999</v>
      </c>
      <c r="E8" s="2078"/>
      <c r="F8" s="2077">
        <f t="shared" si="3"/>
        <v>0</v>
      </c>
      <c r="G8" s="2078">
        <v>10</v>
      </c>
      <c r="H8" s="2077">
        <f t="shared" si="1"/>
        <v>282.60000000000002</v>
      </c>
      <c r="I8" s="2078">
        <v>140</v>
      </c>
      <c r="J8" s="2077">
        <f t="shared" si="4"/>
        <v>2634.8</v>
      </c>
      <c r="K8" s="2078"/>
      <c r="L8" s="2077">
        <f t="shared" si="5"/>
        <v>0</v>
      </c>
      <c r="M8" s="2078"/>
      <c r="N8" s="2077">
        <f t="shared" si="6"/>
        <v>0</v>
      </c>
      <c r="O8" s="2078"/>
      <c r="P8" s="2077">
        <f t="shared" si="7"/>
        <v>0</v>
      </c>
      <c r="Q8" s="2077"/>
      <c r="R8" s="2077">
        <f t="shared" si="8"/>
        <v>0</v>
      </c>
      <c r="S8" s="2078"/>
      <c r="T8" s="2078">
        <f t="shared" si="9"/>
        <v>0</v>
      </c>
      <c r="U8" s="2078">
        <v>1</v>
      </c>
      <c r="V8" s="2078">
        <f t="shared" si="10"/>
        <v>332</v>
      </c>
      <c r="W8" s="2078"/>
      <c r="X8" s="19">
        <f t="shared" si="11"/>
        <v>0</v>
      </c>
      <c r="Y8" s="20">
        <f t="shared" si="2"/>
        <v>29731.547499999997</v>
      </c>
    </row>
    <row r="9" spans="1:25" ht="38.25" customHeight="1" x14ac:dyDescent="0.25">
      <c r="A9" s="12">
        <v>1984225580</v>
      </c>
      <c r="B9" s="2080" t="s">
        <v>74</v>
      </c>
      <c r="C9" s="2078">
        <v>53545</v>
      </c>
      <c r="D9" s="2077">
        <f t="shared" si="0"/>
        <v>52072.512500000004</v>
      </c>
      <c r="E9" s="2078"/>
      <c r="F9" s="2077">
        <f t="shared" si="3"/>
        <v>0</v>
      </c>
      <c r="G9" s="2078">
        <v>10</v>
      </c>
      <c r="H9" s="2077">
        <f t="shared" si="1"/>
        <v>282.60000000000002</v>
      </c>
      <c r="I9" s="2078">
        <v>150</v>
      </c>
      <c r="J9" s="2077">
        <f t="shared" si="4"/>
        <v>2823</v>
      </c>
      <c r="K9" s="2078">
        <v>230</v>
      </c>
      <c r="L9" s="2077">
        <f t="shared" si="5"/>
        <v>6497.5</v>
      </c>
      <c r="M9" s="2078"/>
      <c r="N9" s="2077">
        <f t="shared" si="6"/>
        <v>0</v>
      </c>
      <c r="O9" s="2078"/>
      <c r="P9" s="2077">
        <f t="shared" si="7"/>
        <v>0</v>
      </c>
      <c r="Q9" s="2077"/>
      <c r="R9" s="2077">
        <f t="shared" si="8"/>
        <v>0</v>
      </c>
      <c r="S9" s="2078"/>
      <c r="T9" s="2078">
        <f t="shared" si="9"/>
        <v>0</v>
      </c>
      <c r="U9" s="2078"/>
      <c r="V9" s="2078">
        <f t="shared" si="10"/>
        <v>0</v>
      </c>
      <c r="W9" s="2078"/>
      <c r="X9" s="19">
        <f t="shared" si="11"/>
        <v>0</v>
      </c>
      <c r="Y9" s="20">
        <f t="shared" si="2"/>
        <v>61675.612500000003</v>
      </c>
    </row>
    <row r="10" spans="1:25" ht="35.25" customHeight="1" x14ac:dyDescent="0.25">
      <c r="A10" s="12">
        <v>1409935199</v>
      </c>
      <c r="C10" s="2078"/>
      <c r="D10" s="2077">
        <f t="shared" si="0"/>
        <v>0</v>
      </c>
      <c r="E10" s="2078"/>
      <c r="F10" s="2077">
        <f t="shared" si="3"/>
        <v>0</v>
      </c>
      <c r="G10" s="2078"/>
      <c r="H10" s="2077">
        <f t="shared" si="1"/>
        <v>0</v>
      </c>
      <c r="I10" s="2078"/>
      <c r="J10" s="2077">
        <f t="shared" si="4"/>
        <v>0</v>
      </c>
      <c r="K10" s="2078"/>
      <c r="L10" s="2077">
        <f t="shared" si="5"/>
        <v>0</v>
      </c>
      <c r="M10" s="2078"/>
      <c r="N10" s="2077">
        <f t="shared" si="6"/>
        <v>0</v>
      </c>
      <c r="O10" s="2078"/>
      <c r="P10" s="2077">
        <f t="shared" si="7"/>
        <v>0</v>
      </c>
      <c r="Q10" s="2077"/>
      <c r="R10" s="2077">
        <f t="shared" si="8"/>
        <v>0</v>
      </c>
      <c r="S10" s="2078">
        <v>10</v>
      </c>
      <c r="T10" s="2078">
        <f>470*S10</f>
        <v>4700</v>
      </c>
      <c r="U10" s="2078"/>
      <c r="V10" s="2078">
        <f t="shared" si="10"/>
        <v>0</v>
      </c>
      <c r="W10" s="2078"/>
      <c r="X10" s="19">
        <f t="shared" si="11"/>
        <v>0</v>
      </c>
      <c r="Y10" s="20">
        <f t="shared" si="2"/>
        <v>4700</v>
      </c>
    </row>
    <row r="11" spans="1:25" ht="37.5" customHeight="1" x14ac:dyDescent="0.25">
      <c r="A11" s="12"/>
      <c r="B11" s="2079"/>
      <c r="C11" s="2078"/>
      <c r="D11" s="2077">
        <f t="shared" si="0"/>
        <v>0</v>
      </c>
      <c r="E11" s="2078"/>
      <c r="F11" s="2077">
        <f t="shared" si="3"/>
        <v>0</v>
      </c>
      <c r="G11" s="2078"/>
      <c r="H11" s="2077">
        <f t="shared" si="1"/>
        <v>0</v>
      </c>
      <c r="I11" s="2078"/>
      <c r="J11" s="2077">
        <f t="shared" si="4"/>
        <v>0</v>
      </c>
      <c r="K11" s="2078"/>
      <c r="L11" s="2077">
        <f t="shared" si="5"/>
        <v>0</v>
      </c>
      <c r="M11" s="2078"/>
      <c r="N11" s="2077">
        <f t="shared" si="6"/>
        <v>0</v>
      </c>
      <c r="O11" s="2078"/>
      <c r="P11" s="2077">
        <f t="shared" si="7"/>
        <v>0</v>
      </c>
      <c r="Q11" s="2077"/>
      <c r="R11" s="2077">
        <f t="shared" si="8"/>
        <v>0</v>
      </c>
      <c r="S11" s="2078"/>
      <c r="T11" s="2078">
        <f>241*S11</f>
        <v>0</v>
      </c>
      <c r="U11" s="2078"/>
      <c r="V11" s="2078">
        <f t="shared" si="10"/>
        <v>0</v>
      </c>
      <c r="W11" s="2078"/>
      <c r="X11" s="19">
        <f t="shared" si="11"/>
        <v>0</v>
      </c>
      <c r="Y11" s="20">
        <f t="shared" si="2"/>
        <v>0</v>
      </c>
    </row>
    <row r="12" spans="1:25" ht="29.25" customHeight="1" x14ac:dyDescent="0.25">
      <c r="A12" s="2235" t="s">
        <v>31</v>
      </c>
      <c r="B12" s="2235"/>
      <c r="C12" s="18">
        <f t="shared" ref="C12:X12" si="12">SUM(C6:C11)</f>
        <v>127740</v>
      </c>
      <c r="D12" s="18">
        <f t="shared" si="12"/>
        <v>124227.15000000002</v>
      </c>
      <c r="E12" s="18">
        <f t="shared" si="12"/>
        <v>0</v>
      </c>
      <c r="F12" s="18">
        <f t="shared" si="12"/>
        <v>0</v>
      </c>
      <c r="G12" s="18">
        <f t="shared" si="12"/>
        <v>70</v>
      </c>
      <c r="H12" s="18">
        <f t="shared" si="12"/>
        <v>1978.1999999999998</v>
      </c>
      <c r="I12" s="18">
        <f t="shared" si="12"/>
        <v>370</v>
      </c>
      <c r="J12" s="18">
        <f t="shared" si="12"/>
        <v>6963.4</v>
      </c>
      <c r="K12" s="18">
        <f t="shared" si="12"/>
        <v>230</v>
      </c>
      <c r="L12" s="18">
        <f t="shared" si="12"/>
        <v>6497.5</v>
      </c>
      <c r="M12" s="18">
        <f t="shared" si="12"/>
        <v>0</v>
      </c>
      <c r="N12" s="23">
        <f t="shared" si="12"/>
        <v>0</v>
      </c>
      <c r="O12" s="18">
        <f t="shared" si="12"/>
        <v>0</v>
      </c>
      <c r="P12" s="23">
        <f t="shared" si="12"/>
        <v>0</v>
      </c>
      <c r="Q12" s="23">
        <f t="shared" si="12"/>
        <v>0</v>
      </c>
      <c r="R12" s="23">
        <f>SUM(R6:R11)</f>
        <v>0</v>
      </c>
      <c r="S12" s="23">
        <f>SUM(S6:S11)</f>
        <v>10</v>
      </c>
      <c r="T12" s="18">
        <f t="shared" si="12"/>
        <v>4700</v>
      </c>
      <c r="U12" s="18">
        <f t="shared" si="12"/>
        <v>1</v>
      </c>
      <c r="V12" s="18">
        <f t="shared" si="12"/>
        <v>332</v>
      </c>
      <c r="W12" s="18">
        <f t="shared" si="12"/>
        <v>0</v>
      </c>
      <c r="X12" s="18">
        <f t="shared" si="12"/>
        <v>0</v>
      </c>
      <c r="Y12" s="20">
        <f t="shared" si="2"/>
        <v>144698.25000000003</v>
      </c>
    </row>
    <row r="14" spans="1:25" ht="43.5" customHeight="1" x14ac:dyDescent="0.25">
      <c r="A14" s="30" t="s">
        <v>32</v>
      </c>
      <c r="B14" s="2236" t="s">
        <v>27</v>
      </c>
      <c r="C14" s="2236"/>
      <c r="D14" s="30" t="s">
        <v>543</v>
      </c>
      <c r="E14" s="30" t="s">
        <v>65</v>
      </c>
      <c r="F14" s="30" t="s">
        <v>34</v>
      </c>
      <c r="G14" s="30" t="s">
        <v>14</v>
      </c>
      <c r="H14" s="469" t="s">
        <v>173</v>
      </c>
      <c r="I14" s="30" t="s">
        <v>17</v>
      </c>
      <c r="J14" s="2086" t="s">
        <v>174</v>
      </c>
      <c r="K14" s="30" t="s">
        <v>36</v>
      </c>
      <c r="L14" s="2086" t="s">
        <v>403</v>
      </c>
      <c r="M14" s="2086" t="s">
        <v>549</v>
      </c>
      <c r="N14" s="30" t="s">
        <v>442</v>
      </c>
      <c r="O14" s="2086" t="s">
        <v>114</v>
      </c>
      <c r="P14" s="30" t="s">
        <v>70</v>
      </c>
      <c r="Q14" s="2300" t="s">
        <v>479</v>
      </c>
      <c r="R14" s="2301"/>
      <c r="S14" s="2086" t="s">
        <v>401</v>
      </c>
      <c r="T14" s="2235" t="s">
        <v>46</v>
      </c>
      <c r="U14" s="2080" t="s">
        <v>176</v>
      </c>
      <c r="V14" s="2260">
        <v>82024</v>
      </c>
      <c r="W14" s="2268"/>
      <c r="X14" s="2261"/>
    </row>
    <row r="15" spans="1:25" ht="22.5" customHeight="1" x14ac:dyDescent="0.25">
      <c r="A15" s="100" t="s">
        <v>38</v>
      </c>
      <c r="B15" s="2260">
        <v>348622</v>
      </c>
      <c r="C15" s="2261"/>
      <c r="D15" s="2083">
        <v>0</v>
      </c>
      <c r="E15" s="2083">
        <v>380</v>
      </c>
      <c r="F15" s="2083">
        <v>6220</v>
      </c>
      <c r="G15" s="2083">
        <v>820</v>
      </c>
      <c r="H15" s="2083">
        <v>34</v>
      </c>
      <c r="I15" s="2083">
        <v>45</v>
      </c>
      <c r="J15" s="2083"/>
      <c r="K15" s="2083">
        <v>84</v>
      </c>
      <c r="L15" s="2083">
        <v>12</v>
      </c>
      <c r="M15" s="2083">
        <v>11</v>
      </c>
      <c r="N15" s="2083">
        <v>0</v>
      </c>
      <c r="O15" s="2083">
        <v>0</v>
      </c>
      <c r="P15" s="2083">
        <v>100</v>
      </c>
      <c r="Q15" s="2260">
        <v>10</v>
      </c>
      <c r="R15" s="2261"/>
      <c r="S15" s="2080"/>
      <c r="T15" s="2235"/>
      <c r="U15" s="2080" t="s">
        <v>64</v>
      </c>
      <c r="V15" s="2262">
        <v>14644</v>
      </c>
      <c r="W15" s="2262"/>
      <c r="X15" s="2262"/>
    </row>
    <row r="16" spans="1:25" ht="24.75" customHeight="1" x14ac:dyDescent="0.25">
      <c r="A16" s="100" t="s">
        <v>39</v>
      </c>
      <c r="B16" s="2260">
        <v>155844</v>
      </c>
      <c r="C16" s="2261"/>
      <c r="D16" s="2083"/>
      <c r="E16" s="2083"/>
      <c r="F16" s="2083"/>
      <c r="G16" s="2083"/>
      <c r="H16" s="2083"/>
      <c r="I16" s="2083"/>
      <c r="J16" s="2083"/>
      <c r="K16" s="2083"/>
      <c r="L16" s="2083"/>
      <c r="M16" s="2083"/>
      <c r="N16" s="2083"/>
      <c r="O16" s="2083"/>
      <c r="P16" s="2083"/>
      <c r="Q16" s="2262"/>
      <c r="R16" s="2262"/>
      <c r="S16" s="2083"/>
      <c r="T16" s="2254" t="s">
        <v>55</v>
      </c>
      <c r="U16" s="2254"/>
      <c r="V16" s="2267">
        <f>Y12</f>
        <v>144698.25000000003</v>
      </c>
      <c r="W16" s="2267"/>
      <c r="X16" s="2262"/>
    </row>
    <row r="17" spans="1:25" ht="28.5" customHeight="1" x14ac:dyDescent="0.25">
      <c r="A17" s="101" t="s">
        <v>44</v>
      </c>
      <c r="B17" s="2260"/>
      <c r="C17" s="2261"/>
      <c r="D17" s="2083"/>
      <c r="E17" s="2083"/>
      <c r="F17" s="2083"/>
      <c r="G17" s="2083"/>
      <c r="H17" s="2083"/>
      <c r="I17" s="2083"/>
      <c r="J17" s="2083"/>
      <c r="K17" s="2083"/>
      <c r="L17" s="2083"/>
      <c r="M17" s="2083"/>
      <c r="N17" s="2083"/>
      <c r="O17" s="2083"/>
      <c r="P17" s="2083"/>
      <c r="Q17" s="2225"/>
      <c r="R17" s="2225"/>
      <c r="S17" s="2079"/>
      <c r="T17" s="2294" t="s">
        <v>521</v>
      </c>
      <c r="U17" s="2295"/>
      <c r="V17" s="2296"/>
      <c r="W17" s="2296"/>
      <c r="X17" s="2296"/>
    </row>
    <row r="18" spans="1:25" ht="27" customHeight="1" x14ac:dyDescent="0.25">
      <c r="A18" s="100" t="s">
        <v>40</v>
      </c>
      <c r="B18" s="2264">
        <f>C12</f>
        <v>127740</v>
      </c>
      <c r="C18" s="2261"/>
      <c r="D18" s="2085">
        <f>E12</f>
        <v>0</v>
      </c>
      <c r="E18" s="2085">
        <f>G12</f>
        <v>70</v>
      </c>
      <c r="F18" s="2085">
        <f>I12</f>
        <v>370</v>
      </c>
      <c r="G18" s="2085">
        <f>K12</f>
        <v>230</v>
      </c>
      <c r="H18" s="2083"/>
      <c r="I18" s="2085">
        <f>U12</f>
        <v>1</v>
      </c>
      <c r="J18" s="2083"/>
      <c r="K18" s="2085">
        <f>W12</f>
        <v>0</v>
      </c>
      <c r="L18" s="2083"/>
      <c r="M18" s="2085"/>
      <c r="N18" s="2085">
        <f>O12</f>
        <v>0</v>
      </c>
      <c r="O18" s="2084">
        <f>Q12</f>
        <v>0</v>
      </c>
      <c r="P18" s="2085"/>
      <c r="Q18" s="2262">
        <v>10</v>
      </c>
      <c r="R18" s="2262"/>
      <c r="S18" s="2080"/>
      <c r="T18" s="2254" t="s">
        <v>57</v>
      </c>
      <c r="U18" s="2254"/>
      <c r="V18" s="2262">
        <v>580</v>
      </c>
      <c r="W18" s="2262"/>
      <c r="X18" s="2262"/>
      <c r="Y18" s="2269"/>
    </row>
    <row r="19" spans="1:25" ht="25.5" customHeight="1" x14ac:dyDescent="0.25">
      <c r="A19" s="100" t="s">
        <v>41</v>
      </c>
      <c r="B19" s="2260">
        <f>B15+B16+B17-B18</f>
        <v>376726</v>
      </c>
      <c r="C19" s="2261"/>
      <c r="D19" s="2083">
        <f>D15+D16+D17-D18</f>
        <v>0</v>
      </c>
      <c r="E19" s="2083">
        <f t="shared" ref="E19:N19" si="13">E15+E16+E17-E18</f>
        <v>310</v>
      </c>
      <c r="F19" s="2083">
        <f t="shared" si="13"/>
        <v>5850</v>
      </c>
      <c r="G19" s="2083">
        <f t="shared" si="13"/>
        <v>590</v>
      </c>
      <c r="H19" s="2083">
        <f t="shared" si="13"/>
        <v>34</v>
      </c>
      <c r="I19" s="2083">
        <f t="shared" si="13"/>
        <v>44</v>
      </c>
      <c r="J19" s="2083">
        <f t="shared" si="13"/>
        <v>0</v>
      </c>
      <c r="K19" s="2083">
        <f t="shared" si="13"/>
        <v>84</v>
      </c>
      <c r="L19" s="2083">
        <f t="shared" si="13"/>
        <v>12</v>
      </c>
      <c r="M19" s="2083">
        <f t="shared" si="13"/>
        <v>11</v>
      </c>
      <c r="N19" s="2083">
        <f t="shared" si="13"/>
        <v>0</v>
      </c>
      <c r="O19" s="2083">
        <f>O15+O16+O17-O18</f>
        <v>0</v>
      </c>
      <c r="P19" s="2083">
        <f t="shared" ref="P19:Q19" si="14">P15+P16+P17-P18</f>
        <v>100</v>
      </c>
      <c r="Q19" s="2260">
        <f t="shared" si="14"/>
        <v>0</v>
      </c>
      <c r="R19" s="2261"/>
      <c r="S19" s="2080">
        <f>S15+S16-S17-S18</f>
        <v>0</v>
      </c>
      <c r="T19" s="2256" t="s">
        <v>48</v>
      </c>
      <c r="U19" s="49" t="s">
        <v>58</v>
      </c>
      <c r="V19" s="2262">
        <v>120000</v>
      </c>
      <c r="W19" s="2262"/>
      <c r="X19" s="2262"/>
      <c r="Y19" s="2269"/>
    </row>
    <row r="20" spans="1:25" ht="23.25" customHeight="1" x14ac:dyDescent="0.25">
      <c r="A20" s="289" t="s">
        <v>187</v>
      </c>
      <c r="B20" s="2286">
        <f>B19*0.9625</f>
        <v>362598.77500000002</v>
      </c>
      <c r="C20" s="2287"/>
      <c r="D20" s="290">
        <f>D19*19.48</f>
        <v>0</v>
      </c>
      <c r="E20" s="290">
        <f>27.97*E19</f>
        <v>8670.6999999999989</v>
      </c>
      <c r="F20" s="290">
        <f>18.63*F19</f>
        <v>108985.5</v>
      </c>
      <c r="G20" s="290">
        <f>27.9468*G19</f>
        <v>16488.612000000001</v>
      </c>
      <c r="H20" s="290">
        <f>241*H19</f>
        <v>8194</v>
      </c>
      <c r="I20" s="290">
        <f>323*I19</f>
        <v>14212</v>
      </c>
      <c r="J20" s="290">
        <f>241*J19</f>
        <v>0</v>
      </c>
      <c r="K20" s="290">
        <f>K19*100</f>
        <v>8400</v>
      </c>
      <c r="L20" s="290">
        <f>470*L19</f>
        <v>5640</v>
      </c>
      <c r="M20" s="290">
        <f>470*M19</f>
        <v>5170</v>
      </c>
      <c r="N20" s="290">
        <f>N19*8.81</f>
        <v>0</v>
      </c>
      <c r="O20" s="290">
        <f>241*O19</f>
        <v>0</v>
      </c>
      <c r="P20" s="290">
        <f>P19*48.2</f>
        <v>4820</v>
      </c>
      <c r="Q20" s="2286">
        <f>470*Q19</f>
        <v>0</v>
      </c>
      <c r="R20" s="2287"/>
      <c r="S20" s="290">
        <f>341*S19</f>
        <v>0</v>
      </c>
      <c r="T20" s="2257"/>
      <c r="U20" s="49" t="s">
        <v>59</v>
      </c>
      <c r="V20" s="2262">
        <v>50000</v>
      </c>
      <c r="W20" s="2262"/>
      <c r="X20" s="2262"/>
      <c r="Y20" s="2269"/>
    </row>
    <row r="21" spans="1:25" ht="32.25" customHeight="1" x14ac:dyDescent="0.25">
      <c r="A21" s="291" t="s">
        <v>186</v>
      </c>
      <c r="B21" s="2302">
        <f>SUM(B20:S20)</f>
        <v>543179.58700000006</v>
      </c>
      <c r="C21" s="2302"/>
      <c r="T21" s="2294" t="s">
        <v>518</v>
      </c>
      <c r="U21" s="2295"/>
      <c r="V21" s="2297"/>
      <c r="W21" s="2298"/>
      <c r="X21" s="2299"/>
      <c r="Y21" s="2269"/>
    </row>
    <row r="22" spans="1:25" ht="35.25" customHeight="1" x14ac:dyDescent="0.25">
      <c r="A22" s="1911"/>
      <c r="B22" s="2288" t="s">
        <v>49</v>
      </c>
      <c r="C22" s="2291">
        <v>120000</v>
      </c>
      <c r="D22" s="2291">
        <v>120000</v>
      </c>
      <c r="E22" s="2291">
        <v>100000</v>
      </c>
      <c r="F22" s="2291">
        <f>C22-D22+E22</f>
        <v>100000</v>
      </c>
      <c r="T22" s="2251" t="s">
        <v>83</v>
      </c>
      <c r="U22" s="50" t="s">
        <v>60</v>
      </c>
      <c r="V22" s="2262">
        <v>169760</v>
      </c>
      <c r="W22" s="2262"/>
      <c r="X22" s="2262"/>
      <c r="Y22" s="2269"/>
    </row>
    <row r="23" spans="1:25" ht="39.75" customHeight="1" x14ac:dyDescent="0.25">
      <c r="B23" s="2289"/>
      <c r="C23" s="2292"/>
      <c r="D23" s="2292"/>
      <c r="E23" s="2292"/>
      <c r="F23" s="2292"/>
      <c r="T23" s="2252"/>
      <c r="U23" s="50" t="s">
        <v>61</v>
      </c>
      <c r="V23" s="2262">
        <v>170000</v>
      </c>
      <c r="W23" s="2262"/>
      <c r="X23" s="2262"/>
      <c r="Y23" s="2269"/>
    </row>
    <row r="24" spans="1:25" ht="48" customHeight="1" x14ac:dyDescent="0.25">
      <c r="B24" s="2290"/>
      <c r="C24" s="290" t="s">
        <v>46</v>
      </c>
      <c r="D24" s="290" t="s">
        <v>50</v>
      </c>
      <c r="E24" s="290" t="s">
        <v>51</v>
      </c>
      <c r="F24" s="290" t="s">
        <v>52</v>
      </c>
      <c r="T24" s="2235" t="s">
        <v>47</v>
      </c>
      <c r="U24" s="51" t="s">
        <v>62</v>
      </c>
      <c r="V24" s="2263">
        <f>V14+V16+V17-V18-V19-V20-V22+V23-V21</f>
        <v>56382.250000000029</v>
      </c>
      <c r="W24" s="2263"/>
      <c r="X24" s="2263"/>
      <c r="Y24" s="2269"/>
    </row>
    <row r="25" spans="1:25" ht="40.5" customHeight="1" x14ac:dyDescent="0.25">
      <c r="T25" s="2235"/>
      <c r="U25" s="51" t="s">
        <v>63</v>
      </c>
      <c r="V25" s="2262">
        <f>V15+V22-V23</f>
        <v>14404</v>
      </c>
      <c r="W25" s="2262"/>
      <c r="X25" s="2262"/>
    </row>
    <row r="26" spans="1:25" ht="36" customHeight="1" x14ac:dyDescent="0.25">
      <c r="K26" s="314"/>
    </row>
    <row r="28" spans="1:25" x14ac:dyDescent="0.25">
      <c r="J28" s="14" t="s">
        <v>139</v>
      </c>
    </row>
    <row r="32" spans="1:25" x14ac:dyDescent="0.25">
      <c r="I32" s="2280"/>
      <c r="J32" s="2280"/>
      <c r="K32" s="2280"/>
      <c r="L32" s="2280"/>
    </row>
    <row r="33" spans="9:12" x14ac:dyDescent="0.25">
      <c r="I33" s="2087"/>
      <c r="J33" s="2087"/>
      <c r="K33" s="2280"/>
      <c r="L33" s="2280"/>
    </row>
  </sheetData>
  <mergeCells count="62">
    <mergeCell ref="A1:Y1"/>
    <mergeCell ref="A2:Y2"/>
    <mergeCell ref="T3:Y3"/>
    <mergeCell ref="A4:A5"/>
    <mergeCell ref="B4:B5"/>
    <mergeCell ref="C4:D4"/>
    <mergeCell ref="E4:F4"/>
    <mergeCell ref="G4:H4"/>
    <mergeCell ref="I4:J4"/>
    <mergeCell ref="K4:L4"/>
    <mergeCell ref="Y4:Y5"/>
    <mergeCell ref="M4:N4"/>
    <mergeCell ref="O4:P4"/>
    <mergeCell ref="Q4:R4"/>
    <mergeCell ref="S4:T4"/>
    <mergeCell ref="U4:V4"/>
    <mergeCell ref="W4:X4"/>
    <mergeCell ref="B16:C16"/>
    <mergeCell ref="Q16:R16"/>
    <mergeCell ref="T16:U16"/>
    <mergeCell ref="V16:X16"/>
    <mergeCell ref="A12:B12"/>
    <mergeCell ref="B14:C14"/>
    <mergeCell ref="Q14:R14"/>
    <mergeCell ref="T14:T15"/>
    <mergeCell ref="V14:X14"/>
    <mergeCell ref="B15:C15"/>
    <mergeCell ref="Q15:R15"/>
    <mergeCell ref="V15:X15"/>
    <mergeCell ref="B17:C17"/>
    <mergeCell ref="Q17:R17"/>
    <mergeCell ref="T17:U17"/>
    <mergeCell ref="V17:X17"/>
    <mergeCell ref="B18:C18"/>
    <mergeCell ref="Q18:R18"/>
    <mergeCell ref="T18:U18"/>
    <mergeCell ref="V18:X18"/>
    <mergeCell ref="Y18:Y24"/>
    <mergeCell ref="B19:C19"/>
    <mergeCell ref="Q19:R19"/>
    <mergeCell ref="T19:T20"/>
    <mergeCell ref="V19:X19"/>
    <mergeCell ref="B20:C20"/>
    <mergeCell ref="B22:B24"/>
    <mergeCell ref="C22:C23"/>
    <mergeCell ref="D22:D23"/>
    <mergeCell ref="E22:E23"/>
    <mergeCell ref="F22:F23"/>
    <mergeCell ref="Q20:R20"/>
    <mergeCell ref="V20:X20"/>
    <mergeCell ref="B21:C21"/>
    <mergeCell ref="T21:U21"/>
    <mergeCell ref="V21:X21"/>
    <mergeCell ref="I32:J32"/>
    <mergeCell ref="K32:L32"/>
    <mergeCell ref="K33:L33"/>
    <mergeCell ref="T22:T23"/>
    <mergeCell ref="V22:X22"/>
    <mergeCell ref="V23:X23"/>
    <mergeCell ref="T24:T25"/>
    <mergeCell ref="V24:X24"/>
    <mergeCell ref="V25:X25"/>
  </mergeCells>
  <pageMargins left="0.15748031496063" right="0.15748031496063" top="0" bottom="0" header="0" footer="0"/>
  <pageSetup paperSize="9" scale="46" orientation="landscape" r:id="rId1"/>
</worksheet>
</file>

<file path=xl/worksheets/sheet3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91DC8E5-BE37-42C8-B27B-271A8762C160}">
  <sheetPr>
    <pageSetUpPr fitToPage="1"/>
  </sheetPr>
  <dimension ref="A1:Y33"/>
  <sheetViews>
    <sheetView topLeftCell="A9" zoomScale="70" zoomScaleNormal="70" zoomScaleSheetLayoutView="100" zoomScalePageLayoutView="68" workbookViewId="0">
      <selection activeCell="M25" sqref="M25"/>
    </sheetView>
  </sheetViews>
  <sheetFormatPr defaultColWidth="9.140625" defaultRowHeight="15" x14ac:dyDescent="0.25"/>
  <cols>
    <col min="1" max="1" width="18.28515625" style="14" customWidth="1"/>
    <col min="2" max="2" width="10.7109375" style="14" customWidth="1"/>
    <col min="3" max="3" width="12.28515625" style="14" customWidth="1"/>
    <col min="4" max="4" width="13.140625" style="14" bestFit="1" customWidth="1"/>
    <col min="5" max="5" width="12" style="14" customWidth="1"/>
    <col min="6" max="6" width="14" style="14" bestFit="1" customWidth="1"/>
    <col min="7" max="7" width="16" style="14" bestFit="1" customWidth="1"/>
    <col min="8" max="8" width="11" style="14" bestFit="1" customWidth="1"/>
    <col min="9" max="9" width="10.5703125" style="14" bestFit="1" customWidth="1"/>
    <col min="10" max="10" width="10.5703125" style="14" customWidth="1"/>
    <col min="11" max="11" width="10.28515625" style="14" bestFit="1" customWidth="1"/>
    <col min="12" max="12" width="10.42578125" style="14" bestFit="1" customWidth="1"/>
    <col min="13" max="14" width="12" style="14" bestFit="1" customWidth="1"/>
    <col min="15" max="15" width="11" style="14" customWidth="1"/>
    <col min="16" max="16" width="12.85546875" style="14" bestFit="1" customWidth="1"/>
    <col min="17" max="18" width="9.42578125" style="14" customWidth="1"/>
    <col min="19" max="19" width="13.7109375" style="14" customWidth="1"/>
    <col min="20" max="20" width="12.140625" style="14" customWidth="1"/>
    <col min="21" max="21" width="21.7109375" style="14" customWidth="1"/>
    <col min="22" max="22" width="9.85546875" style="14" customWidth="1"/>
    <col min="23" max="23" width="10.140625" style="14" bestFit="1" customWidth="1"/>
    <col min="24" max="24" width="10.28515625" style="14" customWidth="1"/>
    <col min="25" max="25" width="15.7109375" style="14" customWidth="1"/>
    <col min="26" max="16384" width="9.140625" style="14"/>
  </cols>
  <sheetData>
    <row r="1" spans="1:25" ht="46.15" customHeight="1" x14ac:dyDescent="0.25">
      <c r="A1" s="2240" t="s">
        <v>148</v>
      </c>
      <c r="B1" s="2240"/>
      <c r="C1" s="2240"/>
      <c r="D1" s="2240"/>
      <c r="E1" s="2240"/>
      <c r="F1" s="2240"/>
      <c r="G1" s="2240"/>
      <c r="H1" s="2240"/>
      <c r="I1" s="2240"/>
      <c r="J1" s="2240"/>
      <c r="K1" s="2240"/>
      <c r="L1" s="2240"/>
      <c r="M1" s="2240"/>
      <c r="N1" s="2240"/>
      <c r="O1" s="2240"/>
      <c r="P1" s="2240"/>
      <c r="Q1" s="2240"/>
      <c r="R1" s="2240"/>
      <c r="S1" s="2240"/>
      <c r="T1" s="2240"/>
      <c r="U1" s="2240"/>
      <c r="V1" s="2240"/>
      <c r="W1" s="2240"/>
      <c r="X1" s="2240"/>
      <c r="Y1" s="2240"/>
    </row>
    <row r="2" spans="1:25" ht="21.6" customHeight="1" x14ac:dyDescent="0.25">
      <c r="A2" s="2241" t="s">
        <v>383</v>
      </c>
      <c r="B2" s="2241"/>
      <c r="C2" s="2241"/>
      <c r="D2" s="2241"/>
      <c r="E2" s="2241"/>
      <c r="F2" s="2241"/>
      <c r="G2" s="2241"/>
      <c r="H2" s="2241"/>
      <c r="I2" s="2241"/>
      <c r="J2" s="2241"/>
      <c r="K2" s="2241"/>
      <c r="L2" s="2241"/>
      <c r="M2" s="2241"/>
      <c r="N2" s="2241"/>
      <c r="O2" s="2241"/>
      <c r="P2" s="2241"/>
      <c r="Q2" s="2241"/>
      <c r="R2" s="2241"/>
      <c r="S2" s="2241"/>
      <c r="T2" s="2241"/>
      <c r="U2" s="2241"/>
      <c r="V2" s="2241"/>
      <c r="W2" s="2241"/>
      <c r="X2" s="2241"/>
      <c r="Y2" s="2241"/>
    </row>
    <row r="3" spans="1:25" ht="21" customHeight="1" x14ac:dyDescent="0.25">
      <c r="A3" s="2093"/>
      <c r="B3" s="2093"/>
      <c r="C3" s="2093"/>
      <c r="D3" s="2093"/>
      <c r="E3" s="2093"/>
      <c r="F3" s="2093"/>
      <c r="G3" s="2093"/>
      <c r="H3" s="2093"/>
      <c r="I3" s="2093"/>
      <c r="J3" s="2093"/>
      <c r="K3" s="2093"/>
      <c r="L3" s="2093"/>
      <c r="M3" s="2093"/>
      <c r="N3" s="2093"/>
      <c r="O3" s="2093"/>
      <c r="P3" s="2093"/>
      <c r="Q3" s="2093"/>
      <c r="R3" s="2093"/>
      <c r="S3" s="2093"/>
      <c r="T3" s="2242" t="s">
        <v>584</v>
      </c>
      <c r="U3" s="2242"/>
      <c r="V3" s="2242"/>
      <c r="W3" s="2242"/>
      <c r="X3" s="2242"/>
      <c r="Y3" s="2242"/>
    </row>
    <row r="4" spans="1:25" s="2093" customFormat="1" ht="18" customHeight="1" x14ac:dyDescent="0.25">
      <c r="A4" s="2243" t="s">
        <v>25</v>
      </c>
      <c r="B4" s="2243" t="s">
        <v>26</v>
      </c>
      <c r="C4" s="2244" t="s">
        <v>27</v>
      </c>
      <c r="D4" s="2244"/>
      <c r="E4" s="2244" t="s">
        <v>544</v>
      </c>
      <c r="F4" s="2244"/>
      <c r="G4" s="2244" t="s">
        <v>65</v>
      </c>
      <c r="H4" s="2244"/>
      <c r="I4" s="2244" t="s">
        <v>29</v>
      </c>
      <c r="J4" s="2244"/>
      <c r="K4" s="2245" t="s">
        <v>14</v>
      </c>
      <c r="L4" s="2246"/>
      <c r="M4" s="2245" t="s">
        <v>429</v>
      </c>
      <c r="N4" s="2246"/>
      <c r="O4" s="2245" t="s">
        <v>441</v>
      </c>
      <c r="P4" s="2246"/>
      <c r="Q4" s="2245" t="s">
        <v>114</v>
      </c>
      <c r="R4" s="2246"/>
      <c r="S4" s="2244" t="s">
        <v>35</v>
      </c>
      <c r="T4" s="2244"/>
      <c r="U4" s="2245" t="s">
        <v>17</v>
      </c>
      <c r="V4" s="2246"/>
      <c r="W4" s="2247" t="s">
        <v>36</v>
      </c>
      <c r="X4" s="2248"/>
      <c r="Y4" s="2238" t="s">
        <v>30</v>
      </c>
    </row>
    <row r="5" spans="1:25" s="2093" customFormat="1" ht="25.5" customHeight="1" x14ac:dyDescent="0.25">
      <c r="A5" s="2243"/>
      <c r="B5" s="2243"/>
      <c r="C5" s="2092" t="s">
        <v>42</v>
      </c>
      <c r="D5" s="2092" t="s">
        <v>43</v>
      </c>
      <c r="E5" s="2092" t="s">
        <v>42</v>
      </c>
      <c r="F5" s="2092" t="s">
        <v>43</v>
      </c>
      <c r="G5" s="2092" t="s">
        <v>42</v>
      </c>
      <c r="H5" s="2092" t="s">
        <v>43</v>
      </c>
      <c r="I5" s="2092" t="s">
        <v>42</v>
      </c>
      <c r="J5" s="2092" t="s">
        <v>43</v>
      </c>
      <c r="K5" s="2092" t="s">
        <v>42</v>
      </c>
      <c r="L5" s="2092" t="s">
        <v>43</v>
      </c>
      <c r="M5" s="2092" t="s">
        <v>42</v>
      </c>
      <c r="N5" s="2092" t="s">
        <v>43</v>
      </c>
      <c r="O5" s="2092" t="s">
        <v>42</v>
      </c>
      <c r="P5" s="2092" t="s">
        <v>43</v>
      </c>
      <c r="Q5" s="2092" t="s">
        <v>42</v>
      </c>
      <c r="R5" s="2092" t="s">
        <v>43</v>
      </c>
      <c r="S5" s="33" t="s">
        <v>42</v>
      </c>
      <c r="T5" s="33" t="s">
        <v>43</v>
      </c>
      <c r="U5" s="30" t="s">
        <v>42</v>
      </c>
      <c r="V5" s="30" t="s">
        <v>43</v>
      </c>
      <c r="W5" s="30" t="s">
        <v>42</v>
      </c>
      <c r="X5" s="30" t="s">
        <v>43</v>
      </c>
      <c r="Y5" s="2239"/>
    </row>
    <row r="6" spans="1:25" ht="34.5" customHeight="1" x14ac:dyDescent="0.25">
      <c r="A6" s="12">
        <v>1409935200</v>
      </c>
      <c r="B6" s="2091" t="s">
        <v>71</v>
      </c>
      <c r="C6" s="2089">
        <v>43137</v>
      </c>
      <c r="D6" s="2088">
        <f t="shared" ref="D6:D11" si="0">0.9725*C6</f>
        <v>41950.732499999998</v>
      </c>
      <c r="E6" s="2089"/>
      <c r="F6" s="2088">
        <f>19.68*E6</f>
        <v>0</v>
      </c>
      <c r="G6" s="2089">
        <v>30</v>
      </c>
      <c r="H6" s="2088">
        <f t="shared" ref="H6:H11" si="1">28.26*G6</f>
        <v>847.80000000000007</v>
      </c>
      <c r="I6" s="2089">
        <v>360</v>
      </c>
      <c r="J6" s="2088">
        <f>18.82*I6</f>
        <v>6775.2</v>
      </c>
      <c r="K6" s="2089"/>
      <c r="L6" s="2088">
        <f>28.25*K6</f>
        <v>0</v>
      </c>
      <c r="M6" s="2089"/>
      <c r="N6" s="2088">
        <f>M6*47.6525</f>
        <v>0</v>
      </c>
      <c r="O6" s="2089"/>
      <c r="P6" s="2088">
        <f>O6*8.9</f>
        <v>0</v>
      </c>
      <c r="Q6" s="2088"/>
      <c r="R6" s="2088">
        <f>241*Q6</f>
        <v>0</v>
      </c>
      <c r="S6" s="2089"/>
      <c r="T6" s="2089">
        <f>470*S6</f>
        <v>0</v>
      </c>
      <c r="U6" s="2089"/>
      <c r="V6" s="2089">
        <f>332*U6</f>
        <v>0</v>
      </c>
      <c r="W6" s="2089"/>
      <c r="X6" s="19">
        <f>W6*100</f>
        <v>0</v>
      </c>
      <c r="Y6" s="20">
        <f t="shared" ref="Y6:Y12" si="2">D6+F6+H6+J6+L6+N6+P6+R6+T6+V6+X6</f>
        <v>49573.732499999998</v>
      </c>
    </row>
    <row r="7" spans="1:25" ht="36.75" customHeight="1" x14ac:dyDescent="0.25">
      <c r="A7" s="12">
        <v>1984225578</v>
      </c>
      <c r="B7" s="2091" t="s">
        <v>509</v>
      </c>
      <c r="C7" s="2089">
        <v>29436</v>
      </c>
      <c r="D7" s="2088">
        <f t="shared" si="0"/>
        <v>28626.510000000002</v>
      </c>
      <c r="E7" s="2089"/>
      <c r="F7" s="2088">
        <f t="shared" ref="F7:F11" si="3">19.68*E7</f>
        <v>0</v>
      </c>
      <c r="G7" s="2089">
        <v>20</v>
      </c>
      <c r="H7" s="2088">
        <f t="shared" si="1"/>
        <v>565.20000000000005</v>
      </c>
      <c r="I7" s="2089">
        <v>500</v>
      </c>
      <c r="J7" s="2088">
        <f t="shared" ref="J7:J11" si="4">18.82*I7</f>
        <v>9410</v>
      </c>
      <c r="K7" s="2089"/>
      <c r="L7" s="2088">
        <f t="shared" ref="L7:L11" si="5">28.25*K7</f>
        <v>0</v>
      </c>
      <c r="M7" s="2089"/>
      <c r="N7" s="2088">
        <f t="shared" ref="N7:N11" si="6">M7*47.6525</f>
        <v>0</v>
      </c>
      <c r="O7" s="2089"/>
      <c r="P7" s="2088">
        <f t="shared" ref="P7:P11" si="7">O7*8.9</f>
        <v>0</v>
      </c>
      <c r="Q7" s="2088"/>
      <c r="R7" s="2088">
        <f t="shared" ref="R7:R11" si="8">241*Q7</f>
        <v>0</v>
      </c>
      <c r="S7" s="2089"/>
      <c r="T7" s="2089">
        <f t="shared" ref="T7:T9" si="9">470*S7</f>
        <v>0</v>
      </c>
      <c r="U7" s="2089"/>
      <c r="V7" s="2089">
        <f t="shared" ref="V7:V11" si="10">332*U7</f>
        <v>0</v>
      </c>
      <c r="W7" s="2089">
        <v>1</v>
      </c>
      <c r="X7" s="19">
        <f t="shared" ref="X7:X11" si="11">W7*100</f>
        <v>100</v>
      </c>
      <c r="Y7" s="20">
        <f t="shared" si="2"/>
        <v>38701.710000000006</v>
      </c>
    </row>
    <row r="8" spans="1:25" ht="35.25" customHeight="1" x14ac:dyDescent="0.25">
      <c r="A8" s="12">
        <v>1967020280</v>
      </c>
      <c r="B8" s="2091" t="s">
        <v>427</v>
      </c>
      <c r="C8" s="2089">
        <v>38971</v>
      </c>
      <c r="D8" s="2088">
        <f t="shared" si="0"/>
        <v>37899.297500000001</v>
      </c>
      <c r="E8" s="2089"/>
      <c r="F8" s="2088">
        <f t="shared" si="3"/>
        <v>0</v>
      </c>
      <c r="G8" s="2089">
        <v>50</v>
      </c>
      <c r="H8" s="2088">
        <f t="shared" si="1"/>
        <v>1413</v>
      </c>
      <c r="I8" s="2089">
        <v>860</v>
      </c>
      <c r="J8" s="2088">
        <f t="shared" si="4"/>
        <v>16185.2</v>
      </c>
      <c r="K8" s="2089"/>
      <c r="L8" s="2088">
        <f t="shared" si="5"/>
        <v>0</v>
      </c>
      <c r="M8" s="2089"/>
      <c r="N8" s="2088">
        <f t="shared" si="6"/>
        <v>0</v>
      </c>
      <c r="O8" s="2089"/>
      <c r="P8" s="2088">
        <f t="shared" si="7"/>
        <v>0</v>
      </c>
      <c r="Q8" s="2088"/>
      <c r="R8" s="2088">
        <f t="shared" si="8"/>
        <v>0</v>
      </c>
      <c r="S8" s="2089"/>
      <c r="T8" s="2089">
        <f t="shared" si="9"/>
        <v>0</v>
      </c>
      <c r="U8" s="2089"/>
      <c r="V8" s="2089">
        <f t="shared" si="10"/>
        <v>0</v>
      </c>
      <c r="W8" s="2089"/>
      <c r="X8" s="19">
        <f t="shared" si="11"/>
        <v>0</v>
      </c>
      <c r="Y8" s="20">
        <f t="shared" si="2"/>
        <v>55497.497499999998</v>
      </c>
    </row>
    <row r="9" spans="1:25" ht="38.25" customHeight="1" x14ac:dyDescent="0.25">
      <c r="A9" s="12">
        <v>1984225580</v>
      </c>
      <c r="B9" s="2091" t="s">
        <v>74</v>
      </c>
      <c r="C9" s="2089">
        <v>36591</v>
      </c>
      <c r="D9" s="2088">
        <f t="shared" si="0"/>
        <v>35584.747499999998</v>
      </c>
      <c r="E9" s="2089"/>
      <c r="F9" s="2088">
        <f t="shared" si="3"/>
        <v>0</v>
      </c>
      <c r="G9" s="2089">
        <v>20</v>
      </c>
      <c r="H9" s="2088">
        <f t="shared" si="1"/>
        <v>565.20000000000005</v>
      </c>
      <c r="I9" s="2089">
        <v>340</v>
      </c>
      <c r="J9" s="2088">
        <f t="shared" si="4"/>
        <v>6398.8</v>
      </c>
      <c r="K9" s="2089"/>
      <c r="L9" s="2088">
        <f t="shared" si="5"/>
        <v>0</v>
      </c>
      <c r="M9" s="2089"/>
      <c r="N9" s="2088">
        <f t="shared" si="6"/>
        <v>0</v>
      </c>
      <c r="O9" s="2089"/>
      <c r="P9" s="2088">
        <f t="shared" si="7"/>
        <v>0</v>
      </c>
      <c r="Q9" s="2088"/>
      <c r="R9" s="2088">
        <f t="shared" si="8"/>
        <v>0</v>
      </c>
      <c r="S9" s="2089"/>
      <c r="T9" s="2089">
        <f t="shared" si="9"/>
        <v>0</v>
      </c>
      <c r="U9" s="2089"/>
      <c r="V9" s="2089">
        <f t="shared" si="10"/>
        <v>0</v>
      </c>
      <c r="W9" s="2089"/>
      <c r="X9" s="19">
        <f t="shared" si="11"/>
        <v>0</v>
      </c>
      <c r="Y9" s="20">
        <f t="shared" si="2"/>
        <v>42548.747499999998</v>
      </c>
    </row>
    <row r="10" spans="1:25" ht="35.25" customHeight="1" x14ac:dyDescent="0.25">
      <c r="A10" s="12">
        <v>1409935199</v>
      </c>
      <c r="C10" s="2089"/>
      <c r="D10" s="2088">
        <f t="shared" si="0"/>
        <v>0</v>
      </c>
      <c r="E10" s="2089"/>
      <c r="F10" s="2088">
        <f t="shared" si="3"/>
        <v>0</v>
      </c>
      <c r="G10" s="2089"/>
      <c r="H10" s="2088">
        <f t="shared" si="1"/>
        <v>0</v>
      </c>
      <c r="I10" s="2089"/>
      <c r="J10" s="2088">
        <f t="shared" si="4"/>
        <v>0</v>
      </c>
      <c r="K10" s="2089"/>
      <c r="L10" s="2088">
        <f t="shared" si="5"/>
        <v>0</v>
      </c>
      <c r="M10" s="2089"/>
      <c r="N10" s="2088">
        <f t="shared" si="6"/>
        <v>0</v>
      </c>
      <c r="O10" s="2089"/>
      <c r="P10" s="2088">
        <f t="shared" si="7"/>
        <v>0</v>
      </c>
      <c r="Q10" s="2088"/>
      <c r="R10" s="2088">
        <f t="shared" si="8"/>
        <v>0</v>
      </c>
      <c r="S10" s="2089"/>
      <c r="T10" s="2089">
        <f>470*S10</f>
        <v>0</v>
      </c>
      <c r="U10" s="2089"/>
      <c r="V10" s="2089">
        <f t="shared" si="10"/>
        <v>0</v>
      </c>
      <c r="W10" s="2089"/>
      <c r="X10" s="19">
        <f t="shared" si="11"/>
        <v>0</v>
      </c>
      <c r="Y10" s="20">
        <f t="shared" si="2"/>
        <v>0</v>
      </c>
    </row>
    <row r="11" spans="1:25" ht="37.5" customHeight="1" x14ac:dyDescent="0.25">
      <c r="A11" s="12"/>
      <c r="B11" s="2090"/>
      <c r="C11" s="2089"/>
      <c r="D11" s="2088">
        <f t="shared" si="0"/>
        <v>0</v>
      </c>
      <c r="E11" s="2089"/>
      <c r="F11" s="2088">
        <f t="shared" si="3"/>
        <v>0</v>
      </c>
      <c r="G11" s="2089"/>
      <c r="H11" s="2088">
        <f t="shared" si="1"/>
        <v>0</v>
      </c>
      <c r="I11" s="2089"/>
      <c r="J11" s="2088">
        <f t="shared" si="4"/>
        <v>0</v>
      </c>
      <c r="K11" s="2089"/>
      <c r="L11" s="2088">
        <f t="shared" si="5"/>
        <v>0</v>
      </c>
      <c r="M11" s="2089"/>
      <c r="N11" s="2088">
        <f t="shared" si="6"/>
        <v>0</v>
      </c>
      <c r="O11" s="2089"/>
      <c r="P11" s="2088">
        <f t="shared" si="7"/>
        <v>0</v>
      </c>
      <c r="Q11" s="2088"/>
      <c r="R11" s="2088">
        <f t="shared" si="8"/>
        <v>0</v>
      </c>
      <c r="S11" s="2089"/>
      <c r="T11" s="2089">
        <f>241*S11</f>
        <v>0</v>
      </c>
      <c r="U11" s="2089"/>
      <c r="V11" s="2089">
        <f t="shared" si="10"/>
        <v>0</v>
      </c>
      <c r="W11" s="2089"/>
      <c r="X11" s="19">
        <f t="shared" si="11"/>
        <v>0</v>
      </c>
      <c r="Y11" s="20">
        <f t="shared" si="2"/>
        <v>0</v>
      </c>
    </row>
    <row r="12" spans="1:25" ht="29.25" customHeight="1" x14ac:dyDescent="0.25">
      <c r="A12" s="2235" t="s">
        <v>31</v>
      </c>
      <c r="B12" s="2235"/>
      <c r="C12" s="18">
        <f t="shared" ref="C12:X12" si="12">SUM(C6:C11)</f>
        <v>148135</v>
      </c>
      <c r="D12" s="18">
        <f t="shared" si="12"/>
        <v>144061.28749999998</v>
      </c>
      <c r="E12" s="18">
        <f t="shared" si="12"/>
        <v>0</v>
      </c>
      <c r="F12" s="18">
        <f t="shared" si="12"/>
        <v>0</v>
      </c>
      <c r="G12" s="18">
        <f t="shared" si="12"/>
        <v>120</v>
      </c>
      <c r="H12" s="18">
        <f t="shared" si="12"/>
        <v>3391.2</v>
      </c>
      <c r="I12" s="18">
        <f t="shared" si="12"/>
        <v>2060</v>
      </c>
      <c r="J12" s="18">
        <f t="shared" si="12"/>
        <v>38769.200000000004</v>
      </c>
      <c r="K12" s="18">
        <f t="shared" si="12"/>
        <v>0</v>
      </c>
      <c r="L12" s="18">
        <f t="shared" si="12"/>
        <v>0</v>
      </c>
      <c r="M12" s="18">
        <f t="shared" si="12"/>
        <v>0</v>
      </c>
      <c r="N12" s="23">
        <f t="shared" si="12"/>
        <v>0</v>
      </c>
      <c r="O12" s="18">
        <f t="shared" si="12"/>
        <v>0</v>
      </c>
      <c r="P12" s="23">
        <f t="shared" si="12"/>
        <v>0</v>
      </c>
      <c r="Q12" s="23">
        <f t="shared" si="12"/>
        <v>0</v>
      </c>
      <c r="R12" s="23">
        <f>SUM(R6:R11)</f>
        <v>0</v>
      </c>
      <c r="S12" s="23">
        <f>SUM(S6:S11)</f>
        <v>0</v>
      </c>
      <c r="T12" s="18">
        <f t="shared" si="12"/>
        <v>0</v>
      </c>
      <c r="U12" s="18">
        <f t="shared" si="12"/>
        <v>0</v>
      </c>
      <c r="V12" s="18">
        <f t="shared" si="12"/>
        <v>0</v>
      </c>
      <c r="W12" s="18">
        <f t="shared" si="12"/>
        <v>1</v>
      </c>
      <c r="X12" s="18">
        <f t="shared" si="12"/>
        <v>100</v>
      </c>
      <c r="Y12" s="20">
        <f t="shared" si="2"/>
        <v>186321.6875</v>
      </c>
    </row>
    <row r="14" spans="1:25" ht="43.5" customHeight="1" x14ac:dyDescent="0.25">
      <c r="A14" s="30" t="s">
        <v>32</v>
      </c>
      <c r="B14" s="2236" t="s">
        <v>27</v>
      </c>
      <c r="C14" s="2236"/>
      <c r="D14" s="30" t="s">
        <v>543</v>
      </c>
      <c r="E14" s="30" t="s">
        <v>65</v>
      </c>
      <c r="F14" s="30" t="s">
        <v>34</v>
      </c>
      <c r="G14" s="30" t="s">
        <v>14</v>
      </c>
      <c r="H14" s="469" t="s">
        <v>173</v>
      </c>
      <c r="I14" s="30" t="s">
        <v>17</v>
      </c>
      <c r="J14" s="2097" t="s">
        <v>174</v>
      </c>
      <c r="K14" s="30" t="s">
        <v>36</v>
      </c>
      <c r="L14" s="2097" t="s">
        <v>403</v>
      </c>
      <c r="M14" s="2097" t="s">
        <v>549</v>
      </c>
      <c r="N14" s="30" t="s">
        <v>442</v>
      </c>
      <c r="O14" s="2097" t="s">
        <v>114</v>
      </c>
      <c r="P14" s="30" t="s">
        <v>70</v>
      </c>
      <c r="Q14" s="2300" t="s">
        <v>479</v>
      </c>
      <c r="R14" s="2301"/>
      <c r="S14" s="2097" t="s">
        <v>401</v>
      </c>
      <c r="T14" s="2235" t="s">
        <v>46</v>
      </c>
      <c r="U14" s="2091" t="s">
        <v>176</v>
      </c>
      <c r="V14" s="2260">
        <v>56382</v>
      </c>
      <c r="W14" s="2268"/>
      <c r="X14" s="2261"/>
    </row>
    <row r="15" spans="1:25" ht="22.5" customHeight="1" x14ac:dyDescent="0.25">
      <c r="A15" s="100" t="s">
        <v>38</v>
      </c>
      <c r="B15" s="2260">
        <v>376726</v>
      </c>
      <c r="C15" s="2261"/>
      <c r="D15" s="2094">
        <v>0</v>
      </c>
      <c r="E15" s="2094">
        <v>310</v>
      </c>
      <c r="F15" s="2094">
        <v>5850</v>
      </c>
      <c r="G15" s="2094">
        <v>590</v>
      </c>
      <c r="H15" s="2094">
        <v>34</v>
      </c>
      <c r="I15" s="2094">
        <v>44</v>
      </c>
      <c r="J15" s="2094"/>
      <c r="K15" s="2094">
        <v>84</v>
      </c>
      <c r="L15" s="2094">
        <v>12</v>
      </c>
      <c r="M15" s="2094">
        <v>11</v>
      </c>
      <c r="N15" s="2094">
        <v>0</v>
      </c>
      <c r="O15" s="2094">
        <v>0</v>
      </c>
      <c r="P15" s="2094">
        <v>100</v>
      </c>
      <c r="Q15" s="2260">
        <v>10</v>
      </c>
      <c r="R15" s="2261"/>
      <c r="S15" s="2091"/>
      <c r="T15" s="2235"/>
      <c r="U15" s="2091" t="s">
        <v>64</v>
      </c>
      <c r="V15" s="2262">
        <v>14404</v>
      </c>
      <c r="W15" s="2262"/>
      <c r="X15" s="2262"/>
    </row>
    <row r="16" spans="1:25" ht="24.75" customHeight="1" x14ac:dyDescent="0.25">
      <c r="A16" s="100" t="s">
        <v>39</v>
      </c>
      <c r="B16" s="2260">
        <v>114285</v>
      </c>
      <c r="C16" s="2261"/>
      <c r="D16" s="2094"/>
      <c r="E16" s="2094"/>
      <c r="F16" s="2094"/>
      <c r="G16" s="2094"/>
      <c r="H16" s="2094"/>
      <c r="I16" s="2094"/>
      <c r="J16" s="2094"/>
      <c r="K16" s="2094"/>
      <c r="L16" s="2094"/>
      <c r="M16" s="2094"/>
      <c r="N16" s="2094"/>
      <c r="O16" s="2094"/>
      <c r="P16" s="2094"/>
      <c r="Q16" s="2262"/>
      <c r="R16" s="2262"/>
      <c r="S16" s="2094"/>
      <c r="T16" s="2254" t="s">
        <v>55</v>
      </c>
      <c r="U16" s="2254"/>
      <c r="V16" s="2267">
        <f>Y12</f>
        <v>186321.6875</v>
      </c>
      <c r="W16" s="2267"/>
      <c r="X16" s="2262"/>
    </row>
    <row r="17" spans="1:25" ht="28.5" customHeight="1" x14ac:dyDescent="0.25">
      <c r="A17" s="101" t="s">
        <v>44</v>
      </c>
      <c r="B17" s="2260"/>
      <c r="C17" s="2261"/>
      <c r="D17" s="2094"/>
      <c r="E17" s="2094"/>
      <c r="F17" s="2094"/>
      <c r="G17" s="2094"/>
      <c r="H17" s="2094"/>
      <c r="I17" s="2094"/>
      <c r="J17" s="2094"/>
      <c r="K17" s="2094"/>
      <c r="L17" s="2094"/>
      <c r="M17" s="2094"/>
      <c r="N17" s="2094"/>
      <c r="O17" s="2094"/>
      <c r="P17" s="2094"/>
      <c r="Q17" s="2225"/>
      <c r="R17" s="2225"/>
      <c r="S17" s="2090"/>
      <c r="T17" s="2294" t="s">
        <v>521</v>
      </c>
      <c r="U17" s="2295"/>
      <c r="V17" s="2296"/>
      <c r="W17" s="2296"/>
      <c r="X17" s="2296"/>
    </row>
    <row r="18" spans="1:25" ht="27" customHeight="1" x14ac:dyDescent="0.25">
      <c r="A18" s="100" t="s">
        <v>40</v>
      </c>
      <c r="B18" s="2264">
        <f>C12</f>
        <v>148135</v>
      </c>
      <c r="C18" s="2261"/>
      <c r="D18" s="2096">
        <f>E12</f>
        <v>0</v>
      </c>
      <c r="E18" s="2096">
        <f>G12</f>
        <v>120</v>
      </c>
      <c r="F18" s="2096">
        <f>I12</f>
        <v>2060</v>
      </c>
      <c r="G18" s="2096">
        <f>K12</f>
        <v>0</v>
      </c>
      <c r="H18" s="2094"/>
      <c r="I18" s="2096">
        <f>U12</f>
        <v>0</v>
      </c>
      <c r="J18" s="2094"/>
      <c r="K18" s="2096">
        <f>W12</f>
        <v>1</v>
      </c>
      <c r="L18" s="2094"/>
      <c r="M18" s="2096"/>
      <c r="N18" s="2096">
        <f>O12</f>
        <v>0</v>
      </c>
      <c r="O18" s="2095">
        <f>Q12</f>
        <v>0</v>
      </c>
      <c r="P18" s="2096"/>
      <c r="Q18" s="2262">
        <v>10</v>
      </c>
      <c r="R18" s="2262"/>
      <c r="S18" s="2091"/>
      <c r="T18" s="2254" t="s">
        <v>57</v>
      </c>
      <c r="U18" s="2254"/>
      <c r="V18" s="2262">
        <v>920</v>
      </c>
      <c r="W18" s="2262"/>
      <c r="X18" s="2262"/>
      <c r="Y18" s="2269"/>
    </row>
    <row r="19" spans="1:25" ht="25.5" customHeight="1" x14ac:dyDescent="0.25">
      <c r="A19" s="100" t="s">
        <v>41</v>
      </c>
      <c r="B19" s="2260">
        <f>B15+B16+B17-B18</f>
        <v>342876</v>
      </c>
      <c r="C19" s="2261"/>
      <c r="D19" s="2094">
        <f>D15+D16+D17-D18</f>
        <v>0</v>
      </c>
      <c r="E19" s="2094">
        <f t="shared" ref="E19:N19" si="13">E15+E16+E17-E18</f>
        <v>190</v>
      </c>
      <c r="F19" s="2094">
        <f t="shared" si="13"/>
        <v>3790</v>
      </c>
      <c r="G19" s="2094">
        <f t="shared" si="13"/>
        <v>590</v>
      </c>
      <c r="H19" s="2094">
        <f t="shared" si="13"/>
        <v>34</v>
      </c>
      <c r="I19" s="2094">
        <f t="shared" si="13"/>
        <v>44</v>
      </c>
      <c r="J19" s="2094">
        <f t="shared" si="13"/>
        <v>0</v>
      </c>
      <c r="K19" s="2094">
        <f t="shared" si="13"/>
        <v>83</v>
      </c>
      <c r="L19" s="2094">
        <f t="shared" si="13"/>
        <v>12</v>
      </c>
      <c r="M19" s="2094">
        <f t="shared" si="13"/>
        <v>11</v>
      </c>
      <c r="N19" s="2094">
        <f t="shared" si="13"/>
        <v>0</v>
      </c>
      <c r="O19" s="2094">
        <f>O15+O16+O17-O18</f>
        <v>0</v>
      </c>
      <c r="P19" s="2094">
        <f t="shared" ref="P19:Q19" si="14">P15+P16+P17-P18</f>
        <v>100</v>
      </c>
      <c r="Q19" s="2260">
        <f t="shared" si="14"/>
        <v>0</v>
      </c>
      <c r="R19" s="2261"/>
      <c r="S19" s="2091">
        <f>S15+S16-S17-S18</f>
        <v>0</v>
      </c>
      <c r="T19" s="2256" t="s">
        <v>48</v>
      </c>
      <c r="U19" s="49" t="s">
        <v>58</v>
      </c>
      <c r="V19" s="2262">
        <v>100000</v>
      </c>
      <c r="W19" s="2262"/>
      <c r="X19" s="2262"/>
      <c r="Y19" s="2269"/>
    </row>
    <row r="20" spans="1:25" ht="23.25" customHeight="1" x14ac:dyDescent="0.25">
      <c r="A20" s="289" t="s">
        <v>187</v>
      </c>
      <c r="B20" s="2286">
        <f>B19*0.9625</f>
        <v>330018.15000000002</v>
      </c>
      <c r="C20" s="2287"/>
      <c r="D20" s="290">
        <f>D19*19.48</f>
        <v>0</v>
      </c>
      <c r="E20" s="290">
        <f>27.97*E19</f>
        <v>5314.3</v>
      </c>
      <c r="F20" s="290">
        <f>18.63*F19</f>
        <v>70607.7</v>
      </c>
      <c r="G20" s="290">
        <f>27.9468*G19</f>
        <v>16488.612000000001</v>
      </c>
      <c r="H20" s="290">
        <f>241*H19</f>
        <v>8194</v>
      </c>
      <c r="I20" s="290">
        <f>323*I19</f>
        <v>14212</v>
      </c>
      <c r="J20" s="290">
        <f>241*J19</f>
        <v>0</v>
      </c>
      <c r="K20" s="290">
        <f>K19*100</f>
        <v>8300</v>
      </c>
      <c r="L20" s="290">
        <f>470*L19</f>
        <v>5640</v>
      </c>
      <c r="M20" s="290">
        <f>470*M19</f>
        <v>5170</v>
      </c>
      <c r="N20" s="290">
        <f>N19*8.81</f>
        <v>0</v>
      </c>
      <c r="O20" s="290">
        <f>241*O19</f>
        <v>0</v>
      </c>
      <c r="P20" s="290">
        <f>P19*48.2</f>
        <v>4820</v>
      </c>
      <c r="Q20" s="2286">
        <f>470*Q19</f>
        <v>0</v>
      </c>
      <c r="R20" s="2287"/>
      <c r="S20" s="290">
        <f>341*S19</f>
        <v>0</v>
      </c>
      <c r="T20" s="2257"/>
      <c r="U20" s="49" t="s">
        <v>59</v>
      </c>
      <c r="V20" s="2262"/>
      <c r="W20" s="2262"/>
      <c r="X20" s="2262"/>
      <c r="Y20" s="2269"/>
    </row>
    <row r="21" spans="1:25" ht="32.25" customHeight="1" x14ac:dyDescent="0.25">
      <c r="A21" s="291" t="s">
        <v>186</v>
      </c>
      <c r="B21" s="2302">
        <f>SUM(B20:S20)</f>
        <v>468764.76200000005</v>
      </c>
      <c r="C21" s="2302"/>
      <c r="T21" s="2294" t="s">
        <v>518</v>
      </c>
      <c r="U21" s="2295"/>
      <c r="V21" s="2297"/>
      <c r="W21" s="2298"/>
      <c r="X21" s="2299"/>
      <c r="Y21" s="2269"/>
    </row>
    <row r="22" spans="1:25" ht="35.25" customHeight="1" x14ac:dyDescent="0.25">
      <c r="A22" s="1911"/>
      <c r="B22" s="2288" t="s">
        <v>49</v>
      </c>
      <c r="C22" s="2291">
        <v>100000</v>
      </c>
      <c r="D22" s="2291">
        <v>100000</v>
      </c>
      <c r="E22" s="2291">
        <v>110000</v>
      </c>
      <c r="F22" s="2291">
        <f>C22-D22+E22</f>
        <v>110000</v>
      </c>
      <c r="T22" s="2251" t="s">
        <v>83</v>
      </c>
      <c r="U22" s="50" t="s">
        <v>60</v>
      </c>
      <c r="V22" s="2262">
        <v>195290</v>
      </c>
      <c r="W22" s="2262"/>
      <c r="X22" s="2262"/>
      <c r="Y22" s="2269"/>
    </row>
    <row r="23" spans="1:25" ht="39.75" customHeight="1" x14ac:dyDescent="0.25">
      <c r="B23" s="2289"/>
      <c r="C23" s="2292"/>
      <c r="D23" s="2292"/>
      <c r="E23" s="2292"/>
      <c r="F23" s="2292"/>
      <c r="T23" s="2252"/>
      <c r="U23" s="50" t="s">
        <v>61</v>
      </c>
      <c r="V23" s="2262">
        <v>196000</v>
      </c>
      <c r="W23" s="2262"/>
      <c r="X23" s="2262"/>
      <c r="Y23" s="2269"/>
    </row>
    <row r="24" spans="1:25" ht="48" customHeight="1" x14ac:dyDescent="0.25">
      <c r="B24" s="2290"/>
      <c r="C24" s="290" t="s">
        <v>46</v>
      </c>
      <c r="D24" s="290" t="s">
        <v>50</v>
      </c>
      <c r="E24" s="290" t="s">
        <v>51</v>
      </c>
      <c r="F24" s="290" t="s">
        <v>52</v>
      </c>
      <c r="T24" s="2235" t="s">
        <v>47</v>
      </c>
      <c r="U24" s="51" t="s">
        <v>62</v>
      </c>
      <c r="V24" s="2263">
        <f>V14+V16+V17-V18-V19-V20-V22+V23-V21</f>
        <v>142493.6875</v>
      </c>
      <c r="W24" s="2263"/>
      <c r="X24" s="2263"/>
      <c r="Y24" s="2269"/>
    </row>
    <row r="25" spans="1:25" ht="40.5" customHeight="1" x14ac:dyDescent="0.25">
      <c r="T25" s="2235"/>
      <c r="U25" s="51" t="s">
        <v>63</v>
      </c>
      <c r="V25" s="2262">
        <f>V15+V22-V23</f>
        <v>13694</v>
      </c>
      <c r="W25" s="2262"/>
      <c r="X25" s="2262"/>
    </row>
    <row r="26" spans="1:25" ht="36" customHeight="1" x14ac:dyDescent="0.25">
      <c r="K26" s="314"/>
    </row>
    <row r="28" spans="1:25" x14ac:dyDescent="0.25">
      <c r="J28" s="14" t="s">
        <v>139</v>
      </c>
    </row>
    <row r="32" spans="1:25" x14ac:dyDescent="0.25">
      <c r="I32" s="2280"/>
      <c r="J32" s="2280"/>
      <c r="K32" s="2280"/>
      <c r="L32" s="2280"/>
    </row>
    <row r="33" spans="9:12" x14ac:dyDescent="0.25">
      <c r="I33" s="2098"/>
      <c r="J33" s="2098"/>
      <c r="K33" s="2280"/>
      <c r="L33" s="2280"/>
    </row>
  </sheetData>
  <mergeCells count="62">
    <mergeCell ref="A1:Y1"/>
    <mergeCell ref="A2:Y2"/>
    <mergeCell ref="T3:Y3"/>
    <mergeCell ref="A4:A5"/>
    <mergeCell ref="B4:B5"/>
    <mergeCell ref="C4:D4"/>
    <mergeCell ref="E4:F4"/>
    <mergeCell ref="G4:H4"/>
    <mergeCell ref="I4:J4"/>
    <mergeCell ref="K4:L4"/>
    <mergeCell ref="Y4:Y5"/>
    <mergeCell ref="M4:N4"/>
    <mergeCell ref="O4:P4"/>
    <mergeCell ref="Q4:R4"/>
    <mergeCell ref="S4:T4"/>
    <mergeCell ref="U4:V4"/>
    <mergeCell ref="W4:X4"/>
    <mergeCell ref="B16:C16"/>
    <mergeCell ref="Q16:R16"/>
    <mergeCell ref="T16:U16"/>
    <mergeCell ref="V16:X16"/>
    <mergeCell ref="A12:B12"/>
    <mergeCell ref="B14:C14"/>
    <mergeCell ref="Q14:R14"/>
    <mergeCell ref="T14:T15"/>
    <mergeCell ref="V14:X14"/>
    <mergeCell ref="B15:C15"/>
    <mergeCell ref="Q15:R15"/>
    <mergeCell ref="V15:X15"/>
    <mergeCell ref="B17:C17"/>
    <mergeCell ref="Q17:R17"/>
    <mergeCell ref="T17:U17"/>
    <mergeCell ref="V17:X17"/>
    <mergeCell ref="B18:C18"/>
    <mergeCell ref="Q18:R18"/>
    <mergeCell ref="T18:U18"/>
    <mergeCell ref="V18:X18"/>
    <mergeCell ref="Y18:Y24"/>
    <mergeCell ref="B19:C19"/>
    <mergeCell ref="Q19:R19"/>
    <mergeCell ref="T19:T20"/>
    <mergeCell ref="V19:X19"/>
    <mergeCell ref="B20:C20"/>
    <mergeCell ref="B22:B24"/>
    <mergeCell ref="C22:C23"/>
    <mergeCell ref="D22:D23"/>
    <mergeCell ref="E22:E23"/>
    <mergeCell ref="F22:F23"/>
    <mergeCell ref="Q20:R20"/>
    <mergeCell ref="V20:X20"/>
    <mergeCell ref="B21:C21"/>
    <mergeCell ref="T21:U21"/>
    <mergeCell ref="V21:X21"/>
    <mergeCell ref="I32:J32"/>
    <mergeCell ref="K32:L32"/>
    <mergeCell ref="K33:L33"/>
    <mergeCell ref="T22:T23"/>
    <mergeCell ref="V22:X22"/>
    <mergeCell ref="V23:X23"/>
    <mergeCell ref="T24:T25"/>
    <mergeCell ref="V24:X24"/>
    <mergeCell ref="V25:X25"/>
  </mergeCells>
  <pageMargins left="0.15748031496063" right="0.15748031496063" top="0" bottom="0" header="0" footer="0"/>
  <pageSetup paperSize="9" scale="46" orientation="landscape" r:id="rId1"/>
</worksheet>
</file>

<file path=xl/worksheets/sheet3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DDC6514-329B-4870-8946-FC701B3341AB}">
  <sheetPr>
    <pageSetUpPr fitToPage="1"/>
  </sheetPr>
  <dimension ref="A1:Y33"/>
  <sheetViews>
    <sheetView topLeftCell="A10" zoomScale="70" zoomScaleNormal="70" zoomScaleSheetLayoutView="100" zoomScalePageLayoutView="68" workbookViewId="0">
      <selection activeCell="O25" sqref="O25"/>
    </sheetView>
  </sheetViews>
  <sheetFormatPr defaultColWidth="9.140625" defaultRowHeight="15" x14ac:dyDescent="0.25"/>
  <cols>
    <col min="1" max="1" width="18.28515625" style="14" customWidth="1"/>
    <col min="2" max="2" width="10.7109375" style="14" customWidth="1"/>
    <col min="3" max="3" width="12.28515625" style="14" customWidth="1"/>
    <col min="4" max="4" width="13.140625" style="14" bestFit="1" customWidth="1"/>
    <col min="5" max="5" width="12" style="14" customWidth="1"/>
    <col min="6" max="6" width="14" style="14" bestFit="1" customWidth="1"/>
    <col min="7" max="7" width="16" style="14" bestFit="1" customWidth="1"/>
    <col min="8" max="8" width="11" style="14" bestFit="1" customWidth="1"/>
    <col min="9" max="9" width="10.5703125" style="14" bestFit="1" customWidth="1"/>
    <col min="10" max="10" width="10.5703125" style="14" customWidth="1"/>
    <col min="11" max="11" width="10.28515625" style="14" bestFit="1" customWidth="1"/>
    <col min="12" max="12" width="10.42578125" style="14" bestFit="1" customWidth="1"/>
    <col min="13" max="14" width="12" style="14" bestFit="1" customWidth="1"/>
    <col min="15" max="15" width="11" style="14" customWidth="1"/>
    <col min="16" max="16" width="12.85546875" style="14" bestFit="1" customWidth="1"/>
    <col min="17" max="18" width="9.42578125" style="14" customWidth="1"/>
    <col min="19" max="19" width="13.7109375" style="14" customWidth="1"/>
    <col min="20" max="20" width="12.140625" style="14" customWidth="1"/>
    <col min="21" max="21" width="21.7109375" style="14" customWidth="1"/>
    <col min="22" max="22" width="9.85546875" style="14" customWidth="1"/>
    <col min="23" max="23" width="10.140625" style="14" bestFit="1" customWidth="1"/>
    <col min="24" max="24" width="10.28515625" style="14" customWidth="1"/>
    <col min="25" max="25" width="15.7109375" style="14" customWidth="1"/>
    <col min="26" max="16384" width="9.140625" style="14"/>
  </cols>
  <sheetData>
    <row r="1" spans="1:25" ht="46.15" customHeight="1" x14ac:dyDescent="0.25">
      <c r="A1" s="2240" t="s">
        <v>148</v>
      </c>
      <c r="B1" s="2240"/>
      <c r="C1" s="2240"/>
      <c r="D1" s="2240"/>
      <c r="E1" s="2240"/>
      <c r="F1" s="2240"/>
      <c r="G1" s="2240"/>
      <c r="H1" s="2240"/>
      <c r="I1" s="2240"/>
      <c r="J1" s="2240"/>
      <c r="K1" s="2240"/>
      <c r="L1" s="2240"/>
      <c r="M1" s="2240"/>
      <c r="N1" s="2240"/>
      <c r="O1" s="2240"/>
      <c r="P1" s="2240"/>
      <c r="Q1" s="2240"/>
      <c r="R1" s="2240"/>
      <c r="S1" s="2240"/>
      <c r="T1" s="2240"/>
      <c r="U1" s="2240"/>
      <c r="V1" s="2240"/>
      <c r="W1" s="2240"/>
      <c r="X1" s="2240"/>
      <c r="Y1" s="2240"/>
    </row>
    <row r="2" spans="1:25" ht="21.6" customHeight="1" x14ac:dyDescent="0.25">
      <c r="A2" s="2241" t="s">
        <v>383</v>
      </c>
      <c r="B2" s="2241"/>
      <c r="C2" s="2241"/>
      <c r="D2" s="2241"/>
      <c r="E2" s="2241"/>
      <c r="F2" s="2241"/>
      <c r="G2" s="2241"/>
      <c r="H2" s="2241"/>
      <c r="I2" s="2241"/>
      <c r="J2" s="2241"/>
      <c r="K2" s="2241"/>
      <c r="L2" s="2241"/>
      <c r="M2" s="2241"/>
      <c r="N2" s="2241"/>
      <c r="O2" s="2241"/>
      <c r="P2" s="2241"/>
      <c r="Q2" s="2241"/>
      <c r="R2" s="2241"/>
      <c r="S2" s="2241"/>
      <c r="T2" s="2241"/>
      <c r="U2" s="2241"/>
      <c r="V2" s="2241"/>
      <c r="W2" s="2241"/>
      <c r="X2" s="2241"/>
      <c r="Y2" s="2241"/>
    </row>
    <row r="3" spans="1:25" ht="21" customHeight="1" x14ac:dyDescent="0.25">
      <c r="A3" s="2099"/>
      <c r="B3" s="2099"/>
      <c r="C3" s="2099"/>
      <c r="D3" s="2099"/>
      <c r="E3" s="2099"/>
      <c r="F3" s="2099"/>
      <c r="G3" s="2099"/>
      <c r="H3" s="2099"/>
      <c r="I3" s="2099"/>
      <c r="J3" s="2099"/>
      <c r="K3" s="2099"/>
      <c r="L3" s="2099"/>
      <c r="M3" s="2099"/>
      <c r="N3" s="2099"/>
      <c r="O3" s="2099"/>
      <c r="P3" s="2099"/>
      <c r="Q3" s="2099"/>
      <c r="R3" s="2099"/>
      <c r="S3" s="2099"/>
      <c r="T3" s="2242" t="s">
        <v>585</v>
      </c>
      <c r="U3" s="2242"/>
      <c r="V3" s="2242"/>
      <c r="W3" s="2242"/>
      <c r="X3" s="2242"/>
      <c r="Y3" s="2242"/>
    </row>
    <row r="4" spans="1:25" s="2099" customFormat="1" ht="18" customHeight="1" x14ac:dyDescent="0.25">
      <c r="A4" s="2243" t="s">
        <v>25</v>
      </c>
      <c r="B4" s="2243" t="s">
        <v>26</v>
      </c>
      <c r="C4" s="2244" t="s">
        <v>27</v>
      </c>
      <c r="D4" s="2244"/>
      <c r="E4" s="2244" t="s">
        <v>544</v>
      </c>
      <c r="F4" s="2244"/>
      <c r="G4" s="2244" t="s">
        <v>65</v>
      </c>
      <c r="H4" s="2244"/>
      <c r="I4" s="2244" t="s">
        <v>29</v>
      </c>
      <c r="J4" s="2244"/>
      <c r="K4" s="2245" t="s">
        <v>14</v>
      </c>
      <c r="L4" s="2246"/>
      <c r="M4" s="2245" t="s">
        <v>429</v>
      </c>
      <c r="N4" s="2246"/>
      <c r="O4" s="2245" t="s">
        <v>441</v>
      </c>
      <c r="P4" s="2246"/>
      <c r="Q4" s="2245" t="s">
        <v>114</v>
      </c>
      <c r="R4" s="2246"/>
      <c r="S4" s="2244" t="s">
        <v>35</v>
      </c>
      <c r="T4" s="2244"/>
      <c r="U4" s="2245" t="s">
        <v>17</v>
      </c>
      <c r="V4" s="2246"/>
      <c r="W4" s="2247" t="s">
        <v>36</v>
      </c>
      <c r="X4" s="2248"/>
      <c r="Y4" s="2238" t="s">
        <v>30</v>
      </c>
    </row>
    <row r="5" spans="1:25" s="2099" customFormat="1" ht="25.5" customHeight="1" x14ac:dyDescent="0.25">
      <c r="A5" s="2243"/>
      <c r="B5" s="2243"/>
      <c r="C5" s="2101" t="s">
        <v>42</v>
      </c>
      <c r="D5" s="2101" t="s">
        <v>43</v>
      </c>
      <c r="E5" s="2101" t="s">
        <v>42</v>
      </c>
      <c r="F5" s="2101" t="s">
        <v>43</v>
      </c>
      <c r="G5" s="2101" t="s">
        <v>42</v>
      </c>
      <c r="H5" s="2101" t="s">
        <v>43</v>
      </c>
      <c r="I5" s="2101" t="s">
        <v>42</v>
      </c>
      <c r="J5" s="2101" t="s">
        <v>43</v>
      </c>
      <c r="K5" s="2101" t="s">
        <v>42</v>
      </c>
      <c r="L5" s="2101" t="s">
        <v>43</v>
      </c>
      <c r="M5" s="2101" t="s">
        <v>42</v>
      </c>
      <c r="N5" s="2101" t="s">
        <v>43</v>
      </c>
      <c r="O5" s="2101" t="s">
        <v>42</v>
      </c>
      <c r="P5" s="2101" t="s">
        <v>43</v>
      </c>
      <c r="Q5" s="2101" t="s">
        <v>42</v>
      </c>
      <c r="R5" s="2101" t="s">
        <v>43</v>
      </c>
      <c r="S5" s="33" t="s">
        <v>42</v>
      </c>
      <c r="T5" s="33" t="s">
        <v>43</v>
      </c>
      <c r="U5" s="30" t="s">
        <v>42</v>
      </c>
      <c r="V5" s="30" t="s">
        <v>43</v>
      </c>
      <c r="W5" s="30" t="s">
        <v>42</v>
      </c>
      <c r="X5" s="30" t="s">
        <v>43</v>
      </c>
      <c r="Y5" s="2239"/>
    </row>
    <row r="6" spans="1:25" ht="34.5" customHeight="1" x14ac:dyDescent="0.25">
      <c r="A6" s="12">
        <v>1409935200</v>
      </c>
      <c r="B6" s="2100" t="s">
        <v>71</v>
      </c>
      <c r="C6" s="2103">
        <v>47522</v>
      </c>
      <c r="D6" s="2104">
        <f t="shared" ref="D6:D11" si="0">0.9725*C6</f>
        <v>46215.145000000004</v>
      </c>
      <c r="E6" s="2103"/>
      <c r="F6" s="2104">
        <f>19.68*E6</f>
        <v>0</v>
      </c>
      <c r="G6" s="2103">
        <v>50</v>
      </c>
      <c r="H6" s="2104">
        <f t="shared" ref="H6:H11" si="1">28.26*G6</f>
        <v>1413</v>
      </c>
      <c r="I6" s="2103">
        <v>460</v>
      </c>
      <c r="J6" s="2104">
        <f>18.82*I6</f>
        <v>8657.2000000000007</v>
      </c>
      <c r="K6" s="2103"/>
      <c r="L6" s="2104">
        <f>28.25*K6</f>
        <v>0</v>
      </c>
      <c r="M6" s="2103"/>
      <c r="N6" s="2104">
        <f>M6*47.6525</f>
        <v>0</v>
      </c>
      <c r="O6" s="2103"/>
      <c r="P6" s="2104">
        <f>O6*8.9</f>
        <v>0</v>
      </c>
      <c r="Q6" s="2104"/>
      <c r="R6" s="2104">
        <f>241*Q6</f>
        <v>0</v>
      </c>
      <c r="S6" s="2103"/>
      <c r="T6" s="2103">
        <f>470*S6</f>
        <v>0</v>
      </c>
      <c r="U6" s="2103"/>
      <c r="V6" s="2103">
        <f>332*U6</f>
        <v>0</v>
      </c>
      <c r="W6" s="2103"/>
      <c r="X6" s="19">
        <f>W6*100</f>
        <v>0</v>
      </c>
      <c r="Y6" s="20">
        <f t="shared" ref="Y6:Y12" si="2">D6+F6+H6+J6+L6+N6+P6+R6+T6+V6+X6</f>
        <v>56285.345000000001</v>
      </c>
    </row>
    <row r="7" spans="1:25" ht="36.75" customHeight="1" x14ac:dyDescent="0.25">
      <c r="A7" s="12">
        <v>1984225578</v>
      </c>
      <c r="B7" s="2100" t="s">
        <v>509</v>
      </c>
      <c r="C7" s="2103">
        <v>31954</v>
      </c>
      <c r="D7" s="2104">
        <f t="shared" si="0"/>
        <v>31075.264999999999</v>
      </c>
      <c r="E7" s="2103"/>
      <c r="F7" s="2104">
        <f t="shared" ref="F7:F11" si="3">19.68*E7</f>
        <v>0</v>
      </c>
      <c r="G7" s="2103">
        <v>30</v>
      </c>
      <c r="H7" s="2104">
        <f t="shared" si="1"/>
        <v>847.80000000000007</v>
      </c>
      <c r="I7" s="2103">
        <v>500</v>
      </c>
      <c r="J7" s="2104">
        <f t="shared" ref="J7:J11" si="4">18.82*I7</f>
        <v>9410</v>
      </c>
      <c r="K7" s="2103"/>
      <c r="L7" s="2104">
        <f t="shared" ref="L7:L11" si="5">28.25*K7</f>
        <v>0</v>
      </c>
      <c r="M7" s="2103"/>
      <c r="N7" s="2104">
        <f t="shared" ref="N7:N11" si="6">M7*47.6525</f>
        <v>0</v>
      </c>
      <c r="O7" s="2103"/>
      <c r="P7" s="2104">
        <f t="shared" ref="P7:P11" si="7">O7*8.9</f>
        <v>0</v>
      </c>
      <c r="Q7" s="2104"/>
      <c r="R7" s="2104">
        <f t="shared" ref="R7:R11" si="8">241*Q7</f>
        <v>0</v>
      </c>
      <c r="S7" s="2103">
        <v>1</v>
      </c>
      <c r="T7" s="2103">
        <f t="shared" ref="T7:T9" si="9">470*S7</f>
        <v>470</v>
      </c>
      <c r="U7" s="2103">
        <v>16</v>
      </c>
      <c r="V7" s="2103">
        <f t="shared" ref="V7:V11" si="10">332*U7</f>
        <v>5312</v>
      </c>
      <c r="W7" s="2103"/>
      <c r="X7" s="19">
        <f t="shared" ref="X7:X11" si="11">W7*100</f>
        <v>0</v>
      </c>
      <c r="Y7" s="20">
        <f t="shared" si="2"/>
        <v>47115.065000000002</v>
      </c>
    </row>
    <row r="8" spans="1:25" ht="35.25" customHeight="1" x14ac:dyDescent="0.25">
      <c r="A8" s="12">
        <v>1967020280</v>
      </c>
      <c r="B8" s="2100" t="s">
        <v>427</v>
      </c>
      <c r="C8" s="2103">
        <v>35876</v>
      </c>
      <c r="D8" s="2104">
        <f t="shared" si="0"/>
        <v>34889.410000000003</v>
      </c>
      <c r="E8" s="2103"/>
      <c r="F8" s="2104">
        <f t="shared" si="3"/>
        <v>0</v>
      </c>
      <c r="G8" s="2103">
        <v>50</v>
      </c>
      <c r="H8" s="2104">
        <f t="shared" si="1"/>
        <v>1413</v>
      </c>
      <c r="I8" s="2103">
        <v>500</v>
      </c>
      <c r="J8" s="2104">
        <f t="shared" si="4"/>
        <v>9410</v>
      </c>
      <c r="K8" s="2103"/>
      <c r="L8" s="2104">
        <f t="shared" si="5"/>
        <v>0</v>
      </c>
      <c r="M8" s="2103"/>
      <c r="N8" s="2104">
        <f t="shared" si="6"/>
        <v>0</v>
      </c>
      <c r="O8" s="2103"/>
      <c r="P8" s="2104">
        <f t="shared" si="7"/>
        <v>0</v>
      </c>
      <c r="Q8" s="2104"/>
      <c r="R8" s="2104">
        <f t="shared" si="8"/>
        <v>0</v>
      </c>
      <c r="S8" s="2103"/>
      <c r="T8" s="2103">
        <f t="shared" si="9"/>
        <v>0</v>
      </c>
      <c r="U8" s="2103"/>
      <c r="V8" s="2103">
        <f t="shared" si="10"/>
        <v>0</v>
      </c>
      <c r="W8" s="2103"/>
      <c r="X8" s="19">
        <f t="shared" si="11"/>
        <v>0</v>
      </c>
      <c r="Y8" s="20">
        <f t="shared" si="2"/>
        <v>45712.41</v>
      </c>
    </row>
    <row r="9" spans="1:25" ht="38.25" customHeight="1" x14ac:dyDescent="0.25">
      <c r="A9" s="12">
        <v>1984225580</v>
      </c>
      <c r="B9" s="2100" t="s">
        <v>74</v>
      </c>
      <c r="C9" s="2103">
        <v>99357</v>
      </c>
      <c r="D9" s="2104">
        <f t="shared" si="0"/>
        <v>96624.68250000001</v>
      </c>
      <c r="E9" s="2103"/>
      <c r="F9" s="2104">
        <f t="shared" si="3"/>
        <v>0</v>
      </c>
      <c r="G9" s="2103">
        <v>40</v>
      </c>
      <c r="H9" s="2104">
        <f t="shared" si="1"/>
        <v>1130.4000000000001</v>
      </c>
      <c r="I9" s="2103">
        <v>230</v>
      </c>
      <c r="J9" s="2104">
        <f t="shared" si="4"/>
        <v>4328.6000000000004</v>
      </c>
      <c r="K9" s="2103"/>
      <c r="L9" s="2104">
        <f t="shared" si="5"/>
        <v>0</v>
      </c>
      <c r="M9" s="2103"/>
      <c r="N9" s="2104">
        <f t="shared" si="6"/>
        <v>0</v>
      </c>
      <c r="O9" s="2103"/>
      <c r="P9" s="2104">
        <f t="shared" si="7"/>
        <v>0</v>
      </c>
      <c r="Q9" s="2104"/>
      <c r="R9" s="2104">
        <f t="shared" si="8"/>
        <v>0</v>
      </c>
      <c r="S9" s="2103"/>
      <c r="T9" s="2103">
        <f t="shared" si="9"/>
        <v>0</v>
      </c>
      <c r="U9" s="2103"/>
      <c r="V9" s="2103">
        <f t="shared" si="10"/>
        <v>0</v>
      </c>
      <c r="W9" s="2103"/>
      <c r="X9" s="19">
        <f t="shared" si="11"/>
        <v>0</v>
      </c>
      <c r="Y9" s="20">
        <f t="shared" si="2"/>
        <v>102083.68250000001</v>
      </c>
    </row>
    <row r="10" spans="1:25" ht="35.25" customHeight="1" x14ac:dyDescent="0.25">
      <c r="A10" s="12">
        <v>1409935199</v>
      </c>
      <c r="C10" s="2103"/>
      <c r="D10" s="2104">
        <f t="shared" si="0"/>
        <v>0</v>
      </c>
      <c r="E10" s="2103"/>
      <c r="F10" s="2104">
        <f t="shared" si="3"/>
        <v>0</v>
      </c>
      <c r="G10" s="2103"/>
      <c r="H10" s="2104">
        <f t="shared" si="1"/>
        <v>0</v>
      </c>
      <c r="I10" s="2103"/>
      <c r="J10" s="2104">
        <f t="shared" si="4"/>
        <v>0</v>
      </c>
      <c r="K10" s="2103"/>
      <c r="L10" s="2104">
        <f t="shared" si="5"/>
        <v>0</v>
      </c>
      <c r="M10" s="2103"/>
      <c r="N10" s="2104">
        <f t="shared" si="6"/>
        <v>0</v>
      </c>
      <c r="O10" s="2103"/>
      <c r="P10" s="2104">
        <f t="shared" si="7"/>
        <v>0</v>
      </c>
      <c r="Q10" s="2104"/>
      <c r="R10" s="2104">
        <f t="shared" si="8"/>
        <v>0</v>
      </c>
      <c r="S10" s="2103"/>
      <c r="T10" s="2103">
        <f>470*S10</f>
        <v>0</v>
      </c>
      <c r="U10" s="2103"/>
      <c r="V10" s="2103">
        <f t="shared" si="10"/>
        <v>0</v>
      </c>
      <c r="W10" s="2103"/>
      <c r="X10" s="19">
        <f t="shared" si="11"/>
        <v>0</v>
      </c>
      <c r="Y10" s="20">
        <f t="shared" si="2"/>
        <v>0</v>
      </c>
    </row>
    <row r="11" spans="1:25" ht="37.5" customHeight="1" x14ac:dyDescent="0.25">
      <c r="A11" s="12"/>
      <c r="B11" s="2102"/>
      <c r="C11" s="2103"/>
      <c r="D11" s="2104">
        <f t="shared" si="0"/>
        <v>0</v>
      </c>
      <c r="E11" s="2103"/>
      <c r="F11" s="2104">
        <f t="shared" si="3"/>
        <v>0</v>
      </c>
      <c r="G11" s="2103"/>
      <c r="H11" s="2104">
        <f t="shared" si="1"/>
        <v>0</v>
      </c>
      <c r="I11" s="2103"/>
      <c r="J11" s="2104">
        <f t="shared" si="4"/>
        <v>0</v>
      </c>
      <c r="K11" s="2103"/>
      <c r="L11" s="2104">
        <f t="shared" si="5"/>
        <v>0</v>
      </c>
      <c r="M11" s="2103"/>
      <c r="N11" s="2104">
        <f t="shared" si="6"/>
        <v>0</v>
      </c>
      <c r="O11" s="2103"/>
      <c r="P11" s="2104">
        <f t="shared" si="7"/>
        <v>0</v>
      </c>
      <c r="Q11" s="2104"/>
      <c r="R11" s="2104">
        <f t="shared" si="8"/>
        <v>0</v>
      </c>
      <c r="S11" s="2103"/>
      <c r="T11" s="2103">
        <f>241*S11</f>
        <v>0</v>
      </c>
      <c r="U11" s="2103"/>
      <c r="V11" s="2103">
        <f t="shared" si="10"/>
        <v>0</v>
      </c>
      <c r="W11" s="2103"/>
      <c r="X11" s="19">
        <f t="shared" si="11"/>
        <v>0</v>
      </c>
      <c r="Y11" s="20">
        <f t="shared" si="2"/>
        <v>0</v>
      </c>
    </row>
    <row r="12" spans="1:25" ht="29.25" customHeight="1" x14ac:dyDescent="0.25">
      <c r="A12" s="2235" t="s">
        <v>31</v>
      </c>
      <c r="B12" s="2235"/>
      <c r="C12" s="18">
        <f t="shared" ref="C12:X12" si="12">SUM(C6:C11)</f>
        <v>214709</v>
      </c>
      <c r="D12" s="18">
        <f t="shared" si="12"/>
        <v>208804.5025</v>
      </c>
      <c r="E12" s="18">
        <f t="shared" si="12"/>
        <v>0</v>
      </c>
      <c r="F12" s="18">
        <f t="shared" si="12"/>
        <v>0</v>
      </c>
      <c r="G12" s="18">
        <f t="shared" si="12"/>
        <v>170</v>
      </c>
      <c r="H12" s="18">
        <f t="shared" si="12"/>
        <v>4804.2000000000007</v>
      </c>
      <c r="I12" s="18">
        <f t="shared" si="12"/>
        <v>1690</v>
      </c>
      <c r="J12" s="18">
        <f t="shared" si="12"/>
        <v>31805.800000000003</v>
      </c>
      <c r="K12" s="18">
        <f t="shared" si="12"/>
        <v>0</v>
      </c>
      <c r="L12" s="18">
        <f t="shared" si="12"/>
        <v>0</v>
      </c>
      <c r="M12" s="18">
        <f t="shared" si="12"/>
        <v>0</v>
      </c>
      <c r="N12" s="23">
        <f t="shared" si="12"/>
        <v>0</v>
      </c>
      <c r="O12" s="18">
        <f t="shared" si="12"/>
        <v>0</v>
      </c>
      <c r="P12" s="23">
        <f t="shared" si="12"/>
        <v>0</v>
      </c>
      <c r="Q12" s="23">
        <f t="shared" si="12"/>
        <v>0</v>
      </c>
      <c r="R12" s="23">
        <f>SUM(R6:R11)</f>
        <v>0</v>
      </c>
      <c r="S12" s="23">
        <f>SUM(S6:S11)</f>
        <v>1</v>
      </c>
      <c r="T12" s="18">
        <f t="shared" si="12"/>
        <v>470</v>
      </c>
      <c r="U12" s="18">
        <f t="shared" si="12"/>
        <v>16</v>
      </c>
      <c r="V12" s="18">
        <f t="shared" si="12"/>
        <v>5312</v>
      </c>
      <c r="W12" s="18">
        <f t="shared" si="12"/>
        <v>0</v>
      </c>
      <c r="X12" s="18">
        <f t="shared" si="12"/>
        <v>0</v>
      </c>
      <c r="Y12" s="20">
        <f t="shared" si="2"/>
        <v>251196.5025</v>
      </c>
    </row>
    <row r="14" spans="1:25" ht="43.5" customHeight="1" x14ac:dyDescent="0.25">
      <c r="A14" s="30" t="s">
        <v>32</v>
      </c>
      <c r="B14" s="2236" t="s">
        <v>27</v>
      </c>
      <c r="C14" s="2236"/>
      <c r="D14" s="30" t="s">
        <v>543</v>
      </c>
      <c r="E14" s="30" t="s">
        <v>65</v>
      </c>
      <c r="F14" s="30" t="s">
        <v>34</v>
      </c>
      <c r="G14" s="30" t="s">
        <v>14</v>
      </c>
      <c r="H14" s="469" t="s">
        <v>173</v>
      </c>
      <c r="I14" s="30" t="s">
        <v>17</v>
      </c>
      <c r="J14" s="2108" t="s">
        <v>174</v>
      </c>
      <c r="K14" s="30" t="s">
        <v>36</v>
      </c>
      <c r="L14" s="2108" t="s">
        <v>403</v>
      </c>
      <c r="M14" s="2108" t="s">
        <v>549</v>
      </c>
      <c r="N14" s="30" t="s">
        <v>442</v>
      </c>
      <c r="O14" s="2108" t="s">
        <v>114</v>
      </c>
      <c r="P14" s="30" t="s">
        <v>70</v>
      </c>
      <c r="Q14" s="2300" t="s">
        <v>479</v>
      </c>
      <c r="R14" s="2301"/>
      <c r="S14" s="2108" t="s">
        <v>401</v>
      </c>
      <c r="T14" s="2235" t="s">
        <v>46</v>
      </c>
      <c r="U14" s="2100" t="s">
        <v>176</v>
      </c>
      <c r="V14" s="2260">
        <v>142494</v>
      </c>
      <c r="W14" s="2268"/>
      <c r="X14" s="2261"/>
    </row>
    <row r="15" spans="1:25" ht="22.5" customHeight="1" x14ac:dyDescent="0.25">
      <c r="A15" s="100" t="s">
        <v>38</v>
      </c>
      <c r="B15" s="2260">
        <v>342876</v>
      </c>
      <c r="C15" s="2261"/>
      <c r="D15" s="2105">
        <v>0</v>
      </c>
      <c r="E15" s="2105">
        <v>190</v>
      </c>
      <c r="F15" s="2105">
        <v>3790</v>
      </c>
      <c r="G15" s="2105">
        <v>590</v>
      </c>
      <c r="H15" s="2105">
        <v>34</v>
      </c>
      <c r="I15" s="2105">
        <v>44</v>
      </c>
      <c r="J15" s="2105"/>
      <c r="K15" s="2105">
        <v>83</v>
      </c>
      <c r="L15" s="2105">
        <v>12</v>
      </c>
      <c r="M15" s="2105">
        <v>11</v>
      </c>
      <c r="N15" s="2105">
        <v>0</v>
      </c>
      <c r="O15" s="2105">
        <v>0</v>
      </c>
      <c r="P15" s="2105">
        <v>100</v>
      </c>
      <c r="Q15" s="2260">
        <v>10</v>
      </c>
      <c r="R15" s="2261"/>
      <c r="S15" s="2100"/>
      <c r="T15" s="2235"/>
      <c r="U15" s="2100" t="s">
        <v>64</v>
      </c>
      <c r="V15" s="2262">
        <v>13694</v>
      </c>
      <c r="W15" s="2262"/>
      <c r="X15" s="2262"/>
    </row>
    <row r="16" spans="1:25" ht="24.75" customHeight="1" x14ac:dyDescent="0.25">
      <c r="A16" s="100" t="s">
        <v>39</v>
      </c>
      <c r="B16" s="2260">
        <v>379220</v>
      </c>
      <c r="C16" s="2261"/>
      <c r="D16" s="2105"/>
      <c r="E16" s="2105"/>
      <c r="F16" s="2105"/>
      <c r="G16" s="2105"/>
      <c r="H16" s="2105"/>
      <c r="I16" s="2105"/>
      <c r="J16" s="2105"/>
      <c r="K16" s="2105"/>
      <c r="L16" s="2105"/>
      <c r="M16" s="2105"/>
      <c r="N16" s="2105"/>
      <c r="O16" s="2105"/>
      <c r="P16" s="2105"/>
      <c r="Q16" s="2262"/>
      <c r="R16" s="2262"/>
      <c r="S16" s="2105"/>
      <c r="T16" s="2254" t="s">
        <v>55</v>
      </c>
      <c r="U16" s="2254"/>
      <c r="V16" s="2267">
        <f>Y12</f>
        <v>251196.5025</v>
      </c>
      <c r="W16" s="2267"/>
      <c r="X16" s="2262"/>
    </row>
    <row r="17" spans="1:25" ht="28.5" customHeight="1" x14ac:dyDescent="0.25">
      <c r="A17" s="101" t="s">
        <v>44</v>
      </c>
      <c r="B17" s="2260"/>
      <c r="C17" s="2261"/>
      <c r="D17" s="2105"/>
      <c r="E17" s="2105"/>
      <c r="F17" s="2105"/>
      <c r="G17" s="2105"/>
      <c r="H17" s="2105"/>
      <c r="I17" s="2105"/>
      <c r="J17" s="2105"/>
      <c r="K17" s="2105"/>
      <c r="L17" s="2105"/>
      <c r="M17" s="2105"/>
      <c r="N17" s="2105"/>
      <c r="O17" s="2105"/>
      <c r="P17" s="2105"/>
      <c r="Q17" s="2225"/>
      <c r="R17" s="2225"/>
      <c r="S17" s="2102"/>
      <c r="T17" s="2294" t="s">
        <v>521</v>
      </c>
      <c r="U17" s="2295"/>
      <c r="V17" s="2296"/>
      <c r="W17" s="2296"/>
      <c r="X17" s="2296"/>
    </row>
    <row r="18" spans="1:25" ht="27" customHeight="1" x14ac:dyDescent="0.25">
      <c r="A18" s="100" t="s">
        <v>40</v>
      </c>
      <c r="B18" s="2264">
        <f>C12</f>
        <v>214709</v>
      </c>
      <c r="C18" s="2261"/>
      <c r="D18" s="2106">
        <f>E12</f>
        <v>0</v>
      </c>
      <c r="E18" s="2106">
        <f>G12</f>
        <v>170</v>
      </c>
      <c r="F18" s="2106">
        <f>I12</f>
        <v>1690</v>
      </c>
      <c r="G18" s="2106">
        <f>K12</f>
        <v>0</v>
      </c>
      <c r="H18" s="2105"/>
      <c r="I18" s="2106">
        <f>U12</f>
        <v>16</v>
      </c>
      <c r="J18" s="2105"/>
      <c r="K18" s="2106">
        <f>W12</f>
        <v>0</v>
      </c>
      <c r="L18" s="2105"/>
      <c r="M18" s="2106">
        <v>1</v>
      </c>
      <c r="N18" s="2106">
        <f>O12</f>
        <v>0</v>
      </c>
      <c r="O18" s="2107">
        <f>Q12</f>
        <v>0</v>
      </c>
      <c r="P18" s="2106"/>
      <c r="Q18" s="2262">
        <v>10</v>
      </c>
      <c r="R18" s="2262"/>
      <c r="S18" s="2100"/>
      <c r="T18" s="2254" t="s">
        <v>57</v>
      </c>
      <c r="U18" s="2254"/>
      <c r="V18" s="2262">
        <v>520</v>
      </c>
      <c r="W18" s="2262"/>
      <c r="X18" s="2262"/>
      <c r="Y18" s="2269"/>
    </row>
    <row r="19" spans="1:25" ht="25.5" customHeight="1" x14ac:dyDescent="0.25">
      <c r="A19" s="100" t="s">
        <v>41</v>
      </c>
      <c r="B19" s="2260">
        <f>B15+B16+B17-B18</f>
        <v>507387</v>
      </c>
      <c r="C19" s="2261"/>
      <c r="D19" s="2105">
        <f>D15+D16+D17-D18</f>
        <v>0</v>
      </c>
      <c r="E19" s="2105">
        <f t="shared" ref="E19:N19" si="13">E15+E16+E17-E18</f>
        <v>20</v>
      </c>
      <c r="F19" s="2105">
        <f t="shared" si="13"/>
        <v>2100</v>
      </c>
      <c r="G19" s="2105">
        <f t="shared" si="13"/>
        <v>590</v>
      </c>
      <c r="H19" s="2105">
        <f t="shared" si="13"/>
        <v>34</v>
      </c>
      <c r="I19" s="2105">
        <f t="shared" si="13"/>
        <v>28</v>
      </c>
      <c r="J19" s="2105">
        <f t="shared" si="13"/>
        <v>0</v>
      </c>
      <c r="K19" s="2105">
        <f t="shared" si="13"/>
        <v>83</v>
      </c>
      <c r="L19" s="2105">
        <f t="shared" si="13"/>
        <v>12</v>
      </c>
      <c r="M19" s="2105">
        <f t="shared" si="13"/>
        <v>10</v>
      </c>
      <c r="N19" s="2105">
        <f t="shared" si="13"/>
        <v>0</v>
      </c>
      <c r="O19" s="2105">
        <f>O15+O16+O17-O18</f>
        <v>0</v>
      </c>
      <c r="P19" s="2105">
        <f t="shared" ref="P19:Q19" si="14">P15+P16+P17-P18</f>
        <v>100</v>
      </c>
      <c r="Q19" s="2260">
        <f t="shared" si="14"/>
        <v>0</v>
      </c>
      <c r="R19" s="2261"/>
      <c r="S19" s="2100">
        <f>S15+S16-S17-S18</f>
        <v>0</v>
      </c>
      <c r="T19" s="2256" t="s">
        <v>48</v>
      </c>
      <c r="U19" s="49" t="s">
        <v>58</v>
      </c>
      <c r="V19" s="2262">
        <v>110000</v>
      </c>
      <c r="W19" s="2262"/>
      <c r="X19" s="2262"/>
      <c r="Y19" s="2269"/>
    </row>
    <row r="20" spans="1:25" ht="23.25" customHeight="1" x14ac:dyDescent="0.25">
      <c r="A20" s="289" t="s">
        <v>187</v>
      </c>
      <c r="B20" s="2286">
        <f>B19*0.9625</f>
        <v>488359.98749999999</v>
      </c>
      <c r="C20" s="2287"/>
      <c r="D20" s="290">
        <f>D19*19.48</f>
        <v>0</v>
      </c>
      <c r="E20" s="290">
        <f>27.97*E19</f>
        <v>559.4</v>
      </c>
      <c r="F20" s="290">
        <f>18.63*F19</f>
        <v>39123</v>
      </c>
      <c r="G20" s="290">
        <f>27.9468*G19</f>
        <v>16488.612000000001</v>
      </c>
      <c r="H20" s="290">
        <f>241*H19</f>
        <v>8194</v>
      </c>
      <c r="I20" s="290">
        <f>323*I19</f>
        <v>9044</v>
      </c>
      <c r="J20" s="290">
        <f>241*J19</f>
        <v>0</v>
      </c>
      <c r="K20" s="290">
        <f>K19*100</f>
        <v>8300</v>
      </c>
      <c r="L20" s="290">
        <f>470*L19</f>
        <v>5640</v>
      </c>
      <c r="M20" s="290">
        <f>470*M19</f>
        <v>4700</v>
      </c>
      <c r="N20" s="290">
        <f>N19*8.81</f>
        <v>0</v>
      </c>
      <c r="O20" s="290">
        <f>241*O19</f>
        <v>0</v>
      </c>
      <c r="P20" s="290">
        <f>P19*48.2</f>
        <v>4820</v>
      </c>
      <c r="Q20" s="2286">
        <f>470*Q19</f>
        <v>0</v>
      </c>
      <c r="R20" s="2287"/>
      <c r="S20" s="290">
        <f>341*S19</f>
        <v>0</v>
      </c>
      <c r="T20" s="2257"/>
      <c r="U20" s="49" t="s">
        <v>59</v>
      </c>
      <c r="V20" s="2262"/>
      <c r="W20" s="2262"/>
      <c r="X20" s="2262"/>
      <c r="Y20" s="2269"/>
    </row>
    <row r="21" spans="1:25" ht="32.25" customHeight="1" x14ac:dyDescent="0.25">
      <c r="A21" s="291" t="s">
        <v>186</v>
      </c>
      <c r="B21" s="2302">
        <f>SUM(B20:S20)</f>
        <v>585228.99949999992</v>
      </c>
      <c r="C21" s="2302"/>
      <c r="T21" s="2294" t="s">
        <v>586</v>
      </c>
      <c r="U21" s="2295"/>
      <c r="V21" s="2297">
        <v>140000</v>
      </c>
      <c r="W21" s="2298"/>
      <c r="X21" s="2299"/>
      <c r="Y21" s="2269"/>
    </row>
    <row r="22" spans="1:25" ht="35.25" customHeight="1" x14ac:dyDescent="0.25">
      <c r="A22" s="1911"/>
      <c r="B22" s="2288" t="s">
        <v>49</v>
      </c>
      <c r="C22" s="2291">
        <v>110000</v>
      </c>
      <c r="D22" s="2291">
        <v>110000</v>
      </c>
      <c r="E22" s="2291">
        <v>365000</v>
      </c>
      <c r="F22" s="2291">
        <f>C22-D22+E22</f>
        <v>365000</v>
      </c>
      <c r="T22" s="2251" t="s">
        <v>83</v>
      </c>
      <c r="U22" s="50" t="s">
        <v>60</v>
      </c>
      <c r="V22" s="2262">
        <v>251050</v>
      </c>
      <c r="W22" s="2262"/>
      <c r="X22" s="2262"/>
      <c r="Y22" s="2269"/>
    </row>
    <row r="23" spans="1:25" ht="39.75" customHeight="1" x14ac:dyDescent="0.25">
      <c r="B23" s="2289"/>
      <c r="C23" s="2292"/>
      <c r="D23" s="2292"/>
      <c r="E23" s="2292"/>
      <c r="F23" s="2292"/>
      <c r="T23" s="2252"/>
      <c r="U23" s="50" t="s">
        <v>61</v>
      </c>
      <c r="V23" s="2262">
        <v>250000</v>
      </c>
      <c r="W23" s="2262"/>
      <c r="X23" s="2262"/>
      <c r="Y23" s="2269"/>
    </row>
    <row r="24" spans="1:25" ht="48" customHeight="1" x14ac:dyDescent="0.25">
      <c r="B24" s="2290"/>
      <c r="C24" s="290" t="s">
        <v>46</v>
      </c>
      <c r="D24" s="290" t="s">
        <v>50</v>
      </c>
      <c r="E24" s="290" t="s">
        <v>51</v>
      </c>
      <c r="F24" s="290" t="s">
        <v>52</v>
      </c>
      <c r="T24" s="2235" t="s">
        <v>47</v>
      </c>
      <c r="U24" s="51" t="s">
        <v>62</v>
      </c>
      <c r="V24" s="2263">
        <f>V14+V16+V17-V18-V19-V20-V22+V23-V21</f>
        <v>142120.5025</v>
      </c>
      <c r="W24" s="2263"/>
      <c r="X24" s="2263"/>
      <c r="Y24" s="2269"/>
    </row>
    <row r="25" spans="1:25" ht="40.5" customHeight="1" x14ac:dyDescent="0.25">
      <c r="T25" s="2235"/>
      <c r="U25" s="51" t="s">
        <v>63</v>
      </c>
      <c r="V25" s="2262">
        <f>V15+V22-V23</f>
        <v>14744</v>
      </c>
      <c r="W25" s="2262"/>
      <c r="X25" s="2262"/>
    </row>
    <row r="26" spans="1:25" ht="36" customHeight="1" x14ac:dyDescent="0.25">
      <c r="K26" s="314"/>
    </row>
    <row r="28" spans="1:25" x14ac:dyDescent="0.25">
      <c r="J28" s="14" t="s">
        <v>139</v>
      </c>
    </row>
    <row r="32" spans="1:25" x14ac:dyDescent="0.25">
      <c r="I32" s="2280"/>
      <c r="J32" s="2280"/>
      <c r="K32" s="2280"/>
      <c r="L32" s="2280"/>
    </row>
    <row r="33" spans="9:12" x14ac:dyDescent="0.25">
      <c r="I33" s="2109"/>
      <c r="J33" s="2109"/>
      <c r="K33" s="2280"/>
      <c r="L33" s="2280"/>
    </row>
  </sheetData>
  <mergeCells count="62">
    <mergeCell ref="I32:J32"/>
    <mergeCell ref="K32:L32"/>
    <mergeCell ref="K33:L33"/>
    <mergeCell ref="T22:T23"/>
    <mergeCell ref="V22:X22"/>
    <mergeCell ref="V23:X23"/>
    <mergeCell ref="T24:T25"/>
    <mergeCell ref="V24:X24"/>
    <mergeCell ref="V25:X25"/>
    <mergeCell ref="Y18:Y24"/>
    <mergeCell ref="B19:C19"/>
    <mergeCell ref="Q19:R19"/>
    <mergeCell ref="T19:T20"/>
    <mergeCell ref="V19:X19"/>
    <mergeCell ref="B20:C20"/>
    <mergeCell ref="B22:B24"/>
    <mergeCell ref="C22:C23"/>
    <mergeCell ref="D22:D23"/>
    <mergeCell ref="E22:E23"/>
    <mergeCell ref="F22:F23"/>
    <mergeCell ref="Q20:R20"/>
    <mergeCell ref="V20:X20"/>
    <mergeCell ref="B21:C21"/>
    <mergeCell ref="T21:U21"/>
    <mergeCell ref="V21:X21"/>
    <mergeCell ref="B17:C17"/>
    <mergeCell ref="Q17:R17"/>
    <mergeCell ref="T17:U17"/>
    <mergeCell ref="V17:X17"/>
    <mergeCell ref="B18:C18"/>
    <mergeCell ref="Q18:R18"/>
    <mergeCell ref="T18:U18"/>
    <mergeCell ref="V18:X18"/>
    <mergeCell ref="W4:X4"/>
    <mergeCell ref="B16:C16"/>
    <mergeCell ref="Q16:R16"/>
    <mergeCell ref="T16:U16"/>
    <mergeCell ref="V16:X16"/>
    <mergeCell ref="A12:B12"/>
    <mergeCell ref="B14:C14"/>
    <mergeCell ref="Q14:R14"/>
    <mergeCell ref="T14:T15"/>
    <mergeCell ref="V14:X14"/>
    <mergeCell ref="B15:C15"/>
    <mergeCell ref="Q15:R15"/>
    <mergeCell ref="V15:X15"/>
    <mergeCell ref="A1:Y1"/>
    <mergeCell ref="A2:Y2"/>
    <mergeCell ref="T3:Y3"/>
    <mergeCell ref="A4:A5"/>
    <mergeCell ref="B4:B5"/>
    <mergeCell ref="C4:D4"/>
    <mergeCell ref="E4:F4"/>
    <mergeCell ref="G4:H4"/>
    <mergeCell ref="I4:J4"/>
    <mergeCell ref="K4:L4"/>
    <mergeCell ref="Y4:Y5"/>
    <mergeCell ref="M4:N4"/>
    <mergeCell ref="O4:P4"/>
    <mergeCell ref="Q4:R4"/>
    <mergeCell ref="S4:T4"/>
    <mergeCell ref="U4:V4"/>
  </mergeCells>
  <pageMargins left="0.15748031496063" right="0.15748031496063" top="0" bottom="0" header="0" footer="0"/>
  <pageSetup paperSize="9" scale="46" orientation="landscape" r:id="rId1"/>
</worksheet>
</file>

<file path=xl/worksheets/sheet3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14D3CDB-6B86-4367-9F4F-D9AF7CEA53DB}">
  <sheetPr>
    <pageSetUpPr fitToPage="1"/>
  </sheetPr>
  <dimension ref="A1:Y33"/>
  <sheetViews>
    <sheetView topLeftCell="E8" zoomScale="70" zoomScaleNormal="70" zoomScaleSheetLayoutView="100" zoomScalePageLayoutView="68" workbookViewId="0">
      <selection activeCell="Y16" sqref="Y16"/>
    </sheetView>
  </sheetViews>
  <sheetFormatPr defaultColWidth="9.140625" defaultRowHeight="15" x14ac:dyDescent="0.25"/>
  <cols>
    <col min="1" max="1" width="18.28515625" style="14" customWidth="1"/>
    <col min="2" max="2" width="10.7109375" style="14" customWidth="1"/>
    <col min="3" max="3" width="12.28515625" style="14" customWidth="1"/>
    <col min="4" max="4" width="13.140625" style="14" bestFit="1" customWidth="1"/>
    <col min="5" max="5" width="12" style="14" customWidth="1"/>
    <col min="6" max="6" width="14" style="14" bestFit="1" customWidth="1"/>
    <col min="7" max="7" width="16" style="14" bestFit="1" customWidth="1"/>
    <col min="8" max="8" width="11" style="14" bestFit="1" customWidth="1"/>
    <col min="9" max="9" width="10.5703125" style="14" bestFit="1" customWidth="1"/>
    <col min="10" max="10" width="10.5703125" style="14" customWidth="1"/>
    <col min="11" max="11" width="10.28515625" style="14" bestFit="1" customWidth="1"/>
    <col min="12" max="12" width="10.42578125" style="14" bestFit="1" customWidth="1"/>
    <col min="13" max="14" width="12" style="14" bestFit="1" customWidth="1"/>
    <col min="15" max="15" width="11" style="14" customWidth="1"/>
    <col min="16" max="16" width="12.85546875" style="14" bestFit="1" customWidth="1"/>
    <col min="17" max="18" width="9.42578125" style="14" customWidth="1"/>
    <col min="19" max="19" width="13.7109375" style="14" customWidth="1"/>
    <col min="20" max="20" width="12.140625" style="14" customWidth="1"/>
    <col min="21" max="21" width="21.7109375" style="14" customWidth="1"/>
    <col min="22" max="22" width="9.85546875" style="14" customWidth="1"/>
    <col min="23" max="23" width="10.140625" style="14" bestFit="1" customWidth="1"/>
    <col min="24" max="24" width="10.28515625" style="14" customWidth="1"/>
    <col min="25" max="25" width="15.7109375" style="14" customWidth="1"/>
    <col min="26" max="16384" width="9.140625" style="14"/>
  </cols>
  <sheetData>
    <row r="1" spans="1:25" ht="46.15" customHeight="1" x14ac:dyDescent="0.25">
      <c r="A1" s="2240" t="s">
        <v>148</v>
      </c>
      <c r="B1" s="2240"/>
      <c r="C1" s="2240"/>
      <c r="D1" s="2240"/>
      <c r="E1" s="2240"/>
      <c r="F1" s="2240"/>
      <c r="G1" s="2240"/>
      <c r="H1" s="2240"/>
      <c r="I1" s="2240"/>
      <c r="J1" s="2240"/>
      <c r="K1" s="2240"/>
      <c r="L1" s="2240"/>
      <c r="M1" s="2240"/>
      <c r="N1" s="2240"/>
      <c r="O1" s="2240"/>
      <c r="P1" s="2240"/>
      <c r="Q1" s="2240"/>
      <c r="R1" s="2240"/>
      <c r="S1" s="2240"/>
      <c r="T1" s="2240"/>
      <c r="U1" s="2240"/>
      <c r="V1" s="2240"/>
      <c r="W1" s="2240"/>
      <c r="X1" s="2240"/>
      <c r="Y1" s="2240"/>
    </row>
    <row r="2" spans="1:25" ht="21.6" customHeight="1" x14ac:dyDescent="0.25">
      <c r="A2" s="2241" t="s">
        <v>383</v>
      </c>
      <c r="B2" s="2241"/>
      <c r="C2" s="2241"/>
      <c r="D2" s="2241"/>
      <c r="E2" s="2241"/>
      <c r="F2" s="2241"/>
      <c r="G2" s="2241"/>
      <c r="H2" s="2241"/>
      <c r="I2" s="2241"/>
      <c r="J2" s="2241"/>
      <c r="K2" s="2241"/>
      <c r="L2" s="2241"/>
      <c r="M2" s="2241"/>
      <c r="N2" s="2241"/>
      <c r="O2" s="2241"/>
      <c r="P2" s="2241"/>
      <c r="Q2" s="2241"/>
      <c r="R2" s="2241"/>
      <c r="S2" s="2241"/>
      <c r="T2" s="2241"/>
      <c r="U2" s="2241"/>
      <c r="V2" s="2241"/>
      <c r="W2" s="2241"/>
      <c r="X2" s="2241"/>
      <c r="Y2" s="2241"/>
    </row>
    <row r="3" spans="1:25" ht="21" customHeight="1" x14ac:dyDescent="0.25">
      <c r="A3" s="2115"/>
      <c r="B3" s="2115"/>
      <c r="C3" s="2115"/>
      <c r="D3" s="2115"/>
      <c r="E3" s="2115"/>
      <c r="F3" s="2115"/>
      <c r="G3" s="2115"/>
      <c r="H3" s="2115"/>
      <c r="I3" s="2115"/>
      <c r="J3" s="2115"/>
      <c r="K3" s="2115"/>
      <c r="L3" s="2115"/>
      <c r="M3" s="2115"/>
      <c r="N3" s="2115"/>
      <c r="O3" s="2115"/>
      <c r="P3" s="2115"/>
      <c r="Q3" s="2115"/>
      <c r="R3" s="2115"/>
      <c r="S3" s="2115"/>
      <c r="T3" s="2242" t="s">
        <v>587</v>
      </c>
      <c r="U3" s="2242"/>
      <c r="V3" s="2242"/>
      <c r="W3" s="2242"/>
      <c r="X3" s="2242"/>
      <c r="Y3" s="2242"/>
    </row>
    <row r="4" spans="1:25" s="2115" customFormat="1" ht="18" customHeight="1" x14ac:dyDescent="0.25">
      <c r="A4" s="2243" t="s">
        <v>25</v>
      </c>
      <c r="B4" s="2243" t="s">
        <v>26</v>
      </c>
      <c r="C4" s="2244" t="s">
        <v>27</v>
      </c>
      <c r="D4" s="2244"/>
      <c r="E4" s="2244" t="s">
        <v>544</v>
      </c>
      <c r="F4" s="2244"/>
      <c r="G4" s="2244" t="s">
        <v>65</v>
      </c>
      <c r="H4" s="2244"/>
      <c r="I4" s="2244" t="s">
        <v>29</v>
      </c>
      <c r="J4" s="2244"/>
      <c r="K4" s="2245" t="s">
        <v>14</v>
      </c>
      <c r="L4" s="2246"/>
      <c r="M4" s="2245" t="s">
        <v>429</v>
      </c>
      <c r="N4" s="2246"/>
      <c r="O4" s="2245" t="s">
        <v>441</v>
      </c>
      <c r="P4" s="2246"/>
      <c r="Q4" s="2245" t="s">
        <v>114</v>
      </c>
      <c r="R4" s="2246"/>
      <c r="S4" s="2244" t="s">
        <v>35</v>
      </c>
      <c r="T4" s="2244"/>
      <c r="U4" s="2245" t="s">
        <v>17</v>
      </c>
      <c r="V4" s="2246"/>
      <c r="W4" s="2247" t="s">
        <v>36</v>
      </c>
      <c r="X4" s="2248"/>
      <c r="Y4" s="2238" t="s">
        <v>30</v>
      </c>
    </row>
    <row r="5" spans="1:25" s="2115" customFormat="1" ht="25.5" customHeight="1" x14ac:dyDescent="0.25">
      <c r="A5" s="2243"/>
      <c r="B5" s="2243"/>
      <c r="C5" s="2114" t="s">
        <v>42</v>
      </c>
      <c r="D5" s="2114" t="s">
        <v>43</v>
      </c>
      <c r="E5" s="2114" t="s">
        <v>42</v>
      </c>
      <c r="F5" s="2114" t="s">
        <v>43</v>
      </c>
      <c r="G5" s="2114" t="s">
        <v>42</v>
      </c>
      <c r="H5" s="2114" t="s">
        <v>43</v>
      </c>
      <c r="I5" s="2114" t="s">
        <v>42</v>
      </c>
      <c r="J5" s="2114" t="s">
        <v>43</v>
      </c>
      <c r="K5" s="2114" t="s">
        <v>42</v>
      </c>
      <c r="L5" s="2114" t="s">
        <v>43</v>
      </c>
      <c r="M5" s="2114" t="s">
        <v>42</v>
      </c>
      <c r="N5" s="2114" t="s">
        <v>43</v>
      </c>
      <c r="O5" s="2114" t="s">
        <v>42</v>
      </c>
      <c r="P5" s="2114" t="s">
        <v>43</v>
      </c>
      <c r="Q5" s="2114" t="s">
        <v>42</v>
      </c>
      <c r="R5" s="2114" t="s">
        <v>43</v>
      </c>
      <c r="S5" s="33" t="s">
        <v>42</v>
      </c>
      <c r="T5" s="33" t="s">
        <v>43</v>
      </c>
      <c r="U5" s="30" t="s">
        <v>42</v>
      </c>
      <c r="V5" s="30" t="s">
        <v>43</v>
      </c>
      <c r="W5" s="30" t="s">
        <v>42</v>
      </c>
      <c r="X5" s="30" t="s">
        <v>43</v>
      </c>
      <c r="Y5" s="2239"/>
    </row>
    <row r="6" spans="1:25" ht="34.5" customHeight="1" x14ac:dyDescent="0.25">
      <c r="A6" s="12">
        <v>1409935200</v>
      </c>
      <c r="B6" s="2113" t="s">
        <v>71</v>
      </c>
      <c r="C6" s="2111">
        <v>26778</v>
      </c>
      <c r="D6" s="2110">
        <f t="shared" ref="D6:D11" si="0">0.9725*C6</f>
        <v>26041.605</v>
      </c>
      <c r="E6" s="2111"/>
      <c r="F6" s="2110">
        <f>19.68*E6</f>
        <v>0</v>
      </c>
      <c r="G6" s="2111">
        <v>20</v>
      </c>
      <c r="H6" s="2110">
        <f t="shared" ref="H6:H11" si="1">28.26*G6</f>
        <v>565.20000000000005</v>
      </c>
      <c r="I6" s="2111">
        <v>350</v>
      </c>
      <c r="J6" s="2110">
        <f>18.82*I6</f>
        <v>6587</v>
      </c>
      <c r="K6" s="2111">
        <v>40</v>
      </c>
      <c r="L6" s="2110">
        <f>28.25*K6</f>
        <v>1130</v>
      </c>
      <c r="M6" s="2111"/>
      <c r="N6" s="2110">
        <f>M6*47.6525</f>
        <v>0</v>
      </c>
      <c r="O6" s="2111"/>
      <c r="P6" s="2110">
        <f>O6*8.9</f>
        <v>0</v>
      </c>
      <c r="Q6" s="2110"/>
      <c r="R6" s="2110">
        <f>241*Q6</f>
        <v>0</v>
      </c>
      <c r="S6" s="2111"/>
      <c r="T6" s="2111">
        <f>470*S6</f>
        <v>0</v>
      </c>
      <c r="U6" s="2111"/>
      <c r="V6" s="2111">
        <f>332*U6</f>
        <v>0</v>
      </c>
      <c r="W6" s="2111"/>
      <c r="X6" s="19">
        <f>W6*100</f>
        <v>0</v>
      </c>
      <c r="Y6" s="20">
        <f t="shared" ref="Y6:Y12" si="2">D6+F6+H6+J6+L6+N6+P6+R6+T6+V6+X6</f>
        <v>34323.805</v>
      </c>
    </row>
    <row r="7" spans="1:25" ht="36.75" customHeight="1" x14ac:dyDescent="0.25">
      <c r="A7" s="12">
        <v>1984225578</v>
      </c>
      <c r="B7" s="2113" t="s">
        <v>509</v>
      </c>
      <c r="C7" s="2111">
        <v>29046</v>
      </c>
      <c r="D7" s="2110">
        <f t="shared" si="0"/>
        <v>28247.235000000001</v>
      </c>
      <c r="E7" s="2111"/>
      <c r="F7" s="2110">
        <f t="shared" ref="F7:F11" si="3">19.68*E7</f>
        <v>0</v>
      </c>
      <c r="G7" s="2111"/>
      <c r="H7" s="2110">
        <f t="shared" si="1"/>
        <v>0</v>
      </c>
      <c r="I7" s="2111">
        <v>560</v>
      </c>
      <c r="J7" s="2110">
        <f t="shared" ref="J7:J11" si="4">18.82*I7</f>
        <v>10539.2</v>
      </c>
      <c r="K7" s="2111"/>
      <c r="L7" s="2110">
        <f t="shared" ref="L7:L11" si="5">28.25*K7</f>
        <v>0</v>
      </c>
      <c r="M7" s="2111"/>
      <c r="N7" s="2110">
        <f t="shared" ref="N7:N11" si="6">M7*47.6525</f>
        <v>0</v>
      </c>
      <c r="O7" s="2111"/>
      <c r="P7" s="2110">
        <f t="shared" ref="P7:P11" si="7">O7*8.9</f>
        <v>0</v>
      </c>
      <c r="Q7" s="2110"/>
      <c r="R7" s="2110">
        <f t="shared" ref="R7:R11" si="8">241*Q7</f>
        <v>0</v>
      </c>
      <c r="S7" s="2111">
        <v>10</v>
      </c>
      <c r="T7" s="2111">
        <f t="shared" ref="T7:T9" si="9">470*S7</f>
        <v>4700</v>
      </c>
      <c r="U7" s="2111"/>
      <c r="V7" s="2111">
        <f t="shared" ref="V7:V11" si="10">332*U7</f>
        <v>0</v>
      </c>
      <c r="W7" s="2111"/>
      <c r="X7" s="19">
        <f t="shared" ref="X7:X11" si="11">W7*100</f>
        <v>0</v>
      </c>
      <c r="Y7" s="20">
        <f t="shared" si="2"/>
        <v>43486.434999999998</v>
      </c>
    </row>
    <row r="8" spans="1:25" ht="35.25" customHeight="1" x14ac:dyDescent="0.25">
      <c r="A8" s="12">
        <v>1967020280</v>
      </c>
      <c r="B8" s="2113" t="s">
        <v>427</v>
      </c>
      <c r="C8" s="2111">
        <v>25521</v>
      </c>
      <c r="D8" s="2110">
        <f t="shared" si="0"/>
        <v>24819.172500000001</v>
      </c>
      <c r="E8" s="2111"/>
      <c r="F8" s="2110">
        <f t="shared" si="3"/>
        <v>0</v>
      </c>
      <c r="G8" s="2111"/>
      <c r="H8" s="2110">
        <f t="shared" si="1"/>
        <v>0</v>
      </c>
      <c r="I8" s="2111">
        <v>340</v>
      </c>
      <c r="J8" s="2110">
        <f t="shared" si="4"/>
        <v>6398.8</v>
      </c>
      <c r="K8" s="2111">
        <v>100</v>
      </c>
      <c r="L8" s="2110">
        <f t="shared" si="5"/>
        <v>2825</v>
      </c>
      <c r="M8" s="2111"/>
      <c r="N8" s="2110">
        <f t="shared" si="6"/>
        <v>0</v>
      </c>
      <c r="O8" s="2111"/>
      <c r="P8" s="2110">
        <f t="shared" si="7"/>
        <v>0</v>
      </c>
      <c r="Q8" s="2110"/>
      <c r="R8" s="2110">
        <f t="shared" si="8"/>
        <v>0</v>
      </c>
      <c r="S8" s="2111"/>
      <c r="T8" s="2111">
        <f t="shared" si="9"/>
        <v>0</v>
      </c>
      <c r="U8" s="2111"/>
      <c r="V8" s="2111">
        <f t="shared" si="10"/>
        <v>0</v>
      </c>
      <c r="W8" s="2111"/>
      <c r="X8" s="19">
        <f t="shared" si="11"/>
        <v>0</v>
      </c>
      <c r="Y8" s="20">
        <f t="shared" si="2"/>
        <v>34042.972500000003</v>
      </c>
    </row>
    <row r="9" spans="1:25" ht="38.25" customHeight="1" x14ac:dyDescent="0.25">
      <c r="A9" s="12">
        <v>1984225580</v>
      </c>
      <c r="B9" s="2113" t="s">
        <v>74</v>
      </c>
      <c r="C9" s="2111">
        <v>24355</v>
      </c>
      <c r="D9" s="2110">
        <f t="shared" si="0"/>
        <v>23685.237499999999</v>
      </c>
      <c r="E9" s="2111"/>
      <c r="F9" s="2110">
        <f t="shared" si="3"/>
        <v>0</v>
      </c>
      <c r="G9" s="2111"/>
      <c r="H9" s="2110">
        <f t="shared" si="1"/>
        <v>0</v>
      </c>
      <c r="I9" s="2111">
        <v>240</v>
      </c>
      <c r="J9" s="2110">
        <f t="shared" si="4"/>
        <v>4516.8</v>
      </c>
      <c r="K9" s="2111"/>
      <c r="L9" s="2110">
        <f t="shared" si="5"/>
        <v>0</v>
      </c>
      <c r="M9" s="2111"/>
      <c r="N9" s="2110">
        <f t="shared" si="6"/>
        <v>0</v>
      </c>
      <c r="O9" s="2111"/>
      <c r="P9" s="2110">
        <f t="shared" si="7"/>
        <v>0</v>
      </c>
      <c r="Q9" s="2110"/>
      <c r="R9" s="2110">
        <f t="shared" si="8"/>
        <v>0</v>
      </c>
      <c r="S9" s="2111"/>
      <c r="T9" s="2111">
        <f t="shared" si="9"/>
        <v>0</v>
      </c>
      <c r="U9" s="2111"/>
      <c r="V9" s="2111">
        <f t="shared" si="10"/>
        <v>0</v>
      </c>
      <c r="W9" s="2111"/>
      <c r="X9" s="19">
        <f t="shared" si="11"/>
        <v>0</v>
      </c>
      <c r="Y9" s="20">
        <f t="shared" si="2"/>
        <v>28202.037499999999</v>
      </c>
    </row>
    <row r="10" spans="1:25" ht="35.25" customHeight="1" x14ac:dyDescent="0.25">
      <c r="A10" s="12">
        <v>1409935199</v>
      </c>
      <c r="C10" s="2111"/>
      <c r="D10" s="2110">
        <f t="shared" si="0"/>
        <v>0</v>
      </c>
      <c r="E10" s="2111"/>
      <c r="F10" s="2110">
        <f t="shared" si="3"/>
        <v>0</v>
      </c>
      <c r="G10" s="2111"/>
      <c r="H10" s="2110">
        <f t="shared" si="1"/>
        <v>0</v>
      </c>
      <c r="I10" s="2111"/>
      <c r="J10" s="2110">
        <f t="shared" si="4"/>
        <v>0</v>
      </c>
      <c r="K10" s="2111"/>
      <c r="L10" s="2110">
        <f t="shared" si="5"/>
        <v>0</v>
      </c>
      <c r="M10" s="2111"/>
      <c r="N10" s="2110">
        <f t="shared" si="6"/>
        <v>0</v>
      </c>
      <c r="O10" s="2111"/>
      <c r="P10" s="2110">
        <f t="shared" si="7"/>
        <v>0</v>
      </c>
      <c r="Q10" s="2110"/>
      <c r="R10" s="2110">
        <f t="shared" si="8"/>
        <v>0</v>
      </c>
      <c r="S10" s="2111"/>
      <c r="T10" s="2111">
        <f>470*S10</f>
        <v>0</v>
      </c>
      <c r="U10" s="2111"/>
      <c r="V10" s="2111">
        <f t="shared" si="10"/>
        <v>0</v>
      </c>
      <c r="W10" s="2111"/>
      <c r="X10" s="19">
        <f t="shared" si="11"/>
        <v>0</v>
      </c>
      <c r="Y10" s="20">
        <f t="shared" si="2"/>
        <v>0</v>
      </c>
    </row>
    <row r="11" spans="1:25" ht="37.5" customHeight="1" x14ac:dyDescent="0.25">
      <c r="A11" s="12"/>
      <c r="B11" s="2112"/>
      <c r="C11" s="2111"/>
      <c r="D11" s="2110">
        <f t="shared" si="0"/>
        <v>0</v>
      </c>
      <c r="E11" s="2111"/>
      <c r="F11" s="2110">
        <f t="shared" si="3"/>
        <v>0</v>
      </c>
      <c r="G11" s="2111"/>
      <c r="H11" s="2110">
        <f t="shared" si="1"/>
        <v>0</v>
      </c>
      <c r="I11" s="2111"/>
      <c r="J11" s="2110">
        <f t="shared" si="4"/>
        <v>0</v>
      </c>
      <c r="K11" s="2111"/>
      <c r="L11" s="2110">
        <f t="shared" si="5"/>
        <v>0</v>
      </c>
      <c r="M11" s="2111"/>
      <c r="N11" s="2110">
        <f t="shared" si="6"/>
        <v>0</v>
      </c>
      <c r="O11" s="2111"/>
      <c r="P11" s="2110">
        <f t="shared" si="7"/>
        <v>0</v>
      </c>
      <c r="Q11" s="2110"/>
      <c r="R11" s="2110">
        <f t="shared" si="8"/>
        <v>0</v>
      </c>
      <c r="S11" s="2111"/>
      <c r="T11" s="2111">
        <f>241*S11</f>
        <v>0</v>
      </c>
      <c r="U11" s="2111"/>
      <c r="V11" s="2111">
        <f t="shared" si="10"/>
        <v>0</v>
      </c>
      <c r="W11" s="2111"/>
      <c r="X11" s="19">
        <f t="shared" si="11"/>
        <v>0</v>
      </c>
      <c r="Y11" s="20">
        <f t="shared" si="2"/>
        <v>0</v>
      </c>
    </row>
    <row r="12" spans="1:25" ht="29.25" customHeight="1" x14ac:dyDescent="0.25">
      <c r="A12" s="2235" t="s">
        <v>31</v>
      </c>
      <c r="B12" s="2235"/>
      <c r="C12" s="18">
        <f t="shared" ref="C12:X12" si="12">SUM(C6:C11)</f>
        <v>105700</v>
      </c>
      <c r="D12" s="18">
        <f t="shared" si="12"/>
        <v>102793.25</v>
      </c>
      <c r="E12" s="18">
        <f t="shared" si="12"/>
        <v>0</v>
      </c>
      <c r="F12" s="18">
        <f t="shared" si="12"/>
        <v>0</v>
      </c>
      <c r="G12" s="18">
        <f t="shared" si="12"/>
        <v>20</v>
      </c>
      <c r="H12" s="18">
        <f t="shared" si="12"/>
        <v>565.20000000000005</v>
      </c>
      <c r="I12" s="18">
        <f t="shared" si="12"/>
        <v>1490</v>
      </c>
      <c r="J12" s="18">
        <f t="shared" si="12"/>
        <v>28041.8</v>
      </c>
      <c r="K12" s="18">
        <f t="shared" si="12"/>
        <v>140</v>
      </c>
      <c r="L12" s="18">
        <f t="shared" si="12"/>
        <v>3955</v>
      </c>
      <c r="M12" s="18">
        <f t="shared" si="12"/>
        <v>0</v>
      </c>
      <c r="N12" s="23">
        <f t="shared" si="12"/>
        <v>0</v>
      </c>
      <c r="O12" s="18">
        <f t="shared" si="12"/>
        <v>0</v>
      </c>
      <c r="P12" s="23">
        <f t="shared" si="12"/>
        <v>0</v>
      </c>
      <c r="Q12" s="23">
        <f t="shared" si="12"/>
        <v>0</v>
      </c>
      <c r="R12" s="23">
        <f>SUM(R6:R11)</f>
        <v>0</v>
      </c>
      <c r="S12" s="23">
        <f>SUM(S6:S11)</f>
        <v>10</v>
      </c>
      <c r="T12" s="18">
        <f t="shared" si="12"/>
        <v>4700</v>
      </c>
      <c r="U12" s="18">
        <f t="shared" si="12"/>
        <v>0</v>
      </c>
      <c r="V12" s="18">
        <f t="shared" si="12"/>
        <v>0</v>
      </c>
      <c r="W12" s="18">
        <f t="shared" si="12"/>
        <v>0</v>
      </c>
      <c r="X12" s="18">
        <f t="shared" si="12"/>
        <v>0</v>
      </c>
      <c r="Y12" s="20">
        <f t="shared" si="2"/>
        <v>140055.25</v>
      </c>
    </row>
    <row r="14" spans="1:25" ht="43.5" customHeight="1" x14ac:dyDescent="0.25">
      <c r="A14" s="30" t="s">
        <v>32</v>
      </c>
      <c r="B14" s="2236" t="s">
        <v>27</v>
      </c>
      <c r="C14" s="2236"/>
      <c r="D14" s="30" t="s">
        <v>543</v>
      </c>
      <c r="E14" s="30" t="s">
        <v>65</v>
      </c>
      <c r="F14" s="30" t="s">
        <v>34</v>
      </c>
      <c r="G14" s="30" t="s">
        <v>14</v>
      </c>
      <c r="H14" s="469" t="s">
        <v>173</v>
      </c>
      <c r="I14" s="30" t="s">
        <v>17</v>
      </c>
      <c r="J14" s="2119" t="s">
        <v>174</v>
      </c>
      <c r="K14" s="30" t="s">
        <v>36</v>
      </c>
      <c r="L14" s="2119" t="s">
        <v>403</v>
      </c>
      <c r="M14" s="2119" t="s">
        <v>549</v>
      </c>
      <c r="N14" s="30" t="s">
        <v>442</v>
      </c>
      <c r="O14" s="2119" t="s">
        <v>114</v>
      </c>
      <c r="P14" s="30" t="s">
        <v>70</v>
      </c>
      <c r="Q14" s="2300" t="s">
        <v>479</v>
      </c>
      <c r="R14" s="2301"/>
      <c r="S14" s="2119" t="s">
        <v>401</v>
      </c>
      <c r="T14" s="2235" t="s">
        <v>46</v>
      </c>
      <c r="U14" s="2113" t="s">
        <v>176</v>
      </c>
      <c r="V14" s="2260">
        <v>142121</v>
      </c>
      <c r="W14" s="2268"/>
      <c r="X14" s="2261"/>
    </row>
    <row r="15" spans="1:25" ht="22.5" customHeight="1" x14ac:dyDescent="0.25">
      <c r="A15" s="100" t="s">
        <v>38</v>
      </c>
      <c r="B15" s="2260">
        <v>507387</v>
      </c>
      <c r="C15" s="2261"/>
      <c r="D15" s="2116">
        <v>0</v>
      </c>
      <c r="E15" s="2116">
        <v>20</v>
      </c>
      <c r="F15" s="2116">
        <v>2100</v>
      </c>
      <c r="G15" s="2116">
        <v>590</v>
      </c>
      <c r="H15" s="2116">
        <v>34</v>
      </c>
      <c r="I15" s="2116">
        <v>28</v>
      </c>
      <c r="J15" s="2116"/>
      <c r="K15" s="2116">
        <v>83</v>
      </c>
      <c r="L15" s="2116">
        <v>12</v>
      </c>
      <c r="M15" s="2116">
        <v>10</v>
      </c>
      <c r="N15" s="2116">
        <v>0</v>
      </c>
      <c r="O15" s="2116">
        <v>0</v>
      </c>
      <c r="P15" s="2116">
        <v>100</v>
      </c>
      <c r="Q15" s="2260">
        <v>0</v>
      </c>
      <c r="R15" s="2261"/>
      <c r="S15" s="2113"/>
      <c r="T15" s="2235"/>
      <c r="U15" s="2113" t="s">
        <v>64</v>
      </c>
      <c r="V15" s="2262">
        <v>14744</v>
      </c>
      <c r="W15" s="2262"/>
      <c r="X15" s="2262"/>
    </row>
    <row r="16" spans="1:25" ht="24.75" customHeight="1" x14ac:dyDescent="0.25">
      <c r="A16" s="100" t="s">
        <v>39</v>
      </c>
      <c r="B16" s="2260"/>
      <c r="C16" s="2261"/>
      <c r="D16" s="2116"/>
      <c r="E16" s="2116"/>
      <c r="F16" s="2116"/>
      <c r="G16" s="2116"/>
      <c r="H16" s="2116"/>
      <c r="I16" s="2116"/>
      <c r="J16" s="2116"/>
      <c r="K16" s="2116"/>
      <c r="L16" s="2116"/>
      <c r="M16" s="2116"/>
      <c r="N16" s="2116"/>
      <c r="O16" s="2116"/>
      <c r="P16" s="2116"/>
      <c r="Q16" s="2262"/>
      <c r="R16" s="2262"/>
      <c r="S16" s="2116"/>
      <c r="T16" s="2254" t="s">
        <v>55</v>
      </c>
      <c r="U16" s="2254"/>
      <c r="V16" s="2267">
        <f>Y12</f>
        <v>140055.25</v>
      </c>
      <c r="W16" s="2267"/>
      <c r="X16" s="2262"/>
    </row>
    <row r="17" spans="1:25" ht="28.5" customHeight="1" x14ac:dyDescent="0.25">
      <c r="A17" s="101" t="s">
        <v>44</v>
      </c>
      <c r="B17" s="2260"/>
      <c r="C17" s="2261"/>
      <c r="D17" s="2116"/>
      <c r="E17" s="2116"/>
      <c r="F17" s="2116"/>
      <c r="G17" s="2116"/>
      <c r="H17" s="2116"/>
      <c r="I17" s="2116"/>
      <c r="J17" s="2116"/>
      <c r="K17" s="2116"/>
      <c r="L17" s="2116"/>
      <c r="M17" s="2116"/>
      <c r="N17" s="2116"/>
      <c r="O17" s="2116"/>
      <c r="P17" s="2116"/>
      <c r="Q17" s="2225"/>
      <c r="R17" s="2225"/>
      <c r="S17" s="2112"/>
      <c r="T17" s="2294" t="s">
        <v>521</v>
      </c>
      <c r="U17" s="2295"/>
      <c r="V17" s="2296"/>
      <c r="W17" s="2296"/>
      <c r="X17" s="2296"/>
    </row>
    <row r="18" spans="1:25" ht="27" customHeight="1" x14ac:dyDescent="0.25">
      <c r="A18" s="100" t="s">
        <v>40</v>
      </c>
      <c r="B18" s="2264">
        <f>C12</f>
        <v>105700</v>
      </c>
      <c r="C18" s="2261"/>
      <c r="D18" s="2118">
        <f>E12</f>
        <v>0</v>
      </c>
      <c r="E18" s="2118">
        <f>G12</f>
        <v>20</v>
      </c>
      <c r="F18" s="2118">
        <f>I12</f>
        <v>1490</v>
      </c>
      <c r="G18" s="2118">
        <f>K12</f>
        <v>140</v>
      </c>
      <c r="H18" s="2116"/>
      <c r="I18" s="2118">
        <f>U12</f>
        <v>0</v>
      </c>
      <c r="J18" s="2116"/>
      <c r="K18" s="2118">
        <f>W12</f>
        <v>0</v>
      </c>
      <c r="L18" s="2116"/>
      <c r="M18" s="2118">
        <v>10</v>
      </c>
      <c r="N18" s="2118">
        <f>O12</f>
        <v>0</v>
      </c>
      <c r="O18" s="2117">
        <f>Q12</f>
        <v>0</v>
      </c>
      <c r="P18" s="2118"/>
      <c r="Q18" s="2262"/>
      <c r="R18" s="2262"/>
      <c r="S18" s="2113"/>
      <c r="T18" s="2254" t="s">
        <v>57</v>
      </c>
      <c r="U18" s="2254"/>
      <c r="V18" s="2262">
        <v>810</v>
      </c>
      <c r="W18" s="2262"/>
      <c r="X18" s="2262"/>
      <c r="Y18" s="2269"/>
    </row>
    <row r="19" spans="1:25" ht="25.5" customHeight="1" x14ac:dyDescent="0.25">
      <c r="A19" s="100" t="s">
        <v>41</v>
      </c>
      <c r="B19" s="2260">
        <f>B15+B16+B17-B18</f>
        <v>401687</v>
      </c>
      <c r="C19" s="2261"/>
      <c r="D19" s="2116">
        <f>D15+D16+D17-D18</f>
        <v>0</v>
      </c>
      <c r="E19" s="2116">
        <f t="shared" ref="E19:N19" si="13">E15+E16+E17-E18</f>
        <v>0</v>
      </c>
      <c r="F19" s="2116">
        <f t="shared" si="13"/>
        <v>610</v>
      </c>
      <c r="G19" s="2116">
        <f t="shared" si="13"/>
        <v>450</v>
      </c>
      <c r="H19" s="2116">
        <f t="shared" si="13"/>
        <v>34</v>
      </c>
      <c r="I19" s="2116">
        <f t="shared" si="13"/>
        <v>28</v>
      </c>
      <c r="J19" s="2116">
        <f t="shared" si="13"/>
        <v>0</v>
      </c>
      <c r="K19" s="2116">
        <f t="shared" si="13"/>
        <v>83</v>
      </c>
      <c r="L19" s="2116">
        <f t="shared" si="13"/>
        <v>12</v>
      </c>
      <c r="M19" s="2116">
        <f t="shared" si="13"/>
        <v>0</v>
      </c>
      <c r="N19" s="2116">
        <f t="shared" si="13"/>
        <v>0</v>
      </c>
      <c r="O19" s="2116">
        <f>O15+O16+O17-O18</f>
        <v>0</v>
      </c>
      <c r="P19" s="2116">
        <f t="shared" ref="P19:Q19" si="14">P15+P16+P17-P18</f>
        <v>100</v>
      </c>
      <c r="Q19" s="2260">
        <f t="shared" si="14"/>
        <v>0</v>
      </c>
      <c r="R19" s="2261"/>
      <c r="S19" s="2113">
        <f>S15+S16-S17-S18</f>
        <v>0</v>
      </c>
      <c r="T19" s="2256" t="s">
        <v>48</v>
      </c>
      <c r="U19" s="49" t="s">
        <v>58</v>
      </c>
      <c r="V19" s="2262"/>
      <c r="W19" s="2262"/>
      <c r="X19" s="2262"/>
      <c r="Y19" s="2269"/>
    </row>
    <row r="20" spans="1:25" ht="23.25" customHeight="1" x14ac:dyDescent="0.25">
      <c r="A20" s="289" t="s">
        <v>187</v>
      </c>
      <c r="B20" s="2286">
        <f>B19*0.9625</f>
        <v>386623.73749999999</v>
      </c>
      <c r="C20" s="2287"/>
      <c r="D20" s="290">
        <f>D19*19.48</f>
        <v>0</v>
      </c>
      <c r="E20" s="290">
        <f>27.97*E19</f>
        <v>0</v>
      </c>
      <c r="F20" s="290">
        <f>18.63*F19</f>
        <v>11364.3</v>
      </c>
      <c r="G20" s="290">
        <f>27.9468*G19</f>
        <v>12576.06</v>
      </c>
      <c r="H20" s="290">
        <f>241*H19</f>
        <v>8194</v>
      </c>
      <c r="I20" s="290">
        <f>323*I19</f>
        <v>9044</v>
      </c>
      <c r="J20" s="290">
        <f>241*J19</f>
        <v>0</v>
      </c>
      <c r="K20" s="290">
        <f>K19*100</f>
        <v>8300</v>
      </c>
      <c r="L20" s="290">
        <f>470*L19</f>
        <v>5640</v>
      </c>
      <c r="M20" s="290">
        <f>470*M19</f>
        <v>0</v>
      </c>
      <c r="N20" s="290">
        <f>N19*8.81</f>
        <v>0</v>
      </c>
      <c r="O20" s="290">
        <f>241*O19</f>
        <v>0</v>
      </c>
      <c r="P20" s="290">
        <f>P19*48.2</f>
        <v>4820</v>
      </c>
      <c r="Q20" s="2286">
        <f>470*Q19</f>
        <v>0</v>
      </c>
      <c r="R20" s="2287"/>
      <c r="S20" s="290">
        <f>341*S19</f>
        <v>0</v>
      </c>
      <c r="T20" s="2257"/>
      <c r="U20" s="49" t="s">
        <v>59</v>
      </c>
      <c r="V20" s="2262"/>
      <c r="W20" s="2262"/>
      <c r="X20" s="2262"/>
      <c r="Y20" s="2269"/>
    </row>
    <row r="21" spans="1:25" ht="32.25" customHeight="1" x14ac:dyDescent="0.25">
      <c r="A21" s="291" t="s">
        <v>186</v>
      </c>
      <c r="B21" s="2302">
        <f>SUM(B20:S20)</f>
        <v>446562.09749999997</v>
      </c>
      <c r="C21" s="2302"/>
      <c r="T21" s="2294" t="s">
        <v>464</v>
      </c>
      <c r="U21" s="2295"/>
      <c r="V21" s="2297"/>
      <c r="W21" s="2298"/>
      <c r="X21" s="2299"/>
      <c r="Y21" s="2269"/>
    </row>
    <row r="22" spans="1:25" ht="35.25" customHeight="1" x14ac:dyDescent="0.25">
      <c r="A22" s="1911"/>
      <c r="B22" s="2288" t="s">
        <v>49</v>
      </c>
      <c r="C22" s="2291">
        <v>365000</v>
      </c>
      <c r="D22" s="2291"/>
      <c r="E22" s="2291"/>
      <c r="F22" s="2291">
        <f>C22-D22+E22</f>
        <v>365000</v>
      </c>
      <c r="T22" s="2251" t="s">
        <v>83</v>
      </c>
      <c r="U22" s="50" t="s">
        <v>60</v>
      </c>
      <c r="V22" s="2262"/>
      <c r="W22" s="2262"/>
      <c r="X22" s="2262"/>
      <c r="Y22" s="2269"/>
    </row>
    <row r="23" spans="1:25" ht="39.75" customHeight="1" x14ac:dyDescent="0.25">
      <c r="B23" s="2289"/>
      <c r="C23" s="2292"/>
      <c r="D23" s="2292"/>
      <c r="E23" s="2292"/>
      <c r="F23" s="2292"/>
      <c r="T23" s="2252"/>
      <c r="U23" s="50" t="s">
        <v>61</v>
      </c>
      <c r="V23" s="2262"/>
      <c r="W23" s="2262"/>
      <c r="X23" s="2262"/>
      <c r="Y23" s="2269"/>
    </row>
    <row r="24" spans="1:25" ht="48" customHeight="1" x14ac:dyDescent="0.25">
      <c r="B24" s="2290"/>
      <c r="C24" s="290" t="s">
        <v>46</v>
      </c>
      <c r="D24" s="290" t="s">
        <v>50</v>
      </c>
      <c r="E24" s="290" t="s">
        <v>51</v>
      </c>
      <c r="F24" s="290" t="s">
        <v>52</v>
      </c>
      <c r="T24" s="2235" t="s">
        <v>47</v>
      </c>
      <c r="U24" s="51" t="s">
        <v>62</v>
      </c>
      <c r="V24" s="2263">
        <f>V14+V16+V17-V18-V19-V20-V22+V23-V21</f>
        <v>281366.25</v>
      </c>
      <c r="W24" s="2263"/>
      <c r="X24" s="2263"/>
      <c r="Y24" s="2269"/>
    </row>
    <row r="25" spans="1:25" ht="40.5" customHeight="1" x14ac:dyDescent="0.25">
      <c r="T25" s="2235"/>
      <c r="U25" s="51" t="s">
        <v>63</v>
      </c>
      <c r="V25" s="2262">
        <f>V15+V22-V23</f>
        <v>14744</v>
      </c>
      <c r="W25" s="2262"/>
      <c r="X25" s="2262"/>
    </row>
    <row r="26" spans="1:25" ht="36" customHeight="1" x14ac:dyDescent="0.25">
      <c r="K26" s="314"/>
    </row>
    <row r="28" spans="1:25" x14ac:dyDescent="0.25">
      <c r="J28" s="14" t="s">
        <v>139</v>
      </c>
    </row>
    <row r="32" spans="1:25" x14ac:dyDescent="0.25">
      <c r="I32" s="2280"/>
      <c r="J32" s="2280"/>
      <c r="K32" s="2280"/>
      <c r="L32" s="2280"/>
    </row>
    <row r="33" spans="9:12" x14ac:dyDescent="0.25">
      <c r="I33" s="2120"/>
      <c r="J33" s="2120"/>
      <c r="K33" s="2280"/>
      <c r="L33" s="2280"/>
    </row>
  </sheetData>
  <mergeCells count="62">
    <mergeCell ref="A1:Y1"/>
    <mergeCell ref="A2:Y2"/>
    <mergeCell ref="T3:Y3"/>
    <mergeCell ref="A4:A5"/>
    <mergeCell ref="B4:B5"/>
    <mergeCell ref="C4:D4"/>
    <mergeCell ref="E4:F4"/>
    <mergeCell ref="G4:H4"/>
    <mergeCell ref="I4:J4"/>
    <mergeCell ref="K4:L4"/>
    <mergeCell ref="Y4:Y5"/>
    <mergeCell ref="M4:N4"/>
    <mergeCell ref="O4:P4"/>
    <mergeCell ref="Q4:R4"/>
    <mergeCell ref="S4:T4"/>
    <mergeCell ref="U4:V4"/>
    <mergeCell ref="W4:X4"/>
    <mergeCell ref="B16:C16"/>
    <mergeCell ref="Q16:R16"/>
    <mergeCell ref="T16:U16"/>
    <mergeCell ref="V16:X16"/>
    <mergeCell ref="A12:B12"/>
    <mergeCell ref="B14:C14"/>
    <mergeCell ref="Q14:R14"/>
    <mergeCell ref="T14:T15"/>
    <mergeCell ref="V14:X14"/>
    <mergeCell ref="B15:C15"/>
    <mergeCell ref="Q15:R15"/>
    <mergeCell ref="V15:X15"/>
    <mergeCell ref="B17:C17"/>
    <mergeCell ref="Q17:R17"/>
    <mergeCell ref="T17:U17"/>
    <mergeCell ref="V17:X17"/>
    <mergeCell ref="B18:C18"/>
    <mergeCell ref="Q18:R18"/>
    <mergeCell ref="T18:U18"/>
    <mergeCell ref="V18:X18"/>
    <mergeCell ref="Y18:Y24"/>
    <mergeCell ref="B19:C19"/>
    <mergeCell ref="Q19:R19"/>
    <mergeCell ref="T19:T20"/>
    <mergeCell ref="V19:X19"/>
    <mergeCell ref="B20:C20"/>
    <mergeCell ref="B22:B24"/>
    <mergeCell ref="C22:C23"/>
    <mergeCell ref="D22:D23"/>
    <mergeCell ref="E22:E23"/>
    <mergeCell ref="F22:F23"/>
    <mergeCell ref="Q20:R20"/>
    <mergeCell ref="V20:X20"/>
    <mergeCell ref="B21:C21"/>
    <mergeCell ref="T21:U21"/>
    <mergeCell ref="V21:X21"/>
    <mergeCell ref="I32:J32"/>
    <mergeCell ref="K32:L32"/>
    <mergeCell ref="K33:L33"/>
    <mergeCell ref="T22:T23"/>
    <mergeCell ref="V22:X22"/>
    <mergeCell ref="V23:X23"/>
    <mergeCell ref="T24:T25"/>
    <mergeCell ref="V24:X24"/>
    <mergeCell ref="V25:X25"/>
  </mergeCells>
  <pageMargins left="0.15748031496063" right="0.15748031496063" top="0" bottom="0" header="0" footer="0"/>
  <pageSetup paperSize="9" scale="46" orientation="landscape" r:id="rId1"/>
</worksheet>
</file>

<file path=xl/worksheets/sheet3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1E59FFA-2344-4E53-8308-437F80089277}">
  <sheetPr>
    <pageSetUpPr fitToPage="1"/>
  </sheetPr>
  <dimension ref="A1:Y33"/>
  <sheetViews>
    <sheetView topLeftCell="A11" zoomScale="70" zoomScaleNormal="70" zoomScaleSheetLayoutView="100" zoomScalePageLayoutView="68" workbookViewId="0">
      <selection activeCell="O24" sqref="O24"/>
    </sheetView>
  </sheetViews>
  <sheetFormatPr defaultColWidth="9.140625" defaultRowHeight="15" x14ac:dyDescent="0.25"/>
  <cols>
    <col min="1" max="1" width="18.28515625" style="14" customWidth="1"/>
    <col min="2" max="2" width="10.7109375" style="14" customWidth="1"/>
    <col min="3" max="3" width="12.28515625" style="14" customWidth="1"/>
    <col min="4" max="4" width="13.140625" style="14" bestFit="1" customWidth="1"/>
    <col min="5" max="5" width="12" style="14" customWidth="1"/>
    <col min="6" max="6" width="14" style="14" bestFit="1" customWidth="1"/>
    <col min="7" max="7" width="16" style="14" bestFit="1" customWidth="1"/>
    <col min="8" max="8" width="11" style="14" bestFit="1" customWidth="1"/>
    <col min="9" max="9" width="10.5703125" style="14" bestFit="1" customWidth="1"/>
    <col min="10" max="10" width="10.5703125" style="14" customWidth="1"/>
    <col min="11" max="11" width="10.28515625" style="14" bestFit="1" customWidth="1"/>
    <col min="12" max="12" width="10.42578125" style="14" bestFit="1" customWidth="1"/>
    <col min="13" max="14" width="12" style="14" bestFit="1" customWidth="1"/>
    <col min="15" max="15" width="11" style="14" customWidth="1"/>
    <col min="16" max="16" width="12.85546875" style="14" bestFit="1" customWidth="1"/>
    <col min="17" max="18" width="9.42578125" style="14" customWidth="1"/>
    <col min="19" max="19" width="13.7109375" style="14" customWidth="1"/>
    <col min="20" max="20" width="12.140625" style="14" customWidth="1"/>
    <col min="21" max="21" width="21.7109375" style="14" customWidth="1"/>
    <col min="22" max="22" width="9.85546875" style="14" customWidth="1"/>
    <col min="23" max="23" width="10.140625" style="14" bestFit="1" customWidth="1"/>
    <col min="24" max="24" width="10.28515625" style="14" customWidth="1"/>
    <col min="25" max="25" width="15.7109375" style="14" customWidth="1"/>
    <col min="26" max="16384" width="9.140625" style="14"/>
  </cols>
  <sheetData>
    <row r="1" spans="1:25" ht="46.15" customHeight="1" x14ac:dyDescent="0.25">
      <c r="A1" s="2240" t="s">
        <v>148</v>
      </c>
      <c r="B1" s="2240"/>
      <c r="C1" s="2240"/>
      <c r="D1" s="2240"/>
      <c r="E1" s="2240"/>
      <c r="F1" s="2240"/>
      <c r="G1" s="2240"/>
      <c r="H1" s="2240"/>
      <c r="I1" s="2240"/>
      <c r="J1" s="2240"/>
      <c r="K1" s="2240"/>
      <c r="L1" s="2240"/>
      <c r="M1" s="2240"/>
      <c r="N1" s="2240"/>
      <c r="O1" s="2240"/>
      <c r="P1" s="2240"/>
      <c r="Q1" s="2240"/>
      <c r="R1" s="2240"/>
      <c r="S1" s="2240"/>
      <c r="T1" s="2240"/>
      <c r="U1" s="2240"/>
      <c r="V1" s="2240"/>
      <c r="W1" s="2240"/>
      <c r="X1" s="2240"/>
      <c r="Y1" s="2240"/>
    </row>
    <row r="2" spans="1:25" ht="21.6" customHeight="1" x14ac:dyDescent="0.25">
      <c r="A2" s="2241" t="s">
        <v>383</v>
      </c>
      <c r="B2" s="2241"/>
      <c r="C2" s="2241"/>
      <c r="D2" s="2241"/>
      <c r="E2" s="2241"/>
      <c r="F2" s="2241"/>
      <c r="G2" s="2241"/>
      <c r="H2" s="2241"/>
      <c r="I2" s="2241"/>
      <c r="J2" s="2241"/>
      <c r="K2" s="2241"/>
      <c r="L2" s="2241"/>
      <c r="M2" s="2241"/>
      <c r="N2" s="2241"/>
      <c r="O2" s="2241"/>
      <c r="P2" s="2241"/>
      <c r="Q2" s="2241"/>
      <c r="R2" s="2241"/>
      <c r="S2" s="2241"/>
      <c r="T2" s="2241"/>
      <c r="U2" s="2241"/>
      <c r="V2" s="2241"/>
      <c r="W2" s="2241"/>
      <c r="X2" s="2241"/>
      <c r="Y2" s="2241"/>
    </row>
    <row r="3" spans="1:25" ht="21" customHeight="1" x14ac:dyDescent="0.25">
      <c r="A3" s="2115"/>
      <c r="B3" s="2115"/>
      <c r="C3" s="2115"/>
      <c r="D3" s="2115"/>
      <c r="E3" s="2115"/>
      <c r="F3" s="2115"/>
      <c r="G3" s="2115"/>
      <c r="H3" s="2115"/>
      <c r="I3" s="2115"/>
      <c r="J3" s="2115"/>
      <c r="K3" s="2115"/>
      <c r="L3" s="2115"/>
      <c r="M3" s="2115"/>
      <c r="N3" s="2115"/>
      <c r="O3" s="2115"/>
      <c r="P3" s="2115"/>
      <c r="Q3" s="2115"/>
      <c r="R3" s="2115"/>
      <c r="S3" s="2115"/>
      <c r="T3" s="2242" t="s">
        <v>588</v>
      </c>
      <c r="U3" s="2242"/>
      <c r="V3" s="2242"/>
      <c r="W3" s="2242"/>
      <c r="X3" s="2242"/>
      <c r="Y3" s="2242"/>
    </row>
    <row r="4" spans="1:25" s="2115" customFormat="1" ht="18" customHeight="1" x14ac:dyDescent="0.25">
      <c r="A4" s="2243" t="s">
        <v>25</v>
      </c>
      <c r="B4" s="2243" t="s">
        <v>26</v>
      </c>
      <c r="C4" s="2244" t="s">
        <v>27</v>
      </c>
      <c r="D4" s="2244"/>
      <c r="E4" s="2244" t="s">
        <v>544</v>
      </c>
      <c r="F4" s="2244"/>
      <c r="G4" s="2244" t="s">
        <v>65</v>
      </c>
      <c r="H4" s="2244"/>
      <c r="I4" s="2244" t="s">
        <v>29</v>
      </c>
      <c r="J4" s="2244"/>
      <c r="K4" s="2245" t="s">
        <v>14</v>
      </c>
      <c r="L4" s="2246"/>
      <c r="M4" s="2245" t="s">
        <v>429</v>
      </c>
      <c r="N4" s="2246"/>
      <c r="O4" s="2245" t="s">
        <v>441</v>
      </c>
      <c r="P4" s="2246"/>
      <c r="Q4" s="2245" t="s">
        <v>114</v>
      </c>
      <c r="R4" s="2246"/>
      <c r="S4" s="2244" t="s">
        <v>35</v>
      </c>
      <c r="T4" s="2244"/>
      <c r="U4" s="2245" t="s">
        <v>17</v>
      </c>
      <c r="V4" s="2246"/>
      <c r="W4" s="2247" t="s">
        <v>36</v>
      </c>
      <c r="X4" s="2248"/>
      <c r="Y4" s="2238" t="s">
        <v>30</v>
      </c>
    </row>
    <row r="5" spans="1:25" s="2115" customFormat="1" ht="25.5" customHeight="1" x14ac:dyDescent="0.25">
      <c r="A5" s="2243"/>
      <c r="B5" s="2243"/>
      <c r="C5" s="2114" t="s">
        <v>42</v>
      </c>
      <c r="D5" s="2114" t="s">
        <v>43</v>
      </c>
      <c r="E5" s="2114" t="s">
        <v>42</v>
      </c>
      <c r="F5" s="2114" t="s">
        <v>43</v>
      </c>
      <c r="G5" s="2114" t="s">
        <v>42</v>
      </c>
      <c r="H5" s="2114" t="s">
        <v>43</v>
      </c>
      <c r="I5" s="2114" t="s">
        <v>42</v>
      </c>
      <c r="J5" s="2114" t="s">
        <v>43</v>
      </c>
      <c r="K5" s="2114" t="s">
        <v>42</v>
      </c>
      <c r="L5" s="2114" t="s">
        <v>43</v>
      </c>
      <c r="M5" s="2114" t="s">
        <v>42</v>
      </c>
      <c r="N5" s="2114" t="s">
        <v>43</v>
      </c>
      <c r="O5" s="2114" t="s">
        <v>42</v>
      </c>
      <c r="P5" s="2114" t="s">
        <v>43</v>
      </c>
      <c r="Q5" s="2114" t="s">
        <v>42</v>
      </c>
      <c r="R5" s="2114" t="s">
        <v>43</v>
      </c>
      <c r="S5" s="33" t="s">
        <v>42</v>
      </c>
      <c r="T5" s="33" t="s">
        <v>43</v>
      </c>
      <c r="U5" s="30" t="s">
        <v>42</v>
      </c>
      <c r="V5" s="30" t="s">
        <v>43</v>
      </c>
      <c r="W5" s="30" t="s">
        <v>42</v>
      </c>
      <c r="X5" s="30" t="s">
        <v>43</v>
      </c>
      <c r="Y5" s="2239"/>
    </row>
    <row r="6" spans="1:25" ht="34.5" customHeight="1" x14ac:dyDescent="0.25">
      <c r="A6" s="12">
        <v>1409935200</v>
      </c>
      <c r="B6" s="2113" t="s">
        <v>71</v>
      </c>
      <c r="C6" s="2111">
        <v>28335</v>
      </c>
      <c r="D6" s="2110">
        <f t="shared" ref="D6:D11" si="0">0.9725*C6</f>
        <v>27555.787500000002</v>
      </c>
      <c r="E6" s="2111"/>
      <c r="F6" s="2110">
        <f>19.68*E6</f>
        <v>0</v>
      </c>
      <c r="G6" s="2111"/>
      <c r="H6" s="2110">
        <f t="shared" ref="H6:H11" si="1">28.26*G6</f>
        <v>0</v>
      </c>
      <c r="I6" s="2111">
        <v>110</v>
      </c>
      <c r="J6" s="2110">
        <f>18.82*I6</f>
        <v>2070.1999999999998</v>
      </c>
      <c r="K6" s="2111"/>
      <c r="L6" s="2110">
        <f>28.25*K6</f>
        <v>0</v>
      </c>
      <c r="M6" s="2111"/>
      <c r="N6" s="2110">
        <f>M6*47.6525</f>
        <v>0</v>
      </c>
      <c r="O6" s="2111"/>
      <c r="P6" s="2110">
        <f>O6*8.9</f>
        <v>0</v>
      </c>
      <c r="Q6" s="2110"/>
      <c r="R6" s="2110">
        <f>241*Q6</f>
        <v>0</v>
      </c>
      <c r="S6" s="2111"/>
      <c r="T6" s="2111">
        <f>470*S6</f>
        <v>0</v>
      </c>
      <c r="U6" s="2111"/>
      <c r="V6" s="2111">
        <f>332*U6</f>
        <v>0</v>
      </c>
      <c r="W6" s="2111"/>
      <c r="X6" s="19">
        <f>W6*100</f>
        <v>0</v>
      </c>
      <c r="Y6" s="20">
        <f t="shared" ref="Y6:Y12" si="2">D6+F6+H6+J6+L6+N6+P6+R6+T6+V6+X6</f>
        <v>29625.987500000003</v>
      </c>
    </row>
    <row r="7" spans="1:25" ht="36.75" customHeight="1" x14ac:dyDescent="0.25">
      <c r="A7" s="12">
        <v>1984225578</v>
      </c>
      <c r="B7" s="2113" t="s">
        <v>509</v>
      </c>
      <c r="C7" s="2111">
        <v>29598</v>
      </c>
      <c r="D7" s="2110">
        <f t="shared" si="0"/>
        <v>28784.055</v>
      </c>
      <c r="E7" s="2111"/>
      <c r="F7" s="2110">
        <f t="shared" ref="F7:F11" si="3">19.68*E7</f>
        <v>0</v>
      </c>
      <c r="G7" s="2111"/>
      <c r="H7" s="2110">
        <f t="shared" si="1"/>
        <v>0</v>
      </c>
      <c r="I7" s="2111">
        <v>370</v>
      </c>
      <c r="J7" s="2110">
        <f t="shared" ref="J7:J11" si="4">18.82*I7</f>
        <v>6963.4000000000005</v>
      </c>
      <c r="K7" s="2111"/>
      <c r="L7" s="2110">
        <f t="shared" ref="L7:L11" si="5">28.25*K7</f>
        <v>0</v>
      </c>
      <c r="M7" s="2111"/>
      <c r="N7" s="2110">
        <f t="shared" ref="N7:N11" si="6">M7*47.6525</f>
        <v>0</v>
      </c>
      <c r="O7" s="2111"/>
      <c r="P7" s="2110">
        <f t="shared" ref="P7:P11" si="7">O7*8.9</f>
        <v>0</v>
      </c>
      <c r="Q7" s="2110"/>
      <c r="R7" s="2110">
        <f t="shared" ref="R7:R11" si="8">241*Q7</f>
        <v>0</v>
      </c>
      <c r="S7" s="2111"/>
      <c r="T7" s="2111">
        <f t="shared" ref="T7:T9" si="9">470*S7</f>
        <v>0</v>
      </c>
      <c r="U7" s="2111"/>
      <c r="V7" s="2111">
        <f t="shared" ref="V7:V11" si="10">332*U7</f>
        <v>0</v>
      </c>
      <c r="W7" s="2111"/>
      <c r="X7" s="19">
        <f t="shared" ref="X7:X11" si="11">W7*100</f>
        <v>0</v>
      </c>
      <c r="Y7" s="20">
        <f t="shared" si="2"/>
        <v>35747.455000000002</v>
      </c>
    </row>
    <row r="8" spans="1:25" ht="35.25" customHeight="1" x14ac:dyDescent="0.25">
      <c r="A8" s="12">
        <v>1967020280</v>
      </c>
      <c r="B8" s="2113" t="s">
        <v>427</v>
      </c>
      <c r="C8" s="2111">
        <v>30479</v>
      </c>
      <c r="D8" s="2110">
        <f t="shared" si="0"/>
        <v>29640.827499999999</v>
      </c>
      <c r="E8" s="2111"/>
      <c r="F8" s="2110">
        <f t="shared" si="3"/>
        <v>0</v>
      </c>
      <c r="G8" s="2111"/>
      <c r="H8" s="2110">
        <f t="shared" si="1"/>
        <v>0</v>
      </c>
      <c r="I8" s="2111">
        <v>160</v>
      </c>
      <c r="J8" s="2110">
        <f t="shared" si="4"/>
        <v>3011.2</v>
      </c>
      <c r="K8" s="2111"/>
      <c r="L8" s="2110">
        <f t="shared" si="5"/>
        <v>0</v>
      </c>
      <c r="M8" s="2111"/>
      <c r="N8" s="2110">
        <f t="shared" si="6"/>
        <v>0</v>
      </c>
      <c r="O8" s="2111"/>
      <c r="P8" s="2110">
        <f t="shared" si="7"/>
        <v>0</v>
      </c>
      <c r="Q8" s="2110"/>
      <c r="R8" s="2110">
        <f t="shared" si="8"/>
        <v>0</v>
      </c>
      <c r="S8" s="2111"/>
      <c r="T8" s="2111">
        <f t="shared" si="9"/>
        <v>0</v>
      </c>
      <c r="U8" s="2111"/>
      <c r="V8" s="2111">
        <f t="shared" si="10"/>
        <v>0</v>
      </c>
      <c r="W8" s="2111"/>
      <c r="X8" s="19">
        <f t="shared" si="11"/>
        <v>0</v>
      </c>
      <c r="Y8" s="20">
        <f t="shared" si="2"/>
        <v>32652.0275</v>
      </c>
    </row>
    <row r="9" spans="1:25" ht="38.25" customHeight="1" x14ac:dyDescent="0.25">
      <c r="A9" s="12">
        <v>1984225580</v>
      </c>
      <c r="B9" s="2113" t="s">
        <v>74</v>
      </c>
      <c r="C9" s="2111">
        <v>28572</v>
      </c>
      <c r="D9" s="2110">
        <f t="shared" si="0"/>
        <v>27786.27</v>
      </c>
      <c r="E9" s="2111"/>
      <c r="F9" s="2110">
        <f t="shared" si="3"/>
        <v>0</v>
      </c>
      <c r="G9" s="2111"/>
      <c r="H9" s="2110">
        <f t="shared" si="1"/>
        <v>0</v>
      </c>
      <c r="I9" s="2111">
        <v>500</v>
      </c>
      <c r="J9" s="2110">
        <f t="shared" si="4"/>
        <v>9410</v>
      </c>
      <c r="K9" s="2111"/>
      <c r="L9" s="2110">
        <f t="shared" si="5"/>
        <v>0</v>
      </c>
      <c r="M9" s="2111"/>
      <c r="N9" s="2110">
        <f t="shared" si="6"/>
        <v>0</v>
      </c>
      <c r="O9" s="2111"/>
      <c r="P9" s="2110">
        <f t="shared" si="7"/>
        <v>0</v>
      </c>
      <c r="Q9" s="2110"/>
      <c r="R9" s="2110">
        <f t="shared" si="8"/>
        <v>0</v>
      </c>
      <c r="S9" s="2111"/>
      <c r="T9" s="2111">
        <f t="shared" si="9"/>
        <v>0</v>
      </c>
      <c r="U9" s="2111">
        <v>10</v>
      </c>
      <c r="V9" s="2111">
        <f t="shared" si="10"/>
        <v>3320</v>
      </c>
      <c r="W9" s="2111"/>
      <c r="X9" s="19">
        <f t="shared" si="11"/>
        <v>0</v>
      </c>
      <c r="Y9" s="20">
        <f t="shared" si="2"/>
        <v>40516.270000000004</v>
      </c>
    </row>
    <row r="10" spans="1:25" ht="35.25" customHeight="1" x14ac:dyDescent="0.25">
      <c r="A10" s="12">
        <v>1409935199</v>
      </c>
      <c r="C10" s="2111"/>
      <c r="D10" s="2110">
        <f t="shared" si="0"/>
        <v>0</v>
      </c>
      <c r="E10" s="2111"/>
      <c r="F10" s="2110">
        <f t="shared" si="3"/>
        <v>0</v>
      </c>
      <c r="G10" s="2111"/>
      <c r="H10" s="2110">
        <f t="shared" si="1"/>
        <v>0</v>
      </c>
      <c r="I10" s="2111"/>
      <c r="J10" s="2110">
        <f t="shared" si="4"/>
        <v>0</v>
      </c>
      <c r="K10" s="2111"/>
      <c r="L10" s="2110">
        <f t="shared" si="5"/>
        <v>0</v>
      </c>
      <c r="M10" s="2111"/>
      <c r="N10" s="2110">
        <f t="shared" si="6"/>
        <v>0</v>
      </c>
      <c r="O10" s="2111"/>
      <c r="P10" s="2110">
        <f t="shared" si="7"/>
        <v>0</v>
      </c>
      <c r="Q10" s="2110"/>
      <c r="R10" s="2110">
        <f t="shared" si="8"/>
        <v>0</v>
      </c>
      <c r="S10" s="2111"/>
      <c r="T10" s="2111">
        <f>470*S10</f>
        <v>0</v>
      </c>
      <c r="U10" s="2111"/>
      <c r="V10" s="2111">
        <f t="shared" si="10"/>
        <v>0</v>
      </c>
      <c r="W10" s="2111"/>
      <c r="X10" s="19">
        <f t="shared" si="11"/>
        <v>0</v>
      </c>
      <c r="Y10" s="20">
        <f t="shared" si="2"/>
        <v>0</v>
      </c>
    </row>
    <row r="11" spans="1:25" ht="37.5" customHeight="1" x14ac:dyDescent="0.25">
      <c r="A11" s="12"/>
      <c r="B11" s="2112"/>
      <c r="C11" s="2111"/>
      <c r="D11" s="2110">
        <f t="shared" si="0"/>
        <v>0</v>
      </c>
      <c r="E11" s="2111"/>
      <c r="F11" s="2110">
        <f t="shared" si="3"/>
        <v>0</v>
      </c>
      <c r="G11" s="2111"/>
      <c r="H11" s="2110">
        <f t="shared" si="1"/>
        <v>0</v>
      </c>
      <c r="I11" s="2111"/>
      <c r="J11" s="2110">
        <f t="shared" si="4"/>
        <v>0</v>
      </c>
      <c r="K11" s="2111"/>
      <c r="L11" s="2110">
        <f t="shared" si="5"/>
        <v>0</v>
      </c>
      <c r="M11" s="2111"/>
      <c r="N11" s="2110">
        <f t="shared" si="6"/>
        <v>0</v>
      </c>
      <c r="O11" s="2111"/>
      <c r="P11" s="2110">
        <f t="shared" si="7"/>
        <v>0</v>
      </c>
      <c r="Q11" s="2110"/>
      <c r="R11" s="2110">
        <f t="shared" si="8"/>
        <v>0</v>
      </c>
      <c r="S11" s="2111"/>
      <c r="T11" s="2111">
        <f>241*S11</f>
        <v>0</v>
      </c>
      <c r="U11" s="2111"/>
      <c r="V11" s="2111">
        <f t="shared" si="10"/>
        <v>0</v>
      </c>
      <c r="W11" s="2111"/>
      <c r="X11" s="19">
        <f t="shared" si="11"/>
        <v>0</v>
      </c>
      <c r="Y11" s="20">
        <f t="shared" si="2"/>
        <v>0</v>
      </c>
    </row>
    <row r="12" spans="1:25" ht="29.25" customHeight="1" x14ac:dyDescent="0.25">
      <c r="A12" s="2235" t="s">
        <v>31</v>
      </c>
      <c r="B12" s="2235"/>
      <c r="C12" s="18">
        <f t="shared" ref="C12:X12" si="12">SUM(C6:C11)</f>
        <v>116984</v>
      </c>
      <c r="D12" s="18">
        <f t="shared" si="12"/>
        <v>113766.94</v>
      </c>
      <c r="E12" s="18">
        <f t="shared" si="12"/>
        <v>0</v>
      </c>
      <c r="F12" s="18">
        <f t="shared" si="12"/>
        <v>0</v>
      </c>
      <c r="G12" s="18">
        <f t="shared" si="12"/>
        <v>0</v>
      </c>
      <c r="H12" s="18">
        <f t="shared" si="12"/>
        <v>0</v>
      </c>
      <c r="I12" s="18">
        <f t="shared" si="12"/>
        <v>1140</v>
      </c>
      <c r="J12" s="18">
        <f t="shared" si="12"/>
        <v>21454.799999999999</v>
      </c>
      <c r="K12" s="18">
        <f t="shared" si="12"/>
        <v>0</v>
      </c>
      <c r="L12" s="18">
        <f t="shared" si="12"/>
        <v>0</v>
      </c>
      <c r="M12" s="18">
        <f t="shared" si="12"/>
        <v>0</v>
      </c>
      <c r="N12" s="23">
        <f t="shared" si="12"/>
        <v>0</v>
      </c>
      <c r="O12" s="18">
        <f t="shared" si="12"/>
        <v>0</v>
      </c>
      <c r="P12" s="23">
        <f t="shared" si="12"/>
        <v>0</v>
      </c>
      <c r="Q12" s="23">
        <f t="shared" si="12"/>
        <v>0</v>
      </c>
      <c r="R12" s="23">
        <f>SUM(R6:R11)</f>
        <v>0</v>
      </c>
      <c r="S12" s="23">
        <f>SUM(S6:S11)</f>
        <v>0</v>
      </c>
      <c r="T12" s="18">
        <f t="shared" si="12"/>
        <v>0</v>
      </c>
      <c r="U12" s="18">
        <f t="shared" si="12"/>
        <v>10</v>
      </c>
      <c r="V12" s="18">
        <f t="shared" si="12"/>
        <v>3320</v>
      </c>
      <c r="W12" s="18">
        <f t="shared" si="12"/>
        <v>0</v>
      </c>
      <c r="X12" s="18">
        <f t="shared" si="12"/>
        <v>0</v>
      </c>
      <c r="Y12" s="20">
        <f t="shared" si="2"/>
        <v>138541.74</v>
      </c>
    </row>
    <row r="14" spans="1:25" ht="43.5" customHeight="1" x14ac:dyDescent="0.25">
      <c r="A14" s="30" t="s">
        <v>32</v>
      </c>
      <c r="B14" s="2236" t="s">
        <v>27</v>
      </c>
      <c r="C14" s="2236"/>
      <c r="D14" s="30" t="s">
        <v>543</v>
      </c>
      <c r="E14" s="30" t="s">
        <v>65</v>
      </c>
      <c r="F14" s="30" t="s">
        <v>34</v>
      </c>
      <c r="G14" s="30" t="s">
        <v>14</v>
      </c>
      <c r="H14" s="469" t="s">
        <v>173</v>
      </c>
      <c r="I14" s="30" t="s">
        <v>17</v>
      </c>
      <c r="J14" s="2119" t="s">
        <v>174</v>
      </c>
      <c r="K14" s="30" t="s">
        <v>36</v>
      </c>
      <c r="L14" s="2119" t="s">
        <v>403</v>
      </c>
      <c r="M14" s="2119" t="s">
        <v>549</v>
      </c>
      <c r="N14" s="30" t="s">
        <v>442</v>
      </c>
      <c r="O14" s="2119" t="s">
        <v>114</v>
      </c>
      <c r="P14" s="30" t="s">
        <v>70</v>
      </c>
      <c r="Q14" s="2300" t="s">
        <v>479</v>
      </c>
      <c r="R14" s="2301"/>
      <c r="S14" s="2119" t="s">
        <v>401</v>
      </c>
      <c r="T14" s="2235" t="s">
        <v>46</v>
      </c>
      <c r="U14" s="2113" t="s">
        <v>176</v>
      </c>
      <c r="V14" s="2260">
        <v>281366</v>
      </c>
      <c r="W14" s="2268"/>
      <c r="X14" s="2261"/>
    </row>
    <row r="15" spans="1:25" ht="22.5" customHeight="1" x14ac:dyDescent="0.25">
      <c r="A15" s="100" t="s">
        <v>38</v>
      </c>
      <c r="B15" s="2260">
        <v>401687</v>
      </c>
      <c r="C15" s="2261"/>
      <c r="D15" s="2116">
        <v>0</v>
      </c>
      <c r="E15" s="2116">
        <v>0</v>
      </c>
      <c r="F15" s="2116">
        <v>610</v>
      </c>
      <c r="G15" s="2116">
        <v>450</v>
      </c>
      <c r="H15" s="2116">
        <v>34</v>
      </c>
      <c r="I15" s="2116">
        <v>28</v>
      </c>
      <c r="J15" s="2116"/>
      <c r="K15" s="2116">
        <v>83</v>
      </c>
      <c r="L15" s="2116">
        <v>12</v>
      </c>
      <c r="M15" s="2116">
        <v>0</v>
      </c>
      <c r="N15" s="2116">
        <v>0</v>
      </c>
      <c r="O15" s="2116">
        <v>0</v>
      </c>
      <c r="P15" s="2116">
        <v>100</v>
      </c>
      <c r="Q15" s="2260">
        <v>0</v>
      </c>
      <c r="R15" s="2261"/>
      <c r="S15" s="2113"/>
      <c r="T15" s="2235"/>
      <c r="U15" s="2113" t="s">
        <v>64</v>
      </c>
      <c r="V15" s="2262">
        <v>14744</v>
      </c>
      <c r="W15" s="2262"/>
      <c r="X15" s="2262"/>
    </row>
    <row r="16" spans="1:25" ht="24.75" customHeight="1" x14ac:dyDescent="0.25">
      <c r="A16" s="100" t="s">
        <v>39</v>
      </c>
      <c r="B16" s="2260">
        <v>67974</v>
      </c>
      <c r="C16" s="2261"/>
      <c r="D16" s="2116"/>
      <c r="E16" s="2116"/>
      <c r="F16" s="2116">
        <v>2500</v>
      </c>
      <c r="G16" s="2116"/>
      <c r="H16" s="2116"/>
      <c r="I16" s="2116"/>
      <c r="J16" s="2116"/>
      <c r="K16" s="2116"/>
      <c r="L16" s="2116"/>
      <c r="M16" s="2116"/>
      <c r="N16" s="2116"/>
      <c r="O16" s="2116"/>
      <c r="P16" s="2116"/>
      <c r="Q16" s="2262"/>
      <c r="R16" s="2262"/>
      <c r="S16" s="2116"/>
      <c r="T16" s="2254" t="s">
        <v>55</v>
      </c>
      <c r="U16" s="2254"/>
      <c r="V16" s="2267">
        <f>Y12</f>
        <v>138541.74</v>
      </c>
      <c r="W16" s="2267"/>
      <c r="X16" s="2262"/>
    </row>
    <row r="17" spans="1:25" ht="28.5" customHeight="1" x14ac:dyDescent="0.25">
      <c r="A17" s="101" t="s">
        <v>44</v>
      </c>
      <c r="B17" s="2260"/>
      <c r="C17" s="2261"/>
      <c r="D17" s="2116"/>
      <c r="E17" s="2116"/>
      <c r="F17" s="2116"/>
      <c r="G17" s="2116"/>
      <c r="H17" s="2116"/>
      <c r="I17" s="2116"/>
      <c r="J17" s="2116"/>
      <c r="K17" s="2116"/>
      <c r="L17" s="2116"/>
      <c r="M17" s="2116"/>
      <c r="N17" s="2116"/>
      <c r="O17" s="2116"/>
      <c r="P17" s="2116"/>
      <c r="Q17" s="2225"/>
      <c r="R17" s="2225"/>
      <c r="S17" s="2112"/>
      <c r="T17" s="2294" t="s">
        <v>589</v>
      </c>
      <c r="U17" s="2295"/>
      <c r="V17" s="2296">
        <v>87000</v>
      </c>
      <c r="W17" s="2296"/>
      <c r="X17" s="2296"/>
    </row>
    <row r="18" spans="1:25" ht="27" customHeight="1" x14ac:dyDescent="0.25">
      <c r="A18" s="100" t="s">
        <v>40</v>
      </c>
      <c r="B18" s="2264">
        <f>C12</f>
        <v>116984</v>
      </c>
      <c r="C18" s="2261"/>
      <c r="D18" s="2118">
        <f>E12</f>
        <v>0</v>
      </c>
      <c r="E18" s="2118">
        <f>G12</f>
        <v>0</v>
      </c>
      <c r="F18" s="2118">
        <f>I12</f>
        <v>1140</v>
      </c>
      <c r="G18" s="2118">
        <f>K12</f>
        <v>0</v>
      </c>
      <c r="H18" s="2116"/>
      <c r="I18" s="2118">
        <f>U12</f>
        <v>10</v>
      </c>
      <c r="J18" s="2116"/>
      <c r="K18" s="2118">
        <f>W12</f>
        <v>0</v>
      </c>
      <c r="L18" s="2116"/>
      <c r="M18" s="2118"/>
      <c r="N18" s="2118">
        <f>O12</f>
        <v>0</v>
      </c>
      <c r="O18" s="2117">
        <f>Q12</f>
        <v>0</v>
      </c>
      <c r="P18" s="2118"/>
      <c r="Q18" s="2262"/>
      <c r="R18" s="2262"/>
      <c r="S18" s="2113"/>
      <c r="T18" s="2254" t="s">
        <v>57</v>
      </c>
      <c r="U18" s="2254"/>
      <c r="V18" s="2262">
        <v>1875</v>
      </c>
      <c r="W18" s="2262"/>
      <c r="X18" s="2262"/>
      <c r="Y18" s="2269"/>
    </row>
    <row r="19" spans="1:25" ht="25.5" customHeight="1" x14ac:dyDescent="0.25">
      <c r="A19" s="100" t="s">
        <v>41</v>
      </c>
      <c r="B19" s="2260">
        <f>B15+B16+B17-B18</f>
        <v>352677</v>
      </c>
      <c r="C19" s="2261"/>
      <c r="D19" s="2116">
        <f>D15+D16+D17-D18</f>
        <v>0</v>
      </c>
      <c r="E19" s="2116">
        <f t="shared" ref="E19:N19" si="13">E15+E16+E17-E18</f>
        <v>0</v>
      </c>
      <c r="F19" s="2116">
        <f t="shared" si="13"/>
        <v>1970</v>
      </c>
      <c r="G19" s="2116">
        <f t="shared" si="13"/>
        <v>450</v>
      </c>
      <c r="H19" s="2116">
        <f t="shared" si="13"/>
        <v>34</v>
      </c>
      <c r="I19" s="2116">
        <f t="shared" si="13"/>
        <v>18</v>
      </c>
      <c r="J19" s="2116">
        <f t="shared" si="13"/>
        <v>0</v>
      </c>
      <c r="K19" s="2116">
        <f t="shared" si="13"/>
        <v>83</v>
      </c>
      <c r="L19" s="2116">
        <f t="shared" si="13"/>
        <v>12</v>
      </c>
      <c r="M19" s="2116">
        <f t="shared" si="13"/>
        <v>0</v>
      </c>
      <c r="N19" s="2116">
        <f t="shared" si="13"/>
        <v>0</v>
      </c>
      <c r="O19" s="2116">
        <f>O15+O16+O17-O18</f>
        <v>0</v>
      </c>
      <c r="P19" s="2116">
        <f t="shared" ref="P19:Q19" si="14">P15+P16+P17-P18</f>
        <v>100</v>
      </c>
      <c r="Q19" s="2260">
        <f t="shared" si="14"/>
        <v>0</v>
      </c>
      <c r="R19" s="2261"/>
      <c r="S19" s="2113">
        <f>S15+S16-S17-S18</f>
        <v>0</v>
      </c>
      <c r="T19" s="2256" t="s">
        <v>48</v>
      </c>
      <c r="U19" s="49" t="s">
        <v>58</v>
      </c>
      <c r="V19" s="2262">
        <v>365000</v>
      </c>
      <c r="W19" s="2262"/>
      <c r="X19" s="2262"/>
      <c r="Y19" s="2269"/>
    </row>
    <row r="20" spans="1:25" ht="23.25" customHeight="1" x14ac:dyDescent="0.25">
      <c r="A20" s="289" t="s">
        <v>187</v>
      </c>
      <c r="B20" s="2286">
        <f>B19*0.9625</f>
        <v>339451.61249999999</v>
      </c>
      <c r="C20" s="2287"/>
      <c r="D20" s="290">
        <f>D19*19.48</f>
        <v>0</v>
      </c>
      <c r="E20" s="290">
        <f>27.97*E19</f>
        <v>0</v>
      </c>
      <c r="F20" s="290">
        <f>18.63*F19</f>
        <v>36701.1</v>
      </c>
      <c r="G20" s="290">
        <f>27.9468*G19</f>
        <v>12576.06</v>
      </c>
      <c r="H20" s="290">
        <f>241*H19</f>
        <v>8194</v>
      </c>
      <c r="I20" s="290">
        <f>323*I19</f>
        <v>5814</v>
      </c>
      <c r="J20" s="290">
        <f>241*J19</f>
        <v>0</v>
      </c>
      <c r="K20" s="290">
        <f>K19*100</f>
        <v>8300</v>
      </c>
      <c r="L20" s="290">
        <f>470*L19</f>
        <v>5640</v>
      </c>
      <c r="M20" s="290">
        <f>470*M19</f>
        <v>0</v>
      </c>
      <c r="N20" s="290">
        <f>N19*8.81</f>
        <v>0</v>
      </c>
      <c r="O20" s="290">
        <f>241*O19</f>
        <v>0</v>
      </c>
      <c r="P20" s="290">
        <f>P19*48.2</f>
        <v>4820</v>
      </c>
      <c r="Q20" s="2286">
        <f>470*Q19</f>
        <v>0</v>
      </c>
      <c r="R20" s="2287"/>
      <c r="S20" s="290">
        <f>341*S19</f>
        <v>0</v>
      </c>
      <c r="T20" s="2257"/>
      <c r="U20" s="49" t="s">
        <v>59</v>
      </c>
      <c r="V20" s="2262"/>
      <c r="W20" s="2262"/>
      <c r="X20" s="2262"/>
      <c r="Y20" s="2269"/>
    </row>
    <row r="21" spans="1:25" ht="32.25" customHeight="1" x14ac:dyDescent="0.25">
      <c r="A21" s="291" t="s">
        <v>186</v>
      </c>
      <c r="B21" s="2302">
        <f>SUM(B20:S20)</f>
        <v>421496.77249999996</v>
      </c>
      <c r="C21" s="2302"/>
      <c r="T21" s="2294" t="s">
        <v>464</v>
      </c>
      <c r="U21" s="2295"/>
      <c r="V21" s="2297"/>
      <c r="W21" s="2298"/>
      <c r="X21" s="2299"/>
      <c r="Y21" s="2269"/>
    </row>
    <row r="22" spans="1:25" ht="35.25" customHeight="1" x14ac:dyDescent="0.25">
      <c r="A22" s="1911"/>
      <c r="B22" s="2288" t="s">
        <v>49</v>
      </c>
      <c r="C22" s="2291">
        <v>365000</v>
      </c>
      <c r="D22" s="2291">
        <v>365000</v>
      </c>
      <c r="E22" s="2291">
        <v>112000</v>
      </c>
      <c r="F22" s="2291">
        <f>C22-D22+E22</f>
        <v>112000</v>
      </c>
      <c r="T22" s="2251" t="s">
        <v>83</v>
      </c>
      <c r="U22" s="50" t="s">
        <v>60</v>
      </c>
      <c r="V22" s="2262">
        <v>362330</v>
      </c>
      <c r="W22" s="2262"/>
      <c r="X22" s="2262"/>
      <c r="Y22" s="2269"/>
    </row>
    <row r="23" spans="1:25" ht="39.75" customHeight="1" x14ac:dyDescent="0.25">
      <c r="B23" s="2289"/>
      <c r="C23" s="2292"/>
      <c r="D23" s="2292"/>
      <c r="E23" s="2292"/>
      <c r="F23" s="2292"/>
      <c r="T23" s="2252"/>
      <c r="U23" s="50" t="s">
        <v>61</v>
      </c>
      <c r="V23" s="2262">
        <v>365000</v>
      </c>
      <c r="W23" s="2262"/>
      <c r="X23" s="2262"/>
      <c r="Y23" s="2269"/>
    </row>
    <row r="24" spans="1:25" ht="48" customHeight="1" x14ac:dyDescent="0.25">
      <c r="B24" s="2290"/>
      <c r="C24" s="290" t="s">
        <v>46</v>
      </c>
      <c r="D24" s="290" t="s">
        <v>50</v>
      </c>
      <c r="E24" s="290" t="s">
        <v>51</v>
      </c>
      <c r="F24" s="290" t="s">
        <v>52</v>
      </c>
      <c r="T24" s="2235" t="s">
        <v>47</v>
      </c>
      <c r="U24" s="51" t="s">
        <v>62</v>
      </c>
      <c r="V24" s="2263">
        <f>V14+V16+V17-V18-V19-V20-V22+V23-V21</f>
        <v>142702.74</v>
      </c>
      <c r="W24" s="2263"/>
      <c r="X24" s="2263"/>
      <c r="Y24" s="2269"/>
    </row>
    <row r="25" spans="1:25" ht="40.5" customHeight="1" x14ac:dyDescent="0.25">
      <c r="T25" s="2235"/>
      <c r="U25" s="51" t="s">
        <v>63</v>
      </c>
      <c r="V25" s="2262">
        <f>V15+V22-V23</f>
        <v>12074</v>
      </c>
      <c r="W25" s="2262"/>
      <c r="X25" s="2262"/>
    </row>
    <row r="26" spans="1:25" ht="36" customHeight="1" x14ac:dyDescent="0.25">
      <c r="K26" s="314"/>
    </row>
    <row r="28" spans="1:25" x14ac:dyDescent="0.25">
      <c r="J28" s="14" t="s">
        <v>139</v>
      </c>
    </row>
    <row r="32" spans="1:25" x14ac:dyDescent="0.25">
      <c r="I32" s="2280"/>
      <c r="J32" s="2280"/>
      <c r="K32" s="2280"/>
      <c r="L32" s="2280"/>
    </row>
    <row r="33" spans="9:12" x14ac:dyDescent="0.25">
      <c r="I33" s="2120"/>
      <c r="J33" s="2120"/>
      <c r="K33" s="2280"/>
      <c r="L33" s="2280"/>
    </row>
  </sheetData>
  <mergeCells count="62">
    <mergeCell ref="A1:Y1"/>
    <mergeCell ref="A2:Y2"/>
    <mergeCell ref="T3:Y3"/>
    <mergeCell ref="A4:A5"/>
    <mergeCell ref="B4:B5"/>
    <mergeCell ref="C4:D4"/>
    <mergeCell ref="E4:F4"/>
    <mergeCell ref="G4:H4"/>
    <mergeCell ref="I4:J4"/>
    <mergeCell ref="K4:L4"/>
    <mergeCell ref="Y4:Y5"/>
    <mergeCell ref="M4:N4"/>
    <mergeCell ref="O4:P4"/>
    <mergeCell ref="Q4:R4"/>
    <mergeCell ref="S4:T4"/>
    <mergeCell ref="U4:V4"/>
    <mergeCell ref="W4:X4"/>
    <mergeCell ref="B16:C16"/>
    <mergeCell ref="Q16:R16"/>
    <mergeCell ref="T16:U16"/>
    <mergeCell ref="V16:X16"/>
    <mergeCell ref="A12:B12"/>
    <mergeCell ref="B14:C14"/>
    <mergeCell ref="Q14:R14"/>
    <mergeCell ref="T14:T15"/>
    <mergeCell ref="V14:X14"/>
    <mergeCell ref="B15:C15"/>
    <mergeCell ref="Q15:R15"/>
    <mergeCell ref="V15:X15"/>
    <mergeCell ref="B17:C17"/>
    <mergeCell ref="Q17:R17"/>
    <mergeCell ref="T17:U17"/>
    <mergeCell ref="V17:X17"/>
    <mergeCell ref="B18:C18"/>
    <mergeCell ref="Q18:R18"/>
    <mergeCell ref="T18:U18"/>
    <mergeCell ref="V18:X18"/>
    <mergeCell ref="Y18:Y24"/>
    <mergeCell ref="B19:C19"/>
    <mergeCell ref="Q19:R19"/>
    <mergeCell ref="T19:T20"/>
    <mergeCell ref="V19:X19"/>
    <mergeCell ref="B20:C20"/>
    <mergeCell ref="B22:B24"/>
    <mergeCell ref="C22:C23"/>
    <mergeCell ref="D22:D23"/>
    <mergeCell ref="E22:E23"/>
    <mergeCell ref="F22:F23"/>
    <mergeCell ref="Q20:R20"/>
    <mergeCell ref="V20:X20"/>
    <mergeCell ref="B21:C21"/>
    <mergeCell ref="T21:U21"/>
    <mergeCell ref="V21:X21"/>
    <mergeCell ref="I32:J32"/>
    <mergeCell ref="K32:L32"/>
    <mergeCell ref="K33:L33"/>
    <mergeCell ref="T22:T23"/>
    <mergeCell ref="V22:X22"/>
    <mergeCell ref="V23:X23"/>
    <mergeCell ref="T24:T25"/>
    <mergeCell ref="V24:X24"/>
    <mergeCell ref="V25:X25"/>
  </mergeCells>
  <pageMargins left="0.15748031496063" right="0.15748031496063" top="0" bottom="0" header="0" footer="0"/>
  <pageSetup paperSize="9" scale="46" orientation="landscape" r:id="rId1"/>
</worksheet>
</file>

<file path=xl/worksheets/sheet33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1A3DF0B-541E-4359-BDC0-3F7528817341}">
  <sheetPr>
    <pageSetUpPr fitToPage="1"/>
  </sheetPr>
  <dimension ref="A1:Y33"/>
  <sheetViews>
    <sheetView topLeftCell="A11" zoomScale="70" zoomScaleNormal="70" zoomScaleSheetLayoutView="100" zoomScalePageLayoutView="68" workbookViewId="0">
      <selection activeCell="J28" sqref="J28"/>
    </sheetView>
  </sheetViews>
  <sheetFormatPr defaultColWidth="9.140625" defaultRowHeight="15" x14ac:dyDescent="0.25"/>
  <cols>
    <col min="1" max="1" width="18.28515625" style="14" customWidth="1"/>
    <col min="2" max="2" width="10.7109375" style="14" customWidth="1"/>
    <col min="3" max="3" width="12.28515625" style="14" customWidth="1"/>
    <col min="4" max="4" width="13.140625" style="14" bestFit="1" customWidth="1"/>
    <col min="5" max="5" width="12" style="14" customWidth="1"/>
    <col min="6" max="6" width="14" style="14" bestFit="1" customWidth="1"/>
    <col min="7" max="7" width="16" style="14" bestFit="1" customWidth="1"/>
    <col min="8" max="8" width="11" style="14" bestFit="1" customWidth="1"/>
    <col min="9" max="9" width="10.5703125" style="14" bestFit="1" customWidth="1"/>
    <col min="10" max="10" width="10.5703125" style="14" customWidth="1"/>
    <col min="11" max="11" width="10.28515625" style="14" bestFit="1" customWidth="1"/>
    <col min="12" max="12" width="10.42578125" style="14" bestFit="1" customWidth="1"/>
    <col min="13" max="14" width="12" style="14" bestFit="1" customWidth="1"/>
    <col min="15" max="15" width="11" style="14" customWidth="1"/>
    <col min="16" max="16" width="12.85546875" style="14" bestFit="1" customWidth="1"/>
    <col min="17" max="18" width="9.42578125" style="14" customWidth="1"/>
    <col min="19" max="19" width="13.7109375" style="14" customWidth="1"/>
    <col min="20" max="20" width="12.140625" style="14" customWidth="1"/>
    <col min="21" max="21" width="21.7109375" style="14" customWidth="1"/>
    <col min="22" max="22" width="9.85546875" style="14" customWidth="1"/>
    <col min="23" max="23" width="10.140625" style="14" bestFit="1" customWidth="1"/>
    <col min="24" max="24" width="10.28515625" style="14" customWidth="1"/>
    <col min="25" max="25" width="15.7109375" style="14" customWidth="1"/>
    <col min="26" max="16384" width="9.140625" style="14"/>
  </cols>
  <sheetData>
    <row r="1" spans="1:25" ht="46.15" customHeight="1" x14ac:dyDescent="0.25">
      <c r="A1" s="2240" t="s">
        <v>148</v>
      </c>
      <c r="B1" s="2240"/>
      <c r="C1" s="2240"/>
      <c r="D1" s="2240"/>
      <c r="E1" s="2240"/>
      <c r="F1" s="2240"/>
      <c r="G1" s="2240"/>
      <c r="H1" s="2240"/>
      <c r="I1" s="2240"/>
      <c r="J1" s="2240"/>
      <c r="K1" s="2240"/>
      <c r="L1" s="2240"/>
      <c r="M1" s="2240"/>
      <c r="N1" s="2240"/>
      <c r="O1" s="2240"/>
      <c r="P1" s="2240"/>
      <c r="Q1" s="2240"/>
      <c r="R1" s="2240"/>
      <c r="S1" s="2240"/>
      <c r="T1" s="2240"/>
      <c r="U1" s="2240"/>
      <c r="V1" s="2240"/>
      <c r="W1" s="2240"/>
      <c r="X1" s="2240"/>
      <c r="Y1" s="2240"/>
    </row>
    <row r="2" spans="1:25" ht="21.6" customHeight="1" x14ac:dyDescent="0.25">
      <c r="A2" s="2241" t="s">
        <v>383</v>
      </c>
      <c r="B2" s="2241"/>
      <c r="C2" s="2241"/>
      <c r="D2" s="2241"/>
      <c r="E2" s="2241"/>
      <c r="F2" s="2241"/>
      <c r="G2" s="2241"/>
      <c r="H2" s="2241"/>
      <c r="I2" s="2241"/>
      <c r="J2" s="2241"/>
      <c r="K2" s="2241"/>
      <c r="L2" s="2241"/>
      <c r="M2" s="2241"/>
      <c r="N2" s="2241"/>
      <c r="O2" s="2241"/>
      <c r="P2" s="2241"/>
      <c r="Q2" s="2241"/>
      <c r="R2" s="2241"/>
      <c r="S2" s="2241"/>
      <c r="T2" s="2241"/>
      <c r="U2" s="2241"/>
      <c r="V2" s="2241"/>
      <c r="W2" s="2241"/>
      <c r="X2" s="2241"/>
      <c r="Y2" s="2241"/>
    </row>
    <row r="3" spans="1:25" ht="21" customHeight="1" x14ac:dyDescent="0.25">
      <c r="A3" s="2121"/>
      <c r="B3" s="2121"/>
      <c r="C3" s="2121"/>
      <c r="D3" s="2121"/>
      <c r="E3" s="2121"/>
      <c r="F3" s="2121"/>
      <c r="G3" s="2121"/>
      <c r="H3" s="2121"/>
      <c r="I3" s="2121"/>
      <c r="J3" s="2121"/>
      <c r="K3" s="2121"/>
      <c r="L3" s="2121"/>
      <c r="M3" s="2121"/>
      <c r="N3" s="2121"/>
      <c r="O3" s="2121"/>
      <c r="P3" s="2121"/>
      <c r="Q3" s="2121"/>
      <c r="R3" s="2121"/>
      <c r="S3" s="2121"/>
      <c r="T3" s="2242" t="s">
        <v>590</v>
      </c>
      <c r="U3" s="2242"/>
      <c r="V3" s="2242"/>
      <c r="W3" s="2242"/>
      <c r="X3" s="2242"/>
      <c r="Y3" s="2242"/>
    </row>
    <row r="4" spans="1:25" s="2121" customFormat="1" ht="18" customHeight="1" x14ac:dyDescent="0.25">
      <c r="A4" s="2243" t="s">
        <v>25</v>
      </c>
      <c r="B4" s="2243" t="s">
        <v>26</v>
      </c>
      <c r="C4" s="2244" t="s">
        <v>27</v>
      </c>
      <c r="D4" s="2244"/>
      <c r="E4" s="2244" t="s">
        <v>544</v>
      </c>
      <c r="F4" s="2244"/>
      <c r="G4" s="2244" t="s">
        <v>65</v>
      </c>
      <c r="H4" s="2244"/>
      <c r="I4" s="2244" t="s">
        <v>29</v>
      </c>
      <c r="J4" s="2244"/>
      <c r="K4" s="2245" t="s">
        <v>14</v>
      </c>
      <c r="L4" s="2246"/>
      <c r="M4" s="2245" t="s">
        <v>429</v>
      </c>
      <c r="N4" s="2246"/>
      <c r="O4" s="2245" t="s">
        <v>441</v>
      </c>
      <c r="P4" s="2246"/>
      <c r="Q4" s="2245" t="s">
        <v>114</v>
      </c>
      <c r="R4" s="2246"/>
      <c r="S4" s="2244" t="s">
        <v>35</v>
      </c>
      <c r="T4" s="2244"/>
      <c r="U4" s="2245" t="s">
        <v>17</v>
      </c>
      <c r="V4" s="2246"/>
      <c r="W4" s="2247" t="s">
        <v>36</v>
      </c>
      <c r="X4" s="2248"/>
      <c r="Y4" s="2238" t="s">
        <v>30</v>
      </c>
    </row>
    <row r="5" spans="1:25" s="2121" customFormat="1" ht="25.5" customHeight="1" x14ac:dyDescent="0.25">
      <c r="A5" s="2243"/>
      <c r="B5" s="2243"/>
      <c r="C5" s="2123" t="s">
        <v>42</v>
      </c>
      <c r="D5" s="2123" t="s">
        <v>43</v>
      </c>
      <c r="E5" s="2123" t="s">
        <v>42</v>
      </c>
      <c r="F5" s="2123" t="s">
        <v>43</v>
      </c>
      <c r="G5" s="2123" t="s">
        <v>42</v>
      </c>
      <c r="H5" s="2123" t="s">
        <v>43</v>
      </c>
      <c r="I5" s="2123" t="s">
        <v>42</v>
      </c>
      <c r="J5" s="2123" t="s">
        <v>43</v>
      </c>
      <c r="K5" s="2123" t="s">
        <v>42</v>
      </c>
      <c r="L5" s="2123" t="s">
        <v>43</v>
      </c>
      <c r="M5" s="2123" t="s">
        <v>42</v>
      </c>
      <c r="N5" s="2123" t="s">
        <v>43</v>
      </c>
      <c r="O5" s="2123" t="s">
        <v>42</v>
      </c>
      <c r="P5" s="2123" t="s">
        <v>43</v>
      </c>
      <c r="Q5" s="2123" t="s">
        <v>42</v>
      </c>
      <c r="R5" s="2123" t="s">
        <v>43</v>
      </c>
      <c r="S5" s="33" t="s">
        <v>42</v>
      </c>
      <c r="T5" s="33" t="s">
        <v>43</v>
      </c>
      <c r="U5" s="30" t="s">
        <v>42</v>
      </c>
      <c r="V5" s="30" t="s">
        <v>43</v>
      </c>
      <c r="W5" s="30" t="s">
        <v>42</v>
      </c>
      <c r="X5" s="30" t="s">
        <v>43</v>
      </c>
      <c r="Y5" s="2239"/>
    </row>
    <row r="6" spans="1:25" ht="34.5" customHeight="1" x14ac:dyDescent="0.25">
      <c r="A6" s="12">
        <v>1409935200</v>
      </c>
      <c r="B6" s="2122" t="s">
        <v>71</v>
      </c>
      <c r="C6" s="2125">
        <v>30766</v>
      </c>
      <c r="D6" s="2126">
        <f t="shared" ref="D6:D11" si="0">0.9725*C6</f>
        <v>29919.935000000001</v>
      </c>
      <c r="E6" s="2125"/>
      <c r="F6" s="2126">
        <f>19.68*E6</f>
        <v>0</v>
      </c>
      <c r="G6" s="2125"/>
      <c r="H6" s="2126">
        <f t="shared" ref="H6:H11" si="1">28.26*G6</f>
        <v>0</v>
      </c>
      <c r="I6" s="2125"/>
      <c r="J6" s="2126">
        <f>18.82*I6</f>
        <v>0</v>
      </c>
      <c r="K6" s="2125"/>
      <c r="L6" s="2126">
        <f>28.25*K6</f>
        <v>0</v>
      </c>
      <c r="M6" s="2125"/>
      <c r="N6" s="2126">
        <f>M6*47.6525</f>
        <v>0</v>
      </c>
      <c r="O6" s="2125"/>
      <c r="P6" s="2126">
        <f>O6*8.9</f>
        <v>0</v>
      </c>
      <c r="Q6" s="2126"/>
      <c r="R6" s="2126">
        <f>241*Q6</f>
        <v>0</v>
      </c>
      <c r="S6" s="2125"/>
      <c r="T6" s="2125">
        <f>470*S6</f>
        <v>0</v>
      </c>
      <c r="U6" s="2125"/>
      <c r="V6" s="2125">
        <f>332*U6</f>
        <v>0</v>
      </c>
      <c r="W6" s="2125"/>
      <c r="X6" s="19">
        <f>W6*100</f>
        <v>0</v>
      </c>
      <c r="Y6" s="20">
        <f t="shared" ref="Y6:Y12" si="2">D6+F6+H6+J6+L6+N6+P6+R6+T6+V6+X6</f>
        <v>29919.935000000001</v>
      </c>
    </row>
    <row r="7" spans="1:25" ht="36.75" customHeight="1" x14ac:dyDescent="0.25">
      <c r="A7" s="12">
        <v>1984225578</v>
      </c>
      <c r="B7" s="2122" t="s">
        <v>509</v>
      </c>
      <c r="C7" s="2125">
        <v>30452</v>
      </c>
      <c r="D7" s="2126">
        <f t="shared" si="0"/>
        <v>29614.57</v>
      </c>
      <c r="E7" s="2125"/>
      <c r="F7" s="2126">
        <f t="shared" ref="F7:F11" si="3">19.68*E7</f>
        <v>0</v>
      </c>
      <c r="G7" s="2125"/>
      <c r="H7" s="2126">
        <f t="shared" si="1"/>
        <v>0</v>
      </c>
      <c r="I7" s="2125"/>
      <c r="J7" s="2126">
        <f t="shared" ref="J7:J11" si="4">18.82*I7</f>
        <v>0</v>
      </c>
      <c r="K7" s="2125"/>
      <c r="L7" s="2126">
        <f t="shared" ref="L7:L11" si="5">28.25*K7</f>
        <v>0</v>
      </c>
      <c r="M7" s="2125"/>
      <c r="N7" s="2126">
        <f t="shared" ref="N7:N11" si="6">M7*47.6525</f>
        <v>0</v>
      </c>
      <c r="O7" s="2125"/>
      <c r="P7" s="2126">
        <f t="shared" ref="P7:P11" si="7">O7*8.9</f>
        <v>0</v>
      </c>
      <c r="Q7" s="2126"/>
      <c r="R7" s="2126">
        <f t="shared" ref="R7:R11" si="8">241*Q7</f>
        <v>0</v>
      </c>
      <c r="S7" s="2125"/>
      <c r="T7" s="2125">
        <f t="shared" ref="T7:T9" si="9">470*S7</f>
        <v>0</v>
      </c>
      <c r="U7" s="2125"/>
      <c r="V7" s="2125">
        <f t="shared" ref="V7:V11" si="10">332*U7</f>
        <v>0</v>
      </c>
      <c r="W7" s="2125"/>
      <c r="X7" s="19">
        <f t="shared" ref="X7:X11" si="11">W7*100</f>
        <v>0</v>
      </c>
      <c r="Y7" s="20">
        <f t="shared" si="2"/>
        <v>29614.57</v>
      </c>
    </row>
    <row r="8" spans="1:25" ht="35.25" customHeight="1" x14ac:dyDescent="0.25">
      <c r="A8" s="12">
        <v>1967020280</v>
      </c>
      <c r="B8" s="2122" t="s">
        <v>427</v>
      </c>
      <c r="C8" s="2125">
        <v>25696</v>
      </c>
      <c r="D8" s="2126">
        <f t="shared" si="0"/>
        <v>24989.360000000001</v>
      </c>
      <c r="E8" s="2125"/>
      <c r="F8" s="2126">
        <f t="shared" si="3"/>
        <v>0</v>
      </c>
      <c r="G8" s="2125"/>
      <c r="H8" s="2126">
        <f t="shared" si="1"/>
        <v>0</v>
      </c>
      <c r="I8" s="2125"/>
      <c r="J8" s="2126">
        <f t="shared" si="4"/>
        <v>0</v>
      </c>
      <c r="K8" s="2125">
        <v>100</v>
      </c>
      <c r="L8" s="2126">
        <f t="shared" si="5"/>
        <v>2825</v>
      </c>
      <c r="M8" s="2125"/>
      <c r="N8" s="2126">
        <f t="shared" si="6"/>
        <v>0</v>
      </c>
      <c r="O8" s="2125"/>
      <c r="P8" s="2126">
        <f t="shared" si="7"/>
        <v>0</v>
      </c>
      <c r="Q8" s="2126"/>
      <c r="R8" s="2126">
        <f t="shared" si="8"/>
        <v>0</v>
      </c>
      <c r="S8" s="2125"/>
      <c r="T8" s="2125">
        <f t="shared" si="9"/>
        <v>0</v>
      </c>
      <c r="U8" s="2125"/>
      <c r="V8" s="2125">
        <f t="shared" si="10"/>
        <v>0</v>
      </c>
      <c r="W8" s="2125">
        <v>1</v>
      </c>
      <c r="X8" s="19">
        <f t="shared" si="11"/>
        <v>100</v>
      </c>
      <c r="Y8" s="20">
        <f t="shared" si="2"/>
        <v>27914.36</v>
      </c>
    </row>
    <row r="9" spans="1:25" ht="38.25" customHeight="1" x14ac:dyDescent="0.25">
      <c r="A9" s="12">
        <v>1984225580</v>
      </c>
      <c r="B9" s="2122" t="s">
        <v>74</v>
      </c>
      <c r="C9" s="2125">
        <v>35356</v>
      </c>
      <c r="D9" s="2126">
        <f t="shared" si="0"/>
        <v>34383.71</v>
      </c>
      <c r="E9" s="2125"/>
      <c r="F9" s="2126">
        <f t="shared" si="3"/>
        <v>0</v>
      </c>
      <c r="G9" s="2125"/>
      <c r="H9" s="2126">
        <f t="shared" si="1"/>
        <v>0</v>
      </c>
      <c r="I9" s="2125"/>
      <c r="J9" s="2126">
        <f t="shared" si="4"/>
        <v>0</v>
      </c>
      <c r="K9" s="2125"/>
      <c r="L9" s="2126">
        <f t="shared" si="5"/>
        <v>0</v>
      </c>
      <c r="M9" s="2125"/>
      <c r="N9" s="2126">
        <f t="shared" si="6"/>
        <v>0</v>
      </c>
      <c r="O9" s="2125"/>
      <c r="P9" s="2126">
        <f t="shared" si="7"/>
        <v>0</v>
      </c>
      <c r="Q9" s="2126"/>
      <c r="R9" s="2126">
        <f t="shared" si="8"/>
        <v>0</v>
      </c>
      <c r="S9" s="2125"/>
      <c r="T9" s="2125">
        <f t="shared" si="9"/>
        <v>0</v>
      </c>
      <c r="U9" s="2125"/>
      <c r="V9" s="2125">
        <f t="shared" si="10"/>
        <v>0</v>
      </c>
      <c r="W9" s="2125"/>
      <c r="X9" s="19">
        <f t="shared" si="11"/>
        <v>0</v>
      </c>
      <c r="Y9" s="20">
        <f t="shared" si="2"/>
        <v>34383.71</v>
      </c>
    </row>
    <row r="10" spans="1:25" ht="35.25" customHeight="1" x14ac:dyDescent="0.25">
      <c r="A10" s="12">
        <v>1409935199</v>
      </c>
      <c r="C10" s="2125"/>
      <c r="D10" s="2126">
        <f t="shared" si="0"/>
        <v>0</v>
      </c>
      <c r="E10" s="2125"/>
      <c r="F10" s="2126">
        <f t="shared" si="3"/>
        <v>0</v>
      </c>
      <c r="G10" s="2125"/>
      <c r="H10" s="2126">
        <f t="shared" si="1"/>
        <v>0</v>
      </c>
      <c r="I10" s="2125"/>
      <c r="J10" s="2126">
        <f t="shared" si="4"/>
        <v>0</v>
      </c>
      <c r="K10" s="2125"/>
      <c r="L10" s="2126">
        <f t="shared" si="5"/>
        <v>0</v>
      </c>
      <c r="M10" s="2125"/>
      <c r="N10" s="2126">
        <f t="shared" si="6"/>
        <v>0</v>
      </c>
      <c r="O10" s="2125"/>
      <c r="P10" s="2126">
        <f t="shared" si="7"/>
        <v>0</v>
      </c>
      <c r="Q10" s="2126"/>
      <c r="R10" s="2126">
        <f t="shared" si="8"/>
        <v>0</v>
      </c>
      <c r="S10" s="2125"/>
      <c r="T10" s="2125">
        <f>470*S10</f>
        <v>0</v>
      </c>
      <c r="U10" s="2125"/>
      <c r="V10" s="2125">
        <f t="shared" si="10"/>
        <v>0</v>
      </c>
      <c r="W10" s="2125"/>
      <c r="X10" s="19">
        <f t="shared" si="11"/>
        <v>0</v>
      </c>
      <c r="Y10" s="20">
        <f t="shared" si="2"/>
        <v>0</v>
      </c>
    </row>
    <row r="11" spans="1:25" ht="37.5" customHeight="1" x14ac:dyDescent="0.25">
      <c r="A11" s="12"/>
      <c r="B11" s="2124"/>
      <c r="C11" s="2125"/>
      <c r="D11" s="2126">
        <f t="shared" si="0"/>
        <v>0</v>
      </c>
      <c r="E11" s="2125"/>
      <c r="F11" s="2126">
        <f t="shared" si="3"/>
        <v>0</v>
      </c>
      <c r="G11" s="2125"/>
      <c r="H11" s="2126">
        <f t="shared" si="1"/>
        <v>0</v>
      </c>
      <c r="I11" s="2125"/>
      <c r="J11" s="2126">
        <f t="shared" si="4"/>
        <v>0</v>
      </c>
      <c r="K11" s="2125"/>
      <c r="L11" s="2126">
        <f t="shared" si="5"/>
        <v>0</v>
      </c>
      <c r="M11" s="2125"/>
      <c r="N11" s="2126">
        <f t="shared" si="6"/>
        <v>0</v>
      </c>
      <c r="O11" s="2125"/>
      <c r="P11" s="2126">
        <f t="shared" si="7"/>
        <v>0</v>
      </c>
      <c r="Q11" s="2126"/>
      <c r="R11" s="2126">
        <f t="shared" si="8"/>
        <v>0</v>
      </c>
      <c r="S11" s="2125"/>
      <c r="T11" s="2125">
        <f>241*S11</f>
        <v>0</v>
      </c>
      <c r="U11" s="2125"/>
      <c r="V11" s="2125">
        <f t="shared" si="10"/>
        <v>0</v>
      </c>
      <c r="W11" s="2125"/>
      <c r="X11" s="19">
        <f t="shared" si="11"/>
        <v>0</v>
      </c>
      <c r="Y11" s="20">
        <f t="shared" si="2"/>
        <v>0</v>
      </c>
    </row>
    <row r="12" spans="1:25" ht="29.25" customHeight="1" x14ac:dyDescent="0.25">
      <c r="A12" s="2235" t="s">
        <v>31</v>
      </c>
      <c r="B12" s="2235"/>
      <c r="C12" s="18">
        <f t="shared" ref="C12:X12" si="12">SUM(C6:C11)</f>
        <v>122270</v>
      </c>
      <c r="D12" s="18">
        <f t="shared" si="12"/>
        <v>118907.57500000001</v>
      </c>
      <c r="E12" s="18">
        <f t="shared" si="12"/>
        <v>0</v>
      </c>
      <c r="F12" s="18">
        <f t="shared" si="12"/>
        <v>0</v>
      </c>
      <c r="G12" s="18">
        <f t="shared" si="12"/>
        <v>0</v>
      </c>
      <c r="H12" s="18">
        <f t="shared" si="12"/>
        <v>0</v>
      </c>
      <c r="I12" s="18">
        <f t="shared" si="12"/>
        <v>0</v>
      </c>
      <c r="J12" s="18">
        <f t="shared" si="12"/>
        <v>0</v>
      </c>
      <c r="K12" s="18">
        <f t="shared" si="12"/>
        <v>100</v>
      </c>
      <c r="L12" s="18">
        <f t="shared" si="12"/>
        <v>2825</v>
      </c>
      <c r="M12" s="18">
        <f t="shared" si="12"/>
        <v>0</v>
      </c>
      <c r="N12" s="23">
        <f t="shared" si="12"/>
        <v>0</v>
      </c>
      <c r="O12" s="18">
        <f t="shared" si="12"/>
        <v>0</v>
      </c>
      <c r="P12" s="23">
        <f t="shared" si="12"/>
        <v>0</v>
      </c>
      <c r="Q12" s="23">
        <f t="shared" si="12"/>
        <v>0</v>
      </c>
      <c r="R12" s="23">
        <f>SUM(R6:R11)</f>
        <v>0</v>
      </c>
      <c r="S12" s="23">
        <f>SUM(S6:S11)</f>
        <v>0</v>
      </c>
      <c r="T12" s="18">
        <f t="shared" si="12"/>
        <v>0</v>
      </c>
      <c r="U12" s="18">
        <f t="shared" si="12"/>
        <v>0</v>
      </c>
      <c r="V12" s="18">
        <f t="shared" si="12"/>
        <v>0</v>
      </c>
      <c r="W12" s="18">
        <f t="shared" si="12"/>
        <v>1</v>
      </c>
      <c r="X12" s="18">
        <f t="shared" si="12"/>
        <v>100</v>
      </c>
      <c r="Y12" s="20">
        <f t="shared" si="2"/>
        <v>121832.57500000001</v>
      </c>
    </row>
    <row r="14" spans="1:25" ht="43.5" customHeight="1" x14ac:dyDescent="0.25">
      <c r="A14" s="30" t="s">
        <v>32</v>
      </c>
      <c r="B14" s="2236" t="s">
        <v>27</v>
      </c>
      <c r="C14" s="2236"/>
      <c r="D14" s="30" t="s">
        <v>543</v>
      </c>
      <c r="E14" s="30" t="s">
        <v>65</v>
      </c>
      <c r="F14" s="30" t="s">
        <v>34</v>
      </c>
      <c r="G14" s="30" t="s">
        <v>14</v>
      </c>
      <c r="H14" s="469" t="s">
        <v>173</v>
      </c>
      <c r="I14" s="30" t="s">
        <v>17</v>
      </c>
      <c r="J14" s="2130" t="s">
        <v>174</v>
      </c>
      <c r="K14" s="30" t="s">
        <v>36</v>
      </c>
      <c r="L14" s="2130" t="s">
        <v>403</v>
      </c>
      <c r="M14" s="2130" t="s">
        <v>549</v>
      </c>
      <c r="N14" s="30" t="s">
        <v>442</v>
      </c>
      <c r="O14" s="2130" t="s">
        <v>114</v>
      </c>
      <c r="P14" s="30" t="s">
        <v>70</v>
      </c>
      <c r="Q14" s="2300" t="s">
        <v>479</v>
      </c>
      <c r="R14" s="2301"/>
      <c r="S14" s="2130" t="s">
        <v>401</v>
      </c>
      <c r="T14" s="2235" t="s">
        <v>46</v>
      </c>
      <c r="U14" s="2122" t="s">
        <v>176</v>
      </c>
      <c r="V14" s="2260">
        <v>142703</v>
      </c>
      <c r="W14" s="2268"/>
      <c r="X14" s="2261"/>
    </row>
    <row r="15" spans="1:25" ht="22.5" customHeight="1" x14ac:dyDescent="0.25">
      <c r="A15" s="100" t="s">
        <v>38</v>
      </c>
      <c r="B15" s="2260">
        <v>352677</v>
      </c>
      <c r="C15" s="2261"/>
      <c r="D15" s="2127">
        <v>0</v>
      </c>
      <c r="E15" s="2127">
        <v>0</v>
      </c>
      <c r="F15" s="2127">
        <v>1970</v>
      </c>
      <c r="G15" s="2127">
        <v>450</v>
      </c>
      <c r="H15" s="2127">
        <v>34</v>
      </c>
      <c r="I15" s="2127">
        <v>18</v>
      </c>
      <c r="J15" s="2127"/>
      <c r="K15" s="2127">
        <v>83</v>
      </c>
      <c r="L15" s="2127">
        <v>12</v>
      </c>
      <c r="M15" s="2127">
        <v>0</v>
      </c>
      <c r="N15" s="2127">
        <v>0</v>
      </c>
      <c r="O15" s="2127">
        <v>0</v>
      </c>
      <c r="P15" s="2127">
        <v>100</v>
      </c>
      <c r="Q15" s="2260">
        <v>0</v>
      </c>
      <c r="R15" s="2261"/>
      <c r="S15" s="2122"/>
      <c r="T15" s="2235"/>
      <c r="U15" s="2122" t="s">
        <v>64</v>
      </c>
      <c r="V15" s="2262">
        <v>12074</v>
      </c>
      <c r="W15" s="2262"/>
      <c r="X15" s="2262"/>
    </row>
    <row r="16" spans="1:25" ht="24.75" customHeight="1" x14ac:dyDescent="0.25">
      <c r="A16" s="100" t="s">
        <v>39</v>
      </c>
      <c r="B16" s="2260">
        <v>124675</v>
      </c>
      <c r="C16" s="2261"/>
      <c r="D16" s="2127"/>
      <c r="E16" s="2127"/>
      <c r="F16" s="2127"/>
      <c r="G16" s="2127"/>
      <c r="H16" s="2127"/>
      <c r="I16" s="2127"/>
      <c r="J16" s="2127"/>
      <c r="K16" s="2127"/>
      <c r="L16" s="2127"/>
      <c r="M16" s="2127"/>
      <c r="N16" s="2127"/>
      <c r="O16" s="2127"/>
      <c r="P16" s="2127"/>
      <c r="Q16" s="2262"/>
      <c r="R16" s="2262"/>
      <c r="S16" s="2127"/>
      <c r="T16" s="2254" t="s">
        <v>55</v>
      </c>
      <c r="U16" s="2254"/>
      <c r="V16" s="2267">
        <f>Y12</f>
        <v>121832.57500000001</v>
      </c>
      <c r="W16" s="2267"/>
      <c r="X16" s="2262"/>
    </row>
    <row r="17" spans="1:25" ht="28.5" customHeight="1" x14ac:dyDescent="0.25">
      <c r="A17" s="101" t="s">
        <v>44</v>
      </c>
      <c r="B17" s="2260">
        <v>6732</v>
      </c>
      <c r="C17" s="2261"/>
      <c r="D17" s="2127"/>
      <c r="E17" s="2127"/>
      <c r="F17" s="2127"/>
      <c r="G17" s="2127"/>
      <c r="H17" s="2127"/>
      <c r="I17" s="2127"/>
      <c r="J17" s="2127"/>
      <c r="K17" s="2127"/>
      <c r="L17" s="2127"/>
      <c r="M17" s="2127"/>
      <c r="N17" s="2127"/>
      <c r="O17" s="2127"/>
      <c r="P17" s="2127"/>
      <c r="Q17" s="2225"/>
      <c r="R17" s="2225"/>
      <c r="S17" s="2124"/>
      <c r="T17" s="2294" t="s">
        <v>591</v>
      </c>
      <c r="U17" s="2295"/>
      <c r="V17" s="2296"/>
      <c r="W17" s="2296"/>
      <c r="X17" s="2296"/>
    </row>
    <row r="18" spans="1:25" ht="27" customHeight="1" x14ac:dyDescent="0.25">
      <c r="A18" s="100" t="s">
        <v>40</v>
      </c>
      <c r="B18" s="2264">
        <f>C12</f>
        <v>122270</v>
      </c>
      <c r="C18" s="2261"/>
      <c r="D18" s="2128">
        <f>E12</f>
        <v>0</v>
      </c>
      <c r="E18" s="2128">
        <f>G12</f>
        <v>0</v>
      </c>
      <c r="F18" s="2128">
        <f>I12</f>
        <v>0</v>
      </c>
      <c r="G18" s="2128">
        <f>K12</f>
        <v>100</v>
      </c>
      <c r="H18" s="2127"/>
      <c r="I18" s="2128">
        <f>U12</f>
        <v>0</v>
      </c>
      <c r="J18" s="2127"/>
      <c r="K18" s="2128">
        <f>W12</f>
        <v>1</v>
      </c>
      <c r="L18" s="2127"/>
      <c r="M18" s="2128"/>
      <c r="N18" s="2128">
        <f>O12</f>
        <v>0</v>
      </c>
      <c r="O18" s="2129">
        <f>Q12</f>
        <v>0</v>
      </c>
      <c r="P18" s="2128"/>
      <c r="Q18" s="2262"/>
      <c r="R18" s="2262"/>
      <c r="S18" s="2122"/>
      <c r="T18" s="2254" t="s">
        <v>57</v>
      </c>
      <c r="U18" s="2254"/>
      <c r="V18" s="2262">
        <v>540</v>
      </c>
      <c r="W18" s="2262"/>
      <c r="X18" s="2262"/>
      <c r="Y18" s="2269"/>
    </row>
    <row r="19" spans="1:25" ht="25.5" customHeight="1" x14ac:dyDescent="0.25">
      <c r="A19" s="100" t="s">
        <v>41</v>
      </c>
      <c r="B19" s="2260">
        <f>B15+B16+B17-B18</f>
        <v>361814</v>
      </c>
      <c r="C19" s="2261"/>
      <c r="D19" s="2127">
        <f>D15+D16+D17-D18</f>
        <v>0</v>
      </c>
      <c r="E19" s="2127">
        <f t="shared" ref="E19:N19" si="13">E15+E16+E17-E18</f>
        <v>0</v>
      </c>
      <c r="F19" s="2127">
        <f t="shared" si="13"/>
        <v>1970</v>
      </c>
      <c r="G19" s="2127">
        <f t="shared" si="13"/>
        <v>350</v>
      </c>
      <c r="H19" s="2127">
        <f t="shared" si="13"/>
        <v>34</v>
      </c>
      <c r="I19" s="2127">
        <f t="shared" si="13"/>
        <v>18</v>
      </c>
      <c r="J19" s="2127">
        <f t="shared" si="13"/>
        <v>0</v>
      </c>
      <c r="K19" s="2127">
        <f t="shared" si="13"/>
        <v>82</v>
      </c>
      <c r="L19" s="2127">
        <f t="shared" si="13"/>
        <v>12</v>
      </c>
      <c r="M19" s="2127">
        <f t="shared" si="13"/>
        <v>0</v>
      </c>
      <c r="N19" s="2127">
        <f t="shared" si="13"/>
        <v>0</v>
      </c>
      <c r="O19" s="2127">
        <f>O15+O16+O17-O18</f>
        <v>0</v>
      </c>
      <c r="P19" s="2127">
        <f t="shared" ref="P19:Q19" si="14">P15+P16+P17-P18</f>
        <v>100</v>
      </c>
      <c r="Q19" s="2260">
        <f t="shared" si="14"/>
        <v>0</v>
      </c>
      <c r="R19" s="2261"/>
      <c r="S19" s="2122">
        <f>S15+S16-S17-S18</f>
        <v>0</v>
      </c>
      <c r="T19" s="2256" t="s">
        <v>48</v>
      </c>
      <c r="U19" s="49" t="s">
        <v>58</v>
      </c>
      <c r="V19" s="2262">
        <v>112000</v>
      </c>
      <c r="W19" s="2262"/>
      <c r="X19" s="2262"/>
      <c r="Y19" s="2269"/>
    </row>
    <row r="20" spans="1:25" ht="23.25" customHeight="1" x14ac:dyDescent="0.25">
      <c r="A20" s="289" t="s">
        <v>187</v>
      </c>
      <c r="B20" s="2286">
        <f>B19*0.9625</f>
        <v>348245.97500000003</v>
      </c>
      <c r="C20" s="2287"/>
      <c r="D20" s="290">
        <f>D19*19.48</f>
        <v>0</v>
      </c>
      <c r="E20" s="290">
        <f>27.97*E19</f>
        <v>0</v>
      </c>
      <c r="F20" s="290">
        <f>18.63*F19</f>
        <v>36701.1</v>
      </c>
      <c r="G20" s="290">
        <f>27.9468*G19</f>
        <v>9781.3799999999992</v>
      </c>
      <c r="H20" s="290">
        <f>241*H19</f>
        <v>8194</v>
      </c>
      <c r="I20" s="290">
        <f>323*I19</f>
        <v>5814</v>
      </c>
      <c r="J20" s="290">
        <f>241*J19</f>
        <v>0</v>
      </c>
      <c r="K20" s="290">
        <f>K19*100</f>
        <v>8200</v>
      </c>
      <c r="L20" s="290">
        <f>470*L19</f>
        <v>5640</v>
      </c>
      <c r="M20" s="290">
        <f>470*M19</f>
        <v>0</v>
      </c>
      <c r="N20" s="290">
        <f>N19*8.81</f>
        <v>0</v>
      </c>
      <c r="O20" s="290">
        <f>241*O19</f>
        <v>0</v>
      </c>
      <c r="P20" s="290">
        <f>P19*48.2</f>
        <v>4820</v>
      </c>
      <c r="Q20" s="2286">
        <f>470*Q19</f>
        <v>0</v>
      </c>
      <c r="R20" s="2287"/>
      <c r="S20" s="290">
        <f>341*S19</f>
        <v>0</v>
      </c>
      <c r="T20" s="2257"/>
      <c r="U20" s="49" t="s">
        <v>59</v>
      </c>
      <c r="V20" s="2262"/>
      <c r="W20" s="2262"/>
      <c r="X20" s="2262"/>
      <c r="Y20" s="2269"/>
    </row>
    <row r="21" spans="1:25" ht="32.25" customHeight="1" x14ac:dyDescent="0.25">
      <c r="A21" s="291" t="s">
        <v>186</v>
      </c>
      <c r="B21" s="2302">
        <f>SUM(B20:S20)</f>
        <v>427396.45500000002</v>
      </c>
      <c r="C21" s="2302"/>
      <c r="T21" s="2294" t="s">
        <v>464</v>
      </c>
      <c r="U21" s="2295"/>
      <c r="V21" s="2297"/>
      <c r="W21" s="2298"/>
      <c r="X21" s="2299"/>
      <c r="Y21" s="2269"/>
    </row>
    <row r="22" spans="1:25" ht="35.25" customHeight="1" x14ac:dyDescent="0.25">
      <c r="A22" s="1911"/>
      <c r="B22" s="2288" t="s">
        <v>49</v>
      </c>
      <c r="C22" s="2291">
        <v>112000</v>
      </c>
      <c r="D22" s="2291">
        <v>112000</v>
      </c>
      <c r="E22" s="2291">
        <v>120000</v>
      </c>
      <c r="F22" s="2291">
        <f>C22-D22+E22</f>
        <v>120000</v>
      </c>
      <c r="J22" s="14" t="s">
        <v>139</v>
      </c>
      <c r="T22" s="2251" t="s">
        <v>83</v>
      </c>
      <c r="U22" s="50" t="s">
        <v>60</v>
      </c>
      <c r="V22" s="2262">
        <v>114490</v>
      </c>
      <c r="W22" s="2262"/>
      <c r="X22" s="2262"/>
      <c r="Y22" s="2269"/>
    </row>
    <row r="23" spans="1:25" ht="39.75" customHeight="1" x14ac:dyDescent="0.25">
      <c r="B23" s="2289"/>
      <c r="C23" s="2292"/>
      <c r="D23" s="2292"/>
      <c r="E23" s="2292"/>
      <c r="F23" s="2292"/>
      <c r="T23" s="2252"/>
      <c r="U23" s="50" t="s">
        <v>61</v>
      </c>
      <c r="V23" s="2262">
        <v>112000</v>
      </c>
      <c r="W23" s="2262"/>
      <c r="X23" s="2262"/>
      <c r="Y23" s="2269"/>
    </row>
    <row r="24" spans="1:25" ht="48" customHeight="1" x14ac:dyDescent="0.25">
      <c r="B24" s="2290"/>
      <c r="C24" s="290" t="s">
        <v>46</v>
      </c>
      <c r="D24" s="290" t="s">
        <v>50</v>
      </c>
      <c r="E24" s="290" t="s">
        <v>51</v>
      </c>
      <c r="F24" s="290" t="s">
        <v>52</v>
      </c>
      <c r="T24" s="2235" t="s">
        <v>47</v>
      </c>
      <c r="U24" s="51" t="s">
        <v>62</v>
      </c>
      <c r="V24" s="2263">
        <f>V14+V16+V17-V18-V19-V20-V22+V23-V21</f>
        <v>149505.57500000001</v>
      </c>
      <c r="W24" s="2263"/>
      <c r="X24" s="2263"/>
      <c r="Y24" s="2269"/>
    </row>
    <row r="25" spans="1:25" ht="40.5" customHeight="1" x14ac:dyDescent="0.25">
      <c r="T25" s="2235"/>
      <c r="U25" s="51" t="s">
        <v>63</v>
      </c>
      <c r="V25" s="2262">
        <f>V15+V22-V23</f>
        <v>14564</v>
      </c>
      <c r="W25" s="2262"/>
      <c r="X25" s="2262"/>
    </row>
    <row r="26" spans="1:25" ht="36" customHeight="1" x14ac:dyDescent="0.25">
      <c r="K26" s="314"/>
    </row>
    <row r="28" spans="1:25" x14ac:dyDescent="0.25">
      <c r="J28" s="14" t="s">
        <v>139</v>
      </c>
    </row>
    <row r="32" spans="1:25" x14ac:dyDescent="0.25">
      <c r="I32" s="2280"/>
      <c r="J32" s="2280"/>
      <c r="K32" s="2280"/>
      <c r="L32" s="2280"/>
    </row>
    <row r="33" spans="9:12" x14ac:dyDescent="0.25">
      <c r="I33" s="2131"/>
      <c r="J33" s="2131"/>
      <c r="K33" s="2280"/>
      <c r="L33" s="2280"/>
    </row>
  </sheetData>
  <mergeCells count="62">
    <mergeCell ref="I32:J32"/>
    <mergeCell ref="K32:L32"/>
    <mergeCell ref="K33:L33"/>
    <mergeCell ref="T22:T23"/>
    <mergeCell ref="V22:X22"/>
    <mergeCell ref="V23:X23"/>
    <mergeCell ref="T24:T25"/>
    <mergeCell ref="V24:X24"/>
    <mergeCell ref="V25:X25"/>
    <mergeCell ref="Y18:Y24"/>
    <mergeCell ref="B19:C19"/>
    <mergeCell ref="Q19:R19"/>
    <mergeCell ref="T19:T20"/>
    <mergeCell ref="V19:X19"/>
    <mergeCell ref="B20:C20"/>
    <mergeCell ref="B22:B24"/>
    <mergeCell ref="C22:C23"/>
    <mergeCell ref="D22:D23"/>
    <mergeCell ref="E22:E23"/>
    <mergeCell ref="F22:F23"/>
    <mergeCell ref="Q20:R20"/>
    <mergeCell ref="V20:X20"/>
    <mergeCell ref="B21:C21"/>
    <mergeCell ref="T21:U21"/>
    <mergeCell ref="V21:X21"/>
    <mergeCell ref="B17:C17"/>
    <mergeCell ref="Q17:R17"/>
    <mergeCell ref="T17:U17"/>
    <mergeCell ref="V17:X17"/>
    <mergeCell ref="B18:C18"/>
    <mergeCell ref="Q18:R18"/>
    <mergeCell ref="T18:U18"/>
    <mergeCell ref="V18:X18"/>
    <mergeCell ref="W4:X4"/>
    <mergeCell ref="B16:C16"/>
    <mergeCell ref="Q16:R16"/>
    <mergeCell ref="T16:U16"/>
    <mergeCell ref="V16:X16"/>
    <mergeCell ref="A12:B12"/>
    <mergeCell ref="B14:C14"/>
    <mergeCell ref="Q14:R14"/>
    <mergeCell ref="T14:T15"/>
    <mergeCell ref="V14:X14"/>
    <mergeCell ref="B15:C15"/>
    <mergeCell ref="Q15:R15"/>
    <mergeCell ref="V15:X15"/>
    <mergeCell ref="A1:Y1"/>
    <mergeCell ref="A2:Y2"/>
    <mergeCell ref="T3:Y3"/>
    <mergeCell ref="A4:A5"/>
    <mergeCell ref="B4:B5"/>
    <mergeCell ref="C4:D4"/>
    <mergeCell ref="E4:F4"/>
    <mergeCell ref="G4:H4"/>
    <mergeCell ref="I4:J4"/>
    <mergeCell ref="K4:L4"/>
    <mergeCell ref="Y4:Y5"/>
    <mergeCell ref="M4:N4"/>
    <mergeCell ref="O4:P4"/>
    <mergeCell ref="Q4:R4"/>
    <mergeCell ref="S4:T4"/>
    <mergeCell ref="U4:V4"/>
  </mergeCells>
  <pageMargins left="0.15748031496063" right="0.15748031496063" top="0" bottom="0" header="0" footer="0"/>
  <pageSetup paperSize="9" scale="46" orientation="landscape" r:id="rId1"/>
  <legacyDrawing r:id="rId2"/>
</worksheet>
</file>

<file path=xl/worksheets/sheet3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BFEEA05-D01C-4372-A8A6-946A1A14D35A}">
  <sheetPr>
    <pageSetUpPr fitToPage="1"/>
  </sheetPr>
  <dimension ref="A1:Y33"/>
  <sheetViews>
    <sheetView topLeftCell="D11" zoomScale="70" zoomScaleNormal="70" zoomScaleSheetLayoutView="100" zoomScalePageLayoutView="68" workbookViewId="0">
      <selection activeCell="N30" sqref="N30"/>
    </sheetView>
  </sheetViews>
  <sheetFormatPr defaultColWidth="9.140625" defaultRowHeight="15" x14ac:dyDescent="0.25"/>
  <cols>
    <col min="1" max="1" width="18.28515625" style="14" customWidth="1"/>
    <col min="2" max="2" width="10.7109375" style="14" customWidth="1"/>
    <col min="3" max="3" width="12.28515625" style="14" customWidth="1"/>
    <col min="4" max="4" width="13.140625" style="14" bestFit="1" customWidth="1"/>
    <col min="5" max="5" width="12" style="14" customWidth="1"/>
    <col min="6" max="6" width="14" style="14" bestFit="1" customWidth="1"/>
    <col min="7" max="7" width="16" style="14" bestFit="1" customWidth="1"/>
    <col min="8" max="8" width="11" style="14" bestFit="1" customWidth="1"/>
    <col min="9" max="9" width="10.5703125" style="14" bestFit="1" customWidth="1"/>
    <col min="10" max="10" width="10.5703125" style="14" customWidth="1"/>
    <col min="11" max="11" width="10.28515625" style="14" bestFit="1" customWidth="1"/>
    <col min="12" max="12" width="10.42578125" style="14" bestFit="1" customWidth="1"/>
    <col min="13" max="14" width="12" style="14" bestFit="1" customWidth="1"/>
    <col min="15" max="15" width="11" style="14" customWidth="1"/>
    <col min="16" max="16" width="12.85546875" style="14" bestFit="1" customWidth="1"/>
    <col min="17" max="18" width="9.42578125" style="14" customWidth="1"/>
    <col min="19" max="19" width="13.7109375" style="14" customWidth="1"/>
    <col min="20" max="20" width="12.140625" style="14" customWidth="1"/>
    <col min="21" max="21" width="21.7109375" style="14" customWidth="1"/>
    <col min="22" max="22" width="9.85546875" style="14" customWidth="1"/>
    <col min="23" max="23" width="10.140625" style="14" bestFit="1" customWidth="1"/>
    <col min="24" max="24" width="10.28515625" style="14" customWidth="1"/>
    <col min="25" max="25" width="15.7109375" style="14" customWidth="1"/>
    <col min="26" max="16384" width="9.140625" style="14"/>
  </cols>
  <sheetData>
    <row r="1" spans="1:25" ht="46.15" customHeight="1" x14ac:dyDescent="0.25">
      <c r="A1" s="2240" t="s">
        <v>148</v>
      </c>
      <c r="B1" s="2240"/>
      <c r="C1" s="2240"/>
      <c r="D1" s="2240"/>
      <c r="E1" s="2240"/>
      <c r="F1" s="2240"/>
      <c r="G1" s="2240"/>
      <c r="H1" s="2240"/>
      <c r="I1" s="2240"/>
      <c r="J1" s="2240"/>
      <c r="K1" s="2240"/>
      <c r="L1" s="2240"/>
      <c r="M1" s="2240"/>
      <c r="N1" s="2240"/>
      <c r="O1" s="2240"/>
      <c r="P1" s="2240"/>
      <c r="Q1" s="2240"/>
      <c r="R1" s="2240"/>
      <c r="S1" s="2240"/>
      <c r="T1" s="2240"/>
      <c r="U1" s="2240"/>
      <c r="V1" s="2240"/>
      <c r="W1" s="2240"/>
      <c r="X1" s="2240"/>
      <c r="Y1" s="2240"/>
    </row>
    <row r="2" spans="1:25" ht="21.6" customHeight="1" x14ac:dyDescent="0.25">
      <c r="A2" s="2241" t="s">
        <v>383</v>
      </c>
      <c r="B2" s="2241"/>
      <c r="C2" s="2241"/>
      <c r="D2" s="2241"/>
      <c r="E2" s="2241"/>
      <c r="F2" s="2241"/>
      <c r="G2" s="2241"/>
      <c r="H2" s="2241"/>
      <c r="I2" s="2241"/>
      <c r="J2" s="2241"/>
      <c r="K2" s="2241"/>
      <c r="L2" s="2241"/>
      <c r="M2" s="2241"/>
      <c r="N2" s="2241"/>
      <c r="O2" s="2241"/>
      <c r="P2" s="2241"/>
      <c r="Q2" s="2241"/>
      <c r="R2" s="2241"/>
      <c r="S2" s="2241"/>
      <c r="T2" s="2241"/>
      <c r="U2" s="2241"/>
      <c r="V2" s="2241"/>
      <c r="W2" s="2241"/>
      <c r="X2" s="2241"/>
      <c r="Y2" s="2241"/>
    </row>
    <row r="3" spans="1:25" ht="21" customHeight="1" x14ac:dyDescent="0.25">
      <c r="A3" s="2137"/>
      <c r="B3" s="2137"/>
      <c r="C3" s="2137"/>
      <c r="D3" s="2137"/>
      <c r="E3" s="2137"/>
      <c r="F3" s="2137"/>
      <c r="G3" s="2137"/>
      <c r="H3" s="2137"/>
      <c r="I3" s="2137"/>
      <c r="J3" s="2137"/>
      <c r="K3" s="2137"/>
      <c r="L3" s="2137"/>
      <c r="M3" s="2137"/>
      <c r="N3" s="2137"/>
      <c r="O3" s="2137"/>
      <c r="P3" s="2137"/>
      <c r="Q3" s="2137"/>
      <c r="R3" s="2137"/>
      <c r="S3" s="2137"/>
      <c r="T3" s="2242" t="s">
        <v>592</v>
      </c>
      <c r="U3" s="2242"/>
      <c r="V3" s="2242"/>
      <c r="W3" s="2242"/>
      <c r="X3" s="2242"/>
      <c r="Y3" s="2242"/>
    </row>
    <row r="4" spans="1:25" s="2137" customFormat="1" ht="18" customHeight="1" x14ac:dyDescent="0.25">
      <c r="A4" s="2243" t="s">
        <v>25</v>
      </c>
      <c r="B4" s="2243" t="s">
        <v>26</v>
      </c>
      <c r="C4" s="2244" t="s">
        <v>27</v>
      </c>
      <c r="D4" s="2244"/>
      <c r="E4" s="2244" t="s">
        <v>544</v>
      </c>
      <c r="F4" s="2244"/>
      <c r="G4" s="2244" t="s">
        <v>65</v>
      </c>
      <c r="H4" s="2244"/>
      <c r="I4" s="2244" t="s">
        <v>29</v>
      </c>
      <c r="J4" s="2244"/>
      <c r="K4" s="2245" t="s">
        <v>14</v>
      </c>
      <c r="L4" s="2246"/>
      <c r="M4" s="2245" t="s">
        <v>429</v>
      </c>
      <c r="N4" s="2246"/>
      <c r="O4" s="2245" t="s">
        <v>441</v>
      </c>
      <c r="P4" s="2246"/>
      <c r="Q4" s="2245" t="s">
        <v>114</v>
      </c>
      <c r="R4" s="2246"/>
      <c r="S4" s="2244" t="s">
        <v>35</v>
      </c>
      <c r="T4" s="2244"/>
      <c r="U4" s="2245" t="s">
        <v>17</v>
      </c>
      <c r="V4" s="2246"/>
      <c r="W4" s="2247" t="s">
        <v>36</v>
      </c>
      <c r="X4" s="2248"/>
      <c r="Y4" s="2238" t="s">
        <v>30</v>
      </c>
    </row>
    <row r="5" spans="1:25" s="2137" customFormat="1" ht="25.5" customHeight="1" x14ac:dyDescent="0.25">
      <c r="A5" s="2243"/>
      <c r="B5" s="2243"/>
      <c r="C5" s="2136" t="s">
        <v>42</v>
      </c>
      <c r="D5" s="2136" t="s">
        <v>43</v>
      </c>
      <c r="E5" s="2136" t="s">
        <v>42</v>
      </c>
      <c r="F5" s="2136" t="s">
        <v>43</v>
      </c>
      <c r="G5" s="2136" t="s">
        <v>42</v>
      </c>
      <c r="H5" s="2136" t="s">
        <v>43</v>
      </c>
      <c r="I5" s="2136" t="s">
        <v>42</v>
      </c>
      <c r="J5" s="2136" t="s">
        <v>43</v>
      </c>
      <c r="K5" s="2136" t="s">
        <v>42</v>
      </c>
      <c r="L5" s="2136" t="s">
        <v>43</v>
      </c>
      <c r="M5" s="2136" t="s">
        <v>42</v>
      </c>
      <c r="N5" s="2136" t="s">
        <v>43</v>
      </c>
      <c r="O5" s="2136" t="s">
        <v>42</v>
      </c>
      <c r="P5" s="2136" t="s">
        <v>43</v>
      </c>
      <c r="Q5" s="2136" t="s">
        <v>42</v>
      </c>
      <c r="R5" s="2136" t="s">
        <v>43</v>
      </c>
      <c r="S5" s="33" t="s">
        <v>42</v>
      </c>
      <c r="T5" s="33" t="s">
        <v>43</v>
      </c>
      <c r="U5" s="30" t="s">
        <v>42</v>
      </c>
      <c r="V5" s="30" t="s">
        <v>43</v>
      </c>
      <c r="W5" s="30" t="s">
        <v>42</v>
      </c>
      <c r="X5" s="30" t="s">
        <v>43</v>
      </c>
      <c r="Y5" s="2239"/>
    </row>
    <row r="6" spans="1:25" ht="34.5" customHeight="1" x14ac:dyDescent="0.25">
      <c r="A6" s="12">
        <v>1409935200</v>
      </c>
      <c r="B6" s="2135" t="s">
        <v>71</v>
      </c>
      <c r="C6" s="2133">
        <v>27315</v>
      </c>
      <c r="D6" s="2132">
        <f t="shared" ref="D6:D11" si="0">0.9725*C6</f>
        <v>26563.837500000001</v>
      </c>
      <c r="E6" s="2133"/>
      <c r="F6" s="2132">
        <f>19.68*E6</f>
        <v>0</v>
      </c>
      <c r="G6" s="2133"/>
      <c r="H6" s="2132">
        <f t="shared" ref="H6:H11" si="1">28.26*G6</f>
        <v>0</v>
      </c>
      <c r="I6" s="2133"/>
      <c r="J6" s="2132">
        <f>18.82*I6</f>
        <v>0</v>
      </c>
      <c r="K6" s="2133"/>
      <c r="L6" s="2132">
        <f>28.25*K6</f>
        <v>0</v>
      </c>
      <c r="M6" s="2133"/>
      <c r="N6" s="2132">
        <f>M6*47.6525</f>
        <v>0</v>
      </c>
      <c r="O6" s="2133"/>
      <c r="P6" s="2132">
        <f>O6*8.9</f>
        <v>0</v>
      </c>
      <c r="Q6" s="2132"/>
      <c r="R6" s="2132">
        <f>241*Q6</f>
        <v>0</v>
      </c>
      <c r="S6" s="2133"/>
      <c r="T6" s="2133">
        <f>470*S6</f>
        <v>0</v>
      </c>
      <c r="U6" s="2133"/>
      <c r="V6" s="2133">
        <f>332*U6</f>
        <v>0</v>
      </c>
      <c r="W6" s="2133"/>
      <c r="X6" s="19">
        <f>W6*100</f>
        <v>0</v>
      </c>
      <c r="Y6" s="20">
        <f t="shared" ref="Y6:Y12" si="2">D6+F6+H6+J6+L6+N6+P6+R6+T6+V6+X6</f>
        <v>26563.837500000001</v>
      </c>
    </row>
    <row r="7" spans="1:25" ht="36.75" customHeight="1" x14ac:dyDescent="0.25">
      <c r="A7" s="12">
        <v>1984225578</v>
      </c>
      <c r="B7" s="2135" t="s">
        <v>509</v>
      </c>
      <c r="C7" s="2133">
        <v>25718</v>
      </c>
      <c r="D7" s="2132">
        <f t="shared" si="0"/>
        <v>25010.755000000001</v>
      </c>
      <c r="E7" s="2133"/>
      <c r="F7" s="2132">
        <f t="shared" ref="F7:F11" si="3">19.68*E7</f>
        <v>0</v>
      </c>
      <c r="G7" s="2133"/>
      <c r="H7" s="2132">
        <f t="shared" si="1"/>
        <v>0</v>
      </c>
      <c r="I7" s="2133"/>
      <c r="J7" s="2132">
        <f t="shared" ref="J7:J11" si="4">18.82*I7</f>
        <v>0</v>
      </c>
      <c r="K7" s="2133"/>
      <c r="L7" s="2132">
        <f t="shared" ref="L7:L11" si="5">28.25*K7</f>
        <v>0</v>
      </c>
      <c r="M7" s="2133"/>
      <c r="N7" s="2132">
        <f t="shared" ref="N7:N11" si="6">M7*47.6525</f>
        <v>0</v>
      </c>
      <c r="O7" s="2133"/>
      <c r="P7" s="2132">
        <f t="shared" ref="P7:P11" si="7">O7*8.9</f>
        <v>0</v>
      </c>
      <c r="Q7" s="2132"/>
      <c r="R7" s="2132">
        <f t="shared" ref="R7:R11" si="8">241*Q7</f>
        <v>0</v>
      </c>
      <c r="S7" s="2133"/>
      <c r="T7" s="2133">
        <f t="shared" ref="T7:T9" si="9">470*S7</f>
        <v>0</v>
      </c>
      <c r="U7" s="2133"/>
      <c r="V7" s="2133">
        <f t="shared" ref="V7:V11" si="10">332*U7</f>
        <v>0</v>
      </c>
      <c r="W7" s="2133"/>
      <c r="X7" s="19">
        <f t="shared" ref="X7:X11" si="11">W7*100</f>
        <v>0</v>
      </c>
      <c r="Y7" s="20">
        <f t="shared" si="2"/>
        <v>25010.755000000001</v>
      </c>
    </row>
    <row r="8" spans="1:25" ht="35.25" customHeight="1" x14ac:dyDescent="0.25">
      <c r="A8" s="12">
        <v>1967020280</v>
      </c>
      <c r="B8" s="2135" t="s">
        <v>427</v>
      </c>
      <c r="C8" s="2133">
        <v>35003</v>
      </c>
      <c r="D8" s="2132">
        <f t="shared" si="0"/>
        <v>34040.417500000003</v>
      </c>
      <c r="E8" s="2133"/>
      <c r="F8" s="2132">
        <f t="shared" si="3"/>
        <v>0</v>
      </c>
      <c r="G8" s="2133"/>
      <c r="H8" s="2132">
        <f t="shared" si="1"/>
        <v>0</v>
      </c>
      <c r="I8" s="2133"/>
      <c r="J8" s="2132">
        <f t="shared" si="4"/>
        <v>0</v>
      </c>
      <c r="K8" s="2133"/>
      <c r="L8" s="2132">
        <f t="shared" si="5"/>
        <v>0</v>
      </c>
      <c r="M8" s="2133"/>
      <c r="N8" s="2132">
        <f t="shared" si="6"/>
        <v>0</v>
      </c>
      <c r="O8" s="2133"/>
      <c r="P8" s="2132">
        <f t="shared" si="7"/>
        <v>0</v>
      </c>
      <c r="Q8" s="2132"/>
      <c r="R8" s="2132">
        <f t="shared" si="8"/>
        <v>0</v>
      </c>
      <c r="S8" s="2133"/>
      <c r="T8" s="2133">
        <f t="shared" si="9"/>
        <v>0</v>
      </c>
      <c r="U8" s="2133"/>
      <c r="V8" s="2133">
        <f t="shared" si="10"/>
        <v>0</v>
      </c>
      <c r="W8" s="2133"/>
      <c r="X8" s="19">
        <f t="shared" si="11"/>
        <v>0</v>
      </c>
      <c r="Y8" s="20">
        <f t="shared" si="2"/>
        <v>34040.417500000003</v>
      </c>
    </row>
    <row r="9" spans="1:25" ht="38.25" customHeight="1" x14ac:dyDescent="0.25">
      <c r="A9" s="12">
        <v>1984225580</v>
      </c>
      <c r="B9" s="2135" t="s">
        <v>74</v>
      </c>
      <c r="C9" s="2133">
        <v>30318</v>
      </c>
      <c r="D9" s="2132">
        <f t="shared" si="0"/>
        <v>29484.255000000001</v>
      </c>
      <c r="E9" s="2133"/>
      <c r="F9" s="2132">
        <f t="shared" si="3"/>
        <v>0</v>
      </c>
      <c r="G9" s="2133"/>
      <c r="H9" s="2132">
        <f t="shared" si="1"/>
        <v>0</v>
      </c>
      <c r="I9" s="2133"/>
      <c r="J9" s="2132">
        <f t="shared" si="4"/>
        <v>0</v>
      </c>
      <c r="K9" s="2133"/>
      <c r="L9" s="2132">
        <f t="shared" si="5"/>
        <v>0</v>
      </c>
      <c r="M9" s="2133"/>
      <c r="N9" s="2132">
        <f t="shared" si="6"/>
        <v>0</v>
      </c>
      <c r="O9" s="2133"/>
      <c r="P9" s="2132">
        <f t="shared" si="7"/>
        <v>0</v>
      </c>
      <c r="Q9" s="2132"/>
      <c r="R9" s="2132">
        <f t="shared" si="8"/>
        <v>0</v>
      </c>
      <c r="S9" s="2133"/>
      <c r="T9" s="2133">
        <f t="shared" si="9"/>
        <v>0</v>
      </c>
      <c r="U9" s="2133"/>
      <c r="V9" s="2133">
        <f t="shared" si="10"/>
        <v>0</v>
      </c>
      <c r="W9" s="2133"/>
      <c r="X9" s="19">
        <f t="shared" si="11"/>
        <v>0</v>
      </c>
      <c r="Y9" s="20">
        <f t="shared" si="2"/>
        <v>29484.255000000001</v>
      </c>
    </row>
    <row r="10" spans="1:25" ht="35.25" customHeight="1" x14ac:dyDescent="0.25">
      <c r="A10" s="12">
        <v>1409935199</v>
      </c>
      <c r="C10" s="2133"/>
      <c r="D10" s="2132">
        <f t="shared" si="0"/>
        <v>0</v>
      </c>
      <c r="E10" s="2133"/>
      <c r="F10" s="2132">
        <f t="shared" si="3"/>
        <v>0</v>
      </c>
      <c r="G10" s="2133"/>
      <c r="H10" s="2132">
        <f t="shared" si="1"/>
        <v>0</v>
      </c>
      <c r="I10" s="2133"/>
      <c r="J10" s="2132">
        <f t="shared" si="4"/>
        <v>0</v>
      </c>
      <c r="K10" s="2133"/>
      <c r="L10" s="2132">
        <f t="shared" si="5"/>
        <v>0</v>
      </c>
      <c r="M10" s="2133"/>
      <c r="N10" s="2132">
        <f t="shared" si="6"/>
        <v>0</v>
      </c>
      <c r="O10" s="2133"/>
      <c r="P10" s="2132">
        <f t="shared" si="7"/>
        <v>0</v>
      </c>
      <c r="Q10" s="2132"/>
      <c r="R10" s="2132">
        <f t="shared" si="8"/>
        <v>0</v>
      </c>
      <c r="S10" s="2133"/>
      <c r="T10" s="2133">
        <f>470*S10</f>
        <v>0</v>
      </c>
      <c r="U10" s="2133"/>
      <c r="V10" s="2133">
        <f t="shared" si="10"/>
        <v>0</v>
      </c>
      <c r="W10" s="2133"/>
      <c r="X10" s="19">
        <f t="shared" si="11"/>
        <v>0</v>
      </c>
      <c r="Y10" s="20">
        <f t="shared" si="2"/>
        <v>0</v>
      </c>
    </row>
    <row r="11" spans="1:25" ht="37.5" customHeight="1" x14ac:dyDescent="0.25">
      <c r="A11" s="12"/>
      <c r="B11" s="2134"/>
      <c r="C11" s="2133"/>
      <c r="D11" s="2132">
        <f t="shared" si="0"/>
        <v>0</v>
      </c>
      <c r="E11" s="2133"/>
      <c r="F11" s="2132">
        <f t="shared" si="3"/>
        <v>0</v>
      </c>
      <c r="G11" s="2133"/>
      <c r="H11" s="2132">
        <f t="shared" si="1"/>
        <v>0</v>
      </c>
      <c r="I11" s="2133"/>
      <c r="J11" s="2132">
        <f t="shared" si="4"/>
        <v>0</v>
      </c>
      <c r="K11" s="2133"/>
      <c r="L11" s="2132">
        <f t="shared" si="5"/>
        <v>0</v>
      </c>
      <c r="M11" s="2133"/>
      <c r="N11" s="2132">
        <f t="shared" si="6"/>
        <v>0</v>
      </c>
      <c r="O11" s="2133"/>
      <c r="P11" s="2132">
        <f t="shared" si="7"/>
        <v>0</v>
      </c>
      <c r="Q11" s="2132"/>
      <c r="R11" s="2132">
        <f t="shared" si="8"/>
        <v>0</v>
      </c>
      <c r="S11" s="2133"/>
      <c r="T11" s="2133">
        <f>241*S11</f>
        <v>0</v>
      </c>
      <c r="U11" s="2133"/>
      <c r="V11" s="2133">
        <f t="shared" si="10"/>
        <v>0</v>
      </c>
      <c r="W11" s="2133"/>
      <c r="X11" s="19">
        <f t="shared" si="11"/>
        <v>0</v>
      </c>
      <c r="Y11" s="20">
        <f t="shared" si="2"/>
        <v>0</v>
      </c>
    </row>
    <row r="12" spans="1:25" ht="29.25" customHeight="1" x14ac:dyDescent="0.25">
      <c r="A12" s="2235" t="s">
        <v>31</v>
      </c>
      <c r="B12" s="2235"/>
      <c r="C12" s="18">
        <f t="shared" ref="C12:X12" si="12">SUM(C6:C11)</f>
        <v>118354</v>
      </c>
      <c r="D12" s="18">
        <f t="shared" si="12"/>
        <v>115099.26500000001</v>
      </c>
      <c r="E12" s="18">
        <f t="shared" si="12"/>
        <v>0</v>
      </c>
      <c r="F12" s="18">
        <f t="shared" si="12"/>
        <v>0</v>
      </c>
      <c r="G12" s="18">
        <f t="shared" si="12"/>
        <v>0</v>
      </c>
      <c r="H12" s="18">
        <f t="shared" si="12"/>
        <v>0</v>
      </c>
      <c r="I12" s="18">
        <f t="shared" si="12"/>
        <v>0</v>
      </c>
      <c r="J12" s="18">
        <f t="shared" si="12"/>
        <v>0</v>
      </c>
      <c r="K12" s="18">
        <f t="shared" si="12"/>
        <v>0</v>
      </c>
      <c r="L12" s="18">
        <f t="shared" si="12"/>
        <v>0</v>
      </c>
      <c r="M12" s="18">
        <f t="shared" si="12"/>
        <v>0</v>
      </c>
      <c r="N12" s="23">
        <f t="shared" si="12"/>
        <v>0</v>
      </c>
      <c r="O12" s="18">
        <f t="shared" si="12"/>
        <v>0</v>
      </c>
      <c r="P12" s="23">
        <f t="shared" si="12"/>
        <v>0</v>
      </c>
      <c r="Q12" s="23">
        <f t="shared" si="12"/>
        <v>0</v>
      </c>
      <c r="R12" s="23">
        <f>SUM(R6:R11)</f>
        <v>0</v>
      </c>
      <c r="S12" s="23">
        <f>SUM(S6:S11)</f>
        <v>0</v>
      </c>
      <c r="T12" s="18">
        <f t="shared" si="12"/>
        <v>0</v>
      </c>
      <c r="U12" s="18">
        <f t="shared" si="12"/>
        <v>0</v>
      </c>
      <c r="V12" s="18">
        <f t="shared" si="12"/>
        <v>0</v>
      </c>
      <c r="W12" s="18">
        <f t="shared" si="12"/>
        <v>0</v>
      </c>
      <c r="X12" s="18">
        <f t="shared" si="12"/>
        <v>0</v>
      </c>
      <c r="Y12" s="20">
        <f t="shared" si="2"/>
        <v>115099.26500000001</v>
      </c>
    </row>
    <row r="14" spans="1:25" ht="43.5" customHeight="1" x14ac:dyDescent="0.25">
      <c r="A14" s="30" t="s">
        <v>32</v>
      </c>
      <c r="B14" s="2236" t="s">
        <v>27</v>
      </c>
      <c r="C14" s="2236"/>
      <c r="D14" s="30" t="s">
        <v>543</v>
      </c>
      <c r="E14" s="30" t="s">
        <v>65</v>
      </c>
      <c r="F14" s="30" t="s">
        <v>34</v>
      </c>
      <c r="G14" s="30" t="s">
        <v>14</v>
      </c>
      <c r="H14" s="469" t="s">
        <v>173</v>
      </c>
      <c r="I14" s="30" t="s">
        <v>17</v>
      </c>
      <c r="J14" s="2141" t="s">
        <v>174</v>
      </c>
      <c r="K14" s="30" t="s">
        <v>36</v>
      </c>
      <c r="L14" s="2141" t="s">
        <v>403</v>
      </c>
      <c r="M14" s="2141" t="s">
        <v>549</v>
      </c>
      <c r="N14" s="30" t="s">
        <v>442</v>
      </c>
      <c r="O14" s="2141" t="s">
        <v>114</v>
      </c>
      <c r="P14" s="30" t="s">
        <v>70</v>
      </c>
      <c r="Q14" s="2300" t="s">
        <v>479</v>
      </c>
      <c r="R14" s="2301"/>
      <c r="S14" s="2141" t="s">
        <v>401</v>
      </c>
      <c r="T14" s="2235" t="s">
        <v>46</v>
      </c>
      <c r="U14" s="2135" t="s">
        <v>176</v>
      </c>
      <c r="V14" s="2260">
        <v>149506</v>
      </c>
      <c r="W14" s="2268"/>
      <c r="X14" s="2261"/>
    </row>
    <row r="15" spans="1:25" ht="22.5" customHeight="1" x14ac:dyDescent="0.25">
      <c r="A15" s="100" t="s">
        <v>38</v>
      </c>
      <c r="B15" s="2260">
        <v>361814</v>
      </c>
      <c r="C15" s="2261"/>
      <c r="D15" s="2138">
        <v>0</v>
      </c>
      <c r="E15" s="2138">
        <v>0</v>
      </c>
      <c r="F15" s="2138">
        <v>1970</v>
      </c>
      <c r="G15" s="2138">
        <v>350</v>
      </c>
      <c r="H15" s="2138">
        <v>34</v>
      </c>
      <c r="I15" s="2138">
        <v>18</v>
      </c>
      <c r="J15" s="2138"/>
      <c r="K15" s="2138">
        <v>82</v>
      </c>
      <c r="L15" s="2138">
        <v>12</v>
      </c>
      <c r="M15" s="2138">
        <v>0</v>
      </c>
      <c r="N15" s="2138">
        <v>0</v>
      </c>
      <c r="O15" s="2138">
        <v>0</v>
      </c>
      <c r="P15" s="2138">
        <v>100</v>
      </c>
      <c r="Q15" s="2260">
        <v>0</v>
      </c>
      <c r="R15" s="2261"/>
      <c r="S15" s="2135"/>
      <c r="T15" s="2235"/>
      <c r="U15" s="2135" t="s">
        <v>64</v>
      </c>
      <c r="V15" s="2262">
        <v>14564</v>
      </c>
      <c r="W15" s="2262"/>
      <c r="X15" s="2262"/>
    </row>
    <row r="16" spans="1:25" ht="24.75" customHeight="1" x14ac:dyDescent="0.25">
      <c r="A16" s="100" t="s">
        <v>39</v>
      </c>
      <c r="B16" s="2260">
        <v>124675</v>
      </c>
      <c r="C16" s="2261"/>
      <c r="D16" s="2138"/>
      <c r="E16" s="2138"/>
      <c r="F16" s="2138"/>
      <c r="G16" s="2138"/>
      <c r="H16" s="2138"/>
      <c r="I16" s="2138">
        <v>50</v>
      </c>
      <c r="J16" s="2138"/>
      <c r="K16" s="2138"/>
      <c r="L16" s="2138"/>
      <c r="M16" s="2138"/>
      <c r="N16" s="2138"/>
      <c r="O16" s="2138"/>
      <c r="P16" s="2138"/>
      <c r="Q16" s="2262"/>
      <c r="R16" s="2262"/>
      <c r="S16" s="2138"/>
      <c r="T16" s="2254" t="s">
        <v>55</v>
      </c>
      <c r="U16" s="2254"/>
      <c r="V16" s="2267">
        <f>Y12</f>
        <v>115099.26500000001</v>
      </c>
      <c r="W16" s="2267"/>
      <c r="X16" s="2262"/>
    </row>
    <row r="17" spans="1:25" ht="28.5" customHeight="1" x14ac:dyDescent="0.25">
      <c r="A17" s="101" t="s">
        <v>44</v>
      </c>
      <c r="B17" s="2260"/>
      <c r="C17" s="2261"/>
      <c r="D17" s="2138"/>
      <c r="E17" s="2138"/>
      <c r="F17" s="2138"/>
      <c r="G17" s="2138"/>
      <c r="H17" s="2138"/>
      <c r="I17" s="2138"/>
      <c r="J17" s="2138"/>
      <c r="K17" s="2138"/>
      <c r="L17" s="2138"/>
      <c r="M17" s="2138"/>
      <c r="N17" s="2138"/>
      <c r="O17" s="2138"/>
      <c r="P17" s="2138"/>
      <c r="Q17" s="2225"/>
      <c r="R17" s="2225"/>
      <c r="S17" s="2134"/>
      <c r="T17" s="2294" t="s">
        <v>591</v>
      </c>
      <c r="U17" s="2295"/>
      <c r="V17" s="2296"/>
      <c r="W17" s="2296"/>
      <c r="X17" s="2296"/>
    </row>
    <row r="18" spans="1:25" ht="27" customHeight="1" x14ac:dyDescent="0.25">
      <c r="A18" s="100" t="s">
        <v>40</v>
      </c>
      <c r="B18" s="2264">
        <f>C12</f>
        <v>118354</v>
      </c>
      <c r="C18" s="2261"/>
      <c r="D18" s="2140">
        <f>E12</f>
        <v>0</v>
      </c>
      <c r="E18" s="2140">
        <f>G12</f>
        <v>0</v>
      </c>
      <c r="F18" s="2140">
        <f>I12</f>
        <v>0</v>
      </c>
      <c r="G18" s="2140">
        <f>K12</f>
        <v>0</v>
      </c>
      <c r="H18" s="2138"/>
      <c r="I18" s="2140">
        <f>U12</f>
        <v>0</v>
      </c>
      <c r="J18" s="2138"/>
      <c r="K18" s="2140">
        <f>W12</f>
        <v>0</v>
      </c>
      <c r="L18" s="2138"/>
      <c r="M18" s="2140"/>
      <c r="N18" s="2140">
        <f>O12</f>
        <v>0</v>
      </c>
      <c r="O18" s="2139">
        <f>Q12</f>
        <v>0</v>
      </c>
      <c r="P18" s="2140"/>
      <c r="Q18" s="2262"/>
      <c r="R18" s="2262"/>
      <c r="S18" s="2135"/>
      <c r="T18" s="2254" t="s">
        <v>57</v>
      </c>
      <c r="U18" s="2254"/>
      <c r="V18" s="2262">
        <v>950</v>
      </c>
      <c r="W18" s="2262"/>
      <c r="X18" s="2262"/>
      <c r="Y18" s="2269"/>
    </row>
    <row r="19" spans="1:25" ht="25.5" customHeight="1" x14ac:dyDescent="0.25">
      <c r="A19" s="100" t="s">
        <v>41</v>
      </c>
      <c r="B19" s="2260">
        <f>B15+B16+B17-B18</f>
        <v>368135</v>
      </c>
      <c r="C19" s="2261"/>
      <c r="D19" s="2138">
        <f>D15+D16+D17-D18</f>
        <v>0</v>
      </c>
      <c r="E19" s="2138">
        <f t="shared" ref="E19:N19" si="13">E15+E16+E17-E18</f>
        <v>0</v>
      </c>
      <c r="F19" s="2138">
        <f t="shared" si="13"/>
        <v>1970</v>
      </c>
      <c r="G19" s="2138">
        <f t="shared" si="13"/>
        <v>350</v>
      </c>
      <c r="H19" s="2138">
        <f t="shared" si="13"/>
        <v>34</v>
      </c>
      <c r="I19" s="2138">
        <f t="shared" si="13"/>
        <v>68</v>
      </c>
      <c r="J19" s="2138">
        <f t="shared" si="13"/>
        <v>0</v>
      </c>
      <c r="K19" s="2138">
        <f t="shared" si="13"/>
        <v>82</v>
      </c>
      <c r="L19" s="2138">
        <f t="shared" si="13"/>
        <v>12</v>
      </c>
      <c r="M19" s="2138">
        <f t="shared" si="13"/>
        <v>0</v>
      </c>
      <c r="N19" s="2138">
        <f t="shared" si="13"/>
        <v>0</v>
      </c>
      <c r="O19" s="2138">
        <f>O15+O16+O17-O18</f>
        <v>0</v>
      </c>
      <c r="P19" s="2138">
        <f t="shared" ref="P19:Q19" si="14">P15+P16+P17-P18</f>
        <v>100</v>
      </c>
      <c r="Q19" s="2260">
        <f t="shared" si="14"/>
        <v>0</v>
      </c>
      <c r="R19" s="2261"/>
      <c r="S19" s="2135">
        <f>S15+S16-S17-S18</f>
        <v>0</v>
      </c>
      <c r="T19" s="2256" t="s">
        <v>48</v>
      </c>
      <c r="U19" s="49" t="s">
        <v>58</v>
      </c>
      <c r="V19" s="2262">
        <v>120000</v>
      </c>
      <c r="W19" s="2262"/>
      <c r="X19" s="2262"/>
      <c r="Y19" s="2269"/>
    </row>
    <row r="20" spans="1:25" ht="23.25" customHeight="1" x14ac:dyDescent="0.25">
      <c r="A20" s="289" t="s">
        <v>187</v>
      </c>
      <c r="B20" s="2286">
        <f>B19*0.9625</f>
        <v>354329.9375</v>
      </c>
      <c r="C20" s="2287"/>
      <c r="D20" s="290">
        <f>D19*19.48</f>
        <v>0</v>
      </c>
      <c r="E20" s="290">
        <f>27.97*E19</f>
        <v>0</v>
      </c>
      <c r="F20" s="290">
        <f>18.63*F19</f>
        <v>36701.1</v>
      </c>
      <c r="G20" s="290">
        <f>27.9468*G19</f>
        <v>9781.3799999999992</v>
      </c>
      <c r="H20" s="290">
        <f>241*H19</f>
        <v>8194</v>
      </c>
      <c r="I20" s="290">
        <f>323*I19</f>
        <v>21964</v>
      </c>
      <c r="J20" s="290">
        <f>241*J19</f>
        <v>0</v>
      </c>
      <c r="K20" s="290">
        <f>K19*100</f>
        <v>8200</v>
      </c>
      <c r="L20" s="290">
        <f>470*L19</f>
        <v>5640</v>
      </c>
      <c r="M20" s="290">
        <f>470*M19</f>
        <v>0</v>
      </c>
      <c r="N20" s="290">
        <f>N19*8.81</f>
        <v>0</v>
      </c>
      <c r="O20" s="290">
        <f>241*O19</f>
        <v>0</v>
      </c>
      <c r="P20" s="290">
        <f>P19*48.2</f>
        <v>4820</v>
      </c>
      <c r="Q20" s="2286">
        <f>470*Q19</f>
        <v>0</v>
      </c>
      <c r="R20" s="2287"/>
      <c r="S20" s="290">
        <f>341*S19</f>
        <v>0</v>
      </c>
      <c r="T20" s="2257"/>
      <c r="U20" s="49" t="s">
        <v>59</v>
      </c>
      <c r="V20" s="2262">
        <v>16150</v>
      </c>
      <c r="W20" s="2262"/>
      <c r="X20" s="2262"/>
      <c r="Y20" s="2269"/>
    </row>
    <row r="21" spans="1:25" ht="32.25" customHeight="1" x14ac:dyDescent="0.25">
      <c r="A21" s="291" t="s">
        <v>186</v>
      </c>
      <c r="B21" s="2302">
        <f>SUM(B20:S20)</f>
        <v>449630.41749999998</v>
      </c>
      <c r="C21" s="2302"/>
      <c r="T21" s="2294" t="s">
        <v>464</v>
      </c>
      <c r="U21" s="2295"/>
      <c r="V21" s="2297"/>
      <c r="W21" s="2298"/>
      <c r="X21" s="2299"/>
      <c r="Y21" s="2269"/>
    </row>
    <row r="22" spans="1:25" ht="35.25" customHeight="1" x14ac:dyDescent="0.25">
      <c r="A22" s="1911"/>
      <c r="B22" s="2288" t="s">
        <v>49</v>
      </c>
      <c r="C22" s="2291">
        <v>120000</v>
      </c>
      <c r="D22" s="2291">
        <v>120000</v>
      </c>
      <c r="E22" s="2291">
        <v>120000</v>
      </c>
      <c r="F22" s="2291">
        <f>C22-D22+E22</f>
        <v>120000</v>
      </c>
      <c r="J22" s="14" t="s">
        <v>139</v>
      </c>
      <c r="T22" s="2251" t="s">
        <v>83</v>
      </c>
      <c r="U22" s="50" t="s">
        <v>60</v>
      </c>
      <c r="V22" s="2262">
        <v>138000</v>
      </c>
      <c r="W22" s="2262"/>
      <c r="X22" s="2262"/>
      <c r="Y22" s="2269"/>
    </row>
    <row r="23" spans="1:25" ht="39.75" customHeight="1" x14ac:dyDescent="0.25">
      <c r="B23" s="2289"/>
      <c r="C23" s="2292"/>
      <c r="D23" s="2292"/>
      <c r="E23" s="2292"/>
      <c r="F23" s="2292"/>
      <c r="T23" s="2252"/>
      <c r="U23" s="50" t="s">
        <v>61</v>
      </c>
      <c r="V23" s="2262">
        <v>136150</v>
      </c>
      <c r="W23" s="2262"/>
      <c r="X23" s="2262"/>
      <c r="Y23" s="2269"/>
    </row>
    <row r="24" spans="1:25" ht="48" customHeight="1" x14ac:dyDescent="0.25">
      <c r="B24" s="2290"/>
      <c r="C24" s="290" t="s">
        <v>46</v>
      </c>
      <c r="D24" s="290" t="s">
        <v>50</v>
      </c>
      <c r="E24" s="290" t="s">
        <v>51</v>
      </c>
      <c r="F24" s="290" t="s">
        <v>52</v>
      </c>
      <c r="T24" s="2235" t="s">
        <v>47</v>
      </c>
      <c r="U24" s="51" t="s">
        <v>62</v>
      </c>
      <c r="V24" s="2263">
        <f>V14+V16+V17-V18-V19-V20-V22+V23-V21</f>
        <v>125655.26500000001</v>
      </c>
      <c r="W24" s="2263"/>
      <c r="X24" s="2263"/>
      <c r="Y24" s="2269"/>
    </row>
    <row r="25" spans="1:25" ht="40.5" customHeight="1" x14ac:dyDescent="0.25">
      <c r="T25" s="2235"/>
      <c r="U25" s="51" t="s">
        <v>63</v>
      </c>
      <c r="V25" s="2262">
        <f>V15+V22-V23</f>
        <v>16414</v>
      </c>
      <c r="W25" s="2262"/>
      <c r="X25" s="2262"/>
    </row>
    <row r="26" spans="1:25" ht="36" customHeight="1" x14ac:dyDescent="0.25">
      <c r="K26" s="314"/>
    </row>
    <row r="28" spans="1:25" x14ac:dyDescent="0.25">
      <c r="J28" s="14" t="s">
        <v>139</v>
      </c>
    </row>
    <row r="32" spans="1:25" x14ac:dyDescent="0.25">
      <c r="I32" s="2280"/>
      <c r="J32" s="2280"/>
      <c r="K32" s="2280"/>
      <c r="L32" s="2280"/>
    </row>
    <row r="33" spans="9:12" x14ac:dyDescent="0.25">
      <c r="I33" s="2142"/>
      <c r="J33" s="2142"/>
      <c r="K33" s="2280"/>
      <c r="L33" s="2280"/>
    </row>
  </sheetData>
  <mergeCells count="62">
    <mergeCell ref="A1:Y1"/>
    <mergeCell ref="A2:Y2"/>
    <mergeCell ref="T3:Y3"/>
    <mergeCell ref="A4:A5"/>
    <mergeCell ref="B4:B5"/>
    <mergeCell ref="C4:D4"/>
    <mergeCell ref="E4:F4"/>
    <mergeCell ref="G4:H4"/>
    <mergeCell ref="I4:J4"/>
    <mergeCell ref="K4:L4"/>
    <mergeCell ref="Y4:Y5"/>
    <mergeCell ref="M4:N4"/>
    <mergeCell ref="O4:P4"/>
    <mergeCell ref="Q4:R4"/>
    <mergeCell ref="S4:T4"/>
    <mergeCell ref="U4:V4"/>
    <mergeCell ref="W4:X4"/>
    <mergeCell ref="B16:C16"/>
    <mergeCell ref="Q16:R16"/>
    <mergeCell ref="T16:U16"/>
    <mergeCell ref="V16:X16"/>
    <mergeCell ref="A12:B12"/>
    <mergeCell ref="B14:C14"/>
    <mergeCell ref="Q14:R14"/>
    <mergeCell ref="T14:T15"/>
    <mergeCell ref="V14:X14"/>
    <mergeCell ref="B15:C15"/>
    <mergeCell ref="Q15:R15"/>
    <mergeCell ref="V15:X15"/>
    <mergeCell ref="B17:C17"/>
    <mergeCell ref="Q17:R17"/>
    <mergeCell ref="T17:U17"/>
    <mergeCell ref="V17:X17"/>
    <mergeCell ref="B18:C18"/>
    <mergeCell ref="Q18:R18"/>
    <mergeCell ref="T18:U18"/>
    <mergeCell ref="V18:X18"/>
    <mergeCell ref="Y18:Y24"/>
    <mergeCell ref="B19:C19"/>
    <mergeCell ref="Q19:R19"/>
    <mergeCell ref="T19:T20"/>
    <mergeCell ref="V19:X19"/>
    <mergeCell ref="B20:C20"/>
    <mergeCell ref="B22:B24"/>
    <mergeCell ref="C22:C23"/>
    <mergeCell ref="D22:D23"/>
    <mergeCell ref="E22:E23"/>
    <mergeCell ref="F22:F23"/>
    <mergeCell ref="Q20:R20"/>
    <mergeCell ref="V20:X20"/>
    <mergeCell ref="B21:C21"/>
    <mergeCell ref="T21:U21"/>
    <mergeCell ref="V21:X21"/>
    <mergeCell ref="I32:J32"/>
    <mergeCell ref="K32:L32"/>
    <mergeCell ref="K33:L33"/>
    <mergeCell ref="T22:T23"/>
    <mergeCell ref="V22:X22"/>
    <mergeCell ref="V23:X23"/>
    <mergeCell ref="T24:T25"/>
    <mergeCell ref="V24:X24"/>
    <mergeCell ref="V25:X25"/>
  </mergeCells>
  <pageMargins left="0.15748031496063" right="0.15748031496063" top="0" bottom="0" header="0" footer="0"/>
  <pageSetup paperSize="9" scale="46" orientation="landscape" r:id="rId1"/>
</worksheet>
</file>

<file path=xl/worksheets/sheet3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BD5573E-88FA-43CC-8C9A-1EDE9344926D}">
  <sheetPr>
    <pageSetUpPr fitToPage="1"/>
  </sheetPr>
  <dimension ref="A1:Y33"/>
  <sheetViews>
    <sheetView topLeftCell="D8" zoomScale="70" zoomScaleNormal="70" zoomScaleSheetLayoutView="100" zoomScalePageLayoutView="68" workbookViewId="0">
      <selection activeCell="N24" sqref="N24"/>
    </sheetView>
  </sheetViews>
  <sheetFormatPr defaultColWidth="9.140625" defaultRowHeight="15" x14ac:dyDescent="0.25"/>
  <cols>
    <col min="1" max="1" width="18.28515625" style="14" customWidth="1"/>
    <col min="2" max="2" width="10.7109375" style="14" customWidth="1"/>
    <col min="3" max="3" width="12.28515625" style="14" customWidth="1"/>
    <col min="4" max="4" width="13.140625" style="14" bestFit="1" customWidth="1"/>
    <col min="5" max="5" width="12" style="14" customWidth="1"/>
    <col min="6" max="6" width="14" style="14" bestFit="1" customWidth="1"/>
    <col min="7" max="7" width="16" style="14" bestFit="1" customWidth="1"/>
    <col min="8" max="8" width="11" style="14" bestFit="1" customWidth="1"/>
    <col min="9" max="9" width="10.5703125" style="14" bestFit="1" customWidth="1"/>
    <col min="10" max="10" width="10.5703125" style="14" customWidth="1"/>
    <col min="11" max="11" width="10.28515625" style="14" bestFit="1" customWidth="1"/>
    <col min="12" max="12" width="10.42578125" style="14" bestFit="1" customWidth="1"/>
    <col min="13" max="14" width="12" style="14" bestFit="1" customWidth="1"/>
    <col min="15" max="15" width="11" style="14" customWidth="1"/>
    <col min="16" max="16" width="12.85546875" style="14" bestFit="1" customWidth="1"/>
    <col min="17" max="18" width="9.42578125" style="14" customWidth="1"/>
    <col min="19" max="19" width="13.7109375" style="14" customWidth="1"/>
    <col min="20" max="20" width="12.140625" style="14" customWidth="1"/>
    <col min="21" max="21" width="21.7109375" style="14" customWidth="1"/>
    <col min="22" max="22" width="9.85546875" style="14" customWidth="1"/>
    <col min="23" max="23" width="10.140625" style="14" bestFit="1" customWidth="1"/>
    <col min="24" max="24" width="10.28515625" style="14" customWidth="1"/>
    <col min="25" max="25" width="15.7109375" style="14" customWidth="1"/>
    <col min="26" max="16384" width="9.140625" style="14"/>
  </cols>
  <sheetData>
    <row r="1" spans="1:25" ht="46.15" customHeight="1" x14ac:dyDescent="0.25">
      <c r="A1" s="2240" t="s">
        <v>148</v>
      </c>
      <c r="B1" s="2240"/>
      <c r="C1" s="2240"/>
      <c r="D1" s="2240"/>
      <c r="E1" s="2240"/>
      <c r="F1" s="2240"/>
      <c r="G1" s="2240"/>
      <c r="H1" s="2240"/>
      <c r="I1" s="2240"/>
      <c r="J1" s="2240"/>
      <c r="K1" s="2240"/>
      <c r="L1" s="2240"/>
      <c r="M1" s="2240"/>
      <c r="N1" s="2240"/>
      <c r="O1" s="2240"/>
      <c r="P1" s="2240"/>
      <c r="Q1" s="2240"/>
      <c r="R1" s="2240"/>
      <c r="S1" s="2240"/>
      <c r="T1" s="2240"/>
      <c r="U1" s="2240"/>
      <c r="V1" s="2240"/>
      <c r="W1" s="2240"/>
      <c r="X1" s="2240"/>
      <c r="Y1" s="2240"/>
    </row>
    <row r="2" spans="1:25" ht="21.6" customHeight="1" x14ac:dyDescent="0.25">
      <c r="A2" s="2241" t="s">
        <v>383</v>
      </c>
      <c r="B2" s="2241"/>
      <c r="C2" s="2241"/>
      <c r="D2" s="2241"/>
      <c r="E2" s="2241"/>
      <c r="F2" s="2241"/>
      <c r="G2" s="2241"/>
      <c r="H2" s="2241"/>
      <c r="I2" s="2241"/>
      <c r="J2" s="2241"/>
      <c r="K2" s="2241"/>
      <c r="L2" s="2241"/>
      <c r="M2" s="2241"/>
      <c r="N2" s="2241"/>
      <c r="O2" s="2241"/>
      <c r="P2" s="2241"/>
      <c r="Q2" s="2241"/>
      <c r="R2" s="2241"/>
      <c r="S2" s="2241"/>
      <c r="T2" s="2241"/>
      <c r="U2" s="2241"/>
      <c r="V2" s="2241"/>
      <c r="W2" s="2241"/>
      <c r="X2" s="2241"/>
      <c r="Y2" s="2241"/>
    </row>
    <row r="3" spans="1:25" ht="21" customHeight="1" x14ac:dyDescent="0.25">
      <c r="A3" s="2143"/>
      <c r="B3" s="2143"/>
      <c r="C3" s="2143"/>
      <c r="D3" s="2143"/>
      <c r="E3" s="2143"/>
      <c r="F3" s="2143"/>
      <c r="G3" s="2143"/>
      <c r="H3" s="2143"/>
      <c r="I3" s="2143"/>
      <c r="J3" s="2143"/>
      <c r="K3" s="2143"/>
      <c r="L3" s="2143"/>
      <c r="M3" s="2143"/>
      <c r="N3" s="2143"/>
      <c r="O3" s="2143"/>
      <c r="P3" s="2143"/>
      <c r="Q3" s="2143"/>
      <c r="R3" s="2143"/>
      <c r="S3" s="2143"/>
      <c r="T3" s="2242" t="s">
        <v>593</v>
      </c>
      <c r="U3" s="2242"/>
      <c r="V3" s="2242"/>
      <c r="W3" s="2242"/>
      <c r="X3" s="2242"/>
      <c r="Y3" s="2242"/>
    </row>
    <row r="4" spans="1:25" s="2143" customFormat="1" ht="18" customHeight="1" x14ac:dyDescent="0.25">
      <c r="A4" s="2243" t="s">
        <v>25</v>
      </c>
      <c r="B4" s="2243" t="s">
        <v>26</v>
      </c>
      <c r="C4" s="2244" t="s">
        <v>27</v>
      </c>
      <c r="D4" s="2244"/>
      <c r="E4" s="2244" t="s">
        <v>544</v>
      </c>
      <c r="F4" s="2244"/>
      <c r="G4" s="2244" t="s">
        <v>65</v>
      </c>
      <c r="H4" s="2244"/>
      <c r="I4" s="2244" t="s">
        <v>29</v>
      </c>
      <c r="J4" s="2244"/>
      <c r="K4" s="2245" t="s">
        <v>14</v>
      </c>
      <c r="L4" s="2246"/>
      <c r="M4" s="2245" t="s">
        <v>429</v>
      </c>
      <c r="N4" s="2246"/>
      <c r="O4" s="2245" t="s">
        <v>441</v>
      </c>
      <c r="P4" s="2246"/>
      <c r="Q4" s="2245" t="s">
        <v>114</v>
      </c>
      <c r="R4" s="2246"/>
      <c r="S4" s="2244" t="s">
        <v>35</v>
      </c>
      <c r="T4" s="2244"/>
      <c r="U4" s="2245" t="s">
        <v>17</v>
      </c>
      <c r="V4" s="2246"/>
      <c r="W4" s="2247" t="s">
        <v>36</v>
      </c>
      <c r="X4" s="2248"/>
      <c r="Y4" s="2238" t="s">
        <v>30</v>
      </c>
    </row>
    <row r="5" spans="1:25" s="2143" customFormat="1" ht="25.5" customHeight="1" x14ac:dyDescent="0.25">
      <c r="A5" s="2243"/>
      <c r="B5" s="2243"/>
      <c r="C5" s="2145" t="s">
        <v>42</v>
      </c>
      <c r="D5" s="2145" t="s">
        <v>43</v>
      </c>
      <c r="E5" s="2145" t="s">
        <v>42</v>
      </c>
      <c r="F5" s="2145" t="s">
        <v>43</v>
      </c>
      <c r="G5" s="2145" t="s">
        <v>42</v>
      </c>
      <c r="H5" s="2145" t="s">
        <v>43</v>
      </c>
      <c r="I5" s="2145" t="s">
        <v>42</v>
      </c>
      <c r="J5" s="2145" t="s">
        <v>43</v>
      </c>
      <c r="K5" s="2145" t="s">
        <v>42</v>
      </c>
      <c r="L5" s="2145" t="s">
        <v>43</v>
      </c>
      <c r="M5" s="2145" t="s">
        <v>42</v>
      </c>
      <c r="N5" s="2145" t="s">
        <v>43</v>
      </c>
      <c r="O5" s="2145" t="s">
        <v>42</v>
      </c>
      <c r="P5" s="2145" t="s">
        <v>43</v>
      </c>
      <c r="Q5" s="2145" t="s">
        <v>42</v>
      </c>
      <c r="R5" s="2145" t="s">
        <v>43</v>
      </c>
      <c r="S5" s="33" t="s">
        <v>42</v>
      </c>
      <c r="T5" s="33" t="s">
        <v>43</v>
      </c>
      <c r="U5" s="30" t="s">
        <v>42</v>
      </c>
      <c r="V5" s="30" t="s">
        <v>43</v>
      </c>
      <c r="W5" s="30" t="s">
        <v>42</v>
      </c>
      <c r="X5" s="30" t="s">
        <v>43</v>
      </c>
      <c r="Y5" s="2239"/>
    </row>
    <row r="6" spans="1:25" ht="34.5" customHeight="1" x14ac:dyDescent="0.25">
      <c r="A6" s="12">
        <v>1409935200</v>
      </c>
      <c r="B6" s="2144" t="s">
        <v>71</v>
      </c>
      <c r="C6" s="2147">
        <v>40054</v>
      </c>
      <c r="D6" s="2148">
        <f t="shared" ref="D6:D11" si="0">0.9725*C6</f>
        <v>38952.514999999999</v>
      </c>
      <c r="E6" s="2147"/>
      <c r="F6" s="2148">
        <f>19.68*E6</f>
        <v>0</v>
      </c>
      <c r="G6" s="2147"/>
      <c r="H6" s="2148">
        <f t="shared" ref="H6:H11" si="1">28.26*G6</f>
        <v>0</v>
      </c>
      <c r="I6" s="2147"/>
      <c r="J6" s="2148">
        <f>18.82*I6</f>
        <v>0</v>
      </c>
      <c r="K6" s="2147"/>
      <c r="L6" s="2148">
        <f>28.25*K6</f>
        <v>0</v>
      </c>
      <c r="M6" s="2147"/>
      <c r="N6" s="2148">
        <f>M6*47.6525</f>
        <v>0</v>
      </c>
      <c r="O6" s="2147"/>
      <c r="P6" s="2148">
        <f>O6*8.9</f>
        <v>0</v>
      </c>
      <c r="Q6" s="2148"/>
      <c r="R6" s="2148">
        <f>241*Q6</f>
        <v>0</v>
      </c>
      <c r="S6" s="2147"/>
      <c r="T6" s="2147">
        <f>470*S6</f>
        <v>0</v>
      </c>
      <c r="U6" s="2147"/>
      <c r="V6" s="2147">
        <f>332*U6</f>
        <v>0</v>
      </c>
      <c r="W6" s="2147"/>
      <c r="X6" s="19">
        <f>W6*100</f>
        <v>0</v>
      </c>
      <c r="Y6" s="20">
        <f t="shared" ref="Y6:Y12" si="2">D6+F6+H6+J6+L6+N6+P6+R6+T6+V6+X6</f>
        <v>38952.514999999999</v>
      </c>
    </row>
    <row r="7" spans="1:25" ht="36.75" customHeight="1" x14ac:dyDescent="0.25">
      <c r="A7" s="12">
        <v>1984225578</v>
      </c>
      <c r="B7" s="2144" t="s">
        <v>509</v>
      </c>
      <c r="C7" s="2147">
        <v>26317</v>
      </c>
      <c r="D7" s="2148">
        <f t="shared" si="0"/>
        <v>25593.282500000001</v>
      </c>
      <c r="E7" s="2147"/>
      <c r="F7" s="2148">
        <f t="shared" ref="F7:F11" si="3">19.68*E7</f>
        <v>0</v>
      </c>
      <c r="G7" s="2147"/>
      <c r="H7" s="2148">
        <f t="shared" si="1"/>
        <v>0</v>
      </c>
      <c r="I7" s="2147"/>
      <c r="J7" s="2148">
        <f t="shared" ref="J7:J11" si="4">18.82*I7</f>
        <v>0</v>
      </c>
      <c r="K7" s="2147"/>
      <c r="L7" s="2148">
        <f t="shared" ref="L7:L11" si="5">28.25*K7</f>
        <v>0</v>
      </c>
      <c r="M7" s="2147"/>
      <c r="N7" s="2148">
        <f t="shared" ref="N7:N11" si="6">M7*47.6525</f>
        <v>0</v>
      </c>
      <c r="O7" s="2147"/>
      <c r="P7" s="2148">
        <f t="shared" ref="P7:P11" si="7">O7*8.9</f>
        <v>0</v>
      </c>
      <c r="Q7" s="2148"/>
      <c r="R7" s="2148">
        <f t="shared" ref="R7:R11" si="8">241*Q7</f>
        <v>0</v>
      </c>
      <c r="S7" s="2147"/>
      <c r="T7" s="2147">
        <f t="shared" ref="T7:T9" si="9">470*S7</f>
        <v>0</v>
      </c>
      <c r="U7" s="2147"/>
      <c r="V7" s="2147">
        <f t="shared" ref="V7:V11" si="10">332*U7</f>
        <v>0</v>
      </c>
      <c r="W7" s="2147">
        <v>1</v>
      </c>
      <c r="X7" s="19">
        <f t="shared" ref="X7:X11" si="11">W7*100</f>
        <v>100</v>
      </c>
      <c r="Y7" s="20">
        <f t="shared" si="2"/>
        <v>25693.282500000001</v>
      </c>
    </row>
    <row r="8" spans="1:25" ht="35.25" customHeight="1" x14ac:dyDescent="0.25">
      <c r="A8" s="12">
        <v>1967020280</v>
      </c>
      <c r="B8" s="2144" t="s">
        <v>427</v>
      </c>
      <c r="C8" s="2147">
        <v>36201</v>
      </c>
      <c r="D8" s="2148">
        <f t="shared" si="0"/>
        <v>35205.472500000003</v>
      </c>
      <c r="E8" s="2147"/>
      <c r="F8" s="2148">
        <f t="shared" si="3"/>
        <v>0</v>
      </c>
      <c r="G8" s="2147"/>
      <c r="H8" s="2148">
        <f t="shared" si="1"/>
        <v>0</v>
      </c>
      <c r="I8" s="2147"/>
      <c r="J8" s="2148">
        <f t="shared" si="4"/>
        <v>0</v>
      </c>
      <c r="K8" s="2147"/>
      <c r="L8" s="2148">
        <f t="shared" si="5"/>
        <v>0</v>
      </c>
      <c r="M8" s="2147"/>
      <c r="N8" s="2148">
        <f t="shared" si="6"/>
        <v>0</v>
      </c>
      <c r="O8" s="2147"/>
      <c r="P8" s="2148">
        <f t="shared" si="7"/>
        <v>0</v>
      </c>
      <c r="Q8" s="2148"/>
      <c r="R8" s="2148">
        <f t="shared" si="8"/>
        <v>0</v>
      </c>
      <c r="S8" s="2147"/>
      <c r="T8" s="2147">
        <f t="shared" si="9"/>
        <v>0</v>
      </c>
      <c r="U8" s="2147"/>
      <c r="V8" s="2147">
        <f t="shared" si="10"/>
        <v>0</v>
      </c>
      <c r="W8" s="2147"/>
      <c r="X8" s="19">
        <f t="shared" si="11"/>
        <v>0</v>
      </c>
      <c r="Y8" s="20">
        <f t="shared" si="2"/>
        <v>35205.472500000003</v>
      </c>
    </row>
    <row r="9" spans="1:25" ht="38.25" customHeight="1" x14ac:dyDescent="0.25">
      <c r="A9" s="12">
        <v>1984225580</v>
      </c>
      <c r="B9" s="2144" t="s">
        <v>74</v>
      </c>
      <c r="C9" s="2147">
        <v>30935</v>
      </c>
      <c r="D9" s="2148">
        <f t="shared" si="0"/>
        <v>30084.287500000002</v>
      </c>
      <c r="E9" s="2147"/>
      <c r="F9" s="2148">
        <f t="shared" si="3"/>
        <v>0</v>
      </c>
      <c r="G9" s="2147"/>
      <c r="H9" s="2148">
        <f t="shared" si="1"/>
        <v>0</v>
      </c>
      <c r="I9" s="2147"/>
      <c r="J9" s="2148">
        <f t="shared" si="4"/>
        <v>0</v>
      </c>
      <c r="K9" s="2147"/>
      <c r="L9" s="2148">
        <f t="shared" si="5"/>
        <v>0</v>
      </c>
      <c r="M9" s="2147"/>
      <c r="N9" s="2148">
        <f t="shared" si="6"/>
        <v>0</v>
      </c>
      <c r="O9" s="2147"/>
      <c r="P9" s="2148">
        <f t="shared" si="7"/>
        <v>0</v>
      </c>
      <c r="Q9" s="2148"/>
      <c r="R9" s="2148">
        <f t="shared" si="8"/>
        <v>0</v>
      </c>
      <c r="S9" s="2147"/>
      <c r="T9" s="2147">
        <f t="shared" si="9"/>
        <v>0</v>
      </c>
      <c r="U9" s="2147"/>
      <c r="V9" s="2147">
        <f t="shared" si="10"/>
        <v>0</v>
      </c>
      <c r="W9" s="2147"/>
      <c r="X9" s="19">
        <f t="shared" si="11"/>
        <v>0</v>
      </c>
      <c r="Y9" s="20">
        <f t="shared" si="2"/>
        <v>30084.287500000002</v>
      </c>
    </row>
    <row r="10" spans="1:25" ht="35.25" customHeight="1" x14ac:dyDescent="0.25">
      <c r="A10" s="12">
        <v>1409935199</v>
      </c>
      <c r="C10" s="2147"/>
      <c r="D10" s="2148">
        <f t="shared" si="0"/>
        <v>0</v>
      </c>
      <c r="E10" s="2147"/>
      <c r="F10" s="2148">
        <f t="shared" si="3"/>
        <v>0</v>
      </c>
      <c r="G10" s="2147"/>
      <c r="H10" s="2148">
        <f t="shared" si="1"/>
        <v>0</v>
      </c>
      <c r="I10" s="2147"/>
      <c r="J10" s="2148">
        <f t="shared" si="4"/>
        <v>0</v>
      </c>
      <c r="K10" s="2147"/>
      <c r="L10" s="2148">
        <f t="shared" si="5"/>
        <v>0</v>
      </c>
      <c r="M10" s="2147"/>
      <c r="N10" s="2148">
        <f t="shared" si="6"/>
        <v>0</v>
      </c>
      <c r="O10" s="2147"/>
      <c r="P10" s="2148">
        <f t="shared" si="7"/>
        <v>0</v>
      </c>
      <c r="Q10" s="2148"/>
      <c r="R10" s="2148">
        <f t="shared" si="8"/>
        <v>0</v>
      </c>
      <c r="S10" s="2147"/>
      <c r="T10" s="2147">
        <f>470*S10</f>
        <v>0</v>
      </c>
      <c r="U10" s="2147"/>
      <c r="V10" s="2147">
        <f t="shared" si="10"/>
        <v>0</v>
      </c>
      <c r="W10" s="2147"/>
      <c r="X10" s="19">
        <f t="shared" si="11"/>
        <v>0</v>
      </c>
      <c r="Y10" s="20">
        <f t="shared" si="2"/>
        <v>0</v>
      </c>
    </row>
    <row r="11" spans="1:25" ht="37.5" customHeight="1" x14ac:dyDescent="0.25">
      <c r="A11" s="12"/>
      <c r="B11" s="2146"/>
      <c r="C11" s="2147"/>
      <c r="D11" s="2148">
        <f t="shared" si="0"/>
        <v>0</v>
      </c>
      <c r="E11" s="2147"/>
      <c r="F11" s="2148">
        <f t="shared" si="3"/>
        <v>0</v>
      </c>
      <c r="G11" s="2147"/>
      <c r="H11" s="2148">
        <f t="shared" si="1"/>
        <v>0</v>
      </c>
      <c r="I11" s="2147"/>
      <c r="J11" s="2148">
        <f t="shared" si="4"/>
        <v>0</v>
      </c>
      <c r="K11" s="2147"/>
      <c r="L11" s="2148">
        <f t="shared" si="5"/>
        <v>0</v>
      </c>
      <c r="M11" s="2147"/>
      <c r="N11" s="2148">
        <f t="shared" si="6"/>
        <v>0</v>
      </c>
      <c r="O11" s="2147"/>
      <c r="P11" s="2148">
        <f t="shared" si="7"/>
        <v>0</v>
      </c>
      <c r="Q11" s="2148"/>
      <c r="R11" s="2148">
        <f t="shared" si="8"/>
        <v>0</v>
      </c>
      <c r="S11" s="2147"/>
      <c r="T11" s="2147">
        <f>241*S11</f>
        <v>0</v>
      </c>
      <c r="U11" s="2147"/>
      <c r="V11" s="2147">
        <f t="shared" si="10"/>
        <v>0</v>
      </c>
      <c r="W11" s="2147"/>
      <c r="X11" s="19">
        <f t="shared" si="11"/>
        <v>0</v>
      </c>
      <c r="Y11" s="20">
        <f t="shared" si="2"/>
        <v>0</v>
      </c>
    </row>
    <row r="12" spans="1:25" ht="29.25" customHeight="1" x14ac:dyDescent="0.25">
      <c r="A12" s="2235" t="s">
        <v>31</v>
      </c>
      <c r="B12" s="2235"/>
      <c r="C12" s="18">
        <f t="shared" ref="C12:X12" si="12">SUM(C6:C11)</f>
        <v>133507</v>
      </c>
      <c r="D12" s="18">
        <f t="shared" si="12"/>
        <v>129835.55750000001</v>
      </c>
      <c r="E12" s="18">
        <f t="shared" si="12"/>
        <v>0</v>
      </c>
      <c r="F12" s="18">
        <f t="shared" si="12"/>
        <v>0</v>
      </c>
      <c r="G12" s="18">
        <f t="shared" si="12"/>
        <v>0</v>
      </c>
      <c r="H12" s="18">
        <f t="shared" si="12"/>
        <v>0</v>
      </c>
      <c r="I12" s="18">
        <f t="shared" si="12"/>
        <v>0</v>
      </c>
      <c r="J12" s="18">
        <f t="shared" si="12"/>
        <v>0</v>
      </c>
      <c r="K12" s="18">
        <f t="shared" si="12"/>
        <v>0</v>
      </c>
      <c r="L12" s="18">
        <f t="shared" si="12"/>
        <v>0</v>
      </c>
      <c r="M12" s="18">
        <f t="shared" si="12"/>
        <v>0</v>
      </c>
      <c r="N12" s="23">
        <f t="shared" si="12"/>
        <v>0</v>
      </c>
      <c r="O12" s="18">
        <f t="shared" si="12"/>
        <v>0</v>
      </c>
      <c r="P12" s="23">
        <f t="shared" si="12"/>
        <v>0</v>
      </c>
      <c r="Q12" s="23">
        <f t="shared" si="12"/>
        <v>0</v>
      </c>
      <c r="R12" s="23">
        <f>SUM(R6:R11)</f>
        <v>0</v>
      </c>
      <c r="S12" s="23">
        <f>SUM(S6:S11)</f>
        <v>0</v>
      </c>
      <c r="T12" s="18">
        <f t="shared" si="12"/>
        <v>0</v>
      </c>
      <c r="U12" s="18">
        <f t="shared" si="12"/>
        <v>0</v>
      </c>
      <c r="V12" s="18">
        <f t="shared" si="12"/>
        <v>0</v>
      </c>
      <c r="W12" s="18">
        <f t="shared" si="12"/>
        <v>1</v>
      </c>
      <c r="X12" s="18">
        <f t="shared" si="12"/>
        <v>100</v>
      </c>
      <c r="Y12" s="20">
        <f t="shared" si="2"/>
        <v>129935.55750000001</v>
      </c>
    </row>
    <row r="14" spans="1:25" ht="43.5" customHeight="1" x14ac:dyDescent="0.25">
      <c r="A14" s="30" t="s">
        <v>32</v>
      </c>
      <c r="B14" s="2236" t="s">
        <v>27</v>
      </c>
      <c r="C14" s="2236"/>
      <c r="D14" s="30" t="s">
        <v>543</v>
      </c>
      <c r="E14" s="30" t="s">
        <v>65</v>
      </c>
      <c r="F14" s="30" t="s">
        <v>34</v>
      </c>
      <c r="G14" s="30" t="s">
        <v>14</v>
      </c>
      <c r="H14" s="469" t="s">
        <v>173</v>
      </c>
      <c r="I14" s="30" t="s">
        <v>17</v>
      </c>
      <c r="J14" s="2152" t="s">
        <v>174</v>
      </c>
      <c r="K14" s="30" t="s">
        <v>36</v>
      </c>
      <c r="L14" s="2152" t="s">
        <v>403</v>
      </c>
      <c r="M14" s="2152" t="s">
        <v>549</v>
      </c>
      <c r="N14" s="30" t="s">
        <v>442</v>
      </c>
      <c r="O14" s="2152" t="s">
        <v>114</v>
      </c>
      <c r="P14" s="30" t="s">
        <v>70</v>
      </c>
      <c r="Q14" s="2300" t="s">
        <v>479</v>
      </c>
      <c r="R14" s="2301"/>
      <c r="S14" s="2152" t="s">
        <v>401</v>
      </c>
      <c r="T14" s="2235" t="s">
        <v>46</v>
      </c>
      <c r="U14" s="2144" t="s">
        <v>176</v>
      </c>
      <c r="V14" s="2260">
        <v>125655</v>
      </c>
      <c r="W14" s="2268"/>
      <c r="X14" s="2261"/>
    </row>
    <row r="15" spans="1:25" ht="22.5" customHeight="1" x14ac:dyDescent="0.25">
      <c r="A15" s="100" t="s">
        <v>38</v>
      </c>
      <c r="B15" s="2260">
        <v>368135</v>
      </c>
      <c r="C15" s="2261"/>
      <c r="D15" s="2149">
        <v>0</v>
      </c>
      <c r="E15" s="2149">
        <v>0</v>
      </c>
      <c r="F15" s="2149">
        <v>1970</v>
      </c>
      <c r="G15" s="2149">
        <v>350</v>
      </c>
      <c r="H15" s="2149">
        <v>34</v>
      </c>
      <c r="I15" s="2149">
        <v>68</v>
      </c>
      <c r="J15" s="2149"/>
      <c r="K15" s="2149">
        <v>82</v>
      </c>
      <c r="L15" s="2149">
        <v>12</v>
      </c>
      <c r="M15" s="2149">
        <v>0</v>
      </c>
      <c r="N15" s="2149">
        <v>0</v>
      </c>
      <c r="O15" s="2149">
        <v>0</v>
      </c>
      <c r="P15" s="2149">
        <v>100</v>
      </c>
      <c r="Q15" s="2260">
        <v>0</v>
      </c>
      <c r="R15" s="2261"/>
      <c r="S15" s="2144"/>
      <c r="T15" s="2235"/>
      <c r="U15" s="2144" t="s">
        <v>64</v>
      </c>
      <c r="V15" s="2262">
        <v>16414</v>
      </c>
      <c r="W15" s="2262"/>
      <c r="X15" s="2262"/>
    </row>
    <row r="16" spans="1:25" ht="24.75" customHeight="1" x14ac:dyDescent="0.25">
      <c r="A16" s="100" t="s">
        <v>39</v>
      </c>
      <c r="B16" s="2260">
        <v>129937</v>
      </c>
      <c r="C16" s="2261"/>
      <c r="D16" s="2149"/>
      <c r="E16" s="2149">
        <v>500</v>
      </c>
      <c r="F16" s="2149">
        <v>5000</v>
      </c>
      <c r="G16" s="2149"/>
      <c r="H16" s="2149"/>
      <c r="I16" s="2149"/>
      <c r="J16" s="2149"/>
      <c r="K16" s="2149"/>
      <c r="L16" s="2149"/>
      <c r="M16" s="2149"/>
      <c r="N16" s="2149"/>
      <c r="O16" s="2149"/>
      <c r="P16" s="2149"/>
      <c r="Q16" s="2262"/>
      <c r="R16" s="2262"/>
      <c r="S16" s="2149"/>
      <c r="T16" s="2254" t="s">
        <v>55</v>
      </c>
      <c r="U16" s="2254"/>
      <c r="V16" s="2267">
        <f>Y12</f>
        <v>129935.55750000001</v>
      </c>
      <c r="W16" s="2267"/>
      <c r="X16" s="2262"/>
    </row>
    <row r="17" spans="1:25" ht="28.5" customHeight="1" x14ac:dyDescent="0.25">
      <c r="A17" s="101" t="s">
        <v>44</v>
      </c>
      <c r="B17" s="2260"/>
      <c r="C17" s="2261"/>
      <c r="D17" s="2149"/>
      <c r="E17" s="2149"/>
      <c r="F17" s="2149"/>
      <c r="G17" s="2149"/>
      <c r="H17" s="2149"/>
      <c r="I17" s="2149"/>
      <c r="J17" s="2149"/>
      <c r="K17" s="2149"/>
      <c r="L17" s="2149"/>
      <c r="M17" s="2149"/>
      <c r="N17" s="2149"/>
      <c r="O17" s="2149"/>
      <c r="P17" s="2149"/>
      <c r="Q17" s="2225"/>
      <c r="R17" s="2225"/>
      <c r="S17" s="2146"/>
      <c r="T17" s="2294" t="s">
        <v>591</v>
      </c>
      <c r="U17" s="2295"/>
      <c r="V17" s="2296"/>
      <c r="W17" s="2296"/>
      <c r="X17" s="2296"/>
    </row>
    <row r="18" spans="1:25" ht="27" customHeight="1" x14ac:dyDescent="0.25">
      <c r="A18" s="100" t="s">
        <v>40</v>
      </c>
      <c r="B18" s="2264">
        <f>C12</f>
        <v>133507</v>
      </c>
      <c r="C18" s="2261"/>
      <c r="D18" s="2150">
        <f>E12</f>
        <v>0</v>
      </c>
      <c r="E18" s="2150">
        <f>G12</f>
        <v>0</v>
      </c>
      <c r="F18" s="2150">
        <f>I12</f>
        <v>0</v>
      </c>
      <c r="G18" s="2150">
        <f>K12</f>
        <v>0</v>
      </c>
      <c r="H18" s="2149"/>
      <c r="I18" s="2150">
        <f>U12</f>
        <v>0</v>
      </c>
      <c r="J18" s="2149"/>
      <c r="K18" s="2150">
        <f>W12</f>
        <v>1</v>
      </c>
      <c r="L18" s="2149"/>
      <c r="M18" s="2150"/>
      <c r="N18" s="2150">
        <f>O12</f>
        <v>0</v>
      </c>
      <c r="O18" s="2151">
        <f>Q12</f>
        <v>0</v>
      </c>
      <c r="P18" s="2150"/>
      <c r="Q18" s="2262"/>
      <c r="R18" s="2262"/>
      <c r="S18" s="2144"/>
      <c r="T18" s="2254" t="s">
        <v>57</v>
      </c>
      <c r="U18" s="2254"/>
      <c r="V18" s="2262">
        <v>8540</v>
      </c>
      <c r="W18" s="2262"/>
      <c r="X18" s="2262"/>
      <c r="Y18" s="2269"/>
    </row>
    <row r="19" spans="1:25" ht="25.5" customHeight="1" x14ac:dyDescent="0.25">
      <c r="A19" s="100" t="s">
        <v>41</v>
      </c>
      <c r="B19" s="2260">
        <f>B15+B16+B17-B18</f>
        <v>364565</v>
      </c>
      <c r="C19" s="2261"/>
      <c r="D19" s="2149">
        <f>D15+D16+D17-D18</f>
        <v>0</v>
      </c>
      <c r="E19" s="2149">
        <f t="shared" ref="E19:N19" si="13">E15+E16+E17-E18</f>
        <v>500</v>
      </c>
      <c r="F19" s="2149">
        <f t="shared" si="13"/>
        <v>6970</v>
      </c>
      <c r="G19" s="2149">
        <f t="shared" si="13"/>
        <v>350</v>
      </c>
      <c r="H19" s="2149">
        <f t="shared" si="13"/>
        <v>34</v>
      </c>
      <c r="I19" s="2149">
        <f t="shared" si="13"/>
        <v>68</v>
      </c>
      <c r="J19" s="2149">
        <f t="shared" si="13"/>
        <v>0</v>
      </c>
      <c r="K19" s="2149">
        <f t="shared" si="13"/>
        <v>81</v>
      </c>
      <c r="L19" s="2149">
        <f t="shared" si="13"/>
        <v>12</v>
      </c>
      <c r="M19" s="2149">
        <f t="shared" si="13"/>
        <v>0</v>
      </c>
      <c r="N19" s="2149">
        <f t="shared" si="13"/>
        <v>0</v>
      </c>
      <c r="O19" s="2149">
        <f>O15+O16+O17-O18</f>
        <v>0</v>
      </c>
      <c r="P19" s="2149">
        <f t="shared" ref="P19:Q19" si="14">P15+P16+P17-P18</f>
        <v>100</v>
      </c>
      <c r="Q19" s="2260">
        <f t="shared" si="14"/>
        <v>0</v>
      </c>
      <c r="R19" s="2261"/>
      <c r="S19" s="2144">
        <f>S15+S16-S17-S18</f>
        <v>0</v>
      </c>
      <c r="T19" s="2256" t="s">
        <v>48</v>
      </c>
      <c r="U19" s="49" t="s">
        <v>58</v>
      </c>
      <c r="V19" s="2262">
        <v>120000</v>
      </c>
      <c r="W19" s="2262"/>
      <c r="X19" s="2262"/>
      <c r="Y19" s="2269"/>
    </row>
    <row r="20" spans="1:25" ht="23.25" customHeight="1" x14ac:dyDescent="0.25">
      <c r="A20" s="289" t="s">
        <v>187</v>
      </c>
      <c r="B20" s="2286">
        <f>B19*0.9625</f>
        <v>350893.8125</v>
      </c>
      <c r="C20" s="2287"/>
      <c r="D20" s="290">
        <f>D19*19.48</f>
        <v>0</v>
      </c>
      <c r="E20" s="290">
        <f>27.97*E19</f>
        <v>13985</v>
      </c>
      <c r="F20" s="290">
        <f>18.63*F19</f>
        <v>129851.09999999999</v>
      </c>
      <c r="G20" s="290">
        <f>27.9468*G19</f>
        <v>9781.3799999999992</v>
      </c>
      <c r="H20" s="290">
        <f>241*H19</f>
        <v>8194</v>
      </c>
      <c r="I20" s="290">
        <f>323*I19</f>
        <v>21964</v>
      </c>
      <c r="J20" s="290">
        <f>241*J19</f>
        <v>0</v>
      </c>
      <c r="K20" s="290">
        <f>K19*100</f>
        <v>8100</v>
      </c>
      <c r="L20" s="290">
        <f>470*L19</f>
        <v>5640</v>
      </c>
      <c r="M20" s="290">
        <f>470*M19</f>
        <v>0</v>
      </c>
      <c r="N20" s="290">
        <f>N19*8.81</f>
        <v>0</v>
      </c>
      <c r="O20" s="290">
        <f>241*O19</f>
        <v>0</v>
      </c>
      <c r="P20" s="290">
        <f>P19*48.2</f>
        <v>4820</v>
      </c>
      <c r="Q20" s="2286">
        <f>470*Q19</f>
        <v>0</v>
      </c>
      <c r="R20" s="2287"/>
      <c r="S20" s="290">
        <f>341*S19</f>
        <v>0</v>
      </c>
      <c r="T20" s="2257"/>
      <c r="U20" s="49" t="s">
        <v>59</v>
      </c>
      <c r="V20" s="2262"/>
      <c r="W20" s="2262"/>
      <c r="X20" s="2262"/>
      <c r="Y20" s="2269"/>
    </row>
    <row r="21" spans="1:25" ht="32.25" customHeight="1" x14ac:dyDescent="0.25">
      <c r="A21" s="291" t="s">
        <v>186</v>
      </c>
      <c r="B21" s="2302">
        <f>SUM(B20:S20)</f>
        <v>553229.29249999998</v>
      </c>
      <c r="C21" s="2302"/>
      <c r="T21" s="2294" t="s">
        <v>464</v>
      </c>
      <c r="U21" s="2295"/>
      <c r="V21" s="2297"/>
      <c r="W21" s="2298"/>
      <c r="X21" s="2299"/>
      <c r="Y21" s="2269"/>
    </row>
    <row r="22" spans="1:25" ht="35.25" customHeight="1" x14ac:dyDescent="0.25">
      <c r="A22" s="1911"/>
      <c r="B22" s="2288" t="s">
        <v>49</v>
      </c>
      <c r="C22" s="2291">
        <v>120000</v>
      </c>
      <c r="D22" s="2291">
        <v>120000</v>
      </c>
      <c r="E22" s="2291">
        <v>232200</v>
      </c>
      <c r="F22" s="2291">
        <f>C22-D22+E22</f>
        <v>232200</v>
      </c>
      <c r="J22" s="14" t="s">
        <v>139</v>
      </c>
      <c r="T22" s="2251" t="s">
        <v>83</v>
      </c>
      <c r="U22" s="50" t="s">
        <v>60</v>
      </c>
      <c r="V22" s="2262">
        <v>154030</v>
      </c>
      <c r="W22" s="2262"/>
      <c r="X22" s="2262"/>
      <c r="Y22" s="2269"/>
    </row>
    <row r="23" spans="1:25" ht="39.75" customHeight="1" x14ac:dyDescent="0.25">
      <c r="B23" s="2289"/>
      <c r="C23" s="2292"/>
      <c r="D23" s="2292"/>
      <c r="E23" s="2292"/>
      <c r="F23" s="2292"/>
      <c r="K23" s="14" t="s">
        <v>594</v>
      </c>
      <c r="T23" s="2252"/>
      <c r="U23" s="50" t="s">
        <v>61</v>
      </c>
      <c r="V23" s="2262">
        <v>120000</v>
      </c>
      <c r="W23" s="2262"/>
      <c r="X23" s="2262"/>
      <c r="Y23" s="2269"/>
    </row>
    <row r="24" spans="1:25" ht="48" customHeight="1" x14ac:dyDescent="0.25">
      <c r="B24" s="2290"/>
      <c r="C24" s="290" t="s">
        <v>46</v>
      </c>
      <c r="D24" s="290" t="s">
        <v>50</v>
      </c>
      <c r="E24" s="290" t="s">
        <v>51</v>
      </c>
      <c r="F24" s="290" t="s">
        <v>52</v>
      </c>
      <c r="T24" s="2235" t="s">
        <v>47</v>
      </c>
      <c r="U24" s="51" t="s">
        <v>62</v>
      </c>
      <c r="V24" s="2263">
        <f>V14+V16+V17-V18-V19-V20-V22+V23-V21</f>
        <v>93020.557499999995</v>
      </c>
      <c r="W24" s="2263"/>
      <c r="X24" s="2263"/>
      <c r="Y24" s="2269"/>
    </row>
    <row r="25" spans="1:25" ht="40.5" customHeight="1" x14ac:dyDescent="0.25">
      <c r="T25" s="2235"/>
      <c r="U25" s="51" t="s">
        <v>63</v>
      </c>
      <c r="V25" s="2262">
        <f>V15+V22-V23</f>
        <v>50444</v>
      </c>
      <c r="W25" s="2262"/>
      <c r="X25" s="2262"/>
    </row>
    <row r="26" spans="1:25" ht="36" customHeight="1" x14ac:dyDescent="0.25">
      <c r="K26" s="314"/>
    </row>
    <row r="28" spans="1:25" x14ac:dyDescent="0.25">
      <c r="J28" s="14" t="s">
        <v>139</v>
      </c>
    </row>
    <row r="32" spans="1:25" x14ac:dyDescent="0.25">
      <c r="I32" s="2280"/>
      <c r="J32" s="2280"/>
      <c r="K32" s="2280"/>
      <c r="L32" s="2280"/>
    </row>
    <row r="33" spans="9:12" x14ac:dyDescent="0.25">
      <c r="I33" s="2153"/>
      <c r="J33" s="2153"/>
      <c r="K33" s="2280"/>
      <c r="L33" s="2280"/>
    </row>
  </sheetData>
  <mergeCells count="62">
    <mergeCell ref="I32:J32"/>
    <mergeCell ref="K32:L32"/>
    <mergeCell ref="K33:L33"/>
    <mergeCell ref="T22:T23"/>
    <mergeCell ref="V22:X22"/>
    <mergeCell ref="V23:X23"/>
    <mergeCell ref="T24:T25"/>
    <mergeCell ref="V24:X24"/>
    <mergeCell ref="V25:X25"/>
    <mergeCell ref="Y18:Y24"/>
    <mergeCell ref="B19:C19"/>
    <mergeCell ref="Q19:R19"/>
    <mergeCell ref="T19:T20"/>
    <mergeCell ref="V19:X19"/>
    <mergeCell ref="B20:C20"/>
    <mergeCell ref="B22:B24"/>
    <mergeCell ref="C22:C23"/>
    <mergeCell ref="D22:D23"/>
    <mergeCell ref="E22:E23"/>
    <mergeCell ref="F22:F23"/>
    <mergeCell ref="Q20:R20"/>
    <mergeCell ref="V20:X20"/>
    <mergeCell ref="B21:C21"/>
    <mergeCell ref="T21:U21"/>
    <mergeCell ref="V21:X21"/>
    <mergeCell ref="B17:C17"/>
    <mergeCell ref="Q17:R17"/>
    <mergeCell ref="T17:U17"/>
    <mergeCell ref="V17:X17"/>
    <mergeCell ref="B18:C18"/>
    <mergeCell ref="Q18:R18"/>
    <mergeCell ref="T18:U18"/>
    <mergeCell ref="V18:X18"/>
    <mergeCell ref="W4:X4"/>
    <mergeCell ref="B16:C16"/>
    <mergeCell ref="Q16:R16"/>
    <mergeCell ref="T16:U16"/>
    <mergeCell ref="V16:X16"/>
    <mergeCell ref="A12:B12"/>
    <mergeCell ref="B14:C14"/>
    <mergeCell ref="Q14:R14"/>
    <mergeCell ref="T14:T15"/>
    <mergeCell ref="V14:X14"/>
    <mergeCell ref="B15:C15"/>
    <mergeCell ref="Q15:R15"/>
    <mergeCell ref="V15:X15"/>
    <mergeCell ref="A1:Y1"/>
    <mergeCell ref="A2:Y2"/>
    <mergeCell ref="T3:Y3"/>
    <mergeCell ref="A4:A5"/>
    <mergeCell ref="B4:B5"/>
    <mergeCell ref="C4:D4"/>
    <mergeCell ref="E4:F4"/>
    <mergeCell ref="G4:H4"/>
    <mergeCell ref="I4:J4"/>
    <mergeCell ref="K4:L4"/>
    <mergeCell ref="Y4:Y5"/>
    <mergeCell ref="M4:N4"/>
    <mergeCell ref="O4:P4"/>
    <mergeCell ref="Q4:R4"/>
    <mergeCell ref="S4:T4"/>
    <mergeCell ref="U4:V4"/>
  </mergeCells>
  <pageMargins left="0.15748031496063" right="0.15748031496063" top="0" bottom="0" header="0" footer="0"/>
  <pageSetup paperSize="9" scale="46" orientation="landscape" r:id="rId1"/>
</worksheet>
</file>

<file path=xl/worksheets/sheet3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85C7135-54F3-478D-9EFA-4475442ABB02}">
  <sheetPr>
    <pageSetUpPr fitToPage="1"/>
  </sheetPr>
  <dimension ref="A1:Y33"/>
  <sheetViews>
    <sheetView topLeftCell="D5" zoomScale="70" zoomScaleNormal="70" zoomScaleSheetLayoutView="100" zoomScalePageLayoutView="68" workbookViewId="0">
      <selection activeCell="L24" sqref="L24"/>
    </sheetView>
  </sheetViews>
  <sheetFormatPr defaultColWidth="9.140625" defaultRowHeight="15" x14ac:dyDescent="0.25"/>
  <cols>
    <col min="1" max="1" width="18.28515625" style="14" customWidth="1"/>
    <col min="2" max="2" width="10.7109375" style="14" customWidth="1"/>
    <col min="3" max="3" width="12.28515625" style="14" customWidth="1"/>
    <col min="4" max="4" width="13.140625" style="14" bestFit="1" customWidth="1"/>
    <col min="5" max="5" width="12" style="14" customWidth="1"/>
    <col min="6" max="6" width="14" style="14" bestFit="1" customWidth="1"/>
    <col min="7" max="7" width="16" style="14" bestFit="1" customWidth="1"/>
    <col min="8" max="8" width="11" style="14" bestFit="1" customWidth="1"/>
    <col min="9" max="9" width="10.5703125" style="14" bestFit="1" customWidth="1"/>
    <col min="10" max="10" width="10.5703125" style="14" customWidth="1"/>
    <col min="11" max="11" width="10.28515625" style="14" bestFit="1" customWidth="1"/>
    <col min="12" max="12" width="10.42578125" style="14" bestFit="1" customWidth="1"/>
    <col min="13" max="14" width="12" style="14" bestFit="1" customWidth="1"/>
    <col min="15" max="15" width="11" style="14" customWidth="1"/>
    <col min="16" max="16" width="12.85546875" style="14" bestFit="1" customWidth="1"/>
    <col min="17" max="18" width="9.42578125" style="14" customWidth="1"/>
    <col min="19" max="19" width="13.7109375" style="14" customWidth="1"/>
    <col min="20" max="20" width="12.140625" style="14" customWidth="1"/>
    <col min="21" max="21" width="21.7109375" style="14" customWidth="1"/>
    <col min="22" max="22" width="9.85546875" style="14" customWidth="1"/>
    <col min="23" max="23" width="10.140625" style="14" bestFit="1" customWidth="1"/>
    <col min="24" max="24" width="10.28515625" style="14" customWidth="1"/>
    <col min="25" max="25" width="15.7109375" style="14" customWidth="1"/>
    <col min="26" max="16384" width="9.140625" style="14"/>
  </cols>
  <sheetData>
    <row r="1" spans="1:25" ht="46.15" customHeight="1" x14ac:dyDescent="0.25">
      <c r="A1" s="2240" t="s">
        <v>148</v>
      </c>
      <c r="B1" s="2240"/>
      <c r="C1" s="2240"/>
      <c r="D1" s="2240"/>
      <c r="E1" s="2240"/>
      <c r="F1" s="2240"/>
      <c r="G1" s="2240"/>
      <c r="H1" s="2240"/>
      <c r="I1" s="2240"/>
      <c r="J1" s="2240"/>
      <c r="K1" s="2240"/>
      <c r="L1" s="2240"/>
      <c r="M1" s="2240"/>
      <c r="N1" s="2240"/>
      <c r="O1" s="2240"/>
      <c r="P1" s="2240"/>
      <c r="Q1" s="2240"/>
      <c r="R1" s="2240"/>
      <c r="S1" s="2240"/>
      <c r="T1" s="2240"/>
      <c r="U1" s="2240"/>
      <c r="V1" s="2240"/>
      <c r="W1" s="2240"/>
      <c r="X1" s="2240"/>
      <c r="Y1" s="2240"/>
    </row>
    <row r="2" spans="1:25" ht="21.6" customHeight="1" x14ac:dyDescent="0.25">
      <c r="A2" s="2241" t="s">
        <v>383</v>
      </c>
      <c r="B2" s="2241"/>
      <c r="C2" s="2241"/>
      <c r="D2" s="2241"/>
      <c r="E2" s="2241"/>
      <c r="F2" s="2241"/>
      <c r="G2" s="2241"/>
      <c r="H2" s="2241"/>
      <c r="I2" s="2241"/>
      <c r="J2" s="2241"/>
      <c r="K2" s="2241"/>
      <c r="L2" s="2241"/>
      <c r="M2" s="2241"/>
      <c r="N2" s="2241"/>
      <c r="O2" s="2241"/>
      <c r="P2" s="2241"/>
      <c r="Q2" s="2241"/>
      <c r="R2" s="2241"/>
      <c r="S2" s="2241"/>
      <c r="T2" s="2241"/>
      <c r="U2" s="2241"/>
      <c r="V2" s="2241"/>
      <c r="W2" s="2241"/>
      <c r="X2" s="2241"/>
      <c r="Y2" s="2241"/>
    </row>
    <row r="3" spans="1:25" ht="21" customHeight="1" x14ac:dyDescent="0.25">
      <c r="A3" s="2143"/>
      <c r="B3" s="2143"/>
      <c r="C3" s="2143"/>
      <c r="D3" s="2143"/>
      <c r="E3" s="2143"/>
      <c r="F3" s="2143"/>
      <c r="G3" s="2143"/>
      <c r="H3" s="2143"/>
      <c r="I3" s="2143"/>
      <c r="J3" s="2143"/>
      <c r="K3" s="2143"/>
      <c r="L3" s="2143"/>
      <c r="M3" s="2143"/>
      <c r="N3" s="2143"/>
      <c r="O3" s="2143"/>
      <c r="P3" s="2143"/>
      <c r="Q3" s="2143"/>
      <c r="R3" s="2143"/>
      <c r="S3" s="2143"/>
      <c r="T3" s="2242" t="s">
        <v>595</v>
      </c>
      <c r="U3" s="2242"/>
      <c r="V3" s="2242"/>
      <c r="W3" s="2242"/>
      <c r="X3" s="2242"/>
      <c r="Y3" s="2242"/>
    </row>
    <row r="4" spans="1:25" s="2143" customFormat="1" ht="18" customHeight="1" x14ac:dyDescent="0.25">
      <c r="A4" s="2243" t="s">
        <v>25</v>
      </c>
      <c r="B4" s="2243" t="s">
        <v>26</v>
      </c>
      <c r="C4" s="2244" t="s">
        <v>27</v>
      </c>
      <c r="D4" s="2244"/>
      <c r="E4" s="2244" t="s">
        <v>544</v>
      </c>
      <c r="F4" s="2244"/>
      <c r="G4" s="2244" t="s">
        <v>65</v>
      </c>
      <c r="H4" s="2244"/>
      <c r="I4" s="2244" t="s">
        <v>29</v>
      </c>
      <c r="J4" s="2244"/>
      <c r="K4" s="2245" t="s">
        <v>14</v>
      </c>
      <c r="L4" s="2246"/>
      <c r="M4" s="2245" t="s">
        <v>429</v>
      </c>
      <c r="N4" s="2246"/>
      <c r="O4" s="2245" t="s">
        <v>441</v>
      </c>
      <c r="P4" s="2246"/>
      <c r="Q4" s="2245" t="s">
        <v>114</v>
      </c>
      <c r="R4" s="2246"/>
      <c r="S4" s="2244" t="s">
        <v>35</v>
      </c>
      <c r="T4" s="2244"/>
      <c r="U4" s="2245" t="s">
        <v>17</v>
      </c>
      <c r="V4" s="2246"/>
      <c r="W4" s="2247" t="s">
        <v>36</v>
      </c>
      <c r="X4" s="2248"/>
      <c r="Y4" s="2238" t="s">
        <v>30</v>
      </c>
    </row>
    <row r="5" spans="1:25" s="2143" customFormat="1" ht="25.5" customHeight="1" x14ac:dyDescent="0.25">
      <c r="A5" s="2243"/>
      <c r="B5" s="2243"/>
      <c r="C5" s="2145" t="s">
        <v>42</v>
      </c>
      <c r="D5" s="2145" t="s">
        <v>43</v>
      </c>
      <c r="E5" s="2145" t="s">
        <v>42</v>
      </c>
      <c r="F5" s="2145" t="s">
        <v>43</v>
      </c>
      <c r="G5" s="2145" t="s">
        <v>42</v>
      </c>
      <c r="H5" s="2145" t="s">
        <v>43</v>
      </c>
      <c r="I5" s="2145" t="s">
        <v>42</v>
      </c>
      <c r="J5" s="2145" t="s">
        <v>43</v>
      </c>
      <c r="K5" s="2145" t="s">
        <v>42</v>
      </c>
      <c r="L5" s="2145" t="s">
        <v>43</v>
      </c>
      <c r="M5" s="2145" t="s">
        <v>42</v>
      </c>
      <c r="N5" s="2145" t="s">
        <v>43</v>
      </c>
      <c r="O5" s="2145" t="s">
        <v>42</v>
      </c>
      <c r="P5" s="2145" t="s">
        <v>43</v>
      </c>
      <c r="Q5" s="2145" t="s">
        <v>42</v>
      </c>
      <c r="R5" s="2145" t="s">
        <v>43</v>
      </c>
      <c r="S5" s="33" t="s">
        <v>42</v>
      </c>
      <c r="T5" s="33" t="s">
        <v>43</v>
      </c>
      <c r="U5" s="30" t="s">
        <v>42</v>
      </c>
      <c r="V5" s="30" t="s">
        <v>43</v>
      </c>
      <c r="W5" s="30" t="s">
        <v>42</v>
      </c>
      <c r="X5" s="30" t="s">
        <v>43</v>
      </c>
      <c r="Y5" s="2239"/>
    </row>
    <row r="6" spans="1:25" ht="34.5" customHeight="1" x14ac:dyDescent="0.25">
      <c r="A6" s="12">
        <v>1409935200</v>
      </c>
      <c r="B6" s="2144" t="s">
        <v>71</v>
      </c>
      <c r="C6" s="2147">
        <v>38209</v>
      </c>
      <c r="D6" s="2148">
        <f t="shared" ref="D6:D11" si="0">0.9725*C6</f>
        <v>37158.252500000002</v>
      </c>
      <c r="E6" s="2147"/>
      <c r="F6" s="2148">
        <f>19.68*E6</f>
        <v>0</v>
      </c>
      <c r="G6" s="2147"/>
      <c r="H6" s="2148">
        <f t="shared" ref="H6:H11" si="1">28.26*G6</f>
        <v>0</v>
      </c>
      <c r="I6" s="2147">
        <v>310</v>
      </c>
      <c r="J6" s="2148">
        <f>18.82*I6</f>
        <v>5834.2</v>
      </c>
      <c r="K6" s="2147"/>
      <c r="L6" s="2148">
        <f>28.25*K6</f>
        <v>0</v>
      </c>
      <c r="M6" s="2147"/>
      <c r="N6" s="2148">
        <f>M6*47.6525</f>
        <v>0</v>
      </c>
      <c r="O6" s="2147"/>
      <c r="P6" s="2148">
        <f>O6*8.9</f>
        <v>0</v>
      </c>
      <c r="Q6" s="2148"/>
      <c r="R6" s="2148">
        <f>241*Q6</f>
        <v>0</v>
      </c>
      <c r="S6" s="2147"/>
      <c r="T6" s="2147">
        <f>470*S6</f>
        <v>0</v>
      </c>
      <c r="U6" s="2147"/>
      <c r="V6" s="2147">
        <f>332*U6</f>
        <v>0</v>
      </c>
      <c r="W6" s="2147"/>
      <c r="X6" s="19">
        <f>W6*100</f>
        <v>0</v>
      </c>
      <c r="Y6" s="20">
        <f t="shared" ref="Y6:Y12" si="2">D6+F6+H6+J6+L6+N6+P6+R6+T6+V6+X6</f>
        <v>42992.452499999999</v>
      </c>
    </row>
    <row r="7" spans="1:25" ht="36.75" customHeight="1" x14ac:dyDescent="0.25">
      <c r="A7" s="12">
        <v>1984225578</v>
      </c>
      <c r="B7" s="2144" t="s">
        <v>509</v>
      </c>
      <c r="C7" s="2147">
        <v>41402</v>
      </c>
      <c r="D7" s="2148">
        <f t="shared" si="0"/>
        <v>40263.445</v>
      </c>
      <c r="E7" s="2147"/>
      <c r="F7" s="2148">
        <f t="shared" ref="F7:F11" si="3">19.68*E7</f>
        <v>0</v>
      </c>
      <c r="G7" s="2147"/>
      <c r="H7" s="2148">
        <f t="shared" si="1"/>
        <v>0</v>
      </c>
      <c r="I7" s="2147">
        <v>50</v>
      </c>
      <c r="J7" s="2148">
        <f t="shared" ref="J7:J11" si="4">18.82*I7</f>
        <v>941</v>
      </c>
      <c r="K7" s="2147"/>
      <c r="L7" s="2148">
        <f t="shared" ref="L7:L11" si="5">28.25*K7</f>
        <v>0</v>
      </c>
      <c r="M7" s="2147"/>
      <c r="N7" s="2148">
        <f t="shared" ref="N7:N11" si="6">M7*47.6525</f>
        <v>0</v>
      </c>
      <c r="O7" s="2147"/>
      <c r="P7" s="2148">
        <f t="shared" ref="P7:P11" si="7">O7*8.9</f>
        <v>0</v>
      </c>
      <c r="Q7" s="2148"/>
      <c r="R7" s="2148">
        <f t="shared" ref="R7:R11" si="8">241*Q7</f>
        <v>0</v>
      </c>
      <c r="S7" s="2147"/>
      <c r="T7" s="2147">
        <f t="shared" ref="T7:T9" si="9">470*S7</f>
        <v>0</v>
      </c>
      <c r="U7" s="2147"/>
      <c r="V7" s="2147">
        <f t="shared" ref="V7:V11" si="10">332*U7</f>
        <v>0</v>
      </c>
      <c r="W7" s="2147"/>
      <c r="X7" s="19">
        <f t="shared" ref="X7:X11" si="11">W7*100</f>
        <v>0</v>
      </c>
      <c r="Y7" s="20">
        <f t="shared" si="2"/>
        <v>41204.445</v>
      </c>
    </row>
    <row r="8" spans="1:25" ht="35.25" customHeight="1" x14ac:dyDescent="0.25">
      <c r="A8" s="12">
        <v>1967020280</v>
      </c>
      <c r="B8" s="2144" t="s">
        <v>427</v>
      </c>
      <c r="C8" s="2147">
        <v>44309</v>
      </c>
      <c r="D8" s="2148">
        <f t="shared" si="0"/>
        <v>43090.502500000002</v>
      </c>
      <c r="E8" s="2147"/>
      <c r="F8" s="2148">
        <f t="shared" si="3"/>
        <v>0</v>
      </c>
      <c r="G8" s="2147"/>
      <c r="H8" s="2148">
        <f t="shared" si="1"/>
        <v>0</v>
      </c>
      <c r="I8" s="2147">
        <v>470</v>
      </c>
      <c r="J8" s="2148">
        <f t="shared" si="4"/>
        <v>8845.4</v>
      </c>
      <c r="K8" s="2147"/>
      <c r="L8" s="2148">
        <f t="shared" si="5"/>
        <v>0</v>
      </c>
      <c r="M8" s="2147"/>
      <c r="N8" s="2148">
        <f t="shared" si="6"/>
        <v>0</v>
      </c>
      <c r="O8" s="2147"/>
      <c r="P8" s="2148">
        <f t="shared" si="7"/>
        <v>0</v>
      </c>
      <c r="Q8" s="2148"/>
      <c r="R8" s="2148">
        <f t="shared" si="8"/>
        <v>0</v>
      </c>
      <c r="S8" s="2147"/>
      <c r="T8" s="2147">
        <f t="shared" si="9"/>
        <v>0</v>
      </c>
      <c r="U8" s="2147"/>
      <c r="V8" s="2147">
        <f t="shared" si="10"/>
        <v>0</v>
      </c>
      <c r="W8" s="2147"/>
      <c r="X8" s="19">
        <f t="shared" si="11"/>
        <v>0</v>
      </c>
      <c r="Y8" s="20">
        <f t="shared" si="2"/>
        <v>51935.902500000004</v>
      </c>
    </row>
    <row r="9" spans="1:25" ht="38.25" customHeight="1" x14ac:dyDescent="0.25">
      <c r="A9" s="12">
        <v>1984225580</v>
      </c>
      <c r="B9" s="2144" t="s">
        <v>74</v>
      </c>
      <c r="C9" s="2147">
        <v>55154</v>
      </c>
      <c r="D9" s="2148">
        <f t="shared" si="0"/>
        <v>53637.264999999999</v>
      </c>
      <c r="E9" s="2147"/>
      <c r="F9" s="2148">
        <f t="shared" si="3"/>
        <v>0</v>
      </c>
      <c r="G9" s="2147"/>
      <c r="H9" s="2148">
        <f t="shared" si="1"/>
        <v>0</v>
      </c>
      <c r="I9" s="2147">
        <v>620</v>
      </c>
      <c r="J9" s="2148">
        <f t="shared" si="4"/>
        <v>11668.4</v>
      </c>
      <c r="K9" s="2147"/>
      <c r="L9" s="2148">
        <f t="shared" si="5"/>
        <v>0</v>
      </c>
      <c r="M9" s="2147"/>
      <c r="N9" s="2148">
        <f t="shared" si="6"/>
        <v>0</v>
      </c>
      <c r="O9" s="2147"/>
      <c r="P9" s="2148">
        <f t="shared" si="7"/>
        <v>0</v>
      </c>
      <c r="Q9" s="2148"/>
      <c r="R9" s="2148">
        <f t="shared" si="8"/>
        <v>0</v>
      </c>
      <c r="S9" s="2147"/>
      <c r="T9" s="2147">
        <f t="shared" si="9"/>
        <v>0</v>
      </c>
      <c r="U9" s="2147">
        <v>5</v>
      </c>
      <c r="V9" s="2147">
        <f t="shared" si="10"/>
        <v>1660</v>
      </c>
      <c r="W9" s="2147"/>
      <c r="X9" s="19">
        <f t="shared" si="11"/>
        <v>0</v>
      </c>
      <c r="Y9" s="20">
        <f t="shared" si="2"/>
        <v>66965.665000000008</v>
      </c>
    </row>
    <row r="10" spans="1:25" ht="35.25" customHeight="1" x14ac:dyDescent="0.25">
      <c r="A10" s="12">
        <v>1409935199</v>
      </c>
      <c r="C10" s="2147"/>
      <c r="D10" s="2148">
        <f t="shared" si="0"/>
        <v>0</v>
      </c>
      <c r="E10" s="2147"/>
      <c r="F10" s="2148">
        <f t="shared" si="3"/>
        <v>0</v>
      </c>
      <c r="G10" s="2147"/>
      <c r="H10" s="2148">
        <f t="shared" si="1"/>
        <v>0</v>
      </c>
      <c r="I10" s="2147"/>
      <c r="J10" s="2148">
        <f t="shared" si="4"/>
        <v>0</v>
      </c>
      <c r="K10" s="2147"/>
      <c r="L10" s="2148">
        <f t="shared" si="5"/>
        <v>0</v>
      </c>
      <c r="M10" s="2147"/>
      <c r="N10" s="2148">
        <f t="shared" si="6"/>
        <v>0</v>
      </c>
      <c r="O10" s="2147"/>
      <c r="P10" s="2148">
        <f t="shared" si="7"/>
        <v>0</v>
      </c>
      <c r="Q10" s="2148"/>
      <c r="R10" s="2148">
        <f t="shared" si="8"/>
        <v>0</v>
      </c>
      <c r="S10" s="2147"/>
      <c r="T10" s="2147">
        <f>470*S10</f>
        <v>0</v>
      </c>
      <c r="U10" s="2147"/>
      <c r="V10" s="2147">
        <f t="shared" si="10"/>
        <v>0</v>
      </c>
      <c r="W10" s="2147"/>
      <c r="X10" s="19">
        <f t="shared" si="11"/>
        <v>0</v>
      </c>
      <c r="Y10" s="20">
        <f t="shared" si="2"/>
        <v>0</v>
      </c>
    </row>
    <row r="11" spans="1:25" ht="37.5" customHeight="1" x14ac:dyDescent="0.25">
      <c r="A11" s="12"/>
      <c r="B11" s="2146"/>
      <c r="C11" s="2147"/>
      <c r="D11" s="2148">
        <f t="shared" si="0"/>
        <v>0</v>
      </c>
      <c r="E11" s="2147"/>
      <c r="F11" s="2148">
        <f t="shared" si="3"/>
        <v>0</v>
      </c>
      <c r="G11" s="2147"/>
      <c r="H11" s="2148">
        <f t="shared" si="1"/>
        <v>0</v>
      </c>
      <c r="I11" s="2147"/>
      <c r="J11" s="2148">
        <f t="shared" si="4"/>
        <v>0</v>
      </c>
      <c r="K11" s="2147"/>
      <c r="L11" s="2148">
        <f t="shared" si="5"/>
        <v>0</v>
      </c>
      <c r="M11" s="2147"/>
      <c r="N11" s="2148">
        <f t="shared" si="6"/>
        <v>0</v>
      </c>
      <c r="O11" s="2147"/>
      <c r="P11" s="2148">
        <f t="shared" si="7"/>
        <v>0</v>
      </c>
      <c r="Q11" s="2148"/>
      <c r="R11" s="2148">
        <f t="shared" si="8"/>
        <v>0</v>
      </c>
      <c r="S11" s="2147"/>
      <c r="T11" s="2147">
        <f>241*S11</f>
        <v>0</v>
      </c>
      <c r="U11" s="2147"/>
      <c r="V11" s="2147">
        <f t="shared" si="10"/>
        <v>0</v>
      </c>
      <c r="W11" s="2147"/>
      <c r="X11" s="19">
        <f t="shared" si="11"/>
        <v>0</v>
      </c>
      <c r="Y11" s="20">
        <f t="shared" si="2"/>
        <v>0</v>
      </c>
    </row>
    <row r="12" spans="1:25" ht="29.25" customHeight="1" x14ac:dyDescent="0.25">
      <c r="A12" s="2235" t="s">
        <v>31</v>
      </c>
      <c r="B12" s="2235"/>
      <c r="C12" s="18">
        <f t="shared" ref="C12:X12" si="12">SUM(C6:C11)</f>
        <v>179074</v>
      </c>
      <c r="D12" s="18">
        <f t="shared" si="12"/>
        <v>174149.46500000003</v>
      </c>
      <c r="E12" s="18">
        <f t="shared" si="12"/>
        <v>0</v>
      </c>
      <c r="F12" s="18">
        <f t="shared" si="12"/>
        <v>0</v>
      </c>
      <c r="G12" s="18">
        <f t="shared" si="12"/>
        <v>0</v>
      </c>
      <c r="H12" s="18">
        <f t="shared" si="12"/>
        <v>0</v>
      </c>
      <c r="I12" s="18">
        <f t="shared" si="12"/>
        <v>1450</v>
      </c>
      <c r="J12" s="18">
        <f t="shared" si="12"/>
        <v>27289</v>
      </c>
      <c r="K12" s="18">
        <f t="shared" si="12"/>
        <v>0</v>
      </c>
      <c r="L12" s="18">
        <f t="shared" si="12"/>
        <v>0</v>
      </c>
      <c r="M12" s="18">
        <f t="shared" si="12"/>
        <v>0</v>
      </c>
      <c r="N12" s="23">
        <f t="shared" si="12"/>
        <v>0</v>
      </c>
      <c r="O12" s="18">
        <f t="shared" si="12"/>
        <v>0</v>
      </c>
      <c r="P12" s="23">
        <f t="shared" si="12"/>
        <v>0</v>
      </c>
      <c r="Q12" s="23">
        <f t="shared" si="12"/>
        <v>0</v>
      </c>
      <c r="R12" s="23">
        <f>SUM(R6:R11)</f>
        <v>0</v>
      </c>
      <c r="S12" s="23">
        <f>SUM(S6:S11)</f>
        <v>0</v>
      </c>
      <c r="T12" s="18">
        <f t="shared" si="12"/>
        <v>0</v>
      </c>
      <c r="U12" s="18">
        <f t="shared" si="12"/>
        <v>5</v>
      </c>
      <c r="V12" s="18">
        <f t="shared" si="12"/>
        <v>1660</v>
      </c>
      <c r="W12" s="18">
        <f t="shared" si="12"/>
        <v>0</v>
      </c>
      <c r="X12" s="18">
        <f t="shared" si="12"/>
        <v>0</v>
      </c>
      <c r="Y12" s="20">
        <f t="shared" si="2"/>
        <v>203098.46500000003</v>
      </c>
    </row>
    <row r="14" spans="1:25" ht="43.5" customHeight="1" x14ac:dyDescent="0.25">
      <c r="A14" s="30" t="s">
        <v>32</v>
      </c>
      <c r="B14" s="2236" t="s">
        <v>27</v>
      </c>
      <c r="C14" s="2236"/>
      <c r="D14" s="30" t="s">
        <v>543</v>
      </c>
      <c r="E14" s="30" t="s">
        <v>65</v>
      </c>
      <c r="F14" s="30" t="s">
        <v>34</v>
      </c>
      <c r="G14" s="30" t="s">
        <v>14</v>
      </c>
      <c r="H14" s="469" t="s">
        <v>173</v>
      </c>
      <c r="I14" s="30" t="s">
        <v>17</v>
      </c>
      <c r="J14" s="2152" t="s">
        <v>174</v>
      </c>
      <c r="K14" s="30" t="s">
        <v>36</v>
      </c>
      <c r="L14" s="2152" t="s">
        <v>403</v>
      </c>
      <c r="M14" s="2152" t="s">
        <v>549</v>
      </c>
      <c r="N14" s="30" t="s">
        <v>442</v>
      </c>
      <c r="O14" s="2152" t="s">
        <v>114</v>
      </c>
      <c r="P14" s="30" t="s">
        <v>70</v>
      </c>
      <c r="Q14" s="2300" t="s">
        <v>479</v>
      </c>
      <c r="R14" s="2301"/>
      <c r="S14" s="2152" t="s">
        <v>401</v>
      </c>
      <c r="T14" s="2235" t="s">
        <v>46</v>
      </c>
      <c r="U14" s="2144" t="s">
        <v>176</v>
      </c>
      <c r="V14" s="2260">
        <v>93021</v>
      </c>
      <c r="W14" s="2268"/>
      <c r="X14" s="2261"/>
    </row>
    <row r="15" spans="1:25" ht="22.5" customHeight="1" x14ac:dyDescent="0.25">
      <c r="A15" s="100" t="s">
        <v>38</v>
      </c>
      <c r="B15" s="2260">
        <v>364565</v>
      </c>
      <c r="C15" s="2261"/>
      <c r="D15" s="2149">
        <v>0</v>
      </c>
      <c r="E15" s="2149">
        <v>500</v>
      </c>
      <c r="F15" s="2149">
        <v>6970</v>
      </c>
      <c r="G15" s="2149">
        <v>350</v>
      </c>
      <c r="H15" s="2149">
        <v>34</v>
      </c>
      <c r="I15" s="2149">
        <v>68</v>
      </c>
      <c r="J15" s="2149"/>
      <c r="K15" s="2149">
        <v>81</v>
      </c>
      <c r="L15" s="2149">
        <v>12</v>
      </c>
      <c r="M15" s="2149">
        <v>0</v>
      </c>
      <c r="N15" s="2149">
        <v>0</v>
      </c>
      <c r="O15" s="2149">
        <v>0</v>
      </c>
      <c r="P15" s="2149">
        <v>100</v>
      </c>
      <c r="Q15" s="2260">
        <v>0</v>
      </c>
      <c r="R15" s="2261"/>
      <c r="S15" s="2144"/>
      <c r="T15" s="2235"/>
      <c r="U15" s="2144" t="s">
        <v>64</v>
      </c>
      <c r="V15" s="2262">
        <v>50444</v>
      </c>
      <c r="W15" s="2262"/>
      <c r="X15" s="2262"/>
    </row>
    <row r="16" spans="1:25" ht="24.75" customHeight="1" x14ac:dyDescent="0.25">
      <c r="A16" s="100" t="s">
        <v>39</v>
      </c>
      <c r="B16" s="2260">
        <v>299246</v>
      </c>
      <c r="C16" s="2261"/>
      <c r="D16" s="2149"/>
      <c r="E16" s="2149"/>
      <c r="F16" s="2149">
        <v>5000</v>
      </c>
      <c r="G16" s="2149"/>
      <c r="H16" s="2149"/>
      <c r="I16" s="2149">
        <v>25</v>
      </c>
      <c r="J16" s="2149"/>
      <c r="K16" s="2149"/>
      <c r="L16" s="2149"/>
      <c r="M16" s="2149">
        <v>25</v>
      </c>
      <c r="N16" s="2149"/>
      <c r="O16" s="2149"/>
      <c r="P16" s="2149"/>
      <c r="Q16" s="2262"/>
      <c r="R16" s="2262"/>
      <c r="S16" s="2149"/>
      <c r="T16" s="2254" t="s">
        <v>55</v>
      </c>
      <c r="U16" s="2254"/>
      <c r="V16" s="2267">
        <f>Y12</f>
        <v>203098.46500000003</v>
      </c>
      <c r="W16" s="2267"/>
      <c r="X16" s="2262"/>
    </row>
    <row r="17" spans="1:25" ht="28.5" customHeight="1" x14ac:dyDescent="0.25">
      <c r="A17" s="101" t="s">
        <v>44</v>
      </c>
      <c r="B17" s="2260"/>
      <c r="C17" s="2261"/>
      <c r="D17" s="2149"/>
      <c r="E17" s="2149"/>
      <c r="F17" s="2149"/>
      <c r="G17" s="2149"/>
      <c r="H17" s="2149"/>
      <c r="I17" s="2149"/>
      <c r="J17" s="2149"/>
      <c r="K17" s="2149"/>
      <c r="L17" s="2149"/>
      <c r="M17" s="2149"/>
      <c r="N17" s="2149"/>
      <c r="O17" s="2149"/>
      <c r="P17" s="2149"/>
      <c r="Q17" s="2225"/>
      <c r="R17" s="2225"/>
      <c r="S17" s="2146"/>
      <c r="T17" s="2294" t="s">
        <v>589</v>
      </c>
      <c r="U17" s="2295"/>
      <c r="V17" s="2296">
        <v>53000</v>
      </c>
      <c r="W17" s="2296"/>
      <c r="X17" s="2296"/>
    </row>
    <row r="18" spans="1:25" ht="27" customHeight="1" x14ac:dyDescent="0.25">
      <c r="A18" s="100" t="s">
        <v>40</v>
      </c>
      <c r="B18" s="2264">
        <f>C12</f>
        <v>179074</v>
      </c>
      <c r="C18" s="2261"/>
      <c r="D18" s="2150">
        <f>E12</f>
        <v>0</v>
      </c>
      <c r="E18" s="2150">
        <f>G12</f>
        <v>0</v>
      </c>
      <c r="F18" s="2150">
        <f>I12</f>
        <v>1450</v>
      </c>
      <c r="G18" s="2150">
        <f>K12</f>
        <v>0</v>
      </c>
      <c r="H18" s="2149"/>
      <c r="I18" s="2150">
        <f>U12</f>
        <v>5</v>
      </c>
      <c r="J18" s="2149"/>
      <c r="K18" s="2150">
        <f>W12</f>
        <v>0</v>
      </c>
      <c r="L18" s="2149"/>
      <c r="M18" s="2150"/>
      <c r="N18" s="2150">
        <f>O12</f>
        <v>0</v>
      </c>
      <c r="O18" s="2151">
        <f>Q12</f>
        <v>0</v>
      </c>
      <c r="P18" s="2150"/>
      <c r="Q18" s="2262"/>
      <c r="R18" s="2262"/>
      <c r="S18" s="2144"/>
      <c r="T18" s="2254" t="s">
        <v>57</v>
      </c>
      <c r="U18" s="2254"/>
      <c r="V18" s="2262">
        <v>630</v>
      </c>
      <c r="W18" s="2262"/>
      <c r="X18" s="2262"/>
      <c r="Y18" s="2269"/>
    </row>
    <row r="19" spans="1:25" ht="25.5" customHeight="1" x14ac:dyDescent="0.25">
      <c r="A19" s="100" t="s">
        <v>41</v>
      </c>
      <c r="B19" s="2260">
        <f>B15+B16+B17-B18</f>
        <v>484737</v>
      </c>
      <c r="C19" s="2261"/>
      <c r="D19" s="2149">
        <f>D15+D16+D17-D18</f>
        <v>0</v>
      </c>
      <c r="E19" s="2149">
        <f t="shared" ref="E19:N19" si="13">E15+E16+E17-E18</f>
        <v>500</v>
      </c>
      <c r="F19" s="2149">
        <f t="shared" si="13"/>
        <v>10520</v>
      </c>
      <c r="G19" s="2149">
        <f t="shared" si="13"/>
        <v>350</v>
      </c>
      <c r="H19" s="2149">
        <f t="shared" si="13"/>
        <v>34</v>
      </c>
      <c r="I19" s="2149">
        <f t="shared" si="13"/>
        <v>88</v>
      </c>
      <c r="J19" s="2149">
        <f t="shared" si="13"/>
        <v>0</v>
      </c>
      <c r="K19" s="2149">
        <f t="shared" si="13"/>
        <v>81</v>
      </c>
      <c r="L19" s="2149">
        <f t="shared" si="13"/>
        <v>12</v>
      </c>
      <c r="M19" s="2150">
        <f>M15+M16+M17-M18</f>
        <v>25</v>
      </c>
      <c r="N19" s="2149">
        <f t="shared" si="13"/>
        <v>0</v>
      </c>
      <c r="O19" s="2149">
        <f>O15+O16+O17-O18</f>
        <v>0</v>
      </c>
      <c r="P19" s="2149">
        <f t="shared" ref="P19:Q19" si="14">P15+P16+P17-P18</f>
        <v>100</v>
      </c>
      <c r="Q19" s="2260">
        <f t="shared" si="14"/>
        <v>0</v>
      </c>
      <c r="R19" s="2261"/>
      <c r="S19" s="2144">
        <f>S15+S16-S17-S18</f>
        <v>0</v>
      </c>
      <c r="T19" s="2256" t="s">
        <v>48</v>
      </c>
      <c r="U19" s="49" t="s">
        <v>58</v>
      </c>
      <c r="V19" s="2262">
        <v>232200</v>
      </c>
      <c r="W19" s="2262"/>
      <c r="X19" s="2262"/>
      <c r="Y19" s="2269"/>
    </row>
    <row r="20" spans="1:25" ht="23.25" customHeight="1" x14ac:dyDescent="0.25">
      <c r="A20" s="289" t="s">
        <v>187</v>
      </c>
      <c r="B20" s="2286">
        <f>B19*0.9625</f>
        <v>466559.36249999999</v>
      </c>
      <c r="C20" s="2287"/>
      <c r="D20" s="290">
        <f>D19*19.48</f>
        <v>0</v>
      </c>
      <c r="E20" s="290">
        <f>27.97*E19</f>
        <v>13985</v>
      </c>
      <c r="F20" s="290">
        <f>18.63*F19</f>
        <v>195987.59999999998</v>
      </c>
      <c r="G20" s="290">
        <f>27.9468*G19</f>
        <v>9781.3799999999992</v>
      </c>
      <c r="H20" s="290">
        <f>241*H19</f>
        <v>8194</v>
      </c>
      <c r="I20" s="290">
        <f>323*I19</f>
        <v>28424</v>
      </c>
      <c r="J20" s="290">
        <f>241*J19</f>
        <v>0</v>
      </c>
      <c r="K20" s="290">
        <f>K19*100</f>
        <v>8100</v>
      </c>
      <c r="L20" s="290">
        <f>470*L19</f>
        <v>5640</v>
      </c>
      <c r="M20" s="290">
        <f>470*M19</f>
        <v>11750</v>
      </c>
      <c r="N20" s="290">
        <f>N19*8.81</f>
        <v>0</v>
      </c>
      <c r="O20" s="290">
        <f>241*O19</f>
        <v>0</v>
      </c>
      <c r="P20" s="290">
        <f>P19*48.2</f>
        <v>4820</v>
      </c>
      <c r="Q20" s="2286">
        <f>470*Q19</f>
        <v>0</v>
      </c>
      <c r="R20" s="2287"/>
      <c r="S20" s="290">
        <f>341*S19</f>
        <v>0</v>
      </c>
      <c r="T20" s="2257"/>
      <c r="U20" s="49" t="s">
        <v>59</v>
      </c>
      <c r="V20" s="2262">
        <v>126000</v>
      </c>
      <c r="W20" s="2262"/>
      <c r="X20" s="2262"/>
      <c r="Y20" s="2269"/>
    </row>
    <row r="21" spans="1:25" ht="32.25" customHeight="1" x14ac:dyDescent="0.25">
      <c r="A21" s="291" t="s">
        <v>186</v>
      </c>
      <c r="B21" s="2302">
        <f>SUM(B20:S20)</f>
        <v>753241.34249999991</v>
      </c>
      <c r="C21" s="2302"/>
      <c r="T21" s="2294" t="s">
        <v>464</v>
      </c>
      <c r="U21" s="2295"/>
      <c r="V21" s="2297"/>
      <c r="W21" s="2298"/>
      <c r="X21" s="2299"/>
      <c r="Y21" s="2269"/>
    </row>
    <row r="22" spans="1:25" ht="35.25" customHeight="1" x14ac:dyDescent="0.25">
      <c r="A22" s="1911"/>
      <c r="B22" s="2288" t="s">
        <v>49</v>
      </c>
      <c r="C22" s="2291">
        <v>232200</v>
      </c>
      <c r="D22" s="2291">
        <v>232200</v>
      </c>
      <c r="E22" s="2291">
        <v>275000</v>
      </c>
      <c r="F22" s="2291">
        <f>C22-D22+E22</f>
        <v>275000</v>
      </c>
      <c r="J22" s="14" t="s">
        <v>139</v>
      </c>
      <c r="T22" s="2251" t="s">
        <v>83</v>
      </c>
      <c r="U22" s="50" t="s">
        <v>60</v>
      </c>
      <c r="V22" s="2262">
        <v>318640</v>
      </c>
      <c r="W22" s="2262"/>
      <c r="X22" s="2262"/>
      <c r="Y22" s="2269"/>
    </row>
    <row r="23" spans="1:25" ht="39.75" customHeight="1" x14ac:dyDescent="0.25">
      <c r="B23" s="2289"/>
      <c r="C23" s="2292"/>
      <c r="D23" s="2292"/>
      <c r="E23" s="2292"/>
      <c r="F23" s="2292"/>
      <c r="K23" s="14" t="s">
        <v>594</v>
      </c>
      <c r="T23" s="2252"/>
      <c r="U23" s="50" t="s">
        <v>61</v>
      </c>
      <c r="V23" s="2262">
        <v>358200</v>
      </c>
      <c r="W23" s="2262"/>
      <c r="X23" s="2262"/>
      <c r="Y23" s="2269"/>
    </row>
    <row r="24" spans="1:25" ht="48" customHeight="1" x14ac:dyDescent="0.25">
      <c r="B24" s="2290"/>
      <c r="C24" s="290" t="s">
        <v>46</v>
      </c>
      <c r="D24" s="290" t="s">
        <v>50</v>
      </c>
      <c r="E24" s="290" t="s">
        <v>51</v>
      </c>
      <c r="F24" s="290" t="s">
        <v>52</v>
      </c>
      <c r="T24" s="2235" t="s">
        <v>47</v>
      </c>
      <c r="U24" s="51" t="s">
        <v>62</v>
      </c>
      <c r="V24" s="2263">
        <f>V14+V16+V17-V18-V19-V20-V22+V23-V21</f>
        <v>29849.465000000026</v>
      </c>
      <c r="W24" s="2263"/>
      <c r="X24" s="2263"/>
      <c r="Y24" s="2269"/>
    </row>
    <row r="25" spans="1:25" ht="40.5" customHeight="1" x14ac:dyDescent="0.25">
      <c r="T25" s="2235"/>
      <c r="U25" s="51" t="s">
        <v>63</v>
      </c>
      <c r="V25" s="2262">
        <f>V15+V22-V23</f>
        <v>10884</v>
      </c>
      <c r="W25" s="2262"/>
      <c r="X25" s="2262"/>
    </row>
    <row r="26" spans="1:25" ht="36" customHeight="1" x14ac:dyDescent="0.25">
      <c r="K26" s="314"/>
    </row>
    <row r="28" spans="1:25" x14ac:dyDescent="0.25">
      <c r="J28" s="14" t="s">
        <v>139</v>
      </c>
    </row>
    <row r="32" spans="1:25" x14ac:dyDescent="0.25">
      <c r="I32" s="2280"/>
      <c r="J32" s="2280"/>
      <c r="K32" s="2280"/>
      <c r="L32" s="2280"/>
    </row>
    <row r="33" spans="9:12" x14ac:dyDescent="0.25">
      <c r="I33" s="2153"/>
      <c r="J33" s="2153"/>
      <c r="K33" s="2280"/>
      <c r="L33" s="2280"/>
    </row>
  </sheetData>
  <mergeCells count="62">
    <mergeCell ref="I32:J32"/>
    <mergeCell ref="K32:L32"/>
    <mergeCell ref="K33:L33"/>
    <mergeCell ref="T22:T23"/>
    <mergeCell ref="V22:X22"/>
    <mergeCell ref="V23:X23"/>
    <mergeCell ref="T24:T25"/>
    <mergeCell ref="V24:X24"/>
    <mergeCell ref="V25:X25"/>
    <mergeCell ref="Y18:Y24"/>
    <mergeCell ref="B19:C19"/>
    <mergeCell ref="Q19:R19"/>
    <mergeCell ref="T19:T20"/>
    <mergeCell ref="V19:X19"/>
    <mergeCell ref="B20:C20"/>
    <mergeCell ref="B22:B24"/>
    <mergeCell ref="C22:C23"/>
    <mergeCell ref="D22:D23"/>
    <mergeCell ref="E22:E23"/>
    <mergeCell ref="F22:F23"/>
    <mergeCell ref="Q20:R20"/>
    <mergeCell ref="V20:X20"/>
    <mergeCell ref="B21:C21"/>
    <mergeCell ref="T21:U21"/>
    <mergeCell ref="V21:X21"/>
    <mergeCell ref="B17:C17"/>
    <mergeCell ref="Q17:R17"/>
    <mergeCell ref="T17:U17"/>
    <mergeCell ref="V17:X17"/>
    <mergeCell ref="B18:C18"/>
    <mergeCell ref="Q18:R18"/>
    <mergeCell ref="T18:U18"/>
    <mergeCell ref="V18:X18"/>
    <mergeCell ref="W4:X4"/>
    <mergeCell ref="B16:C16"/>
    <mergeCell ref="Q16:R16"/>
    <mergeCell ref="T16:U16"/>
    <mergeCell ref="V16:X16"/>
    <mergeCell ref="A12:B12"/>
    <mergeCell ref="B14:C14"/>
    <mergeCell ref="Q14:R14"/>
    <mergeCell ref="T14:T15"/>
    <mergeCell ref="V14:X14"/>
    <mergeCell ref="B15:C15"/>
    <mergeCell ref="Q15:R15"/>
    <mergeCell ref="V15:X15"/>
    <mergeCell ref="A1:Y1"/>
    <mergeCell ref="A2:Y2"/>
    <mergeCell ref="T3:Y3"/>
    <mergeCell ref="A4:A5"/>
    <mergeCell ref="B4:B5"/>
    <mergeCell ref="C4:D4"/>
    <mergeCell ref="E4:F4"/>
    <mergeCell ref="G4:H4"/>
    <mergeCell ref="I4:J4"/>
    <mergeCell ref="K4:L4"/>
    <mergeCell ref="Y4:Y5"/>
    <mergeCell ref="M4:N4"/>
    <mergeCell ref="O4:P4"/>
    <mergeCell ref="Q4:R4"/>
    <mergeCell ref="S4:T4"/>
    <mergeCell ref="U4:V4"/>
  </mergeCells>
  <pageMargins left="0.15748031496063" right="0.15748031496063" top="0" bottom="0" header="0" footer="0"/>
  <pageSetup paperSize="9" scale="46" orientation="landscape" r:id="rId1"/>
</worksheet>
</file>

<file path=xl/worksheets/sheet3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16AEFCE-4ADD-4F23-BA5F-7E636C2AFC34}">
  <sheetPr>
    <pageSetUpPr fitToPage="1"/>
  </sheetPr>
  <dimension ref="A1:Y33"/>
  <sheetViews>
    <sheetView topLeftCell="D10" zoomScale="70" zoomScaleNormal="70" zoomScaleSheetLayoutView="100" zoomScalePageLayoutView="68" workbookViewId="0">
      <selection activeCell="L24" sqref="L24"/>
    </sheetView>
  </sheetViews>
  <sheetFormatPr defaultColWidth="9.140625" defaultRowHeight="15" x14ac:dyDescent="0.25"/>
  <cols>
    <col min="1" max="1" width="18.28515625" style="14" customWidth="1"/>
    <col min="2" max="2" width="10.7109375" style="14" customWidth="1"/>
    <col min="3" max="3" width="12.28515625" style="14" customWidth="1"/>
    <col min="4" max="4" width="13.140625" style="14" bestFit="1" customWidth="1"/>
    <col min="5" max="5" width="12" style="14" customWidth="1"/>
    <col min="6" max="6" width="14" style="14" bestFit="1" customWidth="1"/>
    <col min="7" max="7" width="16" style="14" bestFit="1" customWidth="1"/>
    <col min="8" max="8" width="11" style="14" bestFit="1" customWidth="1"/>
    <col min="9" max="9" width="10.5703125" style="14" bestFit="1" customWidth="1"/>
    <col min="10" max="10" width="10.5703125" style="14" customWidth="1"/>
    <col min="11" max="11" width="10.28515625" style="14" bestFit="1" customWidth="1"/>
    <col min="12" max="12" width="10.42578125" style="14" bestFit="1" customWidth="1"/>
    <col min="13" max="14" width="12" style="14" bestFit="1" customWidth="1"/>
    <col min="15" max="15" width="11" style="14" customWidth="1"/>
    <col min="16" max="16" width="12.85546875" style="14" bestFit="1" customWidth="1"/>
    <col min="17" max="18" width="9.42578125" style="14" customWidth="1"/>
    <col min="19" max="19" width="13.7109375" style="14" customWidth="1"/>
    <col min="20" max="20" width="12.140625" style="14" customWidth="1"/>
    <col min="21" max="21" width="21.7109375" style="14" customWidth="1"/>
    <col min="22" max="22" width="9.85546875" style="14" customWidth="1"/>
    <col min="23" max="23" width="10.140625" style="14" bestFit="1" customWidth="1"/>
    <col min="24" max="24" width="10.28515625" style="14" customWidth="1"/>
    <col min="25" max="25" width="15.7109375" style="14" customWidth="1"/>
    <col min="26" max="16384" width="9.140625" style="14"/>
  </cols>
  <sheetData>
    <row r="1" spans="1:25" ht="46.15" customHeight="1" x14ac:dyDescent="0.25">
      <c r="A1" s="2240" t="s">
        <v>148</v>
      </c>
      <c r="B1" s="2240"/>
      <c r="C1" s="2240"/>
      <c r="D1" s="2240"/>
      <c r="E1" s="2240"/>
      <c r="F1" s="2240"/>
      <c r="G1" s="2240"/>
      <c r="H1" s="2240"/>
      <c r="I1" s="2240"/>
      <c r="J1" s="2240"/>
      <c r="K1" s="2240"/>
      <c r="L1" s="2240"/>
      <c r="M1" s="2240"/>
      <c r="N1" s="2240"/>
      <c r="O1" s="2240"/>
      <c r="P1" s="2240"/>
      <c r="Q1" s="2240"/>
      <c r="R1" s="2240"/>
      <c r="S1" s="2240"/>
      <c r="T1" s="2240"/>
      <c r="U1" s="2240"/>
      <c r="V1" s="2240"/>
      <c r="W1" s="2240"/>
      <c r="X1" s="2240"/>
      <c r="Y1" s="2240"/>
    </row>
    <row r="2" spans="1:25" ht="21.6" customHeight="1" x14ac:dyDescent="0.25">
      <c r="A2" s="2241" t="s">
        <v>383</v>
      </c>
      <c r="B2" s="2241"/>
      <c r="C2" s="2241"/>
      <c r="D2" s="2241"/>
      <c r="E2" s="2241"/>
      <c r="F2" s="2241"/>
      <c r="G2" s="2241"/>
      <c r="H2" s="2241"/>
      <c r="I2" s="2241"/>
      <c r="J2" s="2241"/>
      <c r="K2" s="2241"/>
      <c r="L2" s="2241"/>
      <c r="M2" s="2241"/>
      <c r="N2" s="2241"/>
      <c r="O2" s="2241"/>
      <c r="P2" s="2241"/>
      <c r="Q2" s="2241"/>
      <c r="R2" s="2241"/>
      <c r="S2" s="2241"/>
      <c r="T2" s="2241"/>
      <c r="U2" s="2241"/>
      <c r="V2" s="2241"/>
      <c r="W2" s="2241"/>
      <c r="X2" s="2241"/>
      <c r="Y2" s="2241"/>
    </row>
    <row r="3" spans="1:25" ht="21" customHeight="1" x14ac:dyDescent="0.25">
      <c r="A3" s="2159"/>
      <c r="B3" s="2159"/>
      <c r="C3" s="2159"/>
      <c r="D3" s="2159"/>
      <c r="E3" s="2159"/>
      <c r="F3" s="2159"/>
      <c r="G3" s="2159"/>
      <c r="H3" s="2159"/>
      <c r="I3" s="2159"/>
      <c r="J3" s="2159"/>
      <c r="K3" s="2159"/>
      <c r="L3" s="2159"/>
      <c r="M3" s="2159"/>
      <c r="N3" s="2159"/>
      <c r="O3" s="2159"/>
      <c r="P3" s="2159"/>
      <c r="Q3" s="2159"/>
      <c r="R3" s="2159"/>
      <c r="S3" s="2159"/>
      <c r="T3" s="2242" t="s">
        <v>596</v>
      </c>
      <c r="U3" s="2242"/>
      <c r="V3" s="2242"/>
      <c r="W3" s="2242"/>
      <c r="X3" s="2242"/>
      <c r="Y3" s="2242"/>
    </row>
    <row r="4" spans="1:25" s="2159" customFormat="1" ht="18" customHeight="1" x14ac:dyDescent="0.25">
      <c r="A4" s="2243" t="s">
        <v>25</v>
      </c>
      <c r="B4" s="2243" t="s">
        <v>26</v>
      </c>
      <c r="C4" s="2244" t="s">
        <v>27</v>
      </c>
      <c r="D4" s="2244"/>
      <c r="E4" s="2244" t="s">
        <v>544</v>
      </c>
      <c r="F4" s="2244"/>
      <c r="G4" s="2244" t="s">
        <v>65</v>
      </c>
      <c r="H4" s="2244"/>
      <c r="I4" s="2244" t="s">
        <v>29</v>
      </c>
      <c r="J4" s="2244"/>
      <c r="K4" s="2245" t="s">
        <v>14</v>
      </c>
      <c r="L4" s="2246"/>
      <c r="M4" s="2245" t="s">
        <v>429</v>
      </c>
      <c r="N4" s="2246"/>
      <c r="O4" s="2245" t="s">
        <v>441</v>
      </c>
      <c r="P4" s="2246"/>
      <c r="Q4" s="2245" t="s">
        <v>114</v>
      </c>
      <c r="R4" s="2246"/>
      <c r="S4" s="2244" t="s">
        <v>35</v>
      </c>
      <c r="T4" s="2244"/>
      <c r="U4" s="2245" t="s">
        <v>17</v>
      </c>
      <c r="V4" s="2246"/>
      <c r="W4" s="2247" t="s">
        <v>36</v>
      </c>
      <c r="X4" s="2248"/>
      <c r="Y4" s="2238" t="s">
        <v>30</v>
      </c>
    </row>
    <row r="5" spans="1:25" s="2159" customFormat="1" ht="25.5" customHeight="1" x14ac:dyDescent="0.25">
      <c r="A5" s="2243"/>
      <c r="B5" s="2243"/>
      <c r="C5" s="2158" t="s">
        <v>42</v>
      </c>
      <c r="D5" s="2158" t="s">
        <v>43</v>
      </c>
      <c r="E5" s="2158" t="s">
        <v>42</v>
      </c>
      <c r="F5" s="2158" t="s">
        <v>43</v>
      </c>
      <c r="G5" s="2158" t="s">
        <v>42</v>
      </c>
      <c r="H5" s="2158" t="s">
        <v>43</v>
      </c>
      <c r="I5" s="2158" t="s">
        <v>42</v>
      </c>
      <c r="J5" s="2158" t="s">
        <v>43</v>
      </c>
      <c r="K5" s="2158" t="s">
        <v>42</v>
      </c>
      <c r="L5" s="2158" t="s">
        <v>43</v>
      </c>
      <c r="M5" s="2158" t="s">
        <v>42</v>
      </c>
      <c r="N5" s="2158" t="s">
        <v>43</v>
      </c>
      <c r="O5" s="2158" t="s">
        <v>42</v>
      </c>
      <c r="P5" s="2158" t="s">
        <v>43</v>
      </c>
      <c r="Q5" s="2158" t="s">
        <v>42</v>
      </c>
      <c r="R5" s="2158" t="s">
        <v>43</v>
      </c>
      <c r="S5" s="33" t="s">
        <v>42</v>
      </c>
      <c r="T5" s="33" t="s">
        <v>43</v>
      </c>
      <c r="U5" s="30" t="s">
        <v>42</v>
      </c>
      <c r="V5" s="30" t="s">
        <v>43</v>
      </c>
      <c r="W5" s="30" t="s">
        <v>42</v>
      </c>
      <c r="X5" s="30" t="s">
        <v>43</v>
      </c>
      <c r="Y5" s="2239"/>
    </row>
    <row r="6" spans="1:25" ht="34.5" customHeight="1" x14ac:dyDescent="0.25">
      <c r="A6" s="12">
        <v>1409935200</v>
      </c>
      <c r="B6" s="2157" t="s">
        <v>71</v>
      </c>
      <c r="C6" s="2155">
        <v>32310</v>
      </c>
      <c r="D6" s="2154">
        <f t="shared" ref="D6:D11" si="0">0.9725*C6</f>
        <v>31421.475000000002</v>
      </c>
      <c r="E6" s="2155"/>
      <c r="F6" s="2154">
        <f>19.68*E6</f>
        <v>0</v>
      </c>
      <c r="G6" s="2155"/>
      <c r="H6" s="2154">
        <f t="shared" ref="H6:H11" si="1">28.26*G6</f>
        <v>0</v>
      </c>
      <c r="I6" s="2155">
        <v>180</v>
      </c>
      <c r="J6" s="2154">
        <f>18.82*I6</f>
        <v>3387.6</v>
      </c>
      <c r="K6" s="2155">
        <v>50</v>
      </c>
      <c r="L6" s="2154">
        <f>28.25*K6</f>
        <v>1412.5</v>
      </c>
      <c r="M6" s="2155"/>
      <c r="N6" s="2154">
        <f>M6*47.6525</f>
        <v>0</v>
      </c>
      <c r="O6" s="2155"/>
      <c r="P6" s="2154">
        <f>O6*8.9</f>
        <v>0</v>
      </c>
      <c r="Q6" s="2154"/>
      <c r="R6" s="2154">
        <f>241*Q6</f>
        <v>0</v>
      </c>
      <c r="S6" s="2155"/>
      <c r="T6" s="2155">
        <f>470*S6</f>
        <v>0</v>
      </c>
      <c r="U6" s="2155"/>
      <c r="V6" s="2155">
        <f>332*U6</f>
        <v>0</v>
      </c>
      <c r="W6" s="2155"/>
      <c r="X6" s="19">
        <f>W6*100</f>
        <v>0</v>
      </c>
      <c r="Y6" s="20">
        <f t="shared" ref="Y6:Y12" si="2">D6+F6+H6+J6+L6+N6+P6+R6+T6+V6+X6</f>
        <v>36221.575000000004</v>
      </c>
    </row>
    <row r="7" spans="1:25" ht="36.75" customHeight="1" x14ac:dyDescent="0.25">
      <c r="A7" s="12">
        <v>1984225578</v>
      </c>
      <c r="B7" s="2157" t="s">
        <v>509</v>
      </c>
      <c r="C7" s="2155">
        <v>29906</v>
      </c>
      <c r="D7" s="2154">
        <f t="shared" si="0"/>
        <v>29083.584999999999</v>
      </c>
      <c r="E7" s="2155"/>
      <c r="F7" s="2154">
        <f t="shared" ref="F7:F11" si="3">19.68*E7</f>
        <v>0</v>
      </c>
      <c r="G7" s="2155"/>
      <c r="H7" s="2154">
        <f t="shared" si="1"/>
        <v>0</v>
      </c>
      <c r="I7" s="2155">
        <v>120</v>
      </c>
      <c r="J7" s="2154">
        <f t="shared" ref="J7:J11" si="4">18.82*I7</f>
        <v>2258.4</v>
      </c>
      <c r="K7" s="2155"/>
      <c r="L7" s="2154">
        <f t="shared" ref="L7:L11" si="5">28.25*K7</f>
        <v>0</v>
      </c>
      <c r="M7" s="2155"/>
      <c r="N7" s="2154">
        <f t="shared" ref="N7:N11" si="6">M7*47.6525</f>
        <v>0</v>
      </c>
      <c r="O7" s="2155"/>
      <c r="P7" s="2154">
        <f t="shared" ref="P7:P11" si="7">O7*8.9</f>
        <v>0</v>
      </c>
      <c r="Q7" s="2154"/>
      <c r="R7" s="2154">
        <f t="shared" ref="R7:R11" si="8">241*Q7</f>
        <v>0</v>
      </c>
      <c r="S7" s="2155"/>
      <c r="T7" s="2155">
        <f t="shared" ref="T7:T9" si="9">470*S7</f>
        <v>0</v>
      </c>
      <c r="U7" s="2155"/>
      <c r="V7" s="2155">
        <f t="shared" ref="V7:V11" si="10">332*U7</f>
        <v>0</v>
      </c>
      <c r="W7" s="2155"/>
      <c r="X7" s="19">
        <f t="shared" ref="X7:X11" si="11">W7*100</f>
        <v>0</v>
      </c>
      <c r="Y7" s="20">
        <f t="shared" si="2"/>
        <v>31341.985000000001</v>
      </c>
    </row>
    <row r="8" spans="1:25" ht="35.25" customHeight="1" x14ac:dyDescent="0.25">
      <c r="A8" s="12">
        <v>1967020280</v>
      </c>
      <c r="B8" s="2157" t="s">
        <v>427</v>
      </c>
      <c r="C8" s="2155">
        <v>25810</v>
      </c>
      <c r="D8" s="2154">
        <f t="shared" si="0"/>
        <v>25100.225000000002</v>
      </c>
      <c r="E8" s="2155"/>
      <c r="F8" s="2154">
        <f t="shared" si="3"/>
        <v>0</v>
      </c>
      <c r="G8" s="2155"/>
      <c r="H8" s="2154">
        <f t="shared" si="1"/>
        <v>0</v>
      </c>
      <c r="I8" s="2155">
        <v>120</v>
      </c>
      <c r="J8" s="2154">
        <f t="shared" si="4"/>
        <v>2258.4</v>
      </c>
      <c r="K8" s="2155">
        <v>30</v>
      </c>
      <c r="L8" s="2154">
        <f t="shared" si="5"/>
        <v>847.5</v>
      </c>
      <c r="M8" s="2155"/>
      <c r="N8" s="2154">
        <f t="shared" si="6"/>
        <v>0</v>
      </c>
      <c r="O8" s="2155"/>
      <c r="P8" s="2154">
        <f t="shared" si="7"/>
        <v>0</v>
      </c>
      <c r="Q8" s="2154"/>
      <c r="R8" s="2154">
        <f t="shared" si="8"/>
        <v>0</v>
      </c>
      <c r="S8" s="2155"/>
      <c r="T8" s="2155">
        <f t="shared" si="9"/>
        <v>0</v>
      </c>
      <c r="U8" s="2155">
        <v>9</v>
      </c>
      <c r="V8" s="2155">
        <f t="shared" si="10"/>
        <v>2988</v>
      </c>
      <c r="W8" s="2155"/>
      <c r="X8" s="19">
        <f t="shared" si="11"/>
        <v>0</v>
      </c>
      <c r="Y8" s="20">
        <f t="shared" si="2"/>
        <v>31194.125000000004</v>
      </c>
    </row>
    <row r="9" spans="1:25" ht="38.25" customHeight="1" x14ac:dyDescent="0.25">
      <c r="A9" s="12">
        <v>1984225580</v>
      </c>
      <c r="B9" s="2157" t="s">
        <v>74</v>
      </c>
      <c r="C9" s="2155">
        <v>32888</v>
      </c>
      <c r="D9" s="2154">
        <f t="shared" si="0"/>
        <v>31983.58</v>
      </c>
      <c r="E9" s="2155"/>
      <c r="F9" s="2154">
        <f t="shared" si="3"/>
        <v>0</v>
      </c>
      <c r="G9" s="2155"/>
      <c r="H9" s="2154">
        <f t="shared" si="1"/>
        <v>0</v>
      </c>
      <c r="I9" s="2155">
        <v>80</v>
      </c>
      <c r="J9" s="2154">
        <f t="shared" si="4"/>
        <v>1505.6</v>
      </c>
      <c r="K9" s="2155">
        <v>60</v>
      </c>
      <c r="L9" s="2154">
        <f t="shared" si="5"/>
        <v>1695</v>
      </c>
      <c r="M9" s="2155"/>
      <c r="N9" s="2154">
        <f t="shared" si="6"/>
        <v>0</v>
      </c>
      <c r="O9" s="2155"/>
      <c r="P9" s="2154">
        <f t="shared" si="7"/>
        <v>0</v>
      </c>
      <c r="Q9" s="2154"/>
      <c r="R9" s="2154">
        <f t="shared" si="8"/>
        <v>0</v>
      </c>
      <c r="S9" s="2155"/>
      <c r="T9" s="2155">
        <f t="shared" si="9"/>
        <v>0</v>
      </c>
      <c r="U9" s="2155"/>
      <c r="V9" s="2155">
        <f t="shared" si="10"/>
        <v>0</v>
      </c>
      <c r="W9" s="2155"/>
      <c r="X9" s="19">
        <f t="shared" si="11"/>
        <v>0</v>
      </c>
      <c r="Y9" s="20">
        <f t="shared" si="2"/>
        <v>35184.18</v>
      </c>
    </row>
    <row r="10" spans="1:25" ht="35.25" customHeight="1" x14ac:dyDescent="0.25">
      <c r="A10" s="12">
        <v>1409935199</v>
      </c>
      <c r="C10" s="2155">
        <v>20566</v>
      </c>
      <c r="D10" s="2154">
        <f t="shared" si="0"/>
        <v>20000.435000000001</v>
      </c>
      <c r="E10" s="2155"/>
      <c r="F10" s="2154">
        <f t="shared" si="3"/>
        <v>0</v>
      </c>
      <c r="G10" s="2155"/>
      <c r="H10" s="2154">
        <f t="shared" si="1"/>
        <v>0</v>
      </c>
      <c r="I10" s="2155"/>
      <c r="J10" s="2154">
        <f t="shared" si="4"/>
        <v>0</v>
      </c>
      <c r="K10" s="2155"/>
      <c r="L10" s="2154">
        <f t="shared" si="5"/>
        <v>0</v>
      </c>
      <c r="M10" s="2155"/>
      <c r="N10" s="2154">
        <f t="shared" si="6"/>
        <v>0</v>
      </c>
      <c r="O10" s="2155"/>
      <c r="P10" s="2154">
        <f t="shared" si="7"/>
        <v>0</v>
      </c>
      <c r="Q10" s="2154"/>
      <c r="R10" s="2154">
        <f t="shared" si="8"/>
        <v>0</v>
      </c>
      <c r="S10" s="2155"/>
      <c r="T10" s="2155">
        <f>470*S10</f>
        <v>0</v>
      </c>
      <c r="U10" s="2155"/>
      <c r="V10" s="2155">
        <f t="shared" si="10"/>
        <v>0</v>
      </c>
      <c r="W10" s="2155"/>
      <c r="X10" s="19">
        <f t="shared" si="11"/>
        <v>0</v>
      </c>
      <c r="Y10" s="20">
        <f t="shared" si="2"/>
        <v>20000.435000000001</v>
      </c>
    </row>
    <row r="11" spans="1:25" ht="37.5" customHeight="1" x14ac:dyDescent="0.25">
      <c r="A11" s="12"/>
      <c r="B11" s="2156"/>
      <c r="C11" s="2155"/>
      <c r="D11" s="2154">
        <f t="shared" si="0"/>
        <v>0</v>
      </c>
      <c r="E11" s="2155"/>
      <c r="F11" s="2154">
        <f t="shared" si="3"/>
        <v>0</v>
      </c>
      <c r="G11" s="2155"/>
      <c r="H11" s="2154">
        <f t="shared" si="1"/>
        <v>0</v>
      </c>
      <c r="I11" s="2155"/>
      <c r="J11" s="2154">
        <f t="shared" si="4"/>
        <v>0</v>
      </c>
      <c r="K11" s="2155"/>
      <c r="L11" s="2154">
        <f t="shared" si="5"/>
        <v>0</v>
      </c>
      <c r="M11" s="2155"/>
      <c r="N11" s="2154">
        <f t="shared" si="6"/>
        <v>0</v>
      </c>
      <c r="O11" s="2155"/>
      <c r="P11" s="2154">
        <f t="shared" si="7"/>
        <v>0</v>
      </c>
      <c r="Q11" s="2154"/>
      <c r="R11" s="2154">
        <f t="shared" si="8"/>
        <v>0</v>
      </c>
      <c r="S11" s="2155"/>
      <c r="T11" s="2155">
        <f>241*S11</f>
        <v>0</v>
      </c>
      <c r="U11" s="2155"/>
      <c r="V11" s="2155">
        <f t="shared" si="10"/>
        <v>0</v>
      </c>
      <c r="W11" s="2155"/>
      <c r="X11" s="19">
        <f t="shared" si="11"/>
        <v>0</v>
      </c>
      <c r="Y11" s="20">
        <f t="shared" si="2"/>
        <v>0</v>
      </c>
    </row>
    <row r="12" spans="1:25" ht="29.25" customHeight="1" x14ac:dyDescent="0.25">
      <c r="A12" s="2235" t="s">
        <v>31</v>
      </c>
      <c r="B12" s="2235"/>
      <c r="C12" s="18">
        <f t="shared" ref="C12:X12" si="12">SUM(C6:C11)</f>
        <v>141480</v>
      </c>
      <c r="D12" s="18">
        <f t="shared" si="12"/>
        <v>137589.30000000002</v>
      </c>
      <c r="E12" s="18">
        <f t="shared" si="12"/>
        <v>0</v>
      </c>
      <c r="F12" s="18">
        <f t="shared" si="12"/>
        <v>0</v>
      </c>
      <c r="G12" s="18">
        <f t="shared" si="12"/>
        <v>0</v>
      </c>
      <c r="H12" s="18">
        <f t="shared" si="12"/>
        <v>0</v>
      </c>
      <c r="I12" s="18">
        <f t="shared" si="12"/>
        <v>500</v>
      </c>
      <c r="J12" s="18">
        <f t="shared" si="12"/>
        <v>9410</v>
      </c>
      <c r="K12" s="18">
        <f t="shared" si="12"/>
        <v>140</v>
      </c>
      <c r="L12" s="18">
        <f t="shared" si="12"/>
        <v>3955</v>
      </c>
      <c r="M12" s="18">
        <f t="shared" si="12"/>
        <v>0</v>
      </c>
      <c r="N12" s="23">
        <f t="shared" si="12"/>
        <v>0</v>
      </c>
      <c r="O12" s="18">
        <f t="shared" si="12"/>
        <v>0</v>
      </c>
      <c r="P12" s="23">
        <f t="shared" si="12"/>
        <v>0</v>
      </c>
      <c r="Q12" s="23">
        <f t="shared" si="12"/>
        <v>0</v>
      </c>
      <c r="R12" s="23">
        <f>SUM(R6:R11)</f>
        <v>0</v>
      </c>
      <c r="S12" s="23">
        <f>SUM(S6:S11)</f>
        <v>0</v>
      </c>
      <c r="T12" s="18">
        <f t="shared" si="12"/>
        <v>0</v>
      </c>
      <c r="U12" s="18">
        <f t="shared" si="12"/>
        <v>9</v>
      </c>
      <c r="V12" s="18">
        <f t="shared" si="12"/>
        <v>2988</v>
      </c>
      <c r="W12" s="18">
        <f t="shared" si="12"/>
        <v>0</v>
      </c>
      <c r="X12" s="18">
        <f t="shared" si="12"/>
        <v>0</v>
      </c>
      <c r="Y12" s="20">
        <f t="shared" si="2"/>
        <v>153942.30000000002</v>
      </c>
    </row>
    <row r="14" spans="1:25" ht="43.5" customHeight="1" x14ac:dyDescent="0.25">
      <c r="A14" s="30" t="s">
        <v>32</v>
      </c>
      <c r="B14" s="2236" t="s">
        <v>27</v>
      </c>
      <c r="C14" s="2236"/>
      <c r="D14" s="30" t="s">
        <v>543</v>
      </c>
      <c r="E14" s="30" t="s">
        <v>65</v>
      </c>
      <c r="F14" s="30" t="s">
        <v>34</v>
      </c>
      <c r="G14" s="30" t="s">
        <v>14</v>
      </c>
      <c r="H14" s="469" t="s">
        <v>173</v>
      </c>
      <c r="I14" s="30" t="s">
        <v>17</v>
      </c>
      <c r="J14" s="2163" t="s">
        <v>174</v>
      </c>
      <c r="K14" s="30" t="s">
        <v>36</v>
      </c>
      <c r="L14" s="2163" t="s">
        <v>403</v>
      </c>
      <c r="M14" s="2163" t="s">
        <v>549</v>
      </c>
      <c r="N14" s="30" t="s">
        <v>442</v>
      </c>
      <c r="O14" s="2163" t="s">
        <v>114</v>
      </c>
      <c r="P14" s="30" t="s">
        <v>70</v>
      </c>
      <c r="Q14" s="2300" t="s">
        <v>479</v>
      </c>
      <c r="R14" s="2301"/>
      <c r="S14" s="2163" t="s">
        <v>401</v>
      </c>
      <c r="T14" s="2235" t="s">
        <v>46</v>
      </c>
      <c r="U14" s="2157" t="s">
        <v>176</v>
      </c>
      <c r="V14" s="2260">
        <v>29849</v>
      </c>
      <c r="W14" s="2268"/>
      <c r="X14" s="2261"/>
    </row>
    <row r="15" spans="1:25" ht="22.5" customHeight="1" x14ac:dyDescent="0.25">
      <c r="A15" s="100" t="s">
        <v>38</v>
      </c>
      <c r="B15" s="2260">
        <v>484737</v>
      </c>
      <c r="C15" s="2261"/>
      <c r="D15" s="2160">
        <v>0</v>
      </c>
      <c r="E15" s="2160">
        <v>500</v>
      </c>
      <c r="F15" s="2160">
        <v>10520</v>
      </c>
      <c r="G15" s="2160">
        <v>350</v>
      </c>
      <c r="H15" s="2160">
        <v>34</v>
      </c>
      <c r="I15" s="2160">
        <v>88</v>
      </c>
      <c r="J15" s="2160"/>
      <c r="K15" s="2160">
        <v>81</v>
      </c>
      <c r="L15" s="2160">
        <v>12</v>
      </c>
      <c r="M15" s="2160">
        <v>25</v>
      </c>
      <c r="N15" s="2160">
        <v>0</v>
      </c>
      <c r="O15" s="2160">
        <v>0</v>
      </c>
      <c r="P15" s="2160">
        <v>100</v>
      </c>
      <c r="Q15" s="2260">
        <v>0</v>
      </c>
      <c r="R15" s="2261"/>
      <c r="S15" s="2157"/>
      <c r="T15" s="2235"/>
      <c r="U15" s="2157" t="s">
        <v>64</v>
      </c>
      <c r="V15" s="2262">
        <v>10884</v>
      </c>
      <c r="W15" s="2262"/>
      <c r="X15" s="2262"/>
    </row>
    <row r="16" spans="1:25" ht="24.75" customHeight="1" x14ac:dyDescent="0.25">
      <c r="A16" s="100" t="s">
        <v>39</v>
      </c>
      <c r="B16" s="2260"/>
      <c r="C16" s="2261"/>
      <c r="D16" s="2160"/>
      <c r="E16" s="2160"/>
      <c r="F16" s="2160"/>
      <c r="G16" s="2160"/>
      <c r="H16" s="2160"/>
      <c r="I16" s="2160"/>
      <c r="J16" s="2160"/>
      <c r="K16" s="2160"/>
      <c r="L16" s="2160"/>
      <c r="M16" s="2160"/>
      <c r="N16" s="2160"/>
      <c r="O16" s="2160"/>
      <c r="P16" s="2160"/>
      <c r="Q16" s="2262"/>
      <c r="R16" s="2262"/>
      <c r="S16" s="2160"/>
      <c r="T16" s="2254" t="s">
        <v>55</v>
      </c>
      <c r="U16" s="2254"/>
      <c r="V16" s="2267">
        <f>Y12</f>
        <v>153942.30000000002</v>
      </c>
      <c r="W16" s="2267"/>
      <c r="X16" s="2262"/>
    </row>
    <row r="17" spans="1:25" ht="28.5" customHeight="1" x14ac:dyDescent="0.25">
      <c r="A17" s="101" t="s">
        <v>44</v>
      </c>
      <c r="B17" s="2260"/>
      <c r="C17" s="2261"/>
      <c r="D17" s="2160"/>
      <c r="E17" s="2160"/>
      <c r="F17" s="2160"/>
      <c r="G17" s="2160"/>
      <c r="H17" s="2160"/>
      <c r="I17" s="2160"/>
      <c r="J17" s="2160"/>
      <c r="K17" s="2160"/>
      <c r="L17" s="2160"/>
      <c r="M17" s="2160"/>
      <c r="N17" s="2160"/>
      <c r="O17" s="2160"/>
      <c r="P17" s="2160"/>
      <c r="Q17" s="2225"/>
      <c r="R17" s="2225"/>
      <c r="S17" s="2156"/>
      <c r="T17" s="2294" t="s">
        <v>521</v>
      </c>
      <c r="U17" s="2295"/>
      <c r="V17" s="2296"/>
      <c r="W17" s="2296"/>
      <c r="X17" s="2296"/>
    </row>
    <row r="18" spans="1:25" ht="27" customHeight="1" x14ac:dyDescent="0.25">
      <c r="A18" s="100" t="s">
        <v>40</v>
      </c>
      <c r="B18" s="2264">
        <f>C12</f>
        <v>141480</v>
      </c>
      <c r="C18" s="2261"/>
      <c r="D18" s="2162">
        <f>E12</f>
        <v>0</v>
      </c>
      <c r="E18" s="2162">
        <f>G12</f>
        <v>0</v>
      </c>
      <c r="F18" s="2162">
        <f>I12</f>
        <v>500</v>
      </c>
      <c r="G18" s="2162">
        <f>K12</f>
        <v>140</v>
      </c>
      <c r="H18" s="2160"/>
      <c r="I18" s="2162">
        <f>U12</f>
        <v>9</v>
      </c>
      <c r="J18" s="2160"/>
      <c r="K18" s="2162">
        <f>W12</f>
        <v>0</v>
      </c>
      <c r="L18" s="2160"/>
      <c r="M18" s="2162"/>
      <c r="N18" s="2162">
        <f>O12</f>
        <v>0</v>
      </c>
      <c r="O18" s="2161">
        <f>Q12</f>
        <v>0</v>
      </c>
      <c r="P18" s="2162"/>
      <c r="Q18" s="2262"/>
      <c r="R18" s="2262"/>
      <c r="S18" s="2157"/>
      <c r="T18" s="2254" t="s">
        <v>57</v>
      </c>
      <c r="U18" s="2254"/>
      <c r="V18" s="2262">
        <v>7020</v>
      </c>
      <c r="W18" s="2262"/>
      <c r="X18" s="2262"/>
      <c r="Y18" s="2269"/>
    </row>
    <row r="19" spans="1:25" ht="25.5" customHeight="1" x14ac:dyDescent="0.25">
      <c r="A19" s="100" t="s">
        <v>41</v>
      </c>
      <c r="B19" s="2260">
        <f>B15+B16+B17-B18</f>
        <v>343257</v>
      </c>
      <c r="C19" s="2261"/>
      <c r="D19" s="2160">
        <f>D15+D16+D17-D18</f>
        <v>0</v>
      </c>
      <c r="E19" s="2160">
        <f t="shared" ref="E19:N19" si="13">E15+E16+E17-E18</f>
        <v>500</v>
      </c>
      <c r="F19" s="2160">
        <f t="shared" si="13"/>
        <v>10020</v>
      </c>
      <c r="G19" s="2160">
        <f t="shared" si="13"/>
        <v>210</v>
      </c>
      <c r="H19" s="2160">
        <f t="shared" si="13"/>
        <v>34</v>
      </c>
      <c r="I19" s="2160">
        <f t="shared" si="13"/>
        <v>79</v>
      </c>
      <c r="J19" s="2160">
        <f t="shared" si="13"/>
        <v>0</v>
      </c>
      <c r="K19" s="2160">
        <f t="shared" si="13"/>
        <v>81</v>
      </c>
      <c r="L19" s="2160">
        <f t="shared" si="13"/>
        <v>12</v>
      </c>
      <c r="M19" s="2162">
        <f>M15+M16+M17-M18</f>
        <v>25</v>
      </c>
      <c r="N19" s="2160">
        <f t="shared" si="13"/>
        <v>0</v>
      </c>
      <c r="O19" s="2160">
        <f>O15+O16+O17-O18</f>
        <v>0</v>
      </c>
      <c r="P19" s="2160">
        <f t="shared" ref="P19:Q19" si="14">P15+P16+P17-P18</f>
        <v>100</v>
      </c>
      <c r="Q19" s="2260">
        <f t="shared" si="14"/>
        <v>0</v>
      </c>
      <c r="R19" s="2261"/>
      <c r="S19" s="2157">
        <f>S15+S16-S17-S18</f>
        <v>0</v>
      </c>
      <c r="T19" s="2256" t="s">
        <v>48</v>
      </c>
      <c r="U19" s="49" t="s">
        <v>58</v>
      </c>
      <c r="V19" s="2262"/>
      <c r="W19" s="2262"/>
      <c r="X19" s="2262"/>
      <c r="Y19" s="2269"/>
    </row>
    <row r="20" spans="1:25" ht="23.25" customHeight="1" x14ac:dyDescent="0.25">
      <c r="A20" s="289" t="s">
        <v>187</v>
      </c>
      <c r="B20" s="2286">
        <f>B19*0.9625</f>
        <v>330384.86249999999</v>
      </c>
      <c r="C20" s="2287"/>
      <c r="D20" s="290">
        <f>D19*19.48</f>
        <v>0</v>
      </c>
      <c r="E20" s="290">
        <f>27.97*E19</f>
        <v>13985</v>
      </c>
      <c r="F20" s="290">
        <f>18.63*F19</f>
        <v>186672.59999999998</v>
      </c>
      <c r="G20" s="290">
        <f>27.9468*G19</f>
        <v>5868.8279999999995</v>
      </c>
      <c r="H20" s="290">
        <f>241*H19</f>
        <v>8194</v>
      </c>
      <c r="I20" s="290">
        <f>323*I19</f>
        <v>25517</v>
      </c>
      <c r="J20" s="290">
        <f>241*J19</f>
        <v>0</v>
      </c>
      <c r="K20" s="290">
        <f>K19*100</f>
        <v>8100</v>
      </c>
      <c r="L20" s="290">
        <f>470*L19</f>
        <v>5640</v>
      </c>
      <c r="M20" s="290">
        <f>470*M19</f>
        <v>11750</v>
      </c>
      <c r="N20" s="290">
        <f>N19*8.81</f>
        <v>0</v>
      </c>
      <c r="O20" s="290">
        <f>241*O19</f>
        <v>0</v>
      </c>
      <c r="P20" s="290">
        <f>P19*48.2</f>
        <v>4820</v>
      </c>
      <c r="Q20" s="2286">
        <f>470*Q19</f>
        <v>0</v>
      </c>
      <c r="R20" s="2287"/>
      <c r="S20" s="290">
        <f>341*S19</f>
        <v>0</v>
      </c>
      <c r="T20" s="2257"/>
      <c r="U20" s="49" t="s">
        <v>59</v>
      </c>
      <c r="V20" s="2262"/>
      <c r="W20" s="2262"/>
      <c r="X20" s="2262"/>
      <c r="Y20" s="2269"/>
    </row>
    <row r="21" spans="1:25" ht="32.25" customHeight="1" x14ac:dyDescent="0.25">
      <c r="A21" s="291" t="s">
        <v>186</v>
      </c>
      <c r="B21" s="2302">
        <f>SUM(B20:S20)</f>
        <v>600932.29049999989</v>
      </c>
      <c r="C21" s="2302"/>
      <c r="T21" s="2294" t="s">
        <v>464</v>
      </c>
      <c r="U21" s="2295"/>
      <c r="V21" s="2297"/>
      <c r="W21" s="2298"/>
      <c r="X21" s="2299"/>
      <c r="Y21" s="2269"/>
    </row>
    <row r="22" spans="1:25" ht="35.25" customHeight="1" x14ac:dyDescent="0.25">
      <c r="A22" s="1911"/>
      <c r="B22" s="2288" t="s">
        <v>49</v>
      </c>
      <c r="C22" s="2291">
        <v>275000</v>
      </c>
      <c r="D22" s="2291"/>
      <c r="E22" s="2291"/>
      <c r="F22" s="2291">
        <f>C22-D22+E22</f>
        <v>275000</v>
      </c>
      <c r="J22" s="14" t="s">
        <v>139</v>
      </c>
      <c r="T22" s="2251" t="s">
        <v>83</v>
      </c>
      <c r="U22" s="50" t="s">
        <v>60</v>
      </c>
      <c r="V22" s="2262"/>
      <c r="W22" s="2262"/>
      <c r="X22" s="2262"/>
      <c r="Y22" s="2269"/>
    </row>
    <row r="23" spans="1:25" ht="39.75" customHeight="1" x14ac:dyDescent="0.25">
      <c r="B23" s="2289"/>
      <c r="C23" s="2292"/>
      <c r="D23" s="2292"/>
      <c r="E23" s="2292"/>
      <c r="F23" s="2292"/>
      <c r="K23" s="14" t="s">
        <v>594</v>
      </c>
      <c r="T23" s="2252"/>
      <c r="U23" s="50" t="s">
        <v>61</v>
      </c>
      <c r="V23" s="2262"/>
      <c r="W23" s="2262"/>
      <c r="X23" s="2262"/>
      <c r="Y23" s="2269"/>
    </row>
    <row r="24" spans="1:25" ht="48" customHeight="1" x14ac:dyDescent="0.25">
      <c r="B24" s="2290"/>
      <c r="C24" s="290" t="s">
        <v>46</v>
      </c>
      <c r="D24" s="290" t="s">
        <v>50</v>
      </c>
      <c r="E24" s="290" t="s">
        <v>51</v>
      </c>
      <c r="F24" s="290" t="s">
        <v>52</v>
      </c>
      <c r="T24" s="2235" t="s">
        <v>47</v>
      </c>
      <c r="U24" s="51" t="s">
        <v>62</v>
      </c>
      <c r="V24" s="2263">
        <f>V14+V16+V17-V18-V19-V20-V22+V23-V21</f>
        <v>176771.30000000002</v>
      </c>
      <c r="W24" s="2263"/>
      <c r="X24" s="2263"/>
      <c r="Y24" s="2269"/>
    </row>
    <row r="25" spans="1:25" ht="40.5" customHeight="1" x14ac:dyDescent="0.25">
      <c r="T25" s="2235"/>
      <c r="U25" s="51" t="s">
        <v>63</v>
      </c>
      <c r="V25" s="2262">
        <f>V15+V22-V23</f>
        <v>10884</v>
      </c>
      <c r="W25" s="2262"/>
      <c r="X25" s="2262"/>
    </row>
    <row r="26" spans="1:25" ht="36" customHeight="1" x14ac:dyDescent="0.25">
      <c r="K26" s="314"/>
    </row>
    <row r="28" spans="1:25" x14ac:dyDescent="0.25">
      <c r="J28" s="14" t="s">
        <v>139</v>
      </c>
    </row>
    <row r="32" spans="1:25" x14ac:dyDescent="0.25">
      <c r="I32" s="2280"/>
      <c r="J32" s="2280"/>
      <c r="K32" s="2280"/>
      <c r="L32" s="2280"/>
    </row>
    <row r="33" spans="9:12" x14ac:dyDescent="0.25">
      <c r="I33" s="2164"/>
      <c r="J33" s="2164"/>
      <c r="K33" s="2280"/>
      <c r="L33" s="2280"/>
    </row>
  </sheetData>
  <mergeCells count="62">
    <mergeCell ref="A1:Y1"/>
    <mergeCell ref="A2:Y2"/>
    <mergeCell ref="T3:Y3"/>
    <mergeCell ref="A4:A5"/>
    <mergeCell ref="B4:B5"/>
    <mergeCell ref="C4:D4"/>
    <mergeCell ref="E4:F4"/>
    <mergeCell ref="G4:H4"/>
    <mergeCell ref="I4:J4"/>
    <mergeCell ref="K4:L4"/>
    <mergeCell ref="Y4:Y5"/>
    <mergeCell ref="M4:N4"/>
    <mergeCell ref="O4:P4"/>
    <mergeCell ref="Q4:R4"/>
    <mergeCell ref="S4:T4"/>
    <mergeCell ref="U4:V4"/>
    <mergeCell ref="W4:X4"/>
    <mergeCell ref="B16:C16"/>
    <mergeCell ref="Q16:R16"/>
    <mergeCell ref="T16:U16"/>
    <mergeCell ref="V16:X16"/>
    <mergeCell ref="A12:B12"/>
    <mergeCell ref="B14:C14"/>
    <mergeCell ref="Q14:R14"/>
    <mergeCell ref="T14:T15"/>
    <mergeCell ref="V14:X14"/>
    <mergeCell ref="B15:C15"/>
    <mergeCell ref="Q15:R15"/>
    <mergeCell ref="V15:X15"/>
    <mergeCell ref="B17:C17"/>
    <mergeCell ref="Q17:R17"/>
    <mergeCell ref="T17:U17"/>
    <mergeCell ref="V17:X17"/>
    <mergeCell ref="B18:C18"/>
    <mergeCell ref="Q18:R18"/>
    <mergeCell ref="T18:U18"/>
    <mergeCell ref="V18:X18"/>
    <mergeCell ref="Y18:Y24"/>
    <mergeCell ref="B19:C19"/>
    <mergeCell ref="Q19:R19"/>
    <mergeCell ref="T19:T20"/>
    <mergeCell ref="V19:X19"/>
    <mergeCell ref="B20:C20"/>
    <mergeCell ref="B22:B24"/>
    <mergeCell ref="C22:C23"/>
    <mergeCell ref="D22:D23"/>
    <mergeCell ref="E22:E23"/>
    <mergeCell ref="F22:F23"/>
    <mergeCell ref="Q20:R20"/>
    <mergeCell ref="V20:X20"/>
    <mergeCell ref="B21:C21"/>
    <mergeCell ref="T21:U21"/>
    <mergeCell ref="V21:X21"/>
    <mergeCell ref="I32:J32"/>
    <mergeCell ref="K32:L32"/>
    <mergeCell ref="K33:L33"/>
    <mergeCell ref="T22:T23"/>
    <mergeCell ref="V22:X22"/>
    <mergeCell ref="V23:X23"/>
    <mergeCell ref="T24:T25"/>
    <mergeCell ref="V24:X24"/>
    <mergeCell ref="V25:X25"/>
  </mergeCells>
  <pageMargins left="0.15748031496063" right="0.15748031496063" top="0" bottom="0" header="0" footer="0"/>
  <pageSetup paperSize="9" scale="46" orientation="landscape" r:id="rId1"/>
</worksheet>
</file>

<file path=xl/worksheets/sheet3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2684191-D77B-4D1B-8178-489A29371D81}">
  <sheetPr>
    <pageSetUpPr fitToPage="1"/>
  </sheetPr>
  <dimension ref="A1:Y33"/>
  <sheetViews>
    <sheetView topLeftCell="A14" zoomScale="70" zoomScaleNormal="70" zoomScaleSheetLayoutView="100" zoomScalePageLayoutView="68" workbookViewId="0">
      <selection activeCell="L24" sqref="L24"/>
    </sheetView>
  </sheetViews>
  <sheetFormatPr defaultColWidth="9.140625" defaultRowHeight="15" x14ac:dyDescent="0.25"/>
  <cols>
    <col min="1" max="1" width="18.28515625" style="14" customWidth="1"/>
    <col min="2" max="2" width="10.7109375" style="14" customWidth="1"/>
    <col min="3" max="3" width="12.28515625" style="14" customWidth="1"/>
    <col min="4" max="4" width="13.140625" style="14" bestFit="1" customWidth="1"/>
    <col min="5" max="5" width="12" style="14" customWidth="1"/>
    <col min="6" max="6" width="14" style="14" bestFit="1" customWidth="1"/>
    <col min="7" max="7" width="16" style="14" bestFit="1" customWidth="1"/>
    <col min="8" max="8" width="11" style="14" bestFit="1" customWidth="1"/>
    <col min="9" max="9" width="10.5703125" style="14" bestFit="1" customWidth="1"/>
    <col min="10" max="10" width="10.5703125" style="14" customWidth="1"/>
    <col min="11" max="11" width="10.28515625" style="14" bestFit="1" customWidth="1"/>
    <col min="12" max="12" width="10.42578125" style="14" bestFit="1" customWidth="1"/>
    <col min="13" max="14" width="12" style="14" bestFit="1" customWidth="1"/>
    <col min="15" max="15" width="11" style="14" customWidth="1"/>
    <col min="16" max="16" width="12.85546875" style="14" bestFit="1" customWidth="1"/>
    <col min="17" max="18" width="9.42578125" style="14" customWidth="1"/>
    <col min="19" max="19" width="13.7109375" style="14" customWidth="1"/>
    <col min="20" max="20" width="12.140625" style="14" customWidth="1"/>
    <col min="21" max="21" width="21.7109375" style="14" customWidth="1"/>
    <col min="22" max="22" width="9.85546875" style="14" customWidth="1"/>
    <col min="23" max="23" width="10.140625" style="14" bestFit="1" customWidth="1"/>
    <col min="24" max="24" width="10.28515625" style="14" customWidth="1"/>
    <col min="25" max="25" width="15.7109375" style="14" customWidth="1"/>
    <col min="26" max="16384" width="9.140625" style="14"/>
  </cols>
  <sheetData>
    <row r="1" spans="1:25" ht="46.15" customHeight="1" x14ac:dyDescent="0.25">
      <c r="A1" s="2240" t="s">
        <v>148</v>
      </c>
      <c r="B1" s="2240"/>
      <c r="C1" s="2240"/>
      <c r="D1" s="2240"/>
      <c r="E1" s="2240"/>
      <c r="F1" s="2240"/>
      <c r="G1" s="2240"/>
      <c r="H1" s="2240"/>
      <c r="I1" s="2240"/>
      <c r="J1" s="2240"/>
      <c r="K1" s="2240"/>
      <c r="L1" s="2240"/>
      <c r="M1" s="2240"/>
      <c r="N1" s="2240"/>
      <c r="O1" s="2240"/>
      <c r="P1" s="2240"/>
      <c r="Q1" s="2240"/>
      <c r="R1" s="2240"/>
      <c r="S1" s="2240"/>
      <c r="T1" s="2240"/>
      <c r="U1" s="2240"/>
      <c r="V1" s="2240"/>
      <c r="W1" s="2240"/>
      <c r="X1" s="2240"/>
      <c r="Y1" s="2240"/>
    </row>
    <row r="2" spans="1:25" ht="21.6" customHeight="1" x14ac:dyDescent="0.25">
      <c r="A2" s="2241" t="s">
        <v>383</v>
      </c>
      <c r="B2" s="2241"/>
      <c r="C2" s="2241"/>
      <c r="D2" s="2241"/>
      <c r="E2" s="2241"/>
      <c r="F2" s="2241"/>
      <c r="G2" s="2241"/>
      <c r="H2" s="2241"/>
      <c r="I2" s="2241"/>
      <c r="J2" s="2241"/>
      <c r="K2" s="2241"/>
      <c r="L2" s="2241"/>
      <c r="M2" s="2241"/>
      <c r="N2" s="2241"/>
      <c r="O2" s="2241"/>
      <c r="P2" s="2241"/>
      <c r="Q2" s="2241"/>
      <c r="R2" s="2241"/>
      <c r="S2" s="2241"/>
      <c r="T2" s="2241"/>
      <c r="U2" s="2241"/>
      <c r="V2" s="2241"/>
      <c r="W2" s="2241"/>
      <c r="X2" s="2241"/>
      <c r="Y2" s="2241"/>
    </row>
    <row r="3" spans="1:25" ht="21" customHeight="1" x14ac:dyDescent="0.25">
      <c r="A3" s="2159"/>
      <c r="B3" s="2159"/>
      <c r="C3" s="2159"/>
      <c r="D3" s="2159"/>
      <c r="E3" s="2159"/>
      <c r="F3" s="2159"/>
      <c r="G3" s="2159"/>
      <c r="H3" s="2159"/>
      <c r="I3" s="2159"/>
      <c r="J3" s="2159"/>
      <c r="K3" s="2159"/>
      <c r="L3" s="2159"/>
      <c r="M3" s="2159"/>
      <c r="N3" s="2159"/>
      <c r="O3" s="2159"/>
      <c r="P3" s="2159"/>
      <c r="Q3" s="2159"/>
      <c r="R3" s="2159"/>
      <c r="S3" s="2159"/>
      <c r="T3" s="2242" t="s">
        <v>597</v>
      </c>
      <c r="U3" s="2242"/>
      <c r="V3" s="2242"/>
      <c r="W3" s="2242"/>
      <c r="X3" s="2242"/>
      <c r="Y3" s="2242"/>
    </row>
    <row r="4" spans="1:25" s="2159" customFormat="1" ht="18" customHeight="1" x14ac:dyDescent="0.25">
      <c r="A4" s="2243" t="s">
        <v>25</v>
      </c>
      <c r="B4" s="2243" t="s">
        <v>26</v>
      </c>
      <c r="C4" s="2244" t="s">
        <v>27</v>
      </c>
      <c r="D4" s="2244"/>
      <c r="E4" s="2244" t="s">
        <v>544</v>
      </c>
      <c r="F4" s="2244"/>
      <c r="G4" s="2244" t="s">
        <v>65</v>
      </c>
      <c r="H4" s="2244"/>
      <c r="I4" s="2244" t="s">
        <v>29</v>
      </c>
      <c r="J4" s="2244"/>
      <c r="K4" s="2245" t="s">
        <v>14</v>
      </c>
      <c r="L4" s="2246"/>
      <c r="M4" s="2245" t="s">
        <v>429</v>
      </c>
      <c r="N4" s="2246"/>
      <c r="O4" s="2245" t="s">
        <v>441</v>
      </c>
      <c r="P4" s="2246"/>
      <c r="Q4" s="2245" t="s">
        <v>114</v>
      </c>
      <c r="R4" s="2246"/>
      <c r="S4" s="2244" t="s">
        <v>35</v>
      </c>
      <c r="T4" s="2244"/>
      <c r="U4" s="2245" t="s">
        <v>17</v>
      </c>
      <c r="V4" s="2246"/>
      <c r="W4" s="2247" t="s">
        <v>36</v>
      </c>
      <c r="X4" s="2248"/>
      <c r="Y4" s="2238" t="s">
        <v>30</v>
      </c>
    </row>
    <row r="5" spans="1:25" s="2159" customFormat="1" ht="25.5" customHeight="1" x14ac:dyDescent="0.25">
      <c r="A5" s="2243"/>
      <c r="B5" s="2243"/>
      <c r="C5" s="2158" t="s">
        <v>42</v>
      </c>
      <c r="D5" s="2158" t="s">
        <v>43</v>
      </c>
      <c r="E5" s="2158" t="s">
        <v>42</v>
      </c>
      <c r="F5" s="2158" t="s">
        <v>43</v>
      </c>
      <c r="G5" s="2158" t="s">
        <v>42</v>
      </c>
      <c r="H5" s="2158" t="s">
        <v>43</v>
      </c>
      <c r="I5" s="2158" t="s">
        <v>42</v>
      </c>
      <c r="J5" s="2158" t="s">
        <v>43</v>
      </c>
      <c r="K5" s="2158" t="s">
        <v>42</v>
      </c>
      <c r="L5" s="2158" t="s">
        <v>43</v>
      </c>
      <c r="M5" s="2158" t="s">
        <v>42</v>
      </c>
      <c r="N5" s="2158" t="s">
        <v>43</v>
      </c>
      <c r="O5" s="2158" t="s">
        <v>42</v>
      </c>
      <c r="P5" s="2158" t="s">
        <v>43</v>
      </c>
      <c r="Q5" s="2158" t="s">
        <v>42</v>
      </c>
      <c r="R5" s="2158" t="s">
        <v>43</v>
      </c>
      <c r="S5" s="33" t="s">
        <v>42</v>
      </c>
      <c r="T5" s="33" t="s">
        <v>43</v>
      </c>
      <c r="U5" s="30" t="s">
        <v>42</v>
      </c>
      <c r="V5" s="30" t="s">
        <v>43</v>
      </c>
      <c r="W5" s="30" t="s">
        <v>42</v>
      </c>
      <c r="X5" s="30" t="s">
        <v>43</v>
      </c>
      <c r="Y5" s="2239"/>
    </row>
    <row r="6" spans="1:25" ht="34.5" customHeight="1" x14ac:dyDescent="0.25">
      <c r="A6" s="12">
        <v>1409935200</v>
      </c>
      <c r="B6" s="2157" t="s">
        <v>71</v>
      </c>
      <c r="C6" s="2155">
        <v>45945</v>
      </c>
      <c r="D6" s="2154">
        <f t="shared" ref="D6:D11" si="0">0.9725*C6</f>
        <v>44681.512500000004</v>
      </c>
      <c r="E6" s="2155"/>
      <c r="F6" s="2154">
        <f>19.68*E6</f>
        <v>0</v>
      </c>
      <c r="G6" s="2155"/>
      <c r="H6" s="2154">
        <f t="shared" ref="H6:H11" si="1">28.26*G6</f>
        <v>0</v>
      </c>
      <c r="I6" s="2155">
        <v>220</v>
      </c>
      <c r="J6" s="2154">
        <f>18.82*I6</f>
        <v>4140.3999999999996</v>
      </c>
      <c r="K6" s="2155"/>
      <c r="L6" s="2154">
        <f>28.25*K6</f>
        <v>0</v>
      </c>
      <c r="M6" s="2155"/>
      <c r="N6" s="2154">
        <f>M6*47.6525</f>
        <v>0</v>
      </c>
      <c r="O6" s="2155"/>
      <c r="P6" s="2154">
        <f>O6*8.9</f>
        <v>0</v>
      </c>
      <c r="Q6" s="2154"/>
      <c r="R6" s="2154">
        <f>241*Q6</f>
        <v>0</v>
      </c>
      <c r="S6" s="2155"/>
      <c r="T6" s="2155">
        <f>470*S6</f>
        <v>0</v>
      </c>
      <c r="U6" s="2155">
        <v>4</v>
      </c>
      <c r="V6" s="2155">
        <f>332*U6</f>
        <v>1328</v>
      </c>
      <c r="W6" s="2155">
        <v>1</v>
      </c>
      <c r="X6" s="19">
        <f>W6*100</f>
        <v>100</v>
      </c>
      <c r="Y6" s="20">
        <f t="shared" ref="Y6:Y12" si="2">D6+F6+H6+J6+L6+N6+P6+R6+T6+V6+X6</f>
        <v>50249.912500000006</v>
      </c>
    </row>
    <row r="7" spans="1:25" ht="36.75" customHeight="1" x14ac:dyDescent="0.25">
      <c r="A7" s="12">
        <v>1984225578</v>
      </c>
      <c r="B7" s="2157" t="s">
        <v>509</v>
      </c>
      <c r="C7" s="2155">
        <v>25563</v>
      </c>
      <c r="D7" s="2154">
        <f t="shared" si="0"/>
        <v>24860.017500000002</v>
      </c>
      <c r="E7" s="2155"/>
      <c r="F7" s="2154">
        <f t="shared" ref="F7:F11" si="3">19.68*E7</f>
        <v>0</v>
      </c>
      <c r="G7" s="2155"/>
      <c r="H7" s="2154">
        <f t="shared" si="1"/>
        <v>0</v>
      </c>
      <c r="I7" s="2155">
        <v>1590</v>
      </c>
      <c r="J7" s="2154">
        <f t="shared" ref="J7:J11" si="4">18.82*I7</f>
        <v>29923.8</v>
      </c>
      <c r="K7" s="2155"/>
      <c r="L7" s="2154">
        <f t="shared" ref="L7:L11" si="5">28.25*K7</f>
        <v>0</v>
      </c>
      <c r="M7" s="2155"/>
      <c r="N7" s="2154">
        <f t="shared" ref="N7:N11" si="6">M7*47.6525</f>
        <v>0</v>
      </c>
      <c r="O7" s="2155"/>
      <c r="P7" s="2154">
        <f t="shared" ref="P7:P11" si="7">O7*8.9</f>
        <v>0</v>
      </c>
      <c r="Q7" s="2154"/>
      <c r="R7" s="2154">
        <f t="shared" ref="R7:R11" si="8">241*Q7</f>
        <v>0</v>
      </c>
      <c r="S7" s="2155"/>
      <c r="T7" s="2155">
        <f t="shared" ref="T7:T9" si="9">470*S7</f>
        <v>0</v>
      </c>
      <c r="U7" s="2155">
        <v>15</v>
      </c>
      <c r="V7" s="2155">
        <f t="shared" ref="V7:V11" si="10">332*U7</f>
        <v>4980</v>
      </c>
      <c r="W7" s="2155"/>
      <c r="X7" s="19">
        <f t="shared" ref="X7:X11" si="11">W7*100</f>
        <v>0</v>
      </c>
      <c r="Y7" s="20">
        <f t="shared" si="2"/>
        <v>59763.817500000005</v>
      </c>
    </row>
    <row r="8" spans="1:25" ht="35.25" customHeight="1" x14ac:dyDescent="0.25">
      <c r="A8" s="12">
        <v>1967020280</v>
      </c>
      <c r="B8" s="2157" t="s">
        <v>427</v>
      </c>
      <c r="C8" s="2155">
        <v>36891</v>
      </c>
      <c r="D8" s="2154">
        <f t="shared" si="0"/>
        <v>35876.497499999998</v>
      </c>
      <c r="E8" s="2155"/>
      <c r="F8" s="2154">
        <f t="shared" si="3"/>
        <v>0</v>
      </c>
      <c r="G8" s="2155">
        <v>60</v>
      </c>
      <c r="H8" s="2154">
        <f t="shared" si="1"/>
        <v>1695.6000000000001</v>
      </c>
      <c r="I8" s="2155">
        <v>300</v>
      </c>
      <c r="J8" s="2154">
        <f t="shared" si="4"/>
        <v>5646</v>
      </c>
      <c r="K8" s="2155"/>
      <c r="L8" s="2154">
        <f t="shared" si="5"/>
        <v>0</v>
      </c>
      <c r="M8" s="2155"/>
      <c r="N8" s="2154">
        <f t="shared" si="6"/>
        <v>0</v>
      </c>
      <c r="O8" s="2155"/>
      <c r="P8" s="2154">
        <f t="shared" si="7"/>
        <v>0</v>
      </c>
      <c r="Q8" s="2154"/>
      <c r="R8" s="2154">
        <f t="shared" si="8"/>
        <v>0</v>
      </c>
      <c r="S8" s="2155"/>
      <c r="T8" s="2155">
        <f t="shared" si="9"/>
        <v>0</v>
      </c>
      <c r="U8" s="2155">
        <v>4</v>
      </c>
      <c r="V8" s="2155">
        <f t="shared" si="10"/>
        <v>1328</v>
      </c>
      <c r="W8" s="2155"/>
      <c r="X8" s="19">
        <f t="shared" si="11"/>
        <v>0</v>
      </c>
      <c r="Y8" s="20">
        <f t="shared" si="2"/>
        <v>44546.097499999996</v>
      </c>
    </row>
    <row r="9" spans="1:25" ht="38.25" customHeight="1" x14ac:dyDescent="0.25">
      <c r="A9" s="12">
        <v>1984225580</v>
      </c>
      <c r="B9" s="2157" t="s">
        <v>74</v>
      </c>
      <c r="C9" s="2155">
        <v>29235</v>
      </c>
      <c r="D9" s="2154">
        <f t="shared" si="0"/>
        <v>28431.037500000002</v>
      </c>
      <c r="E9" s="2155"/>
      <c r="F9" s="2154">
        <f t="shared" si="3"/>
        <v>0</v>
      </c>
      <c r="G9" s="2155">
        <v>10</v>
      </c>
      <c r="H9" s="2154">
        <f t="shared" si="1"/>
        <v>282.60000000000002</v>
      </c>
      <c r="I9" s="2155">
        <v>310</v>
      </c>
      <c r="J9" s="2154">
        <f t="shared" si="4"/>
        <v>5834.2</v>
      </c>
      <c r="K9" s="2155"/>
      <c r="L9" s="2154">
        <f t="shared" si="5"/>
        <v>0</v>
      </c>
      <c r="M9" s="2155"/>
      <c r="N9" s="2154">
        <f t="shared" si="6"/>
        <v>0</v>
      </c>
      <c r="O9" s="2155"/>
      <c r="P9" s="2154">
        <f t="shared" si="7"/>
        <v>0</v>
      </c>
      <c r="Q9" s="2154"/>
      <c r="R9" s="2154">
        <f t="shared" si="8"/>
        <v>0</v>
      </c>
      <c r="S9" s="2155"/>
      <c r="T9" s="2155">
        <f t="shared" si="9"/>
        <v>0</v>
      </c>
      <c r="U9" s="2155">
        <v>4</v>
      </c>
      <c r="V9" s="2155">
        <f t="shared" si="10"/>
        <v>1328</v>
      </c>
      <c r="W9" s="2155"/>
      <c r="X9" s="19">
        <f t="shared" si="11"/>
        <v>0</v>
      </c>
      <c r="Y9" s="20">
        <f t="shared" si="2"/>
        <v>35875.837500000001</v>
      </c>
    </row>
    <row r="10" spans="1:25" ht="35.25" customHeight="1" x14ac:dyDescent="0.25">
      <c r="A10" s="12">
        <v>1409935199</v>
      </c>
      <c r="C10" s="2155">
        <v>10282</v>
      </c>
      <c r="D10" s="2154">
        <f t="shared" si="0"/>
        <v>9999.2450000000008</v>
      </c>
      <c r="E10" s="2155"/>
      <c r="F10" s="2154">
        <f t="shared" si="3"/>
        <v>0</v>
      </c>
      <c r="G10" s="2155"/>
      <c r="H10" s="2154">
        <f t="shared" si="1"/>
        <v>0</v>
      </c>
      <c r="I10" s="2155"/>
      <c r="J10" s="2154">
        <f t="shared" si="4"/>
        <v>0</v>
      </c>
      <c r="K10" s="2155"/>
      <c r="L10" s="2154">
        <f t="shared" si="5"/>
        <v>0</v>
      </c>
      <c r="M10" s="2155"/>
      <c r="N10" s="2154">
        <f t="shared" si="6"/>
        <v>0</v>
      </c>
      <c r="O10" s="2155"/>
      <c r="P10" s="2154">
        <f t="shared" si="7"/>
        <v>0</v>
      </c>
      <c r="Q10" s="2154"/>
      <c r="R10" s="2154">
        <f t="shared" si="8"/>
        <v>0</v>
      </c>
      <c r="S10" s="2155"/>
      <c r="T10" s="2155">
        <f>470*S10</f>
        <v>0</v>
      </c>
      <c r="U10" s="2155"/>
      <c r="V10" s="2155">
        <f t="shared" si="10"/>
        <v>0</v>
      </c>
      <c r="W10" s="2155"/>
      <c r="X10" s="19">
        <f t="shared" si="11"/>
        <v>0</v>
      </c>
      <c r="Y10" s="20">
        <f t="shared" si="2"/>
        <v>9999.2450000000008</v>
      </c>
    </row>
    <row r="11" spans="1:25" ht="37.5" customHeight="1" x14ac:dyDescent="0.25">
      <c r="A11" s="12"/>
      <c r="B11" s="2156"/>
      <c r="C11" s="2155"/>
      <c r="D11" s="2154">
        <f t="shared" si="0"/>
        <v>0</v>
      </c>
      <c r="E11" s="2155"/>
      <c r="F11" s="2154">
        <f t="shared" si="3"/>
        <v>0</v>
      </c>
      <c r="G11" s="2155"/>
      <c r="H11" s="2154">
        <f t="shared" si="1"/>
        <v>0</v>
      </c>
      <c r="I11" s="2155"/>
      <c r="J11" s="2154">
        <f t="shared" si="4"/>
        <v>0</v>
      </c>
      <c r="K11" s="2155"/>
      <c r="L11" s="2154">
        <f t="shared" si="5"/>
        <v>0</v>
      </c>
      <c r="M11" s="2155"/>
      <c r="N11" s="2154">
        <f t="shared" si="6"/>
        <v>0</v>
      </c>
      <c r="O11" s="2155"/>
      <c r="P11" s="2154">
        <f t="shared" si="7"/>
        <v>0</v>
      </c>
      <c r="Q11" s="2154"/>
      <c r="R11" s="2154">
        <f t="shared" si="8"/>
        <v>0</v>
      </c>
      <c r="S11" s="2155"/>
      <c r="T11" s="2155">
        <f>241*S11</f>
        <v>0</v>
      </c>
      <c r="U11" s="2155"/>
      <c r="V11" s="2155">
        <f t="shared" si="10"/>
        <v>0</v>
      </c>
      <c r="W11" s="2155"/>
      <c r="X11" s="19">
        <f t="shared" si="11"/>
        <v>0</v>
      </c>
      <c r="Y11" s="20">
        <f t="shared" si="2"/>
        <v>0</v>
      </c>
    </row>
    <row r="12" spans="1:25" ht="29.25" customHeight="1" x14ac:dyDescent="0.25">
      <c r="A12" s="2235" t="s">
        <v>31</v>
      </c>
      <c r="B12" s="2235"/>
      <c r="C12" s="18">
        <f t="shared" ref="C12:X12" si="12">SUM(C6:C11)</f>
        <v>147916</v>
      </c>
      <c r="D12" s="18">
        <f t="shared" si="12"/>
        <v>143848.31</v>
      </c>
      <c r="E12" s="18">
        <f t="shared" si="12"/>
        <v>0</v>
      </c>
      <c r="F12" s="18">
        <f t="shared" si="12"/>
        <v>0</v>
      </c>
      <c r="G12" s="18">
        <f t="shared" si="12"/>
        <v>70</v>
      </c>
      <c r="H12" s="18">
        <f t="shared" si="12"/>
        <v>1978.2000000000003</v>
      </c>
      <c r="I12" s="18">
        <f t="shared" si="12"/>
        <v>2420</v>
      </c>
      <c r="J12" s="18">
        <f t="shared" si="12"/>
        <v>45544.399999999994</v>
      </c>
      <c r="K12" s="18">
        <f t="shared" si="12"/>
        <v>0</v>
      </c>
      <c r="L12" s="18">
        <f t="shared" si="12"/>
        <v>0</v>
      </c>
      <c r="M12" s="18">
        <f t="shared" si="12"/>
        <v>0</v>
      </c>
      <c r="N12" s="23">
        <f t="shared" si="12"/>
        <v>0</v>
      </c>
      <c r="O12" s="18">
        <f t="shared" si="12"/>
        <v>0</v>
      </c>
      <c r="P12" s="23">
        <f t="shared" si="12"/>
        <v>0</v>
      </c>
      <c r="Q12" s="23">
        <f t="shared" si="12"/>
        <v>0</v>
      </c>
      <c r="R12" s="23">
        <f>SUM(R6:R11)</f>
        <v>0</v>
      </c>
      <c r="S12" s="23">
        <f>SUM(S6:S11)</f>
        <v>0</v>
      </c>
      <c r="T12" s="18">
        <f t="shared" si="12"/>
        <v>0</v>
      </c>
      <c r="U12" s="18">
        <f t="shared" si="12"/>
        <v>27</v>
      </c>
      <c r="V12" s="18">
        <f t="shared" si="12"/>
        <v>8964</v>
      </c>
      <c r="W12" s="18">
        <f t="shared" si="12"/>
        <v>1</v>
      </c>
      <c r="X12" s="18">
        <f t="shared" si="12"/>
        <v>100</v>
      </c>
      <c r="Y12" s="20">
        <f t="shared" si="2"/>
        <v>200434.91</v>
      </c>
    </row>
    <row r="14" spans="1:25" ht="43.5" customHeight="1" x14ac:dyDescent="0.25">
      <c r="A14" s="30" t="s">
        <v>32</v>
      </c>
      <c r="B14" s="2236" t="s">
        <v>27</v>
      </c>
      <c r="C14" s="2236"/>
      <c r="D14" s="30" t="s">
        <v>543</v>
      </c>
      <c r="E14" s="30" t="s">
        <v>65</v>
      </c>
      <c r="F14" s="30" t="s">
        <v>34</v>
      </c>
      <c r="G14" s="30" t="s">
        <v>14</v>
      </c>
      <c r="H14" s="469" t="s">
        <v>173</v>
      </c>
      <c r="I14" s="30" t="s">
        <v>17</v>
      </c>
      <c r="J14" s="2163" t="s">
        <v>174</v>
      </c>
      <c r="K14" s="30" t="s">
        <v>36</v>
      </c>
      <c r="L14" s="2163" t="s">
        <v>403</v>
      </c>
      <c r="M14" s="2163" t="s">
        <v>549</v>
      </c>
      <c r="N14" s="30" t="s">
        <v>442</v>
      </c>
      <c r="O14" s="2163" t="s">
        <v>114</v>
      </c>
      <c r="P14" s="30" t="s">
        <v>70</v>
      </c>
      <c r="Q14" s="2300" t="s">
        <v>479</v>
      </c>
      <c r="R14" s="2301"/>
      <c r="S14" s="2163" t="s">
        <v>401</v>
      </c>
      <c r="T14" s="2235" t="s">
        <v>46</v>
      </c>
      <c r="U14" s="2157" t="s">
        <v>176</v>
      </c>
      <c r="V14" s="2260">
        <v>176771</v>
      </c>
      <c r="W14" s="2268"/>
      <c r="X14" s="2261"/>
    </row>
    <row r="15" spans="1:25" ht="22.5" customHeight="1" x14ac:dyDescent="0.25">
      <c r="A15" s="100" t="s">
        <v>38</v>
      </c>
      <c r="B15" s="2260">
        <v>343257</v>
      </c>
      <c r="C15" s="2261"/>
      <c r="D15" s="2160">
        <v>0</v>
      </c>
      <c r="E15" s="2160">
        <v>500</v>
      </c>
      <c r="F15" s="2160">
        <v>10020</v>
      </c>
      <c r="G15" s="2160">
        <v>210</v>
      </c>
      <c r="H15" s="2160">
        <v>34</v>
      </c>
      <c r="I15" s="2160">
        <v>79</v>
      </c>
      <c r="J15" s="2160"/>
      <c r="K15" s="2160">
        <v>81</v>
      </c>
      <c r="L15" s="2160">
        <v>12</v>
      </c>
      <c r="M15" s="2160">
        <v>25</v>
      </c>
      <c r="N15" s="2160">
        <v>0</v>
      </c>
      <c r="O15" s="2160">
        <v>0</v>
      </c>
      <c r="P15" s="2160">
        <v>100</v>
      </c>
      <c r="Q15" s="2260">
        <v>0</v>
      </c>
      <c r="R15" s="2261"/>
      <c r="S15" s="2157"/>
      <c r="T15" s="2235"/>
      <c r="U15" s="2157" t="s">
        <v>64</v>
      </c>
      <c r="V15" s="2262">
        <v>10884</v>
      </c>
      <c r="W15" s="2262"/>
      <c r="X15" s="2262"/>
    </row>
    <row r="16" spans="1:25" ht="24.75" customHeight="1" x14ac:dyDescent="0.25">
      <c r="A16" s="100" t="s">
        <v>39</v>
      </c>
      <c r="B16" s="2260">
        <v>140259</v>
      </c>
      <c r="C16" s="2261"/>
      <c r="D16" s="2160"/>
      <c r="E16" s="2160"/>
      <c r="F16" s="2160"/>
      <c r="G16" s="2160"/>
      <c r="H16" s="2160"/>
      <c r="I16" s="2160"/>
      <c r="J16" s="2160"/>
      <c r="K16" s="2160"/>
      <c r="L16" s="2160"/>
      <c r="M16" s="2160"/>
      <c r="N16" s="2160"/>
      <c r="O16" s="2160"/>
      <c r="P16" s="2160"/>
      <c r="Q16" s="2262"/>
      <c r="R16" s="2262"/>
      <c r="S16" s="2160"/>
      <c r="T16" s="2254" t="s">
        <v>55</v>
      </c>
      <c r="U16" s="2254"/>
      <c r="V16" s="2267">
        <f>Y12</f>
        <v>200434.91</v>
      </c>
      <c r="W16" s="2267"/>
      <c r="X16" s="2262"/>
    </row>
    <row r="17" spans="1:25" ht="28.5" customHeight="1" x14ac:dyDescent="0.25">
      <c r="A17" s="101" t="s">
        <v>44</v>
      </c>
      <c r="B17" s="2260"/>
      <c r="C17" s="2261"/>
      <c r="D17" s="2160"/>
      <c r="E17" s="2160"/>
      <c r="F17" s="2160"/>
      <c r="G17" s="2160"/>
      <c r="H17" s="2160"/>
      <c r="I17" s="2160"/>
      <c r="J17" s="2160"/>
      <c r="K17" s="2160"/>
      <c r="L17" s="2160"/>
      <c r="M17" s="2160"/>
      <c r="N17" s="2160"/>
      <c r="O17" s="2160"/>
      <c r="P17" s="2160"/>
      <c r="Q17" s="2225"/>
      <c r="R17" s="2225"/>
      <c r="S17" s="2156"/>
      <c r="T17" s="2294" t="s">
        <v>521</v>
      </c>
      <c r="U17" s="2295"/>
      <c r="V17" s="2296"/>
      <c r="W17" s="2296"/>
      <c r="X17" s="2296"/>
    </row>
    <row r="18" spans="1:25" ht="27" customHeight="1" x14ac:dyDescent="0.25">
      <c r="A18" s="100" t="s">
        <v>40</v>
      </c>
      <c r="B18" s="2264">
        <f>C12</f>
        <v>147916</v>
      </c>
      <c r="C18" s="2261"/>
      <c r="D18" s="2162">
        <f>E12</f>
        <v>0</v>
      </c>
      <c r="E18" s="2162">
        <f>G12</f>
        <v>70</v>
      </c>
      <c r="F18" s="2162">
        <f>I12</f>
        <v>2420</v>
      </c>
      <c r="G18" s="2162">
        <f>K12</f>
        <v>0</v>
      </c>
      <c r="H18" s="2160"/>
      <c r="I18" s="2162">
        <f>U12</f>
        <v>27</v>
      </c>
      <c r="J18" s="2160"/>
      <c r="K18" s="2162">
        <f>W12</f>
        <v>1</v>
      </c>
      <c r="L18" s="2160"/>
      <c r="M18" s="2162"/>
      <c r="N18" s="2162">
        <f>O12</f>
        <v>0</v>
      </c>
      <c r="O18" s="2161">
        <f>Q12</f>
        <v>0</v>
      </c>
      <c r="P18" s="2162"/>
      <c r="Q18" s="2262"/>
      <c r="R18" s="2262"/>
      <c r="S18" s="2157"/>
      <c r="T18" s="2254" t="s">
        <v>57</v>
      </c>
      <c r="U18" s="2254"/>
      <c r="V18" s="2262">
        <v>980</v>
      </c>
      <c r="W18" s="2262"/>
      <c r="X18" s="2262"/>
      <c r="Y18" s="2269"/>
    </row>
    <row r="19" spans="1:25" ht="25.5" customHeight="1" x14ac:dyDescent="0.25">
      <c r="A19" s="100" t="s">
        <v>41</v>
      </c>
      <c r="B19" s="2260">
        <f>B15+B16+B17-B18</f>
        <v>335600</v>
      </c>
      <c r="C19" s="2261"/>
      <c r="D19" s="2160">
        <f>D15+D16+D17-D18</f>
        <v>0</v>
      </c>
      <c r="E19" s="2160">
        <f t="shared" ref="E19:N19" si="13">E15+E16+E17-E18</f>
        <v>430</v>
      </c>
      <c r="F19" s="2160">
        <f t="shared" si="13"/>
        <v>7600</v>
      </c>
      <c r="G19" s="2160">
        <f t="shared" si="13"/>
        <v>210</v>
      </c>
      <c r="H19" s="2160">
        <f t="shared" si="13"/>
        <v>34</v>
      </c>
      <c r="I19" s="2160">
        <f t="shared" si="13"/>
        <v>52</v>
      </c>
      <c r="J19" s="2160">
        <f t="shared" si="13"/>
        <v>0</v>
      </c>
      <c r="K19" s="2160">
        <f t="shared" si="13"/>
        <v>80</v>
      </c>
      <c r="L19" s="2160">
        <f t="shared" si="13"/>
        <v>12</v>
      </c>
      <c r="M19" s="2162">
        <f>M15+M16+M17-M18</f>
        <v>25</v>
      </c>
      <c r="N19" s="2160">
        <f t="shared" si="13"/>
        <v>0</v>
      </c>
      <c r="O19" s="2160">
        <f>O15+O16+O17-O18</f>
        <v>0</v>
      </c>
      <c r="P19" s="2160">
        <f t="shared" ref="P19:Q19" si="14">P15+P16+P17-P18</f>
        <v>100</v>
      </c>
      <c r="Q19" s="2260">
        <f t="shared" si="14"/>
        <v>0</v>
      </c>
      <c r="R19" s="2261"/>
      <c r="S19" s="2157">
        <f>S15+S16-S17-S18</f>
        <v>0</v>
      </c>
      <c r="T19" s="2256" t="s">
        <v>48</v>
      </c>
      <c r="U19" s="49" t="s">
        <v>58</v>
      </c>
      <c r="V19" s="2262">
        <v>275000</v>
      </c>
      <c r="W19" s="2262"/>
      <c r="X19" s="2262"/>
      <c r="Y19" s="2269"/>
    </row>
    <row r="20" spans="1:25" ht="23.25" customHeight="1" x14ac:dyDescent="0.25">
      <c r="A20" s="289" t="s">
        <v>187</v>
      </c>
      <c r="B20" s="2286">
        <f>B19*0.9625</f>
        <v>323015</v>
      </c>
      <c r="C20" s="2287"/>
      <c r="D20" s="290">
        <f>D19*19.48</f>
        <v>0</v>
      </c>
      <c r="E20" s="290">
        <f>27.97*E19</f>
        <v>12027.1</v>
      </c>
      <c r="F20" s="290">
        <f>18.63*F19</f>
        <v>141588</v>
      </c>
      <c r="G20" s="290">
        <f>27.9468*G19</f>
        <v>5868.8279999999995</v>
      </c>
      <c r="H20" s="290">
        <f>241*H19</f>
        <v>8194</v>
      </c>
      <c r="I20" s="290">
        <f>323*I19</f>
        <v>16796</v>
      </c>
      <c r="J20" s="290">
        <f>241*J19</f>
        <v>0</v>
      </c>
      <c r="K20" s="290">
        <f>K19*100</f>
        <v>8000</v>
      </c>
      <c r="L20" s="290">
        <f>470*L19</f>
        <v>5640</v>
      </c>
      <c r="M20" s="290">
        <f>470*M19</f>
        <v>11750</v>
      </c>
      <c r="N20" s="290">
        <f>N19*8.81</f>
        <v>0</v>
      </c>
      <c r="O20" s="290">
        <f>241*O19</f>
        <v>0</v>
      </c>
      <c r="P20" s="290">
        <f>P19*48.2</f>
        <v>4820</v>
      </c>
      <c r="Q20" s="2286">
        <f>470*Q19</f>
        <v>0</v>
      </c>
      <c r="R20" s="2287"/>
      <c r="S20" s="290">
        <f>341*S19</f>
        <v>0</v>
      </c>
      <c r="T20" s="2257"/>
      <c r="U20" s="49" t="s">
        <v>59</v>
      </c>
      <c r="V20" s="2262"/>
      <c r="W20" s="2262"/>
      <c r="X20" s="2262"/>
      <c r="Y20" s="2269"/>
    </row>
    <row r="21" spans="1:25" ht="32.25" customHeight="1" x14ac:dyDescent="0.25">
      <c r="A21" s="291" t="s">
        <v>186</v>
      </c>
      <c r="B21" s="2302">
        <f>SUM(B20:S20)</f>
        <v>537698.92799999996</v>
      </c>
      <c r="C21" s="2302"/>
      <c r="T21" s="2294" t="s">
        <v>464</v>
      </c>
      <c r="U21" s="2295"/>
      <c r="V21" s="2297"/>
      <c r="W21" s="2298"/>
      <c r="X21" s="2299"/>
      <c r="Y21" s="2269"/>
    </row>
    <row r="22" spans="1:25" ht="35.25" customHeight="1" x14ac:dyDescent="0.25">
      <c r="A22" s="1911"/>
      <c r="B22" s="2288" t="s">
        <v>49</v>
      </c>
      <c r="C22" s="2291">
        <v>275000</v>
      </c>
      <c r="D22" s="2291">
        <v>275000</v>
      </c>
      <c r="E22" s="2291">
        <v>135000</v>
      </c>
      <c r="F22" s="2291">
        <f>C22-D22+E22</f>
        <v>135000</v>
      </c>
      <c r="J22" s="14" t="s">
        <v>139</v>
      </c>
      <c r="T22" s="2251" t="s">
        <v>83</v>
      </c>
      <c r="U22" s="50" t="s">
        <v>60</v>
      </c>
      <c r="V22" s="2262">
        <v>348840</v>
      </c>
      <c r="W22" s="2262"/>
      <c r="X22" s="2262"/>
      <c r="Y22" s="2269"/>
    </row>
    <row r="23" spans="1:25" ht="39.75" customHeight="1" x14ac:dyDescent="0.25">
      <c r="B23" s="2289"/>
      <c r="C23" s="2292"/>
      <c r="D23" s="2292"/>
      <c r="E23" s="2292"/>
      <c r="F23" s="2292"/>
      <c r="K23" s="14" t="s">
        <v>594</v>
      </c>
      <c r="T23" s="2252"/>
      <c r="U23" s="50" t="s">
        <v>61</v>
      </c>
      <c r="V23" s="2262">
        <v>275000</v>
      </c>
      <c r="W23" s="2262"/>
      <c r="X23" s="2262"/>
      <c r="Y23" s="2269"/>
    </row>
    <row r="24" spans="1:25" ht="48" customHeight="1" x14ac:dyDescent="0.25">
      <c r="B24" s="2290"/>
      <c r="C24" s="290" t="s">
        <v>46</v>
      </c>
      <c r="D24" s="290" t="s">
        <v>50</v>
      </c>
      <c r="E24" s="290" t="s">
        <v>51</v>
      </c>
      <c r="F24" s="290" t="s">
        <v>52</v>
      </c>
      <c r="T24" s="2235" t="s">
        <v>47</v>
      </c>
      <c r="U24" s="51" t="s">
        <v>62</v>
      </c>
      <c r="V24" s="2263">
        <f>V14+V16+V17-V18-V19-V20-V22+V23-V21</f>
        <v>27385.910000000033</v>
      </c>
      <c r="W24" s="2263"/>
      <c r="X24" s="2263"/>
      <c r="Y24" s="2269"/>
    </row>
    <row r="25" spans="1:25" ht="40.5" customHeight="1" x14ac:dyDescent="0.25">
      <c r="T25" s="2235"/>
      <c r="U25" s="51" t="s">
        <v>63</v>
      </c>
      <c r="V25" s="2262">
        <f>V15+V22-V23</f>
        <v>84724</v>
      </c>
      <c r="W25" s="2262"/>
      <c r="X25" s="2262"/>
    </row>
    <row r="26" spans="1:25" ht="36" customHeight="1" x14ac:dyDescent="0.25">
      <c r="K26" s="314"/>
    </row>
    <row r="28" spans="1:25" x14ac:dyDescent="0.25">
      <c r="J28" s="14" t="s">
        <v>139</v>
      </c>
    </row>
    <row r="32" spans="1:25" x14ac:dyDescent="0.25">
      <c r="I32" s="2280"/>
      <c r="J32" s="2280"/>
      <c r="K32" s="2280"/>
      <c r="L32" s="2280"/>
    </row>
    <row r="33" spans="9:12" x14ac:dyDescent="0.25">
      <c r="I33" s="2164"/>
      <c r="J33" s="2164"/>
      <c r="K33" s="2280"/>
      <c r="L33" s="2280"/>
    </row>
  </sheetData>
  <mergeCells count="62">
    <mergeCell ref="A1:Y1"/>
    <mergeCell ref="A2:Y2"/>
    <mergeCell ref="T3:Y3"/>
    <mergeCell ref="A4:A5"/>
    <mergeCell ref="B4:B5"/>
    <mergeCell ref="C4:D4"/>
    <mergeCell ref="E4:F4"/>
    <mergeCell ref="G4:H4"/>
    <mergeCell ref="I4:J4"/>
    <mergeCell ref="K4:L4"/>
    <mergeCell ref="Y4:Y5"/>
    <mergeCell ref="M4:N4"/>
    <mergeCell ref="O4:P4"/>
    <mergeCell ref="Q4:R4"/>
    <mergeCell ref="S4:T4"/>
    <mergeCell ref="U4:V4"/>
    <mergeCell ref="W4:X4"/>
    <mergeCell ref="B16:C16"/>
    <mergeCell ref="Q16:R16"/>
    <mergeCell ref="T16:U16"/>
    <mergeCell ref="V16:X16"/>
    <mergeCell ref="A12:B12"/>
    <mergeCell ref="B14:C14"/>
    <mergeCell ref="Q14:R14"/>
    <mergeCell ref="T14:T15"/>
    <mergeCell ref="V14:X14"/>
    <mergeCell ref="B15:C15"/>
    <mergeCell ref="Q15:R15"/>
    <mergeCell ref="V15:X15"/>
    <mergeCell ref="B17:C17"/>
    <mergeCell ref="Q17:R17"/>
    <mergeCell ref="T17:U17"/>
    <mergeCell ref="V17:X17"/>
    <mergeCell ref="B18:C18"/>
    <mergeCell ref="Q18:R18"/>
    <mergeCell ref="T18:U18"/>
    <mergeCell ref="V18:X18"/>
    <mergeCell ref="Y18:Y24"/>
    <mergeCell ref="B19:C19"/>
    <mergeCell ref="Q19:R19"/>
    <mergeCell ref="T19:T20"/>
    <mergeCell ref="V19:X19"/>
    <mergeCell ref="B20:C20"/>
    <mergeCell ref="B22:B24"/>
    <mergeCell ref="C22:C23"/>
    <mergeCell ref="D22:D23"/>
    <mergeCell ref="E22:E23"/>
    <mergeCell ref="F22:F23"/>
    <mergeCell ref="Q20:R20"/>
    <mergeCell ref="V20:X20"/>
    <mergeCell ref="B21:C21"/>
    <mergeCell ref="T21:U21"/>
    <mergeCell ref="V21:X21"/>
    <mergeCell ref="I32:J32"/>
    <mergeCell ref="K32:L32"/>
    <mergeCell ref="K33:L33"/>
    <mergeCell ref="T22:T23"/>
    <mergeCell ref="V22:X22"/>
    <mergeCell ref="V23:X23"/>
    <mergeCell ref="T24:T25"/>
    <mergeCell ref="V24:X24"/>
    <mergeCell ref="V25:X25"/>
  </mergeCells>
  <pageMargins left="0.15748031496063" right="0.15748031496063" top="0" bottom="0" header="0" footer="0"/>
  <pageSetup paperSize="9" scale="46" orientation="landscape" r:id="rId1"/>
</worksheet>
</file>

<file path=xl/worksheets/sheet3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718B3F5-7B9E-491E-855F-83027A7ED689}">
  <sheetPr>
    <pageSetUpPr fitToPage="1"/>
  </sheetPr>
  <dimension ref="A1:Y33"/>
  <sheetViews>
    <sheetView topLeftCell="D10" zoomScale="70" zoomScaleNormal="70" zoomScaleSheetLayoutView="100" zoomScalePageLayoutView="68" workbookViewId="0">
      <selection activeCell="M24" sqref="M24"/>
    </sheetView>
  </sheetViews>
  <sheetFormatPr defaultColWidth="9.140625" defaultRowHeight="15" x14ac:dyDescent="0.25"/>
  <cols>
    <col min="1" max="1" width="18.28515625" style="14" customWidth="1"/>
    <col min="2" max="2" width="10.7109375" style="14" customWidth="1"/>
    <col min="3" max="3" width="12.28515625" style="14" customWidth="1"/>
    <col min="4" max="4" width="13.140625" style="14" bestFit="1" customWidth="1"/>
    <col min="5" max="5" width="12" style="14" customWidth="1"/>
    <col min="6" max="6" width="14" style="14" bestFit="1" customWidth="1"/>
    <col min="7" max="7" width="16" style="14" bestFit="1" customWidth="1"/>
    <col min="8" max="8" width="11" style="14" bestFit="1" customWidth="1"/>
    <col min="9" max="9" width="10.5703125" style="14" bestFit="1" customWidth="1"/>
    <col min="10" max="10" width="10.5703125" style="14" customWidth="1"/>
    <col min="11" max="11" width="10.28515625" style="14" bestFit="1" customWidth="1"/>
    <col min="12" max="12" width="10.42578125" style="14" bestFit="1" customWidth="1"/>
    <col min="13" max="14" width="12" style="14" bestFit="1" customWidth="1"/>
    <col min="15" max="15" width="11" style="14" customWidth="1"/>
    <col min="16" max="16" width="12.85546875" style="14" bestFit="1" customWidth="1"/>
    <col min="17" max="18" width="9.42578125" style="14" customWidth="1"/>
    <col min="19" max="19" width="13.7109375" style="14" customWidth="1"/>
    <col min="20" max="20" width="12.140625" style="14" customWidth="1"/>
    <col min="21" max="21" width="21.7109375" style="14" customWidth="1"/>
    <col min="22" max="22" width="9.85546875" style="14" customWidth="1"/>
    <col min="23" max="23" width="10.140625" style="14" bestFit="1" customWidth="1"/>
    <col min="24" max="24" width="10.28515625" style="14" customWidth="1"/>
    <col min="25" max="25" width="15.7109375" style="14" customWidth="1"/>
    <col min="26" max="16384" width="9.140625" style="14"/>
  </cols>
  <sheetData>
    <row r="1" spans="1:25" ht="46.15" customHeight="1" x14ac:dyDescent="0.25">
      <c r="A1" s="2240" t="s">
        <v>148</v>
      </c>
      <c r="B1" s="2240"/>
      <c r="C1" s="2240"/>
      <c r="D1" s="2240"/>
      <c r="E1" s="2240"/>
      <c r="F1" s="2240"/>
      <c r="G1" s="2240"/>
      <c r="H1" s="2240"/>
      <c r="I1" s="2240"/>
      <c r="J1" s="2240"/>
      <c r="K1" s="2240"/>
      <c r="L1" s="2240"/>
      <c r="M1" s="2240"/>
      <c r="N1" s="2240"/>
      <c r="O1" s="2240"/>
      <c r="P1" s="2240"/>
      <c r="Q1" s="2240"/>
      <c r="R1" s="2240"/>
      <c r="S1" s="2240"/>
      <c r="T1" s="2240"/>
      <c r="U1" s="2240"/>
      <c r="V1" s="2240"/>
      <c r="W1" s="2240"/>
      <c r="X1" s="2240"/>
      <c r="Y1" s="2240"/>
    </row>
    <row r="2" spans="1:25" ht="21.6" customHeight="1" x14ac:dyDescent="0.25">
      <c r="A2" s="2241" t="s">
        <v>383</v>
      </c>
      <c r="B2" s="2241"/>
      <c r="C2" s="2241"/>
      <c r="D2" s="2241"/>
      <c r="E2" s="2241"/>
      <c r="F2" s="2241"/>
      <c r="G2" s="2241"/>
      <c r="H2" s="2241"/>
      <c r="I2" s="2241"/>
      <c r="J2" s="2241"/>
      <c r="K2" s="2241"/>
      <c r="L2" s="2241"/>
      <c r="M2" s="2241"/>
      <c r="N2" s="2241"/>
      <c r="O2" s="2241"/>
      <c r="P2" s="2241"/>
      <c r="Q2" s="2241"/>
      <c r="R2" s="2241"/>
      <c r="S2" s="2241"/>
      <c r="T2" s="2241"/>
      <c r="U2" s="2241"/>
      <c r="V2" s="2241"/>
      <c r="W2" s="2241"/>
      <c r="X2" s="2241"/>
      <c r="Y2" s="2241"/>
    </row>
    <row r="3" spans="1:25" ht="21" customHeight="1" x14ac:dyDescent="0.25">
      <c r="A3" s="2159"/>
      <c r="B3" s="2159"/>
      <c r="C3" s="2159"/>
      <c r="D3" s="2159"/>
      <c r="E3" s="2159"/>
      <c r="F3" s="2159"/>
      <c r="G3" s="2159"/>
      <c r="H3" s="2159"/>
      <c r="I3" s="2159"/>
      <c r="J3" s="2159"/>
      <c r="K3" s="2159"/>
      <c r="L3" s="2159"/>
      <c r="M3" s="2159"/>
      <c r="N3" s="2159"/>
      <c r="O3" s="2159"/>
      <c r="P3" s="2159"/>
      <c r="Q3" s="2159"/>
      <c r="R3" s="2159"/>
      <c r="S3" s="2159"/>
      <c r="T3" s="2242" t="s">
        <v>598</v>
      </c>
      <c r="U3" s="2242"/>
      <c r="V3" s="2242"/>
      <c r="W3" s="2242"/>
      <c r="X3" s="2242"/>
      <c r="Y3" s="2242"/>
    </row>
    <row r="4" spans="1:25" s="2159" customFormat="1" ht="18" customHeight="1" x14ac:dyDescent="0.25">
      <c r="A4" s="2243" t="s">
        <v>25</v>
      </c>
      <c r="B4" s="2243" t="s">
        <v>26</v>
      </c>
      <c r="C4" s="2244" t="s">
        <v>27</v>
      </c>
      <c r="D4" s="2244"/>
      <c r="E4" s="2244" t="s">
        <v>544</v>
      </c>
      <c r="F4" s="2244"/>
      <c r="G4" s="2244" t="s">
        <v>65</v>
      </c>
      <c r="H4" s="2244"/>
      <c r="I4" s="2244" t="s">
        <v>29</v>
      </c>
      <c r="J4" s="2244"/>
      <c r="K4" s="2245" t="s">
        <v>14</v>
      </c>
      <c r="L4" s="2246"/>
      <c r="M4" s="2245" t="s">
        <v>429</v>
      </c>
      <c r="N4" s="2246"/>
      <c r="O4" s="2245" t="s">
        <v>441</v>
      </c>
      <c r="P4" s="2246"/>
      <c r="Q4" s="2245" t="s">
        <v>114</v>
      </c>
      <c r="R4" s="2246"/>
      <c r="S4" s="2244" t="s">
        <v>35</v>
      </c>
      <c r="T4" s="2244"/>
      <c r="U4" s="2245" t="s">
        <v>17</v>
      </c>
      <c r="V4" s="2246"/>
      <c r="W4" s="2247" t="s">
        <v>36</v>
      </c>
      <c r="X4" s="2248"/>
      <c r="Y4" s="2238" t="s">
        <v>30</v>
      </c>
    </row>
    <row r="5" spans="1:25" s="2159" customFormat="1" ht="25.5" customHeight="1" x14ac:dyDescent="0.25">
      <c r="A5" s="2243"/>
      <c r="B5" s="2243"/>
      <c r="C5" s="2158" t="s">
        <v>42</v>
      </c>
      <c r="D5" s="2158" t="s">
        <v>43</v>
      </c>
      <c r="E5" s="2158" t="s">
        <v>42</v>
      </c>
      <c r="F5" s="2158" t="s">
        <v>43</v>
      </c>
      <c r="G5" s="2158" t="s">
        <v>42</v>
      </c>
      <c r="H5" s="2158" t="s">
        <v>43</v>
      </c>
      <c r="I5" s="2158" t="s">
        <v>42</v>
      </c>
      <c r="J5" s="2158" t="s">
        <v>43</v>
      </c>
      <c r="K5" s="2158" t="s">
        <v>42</v>
      </c>
      <c r="L5" s="2158" t="s">
        <v>43</v>
      </c>
      <c r="M5" s="2158" t="s">
        <v>42</v>
      </c>
      <c r="N5" s="2158" t="s">
        <v>43</v>
      </c>
      <c r="O5" s="2158" t="s">
        <v>42</v>
      </c>
      <c r="P5" s="2158" t="s">
        <v>43</v>
      </c>
      <c r="Q5" s="2158" t="s">
        <v>42</v>
      </c>
      <c r="R5" s="2158" t="s">
        <v>43</v>
      </c>
      <c r="S5" s="33" t="s">
        <v>42</v>
      </c>
      <c r="T5" s="33" t="s">
        <v>43</v>
      </c>
      <c r="U5" s="30" t="s">
        <v>42</v>
      </c>
      <c r="V5" s="30" t="s">
        <v>43</v>
      </c>
      <c r="W5" s="30" t="s">
        <v>42</v>
      </c>
      <c r="X5" s="30" t="s">
        <v>43</v>
      </c>
      <c r="Y5" s="2239"/>
    </row>
    <row r="6" spans="1:25" ht="34.5" customHeight="1" x14ac:dyDescent="0.25">
      <c r="A6" s="12">
        <v>1409935200</v>
      </c>
      <c r="B6" s="2157" t="s">
        <v>71</v>
      </c>
      <c r="C6" s="2155">
        <v>35445</v>
      </c>
      <c r="D6" s="2154">
        <f t="shared" ref="D6:D11" si="0">0.9725*C6</f>
        <v>34470.262500000004</v>
      </c>
      <c r="E6" s="2155"/>
      <c r="F6" s="2154">
        <f>19.68*E6</f>
        <v>0</v>
      </c>
      <c r="G6" s="2155">
        <v>70</v>
      </c>
      <c r="H6" s="2154">
        <f t="shared" ref="H6:H11" si="1">28.26*G6</f>
        <v>1978.2</v>
      </c>
      <c r="I6" s="2155">
        <v>200</v>
      </c>
      <c r="J6" s="2154">
        <f>18.82*I6</f>
        <v>3764</v>
      </c>
      <c r="K6" s="2155"/>
      <c r="L6" s="2154">
        <f>28.25*K6</f>
        <v>0</v>
      </c>
      <c r="M6" s="2155"/>
      <c r="N6" s="2154">
        <f>M6*47.6525</f>
        <v>0</v>
      </c>
      <c r="O6" s="2155"/>
      <c r="P6" s="2154">
        <f>O6*8.9</f>
        <v>0</v>
      </c>
      <c r="Q6" s="2154"/>
      <c r="R6" s="2154">
        <f>241*Q6</f>
        <v>0</v>
      </c>
      <c r="S6" s="2155">
        <v>5</v>
      </c>
      <c r="T6" s="2155">
        <f>470*S6</f>
        <v>2350</v>
      </c>
      <c r="U6" s="2155">
        <v>11</v>
      </c>
      <c r="V6" s="2155">
        <f>332*U6</f>
        <v>3652</v>
      </c>
      <c r="W6" s="2155"/>
      <c r="X6" s="19">
        <f>W6*100</f>
        <v>0</v>
      </c>
      <c r="Y6" s="20">
        <f t="shared" ref="Y6:Y12" si="2">D6+F6+H6+J6+L6+N6+P6+R6+T6+V6+X6</f>
        <v>46214.462500000001</v>
      </c>
    </row>
    <row r="7" spans="1:25" ht="36.75" customHeight="1" x14ac:dyDescent="0.25">
      <c r="A7" s="12">
        <v>1984225578</v>
      </c>
      <c r="B7" s="2157" t="s">
        <v>509</v>
      </c>
      <c r="C7" s="2155">
        <v>30866</v>
      </c>
      <c r="D7" s="2154">
        <f t="shared" si="0"/>
        <v>30017.185000000001</v>
      </c>
      <c r="E7" s="2155"/>
      <c r="F7" s="2154">
        <f t="shared" ref="F7:F11" si="3">19.68*E7</f>
        <v>0</v>
      </c>
      <c r="G7" s="2155">
        <v>30</v>
      </c>
      <c r="H7" s="2154">
        <f t="shared" si="1"/>
        <v>847.80000000000007</v>
      </c>
      <c r="I7" s="2155">
        <v>780</v>
      </c>
      <c r="J7" s="2154">
        <f t="shared" ref="J7:J11" si="4">18.82*I7</f>
        <v>14679.6</v>
      </c>
      <c r="K7" s="2155"/>
      <c r="L7" s="2154">
        <f t="shared" ref="L7:L11" si="5">28.25*K7</f>
        <v>0</v>
      </c>
      <c r="M7" s="2155"/>
      <c r="N7" s="2154">
        <f t="shared" ref="N7:N11" si="6">M7*47.6525</f>
        <v>0</v>
      </c>
      <c r="O7" s="2155"/>
      <c r="P7" s="2154">
        <f t="shared" ref="P7:P11" si="7">O7*8.9</f>
        <v>0</v>
      </c>
      <c r="Q7" s="2154"/>
      <c r="R7" s="2154">
        <f t="shared" ref="R7:R11" si="8">241*Q7</f>
        <v>0</v>
      </c>
      <c r="S7" s="2155"/>
      <c r="T7" s="2155">
        <f t="shared" ref="T7:T9" si="9">470*S7</f>
        <v>0</v>
      </c>
      <c r="U7" s="2155">
        <v>9</v>
      </c>
      <c r="V7" s="2155">
        <f t="shared" ref="V7:V11" si="10">332*U7</f>
        <v>2988</v>
      </c>
      <c r="W7" s="2155"/>
      <c r="X7" s="19">
        <f t="shared" ref="X7:X11" si="11">W7*100</f>
        <v>0</v>
      </c>
      <c r="Y7" s="20">
        <f t="shared" si="2"/>
        <v>48532.584999999999</v>
      </c>
    </row>
    <row r="8" spans="1:25" ht="35.25" customHeight="1" x14ac:dyDescent="0.25">
      <c r="A8" s="12">
        <v>1967020280</v>
      </c>
      <c r="B8" s="2157" t="s">
        <v>427</v>
      </c>
      <c r="C8" s="2155">
        <v>27465</v>
      </c>
      <c r="D8" s="2154">
        <f t="shared" si="0"/>
        <v>26709.712500000001</v>
      </c>
      <c r="E8" s="2155"/>
      <c r="F8" s="2154">
        <f t="shared" si="3"/>
        <v>0</v>
      </c>
      <c r="G8" s="2155">
        <v>50</v>
      </c>
      <c r="H8" s="2154">
        <f t="shared" si="1"/>
        <v>1413</v>
      </c>
      <c r="I8" s="2155">
        <v>700</v>
      </c>
      <c r="J8" s="2154">
        <f t="shared" si="4"/>
        <v>13174</v>
      </c>
      <c r="K8" s="2155"/>
      <c r="L8" s="2154">
        <f t="shared" si="5"/>
        <v>0</v>
      </c>
      <c r="M8" s="2155"/>
      <c r="N8" s="2154">
        <f t="shared" si="6"/>
        <v>0</v>
      </c>
      <c r="O8" s="2155"/>
      <c r="P8" s="2154">
        <f t="shared" si="7"/>
        <v>0</v>
      </c>
      <c r="Q8" s="2154"/>
      <c r="R8" s="2154">
        <f t="shared" si="8"/>
        <v>0</v>
      </c>
      <c r="S8" s="2155">
        <v>5</v>
      </c>
      <c r="T8" s="2155">
        <f t="shared" si="9"/>
        <v>2350</v>
      </c>
      <c r="U8" s="2155">
        <v>5</v>
      </c>
      <c r="V8" s="2155">
        <f t="shared" si="10"/>
        <v>1660</v>
      </c>
      <c r="W8" s="2155"/>
      <c r="X8" s="19">
        <f t="shared" si="11"/>
        <v>0</v>
      </c>
      <c r="Y8" s="20">
        <f t="shared" si="2"/>
        <v>45306.712500000001</v>
      </c>
    </row>
    <row r="9" spans="1:25" ht="38.25" customHeight="1" x14ac:dyDescent="0.25">
      <c r="A9" s="12">
        <v>1984225580</v>
      </c>
      <c r="B9" s="2157" t="s">
        <v>74</v>
      </c>
      <c r="C9" s="2155">
        <v>34941</v>
      </c>
      <c r="D9" s="2154">
        <f t="shared" si="0"/>
        <v>33980.122499999998</v>
      </c>
      <c r="E9" s="2155"/>
      <c r="F9" s="2154">
        <f t="shared" si="3"/>
        <v>0</v>
      </c>
      <c r="G9" s="2155"/>
      <c r="H9" s="2154">
        <f t="shared" si="1"/>
        <v>0</v>
      </c>
      <c r="I9" s="2155">
        <v>1190</v>
      </c>
      <c r="J9" s="2154">
        <f t="shared" si="4"/>
        <v>22395.8</v>
      </c>
      <c r="K9" s="2155">
        <v>40</v>
      </c>
      <c r="L9" s="2154">
        <f t="shared" si="5"/>
        <v>1130</v>
      </c>
      <c r="M9" s="2155"/>
      <c r="N9" s="2154">
        <f t="shared" si="6"/>
        <v>0</v>
      </c>
      <c r="O9" s="2155"/>
      <c r="P9" s="2154">
        <f t="shared" si="7"/>
        <v>0</v>
      </c>
      <c r="Q9" s="2154"/>
      <c r="R9" s="2154">
        <f t="shared" si="8"/>
        <v>0</v>
      </c>
      <c r="S9" s="2155"/>
      <c r="T9" s="2155">
        <f t="shared" si="9"/>
        <v>0</v>
      </c>
      <c r="U9" s="2155">
        <v>6</v>
      </c>
      <c r="V9" s="2155">
        <f t="shared" si="10"/>
        <v>1992</v>
      </c>
      <c r="W9" s="2155"/>
      <c r="X9" s="19">
        <f t="shared" si="11"/>
        <v>0</v>
      </c>
      <c r="Y9" s="20">
        <f t="shared" si="2"/>
        <v>59497.922500000001</v>
      </c>
    </row>
    <row r="10" spans="1:25" ht="35.25" customHeight="1" x14ac:dyDescent="0.25">
      <c r="A10" s="12">
        <v>1409935199</v>
      </c>
      <c r="C10" s="2155"/>
      <c r="D10" s="2154">
        <f t="shared" si="0"/>
        <v>0</v>
      </c>
      <c r="E10" s="2155"/>
      <c r="F10" s="2154">
        <f t="shared" si="3"/>
        <v>0</v>
      </c>
      <c r="G10" s="2155"/>
      <c r="H10" s="2154">
        <f t="shared" si="1"/>
        <v>0</v>
      </c>
      <c r="I10" s="2155"/>
      <c r="J10" s="2154">
        <f t="shared" si="4"/>
        <v>0</v>
      </c>
      <c r="K10" s="2155"/>
      <c r="L10" s="2154">
        <f t="shared" si="5"/>
        <v>0</v>
      </c>
      <c r="M10" s="2155"/>
      <c r="N10" s="2154">
        <f t="shared" si="6"/>
        <v>0</v>
      </c>
      <c r="O10" s="2155"/>
      <c r="P10" s="2154">
        <f t="shared" si="7"/>
        <v>0</v>
      </c>
      <c r="Q10" s="2154"/>
      <c r="R10" s="2154">
        <f t="shared" si="8"/>
        <v>0</v>
      </c>
      <c r="S10" s="2155"/>
      <c r="T10" s="2155">
        <f>470*S10</f>
        <v>0</v>
      </c>
      <c r="U10" s="2155"/>
      <c r="V10" s="2155">
        <f t="shared" si="10"/>
        <v>0</v>
      </c>
      <c r="W10" s="2155"/>
      <c r="X10" s="19">
        <f t="shared" si="11"/>
        <v>0</v>
      </c>
      <c r="Y10" s="20">
        <f t="shared" si="2"/>
        <v>0</v>
      </c>
    </row>
    <row r="11" spans="1:25" ht="37.5" customHeight="1" x14ac:dyDescent="0.25">
      <c r="A11" s="12"/>
      <c r="B11" s="2156"/>
      <c r="C11" s="2155"/>
      <c r="D11" s="2154">
        <f t="shared" si="0"/>
        <v>0</v>
      </c>
      <c r="E11" s="2155"/>
      <c r="F11" s="2154">
        <f t="shared" si="3"/>
        <v>0</v>
      </c>
      <c r="G11" s="2155"/>
      <c r="H11" s="2154">
        <f t="shared" si="1"/>
        <v>0</v>
      </c>
      <c r="I11" s="2155"/>
      <c r="J11" s="2154">
        <f t="shared" si="4"/>
        <v>0</v>
      </c>
      <c r="K11" s="2155"/>
      <c r="L11" s="2154">
        <f t="shared" si="5"/>
        <v>0</v>
      </c>
      <c r="M11" s="2155"/>
      <c r="N11" s="2154">
        <f t="shared" si="6"/>
        <v>0</v>
      </c>
      <c r="O11" s="2155"/>
      <c r="P11" s="2154">
        <f t="shared" si="7"/>
        <v>0</v>
      </c>
      <c r="Q11" s="2154"/>
      <c r="R11" s="2154">
        <f t="shared" si="8"/>
        <v>0</v>
      </c>
      <c r="S11" s="2155"/>
      <c r="T11" s="2155">
        <f>241*S11</f>
        <v>0</v>
      </c>
      <c r="U11" s="2155"/>
      <c r="V11" s="2155">
        <f t="shared" si="10"/>
        <v>0</v>
      </c>
      <c r="W11" s="2155"/>
      <c r="X11" s="19">
        <f t="shared" si="11"/>
        <v>0</v>
      </c>
      <c r="Y11" s="20">
        <f t="shared" si="2"/>
        <v>0</v>
      </c>
    </row>
    <row r="12" spans="1:25" ht="29.25" customHeight="1" x14ac:dyDescent="0.25">
      <c r="A12" s="2235" t="s">
        <v>31</v>
      </c>
      <c r="B12" s="2235"/>
      <c r="C12" s="18">
        <f t="shared" ref="C12:X12" si="12">SUM(C6:C11)</f>
        <v>128717</v>
      </c>
      <c r="D12" s="18">
        <f t="shared" si="12"/>
        <v>125177.2825</v>
      </c>
      <c r="E12" s="18">
        <f t="shared" si="12"/>
        <v>0</v>
      </c>
      <c r="F12" s="18">
        <f t="shared" si="12"/>
        <v>0</v>
      </c>
      <c r="G12" s="18">
        <f t="shared" si="12"/>
        <v>150</v>
      </c>
      <c r="H12" s="18">
        <f t="shared" si="12"/>
        <v>4239</v>
      </c>
      <c r="I12" s="18">
        <f t="shared" si="12"/>
        <v>2870</v>
      </c>
      <c r="J12" s="18">
        <f t="shared" si="12"/>
        <v>54013.399999999994</v>
      </c>
      <c r="K12" s="18">
        <f t="shared" si="12"/>
        <v>40</v>
      </c>
      <c r="L12" s="18">
        <f t="shared" si="12"/>
        <v>1130</v>
      </c>
      <c r="M12" s="18">
        <f t="shared" si="12"/>
        <v>0</v>
      </c>
      <c r="N12" s="23">
        <f t="shared" si="12"/>
        <v>0</v>
      </c>
      <c r="O12" s="18">
        <f t="shared" si="12"/>
        <v>0</v>
      </c>
      <c r="P12" s="23">
        <f t="shared" si="12"/>
        <v>0</v>
      </c>
      <c r="Q12" s="23">
        <f t="shared" si="12"/>
        <v>0</v>
      </c>
      <c r="R12" s="23">
        <f>SUM(R6:R11)</f>
        <v>0</v>
      </c>
      <c r="S12" s="23">
        <f>SUM(S6:S11)</f>
        <v>10</v>
      </c>
      <c r="T12" s="18">
        <f t="shared" si="12"/>
        <v>4700</v>
      </c>
      <c r="U12" s="18">
        <f t="shared" si="12"/>
        <v>31</v>
      </c>
      <c r="V12" s="18">
        <f t="shared" si="12"/>
        <v>10292</v>
      </c>
      <c r="W12" s="18">
        <f t="shared" si="12"/>
        <v>0</v>
      </c>
      <c r="X12" s="18">
        <f t="shared" si="12"/>
        <v>0</v>
      </c>
      <c r="Y12" s="20">
        <f t="shared" si="2"/>
        <v>199551.6825</v>
      </c>
    </row>
    <row r="14" spans="1:25" ht="43.5" customHeight="1" x14ac:dyDescent="0.25">
      <c r="A14" s="30" t="s">
        <v>32</v>
      </c>
      <c r="B14" s="2236" t="s">
        <v>27</v>
      </c>
      <c r="C14" s="2236"/>
      <c r="D14" s="30" t="s">
        <v>543</v>
      </c>
      <c r="E14" s="30" t="s">
        <v>65</v>
      </c>
      <c r="F14" s="30" t="s">
        <v>34</v>
      </c>
      <c r="G14" s="30" t="s">
        <v>14</v>
      </c>
      <c r="H14" s="469" t="s">
        <v>173</v>
      </c>
      <c r="I14" s="30" t="s">
        <v>17</v>
      </c>
      <c r="J14" s="2163" t="s">
        <v>174</v>
      </c>
      <c r="K14" s="30" t="s">
        <v>36</v>
      </c>
      <c r="L14" s="2163" t="s">
        <v>403</v>
      </c>
      <c r="M14" s="2163" t="s">
        <v>549</v>
      </c>
      <c r="N14" s="30" t="s">
        <v>442</v>
      </c>
      <c r="O14" s="2163" t="s">
        <v>114</v>
      </c>
      <c r="P14" s="30" t="s">
        <v>70</v>
      </c>
      <c r="Q14" s="2300" t="s">
        <v>479</v>
      </c>
      <c r="R14" s="2301"/>
      <c r="S14" s="2163" t="s">
        <v>401</v>
      </c>
      <c r="T14" s="2235" t="s">
        <v>46</v>
      </c>
      <c r="U14" s="2157" t="s">
        <v>176</v>
      </c>
      <c r="V14" s="2260">
        <v>27386</v>
      </c>
      <c r="W14" s="2268"/>
      <c r="X14" s="2261"/>
    </row>
    <row r="15" spans="1:25" ht="22.5" customHeight="1" x14ac:dyDescent="0.25">
      <c r="A15" s="100" t="s">
        <v>38</v>
      </c>
      <c r="B15" s="2260">
        <v>335600</v>
      </c>
      <c r="C15" s="2261"/>
      <c r="D15" s="2160">
        <v>0</v>
      </c>
      <c r="E15" s="2160">
        <v>430</v>
      </c>
      <c r="F15" s="2160">
        <v>7600</v>
      </c>
      <c r="G15" s="2160">
        <v>210</v>
      </c>
      <c r="H15" s="2160">
        <v>34</v>
      </c>
      <c r="I15" s="2160">
        <v>52</v>
      </c>
      <c r="J15" s="2160"/>
      <c r="K15" s="2160">
        <v>80</v>
      </c>
      <c r="L15" s="2160">
        <v>12</v>
      </c>
      <c r="M15" s="2160">
        <v>25</v>
      </c>
      <c r="N15" s="2160">
        <v>0</v>
      </c>
      <c r="O15" s="2160">
        <v>0</v>
      </c>
      <c r="P15" s="2160">
        <v>100</v>
      </c>
      <c r="Q15" s="2260">
        <v>0</v>
      </c>
      <c r="R15" s="2261"/>
      <c r="S15" s="2157"/>
      <c r="T15" s="2235"/>
      <c r="U15" s="2157" t="s">
        <v>64</v>
      </c>
      <c r="V15" s="2262">
        <v>84724</v>
      </c>
      <c r="W15" s="2262"/>
      <c r="X15" s="2262"/>
    </row>
    <row r="16" spans="1:25" ht="24.75" customHeight="1" x14ac:dyDescent="0.25">
      <c r="A16" s="100" t="s">
        <v>39</v>
      </c>
      <c r="B16" s="2260">
        <v>135064</v>
      </c>
      <c r="C16" s="2261"/>
      <c r="D16" s="2160"/>
      <c r="E16" s="2160"/>
      <c r="F16" s="2160"/>
      <c r="G16" s="2160"/>
      <c r="H16" s="2160"/>
      <c r="I16" s="2160">
        <v>50</v>
      </c>
      <c r="J16" s="2160"/>
      <c r="K16" s="2160"/>
      <c r="L16" s="2160"/>
      <c r="M16" s="2160"/>
      <c r="N16" s="2160"/>
      <c r="O16" s="2160"/>
      <c r="P16" s="2160"/>
      <c r="Q16" s="2262"/>
      <c r="R16" s="2262"/>
      <c r="S16" s="2160"/>
      <c r="T16" s="2254" t="s">
        <v>55</v>
      </c>
      <c r="U16" s="2254"/>
      <c r="V16" s="2267">
        <f>Y12</f>
        <v>199551.6825</v>
      </c>
      <c r="W16" s="2267"/>
      <c r="X16" s="2262"/>
    </row>
    <row r="17" spans="1:25" ht="28.5" customHeight="1" x14ac:dyDescent="0.25">
      <c r="A17" s="101" t="s">
        <v>44</v>
      </c>
      <c r="B17" s="2260"/>
      <c r="C17" s="2261"/>
      <c r="D17" s="2160"/>
      <c r="E17" s="2160"/>
      <c r="F17" s="2160"/>
      <c r="G17" s="2160"/>
      <c r="H17" s="2160"/>
      <c r="I17" s="2160"/>
      <c r="J17" s="2160"/>
      <c r="K17" s="2160"/>
      <c r="L17" s="2160"/>
      <c r="M17" s="2160"/>
      <c r="N17" s="2160"/>
      <c r="O17" s="2160"/>
      <c r="P17" s="2160"/>
      <c r="Q17" s="2225"/>
      <c r="R17" s="2225"/>
      <c r="S17" s="2156"/>
      <c r="T17" s="2294" t="s">
        <v>521</v>
      </c>
      <c r="U17" s="2295"/>
      <c r="V17" s="2296"/>
      <c r="W17" s="2296"/>
      <c r="X17" s="2296"/>
    </row>
    <row r="18" spans="1:25" ht="27" customHeight="1" x14ac:dyDescent="0.25">
      <c r="A18" s="100" t="s">
        <v>40</v>
      </c>
      <c r="B18" s="2264">
        <f>C12</f>
        <v>128717</v>
      </c>
      <c r="C18" s="2261"/>
      <c r="D18" s="2162">
        <f>E12</f>
        <v>0</v>
      </c>
      <c r="E18" s="2162">
        <f>G12</f>
        <v>150</v>
      </c>
      <c r="F18" s="2162">
        <f>I12</f>
        <v>2870</v>
      </c>
      <c r="G18" s="2162">
        <f>K12</f>
        <v>40</v>
      </c>
      <c r="H18" s="2160"/>
      <c r="I18" s="2162">
        <f>U12</f>
        <v>31</v>
      </c>
      <c r="J18" s="2160"/>
      <c r="K18" s="2162">
        <f>W12</f>
        <v>0</v>
      </c>
      <c r="L18" s="2160"/>
      <c r="M18" s="2162">
        <v>10</v>
      </c>
      <c r="N18" s="2162">
        <f>O12</f>
        <v>0</v>
      </c>
      <c r="O18" s="2161">
        <f>Q12</f>
        <v>0</v>
      </c>
      <c r="P18" s="2162"/>
      <c r="Q18" s="2262"/>
      <c r="R18" s="2262"/>
      <c r="S18" s="2157"/>
      <c r="T18" s="2254" t="s">
        <v>57</v>
      </c>
      <c r="U18" s="2254"/>
      <c r="V18" s="2262">
        <v>6670</v>
      </c>
      <c r="W18" s="2262"/>
      <c r="X18" s="2262"/>
      <c r="Y18" s="2269"/>
    </row>
    <row r="19" spans="1:25" ht="25.5" customHeight="1" x14ac:dyDescent="0.25">
      <c r="A19" s="100" t="s">
        <v>41</v>
      </c>
      <c r="B19" s="2260">
        <f>B15+B16+B17-B18</f>
        <v>341947</v>
      </c>
      <c r="C19" s="2261"/>
      <c r="D19" s="2160">
        <f>D15+D16+D17-D18</f>
        <v>0</v>
      </c>
      <c r="E19" s="2160">
        <f t="shared" ref="E19:N19" si="13">E15+E16+E17-E18</f>
        <v>280</v>
      </c>
      <c r="F19" s="2160">
        <f t="shared" si="13"/>
        <v>4730</v>
      </c>
      <c r="G19" s="2160">
        <f t="shared" si="13"/>
        <v>170</v>
      </c>
      <c r="H19" s="2160">
        <f t="shared" si="13"/>
        <v>34</v>
      </c>
      <c r="I19" s="2160">
        <f t="shared" si="13"/>
        <v>71</v>
      </c>
      <c r="J19" s="2160">
        <f t="shared" si="13"/>
        <v>0</v>
      </c>
      <c r="K19" s="2160">
        <f t="shared" si="13"/>
        <v>80</v>
      </c>
      <c r="L19" s="2160">
        <f t="shared" si="13"/>
        <v>12</v>
      </c>
      <c r="M19" s="2162">
        <f>M15+M16+M17-M18</f>
        <v>15</v>
      </c>
      <c r="N19" s="2160">
        <f t="shared" si="13"/>
        <v>0</v>
      </c>
      <c r="O19" s="2160">
        <f>O15+O16+O17-O18</f>
        <v>0</v>
      </c>
      <c r="P19" s="2160">
        <f t="shared" ref="P19:Q19" si="14">P15+P16+P17-P18</f>
        <v>100</v>
      </c>
      <c r="Q19" s="2260">
        <f t="shared" si="14"/>
        <v>0</v>
      </c>
      <c r="R19" s="2261"/>
      <c r="S19" s="2157">
        <f>S15+S16-S17-S18</f>
        <v>0</v>
      </c>
      <c r="T19" s="2256" t="s">
        <v>48</v>
      </c>
      <c r="U19" s="49" t="s">
        <v>58</v>
      </c>
      <c r="V19" s="2262">
        <v>135000</v>
      </c>
      <c r="W19" s="2262"/>
      <c r="X19" s="2262"/>
      <c r="Y19" s="2269"/>
    </row>
    <row r="20" spans="1:25" ht="23.25" customHeight="1" x14ac:dyDescent="0.25">
      <c r="A20" s="289" t="s">
        <v>187</v>
      </c>
      <c r="B20" s="2286">
        <f>B19*0.9625</f>
        <v>329123.98749999999</v>
      </c>
      <c r="C20" s="2287"/>
      <c r="D20" s="290">
        <f>D19*19.48</f>
        <v>0</v>
      </c>
      <c r="E20" s="290">
        <f>27.97*E19</f>
        <v>7831.5999999999995</v>
      </c>
      <c r="F20" s="290">
        <f>18.63*F19</f>
        <v>88119.9</v>
      </c>
      <c r="G20" s="290">
        <f>27.9468*G19</f>
        <v>4750.9560000000001</v>
      </c>
      <c r="H20" s="290">
        <f>241*H19</f>
        <v>8194</v>
      </c>
      <c r="I20" s="290">
        <f>323*I19</f>
        <v>22933</v>
      </c>
      <c r="J20" s="290">
        <f>241*J19</f>
        <v>0</v>
      </c>
      <c r="K20" s="290">
        <f>K19*100</f>
        <v>8000</v>
      </c>
      <c r="L20" s="290">
        <f>470*L19</f>
        <v>5640</v>
      </c>
      <c r="M20" s="290">
        <f>470*M19</f>
        <v>7050</v>
      </c>
      <c r="N20" s="290">
        <f>N19*8.81</f>
        <v>0</v>
      </c>
      <c r="O20" s="290">
        <f>241*O19</f>
        <v>0</v>
      </c>
      <c r="P20" s="290">
        <f>P19*48.2</f>
        <v>4820</v>
      </c>
      <c r="Q20" s="2286">
        <f>470*Q19</f>
        <v>0</v>
      </c>
      <c r="R20" s="2287"/>
      <c r="S20" s="290">
        <f>341*S19</f>
        <v>0</v>
      </c>
      <c r="T20" s="2257"/>
      <c r="U20" s="49" t="s">
        <v>59</v>
      </c>
      <c r="V20" s="2262">
        <v>16150</v>
      </c>
      <c r="W20" s="2262"/>
      <c r="X20" s="2262"/>
      <c r="Y20" s="2269"/>
    </row>
    <row r="21" spans="1:25" ht="32.25" customHeight="1" x14ac:dyDescent="0.25">
      <c r="A21" s="291" t="s">
        <v>186</v>
      </c>
      <c r="B21" s="2302">
        <f>SUM(B20:S20)</f>
        <v>486463.44349999994</v>
      </c>
      <c r="C21" s="2302"/>
      <c r="T21" s="2294" t="s">
        <v>464</v>
      </c>
      <c r="U21" s="2295"/>
      <c r="V21" s="2297"/>
      <c r="W21" s="2298"/>
      <c r="X21" s="2299"/>
      <c r="Y21" s="2269"/>
    </row>
    <row r="22" spans="1:25" ht="35.25" customHeight="1" x14ac:dyDescent="0.25">
      <c r="A22" s="1911"/>
      <c r="B22" s="2288" t="s">
        <v>49</v>
      </c>
      <c r="C22" s="2291">
        <v>135000</v>
      </c>
      <c r="D22" s="2291">
        <v>135000</v>
      </c>
      <c r="E22" s="2291">
        <v>130000</v>
      </c>
      <c r="F22" s="2291">
        <f>C22-D22+E22</f>
        <v>130000</v>
      </c>
      <c r="J22" s="14" t="s">
        <v>139</v>
      </c>
      <c r="T22" s="2251" t="s">
        <v>83</v>
      </c>
      <c r="U22" s="50" t="s">
        <v>60</v>
      </c>
      <c r="V22" s="2262">
        <v>193190</v>
      </c>
      <c r="W22" s="2262"/>
      <c r="X22" s="2262"/>
      <c r="Y22" s="2269"/>
    </row>
    <row r="23" spans="1:25" ht="39.75" customHeight="1" x14ac:dyDescent="0.25">
      <c r="B23" s="2289"/>
      <c r="C23" s="2292"/>
      <c r="D23" s="2292"/>
      <c r="E23" s="2292"/>
      <c r="F23" s="2292"/>
      <c r="K23" s="14" t="s">
        <v>594</v>
      </c>
      <c r="T23" s="2252"/>
      <c r="U23" s="50" t="s">
        <v>61</v>
      </c>
      <c r="V23" s="2262">
        <v>151150</v>
      </c>
      <c r="W23" s="2262"/>
      <c r="X23" s="2262"/>
      <c r="Y23" s="2269"/>
    </row>
    <row r="24" spans="1:25" ht="48" customHeight="1" x14ac:dyDescent="0.25">
      <c r="B24" s="2290"/>
      <c r="C24" s="290" t="s">
        <v>46</v>
      </c>
      <c r="D24" s="290" t="s">
        <v>50</v>
      </c>
      <c r="E24" s="290" t="s">
        <v>51</v>
      </c>
      <c r="F24" s="290" t="s">
        <v>52</v>
      </c>
      <c r="T24" s="2235" t="s">
        <v>47</v>
      </c>
      <c r="U24" s="51" t="s">
        <v>62</v>
      </c>
      <c r="V24" s="2263">
        <f>V14+V16+V17-V18-V19-V20-V22+V23-V21</f>
        <v>27077.682499999995</v>
      </c>
      <c r="W24" s="2263"/>
      <c r="X24" s="2263"/>
      <c r="Y24" s="2269"/>
    </row>
    <row r="25" spans="1:25" ht="40.5" customHeight="1" x14ac:dyDescent="0.25">
      <c r="T25" s="2235"/>
      <c r="U25" s="51" t="s">
        <v>63</v>
      </c>
      <c r="V25" s="2262">
        <f>V15+V22-V23</f>
        <v>126764</v>
      </c>
      <c r="W25" s="2262"/>
      <c r="X25" s="2262"/>
    </row>
    <row r="26" spans="1:25" ht="36" customHeight="1" x14ac:dyDescent="0.25">
      <c r="K26" s="314"/>
    </row>
    <row r="28" spans="1:25" x14ac:dyDescent="0.25">
      <c r="J28" s="14" t="s">
        <v>139</v>
      </c>
    </row>
    <row r="32" spans="1:25" x14ac:dyDescent="0.25">
      <c r="I32" s="2280"/>
      <c r="J32" s="2280"/>
      <c r="K32" s="2280"/>
      <c r="L32" s="2280"/>
    </row>
    <row r="33" spans="9:12" x14ac:dyDescent="0.25">
      <c r="I33" s="2164"/>
      <c r="J33" s="2164"/>
      <c r="K33" s="2280"/>
      <c r="L33" s="2280"/>
    </row>
  </sheetData>
  <mergeCells count="62">
    <mergeCell ref="A1:Y1"/>
    <mergeCell ref="A2:Y2"/>
    <mergeCell ref="T3:Y3"/>
    <mergeCell ref="A4:A5"/>
    <mergeCell ref="B4:B5"/>
    <mergeCell ref="C4:D4"/>
    <mergeCell ref="E4:F4"/>
    <mergeCell ref="G4:H4"/>
    <mergeCell ref="I4:J4"/>
    <mergeCell ref="K4:L4"/>
    <mergeCell ref="Y4:Y5"/>
    <mergeCell ref="M4:N4"/>
    <mergeCell ref="O4:P4"/>
    <mergeCell ref="Q4:R4"/>
    <mergeCell ref="S4:T4"/>
    <mergeCell ref="U4:V4"/>
    <mergeCell ref="W4:X4"/>
    <mergeCell ref="B16:C16"/>
    <mergeCell ref="Q16:R16"/>
    <mergeCell ref="T16:U16"/>
    <mergeCell ref="V16:X16"/>
    <mergeCell ref="A12:B12"/>
    <mergeCell ref="B14:C14"/>
    <mergeCell ref="Q14:R14"/>
    <mergeCell ref="T14:T15"/>
    <mergeCell ref="V14:X14"/>
    <mergeCell ref="B15:C15"/>
    <mergeCell ref="Q15:R15"/>
    <mergeCell ref="V15:X15"/>
    <mergeCell ref="B17:C17"/>
    <mergeCell ref="Q17:R17"/>
    <mergeCell ref="T17:U17"/>
    <mergeCell ref="V17:X17"/>
    <mergeCell ref="B18:C18"/>
    <mergeCell ref="Q18:R18"/>
    <mergeCell ref="T18:U18"/>
    <mergeCell ref="V18:X18"/>
    <mergeCell ref="Y18:Y24"/>
    <mergeCell ref="B19:C19"/>
    <mergeCell ref="Q19:R19"/>
    <mergeCell ref="T19:T20"/>
    <mergeCell ref="V19:X19"/>
    <mergeCell ref="B20:C20"/>
    <mergeCell ref="B22:B24"/>
    <mergeCell ref="C22:C23"/>
    <mergeCell ref="D22:D23"/>
    <mergeCell ref="E22:E23"/>
    <mergeCell ref="F22:F23"/>
    <mergeCell ref="Q20:R20"/>
    <mergeCell ref="V20:X20"/>
    <mergeCell ref="B21:C21"/>
    <mergeCell ref="T21:U21"/>
    <mergeCell ref="V21:X21"/>
    <mergeCell ref="I32:J32"/>
    <mergeCell ref="K32:L32"/>
    <mergeCell ref="K33:L33"/>
    <mergeCell ref="T22:T23"/>
    <mergeCell ref="V22:X22"/>
    <mergeCell ref="V23:X23"/>
    <mergeCell ref="T24:T25"/>
    <mergeCell ref="V24:X24"/>
    <mergeCell ref="V25:X25"/>
  </mergeCells>
  <pageMargins left="0.15748031496063" right="0.15748031496063" top="0" bottom="0" header="0" footer="0"/>
  <pageSetup paperSize="9" scale="46" orientation="landscape" r:id="rId1"/>
</worksheet>
</file>

<file path=xl/worksheets/sheet3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3073070-1793-4A17-87C6-035B94101B3B}">
  <sheetPr>
    <pageSetUpPr fitToPage="1"/>
  </sheetPr>
  <dimension ref="A1:Y33"/>
  <sheetViews>
    <sheetView topLeftCell="D12" zoomScale="70" zoomScaleNormal="70" zoomScaleSheetLayoutView="100" zoomScalePageLayoutView="68" workbookViewId="0">
      <selection activeCell="L25" sqref="L25"/>
    </sheetView>
  </sheetViews>
  <sheetFormatPr defaultColWidth="9.140625" defaultRowHeight="15" x14ac:dyDescent="0.25"/>
  <cols>
    <col min="1" max="1" width="18.28515625" style="14" customWidth="1"/>
    <col min="2" max="2" width="10.7109375" style="14" customWidth="1"/>
    <col min="3" max="3" width="12.28515625" style="14" customWidth="1"/>
    <col min="4" max="4" width="13.140625" style="14" bestFit="1" customWidth="1"/>
    <col min="5" max="5" width="12" style="14" customWidth="1"/>
    <col min="6" max="6" width="14" style="14" bestFit="1" customWidth="1"/>
    <col min="7" max="7" width="16" style="14" bestFit="1" customWidth="1"/>
    <col min="8" max="8" width="11" style="14" bestFit="1" customWidth="1"/>
    <col min="9" max="9" width="10.5703125" style="14" bestFit="1" customWidth="1"/>
    <col min="10" max="10" width="10.5703125" style="14" customWidth="1"/>
    <col min="11" max="11" width="10.28515625" style="14" bestFit="1" customWidth="1"/>
    <col min="12" max="12" width="10.42578125" style="14" bestFit="1" customWidth="1"/>
    <col min="13" max="14" width="12" style="14" bestFit="1" customWidth="1"/>
    <col min="15" max="15" width="11" style="14" customWidth="1"/>
    <col min="16" max="16" width="12.85546875" style="14" bestFit="1" customWidth="1"/>
    <col min="17" max="18" width="9.42578125" style="14" customWidth="1"/>
    <col min="19" max="19" width="13.7109375" style="14" customWidth="1"/>
    <col min="20" max="20" width="12.140625" style="14" customWidth="1"/>
    <col min="21" max="21" width="21.7109375" style="14" customWidth="1"/>
    <col min="22" max="22" width="9.85546875" style="14" customWidth="1"/>
    <col min="23" max="23" width="10.140625" style="14" bestFit="1" customWidth="1"/>
    <col min="24" max="24" width="10.28515625" style="14" customWidth="1"/>
    <col min="25" max="25" width="15.7109375" style="14" customWidth="1"/>
    <col min="26" max="16384" width="9.140625" style="14"/>
  </cols>
  <sheetData>
    <row r="1" spans="1:25" ht="46.15" customHeight="1" x14ac:dyDescent="0.25">
      <c r="A1" s="2240" t="s">
        <v>148</v>
      </c>
      <c r="B1" s="2240"/>
      <c r="C1" s="2240"/>
      <c r="D1" s="2240"/>
      <c r="E1" s="2240"/>
      <c r="F1" s="2240"/>
      <c r="G1" s="2240"/>
      <c r="H1" s="2240"/>
      <c r="I1" s="2240"/>
      <c r="J1" s="2240"/>
      <c r="K1" s="2240"/>
      <c r="L1" s="2240"/>
      <c r="M1" s="2240"/>
      <c r="N1" s="2240"/>
      <c r="O1" s="2240"/>
      <c r="P1" s="2240"/>
      <c r="Q1" s="2240"/>
      <c r="R1" s="2240"/>
      <c r="S1" s="2240"/>
      <c r="T1" s="2240"/>
      <c r="U1" s="2240"/>
      <c r="V1" s="2240"/>
      <c r="W1" s="2240"/>
      <c r="X1" s="2240"/>
      <c r="Y1" s="2240"/>
    </row>
    <row r="2" spans="1:25" ht="21.6" customHeight="1" x14ac:dyDescent="0.25">
      <c r="A2" s="2241" t="s">
        <v>383</v>
      </c>
      <c r="B2" s="2241"/>
      <c r="C2" s="2241"/>
      <c r="D2" s="2241"/>
      <c r="E2" s="2241"/>
      <c r="F2" s="2241"/>
      <c r="G2" s="2241"/>
      <c r="H2" s="2241"/>
      <c r="I2" s="2241"/>
      <c r="J2" s="2241"/>
      <c r="K2" s="2241"/>
      <c r="L2" s="2241"/>
      <c r="M2" s="2241"/>
      <c r="N2" s="2241"/>
      <c r="O2" s="2241"/>
      <c r="P2" s="2241"/>
      <c r="Q2" s="2241"/>
      <c r="R2" s="2241"/>
      <c r="S2" s="2241"/>
      <c r="T2" s="2241"/>
      <c r="U2" s="2241"/>
      <c r="V2" s="2241"/>
      <c r="W2" s="2241"/>
      <c r="X2" s="2241"/>
      <c r="Y2" s="2241"/>
    </row>
    <row r="3" spans="1:25" ht="21" customHeight="1" x14ac:dyDescent="0.25">
      <c r="A3" s="2159"/>
      <c r="B3" s="2159"/>
      <c r="C3" s="2159"/>
      <c r="D3" s="2159"/>
      <c r="E3" s="2159"/>
      <c r="F3" s="2159"/>
      <c r="G3" s="2159"/>
      <c r="H3" s="2159"/>
      <c r="I3" s="2159"/>
      <c r="J3" s="2159"/>
      <c r="K3" s="2159"/>
      <c r="L3" s="2159"/>
      <c r="M3" s="2159"/>
      <c r="N3" s="2159"/>
      <c r="O3" s="2159"/>
      <c r="P3" s="2159"/>
      <c r="Q3" s="2159"/>
      <c r="R3" s="2159"/>
      <c r="S3" s="2159"/>
      <c r="T3" s="2242" t="s">
        <v>599</v>
      </c>
      <c r="U3" s="2242"/>
      <c r="V3" s="2242"/>
      <c r="W3" s="2242"/>
      <c r="X3" s="2242"/>
      <c r="Y3" s="2242"/>
    </row>
    <row r="4" spans="1:25" s="2159" customFormat="1" ht="18" customHeight="1" x14ac:dyDescent="0.25">
      <c r="A4" s="2243" t="s">
        <v>25</v>
      </c>
      <c r="B4" s="2243" t="s">
        <v>26</v>
      </c>
      <c r="C4" s="2244" t="s">
        <v>27</v>
      </c>
      <c r="D4" s="2244"/>
      <c r="E4" s="2244" t="s">
        <v>544</v>
      </c>
      <c r="F4" s="2244"/>
      <c r="G4" s="2244" t="s">
        <v>65</v>
      </c>
      <c r="H4" s="2244"/>
      <c r="I4" s="2244" t="s">
        <v>29</v>
      </c>
      <c r="J4" s="2244"/>
      <c r="K4" s="2245" t="s">
        <v>14</v>
      </c>
      <c r="L4" s="2246"/>
      <c r="M4" s="2245" t="s">
        <v>429</v>
      </c>
      <c r="N4" s="2246"/>
      <c r="O4" s="2245" t="s">
        <v>441</v>
      </c>
      <c r="P4" s="2246"/>
      <c r="Q4" s="2245" t="s">
        <v>114</v>
      </c>
      <c r="R4" s="2246"/>
      <c r="S4" s="2244" t="s">
        <v>35</v>
      </c>
      <c r="T4" s="2244"/>
      <c r="U4" s="2245" t="s">
        <v>17</v>
      </c>
      <c r="V4" s="2246"/>
      <c r="W4" s="2247" t="s">
        <v>36</v>
      </c>
      <c r="X4" s="2248"/>
      <c r="Y4" s="2238" t="s">
        <v>30</v>
      </c>
    </row>
    <row r="5" spans="1:25" s="2159" customFormat="1" ht="25.5" customHeight="1" x14ac:dyDescent="0.25">
      <c r="A5" s="2243"/>
      <c r="B5" s="2243"/>
      <c r="C5" s="2158" t="s">
        <v>42</v>
      </c>
      <c r="D5" s="2158" t="s">
        <v>43</v>
      </c>
      <c r="E5" s="2158" t="s">
        <v>42</v>
      </c>
      <c r="F5" s="2158" t="s">
        <v>43</v>
      </c>
      <c r="G5" s="2158" t="s">
        <v>42</v>
      </c>
      <c r="H5" s="2158" t="s">
        <v>43</v>
      </c>
      <c r="I5" s="2158" t="s">
        <v>42</v>
      </c>
      <c r="J5" s="2158" t="s">
        <v>43</v>
      </c>
      <c r="K5" s="2158" t="s">
        <v>42</v>
      </c>
      <c r="L5" s="2158" t="s">
        <v>43</v>
      </c>
      <c r="M5" s="2158" t="s">
        <v>42</v>
      </c>
      <c r="N5" s="2158" t="s">
        <v>43</v>
      </c>
      <c r="O5" s="2158" t="s">
        <v>42</v>
      </c>
      <c r="P5" s="2158" t="s">
        <v>43</v>
      </c>
      <c r="Q5" s="2158" t="s">
        <v>42</v>
      </c>
      <c r="R5" s="2158" t="s">
        <v>43</v>
      </c>
      <c r="S5" s="33" t="s">
        <v>42</v>
      </c>
      <c r="T5" s="33" t="s">
        <v>43</v>
      </c>
      <c r="U5" s="30" t="s">
        <v>42</v>
      </c>
      <c r="V5" s="30" t="s">
        <v>43</v>
      </c>
      <c r="W5" s="30" t="s">
        <v>42</v>
      </c>
      <c r="X5" s="30" t="s">
        <v>43</v>
      </c>
      <c r="Y5" s="2239"/>
    </row>
    <row r="6" spans="1:25" ht="34.5" customHeight="1" x14ac:dyDescent="0.25">
      <c r="A6" s="12">
        <v>1409935200</v>
      </c>
      <c r="B6" s="2157" t="s">
        <v>71</v>
      </c>
      <c r="C6" s="2155">
        <v>28787</v>
      </c>
      <c r="D6" s="2154">
        <f t="shared" ref="D6:D11" si="0">0.9725*C6</f>
        <v>27995.357500000002</v>
      </c>
      <c r="E6" s="2155"/>
      <c r="F6" s="2154">
        <f>19.68*E6</f>
        <v>0</v>
      </c>
      <c r="G6" s="2155"/>
      <c r="H6" s="2154">
        <f t="shared" ref="H6:H11" si="1">28.26*G6</f>
        <v>0</v>
      </c>
      <c r="I6" s="2155">
        <v>60</v>
      </c>
      <c r="J6" s="2154">
        <f>18.82*I6</f>
        <v>1129.2</v>
      </c>
      <c r="K6" s="2155"/>
      <c r="L6" s="2154">
        <f>28.25*K6</f>
        <v>0</v>
      </c>
      <c r="M6" s="2155"/>
      <c r="N6" s="2154">
        <f>M6*47.6525</f>
        <v>0</v>
      </c>
      <c r="O6" s="2155"/>
      <c r="P6" s="2154">
        <f>O6*8.9</f>
        <v>0</v>
      </c>
      <c r="Q6" s="2154"/>
      <c r="R6" s="2154">
        <f>241*Q6</f>
        <v>0</v>
      </c>
      <c r="S6" s="2155"/>
      <c r="T6" s="2155">
        <f>470*S6</f>
        <v>0</v>
      </c>
      <c r="U6" s="2155">
        <v>5</v>
      </c>
      <c r="V6" s="2155">
        <f>332*U6</f>
        <v>1660</v>
      </c>
      <c r="W6" s="2155">
        <v>1</v>
      </c>
      <c r="X6" s="19">
        <f>W6*100</f>
        <v>100</v>
      </c>
      <c r="Y6" s="20">
        <f t="shared" ref="Y6:Y12" si="2">D6+F6+H6+J6+L6+N6+P6+R6+T6+V6+X6</f>
        <v>30884.557500000003</v>
      </c>
    </row>
    <row r="7" spans="1:25" ht="36.75" customHeight="1" x14ac:dyDescent="0.25">
      <c r="A7" s="12">
        <v>1984225578</v>
      </c>
      <c r="B7" s="2157" t="s">
        <v>509</v>
      </c>
      <c r="C7" s="2155">
        <v>25111</v>
      </c>
      <c r="D7" s="2154">
        <f t="shared" si="0"/>
        <v>24420.447500000002</v>
      </c>
      <c r="E7" s="2155"/>
      <c r="F7" s="2154">
        <f t="shared" ref="F7:F11" si="3">19.68*E7</f>
        <v>0</v>
      </c>
      <c r="G7" s="2155">
        <v>20</v>
      </c>
      <c r="H7" s="2154">
        <f t="shared" si="1"/>
        <v>565.20000000000005</v>
      </c>
      <c r="I7" s="2155">
        <v>130</v>
      </c>
      <c r="J7" s="2154">
        <f t="shared" ref="J7:J11" si="4">18.82*I7</f>
        <v>2446.6</v>
      </c>
      <c r="K7" s="2155"/>
      <c r="L7" s="2154">
        <f t="shared" ref="L7:L11" si="5">28.25*K7</f>
        <v>0</v>
      </c>
      <c r="M7" s="2155"/>
      <c r="N7" s="2154">
        <f t="shared" ref="N7:N11" si="6">M7*47.6525</f>
        <v>0</v>
      </c>
      <c r="O7" s="2155"/>
      <c r="P7" s="2154">
        <f t="shared" ref="P7:P11" si="7">O7*8.9</f>
        <v>0</v>
      </c>
      <c r="Q7" s="2154"/>
      <c r="R7" s="2154">
        <f t="shared" ref="R7:R11" si="8">241*Q7</f>
        <v>0</v>
      </c>
      <c r="S7" s="2155">
        <v>2</v>
      </c>
      <c r="T7" s="2155">
        <f t="shared" ref="T7:T9" si="9">470*S7</f>
        <v>940</v>
      </c>
      <c r="U7" s="2155"/>
      <c r="V7" s="2155">
        <f t="shared" ref="V7:V11" si="10">332*U7</f>
        <v>0</v>
      </c>
      <c r="W7" s="2155"/>
      <c r="X7" s="19">
        <f t="shared" ref="X7:X11" si="11">W7*100</f>
        <v>0</v>
      </c>
      <c r="Y7" s="20">
        <f t="shared" si="2"/>
        <v>28372.247500000001</v>
      </c>
    </row>
    <row r="8" spans="1:25" ht="35.25" customHeight="1" x14ac:dyDescent="0.25">
      <c r="A8" s="12">
        <v>1967020280</v>
      </c>
      <c r="B8" s="2157" t="s">
        <v>427</v>
      </c>
      <c r="C8" s="2155">
        <v>26365</v>
      </c>
      <c r="D8" s="2154">
        <f t="shared" si="0"/>
        <v>25639.962500000001</v>
      </c>
      <c r="E8" s="2155"/>
      <c r="F8" s="2154">
        <f t="shared" si="3"/>
        <v>0</v>
      </c>
      <c r="G8" s="2155">
        <v>30</v>
      </c>
      <c r="H8" s="2154">
        <f t="shared" si="1"/>
        <v>847.80000000000007</v>
      </c>
      <c r="I8" s="2155">
        <v>210</v>
      </c>
      <c r="J8" s="2154">
        <f t="shared" si="4"/>
        <v>3952.2000000000003</v>
      </c>
      <c r="K8" s="2155"/>
      <c r="L8" s="2154">
        <f t="shared" si="5"/>
        <v>0</v>
      </c>
      <c r="M8" s="2155"/>
      <c r="N8" s="2154">
        <f t="shared" si="6"/>
        <v>0</v>
      </c>
      <c r="O8" s="2155"/>
      <c r="P8" s="2154">
        <f t="shared" si="7"/>
        <v>0</v>
      </c>
      <c r="Q8" s="2154"/>
      <c r="R8" s="2154">
        <f t="shared" si="8"/>
        <v>0</v>
      </c>
      <c r="S8" s="2155"/>
      <c r="T8" s="2155">
        <f t="shared" si="9"/>
        <v>0</v>
      </c>
      <c r="U8" s="2155">
        <v>2</v>
      </c>
      <c r="V8" s="2155">
        <f t="shared" si="10"/>
        <v>664</v>
      </c>
      <c r="W8" s="2155"/>
      <c r="X8" s="19">
        <f t="shared" si="11"/>
        <v>0</v>
      </c>
      <c r="Y8" s="20">
        <f t="shared" si="2"/>
        <v>31103.962500000001</v>
      </c>
    </row>
    <row r="9" spans="1:25" ht="38.25" customHeight="1" x14ac:dyDescent="0.25">
      <c r="A9" s="12">
        <v>1984225580</v>
      </c>
      <c r="B9" s="2157" t="s">
        <v>74</v>
      </c>
      <c r="C9" s="2155">
        <v>34637</v>
      </c>
      <c r="D9" s="2154">
        <f t="shared" si="0"/>
        <v>33684.482499999998</v>
      </c>
      <c r="E9" s="2155"/>
      <c r="F9" s="2154">
        <f t="shared" si="3"/>
        <v>0</v>
      </c>
      <c r="G9" s="2155">
        <v>40</v>
      </c>
      <c r="H9" s="2154">
        <f t="shared" si="1"/>
        <v>1130.4000000000001</v>
      </c>
      <c r="I9" s="2155">
        <v>120</v>
      </c>
      <c r="J9" s="2154">
        <f t="shared" si="4"/>
        <v>2258.4</v>
      </c>
      <c r="K9" s="2155"/>
      <c r="L9" s="2154">
        <f t="shared" si="5"/>
        <v>0</v>
      </c>
      <c r="M9" s="2155"/>
      <c r="N9" s="2154">
        <f t="shared" si="6"/>
        <v>0</v>
      </c>
      <c r="O9" s="2155"/>
      <c r="P9" s="2154">
        <f t="shared" si="7"/>
        <v>0</v>
      </c>
      <c r="Q9" s="2154"/>
      <c r="R9" s="2154">
        <f t="shared" si="8"/>
        <v>0</v>
      </c>
      <c r="S9" s="2155"/>
      <c r="T9" s="2155">
        <f t="shared" si="9"/>
        <v>0</v>
      </c>
      <c r="U9" s="2155">
        <v>8</v>
      </c>
      <c r="V9" s="2155">
        <f t="shared" si="10"/>
        <v>2656</v>
      </c>
      <c r="W9" s="2155">
        <v>1</v>
      </c>
      <c r="X9" s="19">
        <f t="shared" si="11"/>
        <v>100</v>
      </c>
      <c r="Y9" s="20">
        <f t="shared" si="2"/>
        <v>39829.282500000001</v>
      </c>
    </row>
    <row r="10" spans="1:25" ht="35.25" customHeight="1" x14ac:dyDescent="0.25">
      <c r="A10" s="12">
        <v>1409935199</v>
      </c>
      <c r="C10" s="2155"/>
      <c r="D10" s="2154">
        <f t="shared" si="0"/>
        <v>0</v>
      </c>
      <c r="E10" s="2155"/>
      <c r="F10" s="2154">
        <f t="shared" si="3"/>
        <v>0</v>
      </c>
      <c r="G10" s="2155"/>
      <c r="H10" s="2154">
        <f t="shared" si="1"/>
        <v>0</v>
      </c>
      <c r="I10" s="2155"/>
      <c r="J10" s="2154">
        <f t="shared" si="4"/>
        <v>0</v>
      </c>
      <c r="K10" s="2155"/>
      <c r="L10" s="2154">
        <f t="shared" si="5"/>
        <v>0</v>
      </c>
      <c r="M10" s="2155"/>
      <c r="N10" s="2154">
        <f t="shared" si="6"/>
        <v>0</v>
      </c>
      <c r="O10" s="2155"/>
      <c r="P10" s="2154">
        <f t="shared" si="7"/>
        <v>0</v>
      </c>
      <c r="Q10" s="2154"/>
      <c r="R10" s="2154">
        <f t="shared" si="8"/>
        <v>0</v>
      </c>
      <c r="S10" s="2155"/>
      <c r="T10" s="2155">
        <f>470*S10</f>
        <v>0</v>
      </c>
      <c r="U10" s="2155"/>
      <c r="V10" s="2155">
        <f t="shared" si="10"/>
        <v>0</v>
      </c>
      <c r="W10" s="2155"/>
      <c r="X10" s="19">
        <f t="shared" si="11"/>
        <v>0</v>
      </c>
      <c r="Y10" s="20">
        <f t="shared" si="2"/>
        <v>0</v>
      </c>
    </row>
    <row r="11" spans="1:25" ht="37.5" customHeight="1" x14ac:dyDescent="0.25">
      <c r="A11" s="12"/>
      <c r="B11" s="2156"/>
      <c r="C11" s="2155"/>
      <c r="D11" s="2154">
        <f t="shared" si="0"/>
        <v>0</v>
      </c>
      <c r="E11" s="2155"/>
      <c r="F11" s="2154">
        <f t="shared" si="3"/>
        <v>0</v>
      </c>
      <c r="G11" s="2155"/>
      <c r="H11" s="2154">
        <f t="shared" si="1"/>
        <v>0</v>
      </c>
      <c r="I11" s="2155"/>
      <c r="J11" s="2154">
        <f t="shared" si="4"/>
        <v>0</v>
      </c>
      <c r="K11" s="2155"/>
      <c r="L11" s="2154">
        <f t="shared" si="5"/>
        <v>0</v>
      </c>
      <c r="M11" s="2155"/>
      <c r="N11" s="2154">
        <f t="shared" si="6"/>
        <v>0</v>
      </c>
      <c r="O11" s="2155"/>
      <c r="P11" s="2154">
        <f t="shared" si="7"/>
        <v>0</v>
      </c>
      <c r="Q11" s="2154"/>
      <c r="R11" s="2154">
        <f t="shared" si="8"/>
        <v>0</v>
      </c>
      <c r="S11" s="2155"/>
      <c r="T11" s="2155">
        <f>241*S11</f>
        <v>0</v>
      </c>
      <c r="U11" s="2155"/>
      <c r="V11" s="2155">
        <f t="shared" si="10"/>
        <v>0</v>
      </c>
      <c r="W11" s="2155"/>
      <c r="X11" s="19">
        <f t="shared" si="11"/>
        <v>0</v>
      </c>
      <c r="Y11" s="20">
        <f t="shared" si="2"/>
        <v>0</v>
      </c>
    </row>
    <row r="12" spans="1:25" ht="29.25" customHeight="1" x14ac:dyDescent="0.25">
      <c r="A12" s="2235" t="s">
        <v>31</v>
      </c>
      <c r="B12" s="2235"/>
      <c r="C12" s="18">
        <f t="shared" ref="C12:X12" si="12">SUM(C6:C11)</f>
        <v>114900</v>
      </c>
      <c r="D12" s="18">
        <f t="shared" si="12"/>
        <v>111740.25000000001</v>
      </c>
      <c r="E12" s="18">
        <f t="shared" si="12"/>
        <v>0</v>
      </c>
      <c r="F12" s="18">
        <f t="shared" si="12"/>
        <v>0</v>
      </c>
      <c r="G12" s="18">
        <f t="shared" si="12"/>
        <v>90</v>
      </c>
      <c r="H12" s="18">
        <f t="shared" si="12"/>
        <v>2543.4</v>
      </c>
      <c r="I12" s="18">
        <f t="shared" si="12"/>
        <v>520</v>
      </c>
      <c r="J12" s="18">
        <f t="shared" si="12"/>
        <v>9786.4</v>
      </c>
      <c r="K12" s="18">
        <f t="shared" si="12"/>
        <v>0</v>
      </c>
      <c r="L12" s="18">
        <f t="shared" si="12"/>
        <v>0</v>
      </c>
      <c r="M12" s="18">
        <f t="shared" si="12"/>
        <v>0</v>
      </c>
      <c r="N12" s="23">
        <f t="shared" si="12"/>
        <v>0</v>
      </c>
      <c r="O12" s="18">
        <f t="shared" si="12"/>
        <v>0</v>
      </c>
      <c r="P12" s="23">
        <f t="shared" si="12"/>
        <v>0</v>
      </c>
      <c r="Q12" s="23">
        <f t="shared" si="12"/>
        <v>0</v>
      </c>
      <c r="R12" s="23">
        <f>SUM(R6:R11)</f>
        <v>0</v>
      </c>
      <c r="S12" s="23">
        <f>SUM(S6:S11)</f>
        <v>2</v>
      </c>
      <c r="T12" s="18">
        <f t="shared" si="12"/>
        <v>940</v>
      </c>
      <c r="U12" s="18">
        <f t="shared" si="12"/>
        <v>15</v>
      </c>
      <c r="V12" s="18">
        <f t="shared" si="12"/>
        <v>4980</v>
      </c>
      <c r="W12" s="18">
        <f t="shared" si="12"/>
        <v>2</v>
      </c>
      <c r="X12" s="18">
        <f t="shared" si="12"/>
        <v>200</v>
      </c>
      <c r="Y12" s="20">
        <f t="shared" si="2"/>
        <v>130190.05</v>
      </c>
    </row>
    <row r="14" spans="1:25" ht="43.5" customHeight="1" x14ac:dyDescent="0.25">
      <c r="A14" s="30" t="s">
        <v>32</v>
      </c>
      <c r="B14" s="2236" t="s">
        <v>27</v>
      </c>
      <c r="C14" s="2236"/>
      <c r="D14" s="30" t="s">
        <v>543</v>
      </c>
      <c r="E14" s="30" t="s">
        <v>65</v>
      </c>
      <c r="F14" s="30" t="s">
        <v>34</v>
      </c>
      <c r="G14" s="30" t="s">
        <v>14</v>
      </c>
      <c r="H14" s="469" t="s">
        <v>173</v>
      </c>
      <c r="I14" s="30" t="s">
        <v>17</v>
      </c>
      <c r="J14" s="2163" t="s">
        <v>174</v>
      </c>
      <c r="K14" s="30" t="s">
        <v>36</v>
      </c>
      <c r="L14" s="2163" t="s">
        <v>403</v>
      </c>
      <c r="M14" s="2163" t="s">
        <v>549</v>
      </c>
      <c r="N14" s="30" t="s">
        <v>442</v>
      </c>
      <c r="O14" s="2163" t="s">
        <v>114</v>
      </c>
      <c r="P14" s="30" t="s">
        <v>70</v>
      </c>
      <c r="Q14" s="2300" t="s">
        <v>479</v>
      </c>
      <c r="R14" s="2301"/>
      <c r="S14" s="2163" t="s">
        <v>401</v>
      </c>
      <c r="T14" s="2235" t="s">
        <v>46</v>
      </c>
      <c r="U14" s="2157" t="s">
        <v>176</v>
      </c>
      <c r="V14" s="2260">
        <v>27078</v>
      </c>
      <c r="W14" s="2268"/>
      <c r="X14" s="2261"/>
    </row>
    <row r="15" spans="1:25" ht="22.5" customHeight="1" x14ac:dyDescent="0.25">
      <c r="A15" s="100" t="s">
        <v>38</v>
      </c>
      <c r="B15" s="2260">
        <v>341947</v>
      </c>
      <c r="C15" s="2261"/>
      <c r="D15" s="2160">
        <v>0</v>
      </c>
      <c r="E15" s="2160">
        <v>280</v>
      </c>
      <c r="F15" s="2160">
        <v>4730</v>
      </c>
      <c r="G15" s="2160">
        <v>170</v>
      </c>
      <c r="H15" s="2160">
        <v>34</v>
      </c>
      <c r="I15" s="2160">
        <v>71</v>
      </c>
      <c r="J15" s="2160"/>
      <c r="K15" s="2160">
        <v>80</v>
      </c>
      <c r="L15" s="2160">
        <v>12</v>
      </c>
      <c r="M15" s="2160">
        <v>15</v>
      </c>
      <c r="N15" s="2160">
        <v>0</v>
      </c>
      <c r="O15" s="2160">
        <v>0</v>
      </c>
      <c r="P15" s="2160">
        <v>100</v>
      </c>
      <c r="Q15" s="2260">
        <v>0</v>
      </c>
      <c r="R15" s="2261"/>
      <c r="S15" s="2157"/>
      <c r="T15" s="2235"/>
      <c r="U15" s="2157" t="s">
        <v>64</v>
      </c>
      <c r="V15" s="2262">
        <v>126764</v>
      </c>
      <c r="W15" s="2262"/>
      <c r="X15" s="2262"/>
    </row>
    <row r="16" spans="1:25" ht="24.75" customHeight="1" x14ac:dyDescent="0.25">
      <c r="A16" s="100" t="s">
        <v>39</v>
      </c>
      <c r="B16" s="2260">
        <v>107498</v>
      </c>
      <c r="C16" s="2261"/>
      <c r="D16" s="2160"/>
      <c r="E16" s="2160">
        <v>500</v>
      </c>
      <c r="F16" s="2160">
        <v>2500</v>
      </c>
      <c r="G16" s="2160">
        <v>500</v>
      </c>
      <c r="H16" s="2160"/>
      <c r="I16" s="2160"/>
      <c r="J16" s="2160"/>
      <c r="K16" s="2160"/>
      <c r="L16" s="2160"/>
      <c r="M16" s="2160"/>
      <c r="N16" s="2160"/>
      <c r="O16" s="2160"/>
      <c r="P16" s="2160"/>
      <c r="Q16" s="2262"/>
      <c r="R16" s="2262"/>
      <c r="S16" s="2160"/>
      <c r="T16" s="2254" t="s">
        <v>55</v>
      </c>
      <c r="U16" s="2254"/>
      <c r="V16" s="2267">
        <f>Y12</f>
        <v>130190.05</v>
      </c>
      <c r="W16" s="2267"/>
      <c r="X16" s="2262"/>
    </row>
    <row r="17" spans="1:25" ht="28.5" customHeight="1" x14ac:dyDescent="0.25">
      <c r="A17" s="101" t="s">
        <v>44</v>
      </c>
      <c r="B17" s="2260"/>
      <c r="C17" s="2261"/>
      <c r="D17" s="2160"/>
      <c r="E17" s="2160"/>
      <c r="F17" s="2160"/>
      <c r="G17" s="2160"/>
      <c r="H17" s="2160"/>
      <c r="I17" s="2160"/>
      <c r="J17" s="2160"/>
      <c r="K17" s="2160"/>
      <c r="L17" s="2160"/>
      <c r="M17" s="2160"/>
      <c r="N17" s="2160"/>
      <c r="O17" s="2160"/>
      <c r="P17" s="2160"/>
      <c r="Q17" s="2225"/>
      <c r="R17" s="2225"/>
      <c r="S17" s="2156"/>
      <c r="T17" s="2294" t="s">
        <v>521</v>
      </c>
      <c r="U17" s="2295"/>
      <c r="V17" s="2296"/>
      <c r="W17" s="2296"/>
      <c r="X17" s="2296"/>
    </row>
    <row r="18" spans="1:25" ht="27" customHeight="1" x14ac:dyDescent="0.25">
      <c r="A18" s="100" t="s">
        <v>40</v>
      </c>
      <c r="B18" s="2264">
        <f>C12</f>
        <v>114900</v>
      </c>
      <c r="C18" s="2261"/>
      <c r="D18" s="2162">
        <f>E12</f>
        <v>0</v>
      </c>
      <c r="E18" s="2162">
        <f>G12</f>
        <v>90</v>
      </c>
      <c r="F18" s="2162">
        <f>I12</f>
        <v>520</v>
      </c>
      <c r="G18" s="2162">
        <f>K12</f>
        <v>0</v>
      </c>
      <c r="H18" s="2160"/>
      <c r="I18" s="2162">
        <f>U12</f>
        <v>15</v>
      </c>
      <c r="J18" s="2160"/>
      <c r="K18" s="2162">
        <f>W12</f>
        <v>2</v>
      </c>
      <c r="L18" s="2160"/>
      <c r="M18" s="2162">
        <v>2</v>
      </c>
      <c r="N18" s="2162">
        <f>O12</f>
        <v>0</v>
      </c>
      <c r="O18" s="2161">
        <f>Q12</f>
        <v>0</v>
      </c>
      <c r="P18" s="2162"/>
      <c r="Q18" s="2262"/>
      <c r="R18" s="2262"/>
      <c r="S18" s="2157"/>
      <c r="T18" s="2254" t="s">
        <v>57</v>
      </c>
      <c r="U18" s="2254"/>
      <c r="V18" s="2262">
        <v>5980</v>
      </c>
      <c r="W18" s="2262"/>
      <c r="X18" s="2262"/>
      <c r="Y18" s="2269"/>
    </row>
    <row r="19" spans="1:25" ht="25.5" customHeight="1" x14ac:dyDescent="0.25">
      <c r="A19" s="100" t="s">
        <v>41</v>
      </c>
      <c r="B19" s="2260">
        <f>B15+B16+B17-B18</f>
        <v>334545</v>
      </c>
      <c r="C19" s="2261"/>
      <c r="D19" s="2160">
        <f>D15+D16+D17-D18</f>
        <v>0</v>
      </c>
      <c r="E19" s="2160">
        <f t="shared" ref="E19:N19" si="13">E15+E16+E17-E18</f>
        <v>690</v>
      </c>
      <c r="F19" s="2160">
        <f t="shared" si="13"/>
        <v>6710</v>
      </c>
      <c r="G19" s="2160">
        <f t="shared" si="13"/>
        <v>670</v>
      </c>
      <c r="H19" s="2160">
        <f t="shared" si="13"/>
        <v>34</v>
      </c>
      <c r="I19" s="2160">
        <f t="shared" si="13"/>
        <v>56</v>
      </c>
      <c r="J19" s="2160">
        <f t="shared" si="13"/>
        <v>0</v>
      </c>
      <c r="K19" s="2160">
        <f t="shared" si="13"/>
        <v>78</v>
      </c>
      <c r="L19" s="2160">
        <f t="shared" si="13"/>
        <v>12</v>
      </c>
      <c r="M19" s="2162">
        <f>M15+M16+M17-M18</f>
        <v>13</v>
      </c>
      <c r="N19" s="2160">
        <f t="shared" si="13"/>
        <v>0</v>
      </c>
      <c r="O19" s="2160">
        <f>O15+O16+O17-O18</f>
        <v>0</v>
      </c>
      <c r="P19" s="2160">
        <f t="shared" ref="P19:Q19" si="14">P15+P16+P17-P18</f>
        <v>100</v>
      </c>
      <c r="Q19" s="2260">
        <f t="shared" si="14"/>
        <v>0</v>
      </c>
      <c r="R19" s="2261"/>
      <c r="S19" s="2157">
        <f>S15+S16-S17-S18</f>
        <v>0</v>
      </c>
      <c r="T19" s="2256" t="s">
        <v>48</v>
      </c>
      <c r="U19" s="49" t="s">
        <v>58</v>
      </c>
      <c r="V19" s="2262">
        <v>130000</v>
      </c>
      <c r="W19" s="2262"/>
      <c r="X19" s="2262"/>
      <c r="Y19" s="2269"/>
    </row>
    <row r="20" spans="1:25" ht="23.25" customHeight="1" x14ac:dyDescent="0.25">
      <c r="A20" s="289" t="s">
        <v>187</v>
      </c>
      <c r="B20" s="2286">
        <f>B19*0.9625</f>
        <v>321999.5625</v>
      </c>
      <c r="C20" s="2287"/>
      <c r="D20" s="290">
        <f>D19*19.48</f>
        <v>0</v>
      </c>
      <c r="E20" s="290">
        <f>27.97*E19</f>
        <v>19299.3</v>
      </c>
      <c r="F20" s="290">
        <f>18.63*F19</f>
        <v>125007.29999999999</v>
      </c>
      <c r="G20" s="290">
        <f>27.9468*G19</f>
        <v>18724.356</v>
      </c>
      <c r="H20" s="290">
        <f>241*H19</f>
        <v>8194</v>
      </c>
      <c r="I20" s="290">
        <f>323*I19</f>
        <v>18088</v>
      </c>
      <c r="J20" s="290">
        <f>241*J19</f>
        <v>0</v>
      </c>
      <c r="K20" s="290">
        <f>K19*100</f>
        <v>7800</v>
      </c>
      <c r="L20" s="290">
        <f>470*L19</f>
        <v>5640</v>
      </c>
      <c r="M20" s="290">
        <f>470*M19</f>
        <v>6110</v>
      </c>
      <c r="N20" s="290">
        <f>N19*8.81</f>
        <v>0</v>
      </c>
      <c r="O20" s="290">
        <f>241*O19</f>
        <v>0</v>
      </c>
      <c r="P20" s="290">
        <f>P19*48.2</f>
        <v>4820</v>
      </c>
      <c r="Q20" s="2286">
        <f>470*Q19</f>
        <v>0</v>
      </c>
      <c r="R20" s="2287"/>
      <c r="S20" s="290">
        <f>341*S19</f>
        <v>0</v>
      </c>
      <c r="T20" s="2257"/>
      <c r="U20" s="49" t="s">
        <v>59</v>
      </c>
      <c r="V20" s="2262"/>
      <c r="W20" s="2262"/>
      <c r="X20" s="2262"/>
      <c r="Y20" s="2269"/>
    </row>
    <row r="21" spans="1:25" ht="32.25" customHeight="1" x14ac:dyDescent="0.25">
      <c r="A21" s="291" t="s">
        <v>186</v>
      </c>
      <c r="B21" s="2302">
        <f>SUM(B20:S20)</f>
        <v>535682.51850000001</v>
      </c>
      <c r="C21" s="2302"/>
      <c r="T21" s="2294" t="s">
        <v>464</v>
      </c>
      <c r="U21" s="2295"/>
      <c r="V21" s="2297"/>
      <c r="W21" s="2298"/>
      <c r="X21" s="2299"/>
      <c r="Y21" s="2269"/>
    </row>
    <row r="22" spans="1:25" ht="35.25" customHeight="1" x14ac:dyDescent="0.25">
      <c r="A22" s="1911"/>
      <c r="B22" s="2288" t="s">
        <v>49</v>
      </c>
      <c r="C22" s="2291">
        <v>130000</v>
      </c>
      <c r="D22" s="2291">
        <v>130000</v>
      </c>
      <c r="E22" s="2291">
        <v>178000</v>
      </c>
      <c r="F22" s="2291">
        <f>C22-D22+E22</f>
        <v>178000</v>
      </c>
      <c r="J22" s="14" t="s">
        <v>139</v>
      </c>
      <c r="T22" s="2251" t="s">
        <v>83</v>
      </c>
      <c r="U22" s="50" t="s">
        <v>60</v>
      </c>
      <c r="V22" s="2262">
        <v>120110</v>
      </c>
      <c r="W22" s="2262"/>
      <c r="X22" s="2262"/>
      <c r="Y22" s="2269"/>
    </row>
    <row r="23" spans="1:25" ht="39.75" customHeight="1" x14ac:dyDescent="0.25">
      <c r="B23" s="2289"/>
      <c r="C23" s="2292"/>
      <c r="D23" s="2292"/>
      <c r="E23" s="2292"/>
      <c r="F23" s="2292"/>
      <c r="K23" s="14" t="s">
        <v>594</v>
      </c>
      <c r="T23" s="2252"/>
      <c r="U23" s="50" t="s">
        <v>61</v>
      </c>
      <c r="V23" s="2262">
        <v>130000</v>
      </c>
      <c r="W23" s="2262"/>
      <c r="X23" s="2262"/>
      <c r="Y23" s="2269"/>
    </row>
    <row r="24" spans="1:25" ht="48" customHeight="1" x14ac:dyDescent="0.25">
      <c r="B24" s="2290"/>
      <c r="C24" s="290" t="s">
        <v>46</v>
      </c>
      <c r="D24" s="290" t="s">
        <v>50</v>
      </c>
      <c r="E24" s="290" t="s">
        <v>51</v>
      </c>
      <c r="F24" s="290" t="s">
        <v>52</v>
      </c>
      <c r="T24" s="2235" t="s">
        <v>47</v>
      </c>
      <c r="U24" s="51" t="s">
        <v>62</v>
      </c>
      <c r="V24" s="2263">
        <f>V14+V16+V17-V18-V19-V20-V22+V23-V21</f>
        <v>31178.049999999988</v>
      </c>
      <c r="W24" s="2263"/>
      <c r="X24" s="2263"/>
      <c r="Y24" s="2269"/>
    </row>
    <row r="25" spans="1:25" ht="40.5" customHeight="1" x14ac:dyDescent="0.25">
      <c r="T25" s="2235"/>
      <c r="U25" s="51" t="s">
        <v>63</v>
      </c>
      <c r="V25" s="2262">
        <f>V15+V22-V23</f>
        <v>116874</v>
      </c>
      <c r="W25" s="2262"/>
      <c r="X25" s="2262"/>
    </row>
    <row r="26" spans="1:25" ht="36" customHeight="1" x14ac:dyDescent="0.25">
      <c r="K26" s="314"/>
    </row>
    <row r="28" spans="1:25" x14ac:dyDescent="0.25">
      <c r="J28" s="14" t="s">
        <v>139</v>
      </c>
    </row>
    <row r="32" spans="1:25" x14ac:dyDescent="0.25">
      <c r="I32" s="2280"/>
      <c r="J32" s="2280"/>
      <c r="K32" s="2280"/>
      <c r="L32" s="2280"/>
    </row>
    <row r="33" spans="9:12" x14ac:dyDescent="0.25">
      <c r="I33" s="2164"/>
      <c r="J33" s="2164"/>
      <c r="K33" s="2280"/>
      <c r="L33" s="2280"/>
    </row>
  </sheetData>
  <mergeCells count="62">
    <mergeCell ref="A1:Y1"/>
    <mergeCell ref="A2:Y2"/>
    <mergeCell ref="T3:Y3"/>
    <mergeCell ref="A4:A5"/>
    <mergeCell ref="B4:B5"/>
    <mergeCell ref="C4:D4"/>
    <mergeCell ref="E4:F4"/>
    <mergeCell ref="G4:H4"/>
    <mergeCell ref="I4:J4"/>
    <mergeCell ref="K4:L4"/>
    <mergeCell ref="Y4:Y5"/>
    <mergeCell ref="M4:N4"/>
    <mergeCell ref="O4:P4"/>
    <mergeCell ref="Q4:R4"/>
    <mergeCell ref="S4:T4"/>
    <mergeCell ref="U4:V4"/>
    <mergeCell ref="W4:X4"/>
    <mergeCell ref="B16:C16"/>
    <mergeCell ref="Q16:R16"/>
    <mergeCell ref="T16:U16"/>
    <mergeCell ref="V16:X16"/>
    <mergeCell ref="A12:B12"/>
    <mergeCell ref="B14:C14"/>
    <mergeCell ref="Q14:R14"/>
    <mergeCell ref="T14:T15"/>
    <mergeCell ref="V14:X14"/>
    <mergeCell ref="B15:C15"/>
    <mergeCell ref="Q15:R15"/>
    <mergeCell ref="V15:X15"/>
    <mergeCell ref="B17:C17"/>
    <mergeCell ref="Q17:R17"/>
    <mergeCell ref="T17:U17"/>
    <mergeCell ref="V17:X17"/>
    <mergeCell ref="B18:C18"/>
    <mergeCell ref="Q18:R18"/>
    <mergeCell ref="T18:U18"/>
    <mergeCell ref="V18:X18"/>
    <mergeCell ref="Y18:Y24"/>
    <mergeCell ref="B19:C19"/>
    <mergeCell ref="Q19:R19"/>
    <mergeCell ref="T19:T20"/>
    <mergeCell ref="V19:X19"/>
    <mergeCell ref="B20:C20"/>
    <mergeCell ref="B22:B24"/>
    <mergeCell ref="C22:C23"/>
    <mergeCell ref="D22:D23"/>
    <mergeCell ref="E22:E23"/>
    <mergeCell ref="F22:F23"/>
    <mergeCell ref="Q20:R20"/>
    <mergeCell ref="V20:X20"/>
    <mergeCell ref="B21:C21"/>
    <mergeCell ref="T21:U21"/>
    <mergeCell ref="V21:X21"/>
    <mergeCell ref="I32:J32"/>
    <mergeCell ref="K32:L32"/>
    <mergeCell ref="K33:L33"/>
    <mergeCell ref="T22:T23"/>
    <mergeCell ref="V22:X22"/>
    <mergeCell ref="V23:X23"/>
    <mergeCell ref="T24:T25"/>
    <mergeCell ref="V24:X24"/>
    <mergeCell ref="V25:X25"/>
  </mergeCells>
  <pageMargins left="0.15748031496063" right="0.15748031496063" top="0" bottom="0" header="0" footer="0"/>
  <pageSetup paperSize="9" scale="46" orientation="landscape" r:id="rId1"/>
</worksheet>
</file>

<file path=xl/worksheets/sheet3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0A0C114-CB2D-4EC0-8028-90BDE81665EE}">
  <sheetPr>
    <pageSetUpPr fitToPage="1"/>
  </sheetPr>
  <dimension ref="A1:Y33"/>
  <sheetViews>
    <sheetView topLeftCell="D8" zoomScale="70" zoomScaleNormal="70" zoomScaleSheetLayoutView="100" zoomScalePageLayoutView="68" workbookViewId="0">
      <selection activeCell="I24" sqref="I24"/>
    </sheetView>
  </sheetViews>
  <sheetFormatPr defaultColWidth="9.140625" defaultRowHeight="15" x14ac:dyDescent="0.25"/>
  <cols>
    <col min="1" max="1" width="18.28515625" style="14" customWidth="1"/>
    <col min="2" max="2" width="10.7109375" style="14" customWidth="1"/>
    <col min="3" max="3" width="12.28515625" style="14" customWidth="1"/>
    <col min="4" max="4" width="13.140625" style="14" bestFit="1" customWidth="1"/>
    <col min="5" max="5" width="12" style="14" customWidth="1"/>
    <col min="6" max="6" width="14" style="14" bestFit="1" customWidth="1"/>
    <col min="7" max="7" width="16" style="14" bestFit="1" customWidth="1"/>
    <col min="8" max="8" width="11" style="14" bestFit="1" customWidth="1"/>
    <col min="9" max="9" width="10.5703125" style="14" bestFit="1" customWidth="1"/>
    <col min="10" max="10" width="10.5703125" style="14" customWidth="1"/>
    <col min="11" max="11" width="10.28515625" style="14" bestFit="1" customWidth="1"/>
    <col min="12" max="12" width="10.42578125" style="14" bestFit="1" customWidth="1"/>
    <col min="13" max="14" width="12" style="14" bestFit="1" customWidth="1"/>
    <col min="15" max="15" width="11" style="14" customWidth="1"/>
    <col min="16" max="16" width="12.85546875" style="14" bestFit="1" customWidth="1"/>
    <col min="17" max="18" width="9.42578125" style="14" customWidth="1"/>
    <col min="19" max="19" width="13.7109375" style="14" customWidth="1"/>
    <col min="20" max="20" width="12.140625" style="14" customWidth="1"/>
    <col min="21" max="21" width="21.7109375" style="14" customWidth="1"/>
    <col min="22" max="22" width="9.85546875" style="14" customWidth="1"/>
    <col min="23" max="23" width="10.140625" style="14" bestFit="1" customWidth="1"/>
    <col min="24" max="24" width="10.28515625" style="14" customWidth="1"/>
    <col min="25" max="25" width="15.7109375" style="14" customWidth="1"/>
    <col min="26" max="16384" width="9.140625" style="14"/>
  </cols>
  <sheetData>
    <row r="1" spans="1:25" ht="46.15" customHeight="1" x14ac:dyDescent="0.25">
      <c r="A1" s="2240" t="s">
        <v>148</v>
      </c>
      <c r="B1" s="2240"/>
      <c r="C1" s="2240"/>
      <c r="D1" s="2240"/>
      <c r="E1" s="2240"/>
      <c r="F1" s="2240"/>
      <c r="G1" s="2240"/>
      <c r="H1" s="2240"/>
      <c r="I1" s="2240"/>
      <c r="J1" s="2240"/>
      <c r="K1" s="2240"/>
      <c r="L1" s="2240"/>
      <c r="M1" s="2240"/>
      <c r="N1" s="2240"/>
      <c r="O1" s="2240"/>
      <c r="P1" s="2240"/>
      <c r="Q1" s="2240"/>
      <c r="R1" s="2240"/>
      <c r="S1" s="2240"/>
      <c r="T1" s="2240"/>
      <c r="U1" s="2240"/>
      <c r="V1" s="2240"/>
      <c r="W1" s="2240"/>
      <c r="X1" s="2240"/>
      <c r="Y1" s="2240"/>
    </row>
    <row r="2" spans="1:25" ht="21.6" customHeight="1" x14ac:dyDescent="0.25">
      <c r="A2" s="2241" t="s">
        <v>383</v>
      </c>
      <c r="B2" s="2241"/>
      <c r="C2" s="2241"/>
      <c r="D2" s="2241"/>
      <c r="E2" s="2241"/>
      <c r="F2" s="2241"/>
      <c r="G2" s="2241"/>
      <c r="H2" s="2241"/>
      <c r="I2" s="2241"/>
      <c r="J2" s="2241"/>
      <c r="K2" s="2241"/>
      <c r="L2" s="2241"/>
      <c r="M2" s="2241"/>
      <c r="N2" s="2241"/>
      <c r="O2" s="2241"/>
      <c r="P2" s="2241"/>
      <c r="Q2" s="2241"/>
      <c r="R2" s="2241"/>
      <c r="S2" s="2241"/>
      <c r="T2" s="2241"/>
      <c r="U2" s="2241"/>
      <c r="V2" s="2241"/>
      <c r="W2" s="2241"/>
      <c r="X2" s="2241"/>
      <c r="Y2" s="2241"/>
    </row>
    <row r="3" spans="1:25" ht="21" customHeight="1" x14ac:dyDescent="0.25">
      <c r="A3" s="2170"/>
      <c r="B3" s="2170"/>
      <c r="C3" s="2170"/>
      <c r="D3" s="2170"/>
      <c r="E3" s="2170"/>
      <c r="F3" s="2170"/>
      <c r="G3" s="2170"/>
      <c r="H3" s="2170"/>
      <c r="I3" s="2170"/>
      <c r="J3" s="2170"/>
      <c r="K3" s="2170"/>
      <c r="L3" s="2170"/>
      <c r="M3" s="2170"/>
      <c r="N3" s="2170"/>
      <c r="O3" s="2170"/>
      <c r="P3" s="2170"/>
      <c r="Q3" s="2170"/>
      <c r="R3" s="2170"/>
      <c r="S3" s="2170"/>
      <c r="T3" s="2242" t="s">
        <v>600</v>
      </c>
      <c r="U3" s="2242"/>
      <c r="V3" s="2242"/>
      <c r="W3" s="2242"/>
      <c r="X3" s="2242"/>
      <c r="Y3" s="2242"/>
    </row>
    <row r="4" spans="1:25" s="2170" customFormat="1" ht="18" customHeight="1" x14ac:dyDescent="0.25">
      <c r="A4" s="2243" t="s">
        <v>25</v>
      </c>
      <c r="B4" s="2243" t="s">
        <v>26</v>
      </c>
      <c r="C4" s="2244" t="s">
        <v>27</v>
      </c>
      <c r="D4" s="2244"/>
      <c r="E4" s="2244" t="s">
        <v>544</v>
      </c>
      <c r="F4" s="2244"/>
      <c r="G4" s="2244" t="s">
        <v>65</v>
      </c>
      <c r="H4" s="2244"/>
      <c r="I4" s="2244" t="s">
        <v>29</v>
      </c>
      <c r="J4" s="2244"/>
      <c r="K4" s="2245" t="s">
        <v>14</v>
      </c>
      <c r="L4" s="2246"/>
      <c r="M4" s="2245" t="s">
        <v>429</v>
      </c>
      <c r="N4" s="2246"/>
      <c r="O4" s="2245" t="s">
        <v>441</v>
      </c>
      <c r="P4" s="2246"/>
      <c r="Q4" s="2245" t="s">
        <v>114</v>
      </c>
      <c r="R4" s="2246"/>
      <c r="S4" s="2244" t="s">
        <v>35</v>
      </c>
      <c r="T4" s="2244"/>
      <c r="U4" s="2245" t="s">
        <v>17</v>
      </c>
      <c r="V4" s="2246"/>
      <c r="W4" s="2247" t="s">
        <v>36</v>
      </c>
      <c r="X4" s="2248"/>
      <c r="Y4" s="2238" t="s">
        <v>30</v>
      </c>
    </row>
    <row r="5" spans="1:25" s="2170" customFormat="1" ht="25.5" customHeight="1" x14ac:dyDescent="0.25">
      <c r="A5" s="2243"/>
      <c r="B5" s="2243"/>
      <c r="C5" s="2169" t="s">
        <v>42</v>
      </c>
      <c r="D5" s="2169" t="s">
        <v>43</v>
      </c>
      <c r="E5" s="2169" t="s">
        <v>42</v>
      </c>
      <c r="F5" s="2169" t="s">
        <v>43</v>
      </c>
      <c r="G5" s="2169" t="s">
        <v>42</v>
      </c>
      <c r="H5" s="2169" t="s">
        <v>43</v>
      </c>
      <c r="I5" s="2169" t="s">
        <v>42</v>
      </c>
      <c r="J5" s="2169" t="s">
        <v>43</v>
      </c>
      <c r="K5" s="2169" t="s">
        <v>42</v>
      </c>
      <c r="L5" s="2169" t="s">
        <v>43</v>
      </c>
      <c r="M5" s="2169" t="s">
        <v>42</v>
      </c>
      <c r="N5" s="2169" t="s">
        <v>43</v>
      </c>
      <c r="O5" s="2169" t="s">
        <v>42</v>
      </c>
      <c r="P5" s="2169" t="s">
        <v>43</v>
      </c>
      <c r="Q5" s="2169" t="s">
        <v>42</v>
      </c>
      <c r="R5" s="2169" t="s">
        <v>43</v>
      </c>
      <c r="S5" s="33" t="s">
        <v>42</v>
      </c>
      <c r="T5" s="33" t="s">
        <v>43</v>
      </c>
      <c r="U5" s="30" t="s">
        <v>42</v>
      </c>
      <c r="V5" s="30" t="s">
        <v>43</v>
      </c>
      <c r="W5" s="30" t="s">
        <v>42</v>
      </c>
      <c r="X5" s="30" t="s">
        <v>43</v>
      </c>
      <c r="Y5" s="2239"/>
    </row>
    <row r="6" spans="1:25" ht="34.5" customHeight="1" x14ac:dyDescent="0.25">
      <c r="A6" s="12">
        <v>1409935200</v>
      </c>
      <c r="B6" s="2168" t="s">
        <v>71</v>
      </c>
      <c r="C6" s="2166">
        <v>40717</v>
      </c>
      <c r="D6" s="2165">
        <f t="shared" ref="D6:D11" si="0">0.9725*C6</f>
        <v>39597.282500000001</v>
      </c>
      <c r="E6" s="2166"/>
      <c r="F6" s="2165">
        <f>19.68*E6</f>
        <v>0</v>
      </c>
      <c r="G6" s="2166"/>
      <c r="H6" s="2165">
        <f t="shared" ref="H6:H11" si="1">28.26*G6</f>
        <v>0</v>
      </c>
      <c r="I6" s="2166">
        <v>40</v>
      </c>
      <c r="J6" s="2165">
        <f>18.82*I6</f>
        <v>752.8</v>
      </c>
      <c r="K6" s="2166"/>
      <c r="L6" s="2165">
        <f>28.25*K6</f>
        <v>0</v>
      </c>
      <c r="M6" s="2166"/>
      <c r="N6" s="2165">
        <f>M6*47.6525</f>
        <v>0</v>
      </c>
      <c r="O6" s="2166"/>
      <c r="P6" s="2165">
        <f>O6*8.9</f>
        <v>0</v>
      </c>
      <c r="Q6" s="2165"/>
      <c r="R6" s="2165">
        <f>241*Q6</f>
        <v>0</v>
      </c>
      <c r="S6" s="2166"/>
      <c r="T6" s="2166">
        <f>470*S6</f>
        <v>0</v>
      </c>
      <c r="U6" s="2166"/>
      <c r="V6" s="2166">
        <f>332*U6</f>
        <v>0</v>
      </c>
      <c r="W6" s="2166"/>
      <c r="X6" s="19">
        <f>W6*100</f>
        <v>0</v>
      </c>
      <c r="Y6" s="20">
        <f t="shared" ref="Y6:Y12" si="2">D6+F6+H6+J6+L6+N6+P6+R6+T6+V6+X6</f>
        <v>40350.082500000004</v>
      </c>
    </row>
    <row r="7" spans="1:25" ht="36.75" customHeight="1" x14ac:dyDescent="0.25">
      <c r="A7" s="12">
        <v>1984225578</v>
      </c>
      <c r="B7" s="2168" t="s">
        <v>509</v>
      </c>
      <c r="C7" s="2166">
        <v>28537</v>
      </c>
      <c r="D7" s="2165">
        <f t="shared" si="0"/>
        <v>27752.232500000002</v>
      </c>
      <c r="E7" s="2166"/>
      <c r="F7" s="2165">
        <f t="shared" ref="F7:F11" si="3">19.68*E7</f>
        <v>0</v>
      </c>
      <c r="G7" s="2166"/>
      <c r="H7" s="2165">
        <f t="shared" si="1"/>
        <v>0</v>
      </c>
      <c r="I7" s="2166">
        <v>370</v>
      </c>
      <c r="J7" s="2165">
        <f t="shared" ref="J7:J11" si="4">18.82*I7</f>
        <v>6963.4000000000005</v>
      </c>
      <c r="K7" s="2166"/>
      <c r="L7" s="2165">
        <f t="shared" ref="L7:L11" si="5">28.25*K7</f>
        <v>0</v>
      </c>
      <c r="M7" s="2166"/>
      <c r="N7" s="2165">
        <f t="shared" ref="N7:N11" si="6">M7*47.6525</f>
        <v>0</v>
      </c>
      <c r="O7" s="2166"/>
      <c r="P7" s="2165">
        <f t="shared" ref="P7:P11" si="7">O7*8.9</f>
        <v>0</v>
      </c>
      <c r="Q7" s="2165"/>
      <c r="R7" s="2165">
        <f t="shared" ref="R7:R11" si="8">241*Q7</f>
        <v>0</v>
      </c>
      <c r="S7" s="2166">
        <v>3</v>
      </c>
      <c r="T7" s="2166">
        <f t="shared" ref="T7:T9" si="9">470*S7</f>
        <v>1410</v>
      </c>
      <c r="U7" s="2166"/>
      <c r="V7" s="2166">
        <f t="shared" ref="V7:V11" si="10">332*U7</f>
        <v>0</v>
      </c>
      <c r="W7" s="2166"/>
      <c r="X7" s="19">
        <f t="shared" ref="X7:X11" si="11">W7*100</f>
        <v>0</v>
      </c>
      <c r="Y7" s="20">
        <f t="shared" si="2"/>
        <v>36125.6325</v>
      </c>
    </row>
    <row r="8" spans="1:25" ht="35.25" customHeight="1" x14ac:dyDescent="0.25">
      <c r="A8" s="12">
        <v>1967020280</v>
      </c>
      <c r="B8" s="2168" t="s">
        <v>427</v>
      </c>
      <c r="C8" s="2166">
        <v>39177</v>
      </c>
      <c r="D8" s="2165">
        <f t="shared" si="0"/>
        <v>38099.6325</v>
      </c>
      <c r="E8" s="2166"/>
      <c r="F8" s="2165">
        <f t="shared" si="3"/>
        <v>0</v>
      </c>
      <c r="G8" s="2166">
        <v>30</v>
      </c>
      <c r="H8" s="2165">
        <f t="shared" si="1"/>
        <v>847.80000000000007</v>
      </c>
      <c r="I8" s="2166">
        <v>930</v>
      </c>
      <c r="J8" s="2165">
        <f t="shared" si="4"/>
        <v>17502.599999999999</v>
      </c>
      <c r="K8" s="2166">
        <v>20</v>
      </c>
      <c r="L8" s="2165">
        <f t="shared" si="5"/>
        <v>565</v>
      </c>
      <c r="M8" s="2166"/>
      <c r="N8" s="2165">
        <f t="shared" si="6"/>
        <v>0</v>
      </c>
      <c r="O8" s="2166"/>
      <c r="P8" s="2165">
        <f t="shared" si="7"/>
        <v>0</v>
      </c>
      <c r="Q8" s="2165"/>
      <c r="R8" s="2165">
        <f t="shared" si="8"/>
        <v>0</v>
      </c>
      <c r="S8" s="2166"/>
      <c r="T8" s="2166">
        <f t="shared" si="9"/>
        <v>0</v>
      </c>
      <c r="U8" s="2166"/>
      <c r="V8" s="2166">
        <f t="shared" si="10"/>
        <v>0</v>
      </c>
      <c r="W8" s="2166"/>
      <c r="X8" s="19">
        <f t="shared" si="11"/>
        <v>0</v>
      </c>
      <c r="Y8" s="20">
        <f t="shared" si="2"/>
        <v>57015.032500000001</v>
      </c>
    </row>
    <row r="9" spans="1:25" ht="38.25" customHeight="1" x14ac:dyDescent="0.25">
      <c r="A9" s="12">
        <v>1984225580</v>
      </c>
      <c r="B9" s="2168" t="s">
        <v>74</v>
      </c>
      <c r="C9" s="2166">
        <v>26205</v>
      </c>
      <c r="D9" s="2165">
        <f t="shared" si="0"/>
        <v>25484.362499999999</v>
      </c>
      <c r="E9" s="2166"/>
      <c r="F9" s="2165">
        <f t="shared" si="3"/>
        <v>0</v>
      </c>
      <c r="G9" s="2166"/>
      <c r="H9" s="2165">
        <f t="shared" si="1"/>
        <v>0</v>
      </c>
      <c r="I9" s="2166">
        <v>150</v>
      </c>
      <c r="J9" s="2165">
        <f t="shared" si="4"/>
        <v>2823</v>
      </c>
      <c r="K9" s="2166"/>
      <c r="L9" s="2165">
        <f t="shared" si="5"/>
        <v>0</v>
      </c>
      <c r="M9" s="2166"/>
      <c r="N9" s="2165">
        <f t="shared" si="6"/>
        <v>0</v>
      </c>
      <c r="O9" s="2166"/>
      <c r="P9" s="2165">
        <f t="shared" si="7"/>
        <v>0</v>
      </c>
      <c r="Q9" s="2165"/>
      <c r="R9" s="2165">
        <f t="shared" si="8"/>
        <v>0</v>
      </c>
      <c r="S9" s="2166"/>
      <c r="T9" s="2166">
        <f t="shared" si="9"/>
        <v>0</v>
      </c>
      <c r="U9" s="2166"/>
      <c r="V9" s="2166">
        <f t="shared" si="10"/>
        <v>0</v>
      </c>
      <c r="W9" s="2166"/>
      <c r="X9" s="19">
        <f t="shared" si="11"/>
        <v>0</v>
      </c>
      <c r="Y9" s="20">
        <f t="shared" si="2"/>
        <v>28307.362499999999</v>
      </c>
    </row>
    <row r="10" spans="1:25" ht="35.25" customHeight="1" x14ac:dyDescent="0.25">
      <c r="A10" s="12">
        <v>1409935199</v>
      </c>
      <c r="C10" s="2166">
        <v>5141</v>
      </c>
      <c r="D10" s="2165">
        <f t="shared" si="0"/>
        <v>4999.6225000000004</v>
      </c>
      <c r="E10" s="2166"/>
      <c r="F10" s="2165">
        <f t="shared" si="3"/>
        <v>0</v>
      </c>
      <c r="G10" s="2166"/>
      <c r="H10" s="2165">
        <f t="shared" si="1"/>
        <v>0</v>
      </c>
      <c r="I10" s="2166"/>
      <c r="J10" s="2165">
        <f t="shared" si="4"/>
        <v>0</v>
      </c>
      <c r="K10" s="2166"/>
      <c r="L10" s="2165">
        <f t="shared" si="5"/>
        <v>0</v>
      </c>
      <c r="M10" s="2166"/>
      <c r="N10" s="2165">
        <f t="shared" si="6"/>
        <v>0</v>
      </c>
      <c r="O10" s="2166"/>
      <c r="P10" s="2165">
        <f t="shared" si="7"/>
        <v>0</v>
      </c>
      <c r="Q10" s="2165"/>
      <c r="R10" s="2165">
        <f t="shared" si="8"/>
        <v>0</v>
      </c>
      <c r="S10" s="2166"/>
      <c r="T10" s="2166">
        <f>470*S10</f>
        <v>0</v>
      </c>
      <c r="U10" s="2166"/>
      <c r="V10" s="2166">
        <f t="shared" si="10"/>
        <v>0</v>
      </c>
      <c r="W10" s="2166"/>
      <c r="X10" s="19">
        <f t="shared" si="11"/>
        <v>0</v>
      </c>
      <c r="Y10" s="20">
        <f t="shared" si="2"/>
        <v>4999.6225000000004</v>
      </c>
    </row>
    <row r="11" spans="1:25" ht="37.5" customHeight="1" x14ac:dyDescent="0.25">
      <c r="A11" s="12"/>
      <c r="B11" s="2167"/>
      <c r="C11" s="2166"/>
      <c r="D11" s="2165">
        <f t="shared" si="0"/>
        <v>0</v>
      </c>
      <c r="E11" s="2166"/>
      <c r="F11" s="2165">
        <f t="shared" si="3"/>
        <v>0</v>
      </c>
      <c r="G11" s="2166"/>
      <c r="H11" s="2165">
        <f t="shared" si="1"/>
        <v>0</v>
      </c>
      <c r="I11" s="2166"/>
      <c r="J11" s="2165">
        <f t="shared" si="4"/>
        <v>0</v>
      </c>
      <c r="K11" s="2166"/>
      <c r="L11" s="2165">
        <f t="shared" si="5"/>
        <v>0</v>
      </c>
      <c r="M11" s="2166"/>
      <c r="N11" s="2165">
        <f t="shared" si="6"/>
        <v>0</v>
      </c>
      <c r="O11" s="2166"/>
      <c r="P11" s="2165">
        <f t="shared" si="7"/>
        <v>0</v>
      </c>
      <c r="Q11" s="2165"/>
      <c r="R11" s="2165">
        <f t="shared" si="8"/>
        <v>0</v>
      </c>
      <c r="S11" s="2166"/>
      <c r="T11" s="2166">
        <f>241*S11</f>
        <v>0</v>
      </c>
      <c r="U11" s="2166"/>
      <c r="V11" s="2166">
        <f t="shared" si="10"/>
        <v>0</v>
      </c>
      <c r="W11" s="2166"/>
      <c r="X11" s="19">
        <f t="shared" si="11"/>
        <v>0</v>
      </c>
      <c r="Y11" s="20">
        <f t="shared" si="2"/>
        <v>0</v>
      </c>
    </row>
    <row r="12" spans="1:25" ht="29.25" customHeight="1" x14ac:dyDescent="0.25">
      <c r="A12" s="2235" t="s">
        <v>31</v>
      </c>
      <c r="B12" s="2235"/>
      <c r="C12" s="18">
        <f t="shared" ref="C12:X12" si="12">SUM(C6:C11)</f>
        <v>139777</v>
      </c>
      <c r="D12" s="18">
        <f t="shared" si="12"/>
        <v>135933.13250000001</v>
      </c>
      <c r="E12" s="18">
        <f t="shared" si="12"/>
        <v>0</v>
      </c>
      <c r="F12" s="18">
        <f t="shared" si="12"/>
        <v>0</v>
      </c>
      <c r="G12" s="18">
        <f t="shared" si="12"/>
        <v>30</v>
      </c>
      <c r="H12" s="18">
        <f t="shared" si="12"/>
        <v>847.80000000000007</v>
      </c>
      <c r="I12" s="18">
        <f t="shared" si="12"/>
        <v>1490</v>
      </c>
      <c r="J12" s="18">
        <f t="shared" si="12"/>
        <v>28041.8</v>
      </c>
      <c r="K12" s="18">
        <f t="shared" si="12"/>
        <v>20</v>
      </c>
      <c r="L12" s="18">
        <f t="shared" si="12"/>
        <v>565</v>
      </c>
      <c r="M12" s="18">
        <f t="shared" si="12"/>
        <v>0</v>
      </c>
      <c r="N12" s="23">
        <f t="shared" si="12"/>
        <v>0</v>
      </c>
      <c r="O12" s="18">
        <f t="shared" si="12"/>
        <v>0</v>
      </c>
      <c r="P12" s="23">
        <f t="shared" si="12"/>
        <v>0</v>
      </c>
      <c r="Q12" s="23">
        <f t="shared" si="12"/>
        <v>0</v>
      </c>
      <c r="R12" s="23">
        <f>SUM(R6:R11)</f>
        <v>0</v>
      </c>
      <c r="S12" s="23">
        <f>SUM(S6:S11)</f>
        <v>3</v>
      </c>
      <c r="T12" s="18">
        <f t="shared" si="12"/>
        <v>1410</v>
      </c>
      <c r="U12" s="18">
        <f t="shared" si="12"/>
        <v>0</v>
      </c>
      <c r="V12" s="18">
        <f t="shared" si="12"/>
        <v>0</v>
      </c>
      <c r="W12" s="18">
        <f t="shared" si="12"/>
        <v>0</v>
      </c>
      <c r="X12" s="18">
        <f t="shared" si="12"/>
        <v>0</v>
      </c>
      <c r="Y12" s="20">
        <f t="shared" si="2"/>
        <v>166797.73249999998</v>
      </c>
    </row>
    <row r="14" spans="1:25" ht="43.5" customHeight="1" x14ac:dyDescent="0.25">
      <c r="A14" s="30" t="s">
        <v>32</v>
      </c>
      <c r="B14" s="2236" t="s">
        <v>27</v>
      </c>
      <c r="C14" s="2236"/>
      <c r="D14" s="30" t="s">
        <v>543</v>
      </c>
      <c r="E14" s="30" t="s">
        <v>65</v>
      </c>
      <c r="F14" s="30" t="s">
        <v>34</v>
      </c>
      <c r="G14" s="30" t="s">
        <v>14</v>
      </c>
      <c r="H14" s="469" t="s">
        <v>173</v>
      </c>
      <c r="I14" s="30" t="s">
        <v>17</v>
      </c>
      <c r="J14" s="2174" t="s">
        <v>174</v>
      </c>
      <c r="K14" s="30" t="s">
        <v>36</v>
      </c>
      <c r="L14" s="2174" t="s">
        <v>403</v>
      </c>
      <c r="M14" s="2174" t="s">
        <v>549</v>
      </c>
      <c r="N14" s="30" t="s">
        <v>442</v>
      </c>
      <c r="O14" s="2174" t="s">
        <v>114</v>
      </c>
      <c r="P14" s="30" t="s">
        <v>70</v>
      </c>
      <c r="Q14" s="2300" t="s">
        <v>479</v>
      </c>
      <c r="R14" s="2301"/>
      <c r="S14" s="2174" t="s">
        <v>401</v>
      </c>
      <c r="T14" s="2235" t="s">
        <v>46</v>
      </c>
      <c r="U14" s="2168" t="s">
        <v>176</v>
      </c>
      <c r="V14" s="2260">
        <v>31178</v>
      </c>
      <c r="W14" s="2268"/>
      <c r="X14" s="2261"/>
    </row>
    <row r="15" spans="1:25" ht="22.5" customHeight="1" x14ac:dyDescent="0.25">
      <c r="A15" s="100" t="s">
        <v>38</v>
      </c>
      <c r="B15" s="2260">
        <v>334545</v>
      </c>
      <c r="C15" s="2261"/>
      <c r="D15" s="2171">
        <v>0</v>
      </c>
      <c r="E15" s="2171">
        <v>690</v>
      </c>
      <c r="F15" s="2171">
        <v>6710</v>
      </c>
      <c r="G15" s="2171">
        <v>670</v>
      </c>
      <c r="H15" s="2171">
        <v>34</v>
      </c>
      <c r="I15" s="2171">
        <v>56</v>
      </c>
      <c r="J15" s="2171"/>
      <c r="K15" s="2171">
        <v>78</v>
      </c>
      <c r="L15" s="2171">
        <v>12</v>
      </c>
      <c r="M15" s="2171">
        <v>13</v>
      </c>
      <c r="N15" s="2171">
        <v>0</v>
      </c>
      <c r="O15" s="2171">
        <v>0</v>
      </c>
      <c r="P15" s="2171">
        <v>100</v>
      </c>
      <c r="Q15" s="2260">
        <v>0</v>
      </c>
      <c r="R15" s="2261"/>
      <c r="S15" s="2168"/>
      <c r="T15" s="2235"/>
      <c r="U15" s="2168" t="s">
        <v>64</v>
      </c>
      <c r="V15" s="2262">
        <v>116874</v>
      </c>
      <c r="W15" s="2262"/>
      <c r="X15" s="2262"/>
    </row>
    <row r="16" spans="1:25" ht="24.75" customHeight="1" x14ac:dyDescent="0.25">
      <c r="A16" s="100" t="s">
        <v>39</v>
      </c>
      <c r="B16" s="2260">
        <v>135064</v>
      </c>
      <c r="C16" s="2261"/>
      <c r="D16" s="2171"/>
      <c r="E16" s="2171"/>
      <c r="F16" s="2171"/>
      <c r="G16" s="2171"/>
      <c r="H16" s="2171"/>
      <c r="I16" s="2171"/>
      <c r="J16" s="2171"/>
      <c r="K16" s="2171"/>
      <c r="L16" s="2171"/>
      <c r="M16" s="2171">
        <v>25</v>
      </c>
      <c r="N16" s="2171"/>
      <c r="O16" s="2171"/>
      <c r="P16" s="2171"/>
      <c r="Q16" s="2262"/>
      <c r="R16" s="2262"/>
      <c r="S16" s="2171"/>
      <c r="T16" s="2254" t="s">
        <v>55</v>
      </c>
      <c r="U16" s="2254"/>
      <c r="V16" s="2267">
        <f>Y12</f>
        <v>166797.73249999998</v>
      </c>
      <c r="W16" s="2267"/>
      <c r="X16" s="2262"/>
    </row>
    <row r="17" spans="1:25" ht="28.5" customHeight="1" x14ac:dyDescent="0.25">
      <c r="A17" s="101" t="s">
        <v>44</v>
      </c>
      <c r="B17" s="2260"/>
      <c r="C17" s="2261"/>
      <c r="D17" s="2171"/>
      <c r="E17" s="2171"/>
      <c r="F17" s="2171"/>
      <c r="G17" s="2171"/>
      <c r="H17" s="2171"/>
      <c r="I17" s="2171"/>
      <c r="J17" s="2171"/>
      <c r="K17" s="2171"/>
      <c r="L17" s="2171"/>
      <c r="M17" s="2171"/>
      <c r="N17" s="2171"/>
      <c r="O17" s="2171"/>
      <c r="P17" s="2171"/>
      <c r="Q17" s="2225"/>
      <c r="R17" s="2225"/>
      <c r="S17" s="2167"/>
      <c r="T17" s="2294" t="s">
        <v>521</v>
      </c>
      <c r="U17" s="2295"/>
      <c r="V17" s="2296"/>
      <c r="W17" s="2296"/>
      <c r="X17" s="2296"/>
    </row>
    <row r="18" spans="1:25" ht="27" customHeight="1" x14ac:dyDescent="0.25">
      <c r="A18" s="100" t="s">
        <v>40</v>
      </c>
      <c r="B18" s="2264">
        <f>C12</f>
        <v>139777</v>
      </c>
      <c r="C18" s="2261"/>
      <c r="D18" s="2173">
        <f>E12</f>
        <v>0</v>
      </c>
      <c r="E18" s="2173">
        <f>G12</f>
        <v>30</v>
      </c>
      <c r="F18" s="2173">
        <f>I12</f>
        <v>1490</v>
      </c>
      <c r="G18" s="2173">
        <f>K12</f>
        <v>20</v>
      </c>
      <c r="H18" s="2171"/>
      <c r="I18" s="2173">
        <f>U12</f>
        <v>0</v>
      </c>
      <c r="J18" s="2171"/>
      <c r="K18" s="2173">
        <f>W12</f>
        <v>0</v>
      </c>
      <c r="L18" s="2171"/>
      <c r="M18" s="2173">
        <v>3</v>
      </c>
      <c r="N18" s="2173">
        <f>O12</f>
        <v>0</v>
      </c>
      <c r="O18" s="2172">
        <f>Q12</f>
        <v>0</v>
      </c>
      <c r="P18" s="2173"/>
      <c r="Q18" s="2262"/>
      <c r="R18" s="2262"/>
      <c r="S18" s="2168"/>
      <c r="T18" s="2254" t="s">
        <v>57</v>
      </c>
      <c r="U18" s="2254"/>
      <c r="V18" s="2262">
        <v>540</v>
      </c>
      <c r="W18" s="2262"/>
      <c r="X18" s="2262"/>
      <c r="Y18" s="2269"/>
    </row>
    <row r="19" spans="1:25" ht="25.5" customHeight="1" x14ac:dyDescent="0.25">
      <c r="A19" s="100" t="s">
        <v>41</v>
      </c>
      <c r="B19" s="2260">
        <f>B15+B16+B17-B18</f>
        <v>329832</v>
      </c>
      <c r="C19" s="2261"/>
      <c r="D19" s="2171">
        <f>D15+D16+D17-D18</f>
        <v>0</v>
      </c>
      <c r="E19" s="2171">
        <f t="shared" ref="E19:N19" si="13">E15+E16+E17-E18</f>
        <v>660</v>
      </c>
      <c r="F19" s="2171">
        <f t="shared" si="13"/>
        <v>5220</v>
      </c>
      <c r="G19" s="2171">
        <f t="shared" si="13"/>
        <v>650</v>
      </c>
      <c r="H19" s="2171">
        <f t="shared" si="13"/>
        <v>34</v>
      </c>
      <c r="I19" s="2171">
        <f t="shared" si="13"/>
        <v>56</v>
      </c>
      <c r="J19" s="2171">
        <f t="shared" si="13"/>
        <v>0</v>
      </c>
      <c r="K19" s="2171">
        <f t="shared" si="13"/>
        <v>78</v>
      </c>
      <c r="L19" s="2171">
        <f t="shared" si="13"/>
        <v>12</v>
      </c>
      <c r="M19" s="2173">
        <f>M15+M16+M17-M18</f>
        <v>35</v>
      </c>
      <c r="N19" s="2171">
        <f t="shared" si="13"/>
        <v>0</v>
      </c>
      <c r="O19" s="2171">
        <f>O15+O16+O17-O18</f>
        <v>0</v>
      </c>
      <c r="P19" s="2171">
        <f t="shared" ref="P19:Q19" si="14">P15+P16+P17-P18</f>
        <v>100</v>
      </c>
      <c r="Q19" s="2260">
        <f t="shared" si="14"/>
        <v>0</v>
      </c>
      <c r="R19" s="2261"/>
      <c r="S19" s="2168">
        <f>S15+S16-S17-S18</f>
        <v>0</v>
      </c>
      <c r="T19" s="2256" t="s">
        <v>48</v>
      </c>
      <c r="U19" s="49" t="s">
        <v>58</v>
      </c>
      <c r="V19" s="2262">
        <v>178000</v>
      </c>
      <c r="W19" s="2262"/>
      <c r="X19" s="2262"/>
      <c r="Y19" s="2269"/>
    </row>
    <row r="20" spans="1:25" ht="23.25" customHeight="1" x14ac:dyDescent="0.25">
      <c r="A20" s="289" t="s">
        <v>187</v>
      </c>
      <c r="B20" s="2286">
        <f>B19*0.9625</f>
        <v>317463.3</v>
      </c>
      <c r="C20" s="2287"/>
      <c r="D20" s="290">
        <f>D19*19.48</f>
        <v>0</v>
      </c>
      <c r="E20" s="290">
        <f>27.97*E19</f>
        <v>18460.2</v>
      </c>
      <c r="F20" s="290">
        <f>18.63*F19</f>
        <v>97248.599999999991</v>
      </c>
      <c r="G20" s="290">
        <f>27.9468*G19</f>
        <v>18165.419999999998</v>
      </c>
      <c r="H20" s="290">
        <f>241*H19</f>
        <v>8194</v>
      </c>
      <c r="I20" s="290">
        <f>323*I19</f>
        <v>18088</v>
      </c>
      <c r="J20" s="290">
        <f>241*J19</f>
        <v>0</v>
      </c>
      <c r="K20" s="290">
        <f>K19*100</f>
        <v>7800</v>
      </c>
      <c r="L20" s="290">
        <f>470*L19</f>
        <v>5640</v>
      </c>
      <c r="M20" s="290">
        <f>470*M19</f>
        <v>16450</v>
      </c>
      <c r="N20" s="290">
        <f>N19*8.81</f>
        <v>0</v>
      </c>
      <c r="O20" s="290">
        <f>241*O19</f>
        <v>0</v>
      </c>
      <c r="P20" s="290">
        <f>P19*48.2</f>
        <v>4820</v>
      </c>
      <c r="Q20" s="2286">
        <f>470*Q19</f>
        <v>0</v>
      </c>
      <c r="R20" s="2287"/>
      <c r="S20" s="290">
        <f>341*S19</f>
        <v>0</v>
      </c>
      <c r="T20" s="2257"/>
      <c r="U20" s="49" t="s">
        <v>59</v>
      </c>
      <c r="V20" s="2262">
        <v>11750</v>
      </c>
      <c r="W20" s="2262"/>
      <c r="X20" s="2262"/>
      <c r="Y20" s="2269"/>
    </row>
    <row r="21" spans="1:25" ht="32.25" customHeight="1" x14ac:dyDescent="0.25">
      <c r="A21" s="291" t="s">
        <v>186</v>
      </c>
      <c r="B21" s="2302">
        <f>SUM(B20:S20)</f>
        <v>512329.51999999996</v>
      </c>
      <c r="C21" s="2302"/>
      <c r="T21" s="2294" t="s">
        <v>464</v>
      </c>
      <c r="U21" s="2295"/>
      <c r="V21" s="2297"/>
      <c r="W21" s="2298"/>
      <c r="X21" s="2299"/>
      <c r="Y21" s="2269"/>
    </row>
    <row r="22" spans="1:25" ht="35.25" customHeight="1" x14ac:dyDescent="0.25">
      <c r="A22" s="1911"/>
      <c r="B22" s="2288" t="s">
        <v>49</v>
      </c>
      <c r="C22" s="2291">
        <v>178000</v>
      </c>
      <c r="D22" s="2291">
        <v>178000</v>
      </c>
      <c r="E22" s="2291">
        <v>130000</v>
      </c>
      <c r="F22" s="2291">
        <f>C22-D22+E22</f>
        <v>130000</v>
      </c>
      <c r="J22" s="14" t="s">
        <v>139</v>
      </c>
      <c r="T22" s="2251" t="s">
        <v>83</v>
      </c>
      <c r="U22" s="50" t="s">
        <v>60</v>
      </c>
      <c r="V22" s="2262">
        <v>135550</v>
      </c>
      <c r="W22" s="2262"/>
      <c r="X22" s="2262"/>
      <c r="Y22" s="2269"/>
    </row>
    <row r="23" spans="1:25" ht="39.75" customHeight="1" x14ac:dyDescent="0.25">
      <c r="B23" s="2289"/>
      <c r="C23" s="2292"/>
      <c r="D23" s="2292"/>
      <c r="E23" s="2292"/>
      <c r="F23" s="2292"/>
      <c r="T23" s="2252"/>
      <c r="U23" s="50" t="s">
        <v>61</v>
      </c>
      <c r="V23" s="2262">
        <v>189750</v>
      </c>
      <c r="W23" s="2262"/>
      <c r="X23" s="2262"/>
      <c r="Y23" s="2269"/>
    </row>
    <row r="24" spans="1:25" ht="48" customHeight="1" x14ac:dyDescent="0.25">
      <c r="B24" s="2290"/>
      <c r="C24" s="290" t="s">
        <v>46</v>
      </c>
      <c r="D24" s="290" t="s">
        <v>50</v>
      </c>
      <c r="E24" s="290" t="s">
        <v>51</v>
      </c>
      <c r="F24" s="290" t="s">
        <v>52</v>
      </c>
      <c r="T24" s="2235" t="s">
        <v>47</v>
      </c>
      <c r="U24" s="51" t="s">
        <v>62</v>
      </c>
      <c r="V24" s="2263">
        <f>V14+V16+V17-V18-V19-V20-V22+V23-V21</f>
        <v>61885.732499999984</v>
      </c>
      <c r="W24" s="2263"/>
      <c r="X24" s="2263"/>
      <c r="Y24" s="2269"/>
    </row>
    <row r="25" spans="1:25" ht="40.5" customHeight="1" x14ac:dyDescent="0.25">
      <c r="T25" s="2235"/>
      <c r="U25" s="51" t="s">
        <v>63</v>
      </c>
      <c r="V25" s="2262">
        <f>V15+V22-V23</f>
        <v>62674</v>
      </c>
      <c r="W25" s="2262"/>
      <c r="X25" s="2262"/>
    </row>
    <row r="26" spans="1:25" ht="36" customHeight="1" x14ac:dyDescent="0.25">
      <c r="K26" s="314"/>
    </row>
    <row r="28" spans="1:25" x14ac:dyDescent="0.25">
      <c r="J28" s="14" t="s">
        <v>139</v>
      </c>
    </row>
    <row r="32" spans="1:25" x14ac:dyDescent="0.25">
      <c r="I32" s="2280"/>
      <c r="J32" s="2280"/>
      <c r="K32" s="2280"/>
      <c r="L32" s="2280"/>
    </row>
    <row r="33" spans="9:12" x14ac:dyDescent="0.25">
      <c r="I33" s="2175"/>
      <c r="J33" s="2175"/>
      <c r="K33" s="2280"/>
      <c r="L33" s="2280"/>
    </row>
  </sheetData>
  <mergeCells count="62">
    <mergeCell ref="A1:Y1"/>
    <mergeCell ref="A2:Y2"/>
    <mergeCell ref="T3:Y3"/>
    <mergeCell ref="A4:A5"/>
    <mergeCell ref="B4:B5"/>
    <mergeCell ref="C4:D4"/>
    <mergeCell ref="E4:F4"/>
    <mergeCell ref="G4:H4"/>
    <mergeCell ref="I4:J4"/>
    <mergeCell ref="K4:L4"/>
    <mergeCell ref="Y4:Y5"/>
    <mergeCell ref="M4:N4"/>
    <mergeCell ref="O4:P4"/>
    <mergeCell ref="Q4:R4"/>
    <mergeCell ref="S4:T4"/>
    <mergeCell ref="U4:V4"/>
    <mergeCell ref="W4:X4"/>
    <mergeCell ref="B16:C16"/>
    <mergeCell ref="Q16:R16"/>
    <mergeCell ref="T16:U16"/>
    <mergeCell ref="V16:X16"/>
    <mergeCell ref="A12:B12"/>
    <mergeCell ref="B14:C14"/>
    <mergeCell ref="Q14:R14"/>
    <mergeCell ref="T14:T15"/>
    <mergeCell ref="V14:X14"/>
    <mergeCell ref="B15:C15"/>
    <mergeCell ref="Q15:R15"/>
    <mergeCell ref="V15:X15"/>
    <mergeCell ref="B17:C17"/>
    <mergeCell ref="Q17:R17"/>
    <mergeCell ref="T17:U17"/>
    <mergeCell ref="V17:X17"/>
    <mergeCell ref="B18:C18"/>
    <mergeCell ref="Q18:R18"/>
    <mergeCell ref="T18:U18"/>
    <mergeCell ref="V18:X18"/>
    <mergeCell ref="Y18:Y24"/>
    <mergeCell ref="B19:C19"/>
    <mergeCell ref="Q19:R19"/>
    <mergeCell ref="T19:T20"/>
    <mergeCell ref="V19:X19"/>
    <mergeCell ref="B20:C20"/>
    <mergeCell ref="B22:B24"/>
    <mergeCell ref="C22:C23"/>
    <mergeCell ref="D22:D23"/>
    <mergeCell ref="E22:E23"/>
    <mergeCell ref="F22:F23"/>
    <mergeCell ref="Q20:R20"/>
    <mergeCell ref="V20:X20"/>
    <mergeCell ref="B21:C21"/>
    <mergeCell ref="T21:U21"/>
    <mergeCell ref="V21:X21"/>
    <mergeCell ref="I32:J32"/>
    <mergeCell ref="K32:L32"/>
    <mergeCell ref="K33:L33"/>
    <mergeCell ref="T22:T23"/>
    <mergeCell ref="V22:X22"/>
    <mergeCell ref="V23:X23"/>
    <mergeCell ref="T24:T25"/>
    <mergeCell ref="V24:X24"/>
    <mergeCell ref="V25:X25"/>
  </mergeCells>
  <pageMargins left="0.15748031496063" right="0.15748031496063" top="0" bottom="0" header="0" footer="0"/>
  <pageSetup paperSize="9" scale="46" orientation="landscape" r:id="rId1"/>
</worksheet>
</file>

<file path=xl/worksheets/sheet3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AA5E3BF-D3EA-43DC-BCD2-34D523552362}">
  <sheetPr>
    <pageSetUpPr fitToPage="1"/>
  </sheetPr>
  <dimension ref="A1:Y33"/>
  <sheetViews>
    <sheetView topLeftCell="D12" zoomScale="70" zoomScaleNormal="70" zoomScaleSheetLayoutView="100" zoomScalePageLayoutView="68" workbookViewId="0">
      <selection activeCell="L31" sqref="L31"/>
    </sheetView>
  </sheetViews>
  <sheetFormatPr defaultColWidth="9.140625" defaultRowHeight="15" x14ac:dyDescent="0.25"/>
  <cols>
    <col min="1" max="1" width="18.28515625" style="14" customWidth="1"/>
    <col min="2" max="2" width="10.7109375" style="14" customWidth="1"/>
    <col min="3" max="3" width="12.28515625" style="14" customWidth="1"/>
    <col min="4" max="4" width="13.140625" style="14" bestFit="1" customWidth="1"/>
    <col min="5" max="5" width="12" style="14" customWidth="1"/>
    <col min="6" max="6" width="14" style="14" bestFit="1" customWidth="1"/>
    <col min="7" max="7" width="16" style="14" bestFit="1" customWidth="1"/>
    <col min="8" max="8" width="11" style="14" bestFit="1" customWidth="1"/>
    <col min="9" max="9" width="10.5703125" style="14" bestFit="1" customWidth="1"/>
    <col min="10" max="10" width="10.5703125" style="14" customWidth="1"/>
    <col min="11" max="11" width="10.28515625" style="14" bestFit="1" customWidth="1"/>
    <col min="12" max="12" width="10.42578125" style="14" bestFit="1" customWidth="1"/>
    <col min="13" max="14" width="12" style="14" bestFit="1" customWidth="1"/>
    <col min="15" max="15" width="11" style="14" customWidth="1"/>
    <col min="16" max="16" width="12.85546875" style="14" bestFit="1" customWidth="1"/>
    <col min="17" max="18" width="9.42578125" style="14" customWidth="1"/>
    <col min="19" max="19" width="13.7109375" style="14" customWidth="1"/>
    <col min="20" max="20" width="12.140625" style="14" customWidth="1"/>
    <col min="21" max="21" width="21.7109375" style="14" customWidth="1"/>
    <col min="22" max="22" width="9.85546875" style="14" customWidth="1"/>
    <col min="23" max="23" width="10.140625" style="14" bestFit="1" customWidth="1"/>
    <col min="24" max="24" width="10.28515625" style="14" customWidth="1"/>
    <col min="25" max="25" width="15.7109375" style="14" customWidth="1"/>
    <col min="26" max="16384" width="9.140625" style="14"/>
  </cols>
  <sheetData>
    <row r="1" spans="1:25" ht="46.15" customHeight="1" x14ac:dyDescent="0.25">
      <c r="A1" s="2240" t="s">
        <v>148</v>
      </c>
      <c r="B1" s="2240"/>
      <c r="C1" s="2240"/>
      <c r="D1" s="2240"/>
      <c r="E1" s="2240"/>
      <c r="F1" s="2240"/>
      <c r="G1" s="2240"/>
      <c r="H1" s="2240"/>
      <c r="I1" s="2240"/>
      <c r="J1" s="2240"/>
      <c r="K1" s="2240"/>
      <c r="L1" s="2240"/>
      <c r="M1" s="2240"/>
      <c r="N1" s="2240"/>
      <c r="O1" s="2240"/>
      <c r="P1" s="2240"/>
      <c r="Q1" s="2240"/>
      <c r="R1" s="2240"/>
      <c r="S1" s="2240"/>
      <c r="T1" s="2240"/>
      <c r="U1" s="2240"/>
      <c r="V1" s="2240"/>
      <c r="W1" s="2240"/>
      <c r="X1" s="2240"/>
      <c r="Y1" s="2240"/>
    </row>
    <row r="2" spans="1:25" ht="21.6" customHeight="1" x14ac:dyDescent="0.25">
      <c r="A2" s="2241" t="s">
        <v>383</v>
      </c>
      <c r="B2" s="2241"/>
      <c r="C2" s="2241"/>
      <c r="D2" s="2241"/>
      <c r="E2" s="2241"/>
      <c r="F2" s="2241"/>
      <c r="G2" s="2241"/>
      <c r="H2" s="2241"/>
      <c r="I2" s="2241"/>
      <c r="J2" s="2241"/>
      <c r="K2" s="2241"/>
      <c r="L2" s="2241"/>
      <c r="M2" s="2241"/>
      <c r="N2" s="2241"/>
      <c r="O2" s="2241"/>
      <c r="P2" s="2241"/>
      <c r="Q2" s="2241"/>
      <c r="R2" s="2241"/>
      <c r="S2" s="2241"/>
      <c r="T2" s="2241"/>
      <c r="U2" s="2241"/>
      <c r="V2" s="2241"/>
      <c r="W2" s="2241"/>
      <c r="X2" s="2241"/>
      <c r="Y2" s="2241"/>
    </row>
    <row r="3" spans="1:25" ht="21" customHeight="1" x14ac:dyDescent="0.25">
      <c r="A3" s="2181"/>
      <c r="B3" s="2181"/>
      <c r="C3" s="2181"/>
      <c r="D3" s="2181"/>
      <c r="E3" s="2181"/>
      <c r="F3" s="2181"/>
      <c r="G3" s="2181"/>
      <c r="H3" s="2181"/>
      <c r="I3" s="2181"/>
      <c r="J3" s="2181"/>
      <c r="K3" s="2181"/>
      <c r="L3" s="2181"/>
      <c r="M3" s="2181"/>
      <c r="N3" s="2181"/>
      <c r="O3" s="2181"/>
      <c r="P3" s="2181"/>
      <c r="Q3" s="2181"/>
      <c r="R3" s="2181"/>
      <c r="S3" s="2181"/>
      <c r="T3" s="2242" t="s">
        <v>601</v>
      </c>
      <c r="U3" s="2242"/>
      <c r="V3" s="2242"/>
      <c r="W3" s="2242"/>
      <c r="X3" s="2242"/>
      <c r="Y3" s="2242"/>
    </row>
    <row r="4" spans="1:25" s="2181" customFormat="1" ht="18" customHeight="1" x14ac:dyDescent="0.25">
      <c r="A4" s="2243" t="s">
        <v>25</v>
      </c>
      <c r="B4" s="2243" t="s">
        <v>26</v>
      </c>
      <c r="C4" s="2244" t="s">
        <v>27</v>
      </c>
      <c r="D4" s="2244"/>
      <c r="E4" s="2244" t="s">
        <v>544</v>
      </c>
      <c r="F4" s="2244"/>
      <c r="G4" s="2244" t="s">
        <v>65</v>
      </c>
      <c r="H4" s="2244"/>
      <c r="I4" s="2244" t="s">
        <v>29</v>
      </c>
      <c r="J4" s="2244"/>
      <c r="K4" s="2245" t="s">
        <v>14</v>
      </c>
      <c r="L4" s="2246"/>
      <c r="M4" s="2245" t="s">
        <v>429</v>
      </c>
      <c r="N4" s="2246"/>
      <c r="O4" s="2245" t="s">
        <v>441</v>
      </c>
      <c r="P4" s="2246"/>
      <c r="Q4" s="2245" t="s">
        <v>114</v>
      </c>
      <c r="R4" s="2246"/>
      <c r="S4" s="2244" t="s">
        <v>35</v>
      </c>
      <c r="T4" s="2244"/>
      <c r="U4" s="2245" t="s">
        <v>17</v>
      </c>
      <c r="V4" s="2246"/>
      <c r="W4" s="2247" t="s">
        <v>36</v>
      </c>
      <c r="X4" s="2248"/>
      <c r="Y4" s="2238" t="s">
        <v>30</v>
      </c>
    </row>
    <row r="5" spans="1:25" s="2181" customFormat="1" ht="25.5" customHeight="1" x14ac:dyDescent="0.25">
      <c r="A5" s="2243"/>
      <c r="B5" s="2243"/>
      <c r="C5" s="2180" t="s">
        <v>42</v>
      </c>
      <c r="D5" s="2180" t="s">
        <v>43</v>
      </c>
      <c r="E5" s="2180" t="s">
        <v>42</v>
      </c>
      <c r="F5" s="2180" t="s">
        <v>43</v>
      </c>
      <c r="G5" s="2180" t="s">
        <v>42</v>
      </c>
      <c r="H5" s="2180" t="s">
        <v>43</v>
      </c>
      <c r="I5" s="2180" t="s">
        <v>42</v>
      </c>
      <c r="J5" s="2180" t="s">
        <v>43</v>
      </c>
      <c r="K5" s="2180" t="s">
        <v>42</v>
      </c>
      <c r="L5" s="2180" t="s">
        <v>43</v>
      </c>
      <c r="M5" s="2180" t="s">
        <v>42</v>
      </c>
      <c r="N5" s="2180" t="s">
        <v>43</v>
      </c>
      <c r="O5" s="2180" t="s">
        <v>42</v>
      </c>
      <c r="P5" s="2180" t="s">
        <v>43</v>
      </c>
      <c r="Q5" s="2180" t="s">
        <v>42</v>
      </c>
      <c r="R5" s="2180" t="s">
        <v>43</v>
      </c>
      <c r="S5" s="33" t="s">
        <v>42</v>
      </c>
      <c r="T5" s="33" t="s">
        <v>43</v>
      </c>
      <c r="U5" s="30" t="s">
        <v>42</v>
      </c>
      <c r="V5" s="30" t="s">
        <v>43</v>
      </c>
      <c r="W5" s="30" t="s">
        <v>42</v>
      </c>
      <c r="X5" s="30" t="s">
        <v>43</v>
      </c>
      <c r="Y5" s="2239"/>
    </row>
    <row r="6" spans="1:25" ht="34.5" customHeight="1" x14ac:dyDescent="0.25">
      <c r="A6" s="12">
        <v>1409935200</v>
      </c>
      <c r="B6" s="2179" t="s">
        <v>71</v>
      </c>
      <c r="C6" s="2177">
        <v>28948</v>
      </c>
      <c r="D6" s="2176">
        <f t="shared" ref="D6:D11" si="0">0.9725*C6</f>
        <v>28151.93</v>
      </c>
      <c r="E6" s="2177"/>
      <c r="F6" s="2176">
        <f>19.68*E6</f>
        <v>0</v>
      </c>
      <c r="G6" s="2177">
        <v>80</v>
      </c>
      <c r="H6" s="2176">
        <f t="shared" ref="H6:H11" si="1">28.26*G6</f>
        <v>2260.8000000000002</v>
      </c>
      <c r="I6" s="2177">
        <v>100</v>
      </c>
      <c r="J6" s="2176">
        <f>18.82*I6</f>
        <v>1882</v>
      </c>
      <c r="K6" s="2177"/>
      <c r="L6" s="2176">
        <f>28.25*K6</f>
        <v>0</v>
      </c>
      <c r="M6" s="2177"/>
      <c r="N6" s="2176">
        <f>M6*47.6525</f>
        <v>0</v>
      </c>
      <c r="O6" s="2177"/>
      <c r="P6" s="2176">
        <f>O6*8.9</f>
        <v>0</v>
      </c>
      <c r="Q6" s="2176"/>
      <c r="R6" s="2176">
        <f>241*Q6</f>
        <v>0</v>
      </c>
      <c r="S6" s="2177">
        <v>5</v>
      </c>
      <c r="T6" s="2177">
        <f>470*S6</f>
        <v>2350</v>
      </c>
      <c r="U6" s="2177"/>
      <c r="V6" s="2177">
        <f>332*U6</f>
        <v>0</v>
      </c>
      <c r="W6" s="2177"/>
      <c r="X6" s="19">
        <f>W6*100</f>
        <v>0</v>
      </c>
      <c r="Y6" s="20">
        <f t="shared" ref="Y6:Y12" si="2">D6+F6+H6+J6+L6+N6+P6+R6+T6+V6+X6</f>
        <v>34644.729999999996</v>
      </c>
    </row>
    <row r="7" spans="1:25" ht="36.75" customHeight="1" x14ac:dyDescent="0.25">
      <c r="A7" s="12">
        <v>1984225578</v>
      </c>
      <c r="B7" s="2179" t="s">
        <v>509</v>
      </c>
      <c r="C7" s="2177">
        <v>52707</v>
      </c>
      <c r="D7" s="2176">
        <f t="shared" si="0"/>
        <v>51257.557500000003</v>
      </c>
      <c r="E7" s="2177"/>
      <c r="F7" s="2176">
        <f t="shared" ref="F7:F11" si="3">19.68*E7</f>
        <v>0</v>
      </c>
      <c r="G7" s="2177">
        <v>30</v>
      </c>
      <c r="H7" s="2176">
        <f t="shared" si="1"/>
        <v>847.80000000000007</v>
      </c>
      <c r="I7" s="2177">
        <v>30</v>
      </c>
      <c r="J7" s="2176">
        <f t="shared" ref="J7:J11" si="4">18.82*I7</f>
        <v>564.6</v>
      </c>
      <c r="K7" s="2177"/>
      <c r="L7" s="2176">
        <f t="shared" ref="L7:L11" si="5">28.25*K7</f>
        <v>0</v>
      </c>
      <c r="M7" s="2177"/>
      <c r="N7" s="2176">
        <f t="shared" ref="N7:N11" si="6">M7*47.6525</f>
        <v>0</v>
      </c>
      <c r="O7" s="2177"/>
      <c r="P7" s="2176">
        <f t="shared" ref="P7:P11" si="7">O7*8.9</f>
        <v>0</v>
      </c>
      <c r="Q7" s="2176"/>
      <c r="R7" s="2176">
        <f t="shared" ref="R7:R11" si="8">241*Q7</f>
        <v>0</v>
      </c>
      <c r="S7" s="2177">
        <v>5</v>
      </c>
      <c r="T7" s="2177">
        <f t="shared" ref="T7:T9" si="9">470*S7</f>
        <v>2350</v>
      </c>
      <c r="U7" s="2177"/>
      <c r="V7" s="2177">
        <f t="shared" ref="V7:V11" si="10">332*U7</f>
        <v>0</v>
      </c>
      <c r="W7" s="2177"/>
      <c r="X7" s="19">
        <f t="shared" ref="X7:X11" si="11">W7*100</f>
        <v>0</v>
      </c>
      <c r="Y7" s="20">
        <f t="shared" si="2"/>
        <v>55019.957500000004</v>
      </c>
    </row>
    <row r="8" spans="1:25" ht="35.25" customHeight="1" x14ac:dyDescent="0.25">
      <c r="A8" s="12">
        <v>1967020280</v>
      </c>
      <c r="B8" s="2179" t="s">
        <v>427</v>
      </c>
      <c r="C8" s="2177">
        <v>54966</v>
      </c>
      <c r="D8" s="2176">
        <f t="shared" si="0"/>
        <v>53454.435000000005</v>
      </c>
      <c r="E8" s="2177"/>
      <c r="F8" s="2176">
        <f t="shared" si="3"/>
        <v>0</v>
      </c>
      <c r="G8" s="2177"/>
      <c r="H8" s="2176">
        <f t="shared" si="1"/>
        <v>0</v>
      </c>
      <c r="I8" s="2177">
        <v>300</v>
      </c>
      <c r="J8" s="2176">
        <f t="shared" si="4"/>
        <v>5646</v>
      </c>
      <c r="K8" s="2177"/>
      <c r="L8" s="2176">
        <f t="shared" si="5"/>
        <v>0</v>
      </c>
      <c r="M8" s="2177"/>
      <c r="N8" s="2176">
        <f t="shared" si="6"/>
        <v>0</v>
      </c>
      <c r="O8" s="2177"/>
      <c r="P8" s="2176">
        <f t="shared" si="7"/>
        <v>0</v>
      </c>
      <c r="Q8" s="2176"/>
      <c r="R8" s="2176">
        <f t="shared" si="8"/>
        <v>0</v>
      </c>
      <c r="S8" s="2177"/>
      <c r="T8" s="2177">
        <f t="shared" si="9"/>
        <v>0</v>
      </c>
      <c r="U8" s="2177"/>
      <c r="V8" s="2177">
        <f t="shared" si="10"/>
        <v>0</v>
      </c>
      <c r="W8" s="2177"/>
      <c r="X8" s="19">
        <f t="shared" si="11"/>
        <v>0</v>
      </c>
      <c r="Y8" s="20">
        <f t="shared" si="2"/>
        <v>59100.435000000005</v>
      </c>
    </row>
    <row r="9" spans="1:25" ht="38.25" customHeight="1" x14ac:dyDescent="0.25">
      <c r="A9" s="12">
        <v>1984225580</v>
      </c>
      <c r="B9" s="2179" t="s">
        <v>74</v>
      </c>
      <c r="C9" s="2177">
        <v>62024</v>
      </c>
      <c r="D9" s="2176">
        <f t="shared" si="0"/>
        <v>60318.340000000004</v>
      </c>
      <c r="E9" s="2177"/>
      <c r="F9" s="2176">
        <f t="shared" si="3"/>
        <v>0</v>
      </c>
      <c r="G9" s="2177"/>
      <c r="H9" s="2176">
        <f t="shared" si="1"/>
        <v>0</v>
      </c>
      <c r="I9" s="2177">
        <v>500</v>
      </c>
      <c r="J9" s="2176">
        <f t="shared" si="4"/>
        <v>9410</v>
      </c>
      <c r="K9" s="2177"/>
      <c r="L9" s="2176">
        <f t="shared" si="5"/>
        <v>0</v>
      </c>
      <c r="M9" s="2177"/>
      <c r="N9" s="2176">
        <f t="shared" si="6"/>
        <v>0</v>
      </c>
      <c r="O9" s="2177"/>
      <c r="P9" s="2176">
        <f t="shared" si="7"/>
        <v>0</v>
      </c>
      <c r="Q9" s="2176"/>
      <c r="R9" s="2176">
        <f t="shared" si="8"/>
        <v>0</v>
      </c>
      <c r="S9" s="2177"/>
      <c r="T9" s="2177">
        <f t="shared" si="9"/>
        <v>0</v>
      </c>
      <c r="U9" s="2177"/>
      <c r="V9" s="2177">
        <f t="shared" si="10"/>
        <v>0</v>
      </c>
      <c r="W9" s="2177"/>
      <c r="X9" s="19">
        <f t="shared" si="11"/>
        <v>0</v>
      </c>
      <c r="Y9" s="20">
        <f t="shared" si="2"/>
        <v>69728.34</v>
      </c>
    </row>
    <row r="10" spans="1:25" ht="35.25" customHeight="1" x14ac:dyDescent="0.25">
      <c r="A10" s="12">
        <v>1409935199</v>
      </c>
      <c r="C10" s="2177"/>
      <c r="D10" s="2176">
        <f t="shared" si="0"/>
        <v>0</v>
      </c>
      <c r="E10" s="2177"/>
      <c r="F10" s="2176">
        <f t="shared" si="3"/>
        <v>0</v>
      </c>
      <c r="G10" s="2177"/>
      <c r="H10" s="2176">
        <f t="shared" si="1"/>
        <v>0</v>
      </c>
      <c r="I10" s="2177"/>
      <c r="J10" s="2176">
        <f t="shared" si="4"/>
        <v>0</v>
      </c>
      <c r="K10" s="2177"/>
      <c r="L10" s="2176">
        <f t="shared" si="5"/>
        <v>0</v>
      </c>
      <c r="M10" s="2177"/>
      <c r="N10" s="2176">
        <f t="shared" si="6"/>
        <v>0</v>
      </c>
      <c r="O10" s="2177"/>
      <c r="P10" s="2176">
        <f t="shared" si="7"/>
        <v>0</v>
      </c>
      <c r="Q10" s="2176"/>
      <c r="R10" s="2176">
        <f t="shared" si="8"/>
        <v>0</v>
      </c>
      <c r="S10" s="2177"/>
      <c r="T10" s="2177">
        <f>470*S10</f>
        <v>0</v>
      </c>
      <c r="U10" s="2177"/>
      <c r="V10" s="2177">
        <f t="shared" si="10"/>
        <v>0</v>
      </c>
      <c r="W10" s="2177"/>
      <c r="X10" s="19">
        <f t="shared" si="11"/>
        <v>0</v>
      </c>
      <c r="Y10" s="20">
        <f t="shared" si="2"/>
        <v>0</v>
      </c>
    </row>
    <row r="11" spans="1:25" ht="37.5" customHeight="1" x14ac:dyDescent="0.25">
      <c r="A11" s="12"/>
      <c r="B11" s="2178"/>
      <c r="C11" s="2177"/>
      <c r="D11" s="2176">
        <f t="shared" si="0"/>
        <v>0</v>
      </c>
      <c r="E11" s="2177"/>
      <c r="F11" s="2176">
        <f t="shared" si="3"/>
        <v>0</v>
      </c>
      <c r="G11" s="2177"/>
      <c r="H11" s="2176">
        <f t="shared" si="1"/>
        <v>0</v>
      </c>
      <c r="I11" s="2177"/>
      <c r="J11" s="2176">
        <f t="shared" si="4"/>
        <v>0</v>
      </c>
      <c r="K11" s="2177"/>
      <c r="L11" s="2176">
        <f t="shared" si="5"/>
        <v>0</v>
      </c>
      <c r="M11" s="2177"/>
      <c r="N11" s="2176">
        <f t="shared" si="6"/>
        <v>0</v>
      </c>
      <c r="O11" s="2177"/>
      <c r="P11" s="2176">
        <f t="shared" si="7"/>
        <v>0</v>
      </c>
      <c r="Q11" s="2176"/>
      <c r="R11" s="2176">
        <f t="shared" si="8"/>
        <v>0</v>
      </c>
      <c r="S11" s="2177"/>
      <c r="T11" s="2177">
        <f>241*S11</f>
        <v>0</v>
      </c>
      <c r="U11" s="2177"/>
      <c r="V11" s="2177">
        <f t="shared" si="10"/>
        <v>0</v>
      </c>
      <c r="W11" s="2177"/>
      <c r="X11" s="19">
        <f t="shared" si="11"/>
        <v>0</v>
      </c>
      <c r="Y11" s="20">
        <f t="shared" si="2"/>
        <v>0</v>
      </c>
    </row>
    <row r="12" spans="1:25" ht="29.25" customHeight="1" x14ac:dyDescent="0.25">
      <c r="A12" s="2235" t="s">
        <v>31</v>
      </c>
      <c r="B12" s="2235"/>
      <c r="C12" s="18">
        <f t="shared" ref="C12:X12" si="12">SUM(C6:C11)</f>
        <v>198645</v>
      </c>
      <c r="D12" s="18">
        <f t="shared" si="12"/>
        <v>193182.26250000001</v>
      </c>
      <c r="E12" s="18">
        <f t="shared" si="12"/>
        <v>0</v>
      </c>
      <c r="F12" s="18">
        <f t="shared" si="12"/>
        <v>0</v>
      </c>
      <c r="G12" s="18">
        <f t="shared" si="12"/>
        <v>110</v>
      </c>
      <c r="H12" s="18">
        <f t="shared" si="12"/>
        <v>3108.6000000000004</v>
      </c>
      <c r="I12" s="18">
        <f t="shared" si="12"/>
        <v>930</v>
      </c>
      <c r="J12" s="18">
        <f t="shared" si="12"/>
        <v>17502.599999999999</v>
      </c>
      <c r="K12" s="18">
        <f t="shared" si="12"/>
        <v>0</v>
      </c>
      <c r="L12" s="18">
        <f t="shared" si="12"/>
        <v>0</v>
      </c>
      <c r="M12" s="18">
        <f t="shared" si="12"/>
        <v>0</v>
      </c>
      <c r="N12" s="23">
        <f t="shared" si="12"/>
        <v>0</v>
      </c>
      <c r="O12" s="18">
        <f t="shared" si="12"/>
        <v>0</v>
      </c>
      <c r="P12" s="23">
        <f t="shared" si="12"/>
        <v>0</v>
      </c>
      <c r="Q12" s="23">
        <f t="shared" si="12"/>
        <v>0</v>
      </c>
      <c r="R12" s="23">
        <f>SUM(R6:R11)</f>
        <v>0</v>
      </c>
      <c r="S12" s="23">
        <f>SUM(S6:S11)</f>
        <v>10</v>
      </c>
      <c r="T12" s="18">
        <f t="shared" si="12"/>
        <v>4700</v>
      </c>
      <c r="U12" s="18">
        <f t="shared" si="12"/>
        <v>0</v>
      </c>
      <c r="V12" s="18">
        <f t="shared" si="12"/>
        <v>0</v>
      </c>
      <c r="W12" s="18">
        <f t="shared" si="12"/>
        <v>0</v>
      </c>
      <c r="X12" s="18">
        <f t="shared" si="12"/>
        <v>0</v>
      </c>
      <c r="Y12" s="20">
        <f t="shared" si="2"/>
        <v>218493.46250000002</v>
      </c>
    </row>
    <row r="14" spans="1:25" ht="43.5" customHeight="1" x14ac:dyDescent="0.25">
      <c r="A14" s="30" t="s">
        <v>32</v>
      </c>
      <c r="B14" s="2236" t="s">
        <v>27</v>
      </c>
      <c r="C14" s="2236"/>
      <c r="D14" s="30" t="s">
        <v>543</v>
      </c>
      <c r="E14" s="30" t="s">
        <v>65</v>
      </c>
      <c r="F14" s="30" t="s">
        <v>34</v>
      </c>
      <c r="G14" s="30" t="s">
        <v>14</v>
      </c>
      <c r="H14" s="469" t="s">
        <v>173</v>
      </c>
      <c r="I14" s="30" t="s">
        <v>17</v>
      </c>
      <c r="J14" s="2185" t="s">
        <v>174</v>
      </c>
      <c r="K14" s="30" t="s">
        <v>36</v>
      </c>
      <c r="L14" s="2185" t="s">
        <v>403</v>
      </c>
      <c r="M14" s="2185" t="s">
        <v>549</v>
      </c>
      <c r="N14" s="30" t="s">
        <v>442</v>
      </c>
      <c r="O14" s="2185" t="s">
        <v>114</v>
      </c>
      <c r="P14" s="30" t="s">
        <v>70</v>
      </c>
      <c r="Q14" s="2300" t="s">
        <v>479</v>
      </c>
      <c r="R14" s="2301"/>
      <c r="S14" s="2185" t="s">
        <v>401</v>
      </c>
      <c r="T14" s="2235" t="s">
        <v>46</v>
      </c>
      <c r="U14" s="2179" t="s">
        <v>176</v>
      </c>
      <c r="V14" s="2260">
        <v>61886</v>
      </c>
      <c r="W14" s="2268"/>
      <c r="X14" s="2261"/>
    </row>
    <row r="15" spans="1:25" ht="22.5" customHeight="1" x14ac:dyDescent="0.25">
      <c r="A15" s="100" t="s">
        <v>38</v>
      </c>
      <c r="B15" s="2260">
        <v>329832</v>
      </c>
      <c r="C15" s="2261"/>
      <c r="D15" s="2182">
        <v>0</v>
      </c>
      <c r="E15" s="2182">
        <v>660</v>
      </c>
      <c r="F15" s="2182">
        <v>5220</v>
      </c>
      <c r="G15" s="2182">
        <v>650</v>
      </c>
      <c r="H15" s="2182">
        <v>34</v>
      </c>
      <c r="I15" s="2182">
        <v>56</v>
      </c>
      <c r="J15" s="2182"/>
      <c r="K15" s="2182">
        <v>78</v>
      </c>
      <c r="L15" s="2182">
        <v>12</v>
      </c>
      <c r="M15" s="2182">
        <v>35</v>
      </c>
      <c r="N15" s="2182">
        <v>0</v>
      </c>
      <c r="O15" s="2182">
        <v>0</v>
      </c>
      <c r="P15" s="2182">
        <v>100</v>
      </c>
      <c r="Q15" s="2260">
        <v>0</v>
      </c>
      <c r="R15" s="2261"/>
      <c r="S15" s="2179"/>
      <c r="T15" s="2235"/>
      <c r="U15" s="2179" t="s">
        <v>64</v>
      </c>
      <c r="V15" s="2262">
        <v>62674</v>
      </c>
      <c r="W15" s="2262"/>
      <c r="X15" s="2262"/>
    </row>
    <row r="16" spans="1:25" ht="24.75" customHeight="1" x14ac:dyDescent="0.25">
      <c r="A16" s="100" t="s">
        <v>39</v>
      </c>
      <c r="B16" s="2260">
        <v>320441</v>
      </c>
      <c r="C16" s="2261"/>
      <c r="D16" s="2182"/>
      <c r="E16" s="2182"/>
      <c r="F16" s="2182">
        <v>2500</v>
      </c>
      <c r="G16" s="2182"/>
      <c r="H16" s="2182"/>
      <c r="I16" s="2182"/>
      <c r="J16" s="2182"/>
      <c r="K16" s="2182"/>
      <c r="L16" s="2182"/>
      <c r="M16" s="2182"/>
      <c r="N16" s="2182"/>
      <c r="O16" s="2182"/>
      <c r="P16" s="2182"/>
      <c r="Q16" s="2262"/>
      <c r="R16" s="2262"/>
      <c r="S16" s="2182"/>
      <c r="T16" s="2254" t="s">
        <v>55</v>
      </c>
      <c r="U16" s="2254"/>
      <c r="V16" s="2267">
        <f>Y12</f>
        <v>218493.46250000002</v>
      </c>
      <c r="W16" s="2267"/>
      <c r="X16" s="2262"/>
    </row>
    <row r="17" spans="1:25" ht="28.5" customHeight="1" x14ac:dyDescent="0.25">
      <c r="A17" s="101" t="s">
        <v>44</v>
      </c>
      <c r="B17" s="2260"/>
      <c r="C17" s="2261"/>
      <c r="D17" s="2182"/>
      <c r="E17" s="2182"/>
      <c r="F17" s="2182"/>
      <c r="G17" s="2182"/>
      <c r="H17" s="2182"/>
      <c r="I17" s="2182"/>
      <c r="J17" s="2182"/>
      <c r="K17" s="2182"/>
      <c r="L17" s="2182"/>
      <c r="M17" s="2182"/>
      <c r="N17" s="2182"/>
      <c r="O17" s="2182"/>
      <c r="P17" s="2182"/>
      <c r="Q17" s="2225"/>
      <c r="R17" s="2225"/>
      <c r="S17" s="2178"/>
      <c r="T17" s="2294" t="s">
        <v>521</v>
      </c>
      <c r="U17" s="2295"/>
      <c r="V17" s="2296"/>
      <c r="W17" s="2296"/>
      <c r="X17" s="2296"/>
    </row>
    <row r="18" spans="1:25" ht="27" customHeight="1" x14ac:dyDescent="0.25">
      <c r="A18" s="100" t="s">
        <v>40</v>
      </c>
      <c r="B18" s="2264">
        <f>C12</f>
        <v>198645</v>
      </c>
      <c r="C18" s="2261"/>
      <c r="D18" s="2184">
        <f>E12</f>
        <v>0</v>
      </c>
      <c r="E18" s="2184">
        <f>G12</f>
        <v>110</v>
      </c>
      <c r="F18" s="2184">
        <f>I12</f>
        <v>930</v>
      </c>
      <c r="G18" s="2184">
        <f>K12</f>
        <v>0</v>
      </c>
      <c r="H18" s="2182"/>
      <c r="I18" s="2184">
        <f>U12</f>
        <v>0</v>
      </c>
      <c r="J18" s="2182"/>
      <c r="K18" s="2184">
        <f>W12</f>
        <v>0</v>
      </c>
      <c r="L18" s="2182"/>
      <c r="M18" s="2184">
        <v>10</v>
      </c>
      <c r="N18" s="2184">
        <f>O12</f>
        <v>0</v>
      </c>
      <c r="O18" s="2183">
        <f>Q12</f>
        <v>0</v>
      </c>
      <c r="P18" s="2184"/>
      <c r="Q18" s="2262"/>
      <c r="R18" s="2262"/>
      <c r="S18" s="2179"/>
      <c r="T18" s="2254" t="s">
        <v>57</v>
      </c>
      <c r="U18" s="2254"/>
      <c r="V18" s="2262">
        <v>480</v>
      </c>
      <c r="W18" s="2262"/>
      <c r="X18" s="2262"/>
      <c r="Y18" s="2269"/>
    </row>
    <row r="19" spans="1:25" ht="25.5" customHeight="1" x14ac:dyDescent="0.25">
      <c r="A19" s="100" t="s">
        <v>41</v>
      </c>
      <c r="B19" s="2260">
        <f>B15+B16+B17-B18</f>
        <v>451628</v>
      </c>
      <c r="C19" s="2261"/>
      <c r="D19" s="2182">
        <f>D15+D16+D17-D18</f>
        <v>0</v>
      </c>
      <c r="E19" s="2182">
        <f t="shared" ref="E19:N19" si="13">E15+E16+E17-E18</f>
        <v>550</v>
      </c>
      <c r="F19" s="2182">
        <f t="shared" si="13"/>
        <v>6790</v>
      </c>
      <c r="G19" s="2182">
        <f t="shared" si="13"/>
        <v>650</v>
      </c>
      <c r="H19" s="2182">
        <f t="shared" si="13"/>
        <v>34</v>
      </c>
      <c r="I19" s="2182">
        <f t="shared" si="13"/>
        <v>56</v>
      </c>
      <c r="J19" s="2182">
        <f t="shared" si="13"/>
        <v>0</v>
      </c>
      <c r="K19" s="2182">
        <f t="shared" si="13"/>
        <v>78</v>
      </c>
      <c r="L19" s="2182">
        <f t="shared" si="13"/>
        <v>12</v>
      </c>
      <c r="M19" s="2184">
        <f>M15+M16+M17-M18</f>
        <v>25</v>
      </c>
      <c r="N19" s="2182">
        <f t="shared" si="13"/>
        <v>0</v>
      </c>
      <c r="O19" s="2182">
        <f>O15+O16+O17-O18</f>
        <v>0</v>
      </c>
      <c r="P19" s="2182">
        <f t="shared" ref="P19:Q19" si="14">P15+P16+P17-P18</f>
        <v>100</v>
      </c>
      <c r="Q19" s="2260">
        <f t="shared" si="14"/>
        <v>0</v>
      </c>
      <c r="R19" s="2261"/>
      <c r="S19" s="2179">
        <f>S15+S16-S17-S18</f>
        <v>0</v>
      </c>
      <c r="T19" s="2256" t="s">
        <v>48</v>
      </c>
      <c r="U19" s="49" t="s">
        <v>58</v>
      </c>
      <c r="V19" s="2262">
        <v>130000</v>
      </c>
      <c r="W19" s="2262"/>
      <c r="X19" s="2262"/>
      <c r="Y19" s="2269"/>
    </row>
    <row r="20" spans="1:25" ht="23.25" customHeight="1" x14ac:dyDescent="0.25">
      <c r="A20" s="289" t="s">
        <v>187</v>
      </c>
      <c r="B20" s="2286">
        <f>B19*0.9625</f>
        <v>434691.95</v>
      </c>
      <c r="C20" s="2287"/>
      <c r="D20" s="290">
        <f>D19*19.48</f>
        <v>0</v>
      </c>
      <c r="E20" s="290">
        <f>27.97*E19</f>
        <v>15383.5</v>
      </c>
      <c r="F20" s="290">
        <f>18.63*F19</f>
        <v>126497.7</v>
      </c>
      <c r="G20" s="290">
        <f>27.9468*G19</f>
        <v>18165.419999999998</v>
      </c>
      <c r="H20" s="290">
        <f>241*H19</f>
        <v>8194</v>
      </c>
      <c r="I20" s="290">
        <f>323*I19</f>
        <v>18088</v>
      </c>
      <c r="J20" s="290">
        <f>241*J19</f>
        <v>0</v>
      </c>
      <c r="K20" s="290">
        <f>K19*100</f>
        <v>7800</v>
      </c>
      <c r="L20" s="290">
        <f>470*L19</f>
        <v>5640</v>
      </c>
      <c r="M20" s="290">
        <f>470*M19</f>
        <v>11750</v>
      </c>
      <c r="N20" s="290">
        <f>N19*8.81</f>
        <v>0</v>
      </c>
      <c r="O20" s="290">
        <f>241*O19</f>
        <v>0</v>
      </c>
      <c r="P20" s="290">
        <f>P19*48.2</f>
        <v>4820</v>
      </c>
      <c r="Q20" s="2286">
        <f>470*Q19</f>
        <v>0</v>
      </c>
      <c r="R20" s="2287"/>
      <c r="S20" s="290">
        <f>341*S19</f>
        <v>0</v>
      </c>
      <c r="T20" s="2257"/>
      <c r="U20" s="49" t="s">
        <v>59</v>
      </c>
      <c r="V20" s="2262"/>
      <c r="W20" s="2262"/>
      <c r="X20" s="2262"/>
      <c r="Y20" s="2269"/>
    </row>
    <row r="21" spans="1:25" ht="32.25" customHeight="1" x14ac:dyDescent="0.25">
      <c r="A21" s="291" t="s">
        <v>186</v>
      </c>
      <c r="B21" s="2302">
        <f>SUM(B20:S20)</f>
        <v>651030.57000000007</v>
      </c>
      <c r="C21" s="2302"/>
      <c r="T21" s="2294" t="s">
        <v>464</v>
      </c>
      <c r="U21" s="2295"/>
      <c r="V21" s="2297"/>
      <c r="W21" s="2298"/>
      <c r="X21" s="2299"/>
      <c r="Y21" s="2269"/>
    </row>
    <row r="22" spans="1:25" ht="35.25" customHeight="1" x14ac:dyDescent="0.25">
      <c r="A22" s="1911"/>
      <c r="B22" s="2288" t="s">
        <v>49</v>
      </c>
      <c r="C22" s="2291">
        <v>130000</v>
      </c>
      <c r="D22" s="2291">
        <v>130000</v>
      </c>
      <c r="E22" s="2291">
        <v>355000</v>
      </c>
      <c r="F22" s="2291">
        <f>C22-D22+E22</f>
        <v>355000</v>
      </c>
      <c r="J22" s="14" t="s">
        <v>139</v>
      </c>
      <c r="T22" s="2251" t="s">
        <v>83</v>
      </c>
      <c r="U22" s="50" t="s">
        <v>60</v>
      </c>
      <c r="V22" s="2262">
        <v>219770</v>
      </c>
      <c r="W22" s="2262"/>
      <c r="X22" s="2262"/>
      <c r="Y22" s="2269"/>
    </row>
    <row r="23" spans="1:25" ht="39.75" customHeight="1" x14ac:dyDescent="0.25">
      <c r="B23" s="2289"/>
      <c r="C23" s="2292"/>
      <c r="D23" s="2292"/>
      <c r="E23" s="2292"/>
      <c r="F23" s="2292"/>
      <c r="T23" s="2252"/>
      <c r="U23" s="50" t="s">
        <v>61</v>
      </c>
      <c r="V23" s="2262">
        <v>190000</v>
      </c>
      <c r="W23" s="2262"/>
      <c r="X23" s="2262"/>
      <c r="Y23" s="2269"/>
    </row>
    <row r="24" spans="1:25" ht="48" customHeight="1" x14ac:dyDescent="0.25">
      <c r="B24" s="2290"/>
      <c r="C24" s="290" t="s">
        <v>46</v>
      </c>
      <c r="D24" s="290" t="s">
        <v>50</v>
      </c>
      <c r="E24" s="290" t="s">
        <v>51</v>
      </c>
      <c r="F24" s="290" t="s">
        <v>52</v>
      </c>
      <c r="T24" s="2235" t="s">
        <v>47</v>
      </c>
      <c r="U24" s="51" t="s">
        <v>62</v>
      </c>
      <c r="V24" s="2263">
        <f>V14+V16+V17-V18-V19-V20-V22+V23-V21</f>
        <v>120129.46250000002</v>
      </c>
      <c r="W24" s="2263"/>
      <c r="X24" s="2263"/>
      <c r="Y24" s="2269"/>
    </row>
    <row r="25" spans="1:25" ht="40.5" customHeight="1" x14ac:dyDescent="0.25">
      <c r="T25" s="2235"/>
      <c r="U25" s="51" t="s">
        <v>63</v>
      </c>
      <c r="V25" s="2262">
        <f>V15+V22-V23</f>
        <v>92444</v>
      </c>
      <c r="W25" s="2262"/>
      <c r="X25" s="2262"/>
    </row>
    <row r="26" spans="1:25" ht="36" customHeight="1" x14ac:dyDescent="0.25">
      <c r="K26" s="314"/>
    </row>
    <row r="28" spans="1:25" x14ac:dyDescent="0.25">
      <c r="J28" s="14" t="s">
        <v>139</v>
      </c>
    </row>
    <row r="32" spans="1:25" x14ac:dyDescent="0.25">
      <c r="I32" s="2280"/>
      <c r="J32" s="2280"/>
      <c r="K32" s="2280"/>
      <c r="L32" s="2280"/>
    </row>
    <row r="33" spans="9:12" x14ac:dyDescent="0.25">
      <c r="I33" s="2186"/>
      <c r="J33" s="2186"/>
      <c r="K33" s="2280"/>
      <c r="L33" s="2280"/>
    </row>
  </sheetData>
  <mergeCells count="62">
    <mergeCell ref="A1:Y1"/>
    <mergeCell ref="A2:Y2"/>
    <mergeCell ref="T3:Y3"/>
    <mergeCell ref="A4:A5"/>
    <mergeCell ref="B4:B5"/>
    <mergeCell ref="C4:D4"/>
    <mergeCell ref="E4:F4"/>
    <mergeCell ref="G4:H4"/>
    <mergeCell ref="I4:J4"/>
    <mergeCell ref="K4:L4"/>
    <mergeCell ref="Y4:Y5"/>
    <mergeCell ref="M4:N4"/>
    <mergeCell ref="O4:P4"/>
    <mergeCell ref="Q4:R4"/>
    <mergeCell ref="S4:T4"/>
    <mergeCell ref="U4:V4"/>
    <mergeCell ref="W4:X4"/>
    <mergeCell ref="B16:C16"/>
    <mergeCell ref="Q16:R16"/>
    <mergeCell ref="T16:U16"/>
    <mergeCell ref="V16:X16"/>
    <mergeCell ref="A12:B12"/>
    <mergeCell ref="B14:C14"/>
    <mergeCell ref="Q14:R14"/>
    <mergeCell ref="T14:T15"/>
    <mergeCell ref="V14:X14"/>
    <mergeCell ref="B15:C15"/>
    <mergeCell ref="Q15:R15"/>
    <mergeCell ref="V15:X15"/>
    <mergeCell ref="B17:C17"/>
    <mergeCell ref="Q17:R17"/>
    <mergeCell ref="T17:U17"/>
    <mergeCell ref="V17:X17"/>
    <mergeCell ref="B18:C18"/>
    <mergeCell ref="Q18:R18"/>
    <mergeCell ref="T18:U18"/>
    <mergeCell ref="V18:X18"/>
    <mergeCell ref="Y18:Y24"/>
    <mergeCell ref="B19:C19"/>
    <mergeCell ref="Q19:R19"/>
    <mergeCell ref="T19:T20"/>
    <mergeCell ref="V19:X19"/>
    <mergeCell ref="B20:C20"/>
    <mergeCell ref="B22:B24"/>
    <mergeCell ref="C22:C23"/>
    <mergeCell ref="D22:D23"/>
    <mergeCell ref="E22:E23"/>
    <mergeCell ref="F22:F23"/>
    <mergeCell ref="Q20:R20"/>
    <mergeCell ref="V20:X20"/>
    <mergeCell ref="B21:C21"/>
    <mergeCell ref="T21:U21"/>
    <mergeCell ref="V21:X21"/>
    <mergeCell ref="I32:J32"/>
    <mergeCell ref="K32:L32"/>
    <mergeCell ref="K33:L33"/>
    <mergeCell ref="T22:T23"/>
    <mergeCell ref="V22:X22"/>
    <mergeCell ref="V23:X23"/>
    <mergeCell ref="T24:T25"/>
    <mergeCell ref="V24:X24"/>
    <mergeCell ref="V25:X25"/>
  </mergeCells>
  <pageMargins left="0.15748031496063" right="0.15748031496063" top="0" bottom="0" header="0" footer="0"/>
  <pageSetup paperSize="9" scale="46" orientation="landscape" r:id="rId1"/>
</worksheet>
</file>

<file path=xl/worksheets/sheet3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BA66D18-A75C-4F9F-BF9F-D14909D19A55}">
  <sheetPr>
    <pageSetUpPr fitToPage="1"/>
  </sheetPr>
  <dimension ref="A1:Y33"/>
  <sheetViews>
    <sheetView topLeftCell="A11" zoomScale="70" zoomScaleNormal="70" zoomScaleSheetLayoutView="100" zoomScalePageLayoutView="68" workbookViewId="0">
      <selection activeCell="Q25" sqref="Q25"/>
    </sheetView>
  </sheetViews>
  <sheetFormatPr defaultColWidth="9.140625" defaultRowHeight="15" x14ac:dyDescent="0.25"/>
  <cols>
    <col min="1" max="1" width="18.28515625" style="14" customWidth="1"/>
    <col min="2" max="2" width="10.7109375" style="14" customWidth="1"/>
    <col min="3" max="3" width="12.28515625" style="14" customWidth="1"/>
    <col min="4" max="4" width="13.140625" style="14" bestFit="1" customWidth="1"/>
    <col min="5" max="5" width="12" style="14" customWidth="1"/>
    <col min="6" max="6" width="14" style="14" bestFit="1" customWidth="1"/>
    <col min="7" max="7" width="16" style="14" bestFit="1" customWidth="1"/>
    <col min="8" max="8" width="11" style="14" bestFit="1" customWidth="1"/>
    <col min="9" max="9" width="10.5703125" style="14" bestFit="1" customWidth="1"/>
    <col min="10" max="10" width="10.5703125" style="14" customWidth="1"/>
    <col min="11" max="11" width="10.28515625" style="14" bestFit="1" customWidth="1"/>
    <col min="12" max="12" width="10.42578125" style="14" bestFit="1" customWidth="1"/>
    <col min="13" max="14" width="12" style="14" bestFit="1" customWidth="1"/>
    <col min="15" max="15" width="11" style="14" customWidth="1"/>
    <col min="16" max="16" width="12.85546875" style="14" bestFit="1" customWidth="1"/>
    <col min="17" max="18" width="9.42578125" style="14" customWidth="1"/>
    <col min="19" max="19" width="13.7109375" style="14" customWidth="1"/>
    <col min="20" max="20" width="12.140625" style="14" customWidth="1"/>
    <col min="21" max="21" width="21.7109375" style="14" customWidth="1"/>
    <col min="22" max="22" width="9.85546875" style="14" customWidth="1"/>
    <col min="23" max="23" width="10.140625" style="14" bestFit="1" customWidth="1"/>
    <col min="24" max="24" width="10.28515625" style="14" customWidth="1"/>
    <col min="25" max="25" width="15.7109375" style="14" customWidth="1"/>
    <col min="26" max="16384" width="9.140625" style="14"/>
  </cols>
  <sheetData>
    <row r="1" spans="1:25" ht="46.15" customHeight="1" x14ac:dyDescent="0.25">
      <c r="A1" s="2240" t="s">
        <v>148</v>
      </c>
      <c r="B1" s="2240"/>
      <c r="C1" s="2240"/>
      <c r="D1" s="2240"/>
      <c r="E1" s="2240"/>
      <c r="F1" s="2240"/>
      <c r="G1" s="2240"/>
      <c r="H1" s="2240"/>
      <c r="I1" s="2240"/>
      <c r="J1" s="2240"/>
      <c r="K1" s="2240"/>
      <c r="L1" s="2240"/>
      <c r="M1" s="2240"/>
      <c r="N1" s="2240"/>
      <c r="O1" s="2240"/>
      <c r="P1" s="2240"/>
      <c r="Q1" s="2240"/>
      <c r="R1" s="2240"/>
      <c r="S1" s="2240"/>
      <c r="T1" s="2240"/>
      <c r="U1" s="2240"/>
      <c r="V1" s="2240"/>
      <c r="W1" s="2240"/>
      <c r="X1" s="2240"/>
      <c r="Y1" s="2240"/>
    </row>
    <row r="2" spans="1:25" ht="21.6" customHeight="1" x14ac:dyDescent="0.25">
      <c r="A2" s="2241" t="s">
        <v>383</v>
      </c>
      <c r="B2" s="2241"/>
      <c r="C2" s="2241"/>
      <c r="D2" s="2241"/>
      <c r="E2" s="2241"/>
      <c r="F2" s="2241"/>
      <c r="G2" s="2241"/>
      <c r="H2" s="2241"/>
      <c r="I2" s="2241"/>
      <c r="J2" s="2241"/>
      <c r="K2" s="2241"/>
      <c r="L2" s="2241"/>
      <c r="M2" s="2241"/>
      <c r="N2" s="2241"/>
      <c r="O2" s="2241"/>
      <c r="P2" s="2241"/>
      <c r="Q2" s="2241"/>
      <c r="R2" s="2241"/>
      <c r="S2" s="2241"/>
      <c r="T2" s="2241"/>
      <c r="U2" s="2241"/>
      <c r="V2" s="2241"/>
      <c r="W2" s="2241"/>
      <c r="X2" s="2241"/>
      <c r="Y2" s="2241"/>
    </row>
    <row r="3" spans="1:25" ht="21" customHeight="1" x14ac:dyDescent="0.25">
      <c r="A3" s="2192"/>
      <c r="B3" s="2192"/>
      <c r="C3" s="2192"/>
      <c r="D3" s="2192"/>
      <c r="E3" s="2192"/>
      <c r="F3" s="2192"/>
      <c r="G3" s="2192"/>
      <c r="H3" s="2192"/>
      <c r="I3" s="2192"/>
      <c r="J3" s="2192"/>
      <c r="K3" s="2192"/>
      <c r="L3" s="2192"/>
      <c r="M3" s="2192"/>
      <c r="N3" s="2192"/>
      <c r="O3" s="2192"/>
      <c r="P3" s="2192"/>
      <c r="Q3" s="2192"/>
      <c r="R3" s="2192"/>
      <c r="S3" s="2192"/>
      <c r="T3" s="2242" t="s">
        <v>602</v>
      </c>
      <c r="U3" s="2242"/>
      <c r="V3" s="2242"/>
      <c r="W3" s="2242"/>
      <c r="X3" s="2242"/>
      <c r="Y3" s="2242"/>
    </row>
    <row r="4" spans="1:25" s="2192" customFormat="1" ht="18" customHeight="1" x14ac:dyDescent="0.25">
      <c r="A4" s="2243" t="s">
        <v>25</v>
      </c>
      <c r="B4" s="2243" t="s">
        <v>26</v>
      </c>
      <c r="C4" s="2244" t="s">
        <v>27</v>
      </c>
      <c r="D4" s="2244"/>
      <c r="E4" s="2244" t="s">
        <v>544</v>
      </c>
      <c r="F4" s="2244"/>
      <c r="G4" s="2244" t="s">
        <v>65</v>
      </c>
      <c r="H4" s="2244"/>
      <c r="I4" s="2244" t="s">
        <v>29</v>
      </c>
      <c r="J4" s="2244"/>
      <c r="K4" s="2245" t="s">
        <v>14</v>
      </c>
      <c r="L4" s="2246"/>
      <c r="M4" s="2245" t="s">
        <v>429</v>
      </c>
      <c r="N4" s="2246"/>
      <c r="O4" s="2245" t="s">
        <v>441</v>
      </c>
      <c r="P4" s="2246"/>
      <c r="Q4" s="2245" t="s">
        <v>114</v>
      </c>
      <c r="R4" s="2246"/>
      <c r="S4" s="2244" t="s">
        <v>35</v>
      </c>
      <c r="T4" s="2244"/>
      <c r="U4" s="2245" t="s">
        <v>17</v>
      </c>
      <c r="V4" s="2246"/>
      <c r="W4" s="2247" t="s">
        <v>36</v>
      </c>
      <c r="X4" s="2248"/>
      <c r="Y4" s="2238" t="s">
        <v>30</v>
      </c>
    </row>
    <row r="5" spans="1:25" s="2192" customFormat="1" ht="25.5" customHeight="1" x14ac:dyDescent="0.25">
      <c r="A5" s="2243"/>
      <c r="B5" s="2243"/>
      <c r="C5" s="2191" t="s">
        <v>42</v>
      </c>
      <c r="D5" s="2191" t="s">
        <v>43</v>
      </c>
      <c r="E5" s="2191" t="s">
        <v>42</v>
      </c>
      <c r="F5" s="2191" t="s">
        <v>43</v>
      </c>
      <c r="G5" s="2191" t="s">
        <v>42</v>
      </c>
      <c r="H5" s="2191" t="s">
        <v>43</v>
      </c>
      <c r="I5" s="2191" t="s">
        <v>42</v>
      </c>
      <c r="J5" s="2191" t="s">
        <v>43</v>
      </c>
      <c r="K5" s="2191" t="s">
        <v>42</v>
      </c>
      <c r="L5" s="2191" t="s">
        <v>43</v>
      </c>
      <c r="M5" s="2191" t="s">
        <v>42</v>
      </c>
      <c r="N5" s="2191" t="s">
        <v>43</v>
      </c>
      <c r="O5" s="2191" t="s">
        <v>42</v>
      </c>
      <c r="P5" s="2191" t="s">
        <v>43</v>
      </c>
      <c r="Q5" s="2191" t="s">
        <v>42</v>
      </c>
      <c r="R5" s="2191" t="s">
        <v>43</v>
      </c>
      <c r="S5" s="33" t="s">
        <v>42</v>
      </c>
      <c r="T5" s="33" t="s">
        <v>43</v>
      </c>
      <c r="U5" s="30" t="s">
        <v>42</v>
      </c>
      <c r="V5" s="30" t="s">
        <v>43</v>
      </c>
      <c r="W5" s="30" t="s">
        <v>42</v>
      </c>
      <c r="X5" s="30" t="s">
        <v>43</v>
      </c>
      <c r="Y5" s="2239"/>
    </row>
    <row r="6" spans="1:25" ht="34.5" customHeight="1" x14ac:dyDescent="0.25">
      <c r="A6" s="12">
        <v>1409935200</v>
      </c>
      <c r="B6" s="2190" t="s">
        <v>71</v>
      </c>
      <c r="C6" s="2188">
        <v>30154</v>
      </c>
      <c r="D6" s="2187">
        <f t="shared" ref="D6:D11" si="0">0.9725*C6</f>
        <v>29324.764999999999</v>
      </c>
      <c r="E6" s="2188"/>
      <c r="F6" s="2187">
        <f>19.68*E6</f>
        <v>0</v>
      </c>
      <c r="G6" s="2188">
        <v>50</v>
      </c>
      <c r="H6" s="2187">
        <f t="shared" ref="H6:H11" si="1">28.26*G6</f>
        <v>1413</v>
      </c>
      <c r="I6" s="2188">
        <v>300</v>
      </c>
      <c r="J6" s="2187">
        <f>18.82*I6</f>
        <v>5646</v>
      </c>
      <c r="K6" s="2188"/>
      <c r="L6" s="2187">
        <f>28.25*K6</f>
        <v>0</v>
      </c>
      <c r="M6" s="2188"/>
      <c r="N6" s="2187">
        <f>M6*47.6525</f>
        <v>0</v>
      </c>
      <c r="O6" s="2188"/>
      <c r="P6" s="2187">
        <f>O6*8.9</f>
        <v>0</v>
      </c>
      <c r="Q6" s="2187"/>
      <c r="R6" s="2187">
        <f>241*Q6</f>
        <v>0</v>
      </c>
      <c r="S6" s="2188"/>
      <c r="T6" s="2188">
        <f>470*S6</f>
        <v>0</v>
      </c>
      <c r="U6" s="2188"/>
      <c r="V6" s="2188">
        <f>332*U6</f>
        <v>0</v>
      </c>
      <c r="W6" s="2188"/>
      <c r="X6" s="19">
        <f>W6*100</f>
        <v>0</v>
      </c>
      <c r="Y6" s="20">
        <f t="shared" ref="Y6:Y12" si="2">D6+F6+H6+J6+L6+N6+P6+R6+T6+V6+X6</f>
        <v>36383.764999999999</v>
      </c>
    </row>
    <row r="7" spans="1:25" ht="36.75" customHeight="1" x14ac:dyDescent="0.25">
      <c r="A7" s="12">
        <v>1984225578</v>
      </c>
      <c r="B7" s="2190" t="s">
        <v>509</v>
      </c>
      <c r="C7" s="2188">
        <v>21039</v>
      </c>
      <c r="D7" s="2187">
        <f t="shared" si="0"/>
        <v>20460.427500000002</v>
      </c>
      <c r="E7" s="2188"/>
      <c r="F7" s="2187">
        <f t="shared" ref="F7:F11" si="3">19.68*E7</f>
        <v>0</v>
      </c>
      <c r="G7" s="2188">
        <v>20</v>
      </c>
      <c r="H7" s="2187">
        <f t="shared" si="1"/>
        <v>565.20000000000005</v>
      </c>
      <c r="I7" s="2188">
        <v>420</v>
      </c>
      <c r="J7" s="2187">
        <f t="shared" ref="J7:J11" si="4">18.82*I7</f>
        <v>7904.4000000000005</v>
      </c>
      <c r="K7" s="2188"/>
      <c r="L7" s="2187">
        <f t="shared" ref="L7:L11" si="5">28.25*K7</f>
        <v>0</v>
      </c>
      <c r="M7" s="2188"/>
      <c r="N7" s="2187">
        <f t="shared" ref="N7:N11" si="6">M7*47.6525</f>
        <v>0</v>
      </c>
      <c r="O7" s="2188"/>
      <c r="P7" s="2187">
        <f t="shared" ref="P7:P11" si="7">O7*8.9</f>
        <v>0</v>
      </c>
      <c r="Q7" s="2187"/>
      <c r="R7" s="2187">
        <f t="shared" ref="R7:R11" si="8">241*Q7</f>
        <v>0</v>
      </c>
      <c r="S7" s="2188"/>
      <c r="T7" s="2188">
        <f t="shared" ref="T7:T9" si="9">470*S7</f>
        <v>0</v>
      </c>
      <c r="U7" s="2188">
        <v>17</v>
      </c>
      <c r="V7" s="2188">
        <f t="shared" ref="V7:V11" si="10">332*U7</f>
        <v>5644</v>
      </c>
      <c r="W7" s="2188"/>
      <c r="X7" s="19">
        <f t="shared" ref="X7:X11" si="11">W7*100</f>
        <v>0</v>
      </c>
      <c r="Y7" s="20">
        <f t="shared" si="2"/>
        <v>34574.027500000004</v>
      </c>
    </row>
    <row r="8" spans="1:25" ht="35.25" customHeight="1" x14ac:dyDescent="0.25">
      <c r="A8" s="12">
        <v>1967020280</v>
      </c>
      <c r="B8" s="2190" t="s">
        <v>427</v>
      </c>
      <c r="C8" s="2188">
        <v>18398</v>
      </c>
      <c r="D8" s="2187">
        <f t="shared" si="0"/>
        <v>17892.055</v>
      </c>
      <c r="E8" s="2188"/>
      <c r="F8" s="2187">
        <f t="shared" si="3"/>
        <v>0</v>
      </c>
      <c r="G8" s="2188"/>
      <c r="H8" s="2187">
        <f t="shared" si="1"/>
        <v>0</v>
      </c>
      <c r="I8" s="2188">
        <v>280</v>
      </c>
      <c r="J8" s="2187">
        <f t="shared" si="4"/>
        <v>5269.6</v>
      </c>
      <c r="K8" s="2188"/>
      <c r="L8" s="2187">
        <f t="shared" si="5"/>
        <v>0</v>
      </c>
      <c r="M8" s="2188"/>
      <c r="N8" s="2187">
        <f t="shared" si="6"/>
        <v>0</v>
      </c>
      <c r="O8" s="2188"/>
      <c r="P8" s="2187">
        <f t="shared" si="7"/>
        <v>0</v>
      </c>
      <c r="Q8" s="2187"/>
      <c r="R8" s="2187">
        <f t="shared" si="8"/>
        <v>0</v>
      </c>
      <c r="S8" s="2188"/>
      <c r="T8" s="2188">
        <f t="shared" si="9"/>
        <v>0</v>
      </c>
      <c r="U8" s="2188">
        <v>1</v>
      </c>
      <c r="V8" s="2188">
        <f t="shared" si="10"/>
        <v>332</v>
      </c>
      <c r="W8" s="2188"/>
      <c r="X8" s="19">
        <f t="shared" si="11"/>
        <v>0</v>
      </c>
      <c r="Y8" s="20">
        <f t="shared" si="2"/>
        <v>23493.654999999999</v>
      </c>
    </row>
    <row r="9" spans="1:25" ht="38.25" customHeight="1" x14ac:dyDescent="0.25">
      <c r="A9" s="12">
        <v>1984225580</v>
      </c>
      <c r="B9" s="2190" t="s">
        <v>74</v>
      </c>
      <c r="C9" s="2188">
        <v>30114</v>
      </c>
      <c r="D9" s="2187">
        <f t="shared" si="0"/>
        <v>29285.865000000002</v>
      </c>
      <c r="E9" s="2188"/>
      <c r="F9" s="2187">
        <f t="shared" si="3"/>
        <v>0</v>
      </c>
      <c r="G9" s="2188">
        <v>20</v>
      </c>
      <c r="H9" s="2187">
        <f t="shared" si="1"/>
        <v>565.20000000000005</v>
      </c>
      <c r="I9" s="2188">
        <v>770</v>
      </c>
      <c r="J9" s="2187">
        <f t="shared" si="4"/>
        <v>14491.4</v>
      </c>
      <c r="K9" s="2188">
        <v>20</v>
      </c>
      <c r="L9" s="2187">
        <f t="shared" si="5"/>
        <v>565</v>
      </c>
      <c r="M9" s="2188"/>
      <c r="N9" s="2187">
        <f t="shared" si="6"/>
        <v>0</v>
      </c>
      <c r="O9" s="2188"/>
      <c r="P9" s="2187">
        <f t="shared" si="7"/>
        <v>0</v>
      </c>
      <c r="Q9" s="2187"/>
      <c r="R9" s="2187">
        <f t="shared" si="8"/>
        <v>0</v>
      </c>
      <c r="S9" s="2188"/>
      <c r="T9" s="2188">
        <f t="shared" si="9"/>
        <v>0</v>
      </c>
      <c r="U9" s="2188"/>
      <c r="V9" s="2188">
        <f t="shared" si="10"/>
        <v>0</v>
      </c>
      <c r="W9" s="2188"/>
      <c r="X9" s="19">
        <f t="shared" si="11"/>
        <v>0</v>
      </c>
      <c r="Y9" s="20">
        <f t="shared" si="2"/>
        <v>44907.465000000004</v>
      </c>
    </row>
    <row r="10" spans="1:25" ht="35.25" customHeight="1" x14ac:dyDescent="0.25">
      <c r="A10" s="12">
        <v>1409935199</v>
      </c>
      <c r="C10" s="2188"/>
      <c r="D10" s="2187">
        <f t="shared" si="0"/>
        <v>0</v>
      </c>
      <c r="E10" s="2188"/>
      <c r="F10" s="2187">
        <f t="shared" si="3"/>
        <v>0</v>
      </c>
      <c r="G10" s="2188"/>
      <c r="H10" s="2187">
        <f t="shared" si="1"/>
        <v>0</v>
      </c>
      <c r="I10" s="2188"/>
      <c r="J10" s="2187">
        <f t="shared" si="4"/>
        <v>0</v>
      </c>
      <c r="K10" s="2188"/>
      <c r="L10" s="2187">
        <f t="shared" si="5"/>
        <v>0</v>
      </c>
      <c r="M10" s="2188"/>
      <c r="N10" s="2187">
        <f t="shared" si="6"/>
        <v>0</v>
      </c>
      <c r="O10" s="2188"/>
      <c r="P10" s="2187">
        <f t="shared" si="7"/>
        <v>0</v>
      </c>
      <c r="Q10" s="2187"/>
      <c r="R10" s="2187">
        <f t="shared" si="8"/>
        <v>0</v>
      </c>
      <c r="S10" s="2188"/>
      <c r="T10" s="2188">
        <f>470*S10</f>
        <v>0</v>
      </c>
      <c r="U10" s="2188"/>
      <c r="V10" s="2188">
        <f t="shared" si="10"/>
        <v>0</v>
      </c>
      <c r="W10" s="2188"/>
      <c r="X10" s="19">
        <f t="shared" si="11"/>
        <v>0</v>
      </c>
      <c r="Y10" s="20">
        <f t="shared" si="2"/>
        <v>0</v>
      </c>
    </row>
    <row r="11" spans="1:25" ht="37.5" customHeight="1" x14ac:dyDescent="0.25">
      <c r="A11" s="12"/>
      <c r="B11" s="2189"/>
      <c r="C11" s="2188"/>
      <c r="D11" s="2187">
        <f t="shared" si="0"/>
        <v>0</v>
      </c>
      <c r="E11" s="2188"/>
      <c r="F11" s="2187">
        <f t="shared" si="3"/>
        <v>0</v>
      </c>
      <c r="G11" s="2188"/>
      <c r="H11" s="2187">
        <f t="shared" si="1"/>
        <v>0</v>
      </c>
      <c r="I11" s="2188"/>
      <c r="J11" s="2187">
        <f t="shared" si="4"/>
        <v>0</v>
      </c>
      <c r="K11" s="2188"/>
      <c r="L11" s="2187">
        <f t="shared" si="5"/>
        <v>0</v>
      </c>
      <c r="M11" s="2188"/>
      <c r="N11" s="2187">
        <f t="shared" si="6"/>
        <v>0</v>
      </c>
      <c r="O11" s="2188"/>
      <c r="P11" s="2187">
        <f t="shared" si="7"/>
        <v>0</v>
      </c>
      <c r="Q11" s="2187"/>
      <c r="R11" s="2187">
        <f t="shared" si="8"/>
        <v>0</v>
      </c>
      <c r="S11" s="2188"/>
      <c r="T11" s="2188">
        <f>241*S11</f>
        <v>0</v>
      </c>
      <c r="U11" s="2188"/>
      <c r="V11" s="2188">
        <f t="shared" si="10"/>
        <v>0</v>
      </c>
      <c r="W11" s="2188"/>
      <c r="X11" s="19">
        <f t="shared" si="11"/>
        <v>0</v>
      </c>
      <c r="Y11" s="20">
        <f t="shared" si="2"/>
        <v>0</v>
      </c>
    </row>
    <row r="12" spans="1:25" ht="29.25" customHeight="1" x14ac:dyDescent="0.25">
      <c r="A12" s="2235" t="s">
        <v>31</v>
      </c>
      <c r="B12" s="2235"/>
      <c r="C12" s="18">
        <f t="shared" ref="C12:X12" si="12">SUM(C6:C11)</f>
        <v>99705</v>
      </c>
      <c r="D12" s="18">
        <f t="shared" si="12"/>
        <v>96963.112500000003</v>
      </c>
      <c r="E12" s="18">
        <f t="shared" si="12"/>
        <v>0</v>
      </c>
      <c r="F12" s="18">
        <f t="shared" si="12"/>
        <v>0</v>
      </c>
      <c r="G12" s="18">
        <f t="shared" si="12"/>
        <v>90</v>
      </c>
      <c r="H12" s="18">
        <f t="shared" si="12"/>
        <v>2543.4</v>
      </c>
      <c r="I12" s="18">
        <f t="shared" si="12"/>
        <v>1770</v>
      </c>
      <c r="J12" s="18">
        <f t="shared" si="12"/>
        <v>33311.4</v>
      </c>
      <c r="K12" s="18">
        <f t="shared" si="12"/>
        <v>20</v>
      </c>
      <c r="L12" s="18">
        <f t="shared" si="12"/>
        <v>565</v>
      </c>
      <c r="M12" s="18">
        <f t="shared" si="12"/>
        <v>0</v>
      </c>
      <c r="N12" s="23">
        <f t="shared" si="12"/>
        <v>0</v>
      </c>
      <c r="O12" s="18">
        <f t="shared" si="12"/>
        <v>0</v>
      </c>
      <c r="P12" s="23">
        <f t="shared" si="12"/>
        <v>0</v>
      </c>
      <c r="Q12" s="23">
        <f t="shared" si="12"/>
        <v>0</v>
      </c>
      <c r="R12" s="23">
        <f>SUM(R6:R11)</f>
        <v>0</v>
      </c>
      <c r="S12" s="23">
        <f>SUM(S6:S11)</f>
        <v>0</v>
      </c>
      <c r="T12" s="18">
        <f t="shared" si="12"/>
        <v>0</v>
      </c>
      <c r="U12" s="18">
        <f t="shared" si="12"/>
        <v>18</v>
      </c>
      <c r="V12" s="18">
        <f t="shared" si="12"/>
        <v>5976</v>
      </c>
      <c r="W12" s="18">
        <f t="shared" si="12"/>
        <v>0</v>
      </c>
      <c r="X12" s="18">
        <f t="shared" si="12"/>
        <v>0</v>
      </c>
      <c r="Y12" s="20">
        <f t="shared" si="2"/>
        <v>139358.91250000001</v>
      </c>
    </row>
    <row r="14" spans="1:25" ht="43.5" customHeight="1" x14ac:dyDescent="0.25">
      <c r="A14" s="30" t="s">
        <v>32</v>
      </c>
      <c r="B14" s="2236" t="s">
        <v>27</v>
      </c>
      <c r="C14" s="2236"/>
      <c r="D14" s="30" t="s">
        <v>543</v>
      </c>
      <c r="E14" s="30" t="s">
        <v>65</v>
      </c>
      <c r="F14" s="30" t="s">
        <v>34</v>
      </c>
      <c r="G14" s="30" t="s">
        <v>14</v>
      </c>
      <c r="H14" s="469" t="s">
        <v>173</v>
      </c>
      <c r="I14" s="30" t="s">
        <v>17</v>
      </c>
      <c r="J14" s="2196" t="s">
        <v>174</v>
      </c>
      <c r="K14" s="30" t="s">
        <v>36</v>
      </c>
      <c r="L14" s="2196" t="s">
        <v>403</v>
      </c>
      <c r="M14" s="2196" t="s">
        <v>549</v>
      </c>
      <c r="N14" s="30" t="s">
        <v>442</v>
      </c>
      <c r="O14" s="2196" t="s">
        <v>114</v>
      </c>
      <c r="P14" s="30" t="s">
        <v>70</v>
      </c>
      <c r="Q14" s="2300" t="s">
        <v>479</v>
      </c>
      <c r="R14" s="2301"/>
      <c r="S14" s="2196" t="s">
        <v>401</v>
      </c>
      <c r="T14" s="2235" t="s">
        <v>46</v>
      </c>
      <c r="U14" s="2190" t="s">
        <v>176</v>
      </c>
      <c r="V14" s="2260">
        <v>120129</v>
      </c>
      <c r="W14" s="2268"/>
      <c r="X14" s="2261"/>
    </row>
    <row r="15" spans="1:25" ht="22.5" customHeight="1" x14ac:dyDescent="0.25">
      <c r="A15" s="100" t="s">
        <v>38</v>
      </c>
      <c r="B15" s="2260">
        <v>451628</v>
      </c>
      <c r="C15" s="2261"/>
      <c r="D15" s="2193">
        <v>0</v>
      </c>
      <c r="E15" s="2193">
        <v>550</v>
      </c>
      <c r="F15" s="2193">
        <v>6790</v>
      </c>
      <c r="G15" s="2193">
        <v>650</v>
      </c>
      <c r="H15" s="2193">
        <v>34</v>
      </c>
      <c r="I15" s="2193">
        <v>56</v>
      </c>
      <c r="J15" s="2193"/>
      <c r="K15" s="2193">
        <v>78</v>
      </c>
      <c r="L15" s="2193">
        <v>12</v>
      </c>
      <c r="M15" s="2193">
        <v>25</v>
      </c>
      <c r="N15" s="2193">
        <v>0</v>
      </c>
      <c r="O15" s="2193">
        <v>0</v>
      </c>
      <c r="P15" s="2193">
        <v>100</v>
      </c>
      <c r="Q15" s="2260">
        <v>0</v>
      </c>
      <c r="R15" s="2261"/>
      <c r="S15" s="2190"/>
      <c r="T15" s="2235"/>
      <c r="U15" s="2190" t="s">
        <v>64</v>
      </c>
      <c r="V15" s="2262">
        <v>92444</v>
      </c>
      <c r="W15" s="2262"/>
      <c r="X15" s="2262"/>
    </row>
    <row r="16" spans="1:25" ht="24.75" customHeight="1" x14ac:dyDescent="0.25">
      <c r="A16" s="100" t="s">
        <v>39</v>
      </c>
      <c r="B16" s="2260"/>
      <c r="C16" s="2261"/>
      <c r="D16" s="2193"/>
      <c r="E16" s="2193"/>
      <c r="F16" s="2193"/>
      <c r="G16" s="2193"/>
      <c r="H16" s="2193"/>
      <c r="I16" s="2193"/>
      <c r="J16" s="2193"/>
      <c r="K16" s="2193"/>
      <c r="L16" s="2193"/>
      <c r="M16" s="2193"/>
      <c r="N16" s="2193"/>
      <c r="O16" s="2193"/>
      <c r="P16" s="2193"/>
      <c r="Q16" s="2262"/>
      <c r="R16" s="2262"/>
      <c r="S16" s="2193"/>
      <c r="T16" s="2254" t="s">
        <v>55</v>
      </c>
      <c r="U16" s="2254"/>
      <c r="V16" s="2267">
        <f>Y12</f>
        <v>139358.91250000001</v>
      </c>
      <c r="W16" s="2267"/>
      <c r="X16" s="2262"/>
    </row>
    <row r="17" spans="1:25" ht="28.5" customHeight="1" x14ac:dyDescent="0.25">
      <c r="A17" s="101" t="s">
        <v>44</v>
      </c>
      <c r="B17" s="2260"/>
      <c r="C17" s="2261"/>
      <c r="D17" s="2193"/>
      <c r="E17" s="2193"/>
      <c r="F17" s="2193"/>
      <c r="G17" s="2193"/>
      <c r="H17" s="2193"/>
      <c r="I17" s="2193"/>
      <c r="J17" s="2193"/>
      <c r="K17" s="2193"/>
      <c r="L17" s="2193"/>
      <c r="M17" s="2193"/>
      <c r="N17" s="2193"/>
      <c r="O17" s="2193"/>
      <c r="P17" s="2193"/>
      <c r="Q17" s="2225"/>
      <c r="R17" s="2225"/>
      <c r="S17" s="2189"/>
      <c r="T17" s="2294" t="s">
        <v>521</v>
      </c>
      <c r="U17" s="2295"/>
      <c r="V17" s="2296"/>
      <c r="W17" s="2296"/>
      <c r="X17" s="2296"/>
    </row>
    <row r="18" spans="1:25" ht="27" customHeight="1" x14ac:dyDescent="0.25">
      <c r="A18" s="100" t="s">
        <v>40</v>
      </c>
      <c r="B18" s="2264">
        <f>C12</f>
        <v>99705</v>
      </c>
      <c r="C18" s="2261"/>
      <c r="D18" s="2195">
        <f>E12</f>
        <v>0</v>
      </c>
      <c r="E18" s="2195">
        <f>G12</f>
        <v>90</v>
      </c>
      <c r="F18" s="2195">
        <f>I12</f>
        <v>1770</v>
      </c>
      <c r="G18" s="2195">
        <f>K12</f>
        <v>20</v>
      </c>
      <c r="H18" s="2193"/>
      <c r="I18" s="2195">
        <f>U12</f>
        <v>18</v>
      </c>
      <c r="J18" s="2193"/>
      <c r="K18" s="2195">
        <f>W12</f>
        <v>0</v>
      </c>
      <c r="L18" s="2193"/>
      <c r="M18" s="2195"/>
      <c r="N18" s="2195">
        <f>O12</f>
        <v>0</v>
      </c>
      <c r="O18" s="2194">
        <f>Q12</f>
        <v>0</v>
      </c>
      <c r="P18" s="2195"/>
      <c r="Q18" s="2262"/>
      <c r="R18" s="2262"/>
      <c r="S18" s="2190"/>
      <c r="T18" s="2254" t="s">
        <v>57</v>
      </c>
      <c r="U18" s="2254"/>
      <c r="V18" s="2262">
        <v>540</v>
      </c>
      <c r="W18" s="2262"/>
      <c r="X18" s="2262"/>
      <c r="Y18" s="2269"/>
    </row>
    <row r="19" spans="1:25" ht="25.5" customHeight="1" x14ac:dyDescent="0.25">
      <c r="A19" s="100" t="s">
        <v>41</v>
      </c>
      <c r="B19" s="2260">
        <f>B15+B16+B17-B18</f>
        <v>351923</v>
      </c>
      <c r="C19" s="2261"/>
      <c r="D19" s="2193">
        <f>D15+D16+D17-D18</f>
        <v>0</v>
      </c>
      <c r="E19" s="2193">
        <f t="shared" ref="E19:N19" si="13">E15+E16+E17-E18</f>
        <v>460</v>
      </c>
      <c r="F19" s="2193">
        <f t="shared" si="13"/>
        <v>5020</v>
      </c>
      <c r="G19" s="2193">
        <f t="shared" si="13"/>
        <v>630</v>
      </c>
      <c r="H19" s="2193">
        <f t="shared" si="13"/>
        <v>34</v>
      </c>
      <c r="I19" s="2193">
        <f t="shared" si="13"/>
        <v>38</v>
      </c>
      <c r="J19" s="2193">
        <f t="shared" si="13"/>
        <v>0</v>
      </c>
      <c r="K19" s="2193">
        <f t="shared" si="13"/>
        <v>78</v>
      </c>
      <c r="L19" s="2193">
        <f t="shared" si="13"/>
        <v>12</v>
      </c>
      <c r="M19" s="2195">
        <f>M15+M16+M17-M18</f>
        <v>25</v>
      </c>
      <c r="N19" s="2193">
        <f t="shared" si="13"/>
        <v>0</v>
      </c>
      <c r="O19" s="2193">
        <f>O15+O16+O17-O18</f>
        <v>0</v>
      </c>
      <c r="P19" s="2193">
        <f t="shared" ref="P19:Q19" si="14">P15+P16+P17-P18</f>
        <v>100</v>
      </c>
      <c r="Q19" s="2260">
        <f t="shared" si="14"/>
        <v>0</v>
      </c>
      <c r="R19" s="2261"/>
      <c r="S19" s="2190">
        <f>S15+S16-S17-S18</f>
        <v>0</v>
      </c>
      <c r="T19" s="2256" t="s">
        <v>48</v>
      </c>
      <c r="U19" s="49" t="s">
        <v>58</v>
      </c>
      <c r="V19" s="2262"/>
      <c r="W19" s="2262"/>
      <c r="X19" s="2262"/>
      <c r="Y19" s="2269"/>
    </row>
    <row r="20" spans="1:25" ht="23.25" customHeight="1" x14ac:dyDescent="0.25">
      <c r="A20" s="289" t="s">
        <v>187</v>
      </c>
      <c r="B20" s="2286">
        <f>B19*0.9625</f>
        <v>338725.88750000001</v>
      </c>
      <c r="C20" s="2287"/>
      <c r="D20" s="290">
        <f>D19*19.48</f>
        <v>0</v>
      </c>
      <c r="E20" s="290">
        <f>27.97*E19</f>
        <v>12866.199999999999</v>
      </c>
      <c r="F20" s="290">
        <f>18.63*F19</f>
        <v>93522.599999999991</v>
      </c>
      <c r="G20" s="290">
        <f>27.9468*G19</f>
        <v>17606.484</v>
      </c>
      <c r="H20" s="290">
        <f>241*H19</f>
        <v>8194</v>
      </c>
      <c r="I20" s="290">
        <f>323*I19</f>
        <v>12274</v>
      </c>
      <c r="J20" s="290">
        <f>241*J19</f>
        <v>0</v>
      </c>
      <c r="K20" s="290">
        <f>K19*100</f>
        <v>7800</v>
      </c>
      <c r="L20" s="290">
        <f>470*L19</f>
        <v>5640</v>
      </c>
      <c r="M20" s="290">
        <f>470*M19</f>
        <v>11750</v>
      </c>
      <c r="N20" s="290">
        <f>N19*8.81</f>
        <v>0</v>
      </c>
      <c r="O20" s="290">
        <f>241*O19</f>
        <v>0</v>
      </c>
      <c r="P20" s="290">
        <f>P19*48.2</f>
        <v>4820</v>
      </c>
      <c r="Q20" s="2286">
        <f>470*Q19</f>
        <v>0</v>
      </c>
      <c r="R20" s="2287"/>
      <c r="S20" s="290">
        <f>341*S19</f>
        <v>0</v>
      </c>
      <c r="T20" s="2257"/>
      <c r="U20" s="49" t="s">
        <v>59</v>
      </c>
      <c r="V20" s="2262"/>
      <c r="W20" s="2262"/>
      <c r="X20" s="2262"/>
      <c r="Y20" s="2269"/>
    </row>
    <row r="21" spans="1:25" ht="32.25" customHeight="1" x14ac:dyDescent="0.25">
      <c r="A21" s="291" t="s">
        <v>186</v>
      </c>
      <c r="B21" s="2302">
        <f>SUM(B20:S20)</f>
        <v>513199.1715</v>
      </c>
      <c r="C21" s="2302"/>
      <c r="T21" s="2294" t="s">
        <v>464</v>
      </c>
      <c r="U21" s="2295"/>
      <c r="V21" s="2297"/>
      <c r="W21" s="2298"/>
      <c r="X21" s="2299"/>
      <c r="Y21" s="2269"/>
    </row>
    <row r="22" spans="1:25" ht="35.25" customHeight="1" x14ac:dyDescent="0.25">
      <c r="A22" s="1911"/>
      <c r="B22" s="2288" t="s">
        <v>49</v>
      </c>
      <c r="C22" s="2291">
        <v>355000</v>
      </c>
      <c r="D22" s="2291"/>
      <c r="E22" s="2291"/>
      <c r="F22" s="2291">
        <f>C22-D22+E22</f>
        <v>355000</v>
      </c>
      <c r="J22" s="14" t="s">
        <v>139</v>
      </c>
      <c r="T22" s="2251" t="s">
        <v>83</v>
      </c>
      <c r="U22" s="50" t="s">
        <v>60</v>
      </c>
      <c r="V22" s="2262"/>
      <c r="W22" s="2262"/>
      <c r="X22" s="2262"/>
      <c r="Y22" s="2269"/>
    </row>
    <row r="23" spans="1:25" ht="39.75" customHeight="1" x14ac:dyDescent="0.25">
      <c r="B23" s="2289"/>
      <c r="C23" s="2292"/>
      <c r="D23" s="2292"/>
      <c r="E23" s="2292"/>
      <c r="F23" s="2292"/>
      <c r="T23" s="2252"/>
      <c r="U23" s="50" t="s">
        <v>61</v>
      </c>
      <c r="V23" s="2262"/>
      <c r="W23" s="2262"/>
      <c r="X23" s="2262"/>
      <c r="Y23" s="2269"/>
    </row>
    <row r="24" spans="1:25" ht="48" customHeight="1" x14ac:dyDescent="0.25">
      <c r="B24" s="2290"/>
      <c r="C24" s="290" t="s">
        <v>46</v>
      </c>
      <c r="D24" s="290" t="s">
        <v>50</v>
      </c>
      <c r="E24" s="290" t="s">
        <v>51</v>
      </c>
      <c r="F24" s="290" t="s">
        <v>52</v>
      </c>
      <c r="T24" s="2235" t="s">
        <v>47</v>
      </c>
      <c r="U24" s="51" t="s">
        <v>62</v>
      </c>
      <c r="V24" s="2263">
        <f>V14+V16+V17-V18-V19-V20-V22+V23-V21</f>
        <v>258947.91250000001</v>
      </c>
      <c r="W24" s="2263"/>
      <c r="X24" s="2263"/>
      <c r="Y24" s="2269"/>
    </row>
    <row r="25" spans="1:25" ht="40.5" customHeight="1" x14ac:dyDescent="0.25">
      <c r="T25" s="2235"/>
      <c r="U25" s="51" t="s">
        <v>63</v>
      </c>
      <c r="V25" s="2262">
        <f>V15+V22-V23</f>
        <v>92444</v>
      </c>
      <c r="W25" s="2262"/>
      <c r="X25" s="2262"/>
    </row>
    <row r="26" spans="1:25" ht="36" customHeight="1" x14ac:dyDescent="0.25">
      <c r="K26" s="314"/>
    </row>
    <row r="28" spans="1:25" x14ac:dyDescent="0.25">
      <c r="J28" s="14" t="s">
        <v>139</v>
      </c>
    </row>
    <row r="32" spans="1:25" x14ac:dyDescent="0.25">
      <c r="I32" s="2280"/>
      <c r="J32" s="2280"/>
      <c r="K32" s="2280"/>
      <c r="L32" s="2280"/>
    </row>
    <row r="33" spans="9:12" x14ac:dyDescent="0.25">
      <c r="I33" s="2197"/>
      <c r="J33" s="2197"/>
      <c r="K33" s="2280"/>
      <c r="L33" s="2280"/>
    </row>
  </sheetData>
  <mergeCells count="62">
    <mergeCell ref="A1:Y1"/>
    <mergeCell ref="A2:Y2"/>
    <mergeCell ref="T3:Y3"/>
    <mergeCell ref="A4:A5"/>
    <mergeCell ref="B4:B5"/>
    <mergeCell ref="C4:D4"/>
    <mergeCell ref="E4:F4"/>
    <mergeCell ref="G4:H4"/>
    <mergeCell ref="I4:J4"/>
    <mergeCell ref="K4:L4"/>
    <mergeCell ref="Y4:Y5"/>
    <mergeCell ref="M4:N4"/>
    <mergeCell ref="O4:P4"/>
    <mergeCell ref="Q4:R4"/>
    <mergeCell ref="S4:T4"/>
    <mergeCell ref="U4:V4"/>
    <mergeCell ref="W4:X4"/>
    <mergeCell ref="B16:C16"/>
    <mergeCell ref="Q16:R16"/>
    <mergeCell ref="T16:U16"/>
    <mergeCell ref="V16:X16"/>
    <mergeCell ref="A12:B12"/>
    <mergeCell ref="B14:C14"/>
    <mergeCell ref="Q14:R14"/>
    <mergeCell ref="T14:T15"/>
    <mergeCell ref="V14:X14"/>
    <mergeCell ref="B15:C15"/>
    <mergeCell ref="Q15:R15"/>
    <mergeCell ref="V15:X15"/>
    <mergeCell ref="B17:C17"/>
    <mergeCell ref="Q17:R17"/>
    <mergeCell ref="T17:U17"/>
    <mergeCell ref="V17:X17"/>
    <mergeCell ref="B18:C18"/>
    <mergeCell ref="Q18:R18"/>
    <mergeCell ref="T18:U18"/>
    <mergeCell ref="V18:X18"/>
    <mergeCell ref="Y18:Y24"/>
    <mergeCell ref="B19:C19"/>
    <mergeCell ref="Q19:R19"/>
    <mergeCell ref="T19:T20"/>
    <mergeCell ref="V19:X19"/>
    <mergeCell ref="B20:C20"/>
    <mergeCell ref="B22:B24"/>
    <mergeCell ref="C22:C23"/>
    <mergeCell ref="D22:D23"/>
    <mergeCell ref="E22:E23"/>
    <mergeCell ref="F22:F23"/>
    <mergeCell ref="Q20:R20"/>
    <mergeCell ref="V20:X20"/>
    <mergeCell ref="B21:C21"/>
    <mergeCell ref="T21:U21"/>
    <mergeCell ref="V21:X21"/>
    <mergeCell ref="I32:J32"/>
    <mergeCell ref="K32:L32"/>
    <mergeCell ref="K33:L33"/>
    <mergeCell ref="T22:T23"/>
    <mergeCell ref="V22:X22"/>
    <mergeCell ref="V23:X23"/>
    <mergeCell ref="T24:T25"/>
    <mergeCell ref="V24:X24"/>
    <mergeCell ref="V25:X25"/>
  </mergeCells>
  <pageMargins left="0.15748031496063" right="0.15748031496063" top="0" bottom="0" header="0" footer="0"/>
  <pageSetup paperSize="9" scale="46" orientation="landscape" r:id="rId1"/>
</worksheet>
</file>

<file path=xl/worksheets/sheet3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52CF867-D764-4FD3-A69E-45016EC3D5EA}">
  <sheetPr>
    <pageSetUpPr fitToPage="1"/>
  </sheetPr>
  <dimension ref="A1:Y33"/>
  <sheetViews>
    <sheetView tabSelected="1" topLeftCell="A7" zoomScale="70" zoomScaleNormal="70" zoomScaleSheetLayoutView="100" zoomScalePageLayoutView="68" workbookViewId="0">
      <selection activeCell="K27" sqref="K27"/>
    </sheetView>
  </sheetViews>
  <sheetFormatPr defaultColWidth="9.140625" defaultRowHeight="15" x14ac:dyDescent="0.25"/>
  <cols>
    <col min="1" max="1" width="18.28515625" style="14" customWidth="1"/>
    <col min="2" max="2" width="10.7109375" style="14" customWidth="1"/>
    <col min="3" max="3" width="12.28515625" style="14" customWidth="1"/>
    <col min="4" max="4" width="13.140625" style="14" bestFit="1" customWidth="1"/>
    <col min="5" max="5" width="12" style="14" customWidth="1"/>
    <col min="6" max="6" width="14" style="14" bestFit="1" customWidth="1"/>
    <col min="7" max="7" width="16" style="14" bestFit="1" customWidth="1"/>
    <col min="8" max="8" width="11" style="14" bestFit="1" customWidth="1"/>
    <col min="9" max="9" width="10.5703125" style="14" bestFit="1" customWidth="1"/>
    <col min="10" max="10" width="10.5703125" style="14" customWidth="1"/>
    <col min="11" max="11" width="10.28515625" style="14" bestFit="1" customWidth="1"/>
    <col min="12" max="12" width="10.42578125" style="14" bestFit="1" customWidth="1"/>
    <col min="13" max="14" width="12" style="14" bestFit="1" customWidth="1"/>
    <col min="15" max="15" width="11" style="14" customWidth="1"/>
    <col min="16" max="16" width="12.85546875" style="14" bestFit="1" customWidth="1"/>
    <col min="17" max="18" width="9.42578125" style="14" customWidth="1"/>
    <col min="19" max="19" width="13.7109375" style="14" customWidth="1"/>
    <col min="20" max="20" width="12.140625" style="14" customWidth="1"/>
    <col min="21" max="21" width="21.7109375" style="14" customWidth="1"/>
    <col min="22" max="22" width="9.85546875" style="14" customWidth="1"/>
    <col min="23" max="23" width="10.140625" style="14" bestFit="1" customWidth="1"/>
    <col min="24" max="24" width="10.28515625" style="14" customWidth="1"/>
    <col min="25" max="25" width="15.7109375" style="14" customWidth="1"/>
    <col min="26" max="16384" width="9.140625" style="14"/>
  </cols>
  <sheetData>
    <row r="1" spans="1:25" ht="46.15" customHeight="1" x14ac:dyDescent="0.25">
      <c r="A1" s="2240" t="s">
        <v>148</v>
      </c>
      <c r="B1" s="2240"/>
      <c r="C1" s="2240"/>
      <c r="D1" s="2240"/>
      <c r="E1" s="2240"/>
      <c r="F1" s="2240"/>
      <c r="G1" s="2240"/>
      <c r="H1" s="2240"/>
      <c r="I1" s="2240"/>
      <c r="J1" s="2240"/>
      <c r="K1" s="2240"/>
      <c r="L1" s="2240"/>
      <c r="M1" s="2240"/>
      <c r="N1" s="2240"/>
      <c r="O1" s="2240"/>
      <c r="P1" s="2240"/>
      <c r="Q1" s="2240"/>
      <c r="R1" s="2240"/>
      <c r="S1" s="2240"/>
      <c r="T1" s="2240"/>
      <c r="U1" s="2240"/>
      <c r="V1" s="2240"/>
      <c r="W1" s="2240"/>
      <c r="X1" s="2240"/>
      <c r="Y1" s="2240"/>
    </row>
    <row r="2" spans="1:25" ht="21.6" customHeight="1" x14ac:dyDescent="0.25">
      <c r="A2" s="2241" t="s">
        <v>383</v>
      </c>
      <c r="B2" s="2241"/>
      <c r="C2" s="2241"/>
      <c r="D2" s="2241"/>
      <c r="E2" s="2241"/>
      <c r="F2" s="2241"/>
      <c r="G2" s="2241"/>
      <c r="H2" s="2241"/>
      <c r="I2" s="2241"/>
      <c r="J2" s="2241"/>
      <c r="K2" s="2241"/>
      <c r="L2" s="2241"/>
      <c r="M2" s="2241"/>
      <c r="N2" s="2241"/>
      <c r="O2" s="2241"/>
      <c r="P2" s="2241"/>
      <c r="Q2" s="2241"/>
      <c r="R2" s="2241"/>
      <c r="S2" s="2241"/>
      <c r="T2" s="2241"/>
      <c r="U2" s="2241"/>
      <c r="V2" s="2241"/>
      <c r="W2" s="2241"/>
      <c r="X2" s="2241"/>
      <c r="Y2" s="2241"/>
    </row>
    <row r="3" spans="1:25" ht="21" customHeight="1" x14ac:dyDescent="0.25">
      <c r="A3" s="2192"/>
      <c r="B3" s="2192"/>
      <c r="C3" s="2192"/>
      <c r="D3" s="2192"/>
      <c r="E3" s="2192"/>
      <c r="F3" s="2192"/>
      <c r="G3" s="2192"/>
      <c r="H3" s="2192"/>
      <c r="I3" s="2192"/>
      <c r="J3" s="2192"/>
      <c r="K3" s="2192"/>
      <c r="L3" s="2192"/>
      <c r="M3" s="2192"/>
      <c r="N3" s="2192"/>
      <c r="O3" s="2192"/>
      <c r="P3" s="2192"/>
      <c r="Q3" s="2192"/>
      <c r="R3" s="2192"/>
      <c r="S3" s="2192"/>
      <c r="T3" s="2242" t="s">
        <v>603</v>
      </c>
      <c r="U3" s="2242"/>
      <c r="V3" s="2242"/>
      <c r="W3" s="2242"/>
      <c r="X3" s="2242"/>
      <c r="Y3" s="2242"/>
    </row>
    <row r="4" spans="1:25" s="2192" customFormat="1" ht="18" customHeight="1" x14ac:dyDescent="0.25">
      <c r="A4" s="2243" t="s">
        <v>25</v>
      </c>
      <c r="B4" s="2243" t="s">
        <v>26</v>
      </c>
      <c r="C4" s="2244" t="s">
        <v>27</v>
      </c>
      <c r="D4" s="2244"/>
      <c r="E4" s="2244" t="s">
        <v>544</v>
      </c>
      <c r="F4" s="2244"/>
      <c r="G4" s="2244" t="s">
        <v>65</v>
      </c>
      <c r="H4" s="2244"/>
      <c r="I4" s="2244" t="s">
        <v>29</v>
      </c>
      <c r="J4" s="2244"/>
      <c r="K4" s="2245" t="s">
        <v>14</v>
      </c>
      <c r="L4" s="2246"/>
      <c r="M4" s="2245" t="s">
        <v>429</v>
      </c>
      <c r="N4" s="2246"/>
      <c r="O4" s="2245" t="s">
        <v>441</v>
      </c>
      <c r="P4" s="2246"/>
      <c r="Q4" s="2245" t="s">
        <v>114</v>
      </c>
      <c r="R4" s="2246"/>
      <c r="S4" s="2244" t="s">
        <v>35</v>
      </c>
      <c r="T4" s="2244"/>
      <c r="U4" s="2245" t="s">
        <v>17</v>
      </c>
      <c r="V4" s="2246"/>
      <c r="W4" s="2247" t="s">
        <v>36</v>
      </c>
      <c r="X4" s="2248"/>
      <c r="Y4" s="2238" t="s">
        <v>30</v>
      </c>
    </row>
    <row r="5" spans="1:25" s="2192" customFormat="1" ht="25.5" customHeight="1" x14ac:dyDescent="0.25">
      <c r="A5" s="2243"/>
      <c r="B5" s="2243"/>
      <c r="C5" s="2191" t="s">
        <v>42</v>
      </c>
      <c r="D5" s="2191" t="s">
        <v>43</v>
      </c>
      <c r="E5" s="2191" t="s">
        <v>42</v>
      </c>
      <c r="F5" s="2191" t="s">
        <v>43</v>
      </c>
      <c r="G5" s="2191" t="s">
        <v>42</v>
      </c>
      <c r="H5" s="2191" t="s">
        <v>43</v>
      </c>
      <c r="I5" s="2191" t="s">
        <v>42</v>
      </c>
      <c r="J5" s="2191" t="s">
        <v>43</v>
      </c>
      <c r="K5" s="2191" t="s">
        <v>42</v>
      </c>
      <c r="L5" s="2191" t="s">
        <v>43</v>
      </c>
      <c r="M5" s="2191" t="s">
        <v>42</v>
      </c>
      <c r="N5" s="2191" t="s">
        <v>43</v>
      </c>
      <c r="O5" s="2191" t="s">
        <v>42</v>
      </c>
      <c r="P5" s="2191" t="s">
        <v>43</v>
      </c>
      <c r="Q5" s="2191" t="s">
        <v>42</v>
      </c>
      <c r="R5" s="2191" t="s">
        <v>43</v>
      </c>
      <c r="S5" s="33" t="s">
        <v>42</v>
      </c>
      <c r="T5" s="33" t="s">
        <v>43</v>
      </c>
      <c r="U5" s="30" t="s">
        <v>42</v>
      </c>
      <c r="V5" s="30" t="s">
        <v>43</v>
      </c>
      <c r="W5" s="30" t="s">
        <v>42</v>
      </c>
      <c r="X5" s="30" t="s">
        <v>43</v>
      </c>
      <c r="Y5" s="2239"/>
    </row>
    <row r="6" spans="1:25" ht="34.5" customHeight="1" x14ac:dyDescent="0.25">
      <c r="A6" s="12">
        <v>1409935200</v>
      </c>
      <c r="B6" s="2190" t="s">
        <v>71</v>
      </c>
      <c r="C6" s="2188">
        <v>30963</v>
      </c>
      <c r="D6" s="2187">
        <f t="shared" ref="D6:D11" si="0">0.9725*C6</f>
        <v>30111.517500000002</v>
      </c>
      <c r="E6" s="2188"/>
      <c r="F6" s="2187">
        <f>19.68*E6</f>
        <v>0</v>
      </c>
      <c r="G6" s="2188">
        <v>80</v>
      </c>
      <c r="H6" s="2187">
        <f t="shared" ref="H6:H11" si="1">28.26*G6</f>
        <v>2260.8000000000002</v>
      </c>
      <c r="I6" s="2188">
        <v>1240</v>
      </c>
      <c r="J6" s="2187">
        <f>18.82*I6</f>
        <v>23336.799999999999</v>
      </c>
      <c r="K6" s="2188">
        <v>10</v>
      </c>
      <c r="L6" s="2187">
        <f>28.25*K6</f>
        <v>282.5</v>
      </c>
      <c r="M6" s="2188"/>
      <c r="N6" s="2187">
        <f>M6*47.6525</f>
        <v>0</v>
      </c>
      <c r="O6" s="2188"/>
      <c r="P6" s="2187">
        <f>O6*8.9</f>
        <v>0</v>
      </c>
      <c r="Q6" s="2187"/>
      <c r="R6" s="2187">
        <f>241*Q6</f>
        <v>0</v>
      </c>
      <c r="S6" s="2188"/>
      <c r="T6" s="2188">
        <f>470*S6</f>
        <v>0</v>
      </c>
      <c r="U6" s="2188"/>
      <c r="V6" s="2188">
        <f>332*U6</f>
        <v>0</v>
      </c>
      <c r="W6" s="2188"/>
      <c r="X6" s="19">
        <f>W6*100</f>
        <v>0</v>
      </c>
      <c r="Y6" s="20">
        <f t="shared" ref="Y6:Y12" si="2">D6+F6+H6+J6+L6+N6+P6+R6+T6+V6+X6</f>
        <v>55991.6175</v>
      </c>
    </row>
    <row r="7" spans="1:25" ht="36.75" customHeight="1" x14ac:dyDescent="0.25">
      <c r="A7" s="12">
        <v>1984225578</v>
      </c>
      <c r="B7" s="2190" t="s">
        <v>509</v>
      </c>
      <c r="C7" s="2188">
        <v>24659</v>
      </c>
      <c r="D7" s="2187">
        <f t="shared" si="0"/>
        <v>23980.877500000002</v>
      </c>
      <c r="E7" s="2188"/>
      <c r="F7" s="2187">
        <f t="shared" ref="F7:F11" si="3">19.68*E7</f>
        <v>0</v>
      </c>
      <c r="G7" s="2188"/>
      <c r="H7" s="2187">
        <f t="shared" si="1"/>
        <v>0</v>
      </c>
      <c r="I7" s="2188">
        <v>500</v>
      </c>
      <c r="J7" s="2187">
        <f t="shared" ref="J7:J11" si="4">18.82*I7</f>
        <v>9410</v>
      </c>
      <c r="K7" s="2188">
        <v>80</v>
      </c>
      <c r="L7" s="2187">
        <f t="shared" ref="L7:L11" si="5">28.25*K7</f>
        <v>2260</v>
      </c>
      <c r="M7" s="2188"/>
      <c r="N7" s="2187">
        <f t="shared" ref="N7:N11" si="6">M7*47.6525</f>
        <v>0</v>
      </c>
      <c r="O7" s="2188"/>
      <c r="P7" s="2187">
        <f t="shared" ref="P7:P11" si="7">O7*8.9</f>
        <v>0</v>
      </c>
      <c r="Q7" s="2187"/>
      <c r="R7" s="2187">
        <f t="shared" ref="R7:R11" si="8">241*Q7</f>
        <v>0</v>
      </c>
      <c r="S7" s="2188"/>
      <c r="T7" s="2188">
        <f t="shared" ref="T7:T9" si="9">470*S7</f>
        <v>0</v>
      </c>
      <c r="U7" s="2188">
        <v>13</v>
      </c>
      <c r="V7" s="2188">
        <f t="shared" ref="V7:V11" si="10">332*U7</f>
        <v>4316</v>
      </c>
      <c r="W7" s="2188"/>
      <c r="X7" s="19">
        <f t="shared" ref="X7:X11" si="11">W7*100</f>
        <v>0</v>
      </c>
      <c r="Y7" s="20">
        <f t="shared" si="2"/>
        <v>39966.877500000002</v>
      </c>
    </row>
    <row r="8" spans="1:25" ht="35.25" customHeight="1" x14ac:dyDescent="0.25">
      <c r="A8" s="12">
        <v>1967020280</v>
      </c>
      <c r="B8" s="2190" t="s">
        <v>427</v>
      </c>
      <c r="C8" s="2188">
        <v>28266</v>
      </c>
      <c r="D8" s="2187">
        <f t="shared" si="0"/>
        <v>27488.685000000001</v>
      </c>
      <c r="E8" s="2188"/>
      <c r="F8" s="2187">
        <f t="shared" si="3"/>
        <v>0</v>
      </c>
      <c r="G8" s="2188">
        <v>20</v>
      </c>
      <c r="H8" s="2187">
        <f t="shared" si="1"/>
        <v>565.20000000000005</v>
      </c>
      <c r="I8" s="2188">
        <v>660</v>
      </c>
      <c r="J8" s="2187">
        <f t="shared" si="4"/>
        <v>12421.2</v>
      </c>
      <c r="K8" s="2188"/>
      <c r="L8" s="2187">
        <f t="shared" si="5"/>
        <v>0</v>
      </c>
      <c r="M8" s="2188"/>
      <c r="N8" s="2187">
        <f t="shared" si="6"/>
        <v>0</v>
      </c>
      <c r="O8" s="2188"/>
      <c r="P8" s="2187">
        <f t="shared" si="7"/>
        <v>0</v>
      </c>
      <c r="Q8" s="2187"/>
      <c r="R8" s="2187">
        <f t="shared" si="8"/>
        <v>0</v>
      </c>
      <c r="S8" s="2188"/>
      <c r="T8" s="2188">
        <f t="shared" si="9"/>
        <v>0</v>
      </c>
      <c r="U8" s="2188">
        <v>3</v>
      </c>
      <c r="V8" s="2188">
        <f t="shared" si="10"/>
        <v>996</v>
      </c>
      <c r="W8" s="2188">
        <v>1</v>
      </c>
      <c r="X8" s="19">
        <f t="shared" si="11"/>
        <v>100</v>
      </c>
      <c r="Y8" s="20">
        <f t="shared" si="2"/>
        <v>41571.085000000006</v>
      </c>
    </row>
    <row r="9" spans="1:25" ht="38.25" customHeight="1" x14ac:dyDescent="0.25">
      <c r="A9" s="12">
        <v>1984225580</v>
      </c>
      <c r="B9" s="2190" t="s">
        <v>74</v>
      </c>
      <c r="C9" s="2188">
        <v>34432</v>
      </c>
      <c r="D9" s="2187">
        <f t="shared" si="0"/>
        <v>33485.120000000003</v>
      </c>
      <c r="E9" s="2188"/>
      <c r="F9" s="2187">
        <f t="shared" si="3"/>
        <v>0</v>
      </c>
      <c r="G9" s="2188">
        <v>10</v>
      </c>
      <c r="H9" s="2187">
        <f t="shared" si="1"/>
        <v>282.60000000000002</v>
      </c>
      <c r="I9" s="2188">
        <v>430</v>
      </c>
      <c r="J9" s="2187">
        <f t="shared" si="4"/>
        <v>8092.6</v>
      </c>
      <c r="K9" s="2188"/>
      <c r="L9" s="2187">
        <f t="shared" si="5"/>
        <v>0</v>
      </c>
      <c r="M9" s="2188"/>
      <c r="N9" s="2187">
        <f t="shared" si="6"/>
        <v>0</v>
      </c>
      <c r="O9" s="2188"/>
      <c r="P9" s="2187">
        <f t="shared" si="7"/>
        <v>0</v>
      </c>
      <c r="Q9" s="2187"/>
      <c r="R9" s="2187">
        <f t="shared" si="8"/>
        <v>0</v>
      </c>
      <c r="S9" s="2188"/>
      <c r="T9" s="2188">
        <f t="shared" si="9"/>
        <v>0</v>
      </c>
      <c r="U9" s="2188">
        <v>10</v>
      </c>
      <c r="V9" s="2188">
        <f t="shared" si="10"/>
        <v>3320</v>
      </c>
      <c r="W9" s="2188"/>
      <c r="X9" s="19">
        <f t="shared" si="11"/>
        <v>0</v>
      </c>
      <c r="Y9" s="20">
        <f t="shared" si="2"/>
        <v>45180.32</v>
      </c>
    </row>
    <row r="10" spans="1:25" ht="35.25" customHeight="1" x14ac:dyDescent="0.25">
      <c r="A10" s="12">
        <v>1409935199</v>
      </c>
      <c r="C10" s="2188"/>
      <c r="D10" s="2187">
        <f t="shared" si="0"/>
        <v>0</v>
      </c>
      <c r="E10" s="2188"/>
      <c r="F10" s="2187">
        <f t="shared" si="3"/>
        <v>0</v>
      </c>
      <c r="G10" s="2188"/>
      <c r="H10" s="2187">
        <f t="shared" si="1"/>
        <v>0</v>
      </c>
      <c r="I10" s="2188"/>
      <c r="J10" s="2187">
        <f t="shared" si="4"/>
        <v>0</v>
      </c>
      <c r="K10" s="2188"/>
      <c r="L10" s="2187">
        <f t="shared" si="5"/>
        <v>0</v>
      </c>
      <c r="M10" s="2188"/>
      <c r="N10" s="2187">
        <f t="shared" si="6"/>
        <v>0</v>
      </c>
      <c r="O10" s="2188"/>
      <c r="P10" s="2187">
        <f t="shared" si="7"/>
        <v>0</v>
      </c>
      <c r="Q10" s="2187"/>
      <c r="R10" s="2187">
        <f t="shared" si="8"/>
        <v>0</v>
      </c>
      <c r="S10" s="2188"/>
      <c r="T10" s="2188">
        <f>470*S10</f>
        <v>0</v>
      </c>
      <c r="U10" s="2188"/>
      <c r="V10" s="2188">
        <f t="shared" si="10"/>
        <v>0</v>
      </c>
      <c r="W10" s="2188"/>
      <c r="X10" s="19">
        <f t="shared" si="11"/>
        <v>0</v>
      </c>
      <c r="Y10" s="20">
        <f t="shared" si="2"/>
        <v>0</v>
      </c>
    </row>
    <row r="11" spans="1:25" ht="37.5" customHeight="1" x14ac:dyDescent="0.25">
      <c r="A11" s="12"/>
      <c r="B11" s="2189"/>
      <c r="C11" s="2188"/>
      <c r="D11" s="2187">
        <f t="shared" si="0"/>
        <v>0</v>
      </c>
      <c r="E11" s="2188"/>
      <c r="F11" s="2187">
        <f t="shared" si="3"/>
        <v>0</v>
      </c>
      <c r="G11" s="2188"/>
      <c r="H11" s="2187">
        <f t="shared" si="1"/>
        <v>0</v>
      </c>
      <c r="I11" s="2188"/>
      <c r="J11" s="2187">
        <f t="shared" si="4"/>
        <v>0</v>
      </c>
      <c r="K11" s="2188"/>
      <c r="L11" s="2187">
        <f t="shared" si="5"/>
        <v>0</v>
      </c>
      <c r="M11" s="2188"/>
      <c r="N11" s="2187">
        <f t="shared" si="6"/>
        <v>0</v>
      </c>
      <c r="O11" s="2188"/>
      <c r="P11" s="2187">
        <f t="shared" si="7"/>
        <v>0</v>
      </c>
      <c r="Q11" s="2187"/>
      <c r="R11" s="2187">
        <f t="shared" si="8"/>
        <v>0</v>
      </c>
      <c r="S11" s="2188"/>
      <c r="T11" s="2188">
        <f>241*S11</f>
        <v>0</v>
      </c>
      <c r="U11" s="2188"/>
      <c r="V11" s="2188">
        <f t="shared" si="10"/>
        <v>0</v>
      </c>
      <c r="W11" s="2188"/>
      <c r="X11" s="19">
        <f t="shared" si="11"/>
        <v>0</v>
      </c>
      <c r="Y11" s="20">
        <f t="shared" si="2"/>
        <v>0</v>
      </c>
    </row>
    <row r="12" spans="1:25" ht="29.25" customHeight="1" x14ac:dyDescent="0.25">
      <c r="A12" s="2235" t="s">
        <v>31</v>
      </c>
      <c r="B12" s="2235"/>
      <c r="C12" s="18">
        <f t="shared" ref="C12:X12" si="12">SUM(C6:C11)</f>
        <v>118320</v>
      </c>
      <c r="D12" s="18">
        <f t="shared" si="12"/>
        <v>115066.20000000001</v>
      </c>
      <c r="E12" s="18">
        <f t="shared" si="12"/>
        <v>0</v>
      </c>
      <c r="F12" s="18">
        <f t="shared" si="12"/>
        <v>0</v>
      </c>
      <c r="G12" s="18">
        <f t="shared" si="12"/>
        <v>110</v>
      </c>
      <c r="H12" s="18">
        <f t="shared" si="12"/>
        <v>3108.6</v>
      </c>
      <c r="I12" s="18">
        <f t="shared" si="12"/>
        <v>2830</v>
      </c>
      <c r="J12" s="18">
        <f t="shared" si="12"/>
        <v>53260.6</v>
      </c>
      <c r="K12" s="18">
        <f t="shared" si="12"/>
        <v>90</v>
      </c>
      <c r="L12" s="18">
        <f t="shared" si="12"/>
        <v>2542.5</v>
      </c>
      <c r="M12" s="18">
        <f t="shared" si="12"/>
        <v>0</v>
      </c>
      <c r="N12" s="23">
        <f t="shared" si="12"/>
        <v>0</v>
      </c>
      <c r="O12" s="18">
        <f t="shared" si="12"/>
        <v>0</v>
      </c>
      <c r="P12" s="23">
        <f t="shared" si="12"/>
        <v>0</v>
      </c>
      <c r="Q12" s="23">
        <f t="shared" si="12"/>
        <v>0</v>
      </c>
      <c r="R12" s="23">
        <f>SUM(R6:R11)</f>
        <v>0</v>
      </c>
      <c r="S12" s="23">
        <f>SUM(S6:S11)</f>
        <v>0</v>
      </c>
      <c r="T12" s="18">
        <f t="shared" si="12"/>
        <v>0</v>
      </c>
      <c r="U12" s="18">
        <f t="shared" si="12"/>
        <v>26</v>
      </c>
      <c r="V12" s="18">
        <f t="shared" si="12"/>
        <v>8632</v>
      </c>
      <c r="W12" s="18">
        <f t="shared" si="12"/>
        <v>1</v>
      </c>
      <c r="X12" s="18">
        <f t="shared" si="12"/>
        <v>100</v>
      </c>
      <c r="Y12" s="20">
        <f t="shared" si="2"/>
        <v>182709.90000000002</v>
      </c>
    </row>
    <row r="14" spans="1:25" ht="43.5" customHeight="1" x14ac:dyDescent="0.25">
      <c r="A14" s="30" t="s">
        <v>32</v>
      </c>
      <c r="B14" s="2236" t="s">
        <v>27</v>
      </c>
      <c r="C14" s="2236"/>
      <c r="D14" s="30" t="s">
        <v>543</v>
      </c>
      <c r="E14" s="30" t="s">
        <v>65</v>
      </c>
      <c r="F14" s="30" t="s">
        <v>34</v>
      </c>
      <c r="G14" s="30" t="s">
        <v>14</v>
      </c>
      <c r="H14" s="469" t="s">
        <v>173</v>
      </c>
      <c r="I14" s="30" t="s">
        <v>17</v>
      </c>
      <c r="J14" s="2196" t="s">
        <v>174</v>
      </c>
      <c r="K14" s="30" t="s">
        <v>36</v>
      </c>
      <c r="L14" s="2196" t="s">
        <v>403</v>
      </c>
      <c r="M14" s="2196" t="s">
        <v>549</v>
      </c>
      <c r="N14" s="30" t="s">
        <v>442</v>
      </c>
      <c r="O14" s="2196" t="s">
        <v>114</v>
      </c>
      <c r="P14" s="30" t="s">
        <v>70</v>
      </c>
      <c r="Q14" s="2300" t="s">
        <v>479</v>
      </c>
      <c r="R14" s="2301"/>
      <c r="S14" s="2196" t="s">
        <v>401</v>
      </c>
      <c r="T14" s="2235" t="s">
        <v>46</v>
      </c>
      <c r="U14" s="2190" t="s">
        <v>176</v>
      </c>
      <c r="V14" s="2260">
        <v>258948</v>
      </c>
      <c r="W14" s="2268"/>
      <c r="X14" s="2261"/>
    </row>
    <row r="15" spans="1:25" ht="22.5" customHeight="1" x14ac:dyDescent="0.25">
      <c r="A15" s="100" t="s">
        <v>38</v>
      </c>
      <c r="B15" s="2260">
        <v>351923</v>
      </c>
      <c r="C15" s="2261"/>
      <c r="D15" s="2193">
        <v>0</v>
      </c>
      <c r="E15" s="2193">
        <v>460</v>
      </c>
      <c r="F15" s="2193">
        <v>5020</v>
      </c>
      <c r="G15" s="2193">
        <v>630</v>
      </c>
      <c r="H15" s="2193">
        <v>34</v>
      </c>
      <c r="I15" s="2193">
        <v>38</v>
      </c>
      <c r="J15" s="2193"/>
      <c r="K15" s="2193">
        <v>78</v>
      </c>
      <c r="L15" s="2193">
        <v>12</v>
      </c>
      <c r="M15" s="2193">
        <v>25</v>
      </c>
      <c r="N15" s="2193">
        <v>0</v>
      </c>
      <c r="O15" s="2193">
        <v>0</v>
      </c>
      <c r="P15" s="2193">
        <v>100</v>
      </c>
      <c r="Q15" s="2260">
        <v>0</v>
      </c>
      <c r="R15" s="2261"/>
      <c r="S15" s="2190"/>
      <c r="T15" s="2235"/>
      <c r="U15" s="2190" t="s">
        <v>64</v>
      </c>
      <c r="V15" s="2262">
        <v>92444</v>
      </c>
      <c r="W15" s="2262"/>
      <c r="X15" s="2262"/>
    </row>
    <row r="16" spans="1:25" ht="24.75" customHeight="1" x14ac:dyDescent="0.25">
      <c r="A16" s="100" t="s">
        <v>39</v>
      </c>
      <c r="B16" s="2260">
        <v>104623</v>
      </c>
      <c r="C16" s="2261"/>
      <c r="D16" s="2193"/>
      <c r="E16" s="2193"/>
      <c r="F16" s="2193">
        <v>5000</v>
      </c>
      <c r="G16" s="2193"/>
      <c r="H16" s="2193"/>
      <c r="I16" s="2193">
        <v>50</v>
      </c>
      <c r="J16" s="2193"/>
      <c r="K16" s="2193"/>
      <c r="L16" s="2193"/>
      <c r="M16" s="2193"/>
      <c r="N16" s="2193"/>
      <c r="O16" s="2193"/>
      <c r="P16" s="2193"/>
      <c r="Q16" s="2262"/>
      <c r="R16" s="2262"/>
      <c r="S16" s="2193"/>
      <c r="T16" s="2254" t="s">
        <v>55</v>
      </c>
      <c r="U16" s="2254"/>
      <c r="V16" s="2267">
        <f>Y12</f>
        <v>182709.90000000002</v>
      </c>
      <c r="W16" s="2267"/>
      <c r="X16" s="2262"/>
    </row>
    <row r="17" spans="1:25" ht="28.5" customHeight="1" x14ac:dyDescent="0.25">
      <c r="A17" s="101" t="s">
        <v>44</v>
      </c>
      <c r="B17" s="2260"/>
      <c r="C17" s="2261"/>
      <c r="D17" s="2193"/>
      <c r="E17" s="2193"/>
      <c r="F17" s="2193"/>
      <c r="G17" s="2193"/>
      <c r="H17" s="2193"/>
      <c r="I17" s="2193"/>
      <c r="J17" s="2193"/>
      <c r="K17" s="2193"/>
      <c r="L17" s="2193"/>
      <c r="M17" s="2193"/>
      <c r="N17" s="2193"/>
      <c r="O17" s="2193"/>
      <c r="P17" s="2193"/>
      <c r="Q17" s="2225"/>
      <c r="R17" s="2225"/>
      <c r="S17" s="2189"/>
      <c r="T17" s="2294" t="s">
        <v>521</v>
      </c>
      <c r="U17" s="2295"/>
      <c r="V17" s="2296"/>
      <c r="W17" s="2296"/>
      <c r="X17" s="2296"/>
    </row>
    <row r="18" spans="1:25" ht="27" customHeight="1" x14ac:dyDescent="0.25">
      <c r="A18" s="100" t="s">
        <v>40</v>
      </c>
      <c r="B18" s="2264">
        <f>C12</f>
        <v>118320</v>
      </c>
      <c r="C18" s="2261"/>
      <c r="D18" s="2195">
        <f>E12</f>
        <v>0</v>
      </c>
      <c r="E18" s="2195">
        <f>G12</f>
        <v>110</v>
      </c>
      <c r="F18" s="2195">
        <f>I12</f>
        <v>2830</v>
      </c>
      <c r="G18" s="2195">
        <f>K12</f>
        <v>90</v>
      </c>
      <c r="H18" s="2193"/>
      <c r="I18" s="2195">
        <f>U12</f>
        <v>26</v>
      </c>
      <c r="J18" s="2193"/>
      <c r="K18" s="2195">
        <f>W12</f>
        <v>1</v>
      </c>
      <c r="L18" s="2193"/>
      <c r="M18" s="2195"/>
      <c r="N18" s="2195">
        <f>O12</f>
        <v>0</v>
      </c>
      <c r="O18" s="2194">
        <f>Q12</f>
        <v>0</v>
      </c>
      <c r="P18" s="2195"/>
      <c r="Q18" s="2262"/>
      <c r="R18" s="2262"/>
      <c r="S18" s="2190"/>
      <c r="T18" s="2254" t="s">
        <v>57</v>
      </c>
      <c r="U18" s="2254"/>
      <c r="V18" s="2262">
        <v>24730</v>
      </c>
      <c r="W18" s="2262"/>
      <c r="X18" s="2262"/>
      <c r="Y18" s="2269"/>
    </row>
    <row r="19" spans="1:25" ht="25.5" customHeight="1" x14ac:dyDescent="0.25">
      <c r="A19" s="100" t="s">
        <v>41</v>
      </c>
      <c r="B19" s="2260">
        <f>B15+B16+B17-B18</f>
        <v>338226</v>
      </c>
      <c r="C19" s="2261"/>
      <c r="D19" s="2193">
        <f>D15+D16+D17-D18</f>
        <v>0</v>
      </c>
      <c r="E19" s="2193">
        <f t="shared" ref="E19:N19" si="13">E15+E16+E17-E18</f>
        <v>350</v>
      </c>
      <c r="F19" s="2193">
        <f t="shared" si="13"/>
        <v>7190</v>
      </c>
      <c r="G19" s="2193">
        <f t="shared" si="13"/>
        <v>540</v>
      </c>
      <c r="H19" s="2193">
        <f t="shared" si="13"/>
        <v>34</v>
      </c>
      <c r="I19" s="2193">
        <f t="shared" si="13"/>
        <v>62</v>
      </c>
      <c r="J19" s="2193">
        <f t="shared" si="13"/>
        <v>0</v>
      </c>
      <c r="K19" s="2193">
        <f t="shared" si="13"/>
        <v>77</v>
      </c>
      <c r="L19" s="2193">
        <f t="shared" si="13"/>
        <v>12</v>
      </c>
      <c r="M19" s="2195">
        <f>M15+M16+M17-M18</f>
        <v>25</v>
      </c>
      <c r="N19" s="2193">
        <f t="shared" si="13"/>
        <v>0</v>
      </c>
      <c r="O19" s="2193">
        <f>O15+O16+O17-O18</f>
        <v>0</v>
      </c>
      <c r="P19" s="2193">
        <f t="shared" ref="P19:Q19" si="14">P15+P16+P17-P18</f>
        <v>100</v>
      </c>
      <c r="Q19" s="2260">
        <f t="shared" si="14"/>
        <v>0</v>
      </c>
      <c r="R19" s="2261"/>
      <c r="S19" s="2190">
        <f>S15+S16-S17-S18</f>
        <v>0</v>
      </c>
      <c r="T19" s="2256" t="s">
        <v>48</v>
      </c>
      <c r="U19" s="49" t="s">
        <v>58</v>
      </c>
      <c r="V19" s="2262">
        <v>355000</v>
      </c>
      <c r="W19" s="2262"/>
      <c r="X19" s="2262"/>
      <c r="Y19" s="2269"/>
    </row>
    <row r="20" spans="1:25" ht="23.25" customHeight="1" x14ac:dyDescent="0.25">
      <c r="A20" s="289" t="s">
        <v>187</v>
      </c>
      <c r="B20" s="2286">
        <f>B19*0.9625</f>
        <v>325542.52500000002</v>
      </c>
      <c r="C20" s="2287"/>
      <c r="D20" s="290">
        <f>D19*19.48</f>
        <v>0</v>
      </c>
      <c r="E20" s="290">
        <f>27.97*E19</f>
        <v>9789.5</v>
      </c>
      <c r="F20" s="290">
        <f>18.63*F19</f>
        <v>133949.69999999998</v>
      </c>
      <c r="G20" s="290">
        <f>27.9468*G19</f>
        <v>15091.271999999999</v>
      </c>
      <c r="H20" s="290">
        <f>241*H19</f>
        <v>8194</v>
      </c>
      <c r="I20" s="290">
        <f>323*I19</f>
        <v>20026</v>
      </c>
      <c r="J20" s="290">
        <f>241*J19</f>
        <v>0</v>
      </c>
      <c r="K20" s="290">
        <f>K19*100</f>
        <v>7700</v>
      </c>
      <c r="L20" s="290">
        <f>470*L19</f>
        <v>5640</v>
      </c>
      <c r="M20" s="290">
        <f>470*M19</f>
        <v>11750</v>
      </c>
      <c r="N20" s="290">
        <f>N19*8.81</f>
        <v>0</v>
      </c>
      <c r="O20" s="290">
        <f>241*O19</f>
        <v>0</v>
      </c>
      <c r="P20" s="290">
        <f>P19*48.2</f>
        <v>4820</v>
      </c>
      <c r="Q20" s="2286">
        <f>470*Q19</f>
        <v>0</v>
      </c>
      <c r="R20" s="2287"/>
      <c r="S20" s="290">
        <f>341*S19</f>
        <v>0</v>
      </c>
      <c r="T20" s="2257"/>
      <c r="U20" s="49" t="s">
        <v>59</v>
      </c>
      <c r="V20" s="2262">
        <v>60000</v>
      </c>
      <c r="W20" s="2262"/>
      <c r="X20" s="2262"/>
      <c r="Y20" s="2269"/>
    </row>
    <row r="21" spans="1:25" ht="32.25" customHeight="1" x14ac:dyDescent="0.25">
      <c r="A21" s="291" t="s">
        <v>186</v>
      </c>
      <c r="B21" s="2302">
        <f>SUM(B20:S20)</f>
        <v>542502.99699999997</v>
      </c>
      <c r="C21" s="2302"/>
      <c r="T21" s="2294" t="s">
        <v>464</v>
      </c>
      <c r="U21" s="2295"/>
      <c r="V21" s="2297"/>
      <c r="W21" s="2298"/>
      <c r="X21" s="2299"/>
      <c r="Y21" s="2269"/>
    </row>
    <row r="22" spans="1:25" ht="35.25" customHeight="1" x14ac:dyDescent="0.25">
      <c r="A22" s="1911"/>
      <c r="B22" s="2288" t="s">
        <v>49</v>
      </c>
      <c r="C22" s="2291">
        <v>355000</v>
      </c>
      <c r="D22" s="2291">
        <v>355000</v>
      </c>
      <c r="E22" s="2291">
        <v>150000</v>
      </c>
      <c r="F22" s="2291">
        <f>C22-D22+E22</f>
        <v>150000</v>
      </c>
      <c r="J22" s="14" t="s">
        <v>139</v>
      </c>
      <c r="T22" s="2251" t="s">
        <v>83</v>
      </c>
      <c r="U22" s="50" t="s">
        <v>60</v>
      </c>
      <c r="V22" s="2262">
        <v>398400</v>
      </c>
      <c r="W22" s="2262"/>
      <c r="X22" s="2262"/>
      <c r="Y22" s="2269"/>
    </row>
    <row r="23" spans="1:25" ht="39.75" customHeight="1" x14ac:dyDescent="0.25">
      <c r="B23" s="2289"/>
      <c r="C23" s="2292"/>
      <c r="D23" s="2292"/>
      <c r="E23" s="2292"/>
      <c r="F23" s="2292"/>
      <c r="T23" s="2252"/>
      <c r="U23" s="50" t="s">
        <v>61</v>
      </c>
      <c r="V23" s="2262">
        <v>415000</v>
      </c>
      <c r="W23" s="2262"/>
      <c r="X23" s="2262"/>
      <c r="Y23" s="2269"/>
    </row>
    <row r="24" spans="1:25" ht="48" customHeight="1" x14ac:dyDescent="0.25">
      <c r="B24" s="2290"/>
      <c r="C24" s="290" t="s">
        <v>46</v>
      </c>
      <c r="D24" s="290" t="s">
        <v>50</v>
      </c>
      <c r="E24" s="290" t="s">
        <v>51</v>
      </c>
      <c r="F24" s="290" t="s">
        <v>52</v>
      </c>
      <c r="T24" s="2235" t="s">
        <v>47</v>
      </c>
      <c r="U24" s="51" t="s">
        <v>62</v>
      </c>
      <c r="V24" s="2263">
        <f>V14+V16+V17-V18-V19-V20-V22+V23-V21</f>
        <v>18527.900000000023</v>
      </c>
      <c r="W24" s="2263"/>
      <c r="X24" s="2263"/>
      <c r="Y24" s="2269"/>
    </row>
    <row r="25" spans="1:25" ht="40.5" customHeight="1" x14ac:dyDescent="0.25">
      <c r="T25" s="2235"/>
      <c r="U25" s="51" t="s">
        <v>63</v>
      </c>
      <c r="V25" s="2262">
        <f>V15+V22-V23</f>
        <v>75844</v>
      </c>
      <c r="W25" s="2262"/>
      <c r="X25" s="2262"/>
    </row>
    <row r="26" spans="1:25" ht="36" customHeight="1" x14ac:dyDescent="0.25">
      <c r="K26" s="314"/>
    </row>
    <row r="28" spans="1:25" x14ac:dyDescent="0.25">
      <c r="J28" s="14" t="s">
        <v>139</v>
      </c>
    </row>
    <row r="32" spans="1:25" x14ac:dyDescent="0.25">
      <c r="I32" s="2280"/>
      <c r="J32" s="2280"/>
      <c r="K32" s="2280"/>
      <c r="L32" s="2280"/>
    </row>
    <row r="33" spans="9:12" x14ac:dyDescent="0.25">
      <c r="I33" s="2197"/>
      <c r="J33" s="2197"/>
      <c r="K33" s="2280"/>
      <c r="L33" s="2280"/>
    </row>
  </sheetData>
  <mergeCells count="62">
    <mergeCell ref="A1:Y1"/>
    <mergeCell ref="A2:Y2"/>
    <mergeCell ref="T3:Y3"/>
    <mergeCell ref="A4:A5"/>
    <mergeCell ref="B4:B5"/>
    <mergeCell ref="C4:D4"/>
    <mergeCell ref="E4:F4"/>
    <mergeCell ref="G4:H4"/>
    <mergeCell ref="I4:J4"/>
    <mergeCell ref="K4:L4"/>
    <mergeCell ref="Y4:Y5"/>
    <mergeCell ref="M4:N4"/>
    <mergeCell ref="O4:P4"/>
    <mergeCell ref="Q4:R4"/>
    <mergeCell ref="S4:T4"/>
    <mergeCell ref="U4:V4"/>
    <mergeCell ref="W4:X4"/>
    <mergeCell ref="B16:C16"/>
    <mergeCell ref="Q16:R16"/>
    <mergeCell ref="T16:U16"/>
    <mergeCell ref="V16:X16"/>
    <mergeCell ref="A12:B12"/>
    <mergeCell ref="B14:C14"/>
    <mergeCell ref="Q14:R14"/>
    <mergeCell ref="T14:T15"/>
    <mergeCell ref="V14:X14"/>
    <mergeCell ref="B15:C15"/>
    <mergeCell ref="Q15:R15"/>
    <mergeCell ref="V15:X15"/>
    <mergeCell ref="B17:C17"/>
    <mergeCell ref="Q17:R17"/>
    <mergeCell ref="T17:U17"/>
    <mergeCell ref="V17:X17"/>
    <mergeCell ref="B18:C18"/>
    <mergeCell ref="Q18:R18"/>
    <mergeCell ref="T18:U18"/>
    <mergeCell ref="V18:X18"/>
    <mergeCell ref="Y18:Y24"/>
    <mergeCell ref="B19:C19"/>
    <mergeCell ref="Q19:R19"/>
    <mergeCell ref="T19:T20"/>
    <mergeCell ref="V19:X19"/>
    <mergeCell ref="B20:C20"/>
    <mergeCell ref="B22:B24"/>
    <mergeCell ref="C22:C23"/>
    <mergeCell ref="D22:D23"/>
    <mergeCell ref="E22:E23"/>
    <mergeCell ref="F22:F23"/>
    <mergeCell ref="Q20:R20"/>
    <mergeCell ref="V20:X20"/>
    <mergeCell ref="B21:C21"/>
    <mergeCell ref="T21:U21"/>
    <mergeCell ref="V21:X21"/>
    <mergeCell ref="I32:J32"/>
    <mergeCell ref="K32:L32"/>
    <mergeCell ref="K33:L33"/>
    <mergeCell ref="T22:T23"/>
    <mergeCell ref="V22:X22"/>
    <mergeCell ref="V23:X23"/>
    <mergeCell ref="T24:T25"/>
    <mergeCell ref="V24:X24"/>
    <mergeCell ref="V25:X25"/>
  </mergeCells>
  <pageMargins left="0.15748031496063" right="0.15748031496063" top="0" bottom="0" header="0" footer="0"/>
  <pageSetup paperSize="9" scale="46" orientation="landscape" r:id="rId1"/>
</worksheet>
</file>

<file path=xl/worksheets/sheet3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94B32DE-C589-4E68-92FD-3D37AE068109}">
  <sheetPr>
    <pageSetUpPr fitToPage="1"/>
  </sheetPr>
  <dimension ref="A1:Y33"/>
  <sheetViews>
    <sheetView topLeftCell="A10" zoomScale="70" zoomScaleNormal="70" zoomScaleSheetLayoutView="100" zoomScalePageLayoutView="68" workbookViewId="0">
      <selection activeCell="J25" sqref="J25"/>
    </sheetView>
  </sheetViews>
  <sheetFormatPr defaultColWidth="9.140625" defaultRowHeight="15" x14ac:dyDescent="0.25"/>
  <cols>
    <col min="1" max="1" width="18.28515625" style="14" customWidth="1"/>
    <col min="2" max="2" width="10.7109375" style="14" customWidth="1"/>
    <col min="3" max="3" width="12.28515625" style="14" customWidth="1"/>
    <col min="4" max="4" width="13.140625" style="14" bestFit="1" customWidth="1"/>
    <col min="5" max="5" width="12" style="14" customWidth="1"/>
    <col min="6" max="6" width="14" style="14" bestFit="1" customWidth="1"/>
    <col min="7" max="7" width="16" style="14" bestFit="1" customWidth="1"/>
    <col min="8" max="8" width="11" style="14" bestFit="1" customWidth="1"/>
    <col min="9" max="9" width="10.5703125" style="14" bestFit="1" customWidth="1"/>
    <col min="10" max="10" width="10.5703125" style="14" customWidth="1"/>
    <col min="11" max="11" width="10.28515625" style="14" bestFit="1" customWidth="1"/>
    <col min="12" max="12" width="10.42578125" style="14" bestFit="1" customWidth="1"/>
    <col min="13" max="14" width="12" style="14" bestFit="1" customWidth="1"/>
    <col min="15" max="15" width="11" style="14" customWidth="1"/>
    <col min="16" max="16" width="12.85546875" style="14" bestFit="1" customWidth="1"/>
    <col min="17" max="18" width="9.42578125" style="14" customWidth="1"/>
    <col min="19" max="19" width="13.7109375" style="14" customWidth="1"/>
    <col min="20" max="20" width="12.140625" style="14" customWidth="1"/>
    <col min="21" max="21" width="21.7109375" style="14" customWidth="1"/>
    <col min="22" max="22" width="9.85546875" style="14" customWidth="1"/>
    <col min="23" max="23" width="10.140625" style="14" bestFit="1" customWidth="1"/>
    <col min="24" max="24" width="10.28515625" style="14" customWidth="1"/>
    <col min="25" max="25" width="15.7109375" style="14" customWidth="1"/>
    <col min="26" max="16384" width="9.140625" style="14"/>
  </cols>
  <sheetData>
    <row r="1" spans="1:25" ht="46.15" customHeight="1" x14ac:dyDescent="0.25">
      <c r="A1" s="2240" t="s">
        <v>148</v>
      </c>
      <c r="B1" s="2240"/>
      <c r="C1" s="2240"/>
      <c r="D1" s="2240"/>
      <c r="E1" s="2240"/>
      <c r="F1" s="2240"/>
      <c r="G1" s="2240"/>
      <c r="H1" s="2240"/>
      <c r="I1" s="2240"/>
      <c r="J1" s="2240"/>
      <c r="K1" s="2240"/>
      <c r="L1" s="2240"/>
      <c r="M1" s="2240"/>
      <c r="N1" s="2240"/>
      <c r="O1" s="2240"/>
      <c r="P1" s="2240"/>
      <c r="Q1" s="2240"/>
      <c r="R1" s="2240"/>
      <c r="S1" s="2240"/>
      <c r="T1" s="2240"/>
      <c r="U1" s="2240"/>
      <c r="V1" s="2240"/>
      <c r="W1" s="2240"/>
      <c r="X1" s="2240"/>
      <c r="Y1" s="2240"/>
    </row>
    <row r="2" spans="1:25" ht="21.6" customHeight="1" x14ac:dyDescent="0.25">
      <c r="A2" s="2241" t="s">
        <v>383</v>
      </c>
      <c r="B2" s="2241"/>
      <c r="C2" s="2241"/>
      <c r="D2" s="2241"/>
      <c r="E2" s="2241"/>
      <c r="F2" s="2241"/>
      <c r="G2" s="2241"/>
      <c r="H2" s="2241"/>
      <c r="I2" s="2241"/>
      <c r="J2" s="2241"/>
      <c r="K2" s="2241"/>
      <c r="L2" s="2241"/>
      <c r="M2" s="2241"/>
      <c r="N2" s="2241"/>
      <c r="O2" s="2241"/>
      <c r="P2" s="2241"/>
      <c r="Q2" s="2241"/>
      <c r="R2" s="2241"/>
      <c r="S2" s="2241"/>
      <c r="T2" s="2241"/>
      <c r="U2" s="2241"/>
      <c r="V2" s="2241"/>
      <c r="W2" s="2241"/>
      <c r="X2" s="2241"/>
      <c r="Y2" s="2241"/>
    </row>
    <row r="3" spans="1:25" ht="21" customHeight="1" x14ac:dyDescent="0.25">
      <c r="A3" s="2198"/>
      <c r="B3" s="2198"/>
      <c r="C3" s="2198"/>
      <c r="D3" s="2198"/>
      <c r="E3" s="2198"/>
      <c r="F3" s="2198"/>
      <c r="G3" s="2198"/>
      <c r="H3" s="2198"/>
      <c r="I3" s="2198"/>
      <c r="J3" s="2198"/>
      <c r="K3" s="2198"/>
      <c r="L3" s="2198"/>
      <c r="M3" s="2198"/>
      <c r="N3" s="2198"/>
      <c r="O3" s="2198"/>
      <c r="P3" s="2198"/>
      <c r="Q3" s="2198"/>
      <c r="R3" s="2198"/>
      <c r="S3" s="2198"/>
      <c r="T3" s="2242" t="s">
        <v>604</v>
      </c>
      <c r="U3" s="2242"/>
      <c r="V3" s="2242"/>
      <c r="W3" s="2242"/>
      <c r="X3" s="2242"/>
      <c r="Y3" s="2242"/>
    </row>
    <row r="4" spans="1:25" s="2198" customFormat="1" ht="18" customHeight="1" x14ac:dyDescent="0.25">
      <c r="A4" s="2243" t="s">
        <v>25</v>
      </c>
      <c r="B4" s="2243" t="s">
        <v>26</v>
      </c>
      <c r="C4" s="2244" t="s">
        <v>27</v>
      </c>
      <c r="D4" s="2244"/>
      <c r="E4" s="2244" t="s">
        <v>544</v>
      </c>
      <c r="F4" s="2244"/>
      <c r="G4" s="2244" t="s">
        <v>65</v>
      </c>
      <c r="H4" s="2244"/>
      <c r="I4" s="2244" t="s">
        <v>29</v>
      </c>
      <c r="J4" s="2244"/>
      <c r="K4" s="2245" t="s">
        <v>14</v>
      </c>
      <c r="L4" s="2246"/>
      <c r="M4" s="2245" t="s">
        <v>429</v>
      </c>
      <c r="N4" s="2246"/>
      <c r="O4" s="2245" t="s">
        <v>441</v>
      </c>
      <c r="P4" s="2246"/>
      <c r="Q4" s="2245" t="s">
        <v>114</v>
      </c>
      <c r="R4" s="2246"/>
      <c r="S4" s="2244" t="s">
        <v>35</v>
      </c>
      <c r="T4" s="2244"/>
      <c r="U4" s="2245" t="s">
        <v>17</v>
      </c>
      <c r="V4" s="2246"/>
      <c r="W4" s="2247" t="s">
        <v>36</v>
      </c>
      <c r="X4" s="2248"/>
      <c r="Y4" s="2238" t="s">
        <v>30</v>
      </c>
    </row>
    <row r="5" spans="1:25" s="2198" customFormat="1" ht="25.5" customHeight="1" x14ac:dyDescent="0.25">
      <c r="A5" s="2243"/>
      <c r="B5" s="2243"/>
      <c r="C5" s="2200" t="s">
        <v>42</v>
      </c>
      <c r="D5" s="2200" t="s">
        <v>43</v>
      </c>
      <c r="E5" s="2200" t="s">
        <v>42</v>
      </c>
      <c r="F5" s="2200" t="s">
        <v>43</v>
      </c>
      <c r="G5" s="2200" t="s">
        <v>42</v>
      </c>
      <c r="H5" s="2200" t="s">
        <v>43</v>
      </c>
      <c r="I5" s="2200" t="s">
        <v>42</v>
      </c>
      <c r="J5" s="2200" t="s">
        <v>43</v>
      </c>
      <c r="K5" s="2200" t="s">
        <v>42</v>
      </c>
      <c r="L5" s="2200" t="s">
        <v>43</v>
      </c>
      <c r="M5" s="2200" t="s">
        <v>42</v>
      </c>
      <c r="N5" s="2200" t="s">
        <v>43</v>
      </c>
      <c r="O5" s="2200" t="s">
        <v>42</v>
      </c>
      <c r="P5" s="2200" t="s">
        <v>43</v>
      </c>
      <c r="Q5" s="2200" t="s">
        <v>42</v>
      </c>
      <c r="R5" s="2200" t="s">
        <v>43</v>
      </c>
      <c r="S5" s="33" t="s">
        <v>42</v>
      </c>
      <c r="T5" s="33" t="s">
        <v>43</v>
      </c>
      <c r="U5" s="30" t="s">
        <v>42</v>
      </c>
      <c r="V5" s="30" t="s">
        <v>43</v>
      </c>
      <c r="W5" s="30" t="s">
        <v>42</v>
      </c>
      <c r="X5" s="30" t="s">
        <v>43</v>
      </c>
      <c r="Y5" s="2239"/>
    </row>
    <row r="6" spans="1:25" ht="34.5" customHeight="1" x14ac:dyDescent="0.25">
      <c r="A6" s="12">
        <v>1409935200</v>
      </c>
      <c r="B6" s="2199" t="s">
        <v>71</v>
      </c>
      <c r="C6" s="2202">
        <v>26596</v>
      </c>
      <c r="D6" s="2203">
        <f t="shared" ref="D6:D11" si="0">0.9725*C6</f>
        <v>25864.61</v>
      </c>
      <c r="E6" s="2202"/>
      <c r="F6" s="2203">
        <f>19.68*E6</f>
        <v>0</v>
      </c>
      <c r="G6" s="2202">
        <v>10</v>
      </c>
      <c r="H6" s="2203">
        <f t="shared" ref="H6:H11" si="1">28.26*G6</f>
        <v>282.60000000000002</v>
      </c>
      <c r="I6" s="2202">
        <v>380</v>
      </c>
      <c r="J6" s="2203">
        <f>18.82*I6</f>
        <v>7151.6</v>
      </c>
      <c r="K6" s="2202"/>
      <c r="L6" s="2203">
        <f>28.25*K6</f>
        <v>0</v>
      </c>
      <c r="M6" s="2202"/>
      <c r="N6" s="2203">
        <f>M6*47.6525</f>
        <v>0</v>
      </c>
      <c r="O6" s="2202"/>
      <c r="P6" s="2203">
        <f>O6*8.9</f>
        <v>0</v>
      </c>
      <c r="Q6" s="2203"/>
      <c r="R6" s="2203">
        <f>241*Q6</f>
        <v>0</v>
      </c>
      <c r="S6" s="2202"/>
      <c r="T6" s="2202">
        <f>470*S6</f>
        <v>0</v>
      </c>
      <c r="U6" s="2202"/>
      <c r="V6" s="2202">
        <f>332*U6</f>
        <v>0</v>
      </c>
      <c r="W6" s="2202"/>
      <c r="X6" s="19">
        <f>W6*100</f>
        <v>0</v>
      </c>
      <c r="Y6" s="20">
        <f t="shared" ref="Y6:Y12" si="2">D6+F6+H6+J6+L6+N6+P6+R6+T6+V6+X6</f>
        <v>33298.81</v>
      </c>
    </row>
    <row r="7" spans="1:25" ht="36.75" customHeight="1" x14ac:dyDescent="0.25">
      <c r="A7" s="12">
        <v>1984225578</v>
      </c>
      <c r="B7" s="2199" t="s">
        <v>509</v>
      </c>
      <c r="C7" s="2202">
        <v>25962</v>
      </c>
      <c r="D7" s="2203">
        <f t="shared" si="0"/>
        <v>25248.045000000002</v>
      </c>
      <c r="E7" s="2202"/>
      <c r="F7" s="2203">
        <f t="shared" ref="F7:F11" si="3">19.68*E7</f>
        <v>0</v>
      </c>
      <c r="G7" s="2202">
        <v>30</v>
      </c>
      <c r="H7" s="2203">
        <f t="shared" si="1"/>
        <v>847.80000000000007</v>
      </c>
      <c r="I7" s="2202"/>
      <c r="J7" s="2203">
        <f t="shared" ref="J7:J11" si="4">18.82*I7</f>
        <v>0</v>
      </c>
      <c r="K7" s="2202"/>
      <c r="L7" s="2203">
        <f t="shared" ref="L7:L11" si="5">28.25*K7</f>
        <v>0</v>
      </c>
      <c r="M7" s="2202"/>
      <c r="N7" s="2203">
        <f t="shared" ref="N7:N11" si="6">M7*47.6525</f>
        <v>0</v>
      </c>
      <c r="O7" s="2202"/>
      <c r="P7" s="2203">
        <f t="shared" ref="P7:P11" si="7">O7*8.9</f>
        <v>0</v>
      </c>
      <c r="Q7" s="2203"/>
      <c r="R7" s="2203">
        <f t="shared" ref="R7:R11" si="8">241*Q7</f>
        <v>0</v>
      </c>
      <c r="S7" s="2202">
        <v>5</v>
      </c>
      <c r="T7" s="2202">
        <f t="shared" ref="T7:T9" si="9">470*S7</f>
        <v>2350</v>
      </c>
      <c r="U7" s="2202"/>
      <c r="V7" s="2202">
        <f t="shared" ref="V7:V11" si="10">332*U7</f>
        <v>0</v>
      </c>
      <c r="W7" s="2202"/>
      <c r="X7" s="19">
        <f t="shared" ref="X7:X11" si="11">W7*100</f>
        <v>0</v>
      </c>
      <c r="Y7" s="20">
        <f t="shared" si="2"/>
        <v>28445.845000000001</v>
      </c>
    </row>
    <row r="8" spans="1:25" ht="35.25" customHeight="1" x14ac:dyDescent="0.25">
      <c r="A8" s="12">
        <v>1967020280</v>
      </c>
      <c r="B8" s="2199" t="s">
        <v>427</v>
      </c>
      <c r="C8" s="2202">
        <v>30222</v>
      </c>
      <c r="D8" s="2203">
        <f t="shared" si="0"/>
        <v>29390.895</v>
      </c>
      <c r="E8" s="2202"/>
      <c r="F8" s="2203">
        <f t="shared" si="3"/>
        <v>0</v>
      </c>
      <c r="G8" s="2202">
        <v>50</v>
      </c>
      <c r="H8" s="2203">
        <f t="shared" si="1"/>
        <v>1413</v>
      </c>
      <c r="I8" s="2202">
        <v>100</v>
      </c>
      <c r="J8" s="2203">
        <f t="shared" si="4"/>
        <v>1882</v>
      </c>
      <c r="K8" s="2202">
        <v>20</v>
      </c>
      <c r="L8" s="2203">
        <f t="shared" si="5"/>
        <v>565</v>
      </c>
      <c r="M8" s="2202"/>
      <c r="N8" s="2203">
        <f t="shared" si="6"/>
        <v>0</v>
      </c>
      <c r="O8" s="2202"/>
      <c r="P8" s="2203">
        <f t="shared" si="7"/>
        <v>0</v>
      </c>
      <c r="Q8" s="2203"/>
      <c r="R8" s="2203">
        <f t="shared" si="8"/>
        <v>0</v>
      </c>
      <c r="S8" s="2202"/>
      <c r="T8" s="2202">
        <f t="shared" si="9"/>
        <v>0</v>
      </c>
      <c r="U8" s="2202">
        <v>2</v>
      </c>
      <c r="V8" s="2202">
        <f t="shared" si="10"/>
        <v>664</v>
      </c>
      <c r="W8" s="2202"/>
      <c r="X8" s="19">
        <f t="shared" si="11"/>
        <v>0</v>
      </c>
      <c r="Y8" s="20">
        <f t="shared" si="2"/>
        <v>33914.895000000004</v>
      </c>
    </row>
    <row r="9" spans="1:25" ht="38.25" customHeight="1" x14ac:dyDescent="0.25">
      <c r="A9" s="12">
        <v>1984225580</v>
      </c>
      <c r="B9" s="2199" t="s">
        <v>74</v>
      </c>
      <c r="C9" s="2202">
        <v>31072</v>
      </c>
      <c r="D9" s="2203">
        <f t="shared" si="0"/>
        <v>30217.52</v>
      </c>
      <c r="E9" s="2202"/>
      <c r="F9" s="2203">
        <f t="shared" si="3"/>
        <v>0</v>
      </c>
      <c r="G9" s="2202">
        <v>20</v>
      </c>
      <c r="H9" s="2203">
        <f t="shared" si="1"/>
        <v>565.20000000000005</v>
      </c>
      <c r="I9" s="2202">
        <v>130</v>
      </c>
      <c r="J9" s="2203">
        <f t="shared" si="4"/>
        <v>2446.6</v>
      </c>
      <c r="K9" s="2202"/>
      <c r="L9" s="2203">
        <f t="shared" si="5"/>
        <v>0</v>
      </c>
      <c r="M9" s="2202"/>
      <c r="N9" s="2203">
        <f t="shared" si="6"/>
        <v>0</v>
      </c>
      <c r="O9" s="2202"/>
      <c r="P9" s="2203">
        <f t="shared" si="7"/>
        <v>0</v>
      </c>
      <c r="Q9" s="2203"/>
      <c r="R9" s="2203">
        <f t="shared" si="8"/>
        <v>0</v>
      </c>
      <c r="S9" s="2202"/>
      <c r="T9" s="2202">
        <f t="shared" si="9"/>
        <v>0</v>
      </c>
      <c r="U9" s="2202"/>
      <c r="V9" s="2202">
        <f t="shared" si="10"/>
        <v>0</v>
      </c>
      <c r="W9" s="2202"/>
      <c r="X9" s="19">
        <f t="shared" si="11"/>
        <v>0</v>
      </c>
      <c r="Y9" s="20">
        <f t="shared" si="2"/>
        <v>33229.32</v>
      </c>
    </row>
    <row r="10" spans="1:25" ht="35.25" customHeight="1" x14ac:dyDescent="0.25">
      <c r="A10" s="12">
        <v>1409935199</v>
      </c>
      <c r="C10" s="2202"/>
      <c r="D10" s="2203">
        <f t="shared" si="0"/>
        <v>0</v>
      </c>
      <c r="E10" s="2202"/>
      <c r="F10" s="2203">
        <f t="shared" si="3"/>
        <v>0</v>
      </c>
      <c r="G10" s="2202"/>
      <c r="H10" s="2203">
        <f t="shared" si="1"/>
        <v>0</v>
      </c>
      <c r="I10" s="2202"/>
      <c r="J10" s="2203">
        <f t="shared" si="4"/>
        <v>0</v>
      </c>
      <c r="K10" s="2202"/>
      <c r="L10" s="2203">
        <f t="shared" si="5"/>
        <v>0</v>
      </c>
      <c r="M10" s="2202"/>
      <c r="N10" s="2203">
        <f t="shared" si="6"/>
        <v>0</v>
      </c>
      <c r="O10" s="2202"/>
      <c r="P10" s="2203">
        <f t="shared" si="7"/>
        <v>0</v>
      </c>
      <c r="Q10" s="2203"/>
      <c r="R10" s="2203">
        <f t="shared" si="8"/>
        <v>0</v>
      </c>
      <c r="S10" s="2202"/>
      <c r="T10" s="2202">
        <f>470*S10</f>
        <v>0</v>
      </c>
      <c r="U10" s="2202"/>
      <c r="V10" s="2202">
        <f t="shared" si="10"/>
        <v>0</v>
      </c>
      <c r="W10" s="2202"/>
      <c r="X10" s="19">
        <f t="shared" si="11"/>
        <v>0</v>
      </c>
      <c r="Y10" s="20">
        <f t="shared" si="2"/>
        <v>0</v>
      </c>
    </row>
    <row r="11" spans="1:25" ht="37.5" customHeight="1" x14ac:dyDescent="0.25">
      <c r="A11" s="12"/>
      <c r="B11" s="2201"/>
      <c r="C11" s="2202"/>
      <c r="D11" s="2203">
        <f t="shared" si="0"/>
        <v>0</v>
      </c>
      <c r="E11" s="2202"/>
      <c r="F11" s="2203">
        <f t="shared" si="3"/>
        <v>0</v>
      </c>
      <c r="G11" s="2202"/>
      <c r="H11" s="2203">
        <f t="shared" si="1"/>
        <v>0</v>
      </c>
      <c r="I11" s="2202"/>
      <c r="J11" s="2203">
        <f t="shared" si="4"/>
        <v>0</v>
      </c>
      <c r="K11" s="2202"/>
      <c r="L11" s="2203">
        <f t="shared" si="5"/>
        <v>0</v>
      </c>
      <c r="M11" s="2202"/>
      <c r="N11" s="2203">
        <f t="shared" si="6"/>
        <v>0</v>
      </c>
      <c r="O11" s="2202"/>
      <c r="P11" s="2203">
        <f t="shared" si="7"/>
        <v>0</v>
      </c>
      <c r="Q11" s="2203"/>
      <c r="R11" s="2203">
        <f t="shared" si="8"/>
        <v>0</v>
      </c>
      <c r="S11" s="2202"/>
      <c r="T11" s="2202">
        <f>241*S11</f>
        <v>0</v>
      </c>
      <c r="U11" s="2202"/>
      <c r="V11" s="2202">
        <f t="shared" si="10"/>
        <v>0</v>
      </c>
      <c r="W11" s="2202"/>
      <c r="X11" s="19">
        <f t="shared" si="11"/>
        <v>0</v>
      </c>
      <c r="Y11" s="20">
        <f t="shared" si="2"/>
        <v>0</v>
      </c>
    </row>
    <row r="12" spans="1:25" ht="29.25" customHeight="1" x14ac:dyDescent="0.25">
      <c r="A12" s="2235" t="s">
        <v>31</v>
      </c>
      <c r="B12" s="2235"/>
      <c r="C12" s="18">
        <f t="shared" ref="C12:X12" si="12">SUM(C6:C11)</f>
        <v>113852</v>
      </c>
      <c r="D12" s="18">
        <f t="shared" si="12"/>
        <v>110721.07</v>
      </c>
      <c r="E12" s="18">
        <f t="shared" si="12"/>
        <v>0</v>
      </c>
      <c r="F12" s="18">
        <f t="shared" si="12"/>
        <v>0</v>
      </c>
      <c r="G12" s="18">
        <f t="shared" si="12"/>
        <v>110</v>
      </c>
      <c r="H12" s="18">
        <f t="shared" si="12"/>
        <v>3108.6000000000004</v>
      </c>
      <c r="I12" s="18">
        <f t="shared" si="12"/>
        <v>610</v>
      </c>
      <c r="J12" s="18">
        <f t="shared" si="12"/>
        <v>11480.2</v>
      </c>
      <c r="K12" s="18">
        <f t="shared" si="12"/>
        <v>20</v>
      </c>
      <c r="L12" s="18">
        <f t="shared" si="12"/>
        <v>565</v>
      </c>
      <c r="M12" s="18">
        <f t="shared" si="12"/>
        <v>0</v>
      </c>
      <c r="N12" s="23">
        <f t="shared" si="12"/>
        <v>0</v>
      </c>
      <c r="O12" s="18">
        <f t="shared" si="12"/>
        <v>0</v>
      </c>
      <c r="P12" s="23">
        <f t="shared" si="12"/>
        <v>0</v>
      </c>
      <c r="Q12" s="23">
        <f t="shared" si="12"/>
        <v>0</v>
      </c>
      <c r="R12" s="23">
        <f>SUM(R6:R11)</f>
        <v>0</v>
      </c>
      <c r="S12" s="23">
        <f>SUM(S6:S11)</f>
        <v>5</v>
      </c>
      <c r="T12" s="18">
        <f t="shared" si="12"/>
        <v>2350</v>
      </c>
      <c r="U12" s="18">
        <f t="shared" si="12"/>
        <v>2</v>
      </c>
      <c r="V12" s="18">
        <f t="shared" si="12"/>
        <v>664</v>
      </c>
      <c r="W12" s="18">
        <f t="shared" si="12"/>
        <v>0</v>
      </c>
      <c r="X12" s="18">
        <f t="shared" si="12"/>
        <v>0</v>
      </c>
      <c r="Y12" s="20">
        <f t="shared" si="2"/>
        <v>128888.87000000001</v>
      </c>
    </row>
    <row r="14" spans="1:25" ht="43.5" customHeight="1" x14ac:dyDescent="0.25">
      <c r="A14" s="30" t="s">
        <v>32</v>
      </c>
      <c r="B14" s="2236" t="s">
        <v>27</v>
      </c>
      <c r="C14" s="2236"/>
      <c r="D14" s="30" t="s">
        <v>543</v>
      </c>
      <c r="E14" s="30" t="s">
        <v>65</v>
      </c>
      <c r="F14" s="30" t="s">
        <v>34</v>
      </c>
      <c r="G14" s="30" t="s">
        <v>14</v>
      </c>
      <c r="H14" s="469" t="s">
        <v>173</v>
      </c>
      <c r="I14" s="30" t="s">
        <v>17</v>
      </c>
      <c r="J14" s="2207" t="s">
        <v>174</v>
      </c>
      <c r="K14" s="30" t="s">
        <v>36</v>
      </c>
      <c r="L14" s="2207" t="s">
        <v>403</v>
      </c>
      <c r="M14" s="2207" t="s">
        <v>549</v>
      </c>
      <c r="N14" s="30" t="s">
        <v>442</v>
      </c>
      <c r="O14" s="2207" t="s">
        <v>114</v>
      </c>
      <c r="P14" s="30" t="s">
        <v>70</v>
      </c>
      <c r="Q14" s="2300" t="s">
        <v>479</v>
      </c>
      <c r="R14" s="2301"/>
      <c r="S14" s="2207" t="s">
        <v>401</v>
      </c>
      <c r="T14" s="2235" t="s">
        <v>46</v>
      </c>
      <c r="U14" s="2199" t="s">
        <v>176</v>
      </c>
      <c r="V14" s="2260">
        <v>18528</v>
      </c>
      <c r="W14" s="2268"/>
      <c r="X14" s="2261"/>
    </row>
    <row r="15" spans="1:25" ht="22.5" customHeight="1" x14ac:dyDescent="0.25">
      <c r="A15" s="100" t="s">
        <v>38</v>
      </c>
      <c r="B15" s="2260">
        <v>338226</v>
      </c>
      <c r="C15" s="2261"/>
      <c r="D15" s="2204">
        <v>0</v>
      </c>
      <c r="E15" s="2204">
        <v>350</v>
      </c>
      <c r="F15" s="2204">
        <v>7190</v>
      </c>
      <c r="G15" s="2204">
        <v>540</v>
      </c>
      <c r="H15" s="2204">
        <v>34</v>
      </c>
      <c r="I15" s="2204">
        <v>62</v>
      </c>
      <c r="J15" s="2204"/>
      <c r="K15" s="2204">
        <v>77</v>
      </c>
      <c r="L15" s="2204">
        <v>12</v>
      </c>
      <c r="M15" s="2204">
        <v>25</v>
      </c>
      <c r="N15" s="2204">
        <v>0</v>
      </c>
      <c r="O15" s="2204">
        <v>0</v>
      </c>
      <c r="P15" s="2204">
        <v>100</v>
      </c>
      <c r="Q15" s="2260">
        <v>0</v>
      </c>
      <c r="R15" s="2261"/>
      <c r="S15" s="2199"/>
      <c r="T15" s="2235"/>
      <c r="U15" s="2199" t="s">
        <v>64</v>
      </c>
      <c r="V15" s="2262">
        <v>75844</v>
      </c>
      <c r="W15" s="2262"/>
      <c r="X15" s="2262"/>
    </row>
    <row r="16" spans="1:25" ht="24.75" customHeight="1" x14ac:dyDescent="0.25">
      <c r="A16" s="100" t="s">
        <v>39</v>
      </c>
      <c r="B16" s="2260">
        <v>103896</v>
      </c>
      <c r="C16" s="2261"/>
      <c r="D16" s="2204"/>
      <c r="E16" s="2204"/>
      <c r="F16" s="2204"/>
      <c r="G16" s="2204"/>
      <c r="H16" s="2204"/>
      <c r="I16" s="2204"/>
      <c r="J16" s="2204"/>
      <c r="K16" s="2204"/>
      <c r="L16" s="2204"/>
      <c r="M16" s="2204"/>
      <c r="N16" s="2204"/>
      <c r="O16" s="2204"/>
      <c r="P16" s="2204"/>
      <c r="Q16" s="2262"/>
      <c r="R16" s="2262"/>
      <c r="S16" s="2204"/>
      <c r="T16" s="2254" t="s">
        <v>55</v>
      </c>
      <c r="U16" s="2254"/>
      <c r="V16" s="2267">
        <f>Y12</f>
        <v>128888.87000000001</v>
      </c>
      <c r="W16" s="2267"/>
      <c r="X16" s="2262"/>
    </row>
    <row r="17" spans="1:25" ht="28.5" customHeight="1" x14ac:dyDescent="0.25">
      <c r="A17" s="101" t="s">
        <v>44</v>
      </c>
      <c r="B17" s="2260"/>
      <c r="C17" s="2261"/>
      <c r="D17" s="2204"/>
      <c r="E17" s="2204"/>
      <c r="F17" s="2204"/>
      <c r="G17" s="2204"/>
      <c r="H17" s="2204"/>
      <c r="I17" s="2204"/>
      <c r="J17" s="2204"/>
      <c r="K17" s="2204"/>
      <c r="L17" s="2204"/>
      <c r="M17" s="2204"/>
      <c r="N17" s="2204"/>
      <c r="O17" s="2204"/>
      <c r="P17" s="2204"/>
      <c r="Q17" s="2225"/>
      <c r="R17" s="2225"/>
      <c r="S17" s="2201"/>
      <c r="T17" s="2294" t="s">
        <v>521</v>
      </c>
      <c r="U17" s="2295"/>
      <c r="V17" s="2296"/>
      <c r="W17" s="2296"/>
      <c r="X17" s="2296"/>
    </row>
    <row r="18" spans="1:25" ht="27" customHeight="1" x14ac:dyDescent="0.25">
      <c r="A18" s="100" t="s">
        <v>40</v>
      </c>
      <c r="B18" s="2264">
        <f>C12</f>
        <v>113852</v>
      </c>
      <c r="C18" s="2261"/>
      <c r="D18" s="2205">
        <f>E12</f>
        <v>0</v>
      </c>
      <c r="E18" s="2205">
        <f>G12</f>
        <v>110</v>
      </c>
      <c r="F18" s="2205">
        <f>I12</f>
        <v>610</v>
      </c>
      <c r="G18" s="2205">
        <f>K12</f>
        <v>20</v>
      </c>
      <c r="H18" s="2204"/>
      <c r="I18" s="2205">
        <f>U12</f>
        <v>2</v>
      </c>
      <c r="J18" s="2204"/>
      <c r="K18" s="2205">
        <f>W12</f>
        <v>0</v>
      </c>
      <c r="L18" s="2204"/>
      <c r="M18" s="2205">
        <v>5</v>
      </c>
      <c r="N18" s="2205">
        <f>O12</f>
        <v>0</v>
      </c>
      <c r="O18" s="2206">
        <f>Q12</f>
        <v>0</v>
      </c>
      <c r="P18" s="2205"/>
      <c r="Q18" s="2262"/>
      <c r="R18" s="2262"/>
      <c r="S18" s="2199"/>
      <c r="T18" s="2254" t="s">
        <v>57</v>
      </c>
      <c r="U18" s="2254"/>
      <c r="V18" s="2262">
        <v>540</v>
      </c>
      <c r="W18" s="2262"/>
      <c r="X18" s="2262"/>
      <c r="Y18" s="2269"/>
    </row>
    <row r="19" spans="1:25" ht="25.5" customHeight="1" x14ac:dyDescent="0.25">
      <c r="A19" s="100" t="s">
        <v>41</v>
      </c>
      <c r="B19" s="2260">
        <f>B15+B16+B17-B18</f>
        <v>328270</v>
      </c>
      <c r="C19" s="2261"/>
      <c r="D19" s="2204">
        <f>D15+D16+D17-D18</f>
        <v>0</v>
      </c>
      <c r="E19" s="2204">
        <f t="shared" ref="E19:N19" si="13">E15+E16+E17-E18</f>
        <v>240</v>
      </c>
      <c r="F19" s="2204">
        <f t="shared" si="13"/>
        <v>6580</v>
      </c>
      <c r="G19" s="2204">
        <f t="shared" si="13"/>
        <v>520</v>
      </c>
      <c r="H19" s="2204">
        <f t="shared" si="13"/>
        <v>34</v>
      </c>
      <c r="I19" s="2204">
        <f t="shared" si="13"/>
        <v>60</v>
      </c>
      <c r="J19" s="2204">
        <f t="shared" si="13"/>
        <v>0</v>
      </c>
      <c r="K19" s="2204">
        <f t="shared" si="13"/>
        <v>77</v>
      </c>
      <c r="L19" s="2204">
        <f t="shared" si="13"/>
        <v>12</v>
      </c>
      <c r="M19" s="2205">
        <f>M15+M16+M17-M18</f>
        <v>20</v>
      </c>
      <c r="N19" s="2204">
        <f t="shared" si="13"/>
        <v>0</v>
      </c>
      <c r="O19" s="2204">
        <f>O15+O16+O17-O18</f>
        <v>0</v>
      </c>
      <c r="P19" s="2204">
        <f t="shared" ref="P19:Q19" si="14">P15+P16+P17-P18</f>
        <v>100</v>
      </c>
      <c r="Q19" s="2260">
        <f t="shared" si="14"/>
        <v>0</v>
      </c>
      <c r="R19" s="2261"/>
      <c r="S19" s="2199">
        <f>S15+S16-S17-S18</f>
        <v>0</v>
      </c>
      <c r="T19" s="2256" t="s">
        <v>48</v>
      </c>
      <c r="U19" s="49" t="s">
        <v>58</v>
      </c>
      <c r="V19" s="2262">
        <v>150000</v>
      </c>
      <c r="W19" s="2262"/>
      <c r="X19" s="2262"/>
      <c r="Y19" s="2269"/>
    </row>
    <row r="20" spans="1:25" ht="23.25" customHeight="1" x14ac:dyDescent="0.25">
      <c r="A20" s="289" t="s">
        <v>187</v>
      </c>
      <c r="B20" s="2286">
        <f>B19*0.9625</f>
        <v>315959.875</v>
      </c>
      <c r="C20" s="2287"/>
      <c r="D20" s="290">
        <f>D19*19.48</f>
        <v>0</v>
      </c>
      <c r="E20" s="290">
        <f>27.97*E19</f>
        <v>6712.7999999999993</v>
      </c>
      <c r="F20" s="290">
        <f>18.63*F19</f>
        <v>122585.4</v>
      </c>
      <c r="G20" s="290">
        <f>27.9468*G19</f>
        <v>14532.335999999999</v>
      </c>
      <c r="H20" s="290">
        <f>241*H19</f>
        <v>8194</v>
      </c>
      <c r="I20" s="290">
        <f>323*I19</f>
        <v>19380</v>
      </c>
      <c r="J20" s="290">
        <f>241*J19</f>
        <v>0</v>
      </c>
      <c r="K20" s="290">
        <f>K19*100</f>
        <v>7700</v>
      </c>
      <c r="L20" s="290">
        <f>470*L19</f>
        <v>5640</v>
      </c>
      <c r="M20" s="290">
        <f>470*M19</f>
        <v>9400</v>
      </c>
      <c r="N20" s="290">
        <f>N19*8.81</f>
        <v>0</v>
      </c>
      <c r="O20" s="290">
        <f>241*O19</f>
        <v>0</v>
      </c>
      <c r="P20" s="290">
        <f>P19*48.2</f>
        <v>4820</v>
      </c>
      <c r="Q20" s="2286">
        <f>470*Q19</f>
        <v>0</v>
      </c>
      <c r="R20" s="2287"/>
      <c r="S20" s="290">
        <f>341*S19</f>
        <v>0</v>
      </c>
      <c r="T20" s="2257"/>
      <c r="U20" s="49" t="s">
        <v>59</v>
      </c>
      <c r="V20" s="2262"/>
      <c r="W20" s="2262"/>
      <c r="X20" s="2262"/>
      <c r="Y20" s="2269"/>
    </row>
    <row r="21" spans="1:25" ht="32.25" customHeight="1" x14ac:dyDescent="0.25">
      <c r="A21" s="291" t="s">
        <v>186</v>
      </c>
      <c r="B21" s="2302">
        <f>SUM(B20:S20)</f>
        <v>514924.41099999996</v>
      </c>
      <c r="C21" s="2302"/>
      <c r="T21" s="2294" t="s">
        <v>464</v>
      </c>
      <c r="U21" s="2295"/>
      <c r="V21" s="2297"/>
      <c r="W21" s="2298"/>
      <c r="X21" s="2299"/>
      <c r="Y21" s="2269"/>
    </row>
    <row r="22" spans="1:25" ht="35.25" customHeight="1" x14ac:dyDescent="0.25">
      <c r="A22" s="1911"/>
      <c r="B22" s="2288" t="s">
        <v>49</v>
      </c>
      <c r="C22" s="2291">
        <v>150000</v>
      </c>
      <c r="D22" s="2291">
        <v>150000</v>
      </c>
      <c r="E22" s="2291">
        <v>100000</v>
      </c>
      <c r="F22" s="2291">
        <f>C22-D22+E22</f>
        <v>100000</v>
      </c>
      <c r="J22" s="14" t="s">
        <v>139</v>
      </c>
      <c r="T22" s="2251" t="s">
        <v>83</v>
      </c>
      <c r="U22" s="50" t="s">
        <v>60</v>
      </c>
      <c r="V22" s="2262">
        <v>89300</v>
      </c>
      <c r="W22" s="2262"/>
      <c r="X22" s="2262"/>
      <c r="Y22" s="2269"/>
    </row>
    <row r="23" spans="1:25" ht="39.75" customHeight="1" x14ac:dyDescent="0.25">
      <c r="B23" s="2289"/>
      <c r="C23" s="2292"/>
      <c r="D23" s="2292"/>
      <c r="E23" s="2292"/>
      <c r="F23" s="2292"/>
      <c r="T23" s="2252"/>
      <c r="U23" s="50" t="s">
        <v>61</v>
      </c>
      <c r="V23" s="2262">
        <v>150000</v>
      </c>
      <c r="W23" s="2262"/>
      <c r="X23" s="2262"/>
      <c r="Y23" s="2269"/>
    </row>
    <row r="24" spans="1:25" ht="48" customHeight="1" x14ac:dyDescent="0.25">
      <c r="B24" s="2290"/>
      <c r="C24" s="290" t="s">
        <v>46</v>
      </c>
      <c r="D24" s="290" t="s">
        <v>50</v>
      </c>
      <c r="E24" s="290" t="s">
        <v>51</v>
      </c>
      <c r="F24" s="290" t="s">
        <v>52</v>
      </c>
      <c r="T24" s="2235" t="s">
        <v>47</v>
      </c>
      <c r="U24" s="51" t="s">
        <v>62</v>
      </c>
      <c r="V24" s="2263">
        <f>V14+V16+V17-V18-V19-V20-V22+V23-V21</f>
        <v>57576.869999999995</v>
      </c>
      <c r="W24" s="2263"/>
      <c r="X24" s="2263"/>
      <c r="Y24" s="2269"/>
    </row>
    <row r="25" spans="1:25" ht="40.5" customHeight="1" x14ac:dyDescent="0.25">
      <c r="T25" s="2235"/>
      <c r="U25" s="51" t="s">
        <v>63</v>
      </c>
      <c r="V25" s="2262">
        <f>V15+V22-V23</f>
        <v>15144</v>
      </c>
      <c r="W25" s="2262"/>
      <c r="X25" s="2262"/>
    </row>
    <row r="26" spans="1:25" ht="36" customHeight="1" x14ac:dyDescent="0.25">
      <c r="K26" s="314"/>
    </row>
    <row r="28" spans="1:25" x14ac:dyDescent="0.25">
      <c r="J28" s="14" t="s">
        <v>139</v>
      </c>
    </row>
    <row r="32" spans="1:25" x14ac:dyDescent="0.25">
      <c r="I32" s="2280"/>
      <c r="J32" s="2280"/>
      <c r="K32" s="2280"/>
      <c r="L32" s="2280"/>
    </row>
    <row r="33" spans="9:12" x14ac:dyDescent="0.25">
      <c r="I33" s="2208"/>
      <c r="J33" s="2208"/>
      <c r="K33" s="2280"/>
      <c r="L33" s="2280"/>
    </row>
  </sheetData>
  <mergeCells count="62">
    <mergeCell ref="I32:J32"/>
    <mergeCell ref="K32:L32"/>
    <mergeCell ref="K33:L33"/>
    <mergeCell ref="T22:T23"/>
    <mergeCell ref="V22:X22"/>
    <mergeCell ref="V23:X23"/>
    <mergeCell ref="T24:T25"/>
    <mergeCell ref="V24:X24"/>
    <mergeCell ref="V25:X25"/>
    <mergeCell ref="Y18:Y24"/>
    <mergeCell ref="B19:C19"/>
    <mergeCell ref="Q19:R19"/>
    <mergeCell ref="T19:T20"/>
    <mergeCell ref="V19:X19"/>
    <mergeCell ref="B20:C20"/>
    <mergeCell ref="B22:B24"/>
    <mergeCell ref="C22:C23"/>
    <mergeCell ref="D22:D23"/>
    <mergeCell ref="E22:E23"/>
    <mergeCell ref="F22:F23"/>
    <mergeCell ref="Q20:R20"/>
    <mergeCell ref="V20:X20"/>
    <mergeCell ref="B21:C21"/>
    <mergeCell ref="T21:U21"/>
    <mergeCell ref="V21:X21"/>
    <mergeCell ref="B17:C17"/>
    <mergeCell ref="Q17:R17"/>
    <mergeCell ref="T17:U17"/>
    <mergeCell ref="V17:X17"/>
    <mergeCell ref="B18:C18"/>
    <mergeCell ref="Q18:R18"/>
    <mergeCell ref="T18:U18"/>
    <mergeCell ref="V18:X18"/>
    <mergeCell ref="W4:X4"/>
    <mergeCell ref="B16:C16"/>
    <mergeCell ref="Q16:R16"/>
    <mergeCell ref="T16:U16"/>
    <mergeCell ref="V16:X16"/>
    <mergeCell ref="A12:B12"/>
    <mergeCell ref="B14:C14"/>
    <mergeCell ref="Q14:R14"/>
    <mergeCell ref="T14:T15"/>
    <mergeCell ref="V14:X14"/>
    <mergeCell ref="B15:C15"/>
    <mergeCell ref="Q15:R15"/>
    <mergeCell ref="V15:X15"/>
    <mergeCell ref="A1:Y1"/>
    <mergeCell ref="A2:Y2"/>
    <mergeCell ref="T3:Y3"/>
    <mergeCell ref="A4:A5"/>
    <mergeCell ref="B4:B5"/>
    <mergeCell ref="C4:D4"/>
    <mergeCell ref="E4:F4"/>
    <mergeCell ref="G4:H4"/>
    <mergeCell ref="I4:J4"/>
    <mergeCell ref="K4:L4"/>
    <mergeCell ref="Y4:Y5"/>
    <mergeCell ref="M4:N4"/>
    <mergeCell ref="O4:P4"/>
    <mergeCell ref="Q4:R4"/>
    <mergeCell ref="S4:T4"/>
    <mergeCell ref="U4:V4"/>
  </mergeCells>
  <pageMargins left="0.15748031496063" right="0.15748031496063" top="0" bottom="0" header="0" footer="0"/>
  <pageSetup paperSize="9" scale="46" orientation="landscape" r:id="rId1"/>
</worksheet>
</file>

<file path=xl/worksheets/sheet34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4659670-E1FE-424F-B6D7-E6DD8F8AAEBA}">
  <sheetPr>
    <pageSetUpPr fitToPage="1"/>
  </sheetPr>
  <dimension ref="A1:Y33"/>
  <sheetViews>
    <sheetView topLeftCell="D14" zoomScale="70" zoomScaleNormal="70" zoomScaleSheetLayoutView="100" zoomScalePageLayoutView="68" workbookViewId="0">
      <selection activeCell="N22" sqref="N22"/>
    </sheetView>
  </sheetViews>
  <sheetFormatPr defaultColWidth="9.140625" defaultRowHeight="15" x14ac:dyDescent="0.25"/>
  <cols>
    <col min="1" max="1" width="18.28515625" style="14" customWidth="1"/>
    <col min="2" max="2" width="10.7109375" style="14" customWidth="1"/>
    <col min="3" max="3" width="12.28515625" style="14" customWidth="1"/>
    <col min="4" max="4" width="13.140625" style="14" bestFit="1" customWidth="1"/>
    <col min="5" max="5" width="12" style="14" customWidth="1"/>
    <col min="6" max="6" width="14" style="14" bestFit="1" customWidth="1"/>
    <col min="7" max="7" width="16" style="14" bestFit="1" customWidth="1"/>
    <col min="8" max="8" width="11" style="14" bestFit="1" customWidth="1"/>
    <col min="9" max="9" width="10.5703125" style="14" bestFit="1" customWidth="1"/>
    <col min="10" max="10" width="10.5703125" style="14" customWidth="1"/>
    <col min="11" max="11" width="10.28515625" style="14" bestFit="1" customWidth="1"/>
    <col min="12" max="12" width="10.42578125" style="14" bestFit="1" customWidth="1"/>
    <col min="13" max="14" width="12" style="14" bestFit="1" customWidth="1"/>
    <col min="15" max="15" width="11" style="14" customWidth="1"/>
    <col min="16" max="16" width="12.85546875" style="14" bestFit="1" customWidth="1"/>
    <col min="17" max="18" width="9.42578125" style="14" customWidth="1"/>
    <col min="19" max="19" width="13.7109375" style="14" customWidth="1"/>
    <col min="20" max="20" width="12.140625" style="14" customWidth="1"/>
    <col min="21" max="21" width="21.7109375" style="14" customWidth="1"/>
    <col min="22" max="22" width="9.85546875" style="14" customWidth="1"/>
    <col min="23" max="23" width="10.140625" style="14" bestFit="1" customWidth="1"/>
    <col min="24" max="24" width="10.28515625" style="14" customWidth="1"/>
    <col min="25" max="25" width="15.7109375" style="14" customWidth="1"/>
    <col min="26" max="16384" width="9.140625" style="14"/>
  </cols>
  <sheetData>
    <row r="1" spans="1:25" ht="46.15" customHeight="1" x14ac:dyDescent="0.25">
      <c r="A1" s="2240" t="s">
        <v>148</v>
      </c>
      <c r="B1" s="2240"/>
      <c r="C1" s="2240"/>
      <c r="D1" s="2240"/>
      <c r="E1" s="2240"/>
      <c r="F1" s="2240"/>
      <c r="G1" s="2240"/>
      <c r="H1" s="2240"/>
      <c r="I1" s="2240"/>
      <c r="J1" s="2240"/>
      <c r="K1" s="2240"/>
      <c r="L1" s="2240"/>
      <c r="M1" s="2240"/>
      <c r="N1" s="2240"/>
      <c r="O1" s="2240"/>
      <c r="P1" s="2240"/>
      <c r="Q1" s="2240"/>
      <c r="R1" s="2240"/>
      <c r="S1" s="2240"/>
      <c r="T1" s="2240"/>
      <c r="U1" s="2240"/>
      <c r="V1" s="2240"/>
      <c r="W1" s="2240"/>
      <c r="X1" s="2240"/>
      <c r="Y1" s="2240"/>
    </row>
    <row r="2" spans="1:25" ht="21.6" customHeight="1" x14ac:dyDescent="0.25">
      <c r="A2" s="2241" t="s">
        <v>383</v>
      </c>
      <c r="B2" s="2241"/>
      <c r="C2" s="2241"/>
      <c r="D2" s="2241"/>
      <c r="E2" s="2241"/>
      <c r="F2" s="2241"/>
      <c r="G2" s="2241"/>
      <c r="H2" s="2241"/>
      <c r="I2" s="2241"/>
      <c r="J2" s="2241"/>
      <c r="K2" s="2241"/>
      <c r="L2" s="2241"/>
      <c r="M2" s="2241"/>
      <c r="N2" s="2241"/>
      <c r="O2" s="2241"/>
      <c r="P2" s="2241"/>
      <c r="Q2" s="2241"/>
      <c r="R2" s="2241"/>
      <c r="S2" s="2241"/>
      <c r="T2" s="2241"/>
      <c r="U2" s="2241"/>
      <c r="V2" s="2241"/>
      <c r="W2" s="2241"/>
      <c r="X2" s="2241"/>
      <c r="Y2" s="2241"/>
    </row>
    <row r="3" spans="1:25" ht="21" customHeight="1" x14ac:dyDescent="0.25">
      <c r="A3" s="2198"/>
      <c r="B3" s="2198"/>
      <c r="C3" s="2198"/>
      <c r="D3" s="2198"/>
      <c r="E3" s="2198"/>
      <c r="F3" s="2198"/>
      <c r="G3" s="2198"/>
      <c r="H3" s="2198"/>
      <c r="I3" s="2198"/>
      <c r="J3" s="2198"/>
      <c r="K3" s="2198"/>
      <c r="L3" s="2198"/>
      <c r="M3" s="2198"/>
      <c r="N3" s="2198"/>
      <c r="O3" s="2198"/>
      <c r="P3" s="2198"/>
      <c r="Q3" s="2198"/>
      <c r="R3" s="2198"/>
      <c r="S3" s="2198"/>
      <c r="T3" s="2242" t="s">
        <v>605</v>
      </c>
      <c r="U3" s="2242"/>
      <c r="V3" s="2242"/>
      <c r="W3" s="2242"/>
      <c r="X3" s="2242"/>
      <c r="Y3" s="2242"/>
    </row>
    <row r="4" spans="1:25" s="2198" customFormat="1" ht="18" customHeight="1" x14ac:dyDescent="0.25">
      <c r="A4" s="2243" t="s">
        <v>25</v>
      </c>
      <c r="B4" s="2243" t="s">
        <v>26</v>
      </c>
      <c r="C4" s="2244" t="s">
        <v>27</v>
      </c>
      <c r="D4" s="2244"/>
      <c r="E4" s="2244" t="s">
        <v>544</v>
      </c>
      <c r="F4" s="2244"/>
      <c r="G4" s="2244" t="s">
        <v>65</v>
      </c>
      <c r="H4" s="2244"/>
      <c r="I4" s="2244" t="s">
        <v>29</v>
      </c>
      <c r="J4" s="2244"/>
      <c r="K4" s="2245" t="s">
        <v>14</v>
      </c>
      <c r="L4" s="2246"/>
      <c r="M4" s="2245" t="s">
        <v>429</v>
      </c>
      <c r="N4" s="2246"/>
      <c r="O4" s="2245" t="s">
        <v>441</v>
      </c>
      <c r="P4" s="2246"/>
      <c r="Q4" s="2245" t="s">
        <v>114</v>
      </c>
      <c r="R4" s="2246"/>
      <c r="S4" s="2244" t="s">
        <v>35</v>
      </c>
      <c r="T4" s="2244"/>
      <c r="U4" s="2245" t="s">
        <v>17</v>
      </c>
      <c r="V4" s="2246"/>
      <c r="W4" s="2247" t="s">
        <v>36</v>
      </c>
      <c r="X4" s="2248"/>
      <c r="Y4" s="2238" t="s">
        <v>30</v>
      </c>
    </row>
    <row r="5" spans="1:25" s="2198" customFormat="1" ht="25.5" customHeight="1" x14ac:dyDescent="0.25">
      <c r="A5" s="2243"/>
      <c r="B5" s="2243"/>
      <c r="C5" s="2200" t="s">
        <v>42</v>
      </c>
      <c r="D5" s="2200" t="s">
        <v>43</v>
      </c>
      <c r="E5" s="2200" t="s">
        <v>42</v>
      </c>
      <c r="F5" s="2200" t="s">
        <v>43</v>
      </c>
      <c r="G5" s="2200" t="s">
        <v>42</v>
      </c>
      <c r="H5" s="2200" t="s">
        <v>43</v>
      </c>
      <c r="I5" s="2200" t="s">
        <v>42</v>
      </c>
      <c r="J5" s="2200" t="s">
        <v>43</v>
      </c>
      <c r="K5" s="2200" t="s">
        <v>42</v>
      </c>
      <c r="L5" s="2200" t="s">
        <v>43</v>
      </c>
      <c r="M5" s="2200" t="s">
        <v>42</v>
      </c>
      <c r="N5" s="2200" t="s">
        <v>43</v>
      </c>
      <c r="O5" s="2200" t="s">
        <v>42</v>
      </c>
      <c r="P5" s="2200" t="s">
        <v>43</v>
      </c>
      <c r="Q5" s="2200" t="s">
        <v>42</v>
      </c>
      <c r="R5" s="2200" t="s">
        <v>43</v>
      </c>
      <c r="S5" s="33" t="s">
        <v>42</v>
      </c>
      <c r="T5" s="33" t="s">
        <v>43</v>
      </c>
      <c r="U5" s="30" t="s">
        <v>42</v>
      </c>
      <c r="V5" s="30" t="s">
        <v>43</v>
      </c>
      <c r="W5" s="30" t="s">
        <v>42</v>
      </c>
      <c r="X5" s="30" t="s">
        <v>43</v>
      </c>
      <c r="Y5" s="2239"/>
    </row>
    <row r="6" spans="1:25" ht="34.5" customHeight="1" x14ac:dyDescent="0.25">
      <c r="A6" s="12">
        <v>1409935200</v>
      </c>
      <c r="B6" s="2199" t="s">
        <v>71</v>
      </c>
      <c r="C6" s="2202">
        <v>30496</v>
      </c>
      <c r="D6" s="2203">
        <f t="shared" ref="D6:D11" si="0">0.9725*C6</f>
        <v>29657.360000000001</v>
      </c>
      <c r="E6" s="2202"/>
      <c r="F6" s="2203">
        <f>19.68*E6</f>
        <v>0</v>
      </c>
      <c r="G6" s="2202">
        <v>10</v>
      </c>
      <c r="H6" s="2203">
        <f t="shared" ref="H6:H11" si="1">28.26*G6</f>
        <v>282.60000000000002</v>
      </c>
      <c r="I6" s="2202">
        <v>80</v>
      </c>
      <c r="J6" s="2203">
        <f>18.82*I6</f>
        <v>1505.6</v>
      </c>
      <c r="K6" s="2202"/>
      <c r="L6" s="2203">
        <f>28.25*K6</f>
        <v>0</v>
      </c>
      <c r="M6" s="2202"/>
      <c r="N6" s="2203">
        <f>M6*47.6525</f>
        <v>0</v>
      </c>
      <c r="O6" s="2202"/>
      <c r="P6" s="2203">
        <f>O6*8.9</f>
        <v>0</v>
      </c>
      <c r="Q6" s="2203"/>
      <c r="R6" s="2203">
        <f>241*Q6</f>
        <v>0</v>
      </c>
      <c r="S6" s="2202"/>
      <c r="T6" s="2202">
        <f>470*S6</f>
        <v>0</v>
      </c>
      <c r="U6" s="2202">
        <v>5</v>
      </c>
      <c r="V6" s="2202">
        <f>332*U6</f>
        <v>1660</v>
      </c>
      <c r="W6" s="2202"/>
      <c r="X6" s="19">
        <f>W6*100</f>
        <v>0</v>
      </c>
      <c r="Y6" s="20">
        <f t="shared" ref="Y6:Y12" si="2">D6+F6+H6+J6+L6+N6+P6+R6+T6+V6+X6</f>
        <v>33105.56</v>
      </c>
    </row>
    <row r="7" spans="1:25" ht="36.75" customHeight="1" x14ac:dyDescent="0.25">
      <c r="A7" s="12">
        <v>1984225578</v>
      </c>
      <c r="B7" s="2199" t="s">
        <v>509</v>
      </c>
      <c r="C7" s="2202">
        <v>25099</v>
      </c>
      <c r="D7" s="2203">
        <f t="shared" si="0"/>
        <v>24408.7775</v>
      </c>
      <c r="E7" s="2202"/>
      <c r="F7" s="2203">
        <f t="shared" ref="F7:F11" si="3">19.68*E7</f>
        <v>0</v>
      </c>
      <c r="G7" s="2202"/>
      <c r="H7" s="2203">
        <f t="shared" si="1"/>
        <v>0</v>
      </c>
      <c r="I7" s="2202">
        <v>80</v>
      </c>
      <c r="J7" s="2203">
        <f t="shared" ref="J7:J11" si="4">18.82*I7</f>
        <v>1505.6</v>
      </c>
      <c r="K7" s="2202">
        <v>70</v>
      </c>
      <c r="L7" s="2203">
        <f t="shared" ref="L7:L11" si="5">28.25*K7</f>
        <v>1977.5</v>
      </c>
      <c r="M7" s="2202"/>
      <c r="N7" s="2203">
        <f t="shared" ref="N7:N11" si="6">M7*47.6525</f>
        <v>0</v>
      </c>
      <c r="O7" s="2202"/>
      <c r="P7" s="2203">
        <f t="shared" ref="P7:P11" si="7">O7*8.9</f>
        <v>0</v>
      </c>
      <c r="Q7" s="2203"/>
      <c r="R7" s="2203">
        <f t="shared" ref="R7:R11" si="8">241*Q7</f>
        <v>0</v>
      </c>
      <c r="S7" s="2202"/>
      <c r="T7" s="2202">
        <f t="shared" ref="T7:T9" si="9">470*S7</f>
        <v>0</v>
      </c>
      <c r="U7" s="2202"/>
      <c r="V7" s="2202">
        <f t="shared" ref="V7:V11" si="10">332*U7</f>
        <v>0</v>
      </c>
      <c r="W7" s="2202"/>
      <c r="X7" s="19">
        <f t="shared" ref="X7:X11" si="11">W7*100</f>
        <v>0</v>
      </c>
      <c r="Y7" s="20">
        <f t="shared" si="2"/>
        <v>27891.877499999999</v>
      </c>
    </row>
    <row r="8" spans="1:25" ht="35.25" customHeight="1" x14ac:dyDescent="0.25">
      <c r="A8" s="12">
        <v>1967020280</v>
      </c>
      <c r="B8" s="2199" t="s">
        <v>427</v>
      </c>
      <c r="C8" s="2202">
        <v>26583</v>
      </c>
      <c r="D8" s="2203">
        <f t="shared" si="0"/>
        <v>25851.967500000002</v>
      </c>
      <c r="E8" s="2202"/>
      <c r="F8" s="2203">
        <f t="shared" si="3"/>
        <v>0</v>
      </c>
      <c r="G8" s="2202">
        <v>60</v>
      </c>
      <c r="H8" s="2203">
        <f t="shared" si="1"/>
        <v>1695.6000000000001</v>
      </c>
      <c r="I8" s="2202">
        <v>340</v>
      </c>
      <c r="J8" s="2203">
        <f t="shared" si="4"/>
        <v>6398.8</v>
      </c>
      <c r="K8" s="2202">
        <v>10</v>
      </c>
      <c r="L8" s="2203">
        <f t="shared" si="5"/>
        <v>282.5</v>
      </c>
      <c r="M8" s="2202"/>
      <c r="N8" s="2203">
        <f t="shared" si="6"/>
        <v>0</v>
      </c>
      <c r="O8" s="2202"/>
      <c r="P8" s="2203">
        <f t="shared" si="7"/>
        <v>0</v>
      </c>
      <c r="Q8" s="2203"/>
      <c r="R8" s="2203">
        <f t="shared" si="8"/>
        <v>0</v>
      </c>
      <c r="S8" s="2202">
        <v>1</v>
      </c>
      <c r="T8" s="2202">
        <f t="shared" si="9"/>
        <v>470</v>
      </c>
      <c r="U8" s="2202"/>
      <c r="V8" s="2202">
        <f t="shared" si="10"/>
        <v>0</v>
      </c>
      <c r="W8" s="2202"/>
      <c r="X8" s="19">
        <f t="shared" si="11"/>
        <v>0</v>
      </c>
      <c r="Y8" s="20">
        <f t="shared" si="2"/>
        <v>34698.8675</v>
      </c>
    </row>
    <row r="9" spans="1:25" ht="38.25" customHeight="1" x14ac:dyDescent="0.25">
      <c r="A9" s="12">
        <v>1984225580</v>
      </c>
      <c r="B9" s="2199" t="s">
        <v>74</v>
      </c>
      <c r="C9" s="2202">
        <v>37907</v>
      </c>
      <c r="D9" s="2203">
        <f t="shared" si="0"/>
        <v>36864.557500000003</v>
      </c>
      <c r="E9" s="2202"/>
      <c r="F9" s="2203">
        <f t="shared" si="3"/>
        <v>0</v>
      </c>
      <c r="G9" s="2202">
        <v>10</v>
      </c>
      <c r="H9" s="2203">
        <f t="shared" si="1"/>
        <v>282.60000000000002</v>
      </c>
      <c r="I9" s="2202">
        <v>70</v>
      </c>
      <c r="J9" s="2203">
        <f t="shared" si="4"/>
        <v>1317.4</v>
      </c>
      <c r="K9" s="2202"/>
      <c r="L9" s="2203">
        <f t="shared" si="5"/>
        <v>0</v>
      </c>
      <c r="M9" s="2202"/>
      <c r="N9" s="2203">
        <f t="shared" si="6"/>
        <v>0</v>
      </c>
      <c r="O9" s="2202"/>
      <c r="P9" s="2203">
        <f t="shared" si="7"/>
        <v>0</v>
      </c>
      <c r="Q9" s="2203"/>
      <c r="R9" s="2203">
        <f t="shared" si="8"/>
        <v>0</v>
      </c>
      <c r="S9" s="2202"/>
      <c r="T9" s="2202">
        <f t="shared" si="9"/>
        <v>0</v>
      </c>
      <c r="U9" s="2202"/>
      <c r="V9" s="2202">
        <f t="shared" si="10"/>
        <v>0</v>
      </c>
      <c r="W9" s="2202"/>
      <c r="X9" s="19">
        <f t="shared" si="11"/>
        <v>0</v>
      </c>
      <c r="Y9" s="20">
        <f t="shared" si="2"/>
        <v>38464.557500000003</v>
      </c>
    </row>
    <row r="10" spans="1:25" ht="35.25" customHeight="1" x14ac:dyDescent="0.25">
      <c r="A10" s="12">
        <v>1409935199</v>
      </c>
      <c r="C10" s="2202"/>
      <c r="D10" s="2203">
        <f t="shared" si="0"/>
        <v>0</v>
      </c>
      <c r="E10" s="2202"/>
      <c r="F10" s="2203">
        <f t="shared" si="3"/>
        <v>0</v>
      </c>
      <c r="G10" s="2202"/>
      <c r="H10" s="2203">
        <f t="shared" si="1"/>
        <v>0</v>
      </c>
      <c r="I10" s="2202"/>
      <c r="J10" s="2203">
        <f t="shared" si="4"/>
        <v>0</v>
      </c>
      <c r="K10" s="2202"/>
      <c r="L10" s="2203">
        <f t="shared" si="5"/>
        <v>0</v>
      </c>
      <c r="M10" s="2202"/>
      <c r="N10" s="2203">
        <f t="shared" si="6"/>
        <v>0</v>
      </c>
      <c r="O10" s="2202"/>
      <c r="P10" s="2203">
        <f t="shared" si="7"/>
        <v>0</v>
      </c>
      <c r="Q10" s="2203"/>
      <c r="R10" s="2203">
        <f t="shared" si="8"/>
        <v>0</v>
      </c>
      <c r="S10" s="2202"/>
      <c r="T10" s="2202">
        <f>470*S10</f>
        <v>0</v>
      </c>
      <c r="U10" s="2202"/>
      <c r="V10" s="2202">
        <f t="shared" si="10"/>
        <v>0</v>
      </c>
      <c r="W10" s="2202"/>
      <c r="X10" s="19">
        <f t="shared" si="11"/>
        <v>0</v>
      </c>
      <c r="Y10" s="20">
        <f t="shared" si="2"/>
        <v>0</v>
      </c>
    </row>
    <row r="11" spans="1:25" ht="37.5" customHeight="1" x14ac:dyDescent="0.25">
      <c r="A11" s="12"/>
      <c r="B11" s="2201"/>
      <c r="C11" s="2202"/>
      <c r="D11" s="2203">
        <f t="shared" si="0"/>
        <v>0</v>
      </c>
      <c r="E11" s="2202"/>
      <c r="F11" s="2203">
        <f t="shared" si="3"/>
        <v>0</v>
      </c>
      <c r="G11" s="2202"/>
      <c r="H11" s="2203">
        <f t="shared" si="1"/>
        <v>0</v>
      </c>
      <c r="I11" s="2202"/>
      <c r="J11" s="2203">
        <f t="shared" si="4"/>
        <v>0</v>
      </c>
      <c r="K11" s="2202"/>
      <c r="L11" s="2203">
        <f t="shared" si="5"/>
        <v>0</v>
      </c>
      <c r="M11" s="2202"/>
      <c r="N11" s="2203">
        <f t="shared" si="6"/>
        <v>0</v>
      </c>
      <c r="O11" s="2202"/>
      <c r="P11" s="2203">
        <f t="shared" si="7"/>
        <v>0</v>
      </c>
      <c r="Q11" s="2203"/>
      <c r="R11" s="2203">
        <f t="shared" si="8"/>
        <v>0</v>
      </c>
      <c r="S11" s="2202"/>
      <c r="T11" s="2202">
        <f>241*S11</f>
        <v>0</v>
      </c>
      <c r="U11" s="2202"/>
      <c r="V11" s="2202">
        <f t="shared" si="10"/>
        <v>0</v>
      </c>
      <c r="W11" s="2202"/>
      <c r="X11" s="19">
        <f t="shared" si="11"/>
        <v>0</v>
      </c>
      <c r="Y11" s="20">
        <f t="shared" si="2"/>
        <v>0</v>
      </c>
    </row>
    <row r="12" spans="1:25" ht="29.25" customHeight="1" x14ac:dyDescent="0.25">
      <c r="A12" s="2235" t="s">
        <v>31</v>
      </c>
      <c r="B12" s="2235"/>
      <c r="C12" s="18">
        <f t="shared" ref="C12:X12" si="12">SUM(C6:C11)</f>
        <v>120085</v>
      </c>
      <c r="D12" s="18">
        <f t="shared" si="12"/>
        <v>116782.66250000001</v>
      </c>
      <c r="E12" s="18">
        <f t="shared" si="12"/>
        <v>0</v>
      </c>
      <c r="F12" s="18">
        <f t="shared" si="12"/>
        <v>0</v>
      </c>
      <c r="G12" s="18">
        <f t="shared" si="12"/>
        <v>80</v>
      </c>
      <c r="H12" s="18">
        <f t="shared" si="12"/>
        <v>2260.8000000000002</v>
      </c>
      <c r="I12" s="18">
        <f t="shared" si="12"/>
        <v>570</v>
      </c>
      <c r="J12" s="18">
        <f t="shared" si="12"/>
        <v>10727.4</v>
      </c>
      <c r="K12" s="18">
        <f t="shared" si="12"/>
        <v>80</v>
      </c>
      <c r="L12" s="18">
        <f t="shared" si="12"/>
        <v>2260</v>
      </c>
      <c r="M12" s="18">
        <f t="shared" si="12"/>
        <v>0</v>
      </c>
      <c r="N12" s="23">
        <f t="shared" si="12"/>
        <v>0</v>
      </c>
      <c r="O12" s="18">
        <f t="shared" si="12"/>
        <v>0</v>
      </c>
      <c r="P12" s="23">
        <f t="shared" si="12"/>
        <v>0</v>
      </c>
      <c r="Q12" s="23">
        <f t="shared" si="12"/>
        <v>0</v>
      </c>
      <c r="R12" s="23">
        <f>SUM(R6:R11)</f>
        <v>0</v>
      </c>
      <c r="S12" s="23">
        <f>SUM(S6:S11)</f>
        <v>1</v>
      </c>
      <c r="T12" s="18">
        <f t="shared" si="12"/>
        <v>470</v>
      </c>
      <c r="U12" s="18">
        <f t="shared" si="12"/>
        <v>5</v>
      </c>
      <c r="V12" s="18">
        <f t="shared" si="12"/>
        <v>1660</v>
      </c>
      <c r="W12" s="18">
        <f t="shared" si="12"/>
        <v>0</v>
      </c>
      <c r="X12" s="18">
        <f t="shared" si="12"/>
        <v>0</v>
      </c>
      <c r="Y12" s="20">
        <f t="shared" si="2"/>
        <v>134160.86249999999</v>
      </c>
    </row>
    <row r="14" spans="1:25" ht="43.5" customHeight="1" x14ac:dyDescent="0.25">
      <c r="A14" s="30" t="s">
        <v>32</v>
      </c>
      <c r="B14" s="2236" t="s">
        <v>27</v>
      </c>
      <c r="C14" s="2236"/>
      <c r="D14" s="30" t="s">
        <v>543</v>
      </c>
      <c r="E14" s="30" t="s">
        <v>65</v>
      </c>
      <c r="F14" s="30" t="s">
        <v>34</v>
      </c>
      <c r="G14" s="30" t="s">
        <v>14</v>
      </c>
      <c r="H14" s="469" t="s">
        <v>173</v>
      </c>
      <c r="I14" s="30" t="s">
        <v>17</v>
      </c>
      <c r="J14" s="2207" t="s">
        <v>174</v>
      </c>
      <c r="K14" s="30" t="s">
        <v>36</v>
      </c>
      <c r="L14" s="2207" t="s">
        <v>403</v>
      </c>
      <c r="M14" s="2207" t="s">
        <v>549</v>
      </c>
      <c r="N14" s="30" t="s">
        <v>442</v>
      </c>
      <c r="O14" s="2207" t="s">
        <v>114</v>
      </c>
      <c r="P14" s="30" t="s">
        <v>70</v>
      </c>
      <c r="Q14" s="2300" t="s">
        <v>479</v>
      </c>
      <c r="R14" s="2301"/>
      <c r="S14" s="2207" t="s">
        <v>401</v>
      </c>
      <c r="T14" s="2235" t="s">
        <v>46</v>
      </c>
      <c r="U14" s="2199" t="s">
        <v>176</v>
      </c>
      <c r="V14" s="2260">
        <v>57577</v>
      </c>
      <c r="W14" s="2268"/>
      <c r="X14" s="2261"/>
    </row>
    <row r="15" spans="1:25" ht="22.5" customHeight="1" x14ac:dyDescent="0.25">
      <c r="A15" s="100" t="s">
        <v>38</v>
      </c>
      <c r="B15" s="2260">
        <v>328270</v>
      </c>
      <c r="C15" s="2261"/>
      <c r="D15" s="2204">
        <v>0</v>
      </c>
      <c r="E15" s="2204">
        <v>240</v>
      </c>
      <c r="F15" s="2204">
        <v>6580</v>
      </c>
      <c r="G15" s="2204">
        <v>520</v>
      </c>
      <c r="H15" s="2204">
        <v>34</v>
      </c>
      <c r="I15" s="2204">
        <v>60</v>
      </c>
      <c r="J15" s="2204"/>
      <c r="K15" s="2204">
        <v>77</v>
      </c>
      <c r="L15" s="2204">
        <v>12</v>
      </c>
      <c r="M15" s="2204">
        <v>20</v>
      </c>
      <c r="N15" s="2204">
        <v>0</v>
      </c>
      <c r="O15" s="2204">
        <v>0</v>
      </c>
      <c r="P15" s="2204">
        <v>100</v>
      </c>
      <c r="Q15" s="2260">
        <v>0</v>
      </c>
      <c r="R15" s="2261"/>
      <c r="S15" s="2199"/>
      <c r="T15" s="2235"/>
      <c r="U15" s="2199" t="s">
        <v>64</v>
      </c>
      <c r="V15" s="2262">
        <v>15144</v>
      </c>
      <c r="W15" s="2262"/>
      <c r="X15" s="2262"/>
    </row>
    <row r="16" spans="1:25" ht="24.75" customHeight="1" x14ac:dyDescent="0.25">
      <c r="A16" s="100" t="s">
        <v>39</v>
      </c>
      <c r="B16" s="2260">
        <v>120550</v>
      </c>
      <c r="C16" s="2261"/>
      <c r="D16" s="2204"/>
      <c r="E16" s="2204">
        <v>1000</v>
      </c>
      <c r="F16" s="2204"/>
      <c r="G16" s="2204"/>
      <c r="H16" s="2204"/>
      <c r="I16" s="2204"/>
      <c r="J16" s="2204"/>
      <c r="K16" s="2204"/>
      <c r="L16" s="2204"/>
      <c r="M16" s="2204"/>
      <c r="N16" s="2204"/>
      <c r="O16" s="2204"/>
      <c r="P16" s="2204"/>
      <c r="Q16" s="2262"/>
      <c r="R16" s="2262"/>
      <c r="S16" s="2204"/>
      <c r="T16" s="2254" t="s">
        <v>55</v>
      </c>
      <c r="U16" s="2254"/>
      <c r="V16" s="2267">
        <f>Y12</f>
        <v>134160.86249999999</v>
      </c>
      <c r="W16" s="2267"/>
      <c r="X16" s="2262"/>
    </row>
    <row r="17" spans="1:25" ht="28.5" customHeight="1" x14ac:dyDescent="0.25">
      <c r="A17" s="101" t="s">
        <v>44</v>
      </c>
      <c r="B17" s="2260">
        <v>18030</v>
      </c>
      <c r="C17" s="2261"/>
      <c r="D17" s="2204"/>
      <c r="E17" s="2204"/>
      <c r="F17" s="2204"/>
      <c r="G17" s="2204"/>
      <c r="H17" s="2204"/>
      <c r="I17" s="2204"/>
      <c r="J17" s="2204"/>
      <c r="K17" s="2204"/>
      <c r="L17" s="2204"/>
      <c r="M17" s="2204"/>
      <c r="N17" s="2204"/>
      <c r="O17" s="2204"/>
      <c r="P17" s="2204"/>
      <c r="Q17" s="2225"/>
      <c r="R17" s="2225"/>
      <c r="S17" s="2201"/>
      <c r="T17" s="2294" t="s">
        <v>521</v>
      </c>
      <c r="U17" s="2295"/>
      <c r="V17" s="2296"/>
      <c r="W17" s="2296"/>
      <c r="X17" s="2296"/>
    </row>
    <row r="18" spans="1:25" ht="27" customHeight="1" x14ac:dyDescent="0.25">
      <c r="A18" s="100" t="s">
        <v>40</v>
      </c>
      <c r="B18" s="2264">
        <f>C12</f>
        <v>120085</v>
      </c>
      <c r="C18" s="2261"/>
      <c r="D18" s="2205">
        <f>E12</f>
        <v>0</v>
      </c>
      <c r="E18" s="2205">
        <f>G12</f>
        <v>80</v>
      </c>
      <c r="F18" s="2205">
        <f>I12</f>
        <v>570</v>
      </c>
      <c r="G18" s="2205">
        <f>K12</f>
        <v>80</v>
      </c>
      <c r="H18" s="2204"/>
      <c r="I18" s="2205">
        <f>U12</f>
        <v>5</v>
      </c>
      <c r="J18" s="2204"/>
      <c r="K18" s="2205">
        <f>W12</f>
        <v>0</v>
      </c>
      <c r="L18" s="2204"/>
      <c r="M18" s="2205">
        <v>1</v>
      </c>
      <c r="N18" s="2205">
        <f>O12</f>
        <v>0</v>
      </c>
      <c r="O18" s="2206">
        <f>Q12</f>
        <v>0</v>
      </c>
      <c r="P18" s="2205"/>
      <c r="Q18" s="2262"/>
      <c r="R18" s="2262"/>
      <c r="S18" s="2199"/>
      <c r="T18" s="2254" t="s">
        <v>57</v>
      </c>
      <c r="U18" s="2254"/>
      <c r="V18" s="2262">
        <v>5230</v>
      </c>
      <c r="W18" s="2262"/>
      <c r="X18" s="2262"/>
      <c r="Y18" s="2269"/>
    </row>
    <row r="19" spans="1:25" ht="25.5" customHeight="1" x14ac:dyDescent="0.25">
      <c r="A19" s="100" t="s">
        <v>41</v>
      </c>
      <c r="B19" s="2260">
        <f>B15+B16+B17-B18</f>
        <v>346765</v>
      </c>
      <c r="C19" s="2261"/>
      <c r="D19" s="2204">
        <f>D15+D16+D17-D18</f>
        <v>0</v>
      </c>
      <c r="E19" s="2204">
        <f t="shared" ref="E19:N19" si="13">E15+E16+E17-E18</f>
        <v>1160</v>
      </c>
      <c r="F19" s="2204">
        <f t="shared" si="13"/>
        <v>6010</v>
      </c>
      <c r="G19" s="2204">
        <f t="shared" si="13"/>
        <v>440</v>
      </c>
      <c r="H19" s="2204">
        <f t="shared" si="13"/>
        <v>34</v>
      </c>
      <c r="I19" s="2204">
        <f t="shared" si="13"/>
        <v>55</v>
      </c>
      <c r="J19" s="2204">
        <f t="shared" si="13"/>
        <v>0</v>
      </c>
      <c r="K19" s="2204">
        <f t="shared" si="13"/>
        <v>77</v>
      </c>
      <c r="L19" s="2204">
        <f t="shared" si="13"/>
        <v>12</v>
      </c>
      <c r="M19" s="2205">
        <f>M15+M16+M17-M18</f>
        <v>19</v>
      </c>
      <c r="N19" s="2204">
        <f t="shared" si="13"/>
        <v>0</v>
      </c>
      <c r="O19" s="2204">
        <f>O15+O16+O17-O18</f>
        <v>0</v>
      </c>
      <c r="P19" s="2204">
        <f t="shared" ref="P19:Q19" si="14">P15+P16+P17-P18</f>
        <v>100</v>
      </c>
      <c r="Q19" s="2260">
        <f t="shared" si="14"/>
        <v>0</v>
      </c>
      <c r="R19" s="2261"/>
      <c r="S19" s="2199">
        <f>S15+S16-S17-S18</f>
        <v>0</v>
      </c>
      <c r="T19" s="2256" t="s">
        <v>48</v>
      </c>
      <c r="U19" s="49" t="s">
        <v>58</v>
      </c>
      <c r="V19" s="2262">
        <v>100000</v>
      </c>
      <c r="W19" s="2262"/>
      <c r="X19" s="2262"/>
      <c r="Y19" s="2269"/>
    </row>
    <row r="20" spans="1:25" ht="23.25" customHeight="1" x14ac:dyDescent="0.25">
      <c r="A20" s="289" t="s">
        <v>187</v>
      </c>
      <c r="B20" s="2286">
        <f>B19*0.9625</f>
        <v>333761.3125</v>
      </c>
      <c r="C20" s="2287"/>
      <c r="D20" s="290">
        <f>D19*19.48</f>
        <v>0</v>
      </c>
      <c r="E20" s="290">
        <f>27.97*E19</f>
        <v>32445.199999999997</v>
      </c>
      <c r="F20" s="290">
        <f>18.63*F19</f>
        <v>111966.29999999999</v>
      </c>
      <c r="G20" s="290">
        <f>27.9468*G19</f>
        <v>12296.592000000001</v>
      </c>
      <c r="H20" s="290">
        <f>241*H19</f>
        <v>8194</v>
      </c>
      <c r="I20" s="290">
        <f>323*I19</f>
        <v>17765</v>
      </c>
      <c r="J20" s="290">
        <f>241*J19</f>
        <v>0</v>
      </c>
      <c r="K20" s="290">
        <f>K19*100</f>
        <v>7700</v>
      </c>
      <c r="L20" s="290">
        <f>470*L19</f>
        <v>5640</v>
      </c>
      <c r="M20" s="290">
        <f>470*M19</f>
        <v>8930</v>
      </c>
      <c r="N20" s="290">
        <f>N19*8.81</f>
        <v>0</v>
      </c>
      <c r="O20" s="290">
        <f>241*O19</f>
        <v>0</v>
      </c>
      <c r="P20" s="290">
        <f>P19*48.2</f>
        <v>4820</v>
      </c>
      <c r="Q20" s="2286">
        <f>470*Q19</f>
        <v>0</v>
      </c>
      <c r="R20" s="2287"/>
      <c r="S20" s="290">
        <f>341*S19</f>
        <v>0</v>
      </c>
      <c r="T20" s="2257"/>
      <c r="U20" s="49" t="s">
        <v>59</v>
      </c>
      <c r="V20" s="2262"/>
      <c r="W20" s="2262"/>
      <c r="X20" s="2262"/>
      <c r="Y20" s="2269"/>
    </row>
    <row r="21" spans="1:25" ht="32.25" customHeight="1" x14ac:dyDescent="0.25">
      <c r="A21" s="291" t="s">
        <v>186</v>
      </c>
      <c r="B21" s="2302">
        <f>SUM(B20:S20)</f>
        <v>543518.40449999995</v>
      </c>
      <c r="C21" s="2302"/>
      <c r="T21" s="2294" t="s">
        <v>464</v>
      </c>
      <c r="U21" s="2295"/>
      <c r="V21" s="2297"/>
      <c r="W21" s="2298"/>
      <c r="X21" s="2299"/>
      <c r="Y21" s="2269"/>
    </row>
    <row r="22" spans="1:25" ht="35.25" customHeight="1" x14ac:dyDescent="0.25">
      <c r="A22" s="1911"/>
      <c r="B22" s="2288" t="s">
        <v>49</v>
      </c>
      <c r="C22" s="2291">
        <v>100000</v>
      </c>
      <c r="D22" s="2291">
        <v>100000</v>
      </c>
      <c r="E22" s="2291">
        <v>144000</v>
      </c>
      <c r="F22" s="2291">
        <f>C22-D22+E22</f>
        <v>144000</v>
      </c>
      <c r="J22" s="14" t="s">
        <v>139</v>
      </c>
      <c r="T22" s="2251" t="s">
        <v>83</v>
      </c>
      <c r="U22" s="50" t="s">
        <v>60</v>
      </c>
      <c r="V22" s="2262">
        <v>131570</v>
      </c>
      <c r="W22" s="2262"/>
      <c r="X22" s="2262"/>
      <c r="Y22" s="2269"/>
    </row>
    <row r="23" spans="1:25" ht="39.75" customHeight="1" x14ac:dyDescent="0.25">
      <c r="B23" s="2289"/>
      <c r="C23" s="2292"/>
      <c r="D23" s="2292"/>
      <c r="E23" s="2292"/>
      <c r="F23" s="2292"/>
      <c r="T23" s="2252"/>
      <c r="U23" s="50" t="s">
        <v>61</v>
      </c>
      <c r="V23" s="2262">
        <v>100000</v>
      </c>
      <c r="W23" s="2262"/>
      <c r="X23" s="2262"/>
      <c r="Y23" s="2269"/>
    </row>
    <row r="24" spans="1:25" ht="48" customHeight="1" x14ac:dyDescent="0.25">
      <c r="B24" s="2290"/>
      <c r="C24" s="290" t="s">
        <v>46</v>
      </c>
      <c r="D24" s="290" t="s">
        <v>50</v>
      </c>
      <c r="E24" s="290" t="s">
        <v>51</v>
      </c>
      <c r="F24" s="290" t="s">
        <v>52</v>
      </c>
      <c r="T24" s="2235" t="s">
        <v>47</v>
      </c>
      <c r="U24" s="51" t="s">
        <v>62</v>
      </c>
      <c r="V24" s="2263">
        <f>V14+V16+V17-V18-V19-V20-V22+V23-V21</f>
        <v>54937.862499999988</v>
      </c>
      <c r="W24" s="2263"/>
      <c r="X24" s="2263"/>
      <c r="Y24" s="2269"/>
    </row>
    <row r="25" spans="1:25" ht="40.5" customHeight="1" x14ac:dyDescent="0.25">
      <c r="T25" s="2235"/>
      <c r="U25" s="51" t="s">
        <v>63</v>
      </c>
      <c r="V25" s="2262">
        <f>V15+V22-V23</f>
        <v>46714</v>
      </c>
      <c r="W25" s="2262"/>
      <c r="X25" s="2262"/>
    </row>
    <row r="26" spans="1:25" ht="36" customHeight="1" x14ac:dyDescent="0.25">
      <c r="K26" s="314"/>
    </row>
    <row r="28" spans="1:25" x14ac:dyDescent="0.25">
      <c r="J28" s="14" t="s">
        <v>139</v>
      </c>
    </row>
    <row r="32" spans="1:25" x14ac:dyDescent="0.25">
      <c r="I32" s="2280"/>
      <c r="J32" s="2280"/>
      <c r="K32" s="2280"/>
      <c r="L32" s="2280"/>
    </row>
    <row r="33" spans="9:12" x14ac:dyDescent="0.25">
      <c r="I33" s="2208"/>
      <c r="J33" s="2208"/>
      <c r="K33" s="2280"/>
      <c r="L33" s="2280"/>
    </row>
  </sheetData>
  <mergeCells count="62">
    <mergeCell ref="I32:J32"/>
    <mergeCell ref="K32:L32"/>
    <mergeCell ref="K33:L33"/>
    <mergeCell ref="T22:T23"/>
    <mergeCell ref="V22:X22"/>
    <mergeCell ref="V23:X23"/>
    <mergeCell ref="T24:T25"/>
    <mergeCell ref="V24:X24"/>
    <mergeCell ref="V25:X25"/>
    <mergeCell ref="Y18:Y24"/>
    <mergeCell ref="B19:C19"/>
    <mergeCell ref="Q19:R19"/>
    <mergeCell ref="T19:T20"/>
    <mergeCell ref="V19:X19"/>
    <mergeCell ref="B20:C20"/>
    <mergeCell ref="B22:B24"/>
    <mergeCell ref="C22:C23"/>
    <mergeCell ref="D22:D23"/>
    <mergeCell ref="E22:E23"/>
    <mergeCell ref="F22:F23"/>
    <mergeCell ref="Q20:R20"/>
    <mergeCell ref="V20:X20"/>
    <mergeCell ref="B21:C21"/>
    <mergeCell ref="T21:U21"/>
    <mergeCell ref="V21:X21"/>
    <mergeCell ref="B17:C17"/>
    <mergeCell ref="Q17:R17"/>
    <mergeCell ref="T17:U17"/>
    <mergeCell ref="V17:X17"/>
    <mergeCell ref="B18:C18"/>
    <mergeCell ref="Q18:R18"/>
    <mergeCell ref="T18:U18"/>
    <mergeCell ref="V18:X18"/>
    <mergeCell ref="W4:X4"/>
    <mergeCell ref="B16:C16"/>
    <mergeCell ref="Q16:R16"/>
    <mergeCell ref="T16:U16"/>
    <mergeCell ref="V16:X16"/>
    <mergeCell ref="A12:B12"/>
    <mergeCell ref="B14:C14"/>
    <mergeCell ref="Q14:R14"/>
    <mergeCell ref="T14:T15"/>
    <mergeCell ref="V14:X14"/>
    <mergeCell ref="B15:C15"/>
    <mergeCell ref="Q15:R15"/>
    <mergeCell ref="V15:X15"/>
    <mergeCell ref="A1:Y1"/>
    <mergeCell ref="A2:Y2"/>
    <mergeCell ref="T3:Y3"/>
    <mergeCell ref="A4:A5"/>
    <mergeCell ref="B4:B5"/>
    <mergeCell ref="C4:D4"/>
    <mergeCell ref="E4:F4"/>
    <mergeCell ref="G4:H4"/>
    <mergeCell ref="I4:J4"/>
    <mergeCell ref="K4:L4"/>
    <mergeCell ref="Y4:Y5"/>
    <mergeCell ref="M4:N4"/>
    <mergeCell ref="O4:P4"/>
    <mergeCell ref="Q4:R4"/>
    <mergeCell ref="S4:T4"/>
    <mergeCell ref="U4:V4"/>
  </mergeCells>
  <pageMargins left="0.15748031496063" right="0.15748031496063" top="0" bottom="0" header="0" footer="0"/>
  <pageSetup paperSize="9" scale="46" orientation="landscape" r:id="rId1"/>
</worksheet>
</file>

<file path=xl/worksheets/sheet34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E25D2F2-1ECA-4148-9B8B-C80C35EE5FF8}">
  <sheetPr>
    <pageSetUpPr fitToPage="1"/>
  </sheetPr>
  <dimension ref="A1:Y33"/>
  <sheetViews>
    <sheetView topLeftCell="D13" zoomScale="70" zoomScaleNormal="70" zoomScaleSheetLayoutView="100" zoomScalePageLayoutView="68" workbookViewId="0">
      <selection activeCell="I26" sqref="I26"/>
    </sheetView>
  </sheetViews>
  <sheetFormatPr defaultColWidth="9.140625" defaultRowHeight="15" x14ac:dyDescent="0.25"/>
  <cols>
    <col min="1" max="1" width="18.28515625" style="14" customWidth="1"/>
    <col min="2" max="2" width="10.7109375" style="14" customWidth="1"/>
    <col min="3" max="3" width="12.28515625" style="14" customWidth="1"/>
    <col min="4" max="4" width="13.140625" style="14" bestFit="1" customWidth="1"/>
    <col min="5" max="5" width="12" style="14" customWidth="1"/>
    <col min="6" max="6" width="14" style="14" bestFit="1" customWidth="1"/>
    <col min="7" max="7" width="16" style="14" bestFit="1" customWidth="1"/>
    <col min="8" max="8" width="11" style="14" bestFit="1" customWidth="1"/>
    <col min="9" max="9" width="10.5703125" style="14" bestFit="1" customWidth="1"/>
    <col min="10" max="10" width="10.5703125" style="14" customWidth="1"/>
    <col min="11" max="11" width="10.28515625" style="14" bestFit="1" customWidth="1"/>
    <col min="12" max="12" width="10.42578125" style="14" bestFit="1" customWidth="1"/>
    <col min="13" max="14" width="12" style="14" bestFit="1" customWidth="1"/>
    <col min="15" max="15" width="11" style="14" customWidth="1"/>
    <col min="16" max="16" width="12.85546875" style="14" bestFit="1" customWidth="1"/>
    <col min="17" max="18" width="9.42578125" style="14" customWidth="1"/>
    <col min="19" max="19" width="13.7109375" style="14" customWidth="1"/>
    <col min="20" max="20" width="12.140625" style="14" customWidth="1"/>
    <col min="21" max="21" width="21.7109375" style="14" customWidth="1"/>
    <col min="22" max="22" width="9.85546875" style="14" customWidth="1"/>
    <col min="23" max="23" width="10.140625" style="14" bestFit="1" customWidth="1"/>
    <col min="24" max="24" width="10.28515625" style="14" customWidth="1"/>
    <col min="25" max="25" width="15.7109375" style="14" customWidth="1"/>
    <col min="26" max="16384" width="9.140625" style="14"/>
  </cols>
  <sheetData>
    <row r="1" spans="1:25" ht="46.15" customHeight="1" x14ac:dyDescent="0.25">
      <c r="A1" s="2240" t="s">
        <v>148</v>
      </c>
      <c r="B1" s="2240"/>
      <c r="C1" s="2240"/>
      <c r="D1" s="2240"/>
      <c r="E1" s="2240"/>
      <c r="F1" s="2240"/>
      <c r="G1" s="2240"/>
      <c r="H1" s="2240"/>
      <c r="I1" s="2240"/>
      <c r="J1" s="2240"/>
      <c r="K1" s="2240"/>
      <c r="L1" s="2240"/>
      <c r="M1" s="2240"/>
      <c r="N1" s="2240"/>
      <c r="O1" s="2240"/>
      <c r="P1" s="2240"/>
      <c r="Q1" s="2240"/>
      <c r="R1" s="2240"/>
      <c r="S1" s="2240"/>
      <c r="T1" s="2240"/>
      <c r="U1" s="2240"/>
      <c r="V1" s="2240"/>
      <c r="W1" s="2240"/>
      <c r="X1" s="2240"/>
      <c r="Y1" s="2240"/>
    </row>
    <row r="2" spans="1:25" ht="21.6" customHeight="1" x14ac:dyDescent="0.25">
      <c r="A2" s="2241" t="s">
        <v>383</v>
      </c>
      <c r="B2" s="2241"/>
      <c r="C2" s="2241"/>
      <c r="D2" s="2241"/>
      <c r="E2" s="2241"/>
      <c r="F2" s="2241"/>
      <c r="G2" s="2241"/>
      <c r="H2" s="2241"/>
      <c r="I2" s="2241"/>
      <c r="J2" s="2241"/>
      <c r="K2" s="2241"/>
      <c r="L2" s="2241"/>
      <c r="M2" s="2241"/>
      <c r="N2" s="2241"/>
      <c r="O2" s="2241"/>
      <c r="P2" s="2241"/>
      <c r="Q2" s="2241"/>
      <c r="R2" s="2241"/>
      <c r="S2" s="2241"/>
      <c r="T2" s="2241"/>
      <c r="U2" s="2241"/>
      <c r="V2" s="2241"/>
      <c r="W2" s="2241"/>
      <c r="X2" s="2241"/>
      <c r="Y2" s="2241"/>
    </row>
    <row r="3" spans="1:25" ht="21" customHeight="1" x14ac:dyDescent="0.25">
      <c r="A3" s="2214"/>
      <c r="B3" s="2214"/>
      <c r="C3" s="2214"/>
      <c r="D3" s="2214"/>
      <c r="E3" s="2214"/>
      <c r="F3" s="2214"/>
      <c r="G3" s="2214"/>
      <c r="H3" s="2214"/>
      <c r="I3" s="2214"/>
      <c r="J3" s="2214"/>
      <c r="K3" s="2214"/>
      <c r="L3" s="2214"/>
      <c r="M3" s="2214"/>
      <c r="N3" s="2214"/>
      <c r="O3" s="2214"/>
      <c r="P3" s="2214"/>
      <c r="Q3" s="2214"/>
      <c r="R3" s="2214"/>
      <c r="S3" s="2214"/>
      <c r="T3" s="2242" t="s">
        <v>606</v>
      </c>
      <c r="U3" s="2242"/>
      <c r="V3" s="2242"/>
      <c r="W3" s="2242"/>
      <c r="X3" s="2242"/>
      <c r="Y3" s="2242"/>
    </row>
    <row r="4" spans="1:25" s="2214" customFormat="1" ht="18" customHeight="1" x14ac:dyDescent="0.25">
      <c r="A4" s="2243" t="s">
        <v>25</v>
      </c>
      <c r="B4" s="2243" t="s">
        <v>26</v>
      </c>
      <c r="C4" s="2244" t="s">
        <v>27</v>
      </c>
      <c r="D4" s="2244"/>
      <c r="E4" s="2244" t="s">
        <v>544</v>
      </c>
      <c r="F4" s="2244"/>
      <c r="G4" s="2244" t="s">
        <v>65</v>
      </c>
      <c r="H4" s="2244"/>
      <c r="I4" s="2244" t="s">
        <v>29</v>
      </c>
      <c r="J4" s="2244"/>
      <c r="K4" s="2245" t="s">
        <v>14</v>
      </c>
      <c r="L4" s="2246"/>
      <c r="M4" s="2245" t="s">
        <v>429</v>
      </c>
      <c r="N4" s="2246"/>
      <c r="O4" s="2245" t="s">
        <v>441</v>
      </c>
      <c r="P4" s="2246"/>
      <c r="Q4" s="2245" t="s">
        <v>114</v>
      </c>
      <c r="R4" s="2246"/>
      <c r="S4" s="2244" t="s">
        <v>35</v>
      </c>
      <c r="T4" s="2244"/>
      <c r="U4" s="2245" t="s">
        <v>17</v>
      </c>
      <c r="V4" s="2246"/>
      <c r="W4" s="2247" t="s">
        <v>36</v>
      </c>
      <c r="X4" s="2248"/>
      <c r="Y4" s="2238" t="s">
        <v>30</v>
      </c>
    </row>
    <row r="5" spans="1:25" s="2214" customFormat="1" ht="25.5" customHeight="1" x14ac:dyDescent="0.25">
      <c r="A5" s="2243"/>
      <c r="B5" s="2243"/>
      <c r="C5" s="2213" t="s">
        <v>42</v>
      </c>
      <c r="D5" s="2213" t="s">
        <v>43</v>
      </c>
      <c r="E5" s="2213" t="s">
        <v>42</v>
      </c>
      <c r="F5" s="2213" t="s">
        <v>43</v>
      </c>
      <c r="G5" s="2213" t="s">
        <v>42</v>
      </c>
      <c r="H5" s="2213" t="s">
        <v>43</v>
      </c>
      <c r="I5" s="2213" t="s">
        <v>42</v>
      </c>
      <c r="J5" s="2213" t="s">
        <v>43</v>
      </c>
      <c r="K5" s="2213" t="s">
        <v>42</v>
      </c>
      <c r="L5" s="2213" t="s">
        <v>43</v>
      </c>
      <c r="M5" s="2213" t="s">
        <v>42</v>
      </c>
      <c r="N5" s="2213" t="s">
        <v>43</v>
      </c>
      <c r="O5" s="2213" t="s">
        <v>42</v>
      </c>
      <c r="P5" s="2213" t="s">
        <v>43</v>
      </c>
      <c r="Q5" s="2213" t="s">
        <v>42</v>
      </c>
      <c r="R5" s="2213" t="s">
        <v>43</v>
      </c>
      <c r="S5" s="33" t="s">
        <v>42</v>
      </c>
      <c r="T5" s="33" t="s">
        <v>43</v>
      </c>
      <c r="U5" s="30" t="s">
        <v>42</v>
      </c>
      <c r="V5" s="30" t="s">
        <v>43</v>
      </c>
      <c r="W5" s="30" t="s">
        <v>42</v>
      </c>
      <c r="X5" s="30" t="s">
        <v>43</v>
      </c>
      <c r="Y5" s="2239"/>
    </row>
    <row r="6" spans="1:25" ht="34.5" customHeight="1" x14ac:dyDescent="0.25">
      <c r="A6" s="12">
        <v>1409935200</v>
      </c>
      <c r="B6" s="2212" t="s">
        <v>71</v>
      </c>
      <c r="C6" s="2210">
        <v>40424</v>
      </c>
      <c r="D6" s="2209">
        <f t="shared" ref="D6:D11" si="0">0.9725*C6</f>
        <v>39312.340000000004</v>
      </c>
      <c r="E6" s="2210"/>
      <c r="F6" s="2209">
        <f>19.68*E6</f>
        <v>0</v>
      </c>
      <c r="G6" s="2210">
        <v>20</v>
      </c>
      <c r="H6" s="2209">
        <f t="shared" ref="H6:H11" si="1">28.26*G6</f>
        <v>565.20000000000005</v>
      </c>
      <c r="I6" s="2210">
        <v>190</v>
      </c>
      <c r="J6" s="2209">
        <f>18.82*I6</f>
        <v>3575.8</v>
      </c>
      <c r="K6" s="2210"/>
      <c r="L6" s="2209">
        <f>28.25*K6</f>
        <v>0</v>
      </c>
      <c r="M6" s="2210"/>
      <c r="N6" s="2209">
        <f>M6*47.6525</f>
        <v>0</v>
      </c>
      <c r="O6" s="2210"/>
      <c r="P6" s="2209">
        <f>O6*8.9</f>
        <v>0</v>
      </c>
      <c r="Q6" s="2209"/>
      <c r="R6" s="2209">
        <f>241*Q6</f>
        <v>0</v>
      </c>
      <c r="S6" s="2210">
        <v>5</v>
      </c>
      <c r="T6" s="2210">
        <f>470*S6</f>
        <v>2350</v>
      </c>
      <c r="U6" s="2210">
        <v>2</v>
      </c>
      <c r="V6" s="2210">
        <f>332*U6</f>
        <v>664</v>
      </c>
      <c r="W6" s="2210"/>
      <c r="X6" s="19">
        <f>W6*100</f>
        <v>0</v>
      </c>
      <c r="Y6" s="20">
        <f t="shared" ref="Y6:Y12" si="2">D6+F6+H6+J6+L6+N6+P6+R6+T6+V6+X6</f>
        <v>46467.340000000004</v>
      </c>
    </row>
    <row r="7" spans="1:25" ht="36.75" customHeight="1" x14ac:dyDescent="0.25">
      <c r="A7" s="12">
        <v>1984225578</v>
      </c>
      <c r="B7" s="2212" t="s">
        <v>509</v>
      </c>
      <c r="C7" s="2210">
        <v>27151</v>
      </c>
      <c r="D7" s="2209">
        <f t="shared" si="0"/>
        <v>26404.3475</v>
      </c>
      <c r="E7" s="2210"/>
      <c r="F7" s="2209">
        <f t="shared" ref="F7:F11" si="3">19.68*E7</f>
        <v>0</v>
      </c>
      <c r="G7" s="2210"/>
      <c r="H7" s="2209">
        <f t="shared" si="1"/>
        <v>0</v>
      </c>
      <c r="I7" s="2210">
        <v>30</v>
      </c>
      <c r="J7" s="2209">
        <f t="shared" ref="J7:J11" si="4">18.82*I7</f>
        <v>564.6</v>
      </c>
      <c r="K7" s="2210"/>
      <c r="L7" s="2209">
        <f t="shared" ref="L7:L11" si="5">28.25*K7</f>
        <v>0</v>
      </c>
      <c r="M7" s="2210"/>
      <c r="N7" s="2209">
        <f t="shared" ref="N7:N11" si="6">M7*47.6525</f>
        <v>0</v>
      </c>
      <c r="O7" s="2210"/>
      <c r="P7" s="2209">
        <f t="shared" ref="P7:P11" si="7">O7*8.9</f>
        <v>0</v>
      </c>
      <c r="Q7" s="2209"/>
      <c r="R7" s="2209">
        <f t="shared" ref="R7:R11" si="8">241*Q7</f>
        <v>0</v>
      </c>
      <c r="S7" s="2210"/>
      <c r="T7" s="2210">
        <f t="shared" ref="T7:T9" si="9">470*S7</f>
        <v>0</v>
      </c>
      <c r="U7" s="2210"/>
      <c r="V7" s="2210">
        <f t="shared" ref="V7:V11" si="10">332*U7</f>
        <v>0</v>
      </c>
      <c r="W7" s="2210"/>
      <c r="X7" s="19">
        <f t="shared" ref="X7:X11" si="11">W7*100</f>
        <v>0</v>
      </c>
      <c r="Y7" s="20">
        <f t="shared" si="2"/>
        <v>26968.947499999998</v>
      </c>
    </row>
    <row r="8" spans="1:25" ht="35.25" customHeight="1" x14ac:dyDescent="0.25">
      <c r="A8" s="12">
        <v>1967020280</v>
      </c>
      <c r="B8" s="2212" t="s">
        <v>427</v>
      </c>
      <c r="C8" s="2210">
        <v>38678</v>
      </c>
      <c r="D8" s="2209">
        <f t="shared" si="0"/>
        <v>37614.355000000003</v>
      </c>
      <c r="E8" s="2210"/>
      <c r="F8" s="2209">
        <f t="shared" si="3"/>
        <v>0</v>
      </c>
      <c r="G8" s="2210"/>
      <c r="H8" s="2209">
        <f t="shared" si="1"/>
        <v>0</v>
      </c>
      <c r="I8" s="2210">
        <v>80</v>
      </c>
      <c r="J8" s="2209">
        <f t="shared" si="4"/>
        <v>1505.6</v>
      </c>
      <c r="K8" s="2210">
        <v>90</v>
      </c>
      <c r="L8" s="2209">
        <f t="shared" si="5"/>
        <v>2542.5</v>
      </c>
      <c r="M8" s="2210"/>
      <c r="N8" s="2209">
        <f t="shared" si="6"/>
        <v>0</v>
      </c>
      <c r="O8" s="2210"/>
      <c r="P8" s="2209">
        <f t="shared" si="7"/>
        <v>0</v>
      </c>
      <c r="Q8" s="2209"/>
      <c r="R8" s="2209">
        <f t="shared" si="8"/>
        <v>0</v>
      </c>
      <c r="S8" s="2210"/>
      <c r="T8" s="2210">
        <f t="shared" si="9"/>
        <v>0</v>
      </c>
      <c r="U8" s="2210"/>
      <c r="V8" s="2210">
        <f t="shared" si="10"/>
        <v>0</v>
      </c>
      <c r="W8" s="2210"/>
      <c r="X8" s="19">
        <f t="shared" si="11"/>
        <v>0</v>
      </c>
      <c r="Y8" s="20">
        <f t="shared" si="2"/>
        <v>41662.455000000002</v>
      </c>
    </row>
    <row r="9" spans="1:25" ht="38.25" customHeight="1" x14ac:dyDescent="0.25">
      <c r="A9" s="12">
        <v>1984225580</v>
      </c>
      <c r="B9" s="2212" t="s">
        <v>74</v>
      </c>
      <c r="C9" s="2210">
        <v>32889</v>
      </c>
      <c r="D9" s="2209">
        <f t="shared" si="0"/>
        <v>31984.552500000002</v>
      </c>
      <c r="E9" s="2210"/>
      <c r="F9" s="2209">
        <f t="shared" si="3"/>
        <v>0</v>
      </c>
      <c r="G9" s="2210"/>
      <c r="H9" s="2209">
        <f t="shared" si="1"/>
        <v>0</v>
      </c>
      <c r="I9" s="2210">
        <v>100</v>
      </c>
      <c r="J9" s="2209">
        <f t="shared" si="4"/>
        <v>1882</v>
      </c>
      <c r="K9" s="2210">
        <v>60</v>
      </c>
      <c r="L9" s="2209">
        <f t="shared" si="5"/>
        <v>1695</v>
      </c>
      <c r="M9" s="2210"/>
      <c r="N9" s="2209">
        <f t="shared" si="6"/>
        <v>0</v>
      </c>
      <c r="O9" s="2210"/>
      <c r="P9" s="2209">
        <f t="shared" si="7"/>
        <v>0</v>
      </c>
      <c r="Q9" s="2209"/>
      <c r="R9" s="2209">
        <f t="shared" si="8"/>
        <v>0</v>
      </c>
      <c r="S9" s="2210"/>
      <c r="T9" s="2210">
        <f t="shared" si="9"/>
        <v>0</v>
      </c>
      <c r="U9" s="2210"/>
      <c r="V9" s="2210">
        <f t="shared" si="10"/>
        <v>0</v>
      </c>
      <c r="W9" s="2210"/>
      <c r="X9" s="19">
        <f t="shared" si="11"/>
        <v>0</v>
      </c>
      <c r="Y9" s="20">
        <f t="shared" si="2"/>
        <v>35561.552500000005</v>
      </c>
    </row>
    <row r="10" spans="1:25" ht="35.25" customHeight="1" x14ac:dyDescent="0.25">
      <c r="A10" s="12">
        <v>1409935199</v>
      </c>
      <c r="C10" s="2210">
        <v>10283</v>
      </c>
      <c r="D10" s="2209">
        <f t="shared" si="0"/>
        <v>10000.217500000001</v>
      </c>
      <c r="E10" s="2210"/>
      <c r="F10" s="2209">
        <f t="shared" si="3"/>
        <v>0</v>
      </c>
      <c r="G10" s="2210"/>
      <c r="H10" s="2209">
        <f t="shared" si="1"/>
        <v>0</v>
      </c>
      <c r="I10" s="2210"/>
      <c r="J10" s="2209">
        <f t="shared" si="4"/>
        <v>0</v>
      </c>
      <c r="K10" s="2210"/>
      <c r="L10" s="2209">
        <f t="shared" si="5"/>
        <v>0</v>
      </c>
      <c r="M10" s="2210"/>
      <c r="N10" s="2209">
        <f t="shared" si="6"/>
        <v>0</v>
      </c>
      <c r="O10" s="2210"/>
      <c r="P10" s="2209">
        <f t="shared" si="7"/>
        <v>0</v>
      </c>
      <c r="Q10" s="2209"/>
      <c r="R10" s="2209">
        <f t="shared" si="8"/>
        <v>0</v>
      </c>
      <c r="S10" s="2210"/>
      <c r="T10" s="2210">
        <f>470*S10</f>
        <v>0</v>
      </c>
      <c r="U10" s="2210"/>
      <c r="V10" s="2210">
        <f t="shared" si="10"/>
        <v>0</v>
      </c>
      <c r="W10" s="2210"/>
      <c r="X10" s="19">
        <f t="shared" si="11"/>
        <v>0</v>
      </c>
      <c r="Y10" s="20">
        <f t="shared" si="2"/>
        <v>10000.217500000001</v>
      </c>
    </row>
    <row r="11" spans="1:25" ht="37.5" customHeight="1" x14ac:dyDescent="0.25">
      <c r="A11" s="12"/>
      <c r="B11" s="2211"/>
      <c r="C11" s="2210"/>
      <c r="D11" s="2209">
        <f t="shared" si="0"/>
        <v>0</v>
      </c>
      <c r="E11" s="2210"/>
      <c r="F11" s="2209">
        <f t="shared" si="3"/>
        <v>0</v>
      </c>
      <c r="G11" s="2210"/>
      <c r="H11" s="2209">
        <f t="shared" si="1"/>
        <v>0</v>
      </c>
      <c r="I11" s="2210"/>
      <c r="J11" s="2209">
        <f t="shared" si="4"/>
        <v>0</v>
      </c>
      <c r="K11" s="2210"/>
      <c r="L11" s="2209">
        <f t="shared" si="5"/>
        <v>0</v>
      </c>
      <c r="M11" s="2210"/>
      <c r="N11" s="2209">
        <f t="shared" si="6"/>
        <v>0</v>
      </c>
      <c r="O11" s="2210"/>
      <c r="P11" s="2209">
        <f t="shared" si="7"/>
        <v>0</v>
      </c>
      <c r="Q11" s="2209"/>
      <c r="R11" s="2209">
        <f t="shared" si="8"/>
        <v>0</v>
      </c>
      <c r="S11" s="2210"/>
      <c r="T11" s="2210">
        <f>241*S11</f>
        <v>0</v>
      </c>
      <c r="U11" s="2210"/>
      <c r="V11" s="2210">
        <f t="shared" si="10"/>
        <v>0</v>
      </c>
      <c r="W11" s="2210"/>
      <c r="X11" s="19">
        <f t="shared" si="11"/>
        <v>0</v>
      </c>
      <c r="Y11" s="20">
        <f t="shared" si="2"/>
        <v>0</v>
      </c>
    </row>
    <row r="12" spans="1:25" ht="29.25" customHeight="1" x14ac:dyDescent="0.25">
      <c r="A12" s="2235" t="s">
        <v>31</v>
      </c>
      <c r="B12" s="2235"/>
      <c r="C12" s="18">
        <f t="shared" ref="C12:X12" si="12">SUM(C6:C11)</f>
        <v>149425</v>
      </c>
      <c r="D12" s="18">
        <f t="shared" si="12"/>
        <v>145315.8125</v>
      </c>
      <c r="E12" s="18">
        <f t="shared" si="12"/>
        <v>0</v>
      </c>
      <c r="F12" s="18">
        <f t="shared" si="12"/>
        <v>0</v>
      </c>
      <c r="G12" s="18">
        <f t="shared" si="12"/>
        <v>20</v>
      </c>
      <c r="H12" s="18">
        <f t="shared" si="12"/>
        <v>565.20000000000005</v>
      </c>
      <c r="I12" s="18">
        <f t="shared" si="12"/>
        <v>400</v>
      </c>
      <c r="J12" s="18">
        <f t="shared" si="12"/>
        <v>7528</v>
      </c>
      <c r="K12" s="18">
        <f t="shared" si="12"/>
        <v>150</v>
      </c>
      <c r="L12" s="18">
        <f t="shared" si="12"/>
        <v>4237.5</v>
      </c>
      <c r="M12" s="18">
        <f t="shared" si="12"/>
        <v>0</v>
      </c>
      <c r="N12" s="23">
        <f t="shared" si="12"/>
        <v>0</v>
      </c>
      <c r="O12" s="18">
        <f t="shared" si="12"/>
        <v>0</v>
      </c>
      <c r="P12" s="23">
        <f t="shared" si="12"/>
        <v>0</v>
      </c>
      <c r="Q12" s="23">
        <f t="shared" si="12"/>
        <v>0</v>
      </c>
      <c r="R12" s="23">
        <f>SUM(R6:R11)</f>
        <v>0</v>
      </c>
      <c r="S12" s="23">
        <f>SUM(S6:S11)</f>
        <v>5</v>
      </c>
      <c r="T12" s="18">
        <f t="shared" si="12"/>
        <v>2350</v>
      </c>
      <c r="U12" s="18">
        <f t="shared" si="12"/>
        <v>2</v>
      </c>
      <c r="V12" s="18">
        <f t="shared" si="12"/>
        <v>664</v>
      </c>
      <c r="W12" s="18">
        <f t="shared" si="12"/>
        <v>0</v>
      </c>
      <c r="X12" s="18">
        <f t="shared" si="12"/>
        <v>0</v>
      </c>
      <c r="Y12" s="20">
        <f t="shared" si="2"/>
        <v>160660.51250000001</v>
      </c>
    </row>
    <row r="14" spans="1:25" ht="43.5" customHeight="1" x14ac:dyDescent="0.25">
      <c r="A14" s="30" t="s">
        <v>32</v>
      </c>
      <c r="B14" s="2236" t="s">
        <v>27</v>
      </c>
      <c r="C14" s="2236"/>
      <c r="D14" s="30" t="s">
        <v>543</v>
      </c>
      <c r="E14" s="30" t="s">
        <v>65</v>
      </c>
      <c r="F14" s="30" t="s">
        <v>34</v>
      </c>
      <c r="G14" s="30" t="s">
        <v>14</v>
      </c>
      <c r="H14" s="469" t="s">
        <v>173</v>
      </c>
      <c r="I14" s="30" t="s">
        <v>17</v>
      </c>
      <c r="J14" s="2218" t="s">
        <v>174</v>
      </c>
      <c r="K14" s="30" t="s">
        <v>36</v>
      </c>
      <c r="L14" s="2218" t="s">
        <v>403</v>
      </c>
      <c r="M14" s="2218" t="s">
        <v>549</v>
      </c>
      <c r="N14" s="30" t="s">
        <v>442</v>
      </c>
      <c r="O14" s="2218" t="s">
        <v>114</v>
      </c>
      <c r="P14" s="30" t="s">
        <v>70</v>
      </c>
      <c r="Q14" s="2300" t="s">
        <v>479</v>
      </c>
      <c r="R14" s="2301"/>
      <c r="S14" s="2218" t="s">
        <v>401</v>
      </c>
      <c r="T14" s="2235" t="s">
        <v>46</v>
      </c>
      <c r="U14" s="2212" t="s">
        <v>176</v>
      </c>
      <c r="V14" s="2260">
        <v>54938</v>
      </c>
      <c r="W14" s="2268"/>
      <c r="X14" s="2261"/>
    </row>
    <row r="15" spans="1:25" ht="22.5" customHeight="1" x14ac:dyDescent="0.25">
      <c r="A15" s="100" t="s">
        <v>38</v>
      </c>
      <c r="B15" s="2260">
        <v>346765</v>
      </c>
      <c r="C15" s="2261"/>
      <c r="D15" s="2215">
        <v>0</v>
      </c>
      <c r="E15" s="2215">
        <v>1160</v>
      </c>
      <c r="F15" s="2215">
        <v>6010</v>
      </c>
      <c r="G15" s="2215">
        <v>440</v>
      </c>
      <c r="H15" s="2215">
        <v>34</v>
      </c>
      <c r="I15" s="2215">
        <v>55</v>
      </c>
      <c r="J15" s="2215"/>
      <c r="K15" s="2215">
        <v>77</v>
      </c>
      <c r="L15" s="2215">
        <v>12</v>
      </c>
      <c r="M15" s="2215">
        <v>19</v>
      </c>
      <c r="N15" s="2215">
        <v>0</v>
      </c>
      <c r="O15" s="2215">
        <v>0</v>
      </c>
      <c r="P15" s="2215">
        <v>100</v>
      </c>
      <c r="Q15" s="2260">
        <v>0</v>
      </c>
      <c r="R15" s="2261"/>
      <c r="S15" s="2212"/>
      <c r="T15" s="2235"/>
      <c r="U15" s="2212" t="s">
        <v>64</v>
      </c>
      <c r="V15" s="2262">
        <v>46714</v>
      </c>
      <c r="W15" s="2262"/>
      <c r="X15" s="2262"/>
    </row>
    <row r="16" spans="1:25" ht="24.75" customHeight="1" x14ac:dyDescent="0.25">
      <c r="A16" s="100" t="s">
        <v>39</v>
      </c>
      <c r="B16" s="2260">
        <v>124675</v>
      </c>
      <c r="C16" s="2261"/>
      <c r="D16" s="2215"/>
      <c r="E16" s="2215"/>
      <c r="F16" s="2215"/>
      <c r="G16" s="2215"/>
      <c r="H16" s="2215"/>
      <c r="I16" s="2215"/>
      <c r="J16" s="2215"/>
      <c r="K16" s="2215"/>
      <c r="L16" s="2215"/>
      <c r="M16" s="2215"/>
      <c r="N16" s="2215"/>
      <c r="O16" s="2215"/>
      <c r="P16" s="2215"/>
      <c r="Q16" s="2262"/>
      <c r="R16" s="2262"/>
      <c r="S16" s="2215"/>
      <c r="T16" s="2254" t="s">
        <v>55</v>
      </c>
      <c r="U16" s="2254"/>
      <c r="V16" s="2267">
        <f>Y12</f>
        <v>160660.51250000001</v>
      </c>
      <c r="W16" s="2267"/>
      <c r="X16" s="2262"/>
    </row>
    <row r="17" spans="1:25" ht="28.5" customHeight="1" x14ac:dyDescent="0.25">
      <c r="A17" s="101" t="s">
        <v>44</v>
      </c>
      <c r="B17" s="2260"/>
      <c r="C17" s="2261"/>
      <c r="D17" s="2215"/>
      <c r="E17" s="2215"/>
      <c r="F17" s="2215"/>
      <c r="G17" s="2215"/>
      <c r="H17" s="2215"/>
      <c r="I17" s="2215"/>
      <c r="J17" s="2215"/>
      <c r="K17" s="2215"/>
      <c r="L17" s="2215"/>
      <c r="M17" s="2215"/>
      <c r="N17" s="2215"/>
      <c r="O17" s="2215"/>
      <c r="P17" s="2215"/>
      <c r="Q17" s="2225"/>
      <c r="R17" s="2225"/>
      <c r="S17" s="2211"/>
      <c r="T17" s="2294" t="s">
        <v>521</v>
      </c>
      <c r="U17" s="2295"/>
      <c r="V17" s="2296"/>
      <c r="W17" s="2296"/>
      <c r="X17" s="2296"/>
    </row>
    <row r="18" spans="1:25" ht="27" customHeight="1" x14ac:dyDescent="0.25">
      <c r="A18" s="100" t="s">
        <v>40</v>
      </c>
      <c r="B18" s="2264">
        <f>C12</f>
        <v>149425</v>
      </c>
      <c r="C18" s="2261"/>
      <c r="D18" s="2217">
        <f>E12</f>
        <v>0</v>
      </c>
      <c r="E18" s="2217">
        <f>G12</f>
        <v>20</v>
      </c>
      <c r="F18" s="2217">
        <f>I12</f>
        <v>400</v>
      </c>
      <c r="G18" s="2217">
        <f>K12</f>
        <v>150</v>
      </c>
      <c r="H18" s="2215"/>
      <c r="I18" s="2217">
        <f>U12</f>
        <v>2</v>
      </c>
      <c r="J18" s="2215"/>
      <c r="K18" s="2217">
        <f>W12</f>
        <v>0</v>
      </c>
      <c r="L18" s="2215"/>
      <c r="M18" s="2217">
        <v>5</v>
      </c>
      <c r="N18" s="2217">
        <f>O12</f>
        <v>0</v>
      </c>
      <c r="O18" s="2216">
        <f>Q12</f>
        <v>0</v>
      </c>
      <c r="P18" s="2217"/>
      <c r="Q18" s="2262"/>
      <c r="R18" s="2262"/>
      <c r="S18" s="2212"/>
      <c r="T18" s="2254" t="s">
        <v>57</v>
      </c>
      <c r="U18" s="2254"/>
      <c r="V18" s="2262">
        <v>12790</v>
      </c>
      <c r="W18" s="2262"/>
      <c r="X18" s="2262"/>
      <c r="Y18" s="2269"/>
    </row>
    <row r="19" spans="1:25" ht="25.5" customHeight="1" x14ac:dyDescent="0.25">
      <c r="A19" s="100" t="s">
        <v>41</v>
      </c>
      <c r="B19" s="2260">
        <f>B15+B16+B17-B18</f>
        <v>322015</v>
      </c>
      <c r="C19" s="2261"/>
      <c r="D19" s="2215">
        <f>D15+D16+D17-D18</f>
        <v>0</v>
      </c>
      <c r="E19" s="2215">
        <f t="shared" ref="E19:N19" si="13">E15+E16+E17-E18</f>
        <v>1140</v>
      </c>
      <c r="F19" s="2215">
        <f t="shared" si="13"/>
        <v>5610</v>
      </c>
      <c r="G19" s="2215">
        <f t="shared" si="13"/>
        <v>290</v>
      </c>
      <c r="H19" s="2215">
        <f t="shared" si="13"/>
        <v>34</v>
      </c>
      <c r="I19" s="2215">
        <f t="shared" si="13"/>
        <v>53</v>
      </c>
      <c r="J19" s="2215">
        <f t="shared" si="13"/>
        <v>0</v>
      </c>
      <c r="K19" s="2215">
        <f t="shared" si="13"/>
        <v>77</v>
      </c>
      <c r="L19" s="2215">
        <f t="shared" si="13"/>
        <v>12</v>
      </c>
      <c r="M19" s="2217">
        <f>M15+M16+M17-M18</f>
        <v>14</v>
      </c>
      <c r="N19" s="2215">
        <f t="shared" si="13"/>
        <v>0</v>
      </c>
      <c r="O19" s="2215">
        <f>O15+O16+O17-O18</f>
        <v>0</v>
      </c>
      <c r="P19" s="2215">
        <f t="shared" ref="P19:Q19" si="14">P15+P16+P17-P18</f>
        <v>100</v>
      </c>
      <c r="Q19" s="2260">
        <f t="shared" si="14"/>
        <v>0</v>
      </c>
      <c r="R19" s="2261"/>
      <c r="S19" s="2212">
        <f>S15+S16-S17-S18</f>
        <v>0</v>
      </c>
      <c r="T19" s="2256" t="s">
        <v>48</v>
      </c>
      <c r="U19" s="49" t="s">
        <v>58</v>
      </c>
      <c r="V19" s="2262">
        <v>144000</v>
      </c>
      <c r="W19" s="2262"/>
      <c r="X19" s="2262"/>
      <c r="Y19" s="2269"/>
    </row>
    <row r="20" spans="1:25" ht="23.25" customHeight="1" x14ac:dyDescent="0.25">
      <c r="A20" s="289" t="s">
        <v>187</v>
      </c>
      <c r="B20" s="2286">
        <f>B19*0.9625</f>
        <v>309939.4375</v>
      </c>
      <c r="C20" s="2287"/>
      <c r="D20" s="290">
        <f>D19*19.48</f>
        <v>0</v>
      </c>
      <c r="E20" s="290">
        <f>27.97*E19</f>
        <v>31885.8</v>
      </c>
      <c r="F20" s="290">
        <f>18.63*F19</f>
        <v>104514.29999999999</v>
      </c>
      <c r="G20" s="290">
        <f>27.9468*G19</f>
        <v>8104.5720000000001</v>
      </c>
      <c r="H20" s="290">
        <f>241*H19</f>
        <v>8194</v>
      </c>
      <c r="I20" s="290">
        <f>323*I19</f>
        <v>17119</v>
      </c>
      <c r="J20" s="290">
        <f>241*J19</f>
        <v>0</v>
      </c>
      <c r="K20" s="290">
        <f>K19*100</f>
        <v>7700</v>
      </c>
      <c r="L20" s="290">
        <f>470*L19</f>
        <v>5640</v>
      </c>
      <c r="M20" s="290">
        <f>470*M19</f>
        <v>6580</v>
      </c>
      <c r="N20" s="290">
        <f>N19*8.81</f>
        <v>0</v>
      </c>
      <c r="O20" s="290">
        <f>241*O19</f>
        <v>0</v>
      </c>
      <c r="P20" s="290">
        <f>P19*48.2</f>
        <v>4820</v>
      </c>
      <c r="Q20" s="2286">
        <f>470*Q19</f>
        <v>0</v>
      </c>
      <c r="R20" s="2287"/>
      <c r="S20" s="290">
        <f>341*S19</f>
        <v>0</v>
      </c>
      <c r="T20" s="2257"/>
      <c r="U20" s="49" t="s">
        <v>59</v>
      </c>
      <c r="V20" s="2262"/>
      <c r="W20" s="2262"/>
      <c r="X20" s="2262"/>
      <c r="Y20" s="2269"/>
    </row>
    <row r="21" spans="1:25" ht="32.25" customHeight="1" x14ac:dyDescent="0.25">
      <c r="A21" s="291" t="s">
        <v>186</v>
      </c>
      <c r="B21" s="2302">
        <f>SUM(B20:S20)</f>
        <v>504497.10949999996</v>
      </c>
      <c r="C21" s="2302"/>
      <c r="T21" s="2294" t="s">
        <v>464</v>
      </c>
      <c r="U21" s="2295"/>
      <c r="V21" s="2297"/>
      <c r="W21" s="2298"/>
      <c r="X21" s="2299"/>
      <c r="Y21" s="2269"/>
    </row>
    <row r="22" spans="1:25" ht="35.25" customHeight="1" x14ac:dyDescent="0.25">
      <c r="A22" s="1911"/>
      <c r="B22" s="2288" t="s">
        <v>49</v>
      </c>
      <c r="C22" s="2291">
        <v>144000</v>
      </c>
      <c r="D22" s="2291">
        <v>144000</v>
      </c>
      <c r="E22" s="2291">
        <v>120000</v>
      </c>
      <c r="F22" s="2291">
        <f>C22-D22+E22</f>
        <v>120000</v>
      </c>
      <c r="J22" s="14" t="s">
        <v>139</v>
      </c>
      <c r="T22" s="2251" t="s">
        <v>83</v>
      </c>
      <c r="U22" s="50" t="s">
        <v>60</v>
      </c>
      <c r="V22" s="2262">
        <v>152720</v>
      </c>
      <c r="W22" s="2262"/>
      <c r="X22" s="2262"/>
      <c r="Y22" s="2269"/>
    </row>
    <row r="23" spans="1:25" ht="39.75" customHeight="1" x14ac:dyDescent="0.25">
      <c r="B23" s="2289"/>
      <c r="C23" s="2292"/>
      <c r="D23" s="2292"/>
      <c r="E23" s="2292"/>
      <c r="F23" s="2292"/>
      <c r="T23" s="2252"/>
      <c r="U23" s="50" t="s">
        <v>61</v>
      </c>
      <c r="V23" s="2262">
        <v>144000</v>
      </c>
      <c r="W23" s="2262"/>
      <c r="X23" s="2262"/>
      <c r="Y23" s="2269"/>
    </row>
    <row r="24" spans="1:25" ht="48" customHeight="1" x14ac:dyDescent="0.25">
      <c r="B24" s="2290"/>
      <c r="C24" s="290" t="s">
        <v>46</v>
      </c>
      <c r="D24" s="290" t="s">
        <v>50</v>
      </c>
      <c r="E24" s="290" t="s">
        <v>51</v>
      </c>
      <c r="F24" s="290" t="s">
        <v>52</v>
      </c>
      <c r="T24" s="2235" t="s">
        <v>47</v>
      </c>
      <c r="U24" s="51" t="s">
        <v>62</v>
      </c>
      <c r="V24" s="2263">
        <f>V14+V16+V17-V18-V19-V20-V22+V23-V21</f>
        <v>50088.512500000012</v>
      </c>
      <c r="W24" s="2263"/>
      <c r="X24" s="2263"/>
      <c r="Y24" s="2269"/>
    </row>
    <row r="25" spans="1:25" ht="40.5" customHeight="1" x14ac:dyDescent="0.25">
      <c r="T25" s="2235"/>
      <c r="U25" s="51" t="s">
        <v>63</v>
      </c>
      <c r="V25" s="2262">
        <f>V15+V22-V23</f>
        <v>55434</v>
      </c>
      <c r="W25" s="2262"/>
      <c r="X25" s="2262"/>
    </row>
    <row r="26" spans="1:25" ht="36" customHeight="1" x14ac:dyDescent="0.25">
      <c r="K26" s="314"/>
    </row>
    <row r="28" spans="1:25" x14ac:dyDescent="0.25">
      <c r="J28" s="14" t="s">
        <v>139</v>
      </c>
    </row>
    <row r="32" spans="1:25" x14ac:dyDescent="0.25">
      <c r="I32" s="2280"/>
      <c r="J32" s="2280"/>
      <c r="K32" s="2280"/>
      <c r="L32" s="2280"/>
    </row>
    <row r="33" spans="9:12" x14ac:dyDescent="0.25">
      <c r="I33" s="2219"/>
      <c r="J33" s="2219"/>
      <c r="K33" s="2280"/>
      <c r="L33" s="2280"/>
    </row>
  </sheetData>
  <mergeCells count="62">
    <mergeCell ref="A1:Y1"/>
    <mergeCell ref="A2:Y2"/>
    <mergeCell ref="T3:Y3"/>
    <mergeCell ref="A4:A5"/>
    <mergeCell ref="B4:B5"/>
    <mergeCell ref="C4:D4"/>
    <mergeCell ref="E4:F4"/>
    <mergeCell ref="G4:H4"/>
    <mergeCell ref="I4:J4"/>
    <mergeCell ref="K4:L4"/>
    <mergeCell ref="Y4:Y5"/>
    <mergeCell ref="A12:B12"/>
    <mergeCell ref="B14:C14"/>
    <mergeCell ref="Q14:R14"/>
    <mergeCell ref="T14:T15"/>
    <mergeCell ref="V14:X14"/>
    <mergeCell ref="B15:C15"/>
    <mergeCell ref="Q15:R15"/>
    <mergeCell ref="V15:X15"/>
    <mergeCell ref="M4:N4"/>
    <mergeCell ref="O4:P4"/>
    <mergeCell ref="Q4:R4"/>
    <mergeCell ref="S4:T4"/>
    <mergeCell ref="U4:V4"/>
    <mergeCell ref="W4:X4"/>
    <mergeCell ref="B16:C16"/>
    <mergeCell ref="Q16:R16"/>
    <mergeCell ref="T16:U16"/>
    <mergeCell ref="V16:X16"/>
    <mergeCell ref="B17:C17"/>
    <mergeCell ref="Q17:R17"/>
    <mergeCell ref="T17:U17"/>
    <mergeCell ref="V17:X17"/>
    <mergeCell ref="B18:C18"/>
    <mergeCell ref="Q18:R18"/>
    <mergeCell ref="T18:U18"/>
    <mergeCell ref="V18:X18"/>
    <mergeCell ref="Y18:Y24"/>
    <mergeCell ref="B19:C19"/>
    <mergeCell ref="Q19:R19"/>
    <mergeCell ref="T19:T20"/>
    <mergeCell ref="V19:X19"/>
    <mergeCell ref="B20:C20"/>
    <mergeCell ref="B22:B24"/>
    <mergeCell ref="C22:C23"/>
    <mergeCell ref="D22:D23"/>
    <mergeCell ref="E22:E23"/>
    <mergeCell ref="F22:F23"/>
    <mergeCell ref="Q20:R20"/>
    <mergeCell ref="V20:X20"/>
    <mergeCell ref="B21:C21"/>
    <mergeCell ref="T21:U21"/>
    <mergeCell ref="V21:X21"/>
    <mergeCell ref="I32:J32"/>
    <mergeCell ref="K32:L32"/>
    <mergeCell ref="K33:L33"/>
    <mergeCell ref="T22:T23"/>
    <mergeCell ref="V22:X22"/>
    <mergeCell ref="V23:X23"/>
    <mergeCell ref="T24:T25"/>
    <mergeCell ref="V24:X24"/>
    <mergeCell ref="V25:X25"/>
  </mergeCells>
  <pageMargins left="0.15748031496063" right="0.15748031496063" top="0" bottom="0" header="0" footer="0"/>
  <pageSetup paperSize="9" scale="46" orientation="landscape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345</vt:i4>
      </vt:variant>
    </vt:vector>
  </HeadingPairs>
  <TitlesOfParts>
    <vt:vector size="345" baseType="lpstr">
      <vt:lpstr>Sheet1</vt:lpstr>
      <vt:lpstr>24.12.23 </vt:lpstr>
      <vt:lpstr>25.12.23  (2)</vt:lpstr>
      <vt:lpstr>26.12.23  (3)</vt:lpstr>
      <vt:lpstr>27.12.23  (4)</vt:lpstr>
      <vt:lpstr>28.12.23  (5)</vt:lpstr>
      <vt:lpstr>30.12.23  (6)</vt:lpstr>
      <vt:lpstr>31.12.23  (7)</vt:lpstr>
      <vt:lpstr>01.01.24  (8)</vt:lpstr>
      <vt:lpstr>02.01.24  (9)</vt:lpstr>
      <vt:lpstr>03.01.24  (10)</vt:lpstr>
      <vt:lpstr>04.01.24  (11)</vt:lpstr>
      <vt:lpstr>05.01.24  (12)</vt:lpstr>
      <vt:lpstr>08.01.24  (13)</vt:lpstr>
      <vt:lpstr>09.01.24  (14)</vt:lpstr>
      <vt:lpstr>10.01.24  (15)</vt:lpstr>
      <vt:lpstr>11.01.24  (16)</vt:lpstr>
      <vt:lpstr>13.01.24  (17)</vt:lpstr>
      <vt:lpstr>14.01.24  (18)</vt:lpstr>
      <vt:lpstr>15.01.24  (19)</vt:lpstr>
      <vt:lpstr>16.01.24  (20)</vt:lpstr>
      <vt:lpstr>17.01.24  (21)</vt:lpstr>
      <vt:lpstr>18.01.24  (22)</vt:lpstr>
      <vt:lpstr>20.01.24  (23)</vt:lpstr>
      <vt:lpstr>21.01.24  (24)</vt:lpstr>
      <vt:lpstr>22.01.24  (25)</vt:lpstr>
      <vt:lpstr>23.01.24  (26)</vt:lpstr>
      <vt:lpstr>24.01.24  (27)</vt:lpstr>
      <vt:lpstr>25.01.24  (28)</vt:lpstr>
      <vt:lpstr>27.01.24  (29)</vt:lpstr>
      <vt:lpstr>28.01.24  (30)</vt:lpstr>
      <vt:lpstr>29.01.24  (31)</vt:lpstr>
      <vt:lpstr>30.01.24  (32)</vt:lpstr>
      <vt:lpstr>31.01.24  (33)</vt:lpstr>
      <vt:lpstr>01.02.24  (34)</vt:lpstr>
      <vt:lpstr>03.02.24  (35)</vt:lpstr>
      <vt:lpstr>04.02.24  (36)</vt:lpstr>
      <vt:lpstr>05.02.24  (37)</vt:lpstr>
      <vt:lpstr>06.02.24  (38)</vt:lpstr>
      <vt:lpstr>07.02.24  (39)</vt:lpstr>
      <vt:lpstr>08.02.24  (40)</vt:lpstr>
      <vt:lpstr>10.02.24  (41)</vt:lpstr>
      <vt:lpstr>11.02.24  (42)</vt:lpstr>
      <vt:lpstr>12.02.24  (43)</vt:lpstr>
      <vt:lpstr>13.02.24  (44)</vt:lpstr>
      <vt:lpstr>14.02.24  (45)</vt:lpstr>
      <vt:lpstr>15.02.24  (46)</vt:lpstr>
      <vt:lpstr>17.02.24  (47)</vt:lpstr>
      <vt:lpstr>18.02.24  (48)</vt:lpstr>
      <vt:lpstr>19.02.24  (49)</vt:lpstr>
      <vt:lpstr>20.02.24  (50)</vt:lpstr>
      <vt:lpstr>21.02.24  (51)</vt:lpstr>
      <vt:lpstr>22.02.24  (52)</vt:lpstr>
      <vt:lpstr>24.02.24  (53)</vt:lpstr>
      <vt:lpstr>25.02.24  (54)</vt:lpstr>
      <vt:lpstr>26.02.24  (55)</vt:lpstr>
      <vt:lpstr>27.02.24  (56)</vt:lpstr>
      <vt:lpstr>28.02.24  (57)</vt:lpstr>
      <vt:lpstr>29.02.24  (58)</vt:lpstr>
      <vt:lpstr>02.03.24  (59)</vt:lpstr>
      <vt:lpstr>03.03.24  (60)</vt:lpstr>
      <vt:lpstr>04.03.24  (61)</vt:lpstr>
      <vt:lpstr>05.03.24  (62)</vt:lpstr>
      <vt:lpstr>06.03.24  (63)</vt:lpstr>
      <vt:lpstr>07.03.24  (64)</vt:lpstr>
      <vt:lpstr>09.03.24  (65)</vt:lpstr>
      <vt:lpstr>10.03.24  (66)</vt:lpstr>
      <vt:lpstr>11.03.24  (67)</vt:lpstr>
      <vt:lpstr>12.03.24  (68)</vt:lpstr>
      <vt:lpstr>13.03.24  (69)</vt:lpstr>
      <vt:lpstr>14.03.24  (70)</vt:lpstr>
      <vt:lpstr>16.03.24  (71)</vt:lpstr>
      <vt:lpstr>17.03.24  (72)</vt:lpstr>
      <vt:lpstr>18.03.24  (73)</vt:lpstr>
      <vt:lpstr>19.03.24  (74)</vt:lpstr>
      <vt:lpstr>20.03.24  (75)</vt:lpstr>
      <vt:lpstr>21.03.24  (76)</vt:lpstr>
      <vt:lpstr>23.03.24  (77)</vt:lpstr>
      <vt:lpstr>24.03.24  (78)</vt:lpstr>
      <vt:lpstr>25.03.24  (79)</vt:lpstr>
      <vt:lpstr>26.03.24  (80)</vt:lpstr>
      <vt:lpstr>27.03.24  (81)</vt:lpstr>
      <vt:lpstr>28.03.24  (82)</vt:lpstr>
      <vt:lpstr>30.03.24  (83)</vt:lpstr>
      <vt:lpstr>31.03.24  (84)</vt:lpstr>
      <vt:lpstr>01.04.24  (85)</vt:lpstr>
      <vt:lpstr>02.04.24  (86)</vt:lpstr>
      <vt:lpstr>03.04.24  (87)</vt:lpstr>
      <vt:lpstr>04.04.24  (88)</vt:lpstr>
      <vt:lpstr>06.04.24  (89)</vt:lpstr>
      <vt:lpstr>07.04.24  (90)</vt:lpstr>
      <vt:lpstr>08.04.24  (91)</vt:lpstr>
      <vt:lpstr>09.04.24  (92)</vt:lpstr>
      <vt:lpstr>15.04.24  (93)</vt:lpstr>
      <vt:lpstr>16.04.24  (94)</vt:lpstr>
      <vt:lpstr>17.04.24  (95)</vt:lpstr>
      <vt:lpstr>18.04.24  (96)</vt:lpstr>
      <vt:lpstr>20.04.24  (97)</vt:lpstr>
      <vt:lpstr>21.04.24  (98)</vt:lpstr>
      <vt:lpstr>22.04.24  (99)</vt:lpstr>
      <vt:lpstr>23.04.24  (100)</vt:lpstr>
      <vt:lpstr>24.04.24  (101)</vt:lpstr>
      <vt:lpstr>25.04.24  (102)</vt:lpstr>
      <vt:lpstr>27.04.24  (103)</vt:lpstr>
      <vt:lpstr>28.04.24  (104)</vt:lpstr>
      <vt:lpstr>29.04.24  (105)</vt:lpstr>
      <vt:lpstr>30.04.24  (106)</vt:lpstr>
      <vt:lpstr>02.05.24  (107)</vt:lpstr>
      <vt:lpstr>04.05.24  (108)</vt:lpstr>
      <vt:lpstr>05.05.24  (109)</vt:lpstr>
      <vt:lpstr>06.05.24  (110)</vt:lpstr>
      <vt:lpstr>07.05.24  (111)</vt:lpstr>
      <vt:lpstr>09.05.24  (112)</vt:lpstr>
      <vt:lpstr>11.05.24  (113)</vt:lpstr>
      <vt:lpstr>12.05.24  (114)</vt:lpstr>
      <vt:lpstr>13.05.24  (115)</vt:lpstr>
      <vt:lpstr>14.05.24  (116)</vt:lpstr>
      <vt:lpstr>15.05.24  (117)</vt:lpstr>
      <vt:lpstr>16.05.24  (118)</vt:lpstr>
      <vt:lpstr>18.05.24  (119)</vt:lpstr>
      <vt:lpstr>19.05.24  (120)</vt:lpstr>
      <vt:lpstr>20.05.24  (121)</vt:lpstr>
      <vt:lpstr>21.05.24  (122)</vt:lpstr>
      <vt:lpstr>22.05.24  (123)</vt:lpstr>
      <vt:lpstr>23.05.24  (124)</vt:lpstr>
      <vt:lpstr>25.05.24  (125)</vt:lpstr>
      <vt:lpstr>26.05.24  (126)</vt:lpstr>
      <vt:lpstr>28.05.24  (127)</vt:lpstr>
      <vt:lpstr>29.05.24  (128)</vt:lpstr>
      <vt:lpstr>30.05.24  (129)</vt:lpstr>
      <vt:lpstr>01.06.24  (130)</vt:lpstr>
      <vt:lpstr>02.06.24  (131)</vt:lpstr>
      <vt:lpstr>03.06.24  (132)</vt:lpstr>
      <vt:lpstr>04.06.24  (133)</vt:lpstr>
      <vt:lpstr>05.06.24  (134)</vt:lpstr>
      <vt:lpstr>06.06.24  (135)</vt:lpstr>
      <vt:lpstr>08.06.24  (136)</vt:lpstr>
      <vt:lpstr>09.06.24  (137)</vt:lpstr>
      <vt:lpstr>10.06.24  (138)</vt:lpstr>
      <vt:lpstr>11.06.24  (139)</vt:lpstr>
      <vt:lpstr>12.06.24  (140)</vt:lpstr>
      <vt:lpstr>13.06.24  (141)</vt:lpstr>
      <vt:lpstr>15.06.24  (142)</vt:lpstr>
      <vt:lpstr>16.06.24  (143)</vt:lpstr>
      <vt:lpstr>22.06.24  (144)</vt:lpstr>
      <vt:lpstr>23.06.24  (145)</vt:lpstr>
      <vt:lpstr>24.06.24  (146)</vt:lpstr>
      <vt:lpstr>25.06.24  (147)</vt:lpstr>
      <vt:lpstr>26.06.24  (148)</vt:lpstr>
      <vt:lpstr>27.06.24  (149)</vt:lpstr>
      <vt:lpstr>29.06.24  (150)</vt:lpstr>
      <vt:lpstr>30.06.24  (151)</vt:lpstr>
      <vt:lpstr>01.07.24  (152)</vt:lpstr>
      <vt:lpstr>02.07.24  (153)</vt:lpstr>
      <vt:lpstr>03.07.24  (154)</vt:lpstr>
      <vt:lpstr>04.07.24  (155)</vt:lpstr>
      <vt:lpstr>06.07.24  (156)</vt:lpstr>
      <vt:lpstr>07.07.24  (157)</vt:lpstr>
      <vt:lpstr>08.07.24  (158)</vt:lpstr>
      <vt:lpstr>09.07.24  (159)</vt:lpstr>
      <vt:lpstr>10.07.24  (160)</vt:lpstr>
      <vt:lpstr>11.07.24  (161)</vt:lpstr>
      <vt:lpstr>13.07.24  (162)</vt:lpstr>
      <vt:lpstr>14.07.24  (163)</vt:lpstr>
      <vt:lpstr>15.07.24  (164)</vt:lpstr>
      <vt:lpstr>16.07.24  (165)</vt:lpstr>
      <vt:lpstr>17.07.24  (166)</vt:lpstr>
      <vt:lpstr>18.07.24  (167)</vt:lpstr>
      <vt:lpstr>22.07.24  (168)</vt:lpstr>
      <vt:lpstr>23.07.24  (169)</vt:lpstr>
      <vt:lpstr>24.07.24  (170)</vt:lpstr>
      <vt:lpstr>25.07.24  (171)</vt:lpstr>
      <vt:lpstr>27.07.24  (172)</vt:lpstr>
      <vt:lpstr>28.07.24  (173)</vt:lpstr>
      <vt:lpstr>29.07.24  (174)</vt:lpstr>
      <vt:lpstr>30.07.24  (175)</vt:lpstr>
      <vt:lpstr>31.07.24  (176)</vt:lpstr>
      <vt:lpstr>03.08.24  (177)</vt:lpstr>
      <vt:lpstr>04.08.24  (178)</vt:lpstr>
      <vt:lpstr>07.08.24  (179)</vt:lpstr>
      <vt:lpstr>08.08.24  (180)</vt:lpstr>
      <vt:lpstr>10.08.24  (181)</vt:lpstr>
      <vt:lpstr>11.08.24  (182)</vt:lpstr>
      <vt:lpstr>12.08.24  (183)</vt:lpstr>
      <vt:lpstr>13.08.24  (184)</vt:lpstr>
      <vt:lpstr>14.08.24  (185)</vt:lpstr>
      <vt:lpstr>17.08.24  (186)</vt:lpstr>
      <vt:lpstr>18.08.24  (187)</vt:lpstr>
      <vt:lpstr>19.08.24  (188)</vt:lpstr>
      <vt:lpstr>20.08.24  (189)</vt:lpstr>
      <vt:lpstr>21.08.24  (190)</vt:lpstr>
      <vt:lpstr>22.08.24  (191)</vt:lpstr>
      <vt:lpstr>24.08.24  (192)</vt:lpstr>
      <vt:lpstr>25.08.24  (193)</vt:lpstr>
      <vt:lpstr>26.08.24  (194)</vt:lpstr>
      <vt:lpstr>27.08.24  (195)</vt:lpstr>
      <vt:lpstr>28.08.24  (196)</vt:lpstr>
      <vt:lpstr>29.08.24  (197)</vt:lpstr>
      <vt:lpstr>31.08.24  (198)</vt:lpstr>
      <vt:lpstr>01.09.24  (199)</vt:lpstr>
      <vt:lpstr>02.09.24  (200)</vt:lpstr>
      <vt:lpstr>03.09.24  (201)</vt:lpstr>
      <vt:lpstr>04.09.24  (202)</vt:lpstr>
      <vt:lpstr>05.09.24  (203)</vt:lpstr>
      <vt:lpstr>07.09.24  (204)</vt:lpstr>
      <vt:lpstr>08.09.24  (205)</vt:lpstr>
      <vt:lpstr>09.09.24  (206)</vt:lpstr>
      <vt:lpstr>10.09.24  (207)</vt:lpstr>
      <vt:lpstr>11.09.24  (208)</vt:lpstr>
      <vt:lpstr>12.09.24  (209)</vt:lpstr>
      <vt:lpstr>14.09.24  (210)</vt:lpstr>
      <vt:lpstr>16.09.24  (211)</vt:lpstr>
      <vt:lpstr>17.09.24  (212)</vt:lpstr>
      <vt:lpstr>18.09.24  (213)</vt:lpstr>
      <vt:lpstr>19.09.24  (214)</vt:lpstr>
      <vt:lpstr>21.09.24  (215)</vt:lpstr>
      <vt:lpstr>22.09.24  (216)</vt:lpstr>
      <vt:lpstr>23.09.24  (217)</vt:lpstr>
      <vt:lpstr>24.09.24  (218)</vt:lpstr>
      <vt:lpstr>25.09.24  (219)</vt:lpstr>
      <vt:lpstr>26.09.24  (220)</vt:lpstr>
      <vt:lpstr>28.09.24  (221)</vt:lpstr>
      <vt:lpstr>29.09.24  (222)</vt:lpstr>
      <vt:lpstr>30.09.24  (223)</vt:lpstr>
      <vt:lpstr>01.10.24  (224)</vt:lpstr>
      <vt:lpstr>02.10.24  (225)</vt:lpstr>
      <vt:lpstr>03.10.24  (226)</vt:lpstr>
      <vt:lpstr>05.10.24  (227)</vt:lpstr>
      <vt:lpstr>06.10.24  (228)</vt:lpstr>
      <vt:lpstr>07.10.24  (229)</vt:lpstr>
      <vt:lpstr>08.10.24  (230)</vt:lpstr>
      <vt:lpstr>09.10.24  (231)</vt:lpstr>
      <vt:lpstr>10.10.24  (232)</vt:lpstr>
      <vt:lpstr>12.10.24  (233)</vt:lpstr>
      <vt:lpstr>14.10.24  (234)</vt:lpstr>
      <vt:lpstr>15.10.24  (235)</vt:lpstr>
      <vt:lpstr>16.10.24  (236)</vt:lpstr>
      <vt:lpstr>17.10.24  (237)</vt:lpstr>
      <vt:lpstr>19.10.24  (238)</vt:lpstr>
      <vt:lpstr>20.10.24  (239)</vt:lpstr>
      <vt:lpstr>21.10.24  (240)</vt:lpstr>
      <vt:lpstr>22.10.24  (241)</vt:lpstr>
      <vt:lpstr>23.10.24  (242)</vt:lpstr>
      <vt:lpstr>24.10.24  (243)</vt:lpstr>
      <vt:lpstr>26.10.24  (244)</vt:lpstr>
      <vt:lpstr>27.10.24  (245)</vt:lpstr>
      <vt:lpstr>28.10.24  (246)</vt:lpstr>
      <vt:lpstr>29.10.24  (247)</vt:lpstr>
      <vt:lpstr>30.10.24  (248)</vt:lpstr>
      <vt:lpstr>31.10.24  (249)</vt:lpstr>
      <vt:lpstr>02.11.24  (250)</vt:lpstr>
      <vt:lpstr>03.11.24  (251)</vt:lpstr>
      <vt:lpstr>04.11.24  (252)</vt:lpstr>
      <vt:lpstr>05.11.24  (253)</vt:lpstr>
      <vt:lpstr>06.11.24  (254)</vt:lpstr>
      <vt:lpstr>07.11.24  (255)</vt:lpstr>
      <vt:lpstr>09.11.24  (256)</vt:lpstr>
      <vt:lpstr>10.11.24  (257)</vt:lpstr>
      <vt:lpstr>11.11.24  (258)</vt:lpstr>
      <vt:lpstr>12.11.24  (259)</vt:lpstr>
      <vt:lpstr>13.11.24  (260)</vt:lpstr>
      <vt:lpstr>14.11.24  (261)</vt:lpstr>
      <vt:lpstr>16.11.24  (262)</vt:lpstr>
      <vt:lpstr>17.11.24  (263)</vt:lpstr>
      <vt:lpstr>18.11.24  (264)</vt:lpstr>
      <vt:lpstr>19.11.24  (265)</vt:lpstr>
      <vt:lpstr>20.11.24  (266)</vt:lpstr>
      <vt:lpstr>21.11.24  (267)</vt:lpstr>
      <vt:lpstr>23.11.24  (268)</vt:lpstr>
      <vt:lpstr>24.11.24  (269)</vt:lpstr>
      <vt:lpstr>25.11.24  (270)</vt:lpstr>
      <vt:lpstr>26.11.24  (271)</vt:lpstr>
      <vt:lpstr>27.11.24  (272)</vt:lpstr>
      <vt:lpstr>28.11.24  (273)</vt:lpstr>
      <vt:lpstr>30.11.24  (274)</vt:lpstr>
      <vt:lpstr>01.12.24  (275)</vt:lpstr>
      <vt:lpstr>02.12.24  (276)</vt:lpstr>
      <vt:lpstr>03.12.24  (277)</vt:lpstr>
      <vt:lpstr>04.12.24  (278)</vt:lpstr>
      <vt:lpstr>05.12.24  (279)</vt:lpstr>
      <vt:lpstr>07.12.24  (280)</vt:lpstr>
      <vt:lpstr>08.12.24  (281)</vt:lpstr>
      <vt:lpstr>09.12.24  (282)</vt:lpstr>
      <vt:lpstr>10.12.24  (283)</vt:lpstr>
      <vt:lpstr>11.12.24  (284)</vt:lpstr>
      <vt:lpstr>12.12.24  (285)</vt:lpstr>
      <vt:lpstr>14.12.24  (286)</vt:lpstr>
      <vt:lpstr>15.12.24  (287)</vt:lpstr>
      <vt:lpstr>16.12.24  (288)</vt:lpstr>
      <vt:lpstr>17.12.24  (289)</vt:lpstr>
      <vt:lpstr>18.12.24  (290)</vt:lpstr>
      <vt:lpstr>19.12.24  (291)</vt:lpstr>
      <vt:lpstr>21.12.24  (292)</vt:lpstr>
      <vt:lpstr>22.12.24  (293)</vt:lpstr>
      <vt:lpstr>23.12.24  (294)</vt:lpstr>
      <vt:lpstr>24.12.24  (295)</vt:lpstr>
      <vt:lpstr>25.12.24  (296)</vt:lpstr>
      <vt:lpstr>26.12.24  (297)</vt:lpstr>
      <vt:lpstr>28.12.24  (298)</vt:lpstr>
      <vt:lpstr>29.12.24  (299)</vt:lpstr>
      <vt:lpstr>30.12.24  (300)</vt:lpstr>
      <vt:lpstr>31.12.24  (301)</vt:lpstr>
      <vt:lpstr>01.01.25  (302)</vt:lpstr>
      <vt:lpstr>02.01.25  (303)</vt:lpstr>
      <vt:lpstr>04.01.25  (304)</vt:lpstr>
      <vt:lpstr>05.01.25  (305)</vt:lpstr>
      <vt:lpstr>06.01.25  (306)</vt:lpstr>
      <vt:lpstr>07.01.25  (307)</vt:lpstr>
      <vt:lpstr>08.01.25  (308)</vt:lpstr>
      <vt:lpstr>09.01.25  (309)</vt:lpstr>
      <vt:lpstr>11.01.25  (310)</vt:lpstr>
      <vt:lpstr>12.01.25  (311)</vt:lpstr>
      <vt:lpstr>13.01.25  (312)</vt:lpstr>
      <vt:lpstr>14.01.25  (313)</vt:lpstr>
      <vt:lpstr>15.01.25  (314)</vt:lpstr>
      <vt:lpstr>16.01.25  (315)</vt:lpstr>
      <vt:lpstr>18.01.25  (316)</vt:lpstr>
      <vt:lpstr>19.01.25  (317)</vt:lpstr>
      <vt:lpstr>20.01.25  (318)</vt:lpstr>
      <vt:lpstr>21.01.25  (319)</vt:lpstr>
      <vt:lpstr>22.01.25  (320)</vt:lpstr>
      <vt:lpstr>23.01.25  (321)</vt:lpstr>
      <vt:lpstr>25.01.25  (322)</vt:lpstr>
      <vt:lpstr>26.01.25  (323)</vt:lpstr>
      <vt:lpstr>27.01.25  (324)</vt:lpstr>
      <vt:lpstr>28.01.25  (325)</vt:lpstr>
      <vt:lpstr>29.01.25  (326)</vt:lpstr>
      <vt:lpstr>30.01.25  (327)</vt:lpstr>
      <vt:lpstr>01.02.25  (328)</vt:lpstr>
      <vt:lpstr>02.02.25  (329)</vt:lpstr>
      <vt:lpstr>03.02.25  (330)</vt:lpstr>
      <vt:lpstr>04.02.25  (331)</vt:lpstr>
      <vt:lpstr>05.02.25  (332)</vt:lpstr>
      <vt:lpstr>06.02.25  (333)</vt:lpstr>
      <vt:lpstr>08.02.25  (334)</vt:lpstr>
      <vt:lpstr>09.02.25  (335)</vt:lpstr>
      <vt:lpstr>10.02.25  (336)</vt:lpstr>
      <vt:lpstr>11.02.25  (337)</vt:lpstr>
      <vt:lpstr>12.02.25  (338)</vt:lpstr>
      <vt:lpstr>13.02.25  (339)</vt:lpstr>
      <vt:lpstr>15.02.25  (340)</vt:lpstr>
      <vt:lpstr>16.02.25  (341)</vt:lpstr>
      <vt:lpstr>17.02.25  (342)</vt:lpstr>
      <vt:lpstr>18.02.25  (343)</vt:lpstr>
      <vt:lpstr>19.02.25  (344)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Ataur Rahman</dc:creator>
  <cp:lastModifiedBy>Shakil Ahmad</cp:lastModifiedBy>
  <cp:lastPrinted>2025-02-20T02:41:28Z</cp:lastPrinted>
  <dcterms:created xsi:type="dcterms:W3CDTF">2023-07-12T08:43:23Z</dcterms:created>
  <dcterms:modified xsi:type="dcterms:W3CDTF">2025-02-20T03:17:32Z</dcterms:modified>
</cp:coreProperties>
</file>